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3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4.xml" ContentType="application/vnd.openxmlformats-officedocument.drawingml.chartshape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.xml" ContentType="application/vnd.openxmlformats-officedocument.drawingml.chartshapes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8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9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10.xml" ContentType="application/vnd.openxmlformats-officedocument.drawingml.chartshapes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11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12.xml" ContentType="application/vnd.openxmlformats-officedocument.drawingml.chartshapes+xml"/>
  <Override PartName="/xl/charts/chart101.xml" ContentType="application/vnd.openxmlformats-officedocument.drawingml.chart+xml"/>
  <Override PartName="/xl/drawings/drawing13.xml" ContentType="application/vnd.openxmlformats-officedocument.drawingml.chartshapes+xml"/>
  <Override PartName="/xl/charts/chart102.xml" ContentType="application/vnd.openxmlformats-officedocument.drawingml.chart+xml"/>
  <Override PartName="/xl/drawings/drawing14.xml" ContentType="application/vnd.openxmlformats-officedocument.drawingml.chartshapes+xml"/>
  <Override PartName="/xl/charts/chart103.xml" ContentType="application/vnd.openxmlformats-officedocument.drawingml.chart+xml"/>
  <Override PartName="/xl/drawings/drawing15.xml" ContentType="application/vnd.openxmlformats-officedocument.drawingml.chartshapes+xml"/>
  <Override PartName="/xl/charts/chart104.xml" ContentType="application/vnd.openxmlformats-officedocument.drawingml.chart+xml"/>
  <Override PartName="/xl/drawings/drawing16.xml" ContentType="application/vnd.openxmlformats-officedocument.drawingml.chartshapes+xml"/>
  <Override PartName="/xl/charts/chart105.xml" ContentType="application/vnd.openxmlformats-officedocument.drawingml.chart+xml"/>
  <Override PartName="/xl/drawings/drawing17.xml" ContentType="application/vnd.openxmlformats-officedocument.drawingml.chartshapes+xml"/>
  <Override PartName="/xl/charts/chart106.xml" ContentType="application/vnd.openxmlformats-officedocument.drawingml.chart+xml"/>
  <Override PartName="/xl/drawings/drawing18.xml" ContentType="application/vnd.openxmlformats-officedocument.drawingml.chartshapes+xml"/>
  <Override PartName="/xl/charts/chart107.xml" ContentType="application/vnd.openxmlformats-officedocument.drawingml.chart+xml"/>
  <Override PartName="/xl/drawings/drawing19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0.xml" ContentType="application/vnd.openxmlformats-officedocument.drawingml.chartshapes+xml"/>
  <Override PartName="/xl/charts/chart111.xml" ContentType="application/vnd.openxmlformats-officedocument.drawingml.chart+xml"/>
  <Override PartName="/xl/drawings/drawing21.xml" ContentType="application/vnd.openxmlformats-officedocument.drawingml.chartshapes+xml"/>
  <Override PartName="/xl/charts/chart112.xml" ContentType="application/vnd.openxmlformats-officedocument.drawingml.chart+xml"/>
  <Override PartName="/xl/drawings/drawing22.xml" ContentType="application/vnd.openxmlformats-officedocument.drawingml.chartshapes+xml"/>
  <Override PartName="/xl/charts/chart113.xml" ContentType="application/vnd.openxmlformats-officedocument.drawingml.chart+xml"/>
  <Override PartName="/xl/drawings/drawing23.xml" ContentType="application/vnd.openxmlformats-officedocument.drawingml.chartshapes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24.xml" ContentType="application/vnd.openxmlformats-officedocument.drawingml.chartshapes+xml"/>
  <Override PartName="/xl/charts/chart123.xml" ContentType="application/vnd.openxmlformats-officedocument.drawingml.chart+xml"/>
  <Override PartName="/xl/drawings/drawing25.xml" ContentType="application/vnd.openxmlformats-officedocument.drawingml.chartshapes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27.xml" ContentType="application/vnd.openxmlformats-officedocument.drawingml.chartshapes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drawings/drawing28.xml" ContentType="application/vnd.openxmlformats-officedocument.drawing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drawings/drawing29.xml" ContentType="application/vnd.openxmlformats-officedocument.drawingml.chartshapes+xml"/>
  <Override PartName="/xl/charts/chart229.xml" ContentType="application/vnd.openxmlformats-officedocument.drawingml.chart+xml"/>
  <Override PartName="/xl/drawings/drawing30.xml" ContentType="application/vnd.openxmlformats-officedocument.drawingml.chartshapes+xml"/>
  <Override PartName="/xl/charts/chart230.xml" ContentType="application/vnd.openxmlformats-officedocument.drawingml.chart+xml"/>
  <Override PartName="/xl/drawings/drawing31.xml" ContentType="application/vnd.openxmlformats-officedocument.drawingml.chartshapes+xml"/>
  <Override PartName="/xl/charts/chart231.xml" ContentType="application/vnd.openxmlformats-officedocument.drawingml.chart+xml"/>
  <Override PartName="/xl/drawings/drawing32.xml" ContentType="application/vnd.openxmlformats-officedocument.drawingml.chartshapes+xml"/>
  <Override PartName="/xl/charts/chart232.xml" ContentType="application/vnd.openxmlformats-officedocument.drawingml.chart+xml"/>
  <Override PartName="/xl/drawings/drawing33.xml" ContentType="application/vnd.openxmlformats-officedocument.drawingml.chartshapes+xml"/>
  <Override PartName="/xl/charts/chart233.xml" ContentType="application/vnd.openxmlformats-officedocument.drawingml.chart+xml"/>
  <Override PartName="/xl/drawings/drawing34.xml" ContentType="application/vnd.openxmlformats-officedocument.drawingml.chartshapes+xml"/>
  <Override PartName="/xl/charts/chart234.xml" ContentType="application/vnd.openxmlformats-officedocument.drawingml.chart+xml"/>
  <Override PartName="/xl/drawings/drawing35.xml" ContentType="application/vnd.openxmlformats-officedocument.drawingml.chartshapes+xml"/>
  <Override PartName="/xl/charts/chart235.xml" ContentType="application/vnd.openxmlformats-officedocument.drawingml.chart+xml"/>
  <Override PartName="/xl/drawings/drawing36.xml" ContentType="application/vnd.openxmlformats-officedocument.drawingml.chartshapes+xml"/>
  <Override PartName="/xl/charts/chart236.xml" ContentType="application/vnd.openxmlformats-officedocument.drawingml.chart+xml"/>
  <Override PartName="/xl/drawings/drawing37.xml" ContentType="application/vnd.openxmlformats-officedocument.drawingml.chartshapes+xml"/>
  <Override PartName="/xl/charts/chart237.xml" ContentType="application/vnd.openxmlformats-officedocument.drawingml.chart+xml"/>
  <Override PartName="/xl/drawings/drawing38.xml" ContentType="application/vnd.openxmlformats-officedocument.drawingml.chartshapes+xml"/>
  <Override PartName="/xl/charts/chart238.xml" ContentType="application/vnd.openxmlformats-officedocument.drawingml.chart+xml"/>
  <Override PartName="/xl/drawings/drawing39.xml" ContentType="application/vnd.openxmlformats-officedocument.drawingml.chartshapes+xml"/>
  <Override PartName="/xl/charts/chart239.xml" ContentType="application/vnd.openxmlformats-officedocument.drawingml.chart+xml"/>
  <Override PartName="/xl/drawings/drawing40.xml" ContentType="application/vnd.openxmlformats-officedocument.drawingml.chartshapes+xml"/>
  <Override PartName="/xl/charts/chart240.xml" ContentType="application/vnd.openxmlformats-officedocument.drawingml.chart+xml"/>
  <Override PartName="/xl/drawings/drawing41.xml" ContentType="application/vnd.openxmlformats-officedocument.drawingml.chartshapes+xml"/>
  <Override PartName="/xl/charts/chart241.xml" ContentType="application/vnd.openxmlformats-officedocument.drawingml.chart+xml"/>
  <Override PartName="/xl/drawings/drawing42.xml" ContentType="application/vnd.openxmlformats-officedocument.drawingml.chartshapes+xml"/>
  <Override PartName="/xl/charts/chart242.xml" ContentType="application/vnd.openxmlformats-officedocument.drawingml.chart+xml"/>
  <Override PartName="/xl/drawings/drawing43.xml" ContentType="application/vnd.openxmlformats-officedocument.drawingml.chartshapes+xml"/>
  <Override PartName="/xl/charts/chart243.xml" ContentType="application/vnd.openxmlformats-officedocument.drawingml.chart+xml"/>
  <Override PartName="/xl/drawings/drawing44.xml" ContentType="application/vnd.openxmlformats-officedocument.drawingml.chartshapes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drawings/drawing45.xml" ContentType="application/vnd.openxmlformats-officedocument.drawingml.chartshapes+xml"/>
  <Override PartName="/xl/charts/chart250.xml" ContentType="application/vnd.openxmlformats-officedocument.drawingml.chart+xml"/>
  <Override PartName="/xl/drawings/drawing46.xml" ContentType="application/vnd.openxmlformats-officedocument.drawingml.chartshapes+xml"/>
  <Override PartName="/xl/charts/chart251.xml" ContentType="application/vnd.openxmlformats-officedocument.drawingml.chart+xml"/>
  <Override PartName="/xl/drawings/drawing47.xml" ContentType="application/vnd.openxmlformats-officedocument.drawingml.chartshapes+xml"/>
  <Override PartName="/xl/charts/chart252.xml" ContentType="application/vnd.openxmlformats-officedocument.drawingml.chart+xml"/>
  <Override PartName="/xl/drawings/drawing48.xml" ContentType="application/vnd.openxmlformats-officedocument.drawingml.chartshapes+xml"/>
  <Override PartName="/xl/charts/chart253.xml" ContentType="application/vnd.openxmlformats-officedocument.drawingml.chart+xml"/>
  <Override PartName="/xl/drawings/drawing49.xml" ContentType="application/vnd.openxmlformats-officedocument.drawingml.chartshapes+xml"/>
  <Override PartName="/xl/charts/chart254.xml" ContentType="application/vnd.openxmlformats-officedocument.drawingml.chart+xml"/>
  <Override PartName="/xl/drawings/drawing50.xml" ContentType="application/vnd.openxmlformats-officedocument.drawingml.chartshapes+xml"/>
  <Override PartName="/xl/charts/chart255.xml" ContentType="application/vnd.openxmlformats-officedocument.drawingml.chart+xml"/>
  <Override PartName="/xl/drawings/drawing51.xml" ContentType="application/vnd.openxmlformats-officedocument.drawingml.chartshapes+xml"/>
  <Override PartName="/xl/charts/chart256.xml" ContentType="application/vnd.openxmlformats-officedocument.drawingml.chart+xml"/>
  <Override PartName="/xl/drawings/drawing52.xml" ContentType="application/vnd.openxmlformats-officedocument.drawingml.chartshapes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drawings/drawing54.xml" ContentType="application/vnd.openxmlformats-officedocument.drawingml.chartshapes+xml"/>
  <Override PartName="/xl/charts/chart259.xml" ContentType="application/vnd.openxmlformats-officedocument.drawingml.chart+xml"/>
  <Override PartName="/xl/drawings/drawing55.xml" ContentType="application/vnd.openxmlformats-officedocument.drawingml.chartshapes+xml"/>
  <Override PartName="/xl/charts/chart260.xml" ContentType="application/vnd.openxmlformats-officedocument.drawingml.chart+xml"/>
  <Override PartName="/xl/drawings/drawing56.xml" ContentType="application/vnd.openxmlformats-officedocument.drawingml.chartshapes+xml"/>
  <Override PartName="/xl/charts/chart261.xml" ContentType="application/vnd.openxmlformats-officedocument.drawingml.chart+xml"/>
  <Override PartName="/xl/drawings/drawing57.xml" ContentType="application/vnd.openxmlformats-officedocument.drawingml.chartshapes+xml"/>
  <Override PartName="/xl/charts/chart262.xml" ContentType="application/vnd.openxmlformats-officedocument.drawingml.chart+xml"/>
  <Override PartName="/xl/drawings/drawing58.xml" ContentType="application/vnd.openxmlformats-officedocument.drawingml.chartshapes+xml"/>
  <Override PartName="/xl/charts/chart263.xml" ContentType="application/vnd.openxmlformats-officedocument.drawingml.chart+xml"/>
  <Override PartName="/xl/drawings/drawing59.xml" ContentType="application/vnd.openxmlformats-officedocument.drawingml.chartshapes+xml"/>
  <Override PartName="/xl/charts/chart264.xml" ContentType="application/vnd.openxmlformats-officedocument.drawingml.chart+xml"/>
  <Override PartName="/xl/drawings/drawing60.xml" ContentType="application/vnd.openxmlformats-officedocument.drawingml.chartshapes+xml"/>
  <Override PartName="/xl/charts/chart265.xml" ContentType="application/vnd.openxmlformats-officedocument.drawingml.chart+xml"/>
  <Override PartName="/xl/drawings/drawing61.xml" ContentType="application/vnd.openxmlformats-officedocument.drawingml.chartshapes+xml"/>
  <Override PartName="/xl/charts/chart266.xml" ContentType="application/vnd.openxmlformats-officedocument.drawingml.chart+xml"/>
  <Override PartName="/xl/drawings/drawing62.xml" ContentType="application/vnd.openxmlformats-officedocument.drawingml.chartshapes+xml"/>
  <Override PartName="/xl/charts/chart267.xml" ContentType="application/vnd.openxmlformats-officedocument.drawingml.chart+xml"/>
  <Override PartName="/xl/drawings/drawing63.xml" ContentType="application/vnd.openxmlformats-officedocument.drawingml.chartshapes+xml"/>
  <Override PartName="/xl/charts/chart268.xml" ContentType="application/vnd.openxmlformats-officedocument.drawingml.chart+xml"/>
  <Override PartName="/xl/drawings/drawing64.xml" ContentType="application/vnd.openxmlformats-officedocument.drawingml.chartshapes+xml"/>
  <Override PartName="/xl/charts/chart269.xml" ContentType="application/vnd.openxmlformats-officedocument.drawingml.chart+xml"/>
  <Override PartName="/xl/drawings/drawing65.xml" ContentType="application/vnd.openxmlformats-officedocument.drawingml.chartshapes+xml"/>
  <Override PartName="/xl/charts/chart270.xml" ContentType="application/vnd.openxmlformats-officedocument.drawingml.chart+xml"/>
  <Override PartName="/xl/drawings/drawing66.xml" ContentType="application/vnd.openxmlformats-officedocument.drawingml.chartshapes+xml"/>
  <Override PartName="/xl/charts/chart271.xml" ContentType="application/vnd.openxmlformats-officedocument.drawingml.chart+xml"/>
  <Override PartName="/xl/drawings/drawing67.xml" ContentType="application/vnd.openxmlformats-officedocument.drawingml.chartshapes+xml"/>
  <Override PartName="/xl/charts/chart272.xml" ContentType="application/vnd.openxmlformats-officedocument.drawingml.chart+xml"/>
  <Override PartName="/xl/drawings/drawing68.xml" ContentType="application/vnd.openxmlformats-officedocument.drawingml.chartshapes+xml"/>
  <Override PartName="/xl/charts/chart273.xml" ContentType="application/vnd.openxmlformats-officedocument.drawingml.chart+xml"/>
  <Override PartName="/xl/drawings/drawing69.xml" ContentType="application/vnd.openxmlformats-officedocument.drawingml.chartshapes+xml"/>
  <Override PartName="/xl/charts/chart274.xml" ContentType="application/vnd.openxmlformats-officedocument.drawingml.chart+xml"/>
  <Override PartName="/xl/drawings/drawing70.xml" ContentType="application/vnd.openxmlformats-officedocument.drawingml.chartshapes+xml"/>
  <Override PartName="/xl/charts/chart275.xml" ContentType="application/vnd.openxmlformats-officedocument.drawingml.chart+xml"/>
  <Override PartName="/xl/drawings/drawing71.xml" ContentType="application/vnd.openxmlformats-officedocument.drawingml.chartshapes+xml"/>
  <Override PartName="/xl/charts/chart276.xml" ContentType="application/vnd.openxmlformats-officedocument.drawingml.chart+xml"/>
  <Override PartName="/xl/drawings/drawing72.xml" ContentType="application/vnd.openxmlformats-officedocument.drawingml.chartshapes+xml"/>
  <Override PartName="/xl/charts/chart277.xml" ContentType="application/vnd.openxmlformats-officedocument.drawingml.chart+xml"/>
  <Override PartName="/xl/drawings/drawing73.xml" ContentType="application/vnd.openxmlformats-officedocument.drawingml.chartshapes+xml"/>
  <Override PartName="/xl/charts/chart278.xml" ContentType="application/vnd.openxmlformats-officedocument.drawingml.chart+xml"/>
  <Override PartName="/xl/drawings/drawing74.xml" ContentType="application/vnd.openxmlformats-officedocument.drawingml.chartshapes+xml"/>
  <Override PartName="/xl/charts/chart279.xml" ContentType="application/vnd.openxmlformats-officedocument.drawingml.chart+xml"/>
  <Override PartName="/xl/drawings/drawing75.xml" ContentType="application/vnd.openxmlformats-officedocument.drawingml.chartshapes+xml"/>
  <Override PartName="/xl/charts/chart280.xml" ContentType="application/vnd.openxmlformats-officedocument.drawingml.chart+xml"/>
  <Override PartName="/xl/drawings/drawing76.xml" ContentType="application/vnd.openxmlformats-officedocument.drawingml.chartshapes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drawings/drawing77.xml" ContentType="application/vnd.openxmlformats-officedocument.drawingml.chartshapes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drawings/drawing78.xml" ContentType="application/vnd.openxmlformats-officedocument.drawingml.chartshapes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drawings/drawing79.xml" ContentType="application/vnd.openxmlformats-officedocument.drawingml.chartshapes+xml"/>
  <Override PartName="/xl/charts/chart299.xml" ContentType="application/vnd.openxmlformats-officedocument.drawingml.chart+xml"/>
  <Override PartName="/xl/drawings/drawing80.xml" ContentType="application/vnd.openxmlformats-officedocument.drawingml.chartshapes+xml"/>
  <Override PartName="/xl/charts/chart300.xml" ContentType="application/vnd.openxmlformats-officedocument.drawingml.chart+xml"/>
  <Override PartName="/xl/drawings/drawing81.xml" ContentType="application/vnd.openxmlformats-officedocument.drawingml.chartshapes+xml"/>
  <Override PartName="/xl/charts/chart301.xml" ContentType="application/vnd.openxmlformats-officedocument.drawingml.chart+xml"/>
  <Override PartName="/xl/drawings/drawing82.xml" ContentType="application/vnd.openxmlformats-officedocument.drawingml.chartshapes+xml"/>
  <Override PartName="/xl/charts/chart302.xml" ContentType="application/vnd.openxmlformats-officedocument.drawingml.chart+xml"/>
  <Override PartName="/xl/drawings/drawing83.xml" ContentType="application/vnd.openxmlformats-officedocument.drawingml.chartshapes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drawings/drawing84.xml" ContentType="application/vnd.openxmlformats-officedocument.drawingml.chartshapes+xml"/>
  <Override PartName="/xl/charts/chart305.xml" ContentType="application/vnd.openxmlformats-officedocument.drawingml.chart+xml"/>
  <Override PartName="/xl/drawings/drawing85.xml" ContentType="application/vnd.openxmlformats-officedocument.drawingml.chartshapes+xml"/>
  <Override PartName="/xl/charts/chart306.xml" ContentType="application/vnd.openxmlformats-officedocument.drawingml.chart+xml"/>
  <Override PartName="/xl/drawings/drawing86.xml" ContentType="application/vnd.openxmlformats-officedocument.drawingml.chartshapes+xml"/>
  <Override PartName="/xl/charts/chart307.xml" ContentType="application/vnd.openxmlformats-officedocument.drawingml.chart+xml"/>
  <Override PartName="/xl/drawings/drawing87.xml" ContentType="application/vnd.openxmlformats-officedocument.drawingml.chartshapes+xml"/>
  <Override PartName="/xl/charts/chart308.xml" ContentType="application/vnd.openxmlformats-officedocument.drawingml.chart+xml"/>
  <Override PartName="/xl/drawings/drawing88.xml" ContentType="application/vnd.openxmlformats-officedocument.drawingml.chartshapes+xml"/>
  <Override PartName="/xl/charts/chart309.xml" ContentType="application/vnd.openxmlformats-officedocument.drawingml.chart+xml"/>
  <Override PartName="/xl/drawings/drawing89.xml" ContentType="application/vnd.openxmlformats-officedocument.drawingml.chartshapes+xml"/>
  <Override PartName="/xl/charts/chart310.xml" ContentType="application/vnd.openxmlformats-officedocument.drawingml.chart+xml"/>
  <Override PartName="/xl/drawings/drawing90.xml" ContentType="application/vnd.openxmlformats-officedocument.drawingml.chartshapes+xml"/>
  <Override PartName="/xl/charts/chart311.xml" ContentType="application/vnd.openxmlformats-officedocument.drawingml.chart+xml"/>
  <Override PartName="/xl/drawings/drawing91.xml" ContentType="application/vnd.openxmlformats-officedocument.drawingml.chartshapes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92.xml" ContentType="application/vnd.openxmlformats-officedocument.drawingml.chartshapes+xml"/>
  <Override PartName="/xl/charts/chart318.xml" ContentType="application/vnd.openxmlformats-officedocument.drawingml.chart+xml"/>
  <Override PartName="/xl/drawings/drawing93.xml" ContentType="application/vnd.openxmlformats-officedocument.drawingml.chartshapes+xml"/>
  <Override PartName="/xl/charts/chart319.xml" ContentType="application/vnd.openxmlformats-officedocument.drawingml.chart+xml"/>
  <Override PartName="/xl/drawings/drawing94.xml" ContentType="application/vnd.openxmlformats-officedocument.drawingml.chartshapes+xml"/>
  <Override PartName="/xl/charts/chart320.xml" ContentType="application/vnd.openxmlformats-officedocument.drawingml.chart+xml"/>
  <Override PartName="/xl/drawings/drawing95.xml" ContentType="application/vnd.openxmlformats-officedocument.drawingml.chartshapes+xml"/>
  <Override PartName="/xl/charts/chart321.xml" ContentType="application/vnd.openxmlformats-officedocument.drawingml.chart+xml"/>
  <Override PartName="/xl/drawings/drawing96.xml" ContentType="application/vnd.openxmlformats-officedocument.drawingml.chartshapes+xml"/>
  <Override PartName="/xl/charts/chart322.xml" ContentType="application/vnd.openxmlformats-officedocument.drawingml.chart+xml"/>
  <Override PartName="/xl/drawings/drawing97.xml" ContentType="application/vnd.openxmlformats-officedocument.drawingml.chartshapes+xml"/>
  <Override PartName="/xl/charts/chart323.xml" ContentType="application/vnd.openxmlformats-officedocument.drawingml.chart+xml"/>
  <Override PartName="/xl/drawings/drawing98.xml" ContentType="application/vnd.openxmlformats-officedocument.drawingml.chartshapes+xml"/>
  <Override PartName="/xl/charts/chart324.xml" ContentType="application/vnd.openxmlformats-officedocument.drawingml.chart+xml"/>
  <Override PartName="/xl/drawings/drawing99.xml" ContentType="application/vnd.openxmlformats-officedocument.drawingml.chartshapes+xml"/>
  <Override PartName="/xl/charts/chart325.xml" ContentType="application/vnd.openxmlformats-officedocument.drawingml.chart+xml"/>
  <Override PartName="/xl/drawings/drawing100.xml" ContentType="application/vnd.openxmlformats-officedocument.drawingml.chartshapes+xml"/>
  <Override PartName="/xl/charts/chart326.xml" ContentType="application/vnd.openxmlformats-officedocument.drawingml.chart+xml"/>
  <Override PartName="/xl/drawings/drawing101.xml" ContentType="application/vnd.openxmlformats-officedocument.drawingml.chartshapes+xml"/>
  <Override PartName="/xl/charts/chart327.xml" ContentType="application/vnd.openxmlformats-officedocument.drawingml.chart+xml"/>
  <Override PartName="/xl/drawings/drawing102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103.xml" ContentType="application/vnd.openxmlformats-officedocument.drawingml.chartshapes+xml"/>
  <Override PartName="/xl/charts/chart331.xml" ContentType="application/vnd.openxmlformats-officedocument.drawingml.chart+xml"/>
  <Override PartName="/xl/drawings/drawing104.xml" ContentType="application/vnd.openxmlformats-officedocument.drawingml.chartshapes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105.xml" ContentType="application/vnd.openxmlformats-officedocument.drawingml.chartshapes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drawings/drawing106.xml" ContentType="application/vnd.openxmlformats-officedocument.drawingml.chartshapes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107.xml" ContentType="application/vnd.openxmlformats-officedocument.drawingml.chartshapes+xml"/>
  <Override PartName="/xl/charts/chart381.xml" ContentType="application/vnd.openxmlformats-officedocument.drawingml.chart+xml"/>
  <Override PartName="/xl/drawings/drawing108.xml" ContentType="application/vnd.openxmlformats-officedocument.drawingml.chartshapes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drawings/drawing109.xml" ContentType="application/vnd.openxmlformats-officedocument.drawingml.chartshapes+xml"/>
  <Override PartName="/xl/charts/chart385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386.xml" ContentType="application/vnd.openxmlformats-officedocument.drawingml.chart+xml"/>
  <Override PartName="/xl/drawings/drawing1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705" windowWidth="17490" windowHeight="4335" tabRatio="793" firstSheet="11" activeTab="15"/>
  </bookViews>
  <sheets>
    <sheet name="ENCUESTA PROPIETARIOS" sheetId="1" r:id="rId1"/>
    <sheet name="DETALLES UNIDADES" sheetId="2" r:id="rId2"/>
    <sheet name="FORMULAS" sheetId="3" r:id="rId3"/>
    <sheet name="GRAFICAS" sheetId="4" r:id="rId4"/>
    <sheet name="FORMULAS 2" sheetId="5" r:id="rId5"/>
    <sheet name="GRAFICAS 2" sheetId="6" r:id="rId6"/>
    <sheet name="FORMULAS C+P" sheetId="7" r:id="rId7"/>
    <sheet name="GRAFICAS C+P" sheetId="8" r:id="rId8"/>
    <sheet name="FORMULAS PLUS" sheetId="9" r:id="rId9"/>
    <sheet name="GRAFICAS PLUS" sheetId="10" r:id="rId10"/>
    <sheet name="FORMULAS NUEVOS" sheetId="13" r:id="rId11"/>
    <sheet name="GRAFICAS NUEVOS" sheetId="14" r:id="rId12"/>
    <sheet name="FORMULAS FEB" sheetId="17" r:id="rId13"/>
    <sheet name="GRAFICAS FEB" sheetId="18" r:id="rId14"/>
    <sheet name="DATOS 1" sheetId="11" r:id="rId15"/>
    <sheet name="DATOS 2" sheetId="12" r:id="rId16"/>
  </sheets>
  <externalReferences>
    <externalReference r:id="rId17"/>
  </externalReferences>
  <definedNames>
    <definedName name="_xlnm._FilterDatabase" localSheetId="1" hidden="1">'DETALLES UNIDADES'!$B$2:$AX$8</definedName>
    <definedName name="_xlnm._FilterDatabase" localSheetId="0" hidden="1">'ENCUESTA PROPIETARIOS'!$A$6:$EF$417</definedName>
  </definedNames>
  <calcPr calcId="145621"/>
</workbook>
</file>

<file path=xl/calcChain.xml><?xml version="1.0" encoding="utf-8"?>
<calcChain xmlns="http://schemas.openxmlformats.org/spreadsheetml/2006/main">
  <c r="D464" i="1" l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FG101" i="17"/>
  <c r="FF101" i="17"/>
  <c r="FE101" i="17"/>
  <c r="FD101" i="17"/>
  <c r="FC101" i="17"/>
  <c r="FG100" i="17"/>
  <c r="FF100" i="17"/>
  <c r="FE100" i="17"/>
  <c r="FD100" i="17"/>
  <c r="FC100" i="17"/>
  <c r="FG99" i="17"/>
  <c r="FF99" i="17"/>
  <c r="FE99" i="17"/>
  <c r="FD99" i="17"/>
  <c r="FC99" i="17"/>
  <c r="FG98" i="17"/>
  <c r="FF98" i="17"/>
  <c r="FE98" i="17"/>
  <c r="FD98" i="17"/>
  <c r="FC98" i="17"/>
  <c r="FG97" i="17"/>
  <c r="FF97" i="17"/>
  <c r="FE97" i="17"/>
  <c r="FD97" i="17"/>
  <c r="FC97" i="17"/>
  <c r="FG96" i="17"/>
  <c r="FF96" i="17"/>
  <c r="FE96" i="17"/>
  <c r="FD96" i="17"/>
  <c r="FC96" i="17"/>
  <c r="D465" i="1" l="1"/>
  <c r="FD102" i="17"/>
  <c r="FF102" i="17"/>
  <c r="FH99" i="17"/>
  <c r="FB99" i="17" s="1"/>
  <c r="FH101" i="17"/>
  <c r="FB101" i="17" s="1"/>
  <c r="EZ99" i="17"/>
  <c r="FC102" i="17"/>
  <c r="FE102" i="17"/>
  <c r="FG102" i="17"/>
  <c r="FH98" i="17"/>
  <c r="FB98" i="17" s="1"/>
  <c r="FH100" i="17"/>
  <c r="FB100" i="17" s="1"/>
  <c r="EW98" i="17"/>
  <c r="EW99" i="17"/>
  <c r="FH96" i="17"/>
  <c r="FB96" i="17" s="1"/>
  <c r="FH97" i="17"/>
  <c r="FB97" i="17" s="1"/>
  <c r="FJ90" i="17"/>
  <c r="FD90" i="17"/>
  <c r="FE90" i="17" s="1"/>
  <c r="FJ89" i="17"/>
  <c r="FD89" i="17"/>
  <c r="FJ88" i="17"/>
  <c r="FD88" i="17"/>
  <c r="FE88" i="17" s="1"/>
  <c r="FF88" i="17" s="1"/>
  <c r="FJ87" i="17"/>
  <c r="FD87" i="17"/>
  <c r="FJ86" i="17"/>
  <c r="FD86" i="17"/>
  <c r="FE86" i="17" s="1"/>
  <c r="FJ85" i="17"/>
  <c r="FD85" i="17"/>
  <c r="FH103" i="17" l="1"/>
  <c r="EZ101" i="17"/>
  <c r="FA101" i="17"/>
  <c r="FA99" i="17"/>
  <c r="EW100" i="17"/>
  <c r="EX99" i="17"/>
  <c r="EY99" i="17"/>
  <c r="FF90" i="17"/>
  <c r="FF86" i="17"/>
  <c r="FG86" i="17" s="1"/>
  <c r="EW101" i="17"/>
  <c r="EX101" i="17"/>
  <c r="EY101" i="17"/>
  <c r="FA96" i="17"/>
  <c r="EW96" i="17"/>
  <c r="EZ96" i="17"/>
  <c r="FA100" i="17"/>
  <c r="FA98" i="17"/>
  <c r="EZ97" i="17"/>
  <c r="EZ100" i="17"/>
  <c r="EZ98" i="17"/>
  <c r="FA97" i="17"/>
  <c r="EW97" i="17"/>
  <c r="EY96" i="17"/>
  <c r="EX96" i="17"/>
  <c r="EY100" i="17"/>
  <c r="EY98" i="17"/>
  <c r="EX97" i="17"/>
  <c r="EX100" i="17"/>
  <c r="EX98" i="17"/>
  <c r="EY97" i="17"/>
  <c r="FH102" i="17"/>
  <c r="EY102" i="17" s="1"/>
  <c r="FG88" i="17"/>
  <c r="FD91" i="17"/>
  <c r="FJ91" i="17"/>
  <c r="FE85" i="17"/>
  <c r="FE87" i="17"/>
  <c r="FE89" i="17"/>
  <c r="AN71" i="13"/>
  <c r="AL71" i="13"/>
  <c r="AM71" i="13" s="1"/>
  <c r="AN70" i="13"/>
  <c r="AL70" i="13"/>
  <c r="AM70" i="13" s="1"/>
  <c r="AN69" i="13"/>
  <c r="AL69" i="13"/>
  <c r="AM69" i="13" s="1"/>
  <c r="AN68" i="13"/>
  <c r="AL68" i="13"/>
  <c r="AM68" i="13" s="1"/>
  <c r="AN67" i="13"/>
  <c r="AL67" i="13"/>
  <c r="AM67" i="13" s="1"/>
  <c r="AN66" i="13"/>
  <c r="AL66" i="13"/>
  <c r="AM66" i="13" s="1"/>
  <c r="AN65" i="13"/>
  <c r="AM65" i="13"/>
  <c r="AL65" i="13"/>
  <c r="FG90" i="17" l="1"/>
  <c r="FH90" i="17" s="1"/>
  <c r="FA102" i="17"/>
  <c r="FB102" i="17"/>
  <c r="EZ102" i="17"/>
  <c r="EX102" i="17"/>
  <c r="AL72" i="13"/>
  <c r="AN72" i="13"/>
  <c r="EW102" i="17"/>
  <c r="FF89" i="17"/>
  <c r="FE91" i="17"/>
  <c r="FF85" i="17"/>
  <c r="FF87" i="17"/>
  <c r="FH88" i="17"/>
  <c r="FH86" i="17"/>
  <c r="AM72" i="13"/>
  <c r="N86" i="17"/>
  <c r="M86" i="17"/>
  <c r="L86" i="17"/>
  <c r="K86" i="17"/>
  <c r="N82" i="17"/>
  <c r="M82" i="17"/>
  <c r="L82" i="17"/>
  <c r="K82" i="17"/>
  <c r="N78" i="17"/>
  <c r="M78" i="17"/>
  <c r="L78" i="17"/>
  <c r="K78" i="17"/>
  <c r="N74" i="17"/>
  <c r="M74" i="17"/>
  <c r="L74" i="17"/>
  <c r="K74" i="17"/>
  <c r="N70" i="17"/>
  <c r="M70" i="17"/>
  <c r="L70" i="17"/>
  <c r="K70" i="17"/>
  <c r="N66" i="17"/>
  <c r="M66" i="17"/>
  <c r="L66" i="17"/>
  <c r="K66" i="17"/>
  <c r="N62" i="17"/>
  <c r="M62" i="17"/>
  <c r="L62" i="17"/>
  <c r="K62" i="17"/>
  <c r="R53" i="17"/>
  <c r="Q53" i="17"/>
  <c r="P53" i="17"/>
  <c r="O53" i="17"/>
  <c r="R52" i="17"/>
  <c r="Q52" i="17"/>
  <c r="P52" i="17"/>
  <c r="O52" i="17"/>
  <c r="R51" i="17"/>
  <c r="Q51" i="17"/>
  <c r="P51" i="17"/>
  <c r="O51" i="17"/>
  <c r="R50" i="17"/>
  <c r="Q50" i="17"/>
  <c r="P50" i="17"/>
  <c r="O50" i="17"/>
  <c r="R49" i="17"/>
  <c r="Q49" i="17"/>
  <c r="P49" i="17"/>
  <c r="O49" i="17"/>
  <c r="R48" i="17"/>
  <c r="Q48" i="17"/>
  <c r="P48" i="17"/>
  <c r="O48" i="17"/>
  <c r="R47" i="17"/>
  <c r="Q47" i="17"/>
  <c r="P47" i="17"/>
  <c r="O47" i="17"/>
  <c r="S47" i="17" s="1"/>
  <c r="R46" i="17"/>
  <c r="R54" i="17" s="1"/>
  <c r="Q46" i="17"/>
  <c r="Q54" i="17" s="1"/>
  <c r="P46" i="17"/>
  <c r="P54" i="17" s="1"/>
  <c r="O46" i="17"/>
  <c r="O54" i="17" s="1"/>
  <c r="N58" i="17"/>
  <c r="M58" i="17"/>
  <c r="L58" i="17"/>
  <c r="K58" i="17"/>
  <c r="S49" i="17" l="1"/>
  <c r="AL73" i="13"/>
  <c r="S52" i="17"/>
  <c r="FG87" i="17"/>
  <c r="FI88" i="17"/>
  <c r="FK88" i="17" s="1"/>
  <c r="FG85" i="17"/>
  <c r="FF91" i="17"/>
  <c r="FI86" i="17"/>
  <c r="FI90" i="17"/>
  <c r="FG89" i="17"/>
  <c r="S48" i="17"/>
  <c r="S50" i="17"/>
  <c r="S53" i="17"/>
  <c r="O74" i="17"/>
  <c r="J74" i="17" s="1"/>
  <c r="S51" i="17"/>
  <c r="O86" i="17"/>
  <c r="J86" i="17" s="1"/>
  <c r="O82" i="17"/>
  <c r="J82" i="17" s="1"/>
  <c r="O78" i="17"/>
  <c r="J78" i="17" s="1"/>
  <c r="O70" i="17"/>
  <c r="J70" i="17" s="1"/>
  <c r="O66" i="17"/>
  <c r="J66" i="17" s="1"/>
  <c r="O62" i="17"/>
  <c r="J62" i="17" s="1"/>
  <c r="S46" i="17"/>
  <c r="O58" i="17"/>
  <c r="J58" i="17" s="1"/>
  <c r="GG46" i="17"/>
  <c r="GG44" i="17"/>
  <c r="GG39" i="17"/>
  <c r="GG40" i="17" s="1"/>
  <c r="GG41" i="17" s="1"/>
  <c r="GG42" i="17" s="1"/>
  <c r="GG43" i="17" s="1"/>
  <c r="GG34" i="17"/>
  <c r="GG32" i="17"/>
  <c r="GG27" i="17"/>
  <c r="GG28" i="17" s="1"/>
  <c r="GG29" i="17" s="1"/>
  <c r="GG30" i="17" s="1"/>
  <c r="GG31" i="17" s="1"/>
  <c r="GG22" i="17"/>
  <c r="GG20" i="17"/>
  <c r="GG15" i="17"/>
  <c r="GG16" i="17" s="1"/>
  <c r="GG17" i="17" s="1"/>
  <c r="GG18" i="17" s="1"/>
  <c r="GG19" i="17" s="1"/>
  <c r="GG10" i="17"/>
  <c r="GG8" i="17"/>
  <c r="GG3" i="17"/>
  <c r="GG4" i="17" s="1"/>
  <c r="S54" i="17" l="1"/>
  <c r="FB88" i="17"/>
  <c r="EW88" i="17"/>
  <c r="EY88" i="17"/>
  <c r="FC88" i="17"/>
  <c r="EX88" i="17"/>
  <c r="EZ88" i="17"/>
  <c r="FK90" i="17"/>
  <c r="FK86" i="17"/>
  <c r="FB86" i="17" s="1"/>
  <c r="FA88" i="17"/>
  <c r="FH89" i="17"/>
  <c r="FG91" i="17"/>
  <c r="FH85" i="17"/>
  <c r="FH87" i="17"/>
  <c r="I58" i="17"/>
  <c r="F74" i="17"/>
  <c r="G86" i="17"/>
  <c r="G82" i="17"/>
  <c r="G78" i="17"/>
  <c r="G74" i="17"/>
  <c r="G70" i="17"/>
  <c r="I62" i="17"/>
  <c r="F86" i="17"/>
  <c r="F82" i="17"/>
  <c r="F78" i="17"/>
  <c r="H70" i="17"/>
  <c r="H66" i="17"/>
  <c r="H62" i="17"/>
  <c r="G66" i="17"/>
  <c r="H58" i="17"/>
  <c r="I86" i="17"/>
  <c r="I82" i="17"/>
  <c r="I78" i="17"/>
  <c r="I74" i="17"/>
  <c r="I70" i="17"/>
  <c r="I66" i="17"/>
  <c r="H86" i="17"/>
  <c r="H82" i="17"/>
  <c r="H78" i="17"/>
  <c r="H74" i="17"/>
  <c r="F70" i="17"/>
  <c r="F66" i="17"/>
  <c r="F62" i="17"/>
  <c r="G62" i="17"/>
  <c r="GG5" i="17"/>
  <c r="G58" i="17"/>
  <c r="F58" i="17"/>
  <c r="GG45" i="17"/>
  <c r="GF42" i="17" s="1"/>
  <c r="GG33" i="17"/>
  <c r="GF27" i="17" s="1"/>
  <c r="GG21" i="17"/>
  <c r="GF18" i="17" s="1"/>
  <c r="GA22" i="17"/>
  <c r="GA21" i="17"/>
  <c r="GA10" i="17"/>
  <c r="GA9" i="17"/>
  <c r="GA8" i="17"/>
  <c r="GA7" i="17"/>
  <c r="GA6" i="17"/>
  <c r="GA5" i="17"/>
  <c r="GA4" i="17"/>
  <c r="GB24" i="17"/>
  <c r="GB23" i="17"/>
  <c r="GC22" i="17"/>
  <c r="GB22" i="17"/>
  <c r="GC21" i="17"/>
  <c r="GB21" i="17"/>
  <c r="GB20" i="17"/>
  <c r="GB19" i="17"/>
  <c r="GB18" i="17"/>
  <c r="GB10" i="17"/>
  <c r="GB9" i="17"/>
  <c r="GC8" i="17"/>
  <c r="GB8" i="17"/>
  <c r="GC7" i="17"/>
  <c r="GB7" i="17"/>
  <c r="GB6" i="17"/>
  <c r="GB5" i="17"/>
  <c r="GB4" i="17"/>
  <c r="E60" i="7"/>
  <c r="E59" i="7"/>
  <c r="E58" i="7"/>
  <c r="E57" i="7"/>
  <c r="E51" i="7"/>
  <c r="E50" i="7"/>
  <c r="E49" i="7"/>
  <c r="E48" i="7"/>
  <c r="E42" i="7"/>
  <c r="E41" i="7"/>
  <c r="E40" i="7"/>
  <c r="E39" i="7"/>
  <c r="E33" i="7"/>
  <c r="E32" i="7"/>
  <c r="E31" i="7"/>
  <c r="E30" i="7"/>
  <c r="CE41" i="17"/>
  <c r="CD41" i="17"/>
  <c r="CC41" i="17"/>
  <c r="CB41" i="17"/>
  <c r="CE40" i="17"/>
  <c r="CD40" i="17"/>
  <c r="CC40" i="17"/>
  <c r="CB40" i="17"/>
  <c r="CE39" i="17"/>
  <c r="CD39" i="17"/>
  <c r="CC39" i="17"/>
  <c r="CB39" i="17"/>
  <c r="CE38" i="17"/>
  <c r="CD38" i="17"/>
  <c r="CC38" i="17"/>
  <c r="CB38" i="17"/>
  <c r="CE37" i="17"/>
  <c r="CD37" i="17"/>
  <c r="CC37" i="17"/>
  <c r="CB37" i="17"/>
  <c r="CE36" i="17"/>
  <c r="CE42" i="17" s="1"/>
  <c r="BZ42" i="17" s="1"/>
  <c r="CD36" i="17"/>
  <c r="CC36" i="17"/>
  <c r="CC42" i="17" s="1"/>
  <c r="BX42" i="17" s="1"/>
  <c r="CB36" i="17"/>
  <c r="GF41" i="17" l="1"/>
  <c r="EX90" i="17"/>
  <c r="FC90" i="17"/>
  <c r="EW90" i="17"/>
  <c r="EY90" i="17"/>
  <c r="EZ90" i="17"/>
  <c r="FA90" i="17"/>
  <c r="EX86" i="17"/>
  <c r="EW86" i="17"/>
  <c r="FC86" i="17"/>
  <c r="EZ86" i="17"/>
  <c r="EY86" i="17"/>
  <c r="FA86" i="17"/>
  <c r="FL88" i="17"/>
  <c r="FB90" i="17"/>
  <c r="FI85" i="17"/>
  <c r="FK85" i="17" s="1"/>
  <c r="FH91" i="17"/>
  <c r="FI87" i="17"/>
  <c r="FI89" i="17"/>
  <c r="GF17" i="17"/>
  <c r="BX37" i="17"/>
  <c r="BZ37" i="17"/>
  <c r="BX38" i="17"/>
  <c r="BZ38" i="17"/>
  <c r="BX39" i="17"/>
  <c r="BZ39" i="17"/>
  <c r="BX40" i="17"/>
  <c r="BZ40" i="17"/>
  <c r="BX41" i="17"/>
  <c r="BZ41" i="17"/>
  <c r="GG24" i="17"/>
  <c r="GF21" i="17"/>
  <c r="GG48" i="17"/>
  <c r="GF45" i="17"/>
  <c r="GA12" i="17"/>
  <c r="FZ7" i="17" s="1"/>
  <c r="GF39" i="17"/>
  <c r="GF28" i="17"/>
  <c r="GF15" i="17"/>
  <c r="GF40" i="17"/>
  <c r="GF16" i="17"/>
  <c r="GF44" i="17"/>
  <c r="GF20" i="17"/>
  <c r="GF43" i="17"/>
  <c r="GF19" i="17"/>
  <c r="GG36" i="17"/>
  <c r="GF33" i="17"/>
  <c r="GG6" i="17"/>
  <c r="BX36" i="17"/>
  <c r="BZ36" i="17"/>
  <c r="GF30" i="17"/>
  <c r="GF29" i="17"/>
  <c r="GF31" i="17"/>
  <c r="GF32" i="17"/>
  <c r="GB26" i="17"/>
  <c r="GB12" i="17"/>
  <c r="E62" i="7"/>
  <c r="E53" i="7"/>
  <c r="E44" i="7"/>
  <c r="E35" i="7"/>
  <c r="CF36" i="17"/>
  <c r="CF39" i="17"/>
  <c r="CF40" i="17"/>
  <c r="CF41" i="17"/>
  <c r="CB42" i="17"/>
  <c r="BW36" i="17" s="1"/>
  <c r="CD42" i="17"/>
  <c r="CF37" i="17"/>
  <c r="CF38" i="17"/>
  <c r="FT123" i="17"/>
  <c r="FN123" i="17"/>
  <c r="FO123" i="17" s="1"/>
  <c r="FP123" i="17" s="1"/>
  <c r="FQ123" i="17" s="1"/>
  <c r="FR123" i="17" s="1"/>
  <c r="FS123" i="17" s="1"/>
  <c r="FT117" i="17"/>
  <c r="FT118" i="17" s="1"/>
  <c r="FT119" i="17" s="1"/>
  <c r="FT120" i="17" s="1"/>
  <c r="FT121" i="17" s="1"/>
  <c r="FT122" i="17" s="1"/>
  <c r="FO117" i="17"/>
  <c r="FP117" i="17" s="1"/>
  <c r="FQ117" i="17" s="1"/>
  <c r="FR117" i="17" s="1"/>
  <c r="FS117" i="17" s="1"/>
  <c r="FN117" i="17"/>
  <c r="FN118" i="17" s="1"/>
  <c r="FC85" i="17" l="1"/>
  <c r="EW85" i="17"/>
  <c r="EX85" i="17"/>
  <c r="EY85" i="17"/>
  <c r="EZ85" i="17"/>
  <c r="FB85" i="17"/>
  <c r="FA85" i="17"/>
  <c r="FL90" i="17"/>
  <c r="FK87" i="17"/>
  <c r="FL86" i="17"/>
  <c r="FI91" i="17"/>
  <c r="FK92" i="17" s="1"/>
  <c r="FK89" i="17"/>
  <c r="FN119" i="17"/>
  <c r="FO118" i="17"/>
  <c r="FP118" i="17" s="1"/>
  <c r="FQ118" i="17" s="1"/>
  <c r="FR118" i="17" s="1"/>
  <c r="FS118" i="17" s="1"/>
  <c r="BY41" i="17"/>
  <c r="BY42" i="17"/>
  <c r="FU117" i="17"/>
  <c r="BW37" i="17"/>
  <c r="BY40" i="17"/>
  <c r="BY39" i="17"/>
  <c r="BY38" i="17"/>
  <c r="BY37" i="17"/>
  <c r="BW41" i="17"/>
  <c r="BW42" i="17"/>
  <c r="GG7" i="17"/>
  <c r="FZ10" i="17"/>
  <c r="FZ8" i="17"/>
  <c r="FZ6" i="17"/>
  <c r="FZ4" i="17"/>
  <c r="FZ12" i="17"/>
  <c r="FZ9" i="17"/>
  <c r="FZ5" i="17"/>
  <c r="BW40" i="17"/>
  <c r="BW39" i="17"/>
  <c r="BW38" i="17"/>
  <c r="BY36" i="17"/>
  <c r="CF42" i="17"/>
  <c r="CA42" i="17" s="1"/>
  <c r="CF43" i="17"/>
  <c r="EZ80" i="17"/>
  <c r="EY80" i="17"/>
  <c r="EX80" i="17"/>
  <c r="EW80" i="17"/>
  <c r="FA80" i="17" s="1"/>
  <c r="DU418" i="1"/>
  <c r="EX74" i="17"/>
  <c r="EX73" i="17"/>
  <c r="EX72" i="17"/>
  <c r="EX71" i="17"/>
  <c r="EX70" i="17"/>
  <c r="EX69" i="17"/>
  <c r="EX68" i="17"/>
  <c r="EX67" i="17"/>
  <c r="FJ61" i="17"/>
  <c r="FD61" i="17"/>
  <c r="FE61" i="17" s="1"/>
  <c r="FF61" i="17" s="1"/>
  <c r="FG61" i="17" s="1"/>
  <c r="FH61" i="17" s="1"/>
  <c r="FI61" i="17" s="1"/>
  <c r="FJ60" i="17"/>
  <c r="FD60" i="17"/>
  <c r="FE60" i="17" s="1"/>
  <c r="FF60" i="17" s="1"/>
  <c r="FG60" i="17" s="1"/>
  <c r="FH60" i="17" s="1"/>
  <c r="FI60" i="17" s="1"/>
  <c r="FJ59" i="17"/>
  <c r="FD59" i="17"/>
  <c r="FE59" i="17" s="1"/>
  <c r="FF59" i="17" s="1"/>
  <c r="FG59" i="17" s="1"/>
  <c r="FH59" i="17" s="1"/>
  <c r="FI59" i="17" s="1"/>
  <c r="FJ58" i="17"/>
  <c r="FD58" i="17"/>
  <c r="FE58" i="17" s="1"/>
  <c r="FF58" i="17" s="1"/>
  <c r="FG58" i="17" s="1"/>
  <c r="FH58" i="17" s="1"/>
  <c r="FI58" i="17" s="1"/>
  <c r="FJ57" i="17"/>
  <c r="FD57" i="17"/>
  <c r="FE57" i="17" s="1"/>
  <c r="FF57" i="17" s="1"/>
  <c r="FG57" i="17" s="1"/>
  <c r="FH57" i="17" s="1"/>
  <c r="FI57" i="17" s="1"/>
  <c r="FJ56" i="17"/>
  <c r="FJ62" i="17" s="1"/>
  <c r="FD56" i="17"/>
  <c r="FD62" i="17" s="1"/>
  <c r="FG50" i="17"/>
  <c r="FF50" i="17"/>
  <c r="FE50" i="17"/>
  <c r="FD50" i="17"/>
  <c r="FC50" i="17"/>
  <c r="FG49" i="17"/>
  <c r="FF49" i="17"/>
  <c r="FE49" i="17"/>
  <c r="FD49" i="17"/>
  <c r="FC49" i="17"/>
  <c r="FG48" i="17"/>
  <c r="FF48" i="17"/>
  <c r="FE48" i="17"/>
  <c r="FD48" i="17"/>
  <c r="FC48" i="17"/>
  <c r="FG47" i="17"/>
  <c r="FF47" i="17"/>
  <c r="FE47" i="17"/>
  <c r="FD47" i="17"/>
  <c r="FC47" i="17"/>
  <c r="FG46" i="17"/>
  <c r="FF46" i="17"/>
  <c r="FE46" i="17"/>
  <c r="FD46" i="17"/>
  <c r="FC46" i="17"/>
  <c r="FG45" i="17"/>
  <c r="FF45" i="17"/>
  <c r="FE45" i="17"/>
  <c r="FD45" i="17"/>
  <c r="FC45" i="17"/>
  <c r="EZ40" i="17"/>
  <c r="EZ39" i="17"/>
  <c r="EZ38" i="17"/>
  <c r="EZ37" i="17"/>
  <c r="EZ36" i="17"/>
  <c r="EZ35" i="17"/>
  <c r="EX40" i="17"/>
  <c r="EX39" i="17"/>
  <c r="EX38" i="17"/>
  <c r="EX37" i="17"/>
  <c r="EX36" i="17"/>
  <c r="EX35" i="17"/>
  <c r="EY40" i="17"/>
  <c r="FE40" i="17" s="1"/>
  <c r="EY39" i="17"/>
  <c r="FE39" i="17" s="1"/>
  <c r="EY38" i="17"/>
  <c r="FE38" i="17" s="1"/>
  <c r="EY37" i="17"/>
  <c r="FE37" i="17" s="1"/>
  <c r="EY36" i="17"/>
  <c r="FE36" i="17" s="1"/>
  <c r="EY35" i="17"/>
  <c r="FE35" i="17" s="1"/>
  <c r="EW40" i="17"/>
  <c r="FC40" i="17" s="1"/>
  <c r="EW39" i="17"/>
  <c r="FC39" i="17" s="1"/>
  <c r="EW38" i="17"/>
  <c r="FC38" i="17" s="1"/>
  <c r="EW37" i="17"/>
  <c r="FC37" i="17" s="1"/>
  <c r="EW36" i="17"/>
  <c r="FC36" i="17" s="1"/>
  <c r="EW35" i="17"/>
  <c r="FC87" i="17" l="1"/>
  <c r="EW87" i="17"/>
  <c r="EX87" i="17"/>
  <c r="EY87" i="17"/>
  <c r="EZ87" i="17"/>
  <c r="FA87" i="17"/>
  <c r="FK91" i="17"/>
  <c r="FB91" i="17" s="1"/>
  <c r="EW89" i="17"/>
  <c r="FC89" i="17"/>
  <c r="EX89" i="17"/>
  <c r="EY89" i="17"/>
  <c r="EZ89" i="17"/>
  <c r="FA89" i="17"/>
  <c r="FB89" i="17"/>
  <c r="FB87" i="17"/>
  <c r="FL85" i="17"/>
  <c r="FA36" i="17"/>
  <c r="FF36" i="17"/>
  <c r="FA38" i="17"/>
  <c r="FF38" i="17"/>
  <c r="FA40" i="17"/>
  <c r="FF40" i="17"/>
  <c r="FG36" i="17"/>
  <c r="FG38" i="17"/>
  <c r="FG40" i="17"/>
  <c r="FD36" i="17"/>
  <c r="FD38" i="17"/>
  <c r="FD40" i="17"/>
  <c r="EW41" i="17"/>
  <c r="FC35" i="17"/>
  <c r="FF35" i="17"/>
  <c r="FA35" i="17"/>
  <c r="FA37" i="17"/>
  <c r="FF37" i="17"/>
  <c r="FA39" i="17"/>
  <c r="FF39" i="17"/>
  <c r="FG39" i="17" s="1"/>
  <c r="FG35" i="17"/>
  <c r="FG37" i="17"/>
  <c r="FD35" i="17"/>
  <c r="FD37" i="17"/>
  <c r="FD39" i="17"/>
  <c r="FH46" i="17"/>
  <c r="FD51" i="17"/>
  <c r="EX51" i="17" s="1"/>
  <c r="FF51" i="17"/>
  <c r="EZ51" i="17" s="1"/>
  <c r="FH50" i="17"/>
  <c r="CA37" i="17"/>
  <c r="EX46" i="17"/>
  <c r="EZ48" i="17"/>
  <c r="CA36" i="17"/>
  <c r="EW62" i="17"/>
  <c r="FC61" i="17"/>
  <c r="FC59" i="17"/>
  <c r="FC62" i="17"/>
  <c r="EZ49" i="17"/>
  <c r="FC57" i="17"/>
  <c r="FC58" i="17"/>
  <c r="FC60" i="17"/>
  <c r="FN120" i="17"/>
  <c r="FO119" i="17"/>
  <c r="FP119" i="17" s="1"/>
  <c r="FQ119" i="17" s="1"/>
  <c r="FR119" i="17" s="1"/>
  <c r="FS119" i="17" s="1"/>
  <c r="EY41" i="17"/>
  <c r="EX41" i="17"/>
  <c r="EZ41" i="17"/>
  <c r="FH45" i="17"/>
  <c r="FH47" i="17"/>
  <c r="FH49" i="17"/>
  <c r="FC51" i="17"/>
  <c r="EW46" i="17" s="1"/>
  <c r="FE51" i="17"/>
  <c r="EY45" i="17" s="1"/>
  <c r="FG51" i="17"/>
  <c r="EZ47" i="17"/>
  <c r="FE56" i="17"/>
  <c r="EW56" i="17"/>
  <c r="FC56" i="17"/>
  <c r="EW58" i="17"/>
  <c r="EW60" i="17"/>
  <c r="CA40" i="17"/>
  <c r="CA39" i="17"/>
  <c r="CA38" i="17"/>
  <c r="EW50" i="17"/>
  <c r="EW57" i="17"/>
  <c r="EW59" i="17"/>
  <c r="EW61" i="17"/>
  <c r="EX75" i="17"/>
  <c r="EW75" i="17" s="1"/>
  <c r="CA41" i="17"/>
  <c r="FU123" i="17"/>
  <c r="FU118" i="17"/>
  <c r="FH48" i="17"/>
  <c r="FE30" i="17"/>
  <c r="FD30" i="17"/>
  <c r="FC30" i="17"/>
  <c r="FB30" i="17"/>
  <c r="FD29" i="17"/>
  <c r="FC29" i="17"/>
  <c r="FB29" i="17"/>
  <c r="FE29" i="17"/>
  <c r="FE28" i="17"/>
  <c r="FD28" i="17"/>
  <c r="FC28" i="17"/>
  <c r="FB28" i="17"/>
  <c r="FB27" i="17"/>
  <c r="FE27" i="17"/>
  <c r="FD27" i="17"/>
  <c r="FC27" i="17"/>
  <c r="FE26" i="17"/>
  <c r="FD26" i="17"/>
  <c r="FC26" i="17"/>
  <c r="FB26" i="17"/>
  <c r="DR418" i="1"/>
  <c r="FE25" i="17"/>
  <c r="FD25" i="17"/>
  <c r="FD31" i="17" s="1"/>
  <c r="EY31" i="17" s="1"/>
  <c r="FC25" i="17"/>
  <c r="FB25" i="17"/>
  <c r="FB31" i="17" s="1"/>
  <c r="EW31" i="17" s="1"/>
  <c r="FE20" i="17"/>
  <c r="FD20" i="17"/>
  <c r="FC20" i="17"/>
  <c r="FB20" i="17"/>
  <c r="FE19" i="17"/>
  <c r="FD19" i="17"/>
  <c r="FC19" i="17"/>
  <c r="FB19" i="17"/>
  <c r="FE18" i="17"/>
  <c r="FD18" i="17"/>
  <c r="FC18" i="17"/>
  <c r="FB18" i="17"/>
  <c r="FE17" i="17"/>
  <c r="FD17" i="17"/>
  <c r="FC17" i="17"/>
  <c r="FB17" i="17"/>
  <c r="FF17" i="17" s="1"/>
  <c r="FE16" i="17"/>
  <c r="FD16" i="17"/>
  <c r="FC16" i="17"/>
  <c r="FB16" i="17"/>
  <c r="FF16" i="17" s="1"/>
  <c r="FE10" i="17"/>
  <c r="FC10" i="17"/>
  <c r="FD10" i="17"/>
  <c r="C65" i="17"/>
  <c r="C64" i="17"/>
  <c r="C63" i="17"/>
  <c r="C62" i="17"/>
  <c r="C61" i="17"/>
  <c r="C60" i="17"/>
  <c r="C59" i="17"/>
  <c r="C58" i="17"/>
  <c r="G53" i="17"/>
  <c r="CN52" i="17"/>
  <c r="G52" i="17"/>
  <c r="CN51" i="17"/>
  <c r="G51" i="17"/>
  <c r="CN50" i="17"/>
  <c r="G50" i="17"/>
  <c r="G49" i="17"/>
  <c r="G48" i="17"/>
  <c r="G47" i="17"/>
  <c r="G46" i="17"/>
  <c r="CN43" i="17"/>
  <c r="CN42" i="17"/>
  <c r="CN41" i="17"/>
  <c r="CN34" i="17"/>
  <c r="CN33" i="17"/>
  <c r="CN32" i="17"/>
  <c r="CB29" i="17"/>
  <c r="CB28" i="17"/>
  <c r="CB27" i="17"/>
  <c r="CN26" i="17"/>
  <c r="CB26" i="17"/>
  <c r="CQ25" i="17"/>
  <c r="CP25" i="17"/>
  <c r="CO25" i="17"/>
  <c r="CN25" i="17"/>
  <c r="CB25" i="17"/>
  <c r="DX24" i="17"/>
  <c r="CQ24" i="17"/>
  <c r="CP24" i="17"/>
  <c r="CO24" i="17"/>
  <c r="CN24" i="17"/>
  <c r="CB24" i="17"/>
  <c r="DX23" i="17"/>
  <c r="CQ23" i="17"/>
  <c r="CP23" i="17"/>
  <c r="CO23" i="17"/>
  <c r="CN23" i="17"/>
  <c r="DX22" i="17"/>
  <c r="CB18" i="17"/>
  <c r="DX17" i="17"/>
  <c r="CI17" i="17"/>
  <c r="DX16" i="17"/>
  <c r="CI16" i="17"/>
  <c r="DX15" i="17"/>
  <c r="CI15" i="17"/>
  <c r="DX14" i="17"/>
  <c r="CI14" i="17"/>
  <c r="CB14" i="17"/>
  <c r="CB15" i="17" s="1"/>
  <c r="CB16" i="17" s="1"/>
  <c r="CB17" i="17" s="1"/>
  <c r="DX13" i="17"/>
  <c r="FB10" i="17"/>
  <c r="FB9" i="17"/>
  <c r="CI9" i="17"/>
  <c r="FB8" i="17"/>
  <c r="DX8" i="17"/>
  <c r="CI8" i="17"/>
  <c r="CB8" i="17"/>
  <c r="FB7" i="17"/>
  <c r="DX7" i="17"/>
  <c r="CI7" i="17"/>
  <c r="FB6" i="17"/>
  <c r="DX6" i="17"/>
  <c r="CI6" i="17"/>
  <c r="FB5" i="17"/>
  <c r="DX5" i="17"/>
  <c r="DL5" i="17"/>
  <c r="CI5" i="17"/>
  <c r="FB4" i="17"/>
  <c r="DX4" i="17"/>
  <c r="DL4" i="17"/>
  <c r="CI4" i="17"/>
  <c r="CB4" i="17"/>
  <c r="CB5" i="17" s="1"/>
  <c r="CB6" i="17" s="1"/>
  <c r="CB7" i="17" s="1"/>
  <c r="C77" i="17"/>
  <c r="C76" i="17"/>
  <c r="C75" i="17"/>
  <c r="C74" i="17"/>
  <c r="C73" i="17"/>
  <c r="C72" i="17"/>
  <c r="C71" i="17"/>
  <c r="C70" i="17"/>
  <c r="H53" i="17"/>
  <c r="CO52" i="17"/>
  <c r="H52" i="17"/>
  <c r="CO51" i="17"/>
  <c r="H51" i="17"/>
  <c r="CO50" i="17"/>
  <c r="H50" i="17"/>
  <c r="H49" i="17"/>
  <c r="H48" i="17"/>
  <c r="H47" i="17"/>
  <c r="H46" i="17"/>
  <c r="CO43" i="17"/>
  <c r="CO42" i="17"/>
  <c r="CO41" i="17"/>
  <c r="CQ34" i="17"/>
  <c r="CP34" i="17"/>
  <c r="CO34" i="17"/>
  <c r="CQ33" i="17"/>
  <c r="CP33" i="17"/>
  <c r="CO33" i="17"/>
  <c r="CQ32" i="17"/>
  <c r="CP32" i="17"/>
  <c r="CO32" i="17"/>
  <c r="CC29" i="17"/>
  <c r="CC28" i="17"/>
  <c r="CC27" i="17"/>
  <c r="CO26" i="17"/>
  <c r="CC26" i="17"/>
  <c r="CC25" i="17"/>
  <c r="DY24" i="17"/>
  <c r="CC24" i="17"/>
  <c r="DY23" i="17"/>
  <c r="DY22" i="17"/>
  <c r="CC18" i="17"/>
  <c r="DY17" i="17"/>
  <c r="CJ17" i="17"/>
  <c r="DY16" i="17"/>
  <c r="CJ16" i="17"/>
  <c r="DY15" i="17"/>
  <c r="CJ15" i="17"/>
  <c r="CC15" i="17"/>
  <c r="CC16" i="17" s="1"/>
  <c r="CC17" i="17" s="1"/>
  <c r="DY14" i="17"/>
  <c r="CJ14" i="17"/>
  <c r="CC14" i="17"/>
  <c r="DY13" i="17"/>
  <c r="FC9" i="17"/>
  <c r="CJ9" i="17"/>
  <c r="FC8" i="17"/>
  <c r="DY8" i="17"/>
  <c r="CJ8" i="17"/>
  <c r="CC8" i="17"/>
  <c r="FC7" i="17"/>
  <c r="DY7" i="17"/>
  <c r="CJ7" i="17"/>
  <c r="FC6" i="17"/>
  <c r="DY6" i="17"/>
  <c r="CJ6" i="17"/>
  <c r="FC5" i="17"/>
  <c r="DY5" i="17"/>
  <c r="DM5" i="17"/>
  <c r="CJ5" i="17"/>
  <c r="FC4" i="17"/>
  <c r="DY4" i="17"/>
  <c r="DM4" i="17"/>
  <c r="CJ4" i="17"/>
  <c r="CC4" i="17"/>
  <c r="CC5" i="17" s="1"/>
  <c r="CC6" i="17" s="1"/>
  <c r="CC7" i="17" s="1"/>
  <c r="FE9" i="17"/>
  <c r="FD9" i="17"/>
  <c r="FE8" i="17"/>
  <c r="FD8" i="17"/>
  <c r="FE7" i="17"/>
  <c r="FD7" i="17"/>
  <c r="FE6" i="17"/>
  <c r="FD6" i="17"/>
  <c r="FE5" i="17"/>
  <c r="FD5" i="17"/>
  <c r="FE4" i="17"/>
  <c r="FD4" i="17"/>
  <c r="EX47" i="17" l="1"/>
  <c r="EX49" i="17"/>
  <c r="EZ50" i="17"/>
  <c r="EX50" i="17"/>
  <c r="EX48" i="17"/>
  <c r="FC91" i="17"/>
  <c r="EW91" i="17"/>
  <c r="EX91" i="17"/>
  <c r="EY91" i="17"/>
  <c r="EZ91" i="17"/>
  <c r="FA91" i="17"/>
  <c r="FL89" i="17"/>
  <c r="FL87" i="17"/>
  <c r="FA41" i="17"/>
  <c r="FF41" i="17"/>
  <c r="EZ42" i="17"/>
  <c r="FE41" i="17"/>
  <c r="FG41" i="17" s="1"/>
  <c r="FC41" i="17"/>
  <c r="FD41" i="17"/>
  <c r="EX42" i="17"/>
  <c r="FF30" i="17"/>
  <c r="FU119" i="17"/>
  <c r="EX45" i="17"/>
  <c r="EZ45" i="17"/>
  <c r="EZ46" i="17"/>
  <c r="EY27" i="17"/>
  <c r="EW27" i="17"/>
  <c r="EW29" i="17"/>
  <c r="EY29" i="17"/>
  <c r="EW26" i="17"/>
  <c r="EY26" i="17"/>
  <c r="EW28" i="17"/>
  <c r="EY28" i="17"/>
  <c r="EY30" i="17"/>
  <c r="FA51" i="17"/>
  <c r="FA49" i="17"/>
  <c r="FA47" i="17"/>
  <c r="EW51" i="17"/>
  <c r="EW49" i="17"/>
  <c r="EW47" i="17"/>
  <c r="FH52" i="17"/>
  <c r="FN121" i="17"/>
  <c r="FO120" i="17"/>
  <c r="FF8" i="17"/>
  <c r="FF4" i="17"/>
  <c r="FF5" i="17"/>
  <c r="FC11" i="17"/>
  <c r="EX11" i="17" s="1"/>
  <c r="FE11" i="17"/>
  <c r="EZ11" i="17" s="1"/>
  <c r="EX4" i="17"/>
  <c r="FF18" i="17"/>
  <c r="FF19" i="17"/>
  <c r="FF20" i="17"/>
  <c r="FB21" i="17"/>
  <c r="EW18" i="17" s="1"/>
  <c r="FD21" i="17"/>
  <c r="EY18" i="17" s="1"/>
  <c r="EW16" i="17"/>
  <c r="FC31" i="17"/>
  <c r="EX31" i="17" s="1"/>
  <c r="FE31" i="17"/>
  <c r="EZ31" i="17" s="1"/>
  <c r="EW25" i="17"/>
  <c r="EY25" i="17"/>
  <c r="EW74" i="17"/>
  <c r="EW70" i="17"/>
  <c r="EY50" i="17"/>
  <c r="FA48" i="17"/>
  <c r="EW48" i="17"/>
  <c r="EY46" i="17"/>
  <c r="EW73" i="17"/>
  <c r="EW69" i="17"/>
  <c r="FF56" i="17"/>
  <c r="FE62" i="17"/>
  <c r="EY51" i="17"/>
  <c r="EY49" i="17"/>
  <c r="EY47" i="17"/>
  <c r="FH51" i="17"/>
  <c r="FB45" i="17" s="1"/>
  <c r="FF6" i="17"/>
  <c r="FB11" i="17"/>
  <c r="EW11" i="17" s="1"/>
  <c r="FD11" i="17"/>
  <c r="EY11" i="17" s="1"/>
  <c r="FC21" i="17"/>
  <c r="EX21" i="17" s="1"/>
  <c r="FE21" i="17"/>
  <c r="EZ21" i="17" s="1"/>
  <c r="EW17" i="17"/>
  <c r="EW19" i="17"/>
  <c r="EW30" i="17"/>
  <c r="EW72" i="17"/>
  <c r="EW68" i="17"/>
  <c r="FA50" i="17"/>
  <c r="EY48" i="17"/>
  <c r="FA46" i="17"/>
  <c r="EW71" i="17"/>
  <c r="EW67" i="17"/>
  <c r="FA45" i="17"/>
  <c r="EW45" i="17"/>
  <c r="GG9" i="17"/>
  <c r="FK61" i="17"/>
  <c r="FK60" i="17"/>
  <c r="FK59" i="17"/>
  <c r="FK58" i="17"/>
  <c r="FK57" i="17"/>
  <c r="FF29" i="17"/>
  <c r="FF25" i="17"/>
  <c r="FF27" i="17"/>
  <c r="FF28" i="17"/>
  <c r="FF26" i="17"/>
  <c r="FF7" i="17"/>
  <c r="FF10" i="17"/>
  <c r="FF9" i="17"/>
  <c r="EM95" i="17"/>
  <c r="EL95" i="17"/>
  <c r="EK95" i="17"/>
  <c r="EJ95" i="17"/>
  <c r="EM89" i="17"/>
  <c r="EM90" i="17" s="1"/>
  <c r="EM91" i="17" s="1"/>
  <c r="EM92" i="17" s="1"/>
  <c r="EM93" i="17" s="1"/>
  <c r="EM94" i="17" s="1"/>
  <c r="EL89" i="17"/>
  <c r="EL90" i="17" s="1"/>
  <c r="EL91" i="17" s="1"/>
  <c r="EL92" i="17" s="1"/>
  <c r="EL93" i="17" s="1"/>
  <c r="EL94" i="17" s="1"/>
  <c r="EK89" i="17"/>
  <c r="EK90" i="17" s="1"/>
  <c r="EK91" i="17" s="1"/>
  <c r="EK92" i="17" s="1"/>
  <c r="EK93" i="17" s="1"/>
  <c r="EK94" i="17" s="1"/>
  <c r="EJ89" i="17"/>
  <c r="EJ90" i="17" s="1"/>
  <c r="EJ91" i="17" s="1"/>
  <c r="EJ92" i="17" s="1"/>
  <c r="EJ93" i="17" s="1"/>
  <c r="EJ94" i="17" s="1"/>
  <c r="EM83" i="17"/>
  <c r="EL83" i="17"/>
  <c r="EK83" i="17"/>
  <c r="EJ83" i="17"/>
  <c r="EM77" i="17"/>
  <c r="EM78" i="17" s="1"/>
  <c r="EM79" i="17" s="1"/>
  <c r="EM80" i="17" s="1"/>
  <c r="EM81" i="17" s="1"/>
  <c r="EM82" i="17" s="1"/>
  <c r="EL77" i="17"/>
  <c r="EL78" i="17" s="1"/>
  <c r="EL79" i="17" s="1"/>
  <c r="EL80" i="17" s="1"/>
  <c r="EL81" i="17" s="1"/>
  <c r="EL82" i="17" s="1"/>
  <c r="EK77" i="17"/>
  <c r="EK78" i="17" s="1"/>
  <c r="EK79" i="17" s="1"/>
  <c r="EK80" i="17" s="1"/>
  <c r="EK81" i="17" s="1"/>
  <c r="EK82" i="17" s="1"/>
  <c r="EJ77" i="17"/>
  <c r="EJ78" i="17" s="1"/>
  <c r="EJ79" i="17" s="1"/>
  <c r="EJ80" i="17" s="1"/>
  <c r="EJ81" i="17" s="1"/>
  <c r="EJ82" i="17" s="1"/>
  <c r="EN83" i="17"/>
  <c r="EM72" i="17"/>
  <c r="EL72" i="17"/>
  <c r="EK72" i="17"/>
  <c r="EJ72" i="17"/>
  <c r="EM66" i="17"/>
  <c r="EM67" i="17" s="1"/>
  <c r="EM68" i="17" s="1"/>
  <c r="EM69" i="17" s="1"/>
  <c r="EM70" i="17" s="1"/>
  <c r="EM71" i="17" s="1"/>
  <c r="EL66" i="17"/>
  <c r="EL67" i="17" s="1"/>
  <c r="EL68" i="17" s="1"/>
  <c r="EL69" i="17" s="1"/>
  <c r="EL70" i="17" s="1"/>
  <c r="EL71" i="17" s="1"/>
  <c r="EK66" i="17"/>
  <c r="EK67" i="17" s="1"/>
  <c r="EK68" i="17" s="1"/>
  <c r="EK69" i="17" s="1"/>
  <c r="EK70" i="17" s="1"/>
  <c r="EK71" i="17" s="1"/>
  <c r="EJ66" i="17"/>
  <c r="EJ67" i="17" s="1"/>
  <c r="EJ68" i="17" s="1"/>
  <c r="EJ69" i="17" s="1"/>
  <c r="EJ70" i="17" s="1"/>
  <c r="EJ71" i="17" s="1"/>
  <c r="EN72" i="17"/>
  <c r="EM61" i="17"/>
  <c r="EL61" i="17"/>
  <c r="EK61" i="17"/>
  <c r="EJ61" i="17"/>
  <c r="EM55" i="17"/>
  <c r="EM56" i="17" s="1"/>
  <c r="EL55" i="17"/>
  <c r="EK55" i="17"/>
  <c r="EK56" i="17" s="1"/>
  <c r="EJ55" i="17"/>
  <c r="BA24" i="7"/>
  <c r="BA23" i="7"/>
  <c r="BA22" i="7"/>
  <c r="DV46" i="17"/>
  <c r="DU46" i="17"/>
  <c r="DT46" i="17"/>
  <c r="DS46" i="17"/>
  <c r="DV45" i="17"/>
  <c r="DU45" i="17"/>
  <c r="DT45" i="17"/>
  <c r="DS45" i="17"/>
  <c r="DV44" i="17"/>
  <c r="DU44" i="17"/>
  <c r="DT44" i="17"/>
  <c r="DS44" i="17"/>
  <c r="DV43" i="17"/>
  <c r="DU43" i="17"/>
  <c r="DT43" i="17"/>
  <c r="DS43" i="17"/>
  <c r="DV42" i="17"/>
  <c r="DU42" i="17"/>
  <c r="DT42" i="17"/>
  <c r="DS42" i="17"/>
  <c r="DV41" i="17"/>
  <c r="DU41" i="17"/>
  <c r="DT41" i="17"/>
  <c r="DS41" i="17"/>
  <c r="DV40" i="17"/>
  <c r="DV47" i="17" s="1"/>
  <c r="DU40" i="17"/>
  <c r="DU47" i="17" s="1"/>
  <c r="DT40" i="17"/>
  <c r="DT47" i="17" s="1"/>
  <c r="DS40" i="17"/>
  <c r="DW40" i="17" s="1"/>
  <c r="DY35" i="17"/>
  <c r="DS35" i="17"/>
  <c r="DT35" i="17" s="1"/>
  <c r="DU35" i="17" s="1"/>
  <c r="DV35" i="17" s="1"/>
  <c r="DW35" i="17" s="1"/>
  <c r="DX35" i="17" s="1"/>
  <c r="DY34" i="17"/>
  <c r="DS34" i="17"/>
  <c r="DT34" i="17" s="1"/>
  <c r="DU34" i="17" s="1"/>
  <c r="DV34" i="17" s="1"/>
  <c r="DW34" i="17" s="1"/>
  <c r="DX34" i="17" s="1"/>
  <c r="DY33" i="17"/>
  <c r="DS33" i="17"/>
  <c r="DT33" i="17" s="1"/>
  <c r="DU33" i="17" s="1"/>
  <c r="DV33" i="17" s="1"/>
  <c r="DW33" i="17" s="1"/>
  <c r="DX33" i="17" s="1"/>
  <c r="DY32" i="17"/>
  <c r="DS32" i="17"/>
  <c r="DT32" i="17" s="1"/>
  <c r="DU32" i="17" s="1"/>
  <c r="DV32" i="17" s="1"/>
  <c r="DW32" i="17" s="1"/>
  <c r="DX32" i="17" s="1"/>
  <c r="DY31" i="17"/>
  <c r="DS31" i="17"/>
  <c r="DT31" i="17" s="1"/>
  <c r="DU31" i="17" s="1"/>
  <c r="DV31" i="17" s="1"/>
  <c r="DW31" i="17" s="1"/>
  <c r="DX31" i="17" s="1"/>
  <c r="DY30" i="17"/>
  <c r="DS30" i="17"/>
  <c r="DT30" i="17" s="1"/>
  <c r="DU30" i="17" s="1"/>
  <c r="DV30" i="17" s="1"/>
  <c r="DW30" i="17" s="1"/>
  <c r="DX30" i="17" s="1"/>
  <c r="DY29" i="17"/>
  <c r="DY36" i="17" s="1"/>
  <c r="DS29" i="17"/>
  <c r="DS36" i="17" s="1"/>
  <c r="DY25" i="17"/>
  <c r="DT25" i="17" s="1"/>
  <c r="DX25" i="17"/>
  <c r="DS25" i="17" s="1"/>
  <c r="EA24" i="17"/>
  <c r="DZ24" i="17"/>
  <c r="EA23" i="17"/>
  <c r="DZ23" i="17"/>
  <c r="EB23" i="17" s="1"/>
  <c r="EA22" i="17"/>
  <c r="DZ22" i="17"/>
  <c r="EA16" i="17"/>
  <c r="DZ16" i="17"/>
  <c r="DY18" i="17"/>
  <c r="DT17" i="17" s="1"/>
  <c r="DX18" i="17"/>
  <c r="DS18" i="17" s="1"/>
  <c r="EA17" i="17"/>
  <c r="DZ17" i="17"/>
  <c r="EB17" i="17" s="1"/>
  <c r="EA15" i="17"/>
  <c r="DZ15" i="17"/>
  <c r="EA14" i="17"/>
  <c r="DZ14" i="17"/>
  <c r="EA13" i="17"/>
  <c r="DZ13" i="17"/>
  <c r="FB49" i="17" l="1"/>
  <c r="EW20" i="17"/>
  <c r="FB48" i="17"/>
  <c r="FL91" i="17"/>
  <c r="EA18" i="17"/>
  <c r="DV18" i="17" s="1"/>
  <c r="EB22" i="17"/>
  <c r="DW41" i="17"/>
  <c r="DW42" i="17"/>
  <c r="DW43" i="17"/>
  <c r="DW44" i="17"/>
  <c r="DW45" i="17"/>
  <c r="DW46" i="17"/>
  <c r="DV13" i="17"/>
  <c r="EB13" i="17"/>
  <c r="DZ18" i="17"/>
  <c r="DU18" i="17" s="1"/>
  <c r="EB24" i="17"/>
  <c r="EA25" i="17"/>
  <c r="DV25" i="17" s="1"/>
  <c r="DT29" i="17"/>
  <c r="DS47" i="17"/>
  <c r="DZ25" i="17"/>
  <c r="DU24" i="17" s="1"/>
  <c r="GF9" i="17"/>
  <c r="GF8" i="17"/>
  <c r="GF4" i="17"/>
  <c r="GF3" i="17"/>
  <c r="GF5" i="17"/>
  <c r="GF6" i="17"/>
  <c r="GF7" i="17"/>
  <c r="FF62" i="17"/>
  <c r="EY56" i="17" s="1"/>
  <c r="FG56" i="17"/>
  <c r="EW21" i="17"/>
  <c r="FF22" i="17"/>
  <c r="FP120" i="17"/>
  <c r="EN55" i="17"/>
  <c r="EK57" i="17"/>
  <c r="EM57" i="17"/>
  <c r="EN95" i="17"/>
  <c r="EW5" i="17"/>
  <c r="EX29" i="17"/>
  <c r="EZ27" i="17"/>
  <c r="EZ25" i="17"/>
  <c r="EZ20" i="17"/>
  <c r="EZ19" i="17"/>
  <c r="EZ18" i="17"/>
  <c r="EZ17" i="17"/>
  <c r="EZ16" i="17"/>
  <c r="EZ10" i="17"/>
  <c r="EW9" i="17"/>
  <c r="EW7" i="17"/>
  <c r="EX6" i="17"/>
  <c r="EY8" i="17"/>
  <c r="EY6" i="17"/>
  <c r="EY4" i="17"/>
  <c r="EX8" i="17"/>
  <c r="EX5" i="17"/>
  <c r="EZ8" i="17"/>
  <c r="EZ6" i="17"/>
  <c r="EZ4" i="17"/>
  <c r="EX30" i="17"/>
  <c r="EX28" i="17"/>
  <c r="EX26" i="17"/>
  <c r="EX10" i="17"/>
  <c r="EW6" i="17"/>
  <c r="FF31" i="17"/>
  <c r="FA27" i="17" s="1"/>
  <c r="FB51" i="17"/>
  <c r="FB46" i="17"/>
  <c r="FB50" i="17"/>
  <c r="EX62" i="17"/>
  <c r="EX57" i="17"/>
  <c r="EX61" i="17"/>
  <c r="EX60" i="17"/>
  <c r="EX59" i="17"/>
  <c r="EX58" i="17"/>
  <c r="EY21" i="17"/>
  <c r="EY19" i="17"/>
  <c r="FF11" i="17"/>
  <c r="FA11" i="17" s="1"/>
  <c r="FF12" i="17"/>
  <c r="FN122" i="17"/>
  <c r="FO121" i="17"/>
  <c r="FP121" i="17" s="1"/>
  <c r="EJ56" i="17"/>
  <c r="EL56" i="17"/>
  <c r="EN61" i="17"/>
  <c r="EX56" i="17"/>
  <c r="FB47" i="17"/>
  <c r="EZ29" i="17"/>
  <c r="EX27" i="17"/>
  <c r="EX25" i="17"/>
  <c r="EX20" i="17"/>
  <c r="EX19" i="17"/>
  <c r="EX18" i="17"/>
  <c r="EX17" i="17"/>
  <c r="EX16" i="17"/>
  <c r="EY10" i="17"/>
  <c r="EW8" i="17"/>
  <c r="EW4" i="17"/>
  <c r="EY9" i="17"/>
  <c r="EY7" i="17"/>
  <c r="EY5" i="17"/>
  <c r="EX9" i="17"/>
  <c r="EX7" i="17"/>
  <c r="EZ9" i="17"/>
  <c r="EZ7" i="17"/>
  <c r="EZ5" i="17"/>
  <c r="EZ30" i="17"/>
  <c r="EZ28" i="17"/>
  <c r="EZ26" i="17"/>
  <c r="EY20" i="17"/>
  <c r="EY17" i="17"/>
  <c r="EY16" i="17"/>
  <c r="EW10" i="17"/>
  <c r="FF21" i="17"/>
  <c r="FA20" i="17" s="1"/>
  <c r="GG12" i="17"/>
  <c r="GG50" i="17" s="1"/>
  <c r="DT22" i="17"/>
  <c r="DT14" i="17"/>
  <c r="DT16" i="17"/>
  <c r="DT18" i="17"/>
  <c r="DT24" i="17"/>
  <c r="DT13" i="17"/>
  <c r="DT15" i="17"/>
  <c r="EB26" i="17"/>
  <c r="DT23" i="17"/>
  <c r="EB25" i="17"/>
  <c r="DW24" i="17" s="1"/>
  <c r="DS22" i="17"/>
  <c r="DS24" i="17"/>
  <c r="DS13" i="17"/>
  <c r="DS15" i="17"/>
  <c r="DS17" i="17"/>
  <c r="DS14" i="17"/>
  <c r="DS16" i="17"/>
  <c r="DS23" i="17"/>
  <c r="EN89" i="17"/>
  <c r="EN77" i="17"/>
  <c r="EN66" i="17"/>
  <c r="BA25" i="7"/>
  <c r="EB16" i="17"/>
  <c r="EB15" i="17"/>
  <c r="EB14" i="17"/>
  <c r="EA8" i="17"/>
  <c r="DZ8" i="17"/>
  <c r="EA7" i="17"/>
  <c r="DZ7" i="17"/>
  <c r="EA6" i="17"/>
  <c r="DZ6" i="17"/>
  <c r="EA5" i="17"/>
  <c r="DZ5" i="17"/>
  <c r="EA4" i="17"/>
  <c r="DZ4" i="17"/>
  <c r="DY9" i="17"/>
  <c r="DT9" i="17" s="1"/>
  <c r="BM418" i="1"/>
  <c r="BL418" i="1"/>
  <c r="BK418" i="1"/>
  <c r="BJ418" i="1"/>
  <c r="BI418" i="1"/>
  <c r="BH418" i="1"/>
  <c r="BH419" i="1" s="1"/>
  <c r="BG418" i="1"/>
  <c r="BF418" i="1"/>
  <c r="BE418" i="1"/>
  <c r="BD418" i="1"/>
  <c r="AX988" i="2"/>
  <c r="AX989" i="2" s="1"/>
  <c r="AW988" i="2"/>
  <c r="AW989" i="2" s="1"/>
  <c r="AV988" i="2"/>
  <c r="AV989" i="2" s="1"/>
  <c r="DL101" i="17" s="1"/>
  <c r="FA28" i="17" l="1"/>
  <c r="EB19" i="17"/>
  <c r="DV16" i="17"/>
  <c r="FA6" i="17"/>
  <c r="FA7" i="17"/>
  <c r="DV15" i="17"/>
  <c r="FA9" i="17"/>
  <c r="DV14" i="17"/>
  <c r="BF419" i="1"/>
  <c r="BE419" i="1"/>
  <c r="BK419" i="1"/>
  <c r="EN56" i="17"/>
  <c r="DW47" i="17"/>
  <c r="FA25" i="17"/>
  <c r="DV17" i="17"/>
  <c r="DU16" i="17"/>
  <c r="EA9" i="17"/>
  <c r="DV9" i="17" s="1"/>
  <c r="FA21" i="17"/>
  <c r="FA16" i="17"/>
  <c r="FA17" i="17"/>
  <c r="EJ57" i="17"/>
  <c r="FO122" i="17"/>
  <c r="FP122" i="17" s="1"/>
  <c r="FA31" i="17"/>
  <c r="FA30" i="17"/>
  <c r="EK58" i="17"/>
  <c r="FQ120" i="17"/>
  <c r="FP124" i="17"/>
  <c r="FH56" i="17"/>
  <c r="FG62" i="17"/>
  <c r="EY62" i="17"/>
  <c r="EY60" i="17"/>
  <c r="EY59" i="17"/>
  <c r="EY58" i="17"/>
  <c r="EY57" i="17"/>
  <c r="EY61" i="17"/>
  <c r="DV4" i="17"/>
  <c r="FA18" i="17"/>
  <c r="FA4" i="17"/>
  <c r="FA8" i="17"/>
  <c r="FA29" i="17"/>
  <c r="FA26" i="17"/>
  <c r="FO124" i="17"/>
  <c r="DV23" i="17"/>
  <c r="DU15" i="17"/>
  <c r="DU13" i="17"/>
  <c r="EL57" i="17"/>
  <c r="EM58" i="17"/>
  <c r="DU25" i="17"/>
  <c r="DU23" i="17"/>
  <c r="DU22" i="17"/>
  <c r="DT36" i="17"/>
  <c r="DU29" i="17"/>
  <c r="FQ121" i="17"/>
  <c r="FA5" i="17"/>
  <c r="FA19" i="17"/>
  <c r="FA10" i="17"/>
  <c r="DV24" i="17"/>
  <c r="DU17" i="17"/>
  <c r="DV22" i="17"/>
  <c r="DU14" i="17"/>
  <c r="FT124" i="17"/>
  <c r="DT4" i="17"/>
  <c r="DT6" i="17"/>
  <c r="DT8" i="17"/>
  <c r="DT5" i="17"/>
  <c r="DT7" i="17"/>
  <c r="EB18" i="17"/>
  <c r="DW14" i="17" s="1"/>
  <c r="DW25" i="17"/>
  <c r="DW22" i="17"/>
  <c r="DW23" i="17"/>
  <c r="EN90" i="17"/>
  <c r="EN78" i="17"/>
  <c r="EN67" i="17"/>
  <c r="DZ35" i="17"/>
  <c r="DZ34" i="17"/>
  <c r="DZ33" i="17"/>
  <c r="DZ32" i="17"/>
  <c r="DZ31" i="17"/>
  <c r="DZ30" i="17"/>
  <c r="EB5" i="17"/>
  <c r="EB6" i="17"/>
  <c r="EB7" i="17"/>
  <c r="EB8" i="17"/>
  <c r="DX9" i="17"/>
  <c r="DZ9" i="17"/>
  <c r="DU9" i="17" s="1"/>
  <c r="EB4" i="17"/>
  <c r="DL52" i="17"/>
  <c r="DL91" i="17"/>
  <c r="DL78" i="17"/>
  <c r="DL65" i="17"/>
  <c r="AU988" i="2"/>
  <c r="AU989" i="2" s="1"/>
  <c r="DL39" i="17" s="1"/>
  <c r="DO5" i="17"/>
  <c r="DN5" i="17"/>
  <c r="DO4" i="17"/>
  <c r="DN4" i="17"/>
  <c r="CV40" i="17"/>
  <c r="CV31" i="17"/>
  <c r="CV22" i="17"/>
  <c r="CV13" i="17"/>
  <c r="CR53" i="17"/>
  <c r="CQ52" i="17"/>
  <c r="CP52" i="17"/>
  <c r="CQ51" i="17"/>
  <c r="CP51" i="17"/>
  <c r="CQ50" i="17"/>
  <c r="CQ54" i="17" s="1"/>
  <c r="CP50" i="17"/>
  <c r="CP54" i="17" s="1"/>
  <c r="CO54" i="17"/>
  <c r="CN54" i="17"/>
  <c r="CR44" i="17"/>
  <c r="CQ43" i="17"/>
  <c r="CP43" i="17"/>
  <c r="CQ42" i="17"/>
  <c r="CP42" i="17"/>
  <c r="CQ41" i="17"/>
  <c r="CQ45" i="17" s="1"/>
  <c r="CP41" i="17"/>
  <c r="CP45" i="17" s="1"/>
  <c r="CO45" i="17"/>
  <c r="CN45" i="17"/>
  <c r="CR35" i="17"/>
  <c r="CQ36" i="17"/>
  <c r="CP36" i="17"/>
  <c r="CO36" i="17"/>
  <c r="CN36" i="17"/>
  <c r="CQ26" i="17"/>
  <c r="CP26" i="17"/>
  <c r="CQ27" i="17"/>
  <c r="CP27" i="17"/>
  <c r="CO27" i="17"/>
  <c r="CN27" i="17"/>
  <c r="CL17" i="17"/>
  <c r="CK17" i="17"/>
  <c r="CL16" i="17"/>
  <c r="CK16" i="17"/>
  <c r="CL15" i="17"/>
  <c r="CK15" i="17"/>
  <c r="CL14" i="17"/>
  <c r="CK14" i="17"/>
  <c r="CL9" i="17"/>
  <c r="CK9" i="17"/>
  <c r="CL8" i="17"/>
  <c r="CK8" i="17"/>
  <c r="CL7" i="17"/>
  <c r="CK7" i="17"/>
  <c r="CL6" i="17"/>
  <c r="CK6" i="17"/>
  <c r="CL5" i="17"/>
  <c r="CK5" i="17"/>
  <c r="CL4" i="17"/>
  <c r="CL10" i="17" s="1"/>
  <c r="CK4" i="17"/>
  <c r="CK10" i="17" s="1"/>
  <c r="CJ10" i="17"/>
  <c r="CI10" i="17"/>
  <c r="CE29" i="17"/>
  <c r="CD29" i="17"/>
  <c r="CE28" i="17"/>
  <c r="CD28" i="17"/>
  <c r="CE27" i="17"/>
  <c r="CD27" i="17"/>
  <c r="CE26" i="17"/>
  <c r="CD26" i="17"/>
  <c r="CE25" i="17"/>
  <c r="CD25" i="17"/>
  <c r="CE24" i="17"/>
  <c r="CD24" i="17"/>
  <c r="CE18" i="17"/>
  <c r="CD18" i="17"/>
  <c r="CE14" i="17"/>
  <c r="CD14" i="17"/>
  <c r="CE8" i="17"/>
  <c r="CD8" i="17"/>
  <c r="CE4" i="17"/>
  <c r="CD4" i="17"/>
  <c r="CD5" i="17" s="1"/>
  <c r="BM419" i="1" l="1"/>
  <c r="DV8" i="17"/>
  <c r="DV6" i="17"/>
  <c r="DV5" i="17"/>
  <c r="DV7" i="17"/>
  <c r="EM59" i="17"/>
  <c r="EZ62" i="17"/>
  <c r="EZ59" i="17"/>
  <c r="EZ58" i="17"/>
  <c r="EZ57" i="17"/>
  <c r="EZ61" i="17"/>
  <c r="EZ60" i="17"/>
  <c r="FR120" i="17"/>
  <c r="EZ56" i="17"/>
  <c r="DU7" i="17"/>
  <c r="DU5" i="17"/>
  <c r="DV29" i="17"/>
  <c r="DU36" i="17"/>
  <c r="EL58" i="17"/>
  <c r="FH62" i="17"/>
  <c r="FA56" i="17" s="1"/>
  <c r="FI56" i="17"/>
  <c r="FK56" i="17" s="1"/>
  <c r="FK62" i="17" s="1"/>
  <c r="EK59" i="17"/>
  <c r="EN57" i="17"/>
  <c r="EJ58" i="17"/>
  <c r="FR121" i="17"/>
  <c r="FQ122" i="17"/>
  <c r="DU8" i="17"/>
  <c r="DU6" i="17"/>
  <c r="DU4" i="17"/>
  <c r="FN124" i="17"/>
  <c r="DS9" i="17"/>
  <c r="DS7" i="17"/>
  <c r="DS5" i="17"/>
  <c r="DS8" i="17"/>
  <c r="DS6" i="17"/>
  <c r="DS4" i="17"/>
  <c r="DW15" i="17"/>
  <c r="DW16" i="17"/>
  <c r="DW18" i="17"/>
  <c r="DW13" i="17"/>
  <c r="DW17" i="17"/>
  <c r="EN91" i="17"/>
  <c r="EN79" i="17"/>
  <c r="EN68" i="17"/>
  <c r="EB10" i="17"/>
  <c r="EB9" i="17"/>
  <c r="DW9" i="17" s="1"/>
  <c r="CM9" i="17"/>
  <c r="CR45" i="17"/>
  <c r="CM45" i="17" s="1"/>
  <c r="CR42" i="17"/>
  <c r="CR43" i="17"/>
  <c r="CM43" i="17" s="1"/>
  <c r="CM14" i="17"/>
  <c r="CF4" i="17"/>
  <c r="CF18" i="17"/>
  <c r="CA18" i="17" s="1"/>
  <c r="CM6" i="17"/>
  <c r="CM8" i="17"/>
  <c r="CK45" i="17"/>
  <c r="CF24" i="17"/>
  <c r="BU24" i="17" s="1"/>
  <c r="CM5" i="17"/>
  <c r="CM7" i="17"/>
  <c r="CD6" i="17"/>
  <c r="CE5" i="17"/>
  <c r="CF25" i="17"/>
  <c r="BU25" i="17" s="1"/>
  <c r="CM15" i="17"/>
  <c r="CM16" i="17"/>
  <c r="CM17" i="17"/>
  <c r="CR24" i="17"/>
  <c r="CR25" i="17"/>
  <c r="CR26" i="17"/>
  <c r="CR36" i="17"/>
  <c r="CK36" i="17" s="1"/>
  <c r="CR33" i="17"/>
  <c r="CR34" i="17"/>
  <c r="CM34" i="17" s="1"/>
  <c r="CR54" i="17"/>
  <c r="CK52" i="17" s="1"/>
  <c r="CR51" i="17"/>
  <c r="CR52" i="17"/>
  <c r="CM52" i="17" s="1"/>
  <c r="CI32" i="17"/>
  <c r="CJ41" i="17"/>
  <c r="CI42" i="17"/>
  <c r="CK44" i="17"/>
  <c r="DP4" i="17"/>
  <c r="DM6" i="17"/>
  <c r="DH6" i="17" s="1"/>
  <c r="DO6" i="17"/>
  <c r="DJ6" i="17" s="1"/>
  <c r="CC30" i="17"/>
  <c r="CE30" i="17"/>
  <c r="CK41" i="17"/>
  <c r="CL42" i="17"/>
  <c r="CJ44" i="17"/>
  <c r="CI45" i="17"/>
  <c r="DL6" i="17"/>
  <c r="DG5" i="17" s="1"/>
  <c r="DN6" i="17"/>
  <c r="DP5" i="17"/>
  <c r="CR50" i="17"/>
  <c r="CR41" i="17"/>
  <c r="CR32" i="17"/>
  <c r="CR27" i="17"/>
  <c r="CM27" i="17" s="1"/>
  <c r="CR23" i="17"/>
  <c r="CJ18" i="17"/>
  <c r="CL18" i="17"/>
  <c r="CI18" i="17"/>
  <c r="CK18" i="17"/>
  <c r="CM10" i="17"/>
  <c r="CM4" i="17"/>
  <c r="CF29" i="17"/>
  <c r="BU29" i="17" s="1"/>
  <c r="CD30" i="17"/>
  <c r="CB30" i="17"/>
  <c r="CF28" i="17"/>
  <c r="BU28" i="17" s="1"/>
  <c r="CF27" i="17"/>
  <c r="BU27" i="17" s="1"/>
  <c r="CF26" i="17"/>
  <c r="BU26" i="17" s="1"/>
  <c r="CD15" i="17"/>
  <c r="CE15" i="17"/>
  <c r="CF14" i="17"/>
  <c r="CA14" i="17" s="1"/>
  <c r="CF8" i="17"/>
  <c r="BF164" i="17"/>
  <c r="BF154" i="17"/>
  <c r="BF144" i="17"/>
  <c r="BF134" i="17"/>
  <c r="BF124" i="17"/>
  <c r="BF114" i="17"/>
  <c r="BF104" i="17"/>
  <c r="BM101" i="17"/>
  <c r="BY18" i="17" l="1"/>
  <c r="BZ18" i="17"/>
  <c r="FR122" i="17"/>
  <c r="BW18" i="17"/>
  <c r="CI54" i="17"/>
  <c r="BX18" i="17"/>
  <c r="EJ59" i="17"/>
  <c r="EN58" i="17"/>
  <c r="EL59" i="17"/>
  <c r="FS120" i="17"/>
  <c r="FR124" i="17"/>
  <c r="FS121" i="17"/>
  <c r="FU121" i="17" s="1"/>
  <c r="EK60" i="17"/>
  <c r="EK62" i="17" s="1"/>
  <c r="FI62" i="17"/>
  <c r="FB56" i="17" s="1"/>
  <c r="FA62" i="17"/>
  <c r="FA58" i="17"/>
  <c r="FA57" i="17"/>
  <c r="FA61" i="17"/>
  <c r="FA60" i="17"/>
  <c r="FA59" i="17"/>
  <c r="DV36" i="17"/>
  <c r="DW29" i="17"/>
  <c r="EM60" i="17"/>
  <c r="CM11" i="17"/>
  <c r="CL50" i="17"/>
  <c r="CL44" i="17"/>
  <c r="CI43" i="17"/>
  <c r="CJ42" i="17"/>
  <c r="CI41" i="17"/>
  <c r="CK50" i="17"/>
  <c r="CI44" i="17"/>
  <c r="CL41" i="17"/>
  <c r="CJ43" i="17"/>
  <c r="FQ124" i="17"/>
  <c r="DW6" i="17"/>
  <c r="DW5" i="17"/>
  <c r="DW4" i="17"/>
  <c r="DW8" i="17"/>
  <c r="DW7" i="17"/>
  <c r="EN92" i="17"/>
  <c r="EN80" i="17"/>
  <c r="EN69" i="17"/>
  <c r="CL32" i="17"/>
  <c r="CK43" i="17"/>
  <c r="CJ45" i="17"/>
  <c r="CK42" i="17"/>
  <c r="CJ50" i="17"/>
  <c r="CI52" i="17"/>
  <c r="CI50" i="17"/>
  <c r="CM51" i="17"/>
  <c r="CL43" i="17"/>
  <c r="CL45" i="17"/>
  <c r="CM44" i="17"/>
  <c r="CM42" i="17"/>
  <c r="CI23" i="17"/>
  <c r="CJ23" i="17"/>
  <c r="CM25" i="17"/>
  <c r="CM19" i="17"/>
  <c r="CL52" i="17"/>
  <c r="CL54" i="17"/>
  <c r="CI25" i="17"/>
  <c r="CI34" i="17"/>
  <c r="CI24" i="17"/>
  <c r="CF5" i="17"/>
  <c r="CL51" i="17"/>
  <c r="CR46" i="17"/>
  <c r="CM41" i="17"/>
  <c r="DP6" i="17"/>
  <c r="DK6" i="17" s="1"/>
  <c r="DI6" i="17"/>
  <c r="DI4" i="17"/>
  <c r="CM53" i="17"/>
  <c r="CK53" i="17"/>
  <c r="CI53" i="17"/>
  <c r="CK51" i="17"/>
  <c r="CI51" i="17"/>
  <c r="CM54" i="17"/>
  <c r="CL53" i="17"/>
  <c r="CJ53" i="17"/>
  <c r="CE6" i="17"/>
  <c r="CJ32" i="17"/>
  <c r="CK23" i="17"/>
  <c r="CI36" i="17"/>
  <c r="CK32" i="17"/>
  <c r="CI26" i="17"/>
  <c r="CL23" i="17"/>
  <c r="CM33" i="17"/>
  <c r="CM26" i="17"/>
  <c r="CM24" i="17"/>
  <c r="CJ52" i="17"/>
  <c r="CJ51" i="17"/>
  <c r="CJ54" i="17"/>
  <c r="CJ34" i="17"/>
  <c r="CJ33" i="17"/>
  <c r="CJ36" i="17"/>
  <c r="CJ26" i="17"/>
  <c r="CJ25" i="17"/>
  <c r="CJ24" i="17"/>
  <c r="CJ27" i="17"/>
  <c r="BX14" i="17"/>
  <c r="DJ5" i="17"/>
  <c r="DJ4" i="17"/>
  <c r="CK54" i="17"/>
  <c r="CK25" i="17"/>
  <c r="CK27" i="17"/>
  <c r="BW14" i="17"/>
  <c r="CR28" i="17"/>
  <c r="CM23" i="17"/>
  <c r="CR37" i="17"/>
  <c r="CM32" i="17"/>
  <c r="CR55" i="17"/>
  <c r="CM50" i="17"/>
  <c r="DG6" i="17"/>
  <c r="DP7" i="17"/>
  <c r="CM35" i="17"/>
  <c r="CK35" i="17"/>
  <c r="CI35" i="17"/>
  <c r="CK33" i="17"/>
  <c r="CI33" i="17"/>
  <c r="CM36" i="17"/>
  <c r="CL35" i="17"/>
  <c r="CJ35" i="17"/>
  <c r="CD7" i="17"/>
  <c r="DI5" i="17"/>
  <c r="DH4" i="17"/>
  <c r="CL34" i="17"/>
  <c r="CL33" i="17"/>
  <c r="CL36" i="17"/>
  <c r="CL26" i="17"/>
  <c r="CL25" i="17"/>
  <c r="CL24" i="17"/>
  <c r="CL27" i="17"/>
  <c r="BZ14" i="17"/>
  <c r="DH5" i="17"/>
  <c r="DG4" i="17"/>
  <c r="CK34" i="17"/>
  <c r="CK26" i="17"/>
  <c r="CK24" i="17"/>
  <c r="CI27" i="17"/>
  <c r="BY14" i="17"/>
  <c r="CM18" i="17"/>
  <c r="CF31" i="17"/>
  <c r="CF30" i="17"/>
  <c r="BZ30" i="17" s="1"/>
  <c r="CD16" i="17"/>
  <c r="CE16" i="17"/>
  <c r="CF15" i="17"/>
  <c r="CA15" i="17" s="1"/>
  <c r="BM12" i="17"/>
  <c r="BM10" i="17"/>
  <c r="BF22" i="17" s="1"/>
  <c r="BS10" i="17"/>
  <c r="BF88" i="17" s="1"/>
  <c r="BS4" i="17"/>
  <c r="BM4" i="17"/>
  <c r="AL294" i="17"/>
  <c r="AL282" i="17"/>
  <c r="FK63" i="17" l="1"/>
  <c r="CM46" i="17"/>
  <c r="FS122" i="17"/>
  <c r="FU122" i="17" s="1"/>
  <c r="EM62" i="17"/>
  <c r="EH60" i="17" s="1"/>
  <c r="EF62" i="17"/>
  <c r="EF56" i="17"/>
  <c r="EF61" i="17"/>
  <c r="EF55" i="17"/>
  <c r="EF57" i="17"/>
  <c r="EF58" i="17"/>
  <c r="EJ60" i="17"/>
  <c r="EN59" i="17"/>
  <c r="EF60" i="17"/>
  <c r="DW36" i="17"/>
  <c r="DX29" i="17"/>
  <c r="DX36" i="17" s="1"/>
  <c r="FB62" i="17"/>
  <c r="FB58" i="17"/>
  <c r="FB60" i="17"/>
  <c r="FB57" i="17"/>
  <c r="FB59" i="17"/>
  <c r="FB61" i="17"/>
  <c r="FU120" i="17"/>
  <c r="FU124" i="17" s="1"/>
  <c r="EL60" i="17"/>
  <c r="EF59" i="17"/>
  <c r="EN93" i="17"/>
  <c r="EN81" i="17"/>
  <c r="EL84" i="17"/>
  <c r="EG94" i="17" s="1"/>
  <c r="EK73" i="17"/>
  <c r="EN70" i="17"/>
  <c r="CM55" i="17"/>
  <c r="CM28" i="17"/>
  <c r="DK4" i="17"/>
  <c r="DK5" i="17"/>
  <c r="BN10" i="17"/>
  <c r="BF33" i="17" s="1"/>
  <c r="BM5" i="17"/>
  <c r="BN4" i="17"/>
  <c r="BF16" i="17"/>
  <c r="BS5" i="17"/>
  <c r="BF82" i="17"/>
  <c r="CF6" i="17"/>
  <c r="BW30" i="17"/>
  <c r="BY30" i="17"/>
  <c r="CA26" i="17"/>
  <c r="BW15" i="17"/>
  <c r="CD9" i="17"/>
  <c r="BY29" i="17"/>
  <c r="BW29" i="17"/>
  <c r="CA30" i="17"/>
  <c r="BY24" i="17"/>
  <c r="BW26" i="17"/>
  <c r="BW27" i="17"/>
  <c r="BW28" i="17"/>
  <c r="BZ24" i="17"/>
  <c r="BZ25" i="17"/>
  <c r="BZ26" i="17"/>
  <c r="BZ27" i="17"/>
  <c r="BZ28" i="17"/>
  <c r="BZ29" i="17"/>
  <c r="CA24" i="17"/>
  <c r="BY25" i="17"/>
  <c r="BY26" i="17"/>
  <c r="BY27" i="17"/>
  <c r="BY28" i="17"/>
  <c r="BX24" i="17"/>
  <c r="BX25" i="17"/>
  <c r="BX26" i="17"/>
  <c r="BX27" i="17"/>
  <c r="BX28" i="17"/>
  <c r="BX29" i="17"/>
  <c r="BW24" i="17"/>
  <c r="BW25" i="17"/>
  <c r="CB9" i="17"/>
  <c r="CE7" i="17"/>
  <c r="CE9" i="17" s="1"/>
  <c r="CA25" i="17"/>
  <c r="CA29" i="17"/>
  <c r="CA27" i="17"/>
  <c r="CM37" i="17"/>
  <c r="BX30" i="17"/>
  <c r="CA28" i="17"/>
  <c r="BX15" i="17"/>
  <c r="BZ15" i="17"/>
  <c r="BY15" i="17"/>
  <c r="CD17" i="17"/>
  <c r="CD19" i="17" s="1"/>
  <c r="CF16" i="17"/>
  <c r="CA16" i="17" s="1"/>
  <c r="CE17" i="17"/>
  <c r="CC19" i="17"/>
  <c r="AL198" i="17"/>
  <c r="AL186" i="17"/>
  <c r="AM14" i="17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6" i="2"/>
  <c r="BC45" i="2"/>
  <c r="BC44" i="2"/>
  <c r="BC43" i="2"/>
  <c r="BC42" i="2"/>
  <c r="BC41" i="2"/>
  <c r="BC40" i="2"/>
  <c r="BC39" i="2"/>
  <c r="BC38" i="2"/>
  <c r="BC37" i="2"/>
  <c r="BC36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987" i="2"/>
  <c r="BC986" i="2"/>
  <c r="BC985" i="2"/>
  <c r="BC984" i="2"/>
  <c r="BC983" i="2"/>
  <c r="BC982" i="2"/>
  <c r="BC981" i="2"/>
  <c r="BC980" i="2"/>
  <c r="BC979" i="2"/>
  <c r="BC978" i="2"/>
  <c r="BC977" i="2"/>
  <c r="BC976" i="2"/>
  <c r="BC975" i="2"/>
  <c r="BC974" i="2"/>
  <c r="BC973" i="2"/>
  <c r="BC972" i="2"/>
  <c r="BC971" i="2"/>
  <c r="BC970" i="2"/>
  <c r="BC969" i="2"/>
  <c r="BC968" i="2"/>
  <c r="BC967" i="2"/>
  <c r="BC966" i="2"/>
  <c r="BC965" i="2"/>
  <c r="BC964" i="2"/>
  <c r="BC963" i="2"/>
  <c r="BC962" i="2"/>
  <c r="BC961" i="2"/>
  <c r="BC960" i="2"/>
  <c r="BC959" i="2"/>
  <c r="BC958" i="2"/>
  <c r="BC957" i="2"/>
  <c r="BC956" i="2"/>
  <c r="BC955" i="2"/>
  <c r="BC954" i="2"/>
  <c r="BC953" i="2"/>
  <c r="BC952" i="2"/>
  <c r="BC951" i="2"/>
  <c r="BC950" i="2"/>
  <c r="BC949" i="2"/>
  <c r="BC948" i="2"/>
  <c r="BC947" i="2"/>
  <c r="BC946" i="2"/>
  <c r="BC945" i="2"/>
  <c r="BC944" i="2"/>
  <c r="BC943" i="2"/>
  <c r="BC942" i="2"/>
  <c r="BC941" i="2"/>
  <c r="BC940" i="2"/>
  <c r="BC939" i="2"/>
  <c r="BC938" i="2"/>
  <c r="BC937" i="2"/>
  <c r="BC936" i="2"/>
  <c r="BC935" i="2"/>
  <c r="BC934" i="2"/>
  <c r="BC933" i="2"/>
  <c r="BC932" i="2"/>
  <c r="BC931" i="2"/>
  <c r="BC930" i="2"/>
  <c r="BC929" i="2"/>
  <c r="BC928" i="2"/>
  <c r="BC927" i="2"/>
  <c r="BC926" i="2"/>
  <c r="BC925" i="2"/>
  <c r="BC924" i="2"/>
  <c r="BC923" i="2"/>
  <c r="BC922" i="2"/>
  <c r="BC921" i="2"/>
  <c r="BC920" i="2"/>
  <c r="BC919" i="2"/>
  <c r="BC918" i="2"/>
  <c r="BC917" i="2"/>
  <c r="BC916" i="2"/>
  <c r="BC915" i="2"/>
  <c r="BC914" i="2"/>
  <c r="BC913" i="2"/>
  <c r="BC912" i="2"/>
  <c r="BC911" i="2"/>
  <c r="BC910" i="2"/>
  <c r="BC909" i="2"/>
  <c r="BC908" i="2"/>
  <c r="BC907" i="2"/>
  <c r="BC906" i="2"/>
  <c r="BC905" i="2"/>
  <c r="BC904" i="2"/>
  <c r="BC903" i="2"/>
  <c r="BC902" i="2"/>
  <c r="BC901" i="2"/>
  <c r="BC900" i="2"/>
  <c r="BC899" i="2"/>
  <c r="BC898" i="2"/>
  <c r="BC897" i="2"/>
  <c r="BC896" i="2"/>
  <c r="BC895" i="2"/>
  <c r="BC894" i="2"/>
  <c r="BC893" i="2"/>
  <c r="BC892" i="2"/>
  <c r="BC891" i="2"/>
  <c r="BC890" i="2"/>
  <c r="BC889" i="2"/>
  <c r="BC888" i="2"/>
  <c r="BC887" i="2"/>
  <c r="BC886" i="2"/>
  <c r="BC885" i="2"/>
  <c r="BC884" i="2"/>
  <c r="BC883" i="2"/>
  <c r="BC882" i="2"/>
  <c r="BC881" i="2"/>
  <c r="BC880" i="2"/>
  <c r="BC879" i="2"/>
  <c r="BC878" i="2"/>
  <c r="BC877" i="2"/>
  <c r="BC876" i="2"/>
  <c r="BC875" i="2"/>
  <c r="BC874" i="2"/>
  <c r="BC873" i="2"/>
  <c r="BC872" i="2"/>
  <c r="BC871" i="2"/>
  <c r="BC870" i="2"/>
  <c r="BC869" i="2"/>
  <c r="BC868" i="2"/>
  <c r="BC867" i="2"/>
  <c r="BC866" i="2"/>
  <c r="BC865" i="2"/>
  <c r="BC864" i="2"/>
  <c r="BC863" i="2"/>
  <c r="BC862" i="2"/>
  <c r="BC861" i="2"/>
  <c r="BC860" i="2"/>
  <c r="BC859" i="2"/>
  <c r="BC858" i="2"/>
  <c r="BC857" i="2"/>
  <c r="BC856" i="2"/>
  <c r="BC855" i="2"/>
  <c r="BC854" i="2"/>
  <c r="BC853" i="2"/>
  <c r="BC852" i="2"/>
  <c r="BC851" i="2"/>
  <c r="BC850" i="2"/>
  <c r="BC849" i="2"/>
  <c r="BC848" i="2"/>
  <c r="BC847" i="2"/>
  <c r="BC846" i="2"/>
  <c r="BC845" i="2"/>
  <c r="BC844" i="2"/>
  <c r="BC843" i="2"/>
  <c r="BC842" i="2"/>
  <c r="BC841" i="2"/>
  <c r="BC840" i="2"/>
  <c r="BC839" i="2"/>
  <c r="BC838" i="2"/>
  <c r="BC837" i="2"/>
  <c r="BC836" i="2"/>
  <c r="BC835" i="2"/>
  <c r="BC834" i="2"/>
  <c r="BC833" i="2"/>
  <c r="BC832" i="2"/>
  <c r="BC831" i="2"/>
  <c r="BC830" i="2"/>
  <c r="BC829" i="2"/>
  <c r="BC828" i="2"/>
  <c r="BC827" i="2"/>
  <c r="BC826" i="2"/>
  <c r="BC825" i="2"/>
  <c r="BC824" i="2"/>
  <c r="BC823" i="2"/>
  <c r="BC822" i="2"/>
  <c r="BC821" i="2"/>
  <c r="BC820" i="2"/>
  <c r="BC819" i="2"/>
  <c r="BC818" i="2"/>
  <c r="BC817" i="2"/>
  <c r="BC816" i="2"/>
  <c r="BC815" i="2"/>
  <c r="BC814" i="2"/>
  <c r="BC813" i="2"/>
  <c r="BC812" i="2"/>
  <c r="BC811" i="2"/>
  <c r="BC810" i="2"/>
  <c r="BC809" i="2"/>
  <c r="BC808" i="2"/>
  <c r="BC807" i="2"/>
  <c r="BC806" i="2"/>
  <c r="BC805" i="2"/>
  <c r="BC804" i="2"/>
  <c r="BC803" i="2"/>
  <c r="BC802" i="2"/>
  <c r="BC801" i="2"/>
  <c r="BC800" i="2"/>
  <c r="BC799" i="2"/>
  <c r="BC798" i="2"/>
  <c r="BC797" i="2"/>
  <c r="BC796" i="2"/>
  <c r="BC795" i="2"/>
  <c r="BC794" i="2"/>
  <c r="BC793" i="2"/>
  <c r="BC792" i="2"/>
  <c r="BC791" i="2"/>
  <c r="BC790" i="2"/>
  <c r="BC789" i="2"/>
  <c r="BC788" i="2"/>
  <c r="BC787" i="2"/>
  <c r="BC786" i="2"/>
  <c r="BC785" i="2"/>
  <c r="BC784" i="2"/>
  <c r="BC783" i="2"/>
  <c r="BC782" i="2"/>
  <c r="BC781" i="2"/>
  <c r="BC780" i="2"/>
  <c r="BC779" i="2"/>
  <c r="BC778" i="2"/>
  <c r="BC777" i="2"/>
  <c r="BC776" i="2"/>
  <c r="BC775" i="2"/>
  <c r="BC774" i="2"/>
  <c r="BC773" i="2"/>
  <c r="BC772" i="2"/>
  <c r="BC771" i="2"/>
  <c r="BC770" i="2"/>
  <c r="BC769" i="2"/>
  <c r="BC768" i="2"/>
  <c r="BC767" i="2"/>
  <c r="BC766" i="2"/>
  <c r="BC765" i="2"/>
  <c r="BC764" i="2"/>
  <c r="BC763" i="2"/>
  <c r="BC762" i="2"/>
  <c r="BC761" i="2"/>
  <c r="BC760" i="2"/>
  <c r="BC759" i="2"/>
  <c r="BC758" i="2"/>
  <c r="BC757" i="2"/>
  <c r="BC756" i="2"/>
  <c r="BC755" i="2"/>
  <c r="BC754" i="2"/>
  <c r="BC753" i="2"/>
  <c r="BC752" i="2"/>
  <c r="BC751" i="2"/>
  <c r="BC750" i="2"/>
  <c r="BC749" i="2"/>
  <c r="BC748" i="2"/>
  <c r="BC747" i="2"/>
  <c r="BC746" i="2"/>
  <c r="BC745" i="2"/>
  <c r="BC744" i="2"/>
  <c r="BC743" i="2"/>
  <c r="BC742" i="2"/>
  <c r="BC741" i="2"/>
  <c r="BC740" i="2"/>
  <c r="BC739" i="2"/>
  <c r="BC738" i="2"/>
  <c r="BC737" i="2"/>
  <c r="BC736" i="2"/>
  <c r="BC735" i="2"/>
  <c r="BC734" i="2"/>
  <c r="BC733" i="2"/>
  <c r="BC732" i="2"/>
  <c r="BC731" i="2"/>
  <c r="BC730" i="2"/>
  <c r="BC729" i="2"/>
  <c r="BC728" i="2"/>
  <c r="BC727" i="2"/>
  <c r="BC726" i="2"/>
  <c r="BC725" i="2"/>
  <c r="BC724" i="2"/>
  <c r="BC723" i="2"/>
  <c r="BC722" i="2"/>
  <c r="BC721" i="2"/>
  <c r="BC720" i="2"/>
  <c r="BC719" i="2"/>
  <c r="BC718" i="2"/>
  <c r="BC717" i="2"/>
  <c r="BC716" i="2"/>
  <c r="BC715" i="2"/>
  <c r="BC714" i="2"/>
  <c r="BC713" i="2"/>
  <c r="BC712" i="2"/>
  <c r="BC711" i="2"/>
  <c r="BC710" i="2"/>
  <c r="BC709" i="2"/>
  <c r="BC708" i="2"/>
  <c r="BC707" i="2"/>
  <c r="BC706" i="2"/>
  <c r="BC705" i="2"/>
  <c r="BC704" i="2"/>
  <c r="BC703" i="2"/>
  <c r="BC702" i="2"/>
  <c r="BC701" i="2"/>
  <c r="BC700" i="2"/>
  <c r="BC699" i="2"/>
  <c r="BC698" i="2"/>
  <c r="BC697" i="2"/>
  <c r="BC696" i="2"/>
  <c r="BC695" i="2"/>
  <c r="BC694" i="2"/>
  <c r="BC693" i="2"/>
  <c r="BC692" i="2"/>
  <c r="BC691" i="2"/>
  <c r="BC690" i="2"/>
  <c r="BC689" i="2"/>
  <c r="BC688" i="2"/>
  <c r="BC687" i="2"/>
  <c r="BC686" i="2"/>
  <c r="BC685" i="2"/>
  <c r="BC684" i="2"/>
  <c r="BC683" i="2"/>
  <c r="BC682" i="2"/>
  <c r="BC681" i="2"/>
  <c r="BC680" i="2"/>
  <c r="BC679" i="2"/>
  <c r="BC678" i="2"/>
  <c r="BC677" i="2"/>
  <c r="BC676" i="2"/>
  <c r="BC675" i="2"/>
  <c r="BC674" i="2"/>
  <c r="BC673" i="2"/>
  <c r="BC672" i="2"/>
  <c r="BC671" i="2"/>
  <c r="BC670" i="2"/>
  <c r="BC669" i="2"/>
  <c r="BC668" i="2"/>
  <c r="BC667" i="2"/>
  <c r="BC666" i="2"/>
  <c r="BC665" i="2"/>
  <c r="BC664" i="2"/>
  <c r="BC663" i="2"/>
  <c r="BC662" i="2"/>
  <c r="BC661" i="2"/>
  <c r="BC660" i="2"/>
  <c r="BC659" i="2"/>
  <c r="BC658" i="2"/>
  <c r="BC657" i="2"/>
  <c r="BC656" i="2"/>
  <c r="BC655" i="2"/>
  <c r="BC654" i="2"/>
  <c r="BC653" i="2"/>
  <c r="BC652" i="2"/>
  <c r="BC651" i="2"/>
  <c r="BC650" i="2"/>
  <c r="BC649" i="2"/>
  <c r="BC648" i="2"/>
  <c r="BC647" i="2"/>
  <c r="BC646" i="2"/>
  <c r="BC645" i="2"/>
  <c r="BC644" i="2"/>
  <c r="BC643" i="2"/>
  <c r="BC642" i="2"/>
  <c r="BC641" i="2"/>
  <c r="BC640" i="2"/>
  <c r="BC639" i="2"/>
  <c r="BC638" i="2"/>
  <c r="BC637" i="2"/>
  <c r="BC636" i="2"/>
  <c r="BC635" i="2"/>
  <c r="BC634" i="2"/>
  <c r="BC633" i="2"/>
  <c r="BC632" i="2"/>
  <c r="BC631" i="2"/>
  <c r="BC630" i="2"/>
  <c r="BC629" i="2"/>
  <c r="BC628" i="2"/>
  <c r="BC627" i="2"/>
  <c r="BC626" i="2"/>
  <c r="BC625" i="2"/>
  <c r="BC624" i="2"/>
  <c r="BC623" i="2"/>
  <c r="BC622" i="2"/>
  <c r="BC621" i="2"/>
  <c r="BC620" i="2"/>
  <c r="BC619" i="2"/>
  <c r="BC618" i="2"/>
  <c r="BC617" i="2"/>
  <c r="BC616" i="2"/>
  <c r="BC615" i="2"/>
  <c r="BC614" i="2"/>
  <c r="BC613" i="2"/>
  <c r="BC612" i="2"/>
  <c r="BC611" i="2"/>
  <c r="BC610" i="2"/>
  <c r="BC609" i="2"/>
  <c r="BC608" i="2"/>
  <c r="BC607" i="2"/>
  <c r="BC606" i="2"/>
  <c r="BC605" i="2"/>
  <c r="BC604" i="2"/>
  <c r="BC603" i="2"/>
  <c r="BC602" i="2"/>
  <c r="BC601" i="2"/>
  <c r="BC600" i="2"/>
  <c r="BC599" i="2"/>
  <c r="BC598" i="2"/>
  <c r="BC597" i="2"/>
  <c r="BC596" i="2"/>
  <c r="BC595" i="2"/>
  <c r="BC594" i="2"/>
  <c r="BC593" i="2"/>
  <c r="BC592" i="2"/>
  <c r="BC591" i="2"/>
  <c r="BC590" i="2"/>
  <c r="BC589" i="2"/>
  <c r="BC588" i="2"/>
  <c r="BC587" i="2"/>
  <c r="BC586" i="2"/>
  <c r="BC585" i="2"/>
  <c r="BC584" i="2"/>
  <c r="BC583" i="2"/>
  <c r="BC582" i="2"/>
  <c r="BC581" i="2"/>
  <c r="BC580" i="2"/>
  <c r="BC579" i="2"/>
  <c r="BC578" i="2"/>
  <c r="BC577" i="2"/>
  <c r="BC576" i="2"/>
  <c r="BC575" i="2"/>
  <c r="BC574" i="2"/>
  <c r="BC573" i="2"/>
  <c r="BC572" i="2"/>
  <c r="BC571" i="2"/>
  <c r="BC570" i="2"/>
  <c r="BC569" i="2"/>
  <c r="BC568" i="2"/>
  <c r="BC567" i="2"/>
  <c r="BC566" i="2"/>
  <c r="BC565" i="2"/>
  <c r="BC564" i="2"/>
  <c r="BC563" i="2"/>
  <c r="BC562" i="2"/>
  <c r="BC561" i="2"/>
  <c r="BC560" i="2"/>
  <c r="BC559" i="2"/>
  <c r="BC558" i="2"/>
  <c r="BC557" i="2"/>
  <c r="BC556" i="2"/>
  <c r="BC555" i="2"/>
  <c r="BC554" i="2"/>
  <c r="BC553" i="2"/>
  <c r="BC552" i="2"/>
  <c r="BC551" i="2"/>
  <c r="BC550" i="2"/>
  <c r="BC549" i="2"/>
  <c r="BC548" i="2"/>
  <c r="BC547" i="2"/>
  <c r="BC546" i="2"/>
  <c r="BC545" i="2"/>
  <c r="BC544" i="2"/>
  <c r="BC543" i="2"/>
  <c r="BC542" i="2"/>
  <c r="BC541" i="2"/>
  <c r="BC540" i="2"/>
  <c r="BC539" i="2"/>
  <c r="BC538" i="2"/>
  <c r="BC537" i="2"/>
  <c r="BC536" i="2"/>
  <c r="BC535" i="2"/>
  <c r="BC534" i="2"/>
  <c r="BC533" i="2"/>
  <c r="BC532" i="2"/>
  <c r="BC531" i="2"/>
  <c r="BC530" i="2"/>
  <c r="BC529" i="2"/>
  <c r="BC528" i="2"/>
  <c r="BC527" i="2"/>
  <c r="BC526" i="2"/>
  <c r="BC525" i="2"/>
  <c r="BC524" i="2"/>
  <c r="BC523" i="2"/>
  <c r="BC522" i="2"/>
  <c r="BC521" i="2"/>
  <c r="BC520" i="2"/>
  <c r="BC519" i="2"/>
  <c r="BC518" i="2"/>
  <c r="BC517" i="2"/>
  <c r="BC516" i="2"/>
  <c r="BC515" i="2"/>
  <c r="BC514" i="2"/>
  <c r="BC513" i="2"/>
  <c r="BC512" i="2"/>
  <c r="BC511" i="2"/>
  <c r="BC510" i="2"/>
  <c r="BC509" i="2"/>
  <c r="BC508" i="2"/>
  <c r="BC507" i="2"/>
  <c r="BC506" i="2"/>
  <c r="BC505" i="2"/>
  <c r="BC504" i="2"/>
  <c r="BC503" i="2"/>
  <c r="BC502" i="2"/>
  <c r="BC501" i="2"/>
  <c r="BC500" i="2"/>
  <c r="BC499" i="2"/>
  <c r="BC498" i="2"/>
  <c r="BC497" i="2"/>
  <c r="BC496" i="2"/>
  <c r="BC495" i="2"/>
  <c r="BC494" i="2"/>
  <c r="BC493" i="2"/>
  <c r="BC492" i="2"/>
  <c r="BC491" i="2"/>
  <c r="BC490" i="2"/>
  <c r="BC489" i="2"/>
  <c r="BC488" i="2"/>
  <c r="BC487" i="2"/>
  <c r="BC486" i="2"/>
  <c r="BC485" i="2"/>
  <c r="BC484" i="2"/>
  <c r="BC483" i="2"/>
  <c r="BC482" i="2"/>
  <c r="BC481" i="2"/>
  <c r="BC480" i="2"/>
  <c r="BC479" i="2"/>
  <c r="BC478" i="2"/>
  <c r="BC477" i="2"/>
  <c r="BC476" i="2"/>
  <c r="BC475" i="2"/>
  <c r="BC474" i="2"/>
  <c r="BC473" i="2"/>
  <c r="BC472" i="2"/>
  <c r="BC471" i="2"/>
  <c r="BC470" i="2"/>
  <c r="BC469" i="2"/>
  <c r="BC468" i="2"/>
  <c r="BC467" i="2"/>
  <c r="BC466" i="2"/>
  <c r="BC465" i="2"/>
  <c r="BC464" i="2"/>
  <c r="BC463" i="2"/>
  <c r="BC462" i="2"/>
  <c r="BC461" i="2"/>
  <c r="BC460" i="2"/>
  <c r="BC459" i="2"/>
  <c r="BC458" i="2"/>
  <c r="BC457" i="2"/>
  <c r="BC456" i="2"/>
  <c r="BC455" i="2"/>
  <c r="BC454" i="2"/>
  <c r="BC453" i="2"/>
  <c r="BC452" i="2"/>
  <c r="BC451" i="2"/>
  <c r="BC450" i="2"/>
  <c r="BC449" i="2"/>
  <c r="BC448" i="2"/>
  <c r="BC447" i="2"/>
  <c r="BC446" i="2"/>
  <c r="BC445" i="2"/>
  <c r="BC444" i="2"/>
  <c r="BC443" i="2"/>
  <c r="BC442" i="2"/>
  <c r="BC441" i="2"/>
  <c r="BC440" i="2"/>
  <c r="BC439" i="2"/>
  <c r="BC438" i="2"/>
  <c r="BC437" i="2"/>
  <c r="BC436" i="2"/>
  <c r="BC435" i="2"/>
  <c r="BC434" i="2"/>
  <c r="BC433" i="2"/>
  <c r="BC432" i="2"/>
  <c r="BC431" i="2"/>
  <c r="BC430" i="2"/>
  <c r="BC429" i="2"/>
  <c r="BC428" i="2"/>
  <c r="BC427" i="2"/>
  <c r="BC426" i="2"/>
  <c r="BC425" i="2"/>
  <c r="BC424" i="2"/>
  <c r="BC423" i="2"/>
  <c r="BC422" i="2"/>
  <c r="BC421" i="2"/>
  <c r="BC420" i="2"/>
  <c r="BC419" i="2"/>
  <c r="BC418" i="2"/>
  <c r="BC417" i="2"/>
  <c r="BC416" i="2"/>
  <c r="BC415" i="2"/>
  <c r="BC414" i="2"/>
  <c r="BC413" i="2"/>
  <c r="BC412" i="2"/>
  <c r="BC411" i="2"/>
  <c r="BC410" i="2"/>
  <c r="BC409" i="2"/>
  <c r="BC408" i="2"/>
  <c r="BC407" i="2"/>
  <c r="BC406" i="2"/>
  <c r="BC405" i="2"/>
  <c r="BC404" i="2"/>
  <c r="BC403" i="2"/>
  <c r="BC402" i="2"/>
  <c r="BC401" i="2"/>
  <c r="BC400" i="2"/>
  <c r="BC399" i="2"/>
  <c r="BC398" i="2"/>
  <c r="BC397" i="2"/>
  <c r="BC396" i="2"/>
  <c r="BC395" i="2"/>
  <c r="BC394" i="2"/>
  <c r="BC393" i="2"/>
  <c r="BC392" i="2"/>
  <c r="BC391" i="2"/>
  <c r="BC390" i="2"/>
  <c r="BC389" i="2"/>
  <c r="BC388" i="2"/>
  <c r="BC387" i="2"/>
  <c r="BC386" i="2"/>
  <c r="BC385" i="2"/>
  <c r="BC384" i="2"/>
  <c r="BC383" i="2"/>
  <c r="BC382" i="2"/>
  <c r="BC381" i="2"/>
  <c r="BC380" i="2"/>
  <c r="BC379" i="2"/>
  <c r="BC378" i="2"/>
  <c r="BC377" i="2"/>
  <c r="BC376" i="2"/>
  <c r="BC375" i="2"/>
  <c r="BC374" i="2"/>
  <c r="BC373" i="2"/>
  <c r="BC372" i="2"/>
  <c r="BC371" i="2"/>
  <c r="BC370" i="2"/>
  <c r="BC369" i="2"/>
  <c r="BC368" i="2"/>
  <c r="BC367" i="2"/>
  <c r="BC366" i="2"/>
  <c r="BC365" i="2"/>
  <c r="BC364" i="2"/>
  <c r="BC363" i="2"/>
  <c r="BC362" i="2"/>
  <c r="BC361" i="2"/>
  <c r="BC360" i="2"/>
  <c r="BC359" i="2"/>
  <c r="BC358" i="2"/>
  <c r="BC357" i="2"/>
  <c r="BC356" i="2"/>
  <c r="BC355" i="2"/>
  <c r="BC354" i="2"/>
  <c r="BC353" i="2"/>
  <c r="BC352" i="2"/>
  <c r="BC351" i="2"/>
  <c r="BC350" i="2"/>
  <c r="BC349" i="2"/>
  <c r="BC348" i="2"/>
  <c r="BC347" i="2"/>
  <c r="BC346" i="2"/>
  <c r="BC345" i="2"/>
  <c r="BC344" i="2"/>
  <c r="BC343" i="2"/>
  <c r="BC342" i="2"/>
  <c r="BC341" i="2"/>
  <c r="BC340" i="2"/>
  <c r="BC339" i="2"/>
  <c r="BC338" i="2"/>
  <c r="BC337" i="2"/>
  <c r="BC336" i="2"/>
  <c r="BC335" i="2"/>
  <c r="BC334" i="2"/>
  <c r="BC333" i="2"/>
  <c r="BC332" i="2"/>
  <c r="BC331" i="2"/>
  <c r="BC330" i="2"/>
  <c r="BC329" i="2"/>
  <c r="BC328" i="2"/>
  <c r="BC327" i="2"/>
  <c r="BC326" i="2"/>
  <c r="BC325" i="2"/>
  <c r="BC324" i="2"/>
  <c r="BC323" i="2"/>
  <c r="BC322" i="2"/>
  <c r="BC321" i="2"/>
  <c r="BC320" i="2"/>
  <c r="BC319" i="2"/>
  <c r="BC318" i="2"/>
  <c r="BC317" i="2"/>
  <c r="BC316" i="2"/>
  <c r="BC315" i="2"/>
  <c r="BC314" i="2"/>
  <c r="BC313" i="2"/>
  <c r="BC312" i="2"/>
  <c r="BC311" i="2"/>
  <c r="BC310" i="2"/>
  <c r="BC309" i="2"/>
  <c r="BC308" i="2"/>
  <c r="BC307" i="2"/>
  <c r="BC306" i="2"/>
  <c r="BC305" i="2"/>
  <c r="BC304" i="2"/>
  <c r="BC303" i="2"/>
  <c r="BC302" i="2"/>
  <c r="BC301" i="2"/>
  <c r="BC300" i="2"/>
  <c r="BC299" i="2"/>
  <c r="BC298" i="2"/>
  <c r="BC297" i="2"/>
  <c r="BC296" i="2"/>
  <c r="BC295" i="2"/>
  <c r="BC294" i="2"/>
  <c r="BC293" i="2"/>
  <c r="BC292" i="2"/>
  <c r="BC291" i="2"/>
  <c r="BC290" i="2"/>
  <c r="BC289" i="2"/>
  <c r="BC288" i="2"/>
  <c r="BC287" i="2"/>
  <c r="BC286" i="2"/>
  <c r="BC285" i="2"/>
  <c r="BC284" i="2"/>
  <c r="BC283" i="2"/>
  <c r="BC282" i="2"/>
  <c r="BC281" i="2"/>
  <c r="BC280" i="2"/>
  <c r="BC279" i="2"/>
  <c r="BC278" i="2"/>
  <c r="BC277" i="2"/>
  <c r="BC276" i="2"/>
  <c r="BC275" i="2"/>
  <c r="BC274" i="2"/>
  <c r="BC273" i="2"/>
  <c r="BC272" i="2"/>
  <c r="BC271" i="2"/>
  <c r="BC270" i="2"/>
  <c r="BC269" i="2"/>
  <c r="BC268" i="2"/>
  <c r="BC267" i="2"/>
  <c r="BC266" i="2"/>
  <c r="BC265" i="2"/>
  <c r="BC264" i="2"/>
  <c r="BC263" i="2"/>
  <c r="BC262" i="2"/>
  <c r="BC261" i="2"/>
  <c r="BC260" i="2"/>
  <c r="BC259" i="2"/>
  <c r="BC258" i="2"/>
  <c r="BC257" i="2"/>
  <c r="BC256" i="2"/>
  <c r="BC255" i="2"/>
  <c r="BC254" i="2"/>
  <c r="BC253" i="2"/>
  <c r="BC252" i="2"/>
  <c r="BC251" i="2"/>
  <c r="BC250" i="2"/>
  <c r="BC249" i="2"/>
  <c r="BC248" i="2"/>
  <c r="BC247" i="2"/>
  <c r="BC246" i="2"/>
  <c r="BC245" i="2"/>
  <c r="BC244" i="2"/>
  <c r="BC243" i="2"/>
  <c r="BC242" i="2"/>
  <c r="BC241" i="2"/>
  <c r="BC240" i="2"/>
  <c r="BC239" i="2"/>
  <c r="BC238" i="2"/>
  <c r="BC237" i="2"/>
  <c r="BC236" i="2"/>
  <c r="BC235" i="2"/>
  <c r="BC234" i="2"/>
  <c r="BC233" i="2"/>
  <c r="BC232" i="2"/>
  <c r="BC231" i="2"/>
  <c r="BC230" i="2"/>
  <c r="BC229" i="2"/>
  <c r="BC228" i="2"/>
  <c r="BC227" i="2"/>
  <c r="BC226" i="2"/>
  <c r="BC225" i="2"/>
  <c r="BC224" i="2"/>
  <c r="BC223" i="2"/>
  <c r="BC222" i="2"/>
  <c r="BC221" i="2"/>
  <c r="BC220" i="2"/>
  <c r="BC219" i="2"/>
  <c r="BC218" i="2"/>
  <c r="BC217" i="2"/>
  <c r="BC216" i="2"/>
  <c r="BC215" i="2"/>
  <c r="BC214" i="2"/>
  <c r="BC213" i="2"/>
  <c r="BC212" i="2"/>
  <c r="BC211" i="2"/>
  <c r="BC210" i="2"/>
  <c r="BC209" i="2"/>
  <c r="BC208" i="2"/>
  <c r="BC207" i="2"/>
  <c r="BC206" i="2"/>
  <c r="BC205" i="2"/>
  <c r="BC204" i="2"/>
  <c r="AS9" i="17" s="1"/>
  <c r="AM43" i="17" s="1"/>
  <c r="BC203" i="2"/>
  <c r="BC202" i="2"/>
  <c r="BC201" i="2"/>
  <c r="BC200" i="2"/>
  <c r="BC199" i="2"/>
  <c r="BC198" i="2"/>
  <c r="BC197" i="2"/>
  <c r="BC196" i="2"/>
  <c r="BC195" i="2"/>
  <c r="BC194" i="2"/>
  <c r="BC193" i="2"/>
  <c r="BC192" i="2"/>
  <c r="BC191" i="2"/>
  <c r="BC190" i="2"/>
  <c r="BC189" i="2"/>
  <c r="BC188" i="2"/>
  <c r="BC187" i="2"/>
  <c r="BC186" i="2"/>
  <c r="BC185" i="2"/>
  <c r="BC184" i="2"/>
  <c r="BC183" i="2"/>
  <c r="BC182" i="2"/>
  <c r="BC181" i="2"/>
  <c r="BC180" i="2"/>
  <c r="BC179" i="2"/>
  <c r="BC178" i="2"/>
  <c r="BC177" i="2"/>
  <c r="BC176" i="2"/>
  <c r="BC175" i="2"/>
  <c r="BC174" i="2"/>
  <c r="BC173" i="2"/>
  <c r="BC172" i="2"/>
  <c r="BC171" i="2"/>
  <c r="BC170" i="2"/>
  <c r="BC169" i="2"/>
  <c r="BC168" i="2"/>
  <c r="BC167" i="2"/>
  <c r="BC166" i="2"/>
  <c r="BC165" i="2"/>
  <c r="BC164" i="2"/>
  <c r="BC163" i="2"/>
  <c r="BC162" i="2"/>
  <c r="BC161" i="2"/>
  <c r="BC160" i="2"/>
  <c r="BC159" i="2"/>
  <c r="BC158" i="2"/>
  <c r="BC157" i="2"/>
  <c r="BC156" i="2"/>
  <c r="BC155" i="2"/>
  <c r="BC154" i="2"/>
  <c r="BC153" i="2"/>
  <c r="BC152" i="2"/>
  <c r="BC151" i="2"/>
  <c r="BC150" i="2"/>
  <c r="BC149" i="2"/>
  <c r="BC148" i="2"/>
  <c r="BC147" i="2"/>
  <c r="BC146" i="2"/>
  <c r="BC145" i="2"/>
  <c r="BC144" i="2"/>
  <c r="BC143" i="2"/>
  <c r="BC142" i="2"/>
  <c r="BC141" i="2"/>
  <c r="BC140" i="2"/>
  <c r="BC139" i="2"/>
  <c r="BC138" i="2"/>
  <c r="BC137" i="2"/>
  <c r="BC136" i="2"/>
  <c r="BC135" i="2"/>
  <c r="BC134" i="2"/>
  <c r="BC133" i="2"/>
  <c r="BC132" i="2"/>
  <c r="BC131" i="2"/>
  <c r="BC130" i="2"/>
  <c r="BC129" i="2"/>
  <c r="BC128" i="2"/>
  <c r="BC127" i="2"/>
  <c r="BC126" i="2"/>
  <c r="BC125" i="2"/>
  <c r="BC124" i="2"/>
  <c r="BC123" i="2"/>
  <c r="BC122" i="2"/>
  <c r="BC121" i="2"/>
  <c r="BC120" i="2"/>
  <c r="BC119" i="2"/>
  <c r="BC118" i="2"/>
  <c r="BC117" i="2"/>
  <c r="BC116" i="2"/>
  <c r="BC115" i="2"/>
  <c r="BC114" i="2"/>
  <c r="BC113" i="2"/>
  <c r="BC112" i="2"/>
  <c r="BC111" i="2"/>
  <c r="BC110" i="2"/>
  <c r="BC109" i="2"/>
  <c r="BC108" i="2"/>
  <c r="BC107" i="2"/>
  <c r="BC106" i="2"/>
  <c r="BC105" i="2"/>
  <c r="BC104" i="2"/>
  <c r="BC103" i="2"/>
  <c r="BC102" i="2"/>
  <c r="BC101" i="2"/>
  <c r="BC100" i="2"/>
  <c r="BC99" i="2"/>
  <c r="BC98" i="2"/>
  <c r="BC97" i="2"/>
  <c r="BC96" i="2"/>
  <c r="BC95" i="2"/>
  <c r="BC94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8" i="2"/>
  <c r="AG203" i="17"/>
  <c r="AF203" i="17"/>
  <c r="AE203" i="17"/>
  <c r="AD203" i="17"/>
  <c r="AG197" i="17"/>
  <c r="AF197" i="17"/>
  <c r="AE197" i="17"/>
  <c r="AD197" i="17"/>
  <c r="AG192" i="17"/>
  <c r="AF192" i="17"/>
  <c r="AE192" i="17"/>
  <c r="AD192" i="17"/>
  <c r="AG186" i="17"/>
  <c r="AF186" i="17"/>
  <c r="AF187" i="17" s="1"/>
  <c r="AE186" i="17"/>
  <c r="AD186" i="17"/>
  <c r="AG133" i="17"/>
  <c r="Z181" i="17" s="1"/>
  <c r="AF133" i="17"/>
  <c r="Z169" i="17" s="1"/>
  <c r="AE133" i="17"/>
  <c r="Z157" i="17" s="1"/>
  <c r="AD133" i="17"/>
  <c r="Y133" i="17" s="1"/>
  <c r="AG126" i="17"/>
  <c r="Z174" i="17" s="1"/>
  <c r="AF126" i="17"/>
  <c r="Z162" i="17" s="1"/>
  <c r="AE126" i="17"/>
  <c r="Z150" i="17" s="1"/>
  <c r="AD126" i="17"/>
  <c r="Z138" i="17" s="1"/>
  <c r="AG70" i="17"/>
  <c r="Z120" i="17" s="1"/>
  <c r="AF70" i="17"/>
  <c r="AE70" i="17"/>
  <c r="Z96" i="17" s="1"/>
  <c r="AD70" i="17"/>
  <c r="AG63" i="17"/>
  <c r="AF63" i="17"/>
  <c r="Z101" i="17" s="1"/>
  <c r="AE63" i="17"/>
  <c r="AD63" i="17"/>
  <c r="Z77" i="17" s="1"/>
  <c r="Z57" i="17"/>
  <c r="Z56" i="17"/>
  <c r="Z55" i="17"/>
  <c r="Z54" i="17"/>
  <c r="Z53" i="17"/>
  <c r="Z52" i="17"/>
  <c r="Z51" i="17"/>
  <c r="Z50" i="17"/>
  <c r="Z49" i="17"/>
  <c r="AB56" i="17"/>
  <c r="AB49" i="17"/>
  <c r="Z41" i="17"/>
  <c r="Z40" i="17"/>
  <c r="Z39" i="17"/>
  <c r="Z38" i="17"/>
  <c r="Z37" i="17"/>
  <c r="Z36" i="17"/>
  <c r="Z35" i="17"/>
  <c r="Z34" i="17"/>
  <c r="Z33" i="17"/>
  <c r="AB43" i="17"/>
  <c r="AB42" i="17"/>
  <c r="AB40" i="17"/>
  <c r="AB33" i="17"/>
  <c r="Z20" i="17"/>
  <c r="Z21" i="17" s="1"/>
  <c r="Z22" i="17" s="1"/>
  <c r="Z23" i="17" s="1"/>
  <c r="Z24" i="17" s="1"/>
  <c r="Z25" i="17" s="1"/>
  <c r="Z27" i="17"/>
  <c r="Z12" i="17"/>
  <c r="Z5" i="17"/>
  <c r="Z6" i="17" s="1"/>
  <c r="Z7" i="17" s="1"/>
  <c r="Z8" i="17" s="1"/>
  <c r="Z9" i="17" s="1"/>
  <c r="Z10" i="17" s="1"/>
  <c r="Z11" i="17" s="1"/>
  <c r="Z15" i="17"/>
  <c r="Z14" i="17"/>
  <c r="U25" i="17"/>
  <c r="T25" i="17"/>
  <c r="S25" i="17"/>
  <c r="U21" i="17"/>
  <c r="T21" i="17"/>
  <c r="S21" i="17"/>
  <c r="U17" i="17"/>
  <c r="T17" i="17"/>
  <c r="S17" i="17"/>
  <c r="U13" i="17"/>
  <c r="T13" i="17"/>
  <c r="S13" i="17"/>
  <c r="U8" i="17"/>
  <c r="T8" i="17"/>
  <c r="S8" i="17"/>
  <c r="U7" i="17"/>
  <c r="T7" i="17"/>
  <c r="S7" i="17"/>
  <c r="U6" i="17"/>
  <c r="T6" i="17"/>
  <c r="S6" i="17"/>
  <c r="U5" i="17"/>
  <c r="T5" i="17"/>
  <c r="S5" i="17"/>
  <c r="FS124" i="17" l="1"/>
  <c r="FU125" i="17" s="1"/>
  <c r="FS10" i="17"/>
  <c r="FS4" i="17"/>
  <c r="FU10" i="17"/>
  <c r="FU4" i="17"/>
  <c r="FV10" i="17"/>
  <c r="FV4" i="17"/>
  <c r="EM48" i="17"/>
  <c r="EN48" i="17" s="1"/>
  <c r="EO48" i="17" s="1"/>
  <c r="EP48" i="17" s="1"/>
  <c r="EQ48" i="17" s="1"/>
  <c r="ER48" i="17" s="1"/>
  <c r="EM42" i="17"/>
  <c r="EM35" i="17"/>
  <c r="EN35" i="17" s="1"/>
  <c r="EO35" i="17" s="1"/>
  <c r="EP35" i="17" s="1"/>
  <c r="EQ35" i="17" s="1"/>
  <c r="ER35" i="17" s="1"/>
  <c r="EM29" i="17"/>
  <c r="EM22" i="17"/>
  <c r="EM16" i="17"/>
  <c r="EM10" i="17"/>
  <c r="EM4" i="17"/>
  <c r="ES48" i="17"/>
  <c r="ES42" i="17"/>
  <c r="ES43" i="17" s="1"/>
  <c r="ES44" i="17" s="1"/>
  <c r="ES45" i="17" s="1"/>
  <c r="ES46" i="17" s="1"/>
  <c r="ES47" i="17" s="1"/>
  <c r="ES35" i="17"/>
  <c r="ES29" i="17"/>
  <c r="ES30" i="17" s="1"/>
  <c r="ES31" i="17" s="1"/>
  <c r="ES32" i="17" s="1"/>
  <c r="ES33" i="17" s="1"/>
  <c r="ES34" i="17" s="1"/>
  <c r="ES22" i="17"/>
  <c r="ES16" i="17"/>
  <c r="ES10" i="17"/>
  <c r="ES4" i="17"/>
  <c r="AR9" i="17"/>
  <c r="AM32" i="17" s="1"/>
  <c r="FT10" i="17"/>
  <c r="FT4" i="17"/>
  <c r="AQ9" i="17"/>
  <c r="AM21" i="17" s="1"/>
  <c r="BO10" i="17"/>
  <c r="DZ29" i="17"/>
  <c r="DZ36" i="17" s="1"/>
  <c r="EF73" i="17"/>
  <c r="EF71" i="17"/>
  <c r="EF72" i="17"/>
  <c r="EF66" i="17"/>
  <c r="EF68" i="17"/>
  <c r="EF70" i="17"/>
  <c r="EF67" i="17"/>
  <c r="EF69" i="17"/>
  <c r="EN60" i="17"/>
  <c r="EN62" i="17" s="1"/>
  <c r="EI59" i="17" s="1"/>
  <c r="EJ62" i="17"/>
  <c r="EG95" i="17"/>
  <c r="EG89" i="17"/>
  <c r="EG84" i="17"/>
  <c r="EG78" i="17"/>
  <c r="EG80" i="17"/>
  <c r="EG82" i="17"/>
  <c r="EG83" i="17"/>
  <c r="EG77" i="17"/>
  <c r="EG79" i="17"/>
  <c r="EG81" i="17"/>
  <c r="EG90" i="17"/>
  <c r="EG91" i="17"/>
  <c r="EG92" i="17"/>
  <c r="EH62" i="17"/>
  <c r="EH61" i="17"/>
  <c r="EH56" i="17"/>
  <c r="EH55" i="17"/>
  <c r="EH57" i="17"/>
  <c r="EH58" i="17"/>
  <c r="EH59" i="17"/>
  <c r="EG93" i="17"/>
  <c r="EL62" i="17"/>
  <c r="EL96" i="17"/>
  <c r="EG96" i="17" s="1"/>
  <c r="EK96" i="17"/>
  <c r="EM96" i="17"/>
  <c r="EN94" i="17"/>
  <c r="EJ96" i="17"/>
  <c r="EN82" i="17"/>
  <c r="EN84" i="17" s="1"/>
  <c r="EJ84" i="17"/>
  <c r="EE94" i="17" s="1"/>
  <c r="EK84" i="17"/>
  <c r="EM84" i="17"/>
  <c r="EM73" i="17"/>
  <c r="EN71" i="17"/>
  <c r="EJ73" i="17"/>
  <c r="EN73" i="17"/>
  <c r="EL73" i="17"/>
  <c r="ET48" i="17"/>
  <c r="ES49" i="17"/>
  <c r="ES36" i="17"/>
  <c r="ET35" i="17"/>
  <c r="BS99" i="17"/>
  <c r="BF170" i="17" s="1"/>
  <c r="BS94" i="17"/>
  <c r="BM99" i="17"/>
  <c r="BM94" i="17"/>
  <c r="AZ211" i="17"/>
  <c r="AZ218" i="17"/>
  <c r="AM302" i="17" s="1"/>
  <c r="AT218" i="17"/>
  <c r="AT211" i="17"/>
  <c r="AQ3" i="17"/>
  <c r="AM15" i="17" s="1"/>
  <c r="AS3" i="17"/>
  <c r="AM37" i="17" s="1"/>
  <c r="AZ115" i="17"/>
  <c r="AM199" i="17" s="1"/>
  <c r="AR3" i="17"/>
  <c r="AM26" i="17" s="1"/>
  <c r="AT3" i="17"/>
  <c r="AM48" i="17" s="1"/>
  <c r="AT9" i="17"/>
  <c r="AM54" i="17" s="1"/>
  <c r="AT115" i="17"/>
  <c r="AM127" i="17" s="1"/>
  <c r="AT122" i="17"/>
  <c r="AZ122" i="17"/>
  <c r="AM206" i="17" s="1"/>
  <c r="AB133" i="17"/>
  <c r="AU115" i="17"/>
  <c r="AM139" i="17" s="1"/>
  <c r="BZ16" i="17"/>
  <c r="BF44" i="17"/>
  <c r="BP10" i="17"/>
  <c r="BF27" i="17"/>
  <c r="BO4" i="17"/>
  <c r="V17" i="17"/>
  <c r="R17" i="17" s="1"/>
  <c r="V25" i="17"/>
  <c r="R25" i="17" s="1"/>
  <c r="AH63" i="17"/>
  <c r="AQ4" i="17"/>
  <c r="AS4" i="17"/>
  <c r="AT116" i="17"/>
  <c r="AZ116" i="17"/>
  <c r="BW16" i="17"/>
  <c r="BF83" i="17"/>
  <c r="BS6" i="17"/>
  <c r="BF17" i="17"/>
  <c r="BM6" i="17"/>
  <c r="BN5" i="17"/>
  <c r="AR4" i="17"/>
  <c r="AT4" i="17"/>
  <c r="CF7" i="17"/>
  <c r="BY16" i="17"/>
  <c r="BX16" i="17"/>
  <c r="CC9" i="17"/>
  <c r="CF10" i="17" s="1"/>
  <c r="CE19" i="17"/>
  <c r="CF17" i="17"/>
  <c r="CA17" i="17" s="1"/>
  <c r="CB19" i="17"/>
  <c r="AU9" i="17"/>
  <c r="AU3" i="17"/>
  <c r="V5" i="17"/>
  <c r="S9" i="17"/>
  <c r="U9" i="17"/>
  <c r="V13" i="17"/>
  <c r="P13" i="17" s="1"/>
  <c r="O17" i="17"/>
  <c r="V21" i="17"/>
  <c r="O25" i="17"/>
  <c r="AD64" i="17"/>
  <c r="AF64" i="17"/>
  <c r="T9" i="17"/>
  <c r="P17" i="17"/>
  <c r="P25" i="17"/>
  <c r="Z89" i="17"/>
  <c r="Z113" i="17"/>
  <c r="AE64" i="17"/>
  <c r="AG64" i="17"/>
  <c r="Z108" i="17"/>
  <c r="Z84" i="17"/>
  <c r="AD127" i="17"/>
  <c r="AF127" i="17"/>
  <c r="Y126" i="17"/>
  <c r="AA126" i="17"/>
  <c r="Z133" i="17"/>
  <c r="Z145" i="17"/>
  <c r="AD187" i="17"/>
  <c r="AF188" i="17"/>
  <c r="AE127" i="17"/>
  <c r="AG127" i="17"/>
  <c r="Z126" i="17"/>
  <c r="AB126" i="17"/>
  <c r="AA133" i="17"/>
  <c r="AE187" i="17"/>
  <c r="AG187" i="17"/>
  <c r="AD198" i="17"/>
  <c r="AF198" i="17"/>
  <c r="AE198" i="17"/>
  <c r="AG198" i="17"/>
  <c r="AH203" i="17"/>
  <c r="AH197" i="17"/>
  <c r="AH186" i="17"/>
  <c r="AH133" i="17"/>
  <c r="AC133" i="17" s="1"/>
  <c r="AH126" i="17"/>
  <c r="AC126" i="17" s="1"/>
  <c r="AH70" i="17"/>
  <c r="AH64" i="17"/>
  <c r="AB50" i="17"/>
  <c r="AB34" i="17"/>
  <c r="V8" i="17"/>
  <c r="V7" i="17"/>
  <c r="V6" i="17"/>
  <c r="C101" i="17"/>
  <c r="C100" i="17"/>
  <c r="C99" i="17"/>
  <c r="C98" i="17"/>
  <c r="C97" i="17"/>
  <c r="C96" i="17"/>
  <c r="C95" i="17"/>
  <c r="C94" i="17"/>
  <c r="C89" i="17"/>
  <c r="C88" i="17"/>
  <c r="C87" i="17"/>
  <c r="C86" i="17"/>
  <c r="C85" i="17"/>
  <c r="C84" i="17"/>
  <c r="C83" i="17"/>
  <c r="C82" i="17"/>
  <c r="J52" i="17"/>
  <c r="I52" i="17"/>
  <c r="J53" i="17"/>
  <c r="I53" i="17"/>
  <c r="J51" i="17"/>
  <c r="I51" i="17"/>
  <c r="I50" i="17"/>
  <c r="J50" i="17"/>
  <c r="J49" i="17"/>
  <c r="I49" i="17"/>
  <c r="I48" i="17"/>
  <c r="J48" i="17"/>
  <c r="J47" i="17"/>
  <c r="I47" i="17"/>
  <c r="J46" i="17"/>
  <c r="I46" i="17"/>
  <c r="AV115" i="17" l="1"/>
  <c r="FO33" i="17"/>
  <c r="ES5" i="17"/>
  <c r="ES17" i="17"/>
  <c r="EM5" i="17"/>
  <c r="EN4" i="17"/>
  <c r="EM17" i="17"/>
  <c r="EN16" i="17"/>
  <c r="EM30" i="17"/>
  <c r="EN29" i="17"/>
  <c r="EN42" i="17"/>
  <c r="EM43" i="17"/>
  <c r="FO49" i="17"/>
  <c r="FV5" i="17"/>
  <c r="FO38" i="17"/>
  <c r="FU5" i="17"/>
  <c r="FW4" i="17"/>
  <c r="FS5" i="17"/>
  <c r="FO16" i="17"/>
  <c r="FT5" i="17"/>
  <c r="FO27" i="17"/>
  <c r="EN10" i="17"/>
  <c r="EO10" i="17" s="1"/>
  <c r="EP10" i="17" s="1"/>
  <c r="EQ10" i="17" s="1"/>
  <c r="ER10" i="17" s="1"/>
  <c r="EN22" i="17"/>
  <c r="EO22" i="17" s="1"/>
  <c r="EP22" i="17" s="1"/>
  <c r="EQ22" i="17" s="1"/>
  <c r="ER22" i="17" s="1"/>
  <c r="FO55" i="17"/>
  <c r="FO44" i="17"/>
  <c r="FO22" i="17"/>
  <c r="FW10" i="17"/>
  <c r="EI84" i="17"/>
  <c r="EI83" i="17"/>
  <c r="EI95" i="17"/>
  <c r="EI77" i="17"/>
  <c r="EI89" i="17"/>
  <c r="EI78" i="17"/>
  <c r="EI90" i="17"/>
  <c r="EI91" i="17"/>
  <c r="EI79" i="17"/>
  <c r="EI80" i="17"/>
  <c r="EI92" i="17"/>
  <c r="EI81" i="17"/>
  <c r="EI93" i="17"/>
  <c r="EK36" i="17"/>
  <c r="EK35" i="17"/>
  <c r="EK34" i="17"/>
  <c r="EK33" i="17"/>
  <c r="EK32" i="17"/>
  <c r="EK31" i="17"/>
  <c r="EK30" i="17"/>
  <c r="EK29" i="17"/>
  <c r="EG73" i="17"/>
  <c r="EG66" i="17"/>
  <c r="EG68" i="17"/>
  <c r="EG70" i="17"/>
  <c r="EG71" i="17"/>
  <c r="EG72" i="17"/>
  <c r="EG67" i="17"/>
  <c r="EG69" i="17"/>
  <c r="EE73" i="17"/>
  <c r="EE71" i="17"/>
  <c r="EE72" i="17"/>
  <c r="EE67" i="17"/>
  <c r="EE69" i="17"/>
  <c r="EE66" i="17"/>
  <c r="EE68" i="17"/>
  <c r="EE70" i="17"/>
  <c r="EH73" i="17"/>
  <c r="EH67" i="17"/>
  <c r="EH69" i="17"/>
  <c r="EH71" i="17"/>
  <c r="EH72" i="17"/>
  <c r="EH66" i="17"/>
  <c r="EH68" i="17"/>
  <c r="EH70" i="17"/>
  <c r="EE89" i="17"/>
  <c r="EE95" i="17"/>
  <c r="EE84" i="17"/>
  <c r="EE82" i="17"/>
  <c r="EE83" i="17"/>
  <c r="EE77" i="17"/>
  <c r="EE79" i="17"/>
  <c r="EE81" i="17"/>
  <c r="EE78" i="17"/>
  <c r="EE80" i="17"/>
  <c r="EE90" i="17"/>
  <c r="EE91" i="17"/>
  <c r="EE92" i="17"/>
  <c r="EE93" i="17"/>
  <c r="EI62" i="17"/>
  <c r="EI56" i="17"/>
  <c r="EI61" i="17"/>
  <c r="EI55" i="17"/>
  <c r="EI57" i="17"/>
  <c r="EI58" i="17"/>
  <c r="EE62" i="17"/>
  <c r="EE55" i="17"/>
  <c r="EE61" i="17"/>
  <c r="EE56" i="17"/>
  <c r="EE57" i="17"/>
  <c r="EE58" i="17"/>
  <c r="EE59" i="17"/>
  <c r="AU4" i="17"/>
  <c r="EE96" i="17"/>
  <c r="EI94" i="17"/>
  <c r="EH96" i="17"/>
  <c r="EF96" i="17"/>
  <c r="EE60" i="17"/>
  <c r="EK49" i="17"/>
  <c r="EK48" i="17"/>
  <c r="EK42" i="17"/>
  <c r="EK43" i="17"/>
  <c r="EK44" i="17"/>
  <c r="EK45" i="17"/>
  <c r="EK46" i="17"/>
  <c r="EK47" i="17"/>
  <c r="EI73" i="17"/>
  <c r="EI72" i="17"/>
  <c r="EI66" i="17"/>
  <c r="EI67" i="17"/>
  <c r="EI68" i="17"/>
  <c r="EI69" i="17"/>
  <c r="EH89" i="17"/>
  <c r="EH84" i="17"/>
  <c r="EH95" i="17"/>
  <c r="EH82" i="17"/>
  <c r="EH83" i="17"/>
  <c r="EH77" i="17"/>
  <c r="EH79" i="17"/>
  <c r="EH81" i="17"/>
  <c r="EH78" i="17"/>
  <c r="EH80" i="17"/>
  <c r="EH90" i="17"/>
  <c r="EH91" i="17"/>
  <c r="EH92" i="17"/>
  <c r="EH93" i="17"/>
  <c r="EF84" i="17"/>
  <c r="EF78" i="17"/>
  <c r="EF80" i="17"/>
  <c r="EF89" i="17"/>
  <c r="EF82" i="17"/>
  <c r="EF83" i="17"/>
  <c r="EF77" i="17"/>
  <c r="EF79" i="17"/>
  <c r="EF81" i="17"/>
  <c r="EF95" i="17"/>
  <c r="EF90" i="17"/>
  <c r="EF91" i="17"/>
  <c r="EF92" i="17"/>
  <c r="EF93" i="17"/>
  <c r="EG62" i="17"/>
  <c r="EG61" i="17"/>
  <c r="EG55" i="17"/>
  <c r="EG56" i="17"/>
  <c r="EG57" i="17"/>
  <c r="EG58" i="17"/>
  <c r="EG59" i="17"/>
  <c r="EI71" i="17"/>
  <c r="EI82" i="17"/>
  <c r="EH94" i="17"/>
  <c r="EF94" i="17"/>
  <c r="EG60" i="17"/>
  <c r="EI70" i="17"/>
  <c r="EI60" i="17"/>
  <c r="EN96" i="17"/>
  <c r="EI96" i="17" s="1"/>
  <c r="AM134" i="17"/>
  <c r="AU122" i="17"/>
  <c r="AU211" i="17"/>
  <c r="AM223" i="17"/>
  <c r="AT212" i="17"/>
  <c r="BF105" i="17"/>
  <c r="BN94" i="17"/>
  <c r="BM95" i="17"/>
  <c r="BF165" i="17"/>
  <c r="BS95" i="17"/>
  <c r="AM230" i="17"/>
  <c r="AU218" i="17"/>
  <c r="AZ212" i="17"/>
  <c r="AM295" i="17"/>
  <c r="BF110" i="17"/>
  <c r="BN99" i="17"/>
  <c r="C78" i="17"/>
  <c r="B78" i="17" s="1"/>
  <c r="BW17" i="17"/>
  <c r="K46" i="17"/>
  <c r="CF19" i="17"/>
  <c r="CA19" i="17" s="1"/>
  <c r="AR5" i="17"/>
  <c r="AM27" i="17"/>
  <c r="BF28" i="17"/>
  <c r="BO5" i="17"/>
  <c r="BM7" i="17"/>
  <c r="BN6" i="17"/>
  <c r="BF18" i="17"/>
  <c r="AM200" i="17"/>
  <c r="AZ117" i="17"/>
  <c r="AW115" i="17"/>
  <c r="AM151" i="17"/>
  <c r="AM38" i="17"/>
  <c r="AS5" i="17"/>
  <c r="BP4" i="17"/>
  <c r="BF38" i="17"/>
  <c r="I54" i="17"/>
  <c r="C102" i="17"/>
  <c r="B102" i="17" s="1"/>
  <c r="BX17" i="17"/>
  <c r="AT5" i="17"/>
  <c r="AM49" i="17"/>
  <c r="BS7" i="17"/>
  <c r="BF84" i="17"/>
  <c r="AT117" i="17"/>
  <c r="AU116" i="17"/>
  <c r="AM128" i="17"/>
  <c r="AM16" i="17"/>
  <c r="AQ5" i="17"/>
  <c r="BQ10" i="17"/>
  <c r="BF55" i="17"/>
  <c r="K49" i="17"/>
  <c r="H54" i="17"/>
  <c r="J54" i="17"/>
  <c r="C66" i="17"/>
  <c r="B66" i="17" s="1"/>
  <c r="C90" i="17"/>
  <c r="B90" i="17" s="1"/>
  <c r="BW19" i="17"/>
  <c r="BY17" i="17"/>
  <c r="BZ17" i="17"/>
  <c r="Q25" i="17"/>
  <c r="Q17" i="17"/>
  <c r="CF9" i="17"/>
  <c r="CA7" i="17" s="1"/>
  <c r="CF20" i="17"/>
  <c r="AG199" i="17"/>
  <c r="AF199" i="17"/>
  <c r="AE188" i="17"/>
  <c r="Z175" i="17"/>
  <c r="AG128" i="17"/>
  <c r="AB127" i="17"/>
  <c r="AF189" i="17"/>
  <c r="Z163" i="17"/>
  <c r="AA127" i="17"/>
  <c r="AF128" i="17"/>
  <c r="Z90" i="17"/>
  <c r="AE65" i="17"/>
  <c r="Z102" i="17"/>
  <c r="AF65" i="17"/>
  <c r="V9" i="17"/>
  <c r="R5" i="17" s="1"/>
  <c r="AE199" i="17"/>
  <c r="AD199" i="17"/>
  <c r="AG188" i="17"/>
  <c r="AE128" i="17"/>
  <c r="Z151" i="17"/>
  <c r="Z127" i="17"/>
  <c r="AD188" i="17"/>
  <c r="Y127" i="17"/>
  <c r="Z139" i="17"/>
  <c r="AD128" i="17"/>
  <c r="Z114" i="17"/>
  <c r="AG65" i="17"/>
  <c r="P9" i="17"/>
  <c r="Z78" i="17"/>
  <c r="AD65" i="17"/>
  <c r="Q21" i="17"/>
  <c r="O21" i="17"/>
  <c r="R21" i="17"/>
  <c r="Q13" i="17"/>
  <c r="O13" i="17"/>
  <c r="R13" i="17"/>
  <c r="O9" i="17"/>
  <c r="P21" i="17"/>
  <c r="AH198" i="17"/>
  <c r="AH187" i="17"/>
  <c r="AH127" i="17"/>
  <c r="AC127" i="17" s="1"/>
  <c r="AB51" i="17"/>
  <c r="AB35" i="17"/>
  <c r="Z13" i="17"/>
  <c r="K52" i="17"/>
  <c r="G54" i="17"/>
  <c r="K53" i="17"/>
  <c r="K51" i="17"/>
  <c r="K50" i="17"/>
  <c r="K48" i="17"/>
  <c r="K47" i="17"/>
  <c r="DI26" i="13"/>
  <c r="DH26" i="13"/>
  <c r="DG26" i="13"/>
  <c r="DF26" i="13"/>
  <c r="DE26" i="13"/>
  <c r="DD26" i="13"/>
  <c r="DI12" i="13"/>
  <c r="DH12" i="13"/>
  <c r="DG12" i="13"/>
  <c r="DF12" i="13"/>
  <c r="DE12" i="13"/>
  <c r="DD12" i="13"/>
  <c r="DI10" i="13"/>
  <c r="DI24" i="13" s="1"/>
  <c r="DH10" i="13"/>
  <c r="DH24" i="13" s="1"/>
  <c r="DG10" i="13"/>
  <c r="DG24" i="13" s="1"/>
  <c r="DF10" i="13"/>
  <c r="DF24" i="13" s="1"/>
  <c r="DD10" i="13"/>
  <c r="DE10" i="13" s="1"/>
  <c r="DE24" i="13" s="1"/>
  <c r="DI9" i="13"/>
  <c r="DI23" i="13" s="1"/>
  <c r="DH9" i="13"/>
  <c r="DH23" i="13" s="1"/>
  <c r="DG9" i="13"/>
  <c r="DG23" i="13" s="1"/>
  <c r="DF9" i="13"/>
  <c r="DF23" i="13" s="1"/>
  <c r="DD9" i="13"/>
  <c r="DD23" i="13" s="1"/>
  <c r="DI8" i="13"/>
  <c r="DI22" i="13" s="1"/>
  <c r="DH8" i="13"/>
  <c r="DH22" i="13" s="1"/>
  <c r="DG8" i="13"/>
  <c r="DG22" i="13" s="1"/>
  <c r="DF8" i="13"/>
  <c r="DF22" i="13" s="1"/>
  <c r="DD8" i="13"/>
  <c r="DE8" i="13" s="1"/>
  <c r="DE22" i="13" s="1"/>
  <c r="DI7" i="13"/>
  <c r="DI21" i="13" s="1"/>
  <c r="DH7" i="13"/>
  <c r="DH21" i="13" s="1"/>
  <c r="DG7" i="13"/>
  <c r="DG21" i="13" s="1"/>
  <c r="DF7" i="13"/>
  <c r="DF21" i="13" s="1"/>
  <c r="DD7" i="13"/>
  <c r="DD21" i="13" s="1"/>
  <c r="DI6" i="13"/>
  <c r="DI20" i="13" s="1"/>
  <c r="DH6" i="13"/>
  <c r="DH20" i="13" s="1"/>
  <c r="DG6" i="13"/>
  <c r="DG20" i="13" s="1"/>
  <c r="DF6" i="13"/>
  <c r="DF20" i="13" s="1"/>
  <c r="DD6" i="13"/>
  <c r="DE6" i="13" s="1"/>
  <c r="DE20" i="13" s="1"/>
  <c r="DI5" i="13"/>
  <c r="DI19" i="13" s="1"/>
  <c r="DH5" i="13"/>
  <c r="DH19" i="13" s="1"/>
  <c r="DG5" i="13"/>
  <c r="DG19" i="13" s="1"/>
  <c r="DF5" i="13"/>
  <c r="DF19" i="13" s="1"/>
  <c r="DD5" i="13"/>
  <c r="DD19" i="13" s="1"/>
  <c r="DI4" i="13"/>
  <c r="DI18" i="13" s="1"/>
  <c r="DH4" i="13"/>
  <c r="DH18" i="13" s="1"/>
  <c r="DG4" i="13"/>
  <c r="DG18" i="13" s="1"/>
  <c r="DF4" i="13"/>
  <c r="DF18" i="13" s="1"/>
  <c r="DD4" i="13"/>
  <c r="DE4" i="13" s="1"/>
  <c r="DE18" i="13" s="1"/>
  <c r="DI3" i="13"/>
  <c r="DH3" i="13"/>
  <c r="DG3" i="13"/>
  <c r="DF3" i="13"/>
  <c r="DD3" i="13"/>
  <c r="B70" i="17" l="1"/>
  <c r="B77" i="17"/>
  <c r="B73" i="17"/>
  <c r="FT6" i="17"/>
  <c r="FO28" i="17"/>
  <c r="FO17" i="17"/>
  <c r="FS6" i="17"/>
  <c r="FW5" i="17"/>
  <c r="FO39" i="17"/>
  <c r="FU6" i="17"/>
  <c r="FV6" i="17"/>
  <c r="FO50" i="17"/>
  <c r="EO42" i="17"/>
  <c r="EP42" i="17" s="1"/>
  <c r="EQ42" i="17" s="1"/>
  <c r="ER42" i="17" s="1"/>
  <c r="EO29" i="17"/>
  <c r="EP29" i="17" s="1"/>
  <c r="EQ29" i="17" s="1"/>
  <c r="ER29" i="17" s="1"/>
  <c r="EN17" i="17"/>
  <c r="EM18" i="17"/>
  <c r="EN5" i="17"/>
  <c r="EO4" i="17"/>
  <c r="DD11" i="13"/>
  <c r="BY19" i="17"/>
  <c r="BX19" i="17"/>
  <c r="ET22" i="17"/>
  <c r="ET10" i="17"/>
  <c r="EN43" i="17"/>
  <c r="EM44" i="17"/>
  <c r="EM31" i="17"/>
  <c r="EN30" i="17"/>
  <c r="EO16" i="17"/>
  <c r="EP16" i="17" s="1"/>
  <c r="EQ16" i="17" s="1"/>
  <c r="ER16" i="17" s="1"/>
  <c r="EM6" i="17"/>
  <c r="ES18" i="17"/>
  <c r="ES6" i="17"/>
  <c r="BZ19" i="17"/>
  <c r="B75" i="17"/>
  <c r="B71" i="17"/>
  <c r="B74" i="17"/>
  <c r="DE9" i="13"/>
  <c r="DE23" i="13" s="1"/>
  <c r="BO99" i="17"/>
  <c r="BF120" i="17"/>
  <c r="AV218" i="17"/>
  <c r="AM242" i="17"/>
  <c r="BS96" i="17"/>
  <c r="BF166" i="17"/>
  <c r="BF106" i="17"/>
  <c r="BM96" i="17"/>
  <c r="BN95" i="17"/>
  <c r="AM146" i="17"/>
  <c r="AV122" i="17"/>
  <c r="AM296" i="17"/>
  <c r="AZ213" i="17"/>
  <c r="BF115" i="17"/>
  <c r="BO94" i="17"/>
  <c r="AT213" i="17"/>
  <c r="AM224" i="17"/>
  <c r="AU212" i="17"/>
  <c r="AV211" i="17"/>
  <c r="AM235" i="17"/>
  <c r="R8" i="17"/>
  <c r="B94" i="17"/>
  <c r="B76" i="17"/>
  <c r="B72" i="17"/>
  <c r="AM129" i="17"/>
  <c r="AT118" i="17"/>
  <c r="AU117" i="17"/>
  <c r="AM50" i="17"/>
  <c r="AT6" i="17"/>
  <c r="BF49" i="17"/>
  <c r="BQ4" i="17"/>
  <c r="AM39" i="17"/>
  <c r="AS6" i="17"/>
  <c r="BO6" i="17"/>
  <c r="BF29" i="17"/>
  <c r="BF39" i="17"/>
  <c r="BP5" i="17"/>
  <c r="B100" i="17"/>
  <c r="B96" i="17"/>
  <c r="B86" i="17"/>
  <c r="B64" i="17"/>
  <c r="B60" i="17"/>
  <c r="B101" i="17"/>
  <c r="B97" i="17"/>
  <c r="B89" i="17"/>
  <c r="B85" i="17"/>
  <c r="B65" i="17"/>
  <c r="B61" i="17"/>
  <c r="K54" i="17"/>
  <c r="F47" i="17" s="1"/>
  <c r="BY4" i="17"/>
  <c r="BW4" i="17"/>
  <c r="CA9" i="17"/>
  <c r="BW5" i="17"/>
  <c r="BX4" i="17"/>
  <c r="BY5" i="17"/>
  <c r="BX8" i="17"/>
  <c r="CA4" i="17"/>
  <c r="BZ4" i="17"/>
  <c r="BZ8" i="17"/>
  <c r="BY8" i="17"/>
  <c r="BW8" i="17"/>
  <c r="CA5" i="17"/>
  <c r="BX5" i="17"/>
  <c r="BY6" i="17"/>
  <c r="CA8" i="17"/>
  <c r="BZ5" i="17"/>
  <c r="BW6" i="17"/>
  <c r="BX6" i="17"/>
  <c r="BY7" i="17"/>
  <c r="BW7" i="17"/>
  <c r="BZ6" i="17"/>
  <c r="BW9" i="17"/>
  <c r="BZ9" i="17"/>
  <c r="CA6" i="17"/>
  <c r="BY9" i="17"/>
  <c r="BX7" i="17"/>
  <c r="BZ7" i="17"/>
  <c r="BF66" i="17"/>
  <c r="BR10" i="17"/>
  <c r="AM17" i="17"/>
  <c r="AQ6" i="17"/>
  <c r="AU5" i="17"/>
  <c r="AM140" i="17"/>
  <c r="AV116" i="17"/>
  <c r="BF85" i="17"/>
  <c r="BS8" i="17"/>
  <c r="AM163" i="17"/>
  <c r="AX115" i="17"/>
  <c r="AM201" i="17"/>
  <c r="AZ118" i="17"/>
  <c r="BF19" i="17"/>
  <c r="BM8" i="17"/>
  <c r="BN7" i="17"/>
  <c r="AM28" i="17"/>
  <c r="AR6" i="17"/>
  <c r="R6" i="17"/>
  <c r="BX9" i="17"/>
  <c r="B82" i="17"/>
  <c r="B58" i="17"/>
  <c r="B98" i="17"/>
  <c r="B88" i="17"/>
  <c r="B84" i="17"/>
  <c r="B62" i="17"/>
  <c r="B99" i="17"/>
  <c r="B95" i="17"/>
  <c r="B87" i="17"/>
  <c r="B83" i="17"/>
  <c r="B63" i="17"/>
  <c r="B59" i="17"/>
  <c r="Z115" i="17"/>
  <c r="AG66" i="17"/>
  <c r="AD189" i="17"/>
  <c r="Z152" i="17"/>
  <c r="Z128" i="17"/>
  <c r="AE129" i="17"/>
  <c r="AE200" i="17"/>
  <c r="Z103" i="17"/>
  <c r="AF66" i="17"/>
  <c r="Z91" i="17"/>
  <c r="AE66" i="17"/>
  <c r="Z164" i="17"/>
  <c r="AA128" i="17"/>
  <c r="AF129" i="17"/>
  <c r="AG200" i="17"/>
  <c r="Z79" i="17"/>
  <c r="AD66" i="17"/>
  <c r="Y40" i="17"/>
  <c r="Y33" i="17"/>
  <c r="Y34" i="17"/>
  <c r="AH65" i="17"/>
  <c r="Z140" i="17"/>
  <c r="Y128" i="17"/>
  <c r="AD129" i="17"/>
  <c r="AG189" i="17"/>
  <c r="AD200" i="17"/>
  <c r="R9" i="17"/>
  <c r="P8" i="17"/>
  <c r="O5" i="17"/>
  <c r="P6" i="17"/>
  <c r="Q7" i="17"/>
  <c r="O6" i="17"/>
  <c r="P7" i="17"/>
  <c r="Q8" i="17"/>
  <c r="Q5" i="17"/>
  <c r="O7" i="17"/>
  <c r="P5" i="17"/>
  <c r="Q6" i="17"/>
  <c r="O8" i="17"/>
  <c r="Q9" i="17"/>
  <c r="AF190" i="17"/>
  <c r="AB128" i="17"/>
  <c r="AG129" i="17"/>
  <c r="Z176" i="17"/>
  <c r="AE189" i="17"/>
  <c r="AF200" i="17"/>
  <c r="R7" i="17"/>
  <c r="AH199" i="17"/>
  <c r="AH188" i="17"/>
  <c r="AH128" i="17"/>
  <c r="AC128" i="17" s="1"/>
  <c r="AB52" i="17"/>
  <c r="Y35" i="17"/>
  <c r="AB36" i="17"/>
  <c r="Z16" i="17"/>
  <c r="Y13" i="17"/>
  <c r="Y11" i="17"/>
  <c r="Y9" i="17"/>
  <c r="Y7" i="17"/>
  <c r="Y5" i="17"/>
  <c r="Y10" i="17"/>
  <c r="Y8" i="17"/>
  <c r="Y6" i="17"/>
  <c r="Y12" i="17"/>
  <c r="AA13" i="17"/>
  <c r="DG11" i="13"/>
  <c r="DI11" i="13"/>
  <c r="DF11" i="13"/>
  <c r="DH11" i="13"/>
  <c r="DE5" i="13"/>
  <c r="DE19" i="13" s="1"/>
  <c r="DE3" i="13"/>
  <c r="DE17" i="13" s="1"/>
  <c r="DE7" i="13"/>
  <c r="DE21" i="13" s="1"/>
  <c r="DD17" i="13"/>
  <c r="DF17" i="13"/>
  <c r="DH17" i="13"/>
  <c r="DH25" i="13" s="1"/>
  <c r="DD18" i="13"/>
  <c r="DD20" i="13"/>
  <c r="DD22" i="13"/>
  <c r="DD24" i="13"/>
  <c r="DG17" i="13"/>
  <c r="DG25" i="13" s="1"/>
  <c r="DI17" i="13"/>
  <c r="DI25" i="13" s="1"/>
  <c r="CW30" i="13"/>
  <c r="CW29" i="13"/>
  <c r="CW28" i="13"/>
  <c r="CW27" i="13"/>
  <c r="CW26" i="13"/>
  <c r="CW25" i="13"/>
  <c r="CW24" i="13"/>
  <c r="CW23" i="13"/>
  <c r="CW22" i="13"/>
  <c r="CW21" i="13"/>
  <c r="CW20" i="13"/>
  <c r="CW19" i="13"/>
  <c r="CW18" i="13"/>
  <c r="CW17" i="13"/>
  <c r="CW16" i="13"/>
  <c r="CW15" i="13"/>
  <c r="CW14" i="13"/>
  <c r="CW13" i="13"/>
  <c r="CW12" i="13"/>
  <c r="CW11" i="13"/>
  <c r="CW10" i="13"/>
  <c r="CW9" i="13"/>
  <c r="CW8" i="13"/>
  <c r="CW7" i="13"/>
  <c r="CW6" i="13"/>
  <c r="CW5" i="13"/>
  <c r="CW4" i="13"/>
  <c r="CV30" i="13"/>
  <c r="CV29" i="13"/>
  <c r="CV28" i="13"/>
  <c r="CV27" i="13"/>
  <c r="CV26" i="13"/>
  <c r="CV25" i="13"/>
  <c r="CV24" i="13"/>
  <c r="CV23" i="13"/>
  <c r="CV22" i="13"/>
  <c r="CV21" i="13"/>
  <c r="CV20" i="13"/>
  <c r="CV19" i="13"/>
  <c r="CV18" i="13"/>
  <c r="CV17" i="13"/>
  <c r="CV16" i="13"/>
  <c r="CV15" i="13"/>
  <c r="CV14" i="13"/>
  <c r="CV13" i="13"/>
  <c r="CV12" i="13"/>
  <c r="CV11" i="13"/>
  <c r="CV10" i="13"/>
  <c r="CV9" i="13"/>
  <c r="CV8" i="13"/>
  <c r="CV7" i="13"/>
  <c r="CV6" i="13"/>
  <c r="CV5" i="13"/>
  <c r="CV4" i="13"/>
  <c r="CU30" i="13"/>
  <c r="CU29" i="13"/>
  <c r="CU28" i="13"/>
  <c r="CU27" i="13"/>
  <c r="CU26" i="13"/>
  <c r="CU25" i="13"/>
  <c r="CU24" i="13"/>
  <c r="CU23" i="13"/>
  <c r="CU22" i="13"/>
  <c r="CU21" i="13"/>
  <c r="CU20" i="13"/>
  <c r="CU19" i="13"/>
  <c r="CU18" i="13"/>
  <c r="CU17" i="13"/>
  <c r="CU16" i="13"/>
  <c r="CU15" i="13"/>
  <c r="CU14" i="13"/>
  <c r="CU13" i="13"/>
  <c r="CU12" i="13"/>
  <c r="CU11" i="13"/>
  <c r="CU10" i="13"/>
  <c r="CU9" i="13"/>
  <c r="CU8" i="13"/>
  <c r="CU7" i="13"/>
  <c r="CU6" i="13"/>
  <c r="CU5" i="13"/>
  <c r="CU4" i="13"/>
  <c r="CT30" i="13"/>
  <c r="CX30" i="13" s="1"/>
  <c r="CT29" i="13"/>
  <c r="CX29" i="13" s="1"/>
  <c r="CT28" i="13"/>
  <c r="CX28" i="13" s="1"/>
  <c r="CT27" i="13"/>
  <c r="CX27" i="13" s="1"/>
  <c r="CT26" i="13"/>
  <c r="CX26" i="13" s="1"/>
  <c r="CT25" i="13"/>
  <c r="CX25" i="13" s="1"/>
  <c r="CT24" i="13"/>
  <c r="CX24" i="13" s="1"/>
  <c r="CT23" i="13"/>
  <c r="CX23" i="13" s="1"/>
  <c r="CT22" i="13"/>
  <c r="CX22" i="13" s="1"/>
  <c r="CT21" i="13"/>
  <c r="CX21" i="13" s="1"/>
  <c r="CT20" i="13"/>
  <c r="CT19" i="13"/>
  <c r="CX19" i="13" s="1"/>
  <c r="CT18" i="13"/>
  <c r="CT17" i="13"/>
  <c r="CX17" i="13" s="1"/>
  <c r="CT16" i="13"/>
  <c r="CT15" i="13"/>
  <c r="CX15" i="13" s="1"/>
  <c r="CT14" i="13"/>
  <c r="CT13" i="13"/>
  <c r="CX13" i="13" s="1"/>
  <c r="CT12" i="13"/>
  <c r="CT11" i="13"/>
  <c r="CX11" i="13" s="1"/>
  <c r="CT10" i="13"/>
  <c r="CT9" i="13"/>
  <c r="CX9" i="13" s="1"/>
  <c r="CT8" i="13"/>
  <c r="CT7" i="13"/>
  <c r="CX7" i="13" s="1"/>
  <c r="CT6" i="13"/>
  <c r="CT5" i="13"/>
  <c r="CT4" i="13"/>
  <c r="B59" i="13"/>
  <c r="C59" i="13" s="1"/>
  <c r="D58" i="13"/>
  <c r="D59" i="13" s="1"/>
  <c r="B58" i="13"/>
  <c r="C58" i="13" s="1"/>
  <c r="D57" i="13"/>
  <c r="B57" i="13"/>
  <c r="C57" i="13" s="1"/>
  <c r="D56" i="13"/>
  <c r="B56" i="13"/>
  <c r="C56" i="13" s="1"/>
  <c r="D55" i="13"/>
  <c r="B55" i="13"/>
  <c r="C55" i="13" s="1"/>
  <c r="D54" i="13"/>
  <c r="B54" i="13"/>
  <c r="C54" i="13" s="1"/>
  <c r="D53" i="13"/>
  <c r="B53" i="13"/>
  <c r="C53" i="13" s="1"/>
  <c r="D52" i="13"/>
  <c r="B52" i="13"/>
  <c r="F49" i="17" l="1"/>
  <c r="B60" i="13"/>
  <c r="F48" i="17"/>
  <c r="ET42" i="17"/>
  <c r="DD13" i="13"/>
  <c r="DA11" i="13" s="1"/>
  <c r="ES7" i="17"/>
  <c r="ES19" i="17"/>
  <c r="EN6" i="17"/>
  <c r="EM7" i="17"/>
  <c r="EN31" i="17"/>
  <c r="EM32" i="17"/>
  <c r="EM45" i="17"/>
  <c r="EN44" i="17"/>
  <c r="EO17" i="17"/>
  <c r="B54" i="17"/>
  <c r="F50" i="17"/>
  <c r="ET16" i="17"/>
  <c r="EO30" i="17"/>
  <c r="EO43" i="17"/>
  <c r="EO5" i="17"/>
  <c r="EP4" i="17"/>
  <c r="EM19" i="17"/>
  <c r="EN18" i="17"/>
  <c r="ET29" i="17"/>
  <c r="FO51" i="17"/>
  <c r="FV7" i="17"/>
  <c r="FO40" i="17"/>
  <c r="FU7" i="17"/>
  <c r="FO18" i="17"/>
  <c r="FS7" i="17"/>
  <c r="FW6" i="17"/>
  <c r="FO29" i="17"/>
  <c r="FT7" i="17"/>
  <c r="CX4" i="13"/>
  <c r="CX6" i="13"/>
  <c r="CX8" i="13"/>
  <c r="CX10" i="13"/>
  <c r="CX12" i="13"/>
  <c r="CX14" i="13"/>
  <c r="CX16" i="13"/>
  <c r="CX18" i="13"/>
  <c r="CX20" i="13"/>
  <c r="D54" i="17"/>
  <c r="E54" i="17"/>
  <c r="F51" i="17"/>
  <c r="F52" i="17"/>
  <c r="DF13" i="13"/>
  <c r="DC10" i="13" s="1"/>
  <c r="AW211" i="17"/>
  <c r="AM247" i="17"/>
  <c r="BP94" i="17"/>
  <c r="BF125" i="17"/>
  <c r="AZ214" i="17"/>
  <c r="AM297" i="17"/>
  <c r="AW122" i="17"/>
  <c r="AM158" i="17"/>
  <c r="BO95" i="17"/>
  <c r="BF116" i="17"/>
  <c r="BS97" i="17"/>
  <c r="BF167" i="17"/>
  <c r="AM254" i="17"/>
  <c r="AW218" i="17"/>
  <c r="BF130" i="17"/>
  <c r="BP99" i="17"/>
  <c r="AV212" i="17"/>
  <c r="AM236" i="17"/>
  <c r="AU213" i="17"/>
  <c r="AT214" i="17"/>
  <c r="AM225" i="17"/>
  <c r="BM97" i="17"/>
  <c r="BF107" i="17"/>
  <c r="BN96" i="17"/>
  <c r="BM9" i="17"/>
  <c r="BN8" i="17"/>
  <c r="BF20" i="17"/>
  <c r="BS9" i="17"/>
  <c r="BF86" i="17"/>
  <c r="AM18" i="17"/>
  <c r="AQ7" i="17"/>
  <c r="AU6" i="17"/>
  <c r="BF77" i="17"/>
  <c r="F54" i="17"/>
  <c r="E53" i="17"/>
  <c r="E46" i="17"/>
  <c r="E47" i="17"/>
  <c r="B48" i="17"/>
  <c r="E49" i="17"/>
  <c r="D50" i="17"/>
  <c r="E51" i="17"/>
  <c r="F46" i="17"/>
  <c r="B47" i="17"/>
  <c r="E48" i="17"/>
  <c r="B49" i="17"/>
  <c r="E50" i="17"/>
  <c r="B51" i="17"/>
  <c r="B53" i="17"/>
  <c r="B52" i="17"/>
  <c r="D52" i="17"/>
  <c r="E52" i="17"/>
  <c r="C46" i="17"/>
  <c r="C47" i="17"/>
  <c r="D48" i="17"/>
  <c r="C49" i="17"/>
  <c r="B50" i="17"/>
  <c r="C51" i="17"/>
  <c r="C53" i="17"/>
  <c r="D46" i="17"/>
  <c r="D47" i="17"/>
  <c r="C48" i="17"/>
  <c r="D49" i="17"/>
  <c r="C50" i="17"/>
  <c r="D51" i="17"/>
  <c r="D53" i="17"/>
  <c r="B46" i="17"/>
  <c r="C52" i="17"/>
  <c r="BP6" i="17"/>
  <c r="BF40" i="17"/>
  <c r="AM40" i="17"/>
  <c r="AS7" i="17"/>
  <c r="AT119" i="17"/>
  <c r="AU118" i="17"/>
  <c r="AM130" i="17"/>
  <c r="AR7" i="17"/>
  <c r="AM29" i="17"/>
  <c r="BF30" i="17"/>
  <c r="BO7" i="17"/>
  <c r="AM202" i="17"/>
  <c r="AZ119" i="17"/>
  <c r="AY115" i="17"/>
  <c r="AM175" i="17"/>
  <c r="AM152" i="17"/>
  <c r="AW116" i="17"/>
  <c r="BF50" i="17"/>
  <c r="BQ5" i="17"/>
  <c r="BR4" i="17"/>
  <c r="BF60" i="17"/>
  <c r="AT7" i="17"/>
  <c r="AM51" i="17"/>
  <c r="AM141" i="17"/>
  <c r="AV117" i="17"/>
  <c r="F53" i="17"/>
  <c r="C54" i="17"/>
  <c r="BT4" i="17"/>
  <c r="BT10" i="17"/>
  <c r="AF191" i="17"/>
  <c r="AF201" i="17"/>
  <c r="AE190" i="17"/>
  <c r="Y129" i="17"/>
  <c r="Z141" i="17"/>
  <c r="AD130" i="17"/>
  <c r="AG201" i="17"/>
  <c r="Z165" i="17"/>
  <c r="AA129" i="17"/>
  <c r="AF130" i="17"/>
  <c r="Z104" i="17"/>
  <c r="AF67" i="17"/>
  <c r="Z116" i="17"/>
  <c r="AG67" i="17"/>
  <c r="Z177" i="17"/>
  <c r="AG130" i="17"/>
  <c r="AB129" i="17"/>
  <c r="AD201" i="17"/>
  <c r="AG190" i="17"/>
  <c r="Z80" i="17"/>
  <c r="AD67" i="17"/>
  <c r="AH66" i="17"/>
  <c r="AE67" i="17"/>
  <c r="Z92" i="17"/>
  <c r="AE201" i="17"/>
  <c r="AE130" i="17"/>
  <c r="Z153" i="17"/>
  <c r="Z129" i="17"/>
  <c r="AD190" i="17"/>
  <c r="AH200" i="17"/>
  <c r="AH189" i="17"/>
  <c r="AH129" i="17"/>
  <c r="AC129" i="17" s="1"/>
  <c r="AB53" i="17"/>
  <c r="Y36" i="17"/>
  <c r="AB37" i="17"/>
  <c r="Z26" i="17"/>
  <c r="CX5" i="13"/>
  <c r="DA4" i="13"/>
  <c r="CU31" i="13"/>
  <c r="DA22" i="13"/>
  <c r="DF25" i="13"/>
  <c r="DA21" i="13"/>
  <c r="DA6" i="13"/>
  <c r="DE11" i="13"/>
  <c r="DE13" i="13" s="1"/>
  <c r="DB21" i="13" s="1"/>
  <c r="DA24" i="13"/>
  <c r="DE25" i="13"/>
  <c r="DE27" i="13" s="1"/>
  <c r="DD25" i="13"/>
  <c r="DA17" i="13"/>
  <c r="DC19" i="13"/>
  <c r="DC4" i="13"/>
  <c r="DC5" i="13"/>
  <c r="DA9" i="13"/>
  <c r="DA5" i="13"/>
  <c r="CT31" i="13"/>
  <c r="CW31" i="13"/>
  <c r="CV31" i="13"/>
  <c r="C52" i="13"/>
  <c r="C60" i="13" s="1"/>
  <c r="D60" i="13"/>
  <c r="N1437" i="12"/>
  <c r="N1436" i="12"/>
  <c r="N1435" i="12"/>
  <c r="N1434" i="12"/>
  <c r="N1433" i="12"/>
  <c r="N1432" i="12"/>
  <c r="N1431" i="12"/>
  <c r="N1430" i="12"/>
  <c r="N1429" i="12"/>
  <c r="N1428" i="12"/>
  <c r="N1427" i="12"/>
  <c r="N1426" i="12"/>
  <c r="N1425" i="12"/>
  <c r="N1424" i="12"/>
  <c r="N1423" i="12"/>
  <c r="N1422" i="12"/>
  <c r="N1421" i="12"/>
  <c r="N1420" i="12"/>
  <c r="N1419" i="12"/>
  <c r="N1418" i="12"/>
  <c r="N1417" i="12"/>
  <c r="N1416" i="12"/>
  <c r="N1415" i="12"/>
  <c r="N1414" i="12"/>
  <c r="N1413" i="12"/>
  <c r="N1412" i="12"/>
  <c r="N1411" i="12"/>
  <c r="N1410" i="12"/>
  <c r="N1409" i="12"/>
  <c r="N1408" i="12"/>
  <c r="N1407" i="12"/>
  <c r="N1406" i="12"/>
  <c r="N1405" i="12"/>
  <c r="N1404" i="12"/>
  <c r="N1403" i="12"/>
  <c r="N1402" i="12"/>
  <c r="N1401" i="12"/>
  <c r="N1400" i="12"/>
  <c r="N1399" i="12"/>
  <c r="N1398" i="12"/>
  <c r="N1397" i="12"/>
  <c r="N1396" i="12"/>
  <c r="N1395" i="12"/>
  <c r="N1394" i="12"/>
  <c r="N1393" i="12"/>
  <c r="N1392" i="12"/>
  <c r="N1391" i="12"/>
  <c r="N1390" i="12"/>
  <c r="N1389" i="12"/>
  <c r="N1388" i="12"/>
  <c r="N1387" i="12"/>
  <c r="N1386" i="12"/>
  <c r="N1385" i="12"/>
  <c r="N1384" i="12"/>
  <c r="N1383" i="12"/>
  <c r="N1382" i="12"/>
  <c r="N1381" i="12"/>
  <c r="N1380" i="12"/>
  <c r="N1379" i="12"/>
  <c r="N1378" i="12"/>
  <c r="N1377" i="12"/>
  <c r="N1376" i="12"/>
  <c r="N1375" i="12"/>
  <c r="N1374" i="12"/>
  <c r="N1373" i="12"/>
  <c r="N1372" i="12"/>
  <c r="N1371" i="12"/>
  <c r="N1370" i="12"/>
  <c r="N1369" i="12"/>
  <c r="N1368" i="12"/>
  <c r="N1367" i="12"/>
  <c r="N1366" i="12"/>
  <c r="N1365" i="12"/>
  <c r="N1364" i="12"/>
  <c r="N1363" i="12"/>
  <c r="N1362" i="12"/>
  <c r="N1361" i="12"/>
  <c r="N1360" i="12"/>
  <c r="N1359" i="12"/>
  <c r="N1358" i="12"/>
  <c r="N1357" i="12"/>
  <c r="N1356" i="12"/>
  <c r="N1355" i="12"/>
  <c r="N1354" i="12"/>
  <c r="N1353" i="12"/>
  <c r="N1352" i="12"/>
  <c r="N1351" i="12"/>
  <c r="N1350" i="12"/>
  <c r="N1349" i="12"/>
  <c r="N1348" i="12"/>
  <c r="N1347" i="12"/>
  <c r="N1346" i="12"/>
  <c r="N1345" i="12"/>
  <c r="N1344" i="12"/>
  <c r="N1343" i="12"/>
  <c r="N1342" i="12"/>
  <c r="N1341" i="12"/>
  <c r="N1340" i="12"/>
  <c r="N1339" i="12"/>
  <c r="N1338" i="12"/>
  <c r="N1337" i="12"/>
  <c r="N1336" i="12"/>
  <c r="N1335" i="12"/>
  <c r="N1334" i="12"/>
  <c r="N1333" i="12"/>
  <c r="N1332" i="12"/>
  <c r="N1331" i="12"/>
  <c r="N1330" i="12"/>
  <c r="N1329" i="12"/>
  <c r="N1328" i="12"/>
  <c r="N1327" i="12"/>
  <c r="N1326" i="12"/>
  <c r="N1325" i="12"/>
  <c r="N1324" i="12"/>
  <c r="N1323" i="12"/>
  <c r="N1322" i="12"/>
  <c r="N1321" i="12"/>
  <c r="N1320" i="12"/>
  <c r="N1319" i="12"/>
  <c r="N1318" i="12"/>
  <c r="N1317" i="12"/>
  <c r="N1316" i="12"/>
  <c r="N1315" i="12"/>
  <c r="N1314" i="12"/>
  <c r="N1313" i="12"/>
  <c r="N1312" i="12"/>
  <c r="N1311" i="12"/>
  <c r="N1310" i="12"/>
  <c r="N1309" i="12"/>
  <c r="N1308" i="12"/>
  <c r="N1307" i="12"/>
  <c r="N1306" i="12"/>
  <c r="N1305" i="12"/>
  <c r="N1304" i="12"/>
  <c r="N1303" i="12"/>
  <c r="N1302" i="12"/>
  <c r="N1301" i="12"/>
  <c r="N1300" i="12"/>
  <c r="N1299" i="12"/>
  <c r="N1298" i="12"/>
  <c r="N1297" i="12"/>
  <c r="N1296" i="12"/>
  <c r="N1295" i="12"/>
  <c r="N1294" i="12"/>
  <c r="N1293" i="12"/>
  <c r="N1292" i="12"/>
  <c r="N1291" i="12"/>
  <c r="N1290" i="12"/>
  <c r="N1289" i="12"/>
  <c r="N1288" i="12"/>
  <c r="N1287" i="12"/>
  <c r="N1286" i="12"/>
  <c r="N1285" i="12"/>
  <c r="N1284" i="12"/>
  <c r="N1283" i="12"/>
  <c r="N1282" i="12"/>
  <c r="N1281" i="12"/>
  <c r="N1280" i="12"/>
  <c r="N1279" i="12"/>
  <c r="N1278" i="12"/>
  <c r="N1277" i="12"/>
  <c r="N1276" i="12"/>
  <c r="N1275" i="12"/>
  <c r="N1274" i="12"/>
  <c r="N1273" i="12"/>
  <c r="N1272" i="12"/>
  <c r="N1271" i="12"/>
  <c r="N1270" i="12"/>
  <c r="N1269" i="12"/>
  <c r="N1268" i="12"/>
  <c r="N1267" i="12"/>
  <c r="N1266" i="12"/>
  <c r="N1265" i="12"/>
  <c r="N1264" i="12"/>
  <c r="N1263" i="12"/>
  <c r="N1262" i="12"/>
  <c r="N1261" i="12"/>
  <c r="N1260" i="12"/>
  <c r="N1259" i="12"/>
  <c r="N1258" i="12"/>
  <c r="N1257" i="12"/>
  <c r="N1256" i="12"/>
  <c r="N1255" i="12"/>
  <c r="N1254" i="12"/>
  <c r="N1253" i="12"/>
  <c r="N1252" i="12"/>
  <c r="N1251" i="12"/>
  <c r="N1250" i="12"/>
  <c r="N1249" i="12"/>
  <c r="N1248" i="12"/>
  <c r="N1247" i="12"/>
  <c r="N1246" i="12"/>
  <c r="N1245" i="12"/>
  <c r="N1244" i="12"/>
  <c r="N1243" i="12"/>
  <c r="N1242" i="12"/>
  <c r="N1241" i="12"/>
  <c r="N1240" i="12"/>
  <c r="N1239" i="12"/>
  <c r="N1238" i="12"/>
  <c r="N1237" i="12"/>
  <c r="N1236" i="12"/>
  <c r="N1235" i="12"/>
  <c r="N1234" i="12"/>
  <c r="N1233" i="12"/>
  <c r="N1232" i="12"/>
  <c r="N1231" i="12"/>
  <c r="N1230" i="12"/>
  <c r="N1229" i="12"/>
  <c r="N1228" i="12"/>
  <c r="N1227" i="12"/>
  <c r="N1226" i="12"/>
  <c r="N1225" i="12"/>
  <c r="N1224" i="12"/>
  <c r="N1223" i="12"/>
  <c r="N1222" i="12"/>
  <c r="N1221" i="12"/>
  <c r="N1220" i="12"/>
  <c r="N1219" i="12"/>
  <c r="N1218" i="12"/>
  <c r="N1217" i="12"/>
  <c r="N1216" i="12"/>
  <c r="N1215" i="12"/>
  <c r="N1214" i="12"/>
  <c r="N1213" i="12"/>
  <c r="N1212" i="12"/>
  <c r="N1211" i="12"/>
  <c r="N1210" i="12"/>
  <c r="N1209" i="12"/>
  <c r="N1208" i="12"/>
  <c r="N1207" i="12"/>
  <c r="N1206" i="12"/>
  <c r="N1205" i="12"/>
  <c r="N1204" i="12"/>
  <c r="N1203" i="12"/>
  <c r="N1202" i="12"/>
  <c r="N1201" i="12"/>
  <c r="N1200" i="12"/>
  <c r="N1199" i="12"/>
  <c r="N1198" i="12"/>
  <c r="N1197" i="12"/>
  <c r="N1196" i="12"/>
  <c r="N1195" i="12"/>
  <c r="N1194" i="12"/>
  <c r="N1193" i="12"/>
  <c r="N1192" i="12"/>
  <c r="N1191" i="12"/>
  <c r="N1190" i="12"/>
  <c r="N1189" i="12"/>
  <c r="N1188" i="12"/>
  <c r="N1187" i="12"/>
  <c r="N1186" i="12"/>
  <c r="N1185" i="12"/>
  <c r="N1184" i="12"/>
  <c r="N1183" i="12"/>
  <c r="N1182" i="12"/>
  <c r="N1181" i="12"/>
  <c r="N1180" i="12"/>
  <c r="N1179" i="12"/>
  <c r="N1178" i="12"/>
  <c r="N1177" i="12"/>
  <c r="N1176" i="12"/>
  <c r="N1175" i="12"/>
  <c r="N1174" i="12"/>
  <c r="N1173" i="12"/>
  <c r="N1172" i="12"/>
  <c r="N1171" i="12"/>
  <c r="N1170" i="12"/>
  <c r="N1169" i="12"/>
  <c r="N1168" i="12"/>
  <c r="N1167" i="12"/>
  <c r="N1166" i="12"/>
  <c r="N1165" i="12"/>
  <c r="N1164" i="12"/>
  <c r="N1163" i="12"/>
  <c r="N1162" i="12"/>
  <c r="N1161" i="12"/>
  <c r="N1160" i="12"/>
  <c r="N1159" i="12"/>
  <c r="N1158" i="12"/>
  <c r="N1157" i="12"/>
  <c r="N1156" i="12"/>
  <c r="N1155" i="12"/>
  <c r="N1154" i="12"/>
  <c r="N1153" i="12"/>
  <c r="N1152" i="12"/>
  <c r="N1151" i="12"/>
  <c r="N1150" i="12"/>
  <c r="N1149" i="12"/>
  <c r="N1148" i="12"/>
  <c r="N1147" i="12"/>
  <c r="N1146" i="12"/>
  <c r="N1145" i="12"/>
  <c r="N1144" i="12"/>
  <c r="N1143" i="12"/>
  <c r="N1142" i="12"/>
  <c r="N1141" i="12"/>
  <c r="N1140" i="12"/>
  <c r="N1139" i="12"/>
  <c r="N1138" i="12"/>
  <c r="N1137" i="12"/>
  <c r="N1136" i="12"/>
  <c r="N1135" i="12"/>
  <c r="N1134" i="12"/>
  <c r="N1133" i="12"/>
  <c r="N1132" i="12"/>
  <c r="N1131" i="12"/>
  <c r="N1130" i="12"/>
  <c r="N1129" i="12"/>
  <c r="N1128" i="12"/>
  <c r="N1127" i="12"/>
  <c r="N1126" i="12"/>
  <c r="N1125" i="12"/>
  <c r="N1124" i="12"/>
  <c r="N1123" i="12"/>
  <c r="N1122" i="12"/>
  <c r="N1121" i="12"/>
  <c r="N1120" i="12"/>
  <c r="N1119" i="12"/>
  <c r="N1118" i="12"/>
  <c r="N1117" i="12"/>
  <c r="N1116" i="12"/>
  <c r="N1115" i="12"/>
  <c r="N1114" i="12"/>
  <c r="N1113" i="12"/>
  <c r="N1112" i="12"/>
  <c r="N1111" i="12"/>
  <c r="N1110" i="12"/>
  <c r="N1109" i="12"/>
  <c r="N1108" i="12"/>
  <c r="N1107" i="12"/>
  <c r="N1106" i="12"/>
  <c r="N1105" i="12"/>
  <c r="N1104" i="12"/>
  <c r="N1103" i="12"/>
  <c r="N1102" i="12"/>
  <c r="N1101" i="12"/>
  <c r="N1100" i="12"/>
  <c r="N1099" i="12"/>
  <c r="N1098" i="12"/>
  <c r="N1097" i="12"/>
  <c r="N1096" i="12"/>
  <c r="N1095" i="12"/>
  <c r="N1094" i="12"/>
  <c r="N1093" i="12"/>
  <c r="N1092" i="12"/>
  <c r="N1091" i="12"/>
  <c r="N1090" i="12"/>
  <c r="N1089" i="12"/>
  <c r="N1088" i="12"/>
  <c r="N1087" i="12"/>
  <c r="N1086" i="12"/>
  <c r="N1085" i="12"/>
  <c r="N1084" i="12"/>
  <c r="N1083" i="12"/>
  <c r="N1082" i="12"/>
  <c r="N1081" i="12"/>
  <c r="N1080" i="12"/>
  <c r="N1079" i="12"/>
  <c r="N1078" i="12"/>
  <c r="N1077" i="12"/>
  <c r="N1076" i="12"/>
  <c r="N1075" i="12"/>
  <c r="N1074" i="12"/>
  <c r="N1073" i="12"/>
  <c r="N1072" i="12"/>
  <c r="N1071" i="12"/>
  <c r="N1070" i="12"/>
  <c r="N1069" i="12"/>
  <c r="N1068" i="12"/>
  <c r="N1067" i="12"/>
  <c r="N1066" i="12"/>
  <c r="N1065" i="12"/>
  <c r="N1064" i="12"/>
  <c r="N1063" i="12"/>
  <c r="N1062" i="12"/>
  <c r="N1061" i="12"/>
  <c r="N1060" i="12"/>
  <c r="N1059" i="12"/>
  <c r="N1058" i="12"/>
  <c r="N1057" i="12"/>
  <c r="N1056" i="12"/>
  <c r="N1055" i="12"/>
  <c r="N1054" i="12"/>
  <c r="N1053" i="12"/>
  <c r="N1052" i="12"/>
  <c r="N1051" i="12"/>
  <c r="N1050" i="12"/>
  <c r="N1049" i="12"/>
  <c r="N1048" i="12"/>
  <c r="N1047" i="12"/>
  <c r="N1046" i="12"/>
  <c r="N1045" i="12"/>
  <c r="N1044" i="12"/>
  <c r="N1043" i="12"/>
  <c r="N1042" i="12"/>
  <c r="N1041" i="12"/>
  <c r="N1040" i="12"/>
  <c r="N1039" i="12"/>
  <c r="N1038" i="12"/>
  <c r="N1037" i="12"/>
  <c r="N1036" i="12"/>
  <c r="N1035" i="12"/>
  <c r="N1034" i="12"/>
  <c r="N1033" i="12"/>
  <c r="N1032" i="12"/>
  <c r="N1031" i="12"/>
  <c r="N1030" i="12"/>
  <c r="N1029" i="12"/>
  <c r="N1028" i="12"/>
  <c r="N1027" i="12"/>
  <c r="N1026" i="12"/>
  <c r="N1025" i="12"/>
  <c r="N1024" i="12"/>
  <c r="N1023" i="12"/>
  <c r="N1022" i="12"/>
  <c r="N1021" i="12"/>
  <c r="N1020" i="12"/>
  <c r="N1019" i="12"/>
  <c r="N1018" i="12"/>
  <c r="N1017" i="12"/>
  <c r="N1016" i="12"/>
  <c r="N1015" i="12"/>
  <c r="N1014" i="12"/>
  <c r="N1013" i="12"/>
  <c r="N1012" i="12"/>
  <c r="N1011" i="12"/>
  <c r="N1010" i="12"/>
  <c r="N1009" i="12"/>
  <c r="N1008" i="12"/>
  <c r="N1007" i="12"/>
  <c r="N1006" i="12"/>
  <c r="N1005" i="12"/>
  <c r="N1004" i="12"/>
  <c r="N1003" i="12"/>
  <c r="N1002" i="12"/>
  <c r="N1001" i="12"/>
  <c r="N1000" i="12"/>
  <c r="N999" i="12"/>
  <c r="N998" i="12"/>
  <c r="N997" i="12"/>
  <c r="N996" i="12"/>
  <c r="N995" i="12"/>
  <c r="N994" i="12"/>
  <c r="N993" i="12"/>
  <c r="N992" i="12"/>
  <c r="N991" i="12"/>
  <c r="N990" i="12"/>
  <c r="N989" i="12"/>
  <c r="N988" i="12"/>
  <c r="N987" i="12"/>
  <c r="N986" i="12"/>
  <c r="N985" i="12"/>
  <c r="N984" i="12"/>
  <c r="N983" i="12"/>
  <c r="N982" i="12"/>
  <c r="N981" i="12"/>
  <c r="N980" i="12"/>
  <c r="N979" i="12"/>
  <c r="N978" i="12"/>
  <c r="N977" i="12"/>
  <c r="N976" i="12"/>
  <c r="N975" i="12"/>
  <c r="N974" i="12"/>
  <c r="N973" i="12"/>
  <c r="N972" i="12"/>
  <c r="N971" i="12"/>
  <c r="N970" i="12"/>
  <c r="N969" i="12"/>
  <c r="N968" i="12"/>
  <c r="N967" i="12"/>
  <c r="N966" i="12"/>
  <c r="N965" i="12"/>
  <c r="N964" i="12"/>
  <c r="N963" i="12"/>
  <c r="N962" i="12"/>
  <c r="N961" i="12"/>
  <c r="N960" i="12"/>
  <c r="N959" i="12"/>
  <c r="N958" i="12"/>
  <c r="N957" i="12"/>
  <c r="N956" i="12"/>
  <c r="N955" i="12"/>
  <c r="N954" i="12"/>
  <c r="N953" i="12"/>
  <c r="N952" i="12"/>
  <c r="N951" i="12"/>
  <c r="N950" i="12"/>
  <c r="N949" i="12"/>
  <c r="N948" i="12"/>
  <c r="N947" i="12"/>
  <c r="N946" i="12"/>
  <c r="N945" i="12"/>
  <c r="N944" i="12"/>
  <c r="N943" i="12"/>
  <c r="N942" i="12"/>
  <c r="N941" i="12"/>
  <c r="N940" i="12"/>
  <c r="N939" i="12"/>
  <c r="N938" i="12"/>
  <c r="N937" i="12"/>
  <c r="N936" i="12"/>
  <c r="N935" i="12"/>
  <c r="N934" i="12"/>
  <c r="N933" i="12"/>
  <c r="N932" i="12"/>
  <c r="N931" i="12"/>
  <c r="N930" i="12"/>
  <c r="N929" i="12"/>
  <c r="N928" i="12"/>
  <c r="N927" i="12"/>
  <c r="N926" i="12"/>
  <c r="N925" i="12"/>
  <c r="N924" i="12"/>
  <c r="N923" i="12"/>
  <c r="N922" i="12"/>
  <c r="N921" i="12"/>
  <c r="N920" i="12"/>
  <c r="N919" i="12"/>
  <c r="N918" i="12"/>
  <c r="N917" i="12"/>
  <c r="N916" i="12"/>
  <c r="N915" i="12"/>
  <c r="N914" i="12"/>
  <c r="N913" i="12"/>
  <c r="N912" i="12"/>
  <c r="N911" i="12"/>
  <c r="N910" i="12"/>
  <c r="N909" i="12"/>
  <c r="N908" i="12"/>
  <c r="N907" i="12"/>
  <c r="N906" i="12"/>
  <c r="N905" i="12"/>
  <c r="N904" i="12"/>
  <c r="N903" i="12"/>
  <c r="N902" i="12"/>
  <c r="N901" i="12"/>
  <c r="N900" i="12"/>
  <c r="N899" i="12"/>
  <c r="N898" i="12"/>
  <c r="N897" i="12"/>
  <c r="N896" i="12"/>
  <c r="N895" i="12"/>
  <c r="N894" i="12"/>
  <c r="N893" i="12"/>
  <c r="N892" i="12"/>
  <c r="N891" i="12"/>
  <c r="N890" i="12"/>
  <c r="N889" i="12"/>
  <c r="N888" i="12"/>
  <c r="N887" i="12"/>
  <c r="N886" i="12"/>
  <c r="N885" i="12"/>
  <c r="N884" i="12"/>
  <c r="N883" i="12"/>
  <c r="N882" i="12"/>
  <c r="N881" i="12"/>
  <c r="N880" i="12"/>
  <c r="N879" i="12"/>
  <c r="N878" i="12"/>
  <c r="N877" i="12"/>
  <c r="N876" i="12"/>
  <c r="N875" i="12"/>
  <c r="N874" i="12"/>
  <c r="N873" i="12"/>
  <c r="N872" i="12"/>
  <c r="N871" i="12"/>
  <c r="N870" i="12"/>
  <c r="N869" i="12"/>
  <c r="N868" i="12"/>
  <c r="N867" i="12"/>
  <c r="N866" i="12"/>
  <c r="N865" i="12"/>
  <c r="N864" i="12"/>
  <c r="N863" i="12"/>
  <c r="N862" i="12"/>
  <c r="N861" i="12"/>
  <c r="N860" i="12"/>
  <c r="N859" i="12"/>
  <c r="N858" i="12"/>
  <c r="N857" i="12"/>
  <c r="N856" i="12"/>
  <c r="N855" i="12"/>
  <c r="N854" i="12"/>
  <c r="N853" i="12"/>
  <c r="N852" i="12"/>
  <c r="N851" i="12"/>
  <c r="N850" i="12"/>
  <c r="N849" i="12"/>
  <c r="N848" i="12"/>
  <c r="N847" i="12"/>
  <c r="N846" i="12"/>
  <c r="N845" i="12"/>
  <c r="N844" i="12"/>
  <c r="N843" i="12"/>
  <c r="N842" i="12"/>
  <c r="N841" i="12"/>
  <c r="N840" i="12"/>
  <c r="N839" i="12"/>
  <c r="N838" i="12"/>
  <c r="N837" i="12"/>
  <c r="N836" i="12"/>
  <c r="N835" i="12"/>
  <c r="N834" i="12"/>
  <c r="N833" i="12"/>
  <c r="N832" i="12"/>
  <c r="N831" i="12"/>
  <c r="N830" i="12"/>
  <c r="N829" i="12"/>
  <c r="N828" i="12"/>
  <c r="N827" i="12"/>
  <c r="N826" i="12"/>
  <c r="N825" i="12"/>
  <c r="N824" i="12"/>
  <c r="N823" i="12"/>
  <c r="N822" i="12"/>
  <c r="N821" i="12"/>
  <c r="N820" i="12"/>
  <c r="N819" i="12"/>
  <c r="N818" i="12"/>
  <c r="N817" i="12"/>
  <c r="N816" i="12"/>
  <c r="N815" i="12"/>
  <c r="N814" i="12"/>
  <c r="N813" i="12"/>
  <c r="N812" i="12"/>
  <c r="N811" i="12"/>
  <c r="N810" i="12"/>
  <c r="N809" i="12"/>
  <c r="N808" i="12"/>
  <c r="N807" i="12"/>
  <c r="N806" i="12"/>
  <c r="N805" i="12"/>
  <c r="N804" i="12"/>
  <c r="N803" i="12"/>
  <c r="N802" i="12"/>
  <c r="N801" i="12"/>
  <c r="N800" i="12"/>
  <c r="N799" i="12"/>
  <c r="N798" i="12"/>
  <c r="N797" i="12"/>
  <c r="N796" i="12"/>
  <c r="N795" i="12"/>
  <c r="N794" i="12"/>
  <c r="N793" i="12"/>
  <c r="N792" i="12"/>
  <c r="N791" i="12"/>
  <c r="N790" i="12"/>
  <c r="N789" i="12"/>
  <c r="N788" i="12"/>
  <c r="N787" i="12"/>
  <c r="N786" i="12"/>
  <c r="N785" i="12"/>
  <c r="N784" i="12"/>
  <c r="N783" i="12"/>
  <c r="N782" i="12"/>
  <c r="N781" i="12"/>
  <c r="N780" i="12"/>
  <c r="N779" i="12"/>
  <c r="N778" i="12"/>
  <c r="N777" i="12"/>
  <c r="N776" i="12"/>
  <c r="N775" i="12"/>
  <c r="N774" i="12"/>
  <c r="N773" i="12"/>
  <c r="N772" i="12"/>
  <c r="N771" i="12"/>
  <c r="N770" i="12"/>
  <c r="N769" i="12"/>
  <c r="N768" i="12"/>
  <c r="N767" i="12"/>
  <c r="N766" i="12"/>
  <c r="N765" i="12"/>
  <c r="N764" i="12"/>
  <c r="N763" i="12"/>
  <c r="N762" i="12"/>
  <c r="N761" i="12"/>
  <c r="N760" i="12"/>
  <c r="N759" i="12"/>
  <c r="N758" i="12"/>
  <c r="N757" i="12"/>
  <c r="N756" i="12"/>
  <c r="N755" i="12"/>
  <c r="N754" i="12"/>
  <c r="N753" i="12"/>
  <c r="N752" i="12"/>
  <c r="N751" i="12"/>
  <c r="N750" i="12"/>
  <c r="N749" i="12"/>
  <c r="N748" i="12"/>
  <c r="N747" i="12"/>
  <c r="N746" i="12"/>
  <c r="N745" i="12"/>
  <c r="N744" i="12"/>
  <c r="N743" i="12"/>
  <c r="N742" i="12"/>
  <c r="N741" i="12"/>
  <c r="N740" i="12"/>
  <c r="N739" i="12"/>
  <c r="N738" i="12"/>
  <c r="N737" i="12"/>
  <c r="N736" i="12"/>
  <c r="N735" i="12"/>
  <c r="N734" i="12"/>
  <c r="N733" i="12"/>
  <c r="N732" i="12"/>
  <c r="N731" i="12"/>
  <c r="N730" i="12"/>
  <c r="N729" i="12"/>
  <c r="N728" i="12"/>
  <c r="N727" i="12"/>
  <c r="N726" i="12"/>
  <c r="N725" i="12"/>
  <c r="N724" i="12"/>
  <c r="N723" i="12"/>
  <c r="N722" i="12"/>
  <c r="N721" i="12"/>
  <c r="N720" i="12"/>
  <c r="N719" i="12"/>
  <c r="N718" i="12"/>
  <c r="N717" i="12"/>
  <c r="N716" i="12"/>
  <c r="N715" i="12"/>
  <c r="N714" i="12"/>
  <c r="N713" i="12"/>
  <c r="N712" i="12"/>
  <c r="N711" i="12"/>
  <c r="N710" i="12"/>
  <c r="N709" i="12"/>
  <c r="N708" i="12"/>
  <c r="N707" i="12"/>
  <c r="N706" i="12"/>
  <c r="N705" i="12"/>
  <c r="N704" i="12"/>
  <c r="N703" i="12"/>
  <c r="N702" i="12"/>
  <c r="N701" i="12"/>
  <c r="N700" i="12"/>
  <c r="N699" i="12"/>
  <c r="N698" i="12"/>
  <c r="N697" i="12"/>
  <c r="N696" i="12"/>
  <c r="N695" i="12"/>
  <c r="N694" i="12"/>
  <c r="N693" i="12"/>
  <c r="N692" i="12"/>
  <c r="N691" i="12"/>
  <c r="N690" i="12"/>
  <c r="N689" i="12"/>
  <c r="N688" i="12"/>
  <c r="N687" i="12"/>
  <c r="N686" i="12"/>
  <c r="N685" i="12"/>
  <c r="N684" i="12"/>
  <c r="N683" i="12"/>
  <c r="N682" i="12"/>
  <c r="N681" i="12"/>
  <c r="N680" i="12"/>
  <c r="N679" i="12"/>
  <c r="N678" i="12"/>
  <c r="N677" i="12"/>
  <c r="N676" i="12"/>
  <c r="N675" i="12"/>
  <c r="N674" i="12"/>
  <c r="N673" i="12"/>
  <c r="N672" i="12"/>
  <c r="N671" i="12"/>
  <c r="N670" i="12"/>
  <c r="N669" i="12"/>
  <c r="N668" i="12"/>
  <c r="N667" i="12"/>
  <c r="N666" i="12"/>
  <c r="N665" i="12"/>
  <c r="N664" i="12"/>
  <c r="N663" i="12"/>
  <c r="N662" i="12"/>
  <c r="N661" i="12"/>
  <c r="N660" i="12"/>
  <c r="N659" i="12"/>
  <c r="N658" i="12"/>
  <c r="N657" i="12"/>
  <c r="N656" i="12"/>
  <c r="N655" i="12"/>
  <c r="N654" i="12"/>
  <c r="N653" i="12"/>
  <c r="N652" i="12"/>
  <c r="N651" i="12"/>
  <c r="N650" i="12"/>
  <c r="N649" i="12"/>
  <c r="N648" i="12"/>
  <c r="N647" i="12"/>
  <c r="N646" i="12"/>
  <c r="N645" i="12"/>
  <c r="N644" i="12"/>
  <c r="N643" i="12"/>
  <c r="N642" i="12"/>
  <c r="N641" i="12"/>
  <c r="N640" i="12"/>
  <c r="N639" i="12"/>
  <c r="N638" i="12"/>
  <c r="N637" i="12"/>
  <c r="N636" i="12"/>
  <c r="N635" i="12"/>
  <c r="N634" i="12"/>
  <c r="N633" i="12"/>
  <c r="N632" i="12"/>
  <c r="N631" i="12"/>
  <c r="N630" i="12"/>
  <c r="N629" i="12"/>
  <c r="N628" i="12"/>
  <c r="N627" i="12"/>
  <c r="N626" i="12"/>
  <c r="N625" i="12"/>
  <c r="N624" i="12"/>
  <c r="N623" i="12"/>
  <c r="N622" i="12"/>
  <c r="N621" i="12"/>
  <c r="N620" i="12"/>
  <c r="N619" i="12"/>
  <c r="N618" i="12"/>
  <c r="N617" i="12"/>
  <c r="N616" i="12"/>
  <c r="N615" i="12"/>
  <c r="N614" i="12"/>
  <c r="N613" i="12"/>
  <c r="N612" i="12"/>
  <c r="N611" i="12"/>
  <c r="N610" i="12"/>
  <c r="N609" i="12"/>
  <c r="N608" i="12"/>
  <c r="N607" i="12"/>
  <c r="N606" i="12"/>
  <c r="N605" i="12"/>
  <c r="N604" i="12"/>
  <c r="N603" i="12"/>
  <c r="N602" i="12"/>
  <c r="N601" i="12"/>
  <c r="N600" i="12"/>
  <c r="N599" i="12"/>
  <c r="N598" i="12"/>
  <c r="N597" i="12"/>
  <c r="N596" i="12"/>
  <c r="N595" i="12"/>
  <c r="N594" i="12"/>
  <c r="N593" i="12"/>
  <c r="N592" i="12"/>
  <c r="N591" i="12"/>
  <c r="N590" i="12"/>
  <c r="N589" i="12"/>
  <c r="N588" i="12"/>
  <c r="N587" i="12"/>
  <c r="N586" i="12"/>
  <c r="N585" i="12"/>
  <c r="N584" i="12"/>
  <c r="N583" i="12"/>
  <c r="N582" i="12"/>
  <c r="N581" i="12"/>
  <c r="N580" i="12"/>
  <c r="N579" i="12"/>
  <c r="N578" i="12"/>
  <c r="N577" i="12"/>
  <c r="N576" i="12"/>
  <c r="N575" i="12"/>
  <c r="N574" i="12"/>
  <c r="N573" i="12"/>
  <c r="N572" i="12"/>
  <c r="N571" i="12"/>
  <c r="N570" i="12"/>
  <c r="N569" i="12"/>
  <c r="N568" i="12"/>
  <c r="N567" i="12"/>
  <c r="N566" i="12"/>
  <c r="N565" i="12"/>
  <c r="N564" i="12"/>
  <c r="N563" i="12"/>
  <c r="N562" i="12"/>
  <c r="N561" i="12"/>
  <c r="N560" i="12"/>
  <c r="N559" i="12"/>
  <c r="N558" i="12"/>
  <c r="N557" i="12"/>
  <c r="N556" i="12"/>
  <c r="N555" i="12"/>
  <c r="N554" i="12"/>
  <c r="N553" i="12"/>
  <c r="N552" i="12"/>
  <c r="N551" i="12"/>
  <c r="N550" i="12"/>
  <c r="N549" i="12"/>
  <c r="N548" i="12"/>
  <c r="N547" i="12"/>
  <c r="N546" i="12"/>
  <c r="N545" i="12"/>
  <c r="N544" i="12"/>
  <c r="N543" i="12"/>
  <c r="N542" i="12"/>
  <c r="N541" i="12"/>
  <c r="N540" i="12"/>
  <c r="N539" i="12"/>
  <c r="N538" i="12"/>
  <c r="N537" i="12"/>
  <c r="N536" i="12"/>
  <c r="N535" i="12"/>
  <c r="N534" i="12"/>
  <c r="N533" i="12"/>
  <c r="N532" i="12"/>
  <c r="N531" i="12"/>
  <c r="N530" i="12"/>
  <c r="N529" i="12"/>
  <c r="N528" i="12"/>
  <c r="N527" i="12"/>
  <c r="N526" i="12"/>
  <c r="N525" i="12"/>
  <c r="N524" i="12"/>
  <c r="N523" i="12"/>
  <c r="N522" i="12"/>
  <c r="N521" i="12"/>
  <c r="N520" i="12"/>
  <c r="N519" i="12"/>
  <c r="N518" i="12"/>
  <c r="N517" i="12"/>
  <c r="N516" i="12"/>
  <c r="N515" i="12"/>
  <c r="N514" i="12"/>
  <c r="N513" i="12"/>
  <c r="N512" i="12"/>
  <c r="N511" i="12"/>
  <c r="N510" i="12"/>
  <c r="N509" i="12"/>
  <c r="N508" i="12"/>
  <c r="N507" i="12"/>
  <c r="N506" i="12"/>
  <c r="N505" i="12"/>
  <c r="N504" i="12"/>
  <c r="N503" i="12"/>
  <c r="N502" i="12"/>
  <c r="N501" i="12"/>
  <c r="N500" i="12"/>
  <c r="N499" i="12"/>
  <c r="N498" i="12"/>
  <c r="N497" i="12"/>
  <c r="N496" i="12"/>
  <c r="N495" i="12"/>
  <c r="N494" i="12"/>
  <c r="N493" i="12"/>
  <c r="N492" i="12"/>
  <c r="N491" i="12"/>
  <c r="N490" i="12"/>
  <c r="N489" i="12"/>
  <c r="N488" i="12"/>
  <c r="N487" i="12"/>
  <c r="N486" i="12"/>
  <c r="N485" i="12"/>
  <c r="N484" i="12"/>
  <c r="N483" i="12"/>
  <c r="N482" i="12"/>
  <c r="N481" i="12"/>
  <c r="N480" i="12"/>
  <c r="N479" i="12"/>
  <c r="N478" i="12"/>
  <c r="N477" i="12"/>
  <c r="N476" i="12"/>
  <c r="N475" i="12"/>
  <c r="N474" i="12"/>
  <c r="N473" i="12"/>
  <c r="N472" i="12"/>
  <c r="N471" i="12"/>
  <c r="N470" i="12"/>
  <c r="N469" i="12"/>
  <c r="N468" i="12"/>
  <c r="N467" i="12"/>
  <c r="N466" i="12"/>
  <c r="N465" i="12"/>
  <c r="N464" i="12"/>
  <c r="N463" i="12"/>
  <c r="N462" i="12"/>
  <c r="N461" i="12"/>
  <c r="N460" i="12"/>
  <c r="N459" i="12"/>
  <c r="N458" i="12"/>
  <c r="N457" i="12"/>
  <c r="N456" i="12"/>
  <c r="N455" i="12"/>
  <c r="N454" i="12"/>
  <c r="N453" i="12"/>
  <c r="N452" i="12"/>
  <c r="N451" i="12"/>
  <c r="N450" i="12"/>
  <c r="N449" i="12"/>
  <c r="N448" i="12"/>
  <c r="N447" i="12"/>
  <c r="N446" i="12"/>
  <c r="N445" i="12"/>
  <c r="N444" i="12"/>
  <c r="N443" i="12"/>
  <c r="N442" i="12"/>
  <c r="N441" i="12"/>
  <c r="N440" i="12"/>
  <c r="N439" i="12"/>
  <c r="N438" i="12"/>
  <c r="N437" i="12"/>
  <c r="N436" i="12"/>
  <c r="N435" i="12"/>
  <c r="N434" i="12"/>
  <c r="N433" i="12"/>
  <c r="N432" i="12"/>
  <c r="N431" i="12"/>
  <c r="N430" i="12"/>
  <c r="N429" i="12"/>
  <c r="N428" i="12"/>
  <c r="N427" i="12"/>
  <c r="N426" i="12"/>
  <c r="N425" i="12"/>
  <c r="N424" i="12"/>
  <c r="N423" i="12"/>
  <c r="N422" i="12"/>
  <c r="N421" i="12"/>
  <c r="N420" i="12"/>
  <c r="N419" i="12"/>
  <c r="N418" i="12"/>
  <c r="N417" i="12"/>
  <c r="N416" i="12"/>
  <c r="N415" i="12"/>
  <c r="N414" i="12"/>
  <c r="N413" i="12"/>
  <c r="N412" i="12"/>
  <c r="N411" i="12"/>
  <c r="N410" i="12"/>
  <c r="N409" i="12"/>
  <c r="N408" i="12"/>
  <c r="N407" i="12"/>
  <c r="N406" i="12"/>
  <c r="N405" i="12"/>
  <c r="N404" i="12"/>
  <c r="N403" i="12"/>
  <c r="N402" i="12"/>
  <c r="N401" i="12"/>
  <c r="N400" i="12"/>
  <c r="N399" i="12"/>
  <c r="N398" i="12"/>
  <c r="N397" i="12"/>
  <c r="N396" i="12"/>
  <c r="N395" i="12"/>
  <c r="N394" i="12"/>
  <c r="N393" i="12"/>
  <c r="N392" i="12"/>
  <c r="N391" i="12"/>
  <c r="N390" i="12"/>
  <c r="N389" i="12"/>
  <c r="N388" i="12"/>
  <c r="N387" i="12"/>
  <c r="N386" i="12"/>
  <c r="N385" i="12"/>
  <c r="N384" i="12"/>
  <c r="N383" i="12"/>
  <c r="N382" i="12"/>
  <c r="N381" i="12"/>
  <c r="N380" i="12"/>
  <c r="N379" i="12"/>
  <c r="N378" i="12"/>
  <c r="N377" i="12"/>
  <c r="N376" i="12"/>
  <c r="N375" i="12"/>
  <c r="N374" i="12"/>
  <c r="N373" i="12"/>
  <c r="N372" i="12"/>
  <c r="N371" i="12"/>
  <c r="N370" i="12"/>
  <c r="N369" i="12"/>
  <c r="N368" i="12"/>
  <c r="N367" i="12"/>
  <c r="N366" i="12"/>
  <c r="N365" i="12"/>
  <c r="N364" i="12"/>
  <c r="N363" i="12"/>
  <c r="N362" i="12"/>
  <c r="N361" i="12"/>
  <c r="N360" i="12"/>
  <c r="N359" i="12"/>
  <c r="N358" i="12"/>
  <c r="N357" i="12"/>
  <c r="N356" i="12"/>
  <c r="N355" i="12"/>
  <c r="N354" i="12"/>
  <c r="N353" i="12"/>
  <c r="N352" i="12"/>
  <c r="N351" i="12"/>
  <c r="N350" i="12"/>
  <c r="N349" i="12"/>
  <c r="N348" i="12"/>
  <c r="N347" i="12"/>
  <c r="N346" i="12"/>
  <c r="N345" i="12"/>
  <c r="N344" i="12"/>
  <c r="N343" i="12"/>
  <c r="N342" i="12"/>
  <c r="N341" i="12"/>
  <c r="N340" i="12"/>
  <c r="N339" i="12"/>
  <c r="N338" i="12"/>
  <c r="N337" i="12"/>
  <c r="N336" i="12"/>
  <c r="N335" i="12"/>
  <c r="N334" i="12"/>
  <c r="N333" i="12"/>
  <c r="N332" i="12"/>
  <c r="N331" i="12"/>
  <c r="N330" i="12"/>
  <c r="N329" i="12"/>
  <c r="N328" i="12"/>
  <c r="N327" i="12"/>
  <c r="N326" i="12"/>
  <c r="N325" i="12"/>
  <c r="N324" i="12"/>
  <c r="N323" i="12"/>
  <c r="N322" i="12"/>
  <c r="N321" i="12"/>
  <c r="N320" i="12"/>
  <c r="N319" i="12"/>
  <c r="N318" i="12"/>
  <c r="N317" i="12"/>
  <c r="N316" i="12"/>
  <c r="N315" i="12"/>
  <c r="N314" i="12"/>
  <c r="N313" i="12"/>
  <c r="N312" i="12"/>
  <c r="N311" i="12"/>
  <c r="N310" i="12"/>
  <c r="N309" i="12"/>
  <c r="N308" i="12"/>
  <c r="N307" i="12"/>
  <c r="N306" i="12"/>
  <c r="N305" i="12"/>
  <c r="N304" i="12"/>
  <c r="N303" i="12"/>
  <c r="N302" i="12"/>
  <c r="N301" i="12"/>
  <c r="N300" i="12"/>
  <c r="N299" i="12"/>
  <c r="N298" i="12"/>
  <c r="N297" i="12"/>
  <c r="N296" i="12"/>
  <c r="N295" i="12"/>
  <c r="N294" i="12"/>
  <c r="N293" i="12"/>
  <c r="N292" i="12"/>
  <c r="N291" i="12"/>
  <c r="N290" i="12"/>
  <c r="N289" i="12"/>
  <c r="N288" i="12"/>
  <c r="N287" i="12"/>
  <c r="N286" i="12"/>
  <c r="N285" i="12"/>
  <c r="N284" i="12"/>
  <c r="N283" i="12"/>
  <c r="N282" i="12"/>
  <c r="N281" i="12"/>
  <c r="N280" i="12"/>
  <c r="N279" i="12"/>
  <c r="N278" i="12"/>
  <c r="N277" i="12"/>
  <c r="N276" i="12"/>
  <c r="N275" i="12"/>
  <c r="N274" i="12"/>
  <c r="N273" i="12"/>
  <c r="N272" i="12"/>
  <c r="N271" i="12"/>
  <c r="N270" i="12"/>
  <c r="N269" i="12"/>
  <c r="N268" i="12"/>
  <c r="N267" i="12"/>
  <c r="N266" i="12"/>
  <c r="N265" i="12"/>
  <c r="N264" i="12"/>
  <c r="N263" i="12"/>
  <c r="N262" i="12"/>
  <c r="N261" i="12"/>
  <c r="N260" i="12"/>
  <c r="N259" i="12"/>
  <c r="N258" i="12"/>
  <c r="N257" i="12"/>
  <c r="N256" i="12"/>
  <c r="N255" i="12"/>
  <c r="N254" i="12"/>
  <c r="N253" i="12"/>
  <c r="N252" i="12"/>
  <c r="N251" i="12"/>
  <c r="N250" i="12"/>
  <c r="N249" i="12"/>
  <c r="N248" i="12"/>
  <c r="N247" i="12"/>
  <c r="N246" i="12"/>
  <c r="N245" i="12"/>
  <c r="N244" i="12"/>
  <c r="N243" i="12"/>
  <c r="N242" i="12"/>
  <c r="N241" i="12"/>
  <c r="N240" i="12"/>
  <c r="N239" i="12"/>
  <c r="N238" i="12"/>
  <c r="N237" i="12"/>
  <c r="N236" i="12"/>
  <c r="N235" i="12"/>
  <c r="N234" i="12"/>
  <c r="N233" i="12"/>
  <c r="N232" i="12"/>
  <c r="N231" i="12"/>
  <c r="N230" i="12"/>
  <c r="N229" i="12"/>
  <c r="N228" i="12"/>
  <c r="N227" i="12"/>
  <c r="N226" i="12"/>
  <c r="N225" i="12"/>
  <c r="N224" i="12"/>
  <c r="N223" i="12"/>
  <c r="N222" i="12"/>
  <c r="N221" i="12"/>
  <c r="N220" i="12"/>
  <c r="N219" i="12"/>
  <c r="N218" i="12"/>
  <c r="N217" i="12"/>
  <c r="N216" i="12"/>
  <c r="N215" i="12"/>
  <c r="N214" i="12"/>
  <c r="N213" i="12"/>
  <c r="N212" i="12"/>
  <c r="N211" i="12"/>
  <c r="N210" i="12"/>
  <c r="N209" i="12"/>
  <c r="N208" i="12"/>
  <c r="N207" i="12"/>
  <c r="N206" i="12"/>
  <c r="N205" i="12"/>
  <c r="N204" i="12"/>
  <c r="N203" i="12"/>
  <c r="N202" i="12"/>
  <c r="N201" i="12"/>
  <c r="N200" i="12"/>
  <c r="N199" i="12"/>
  <c r="N198" i="12"/>
  <c r="N197" i="12"/>
  <c r="N196" i="12"/>
  <c r="N195" i="12"/>
  <c r="N194" i="12"/>
  <c r="N193" i="12"/>
  <c r="N192" i="12"/>
  <c r="N191" i="12"/>
  <c r="N190" i="12"/>
  <c r="N189" i="12"/>
  <c r="N188" i="12"/>
  <c r="N187" i="12"/>
  <c r="N186" i="12"/>
  <c r="N185" i="12"/>
  <c r="N184" i="12"/>
  <c r="N183" i="12"/>
  <c r="N182" i="12"/>
  <c r="N181" i="12"/>
  <c r="N180" i="12"/>
  <c r="N179" i="12"/>
  <c r="N178" i="12"/>
  <c r="N177" i="12"/>
  <c r="N176" i="12"/>
  <c r="N175" i="12"/>
  <c r="N174" i="12"/>
  <c r="N173" i="12"/>
  <c r="N172" i="12"/>
  <c r="N171" i="12"/>
  <c r="N170" i="12"/>
  <c r="N169" i="12"/>
  <c r="N168" i="12"/>
  <c r="N167" i="12"/>
  <c r="N166" i="12"/>
  <c r="N165" i="12"/>
  <c r="N164" i="12"/>
  <c r="N163" i="12"/>
  <c r="N162" i="12"/>
  <c r="N161" i="12"/>
  <c r="N160" i="12"/>
  <c r="N159" i="12"/>
  <c r="N158" i="12"/>
  <c r="N157" i="12"/>
  <c r="N156" i="12"/>
  <c r="N155" i="12"/>
  <c r="N154" i="12"/>
  <c r="N153" i="12"/>
  <c r="N152" i="12"/>
  <c r="N151" i="12"/>
  <c r="N150" i="12"/>
  <c r="N149" i="12"/>
  <c r="N148" i="12"/>
  <c r="N147" i="12"/>
  <c r="N146" i="12"/>
  <c r="N145" i="12"/>
  <c r="N144" i="12"/>
  <c r="N143" i="12"/>
  <c r="N142" i="12"/>
  <c r="N141" i="12"/>
  <c r="N140" i="12"/>
  <c r="N139" i="12"/>
  <c r="N138" i="12"/>
  <c r="N137" i="12"/>
  <c r="N136" i="12"/>
  <c r="N135" i="12"/>
  <c r="N134" i="12"/>
  <c r="N133" i="12"/>
  <c r="N132" i="12"/>
  <c r="N131" i="12"/>
  <c r="N130" i="12"/>
  <c r="N129" i="12"/>
  <c r="N128" i="12"/>
  <c r="N127" i="12"/>
  <c r="N126" i="12"/>
  <c r="N125" i="12"/>
  <c r="N124" i="12"/>
  <c r="N123" i="12"/>
  <c r="N122" i="12"/>
  <c r="N121" i="12"/>
  <c r="N120" i="12"/>
  <c r="N119" i="12"/>
  <c r="N118" i="12"/>
  <c r="N117" i="12"/>
  <c r="N116" i="12"/>
  <c r="N115" i="12"/>
  <c r="N114" i="12"/>
  <c r="N113" i="12"/>
  <c r="N112" i="12"/>
  <c r="N111" i="12"/>
  <c r="N110" i="12"/>
  <c r="N109" i="12"/>
  <c r="N108" i="12"/>
  <c r="N107" i="12"/>
  <c r="N106" i="12"/>
  <c r="N105" i="12"/>
  <c r="N104" i="12"/>
  <c r="N103" i="12"/>
  <c r="N102" i="12"/>
  <c r="N101" i="12"/>
  <c r="N100" i="12"/>
  <c r="N99" i="12"/>
  <c r="N98" i="12"/>
  <c r="N97" i="12"/>
  <c r="N96" i="12"/>
  <c r="N95" i="12"/>
  <c r="N94" i="12"/>
  <c r="N93" i="12"/>
  <c r="N92" i="12"/>
  <c r="N91" i="12"/>
  <c r="N90" i="12"/>
  <c r="N89" i="12"/>
  <c r="N88" i="12"/>
  <c r="N87" i="12"/>
  <c r="N86" i="12"/>
  <c r="N85" i="12"/>
  <c r="N84" i="12"/>
  <c r="N83" i="12"/>
  <c r="N82" i="12"/>
  <c r="N81" i="1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O1446" i="12" s="1"/>
  <c r="N13" i="12"/>
  <c r="N12" i="12"/>
  <c r="N11" i="12"/>
  <c r="N10" i="12"/>
  <c r="N9" i="12"/>
  <c r="N8" i="12"/>
  <c r="N7" i="12"/>
  <c r="N6" i="12"/>
  <c r="N5" i="12"/>
  <c r="M5" i="12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DA8" i="13" l="1"/>
  <c r="O1444" i="12"/>
  <c r="O1447" i="12"/>
  <c r="O1448" i="12"/>
  <c r="O1443" i="12"/>
  <c r="O1445" i="12"/>
  <c r="DC6" i="13"/>
  <c r="DC9" i="13"/>
  <c r="DC20" i="13"/>
  <c r="DC22" i="13"/>
  <c r="DC24" i="13"/>
  <c r="DA3" i="13"/>
  <c r="DA7" i="13"/>
  <c r="DC3" i="13"/>
  <c r="DC7" i="13"/>
  <c r="DC11" i="13"/>
  <c r="DA23" i="13"/>
  <c r="DC18" i="13"/>
  <c r="DC21" i="13"/>
  <c r="DA20" i="13"/>
  <c r="DA10" i="13"/>
  <c r="DC23" i="13"/>
  <c r="DA19" i="13"/>
  <c r="DC17" i="13"/>
  <c r="DA18" i="13"/>
  <c r="DC8" i="13"/>
  <c r="FS8" i="17"/>
  <c r="FO19" i="17"/>
  <c r="FW7" i="17"/>
  <c r="FV8" i="17"/>
  <c r="FO52" i="17"/>
  <c r="EM20" i="17"/>
  <c r="EN19" i="17"/>
  <c r="EP5" i="17"/>
  <c r="EP43" i="17"/>
  <c r="EP30" i="17"/>
  <c r="EP17" i="17"/>
  <c r="EN45" i="17"/>
  <c r="EM46" i="17"/>
  <c r="EO31" i="17"/>
  <c r="EM8" i="17"/>
  <c r="EN7" i="17"/>
  <c r="AA419" i="1"/>
  <c r="N1438" i="12"/>
  <c r="FT8" i="17"/>
  <c r="FO30" i="17"/>
  <c r="FU8" i="17"/>
  <c r="FO41" i="17"/>
  <c r="EO18" i="17"/>
  <c r="EQ4" i="17"/>
  <c r="ER4" i="17" s="1"/>
  <c r="ET4" i="17" s="1"/>
  <c r="EO44" i="17"/>
  <c r="EM33" i="17"/>
  <c r="EN32" i="17"/>
  <c r="EO6" i="17"/>
  <c r="ES20" i="17"/>
  <c r="ES8" i="17"/>
  <c r="BF117" i="17"/>
  <c r="BO96" i="17"/>
  <c r="BM98" i="17"/>
  <c r="BM100" i="17" s="1"/>
  <c r="BF111" i="17" s="1"/>
  <c r="BF108" i="17"/>
  <c r="BN97" i="17"/>
  <c r="AM226" i="17"/>
  <c r="AT215" i="17"/>
  <c r="AU214" i="17"/>
  <c r="BQ99" i="17"/>
  <c r="BF140" i="17"/>
  <c r="AV213" i="17"/>
  <c r="AM237" i="17"/>
  <c r="AM248" i="17"/>
  <c r="AW212" i="17"/>
  <c r="AX218" i="17"/>
  <c r="AM266" i="17"/>
  <c r="BF168" i="17"/>
  <c r="BS98" i="17"/>
  <c r="BF126" i="17"/>
  <c r="BP95" i="17"/>
  <c r="AM170" i="17"/>
  <c r="AX122" i="17"/>
  <c r="AM298" i="17"/>
  <c r="AZ215" i="17"/>
  <c r="BF135" i="17"/>
  <c r="BQ94" i="17"/>
  <c r="AX211" i="17"/>
  <c r="AM259" i="17"/>
  <c r="BF71" i="17"/>
  <c r="AM164" i="17"/>
  <c r="AX116" i="17"/>
  <c r="AM142" i="17"/>
  <c r="AV118" i="17"/>
  <c r="BQ6" i="17"/>
  <c r="BF51" i="17"/>
  <c r="BF87" i="17"/>
  <c r="BO8" i="17"/>
  <c r="BF31" i="17"/>
  <c r="AM153" i="17"/>
  <c r="AW117" i="17"/>
  <c r="AM52" i="17"/>
  <c r="AT8" i="17"/>
  <c r="AT10" i="17" s="1"/>
  <c r="BF61" i="17"/>
  <c r="BR5" i="17"/>
  <c r="AM187" i="17"/>
  <c r="BA115" i="17"/>
  <c r="AM203" i="17"/>
  <c r="AZ120" i="17"/>
  <c r="BF41" i="17"/>
  <c r="BP7" i="17"/>
  <c r="AM30" i="17"/>
  <c r="AR8" i="17"/>
  <c r="AM131" i="17"/>
  <c r="AT120" i="17"/>
  <c r="AU119" i="17"/>
  <c r="AM41" i="17"/>
  <c r="AS8" i="17"/>
  <c r="AM19" i="17"/>
  <c r="AQ8" i="17"/>
  <c r="AU7" i="17"/>
  <c r="BF21" i="17"/>
  <c r="BN9" i="17"/>
  <c r="BS11" i="17"/>
  <c r="BM11" i="17"/>
  <c r="AG191" i="17"/>
  <c r="Z105" i="17"/>
  <c r="AF68" i="17"/>
  <c r="Z166" i="17"/>
  <c r="AA130" i="17"/>
  <c r="AF131" i="17"/>
  <c r="AE191" i="17"/>
  <c r="Z154" i="17"/>
  <c r="Z130" i="17"/>
  <c r="AE131" i="17"/>
  <c r="AE202" i="17"/>
  <c r="Z93" i="17"/>
  <c r="AE68" i="17"/>
  <c r="Z81" i="17"/>
  <c r="AD68" i="17"/>
  <c r="AH67" i="17"/>
  <c r="Z178" i="17"/>
  <c r="AB130" i="17"/>
  <c r="AG131" i="17"/>
  <c r="Z117" i="17"/>
  <c r="AG68" i="17"/>
  <c r="Z142" i="17"/>
  <c r="Y130" i="17"/>
  <c r="AD131" i="17"/>
  <c r="AD191" i="17"/>
  <c r="AD202" i="17"/>
  <c r="AG202" i="17"/>
  <c r="AF202" i="17"/>
  <c r="AH201" i="17"/>
  <c r="AH190" i="17"/>
  <c r="AH130" i="17"/>
  <c r="AC130" i="17" s="1"/>
  <c r="AB54" i="17"/>
  <c r="Y37" i="17"/>
  <c r="AB38" i="17"/>
  <c r="Z28" i="17"/>
  <c r="DB17" i="13"/>
  <c r="DD27" i="13"/>
  <c r="DA25" i="13"/>
  <c r="DF27" i="13"/>
  <c r="DC25" i="13"/>
  <c r="DB19" i="13"/>
  <c r="DB24" i="13"/>
  <c r="DB23" i="13"/>
  <c r="DB18" i="13"/>
  <c r="DB20" i="13"/>
  <c r="DB22" i="13"/>
  <c r="DB25" i="13"/>
  <c r="DB4" i="13"/>
  <c r="DB9" i="13"/>
  <c r="DB3" i="13"/>
  <c r="DB6" i="13"/>
  <c r="DB5" i="13"/>
  <c r="DB8" i="13"/>
  <c r="DB7" i="13"/>
  <c r="DB10" i="13"/>
  <c r="DB11" i="13"/>
  <c r="CX31" i="13"/>
  <c r="AD5" i="7"/>
  <c r="S97" i="13"/>
  <c r="R97" i="13"/>
  <c r="Q97" i="13"/>
  <c r="S96" i="13"/>
  <c r="R96" i="13"/>
  <c r="Q96" i="13"/>
  <c r="S95" i="13"/>
  <c r="R95" i="13"/>
  <c r="Q95" i="13"/>
  <c r="C87" i="13"/>
  <c r="C88" i="13" s="1"/>
  <c r="C89" i="13" s="1"/>
  <c r="C90" i="13" s="1"/>
  <c r="C91" i="13" s="1"/>
  <c r="C92" i="13" s="1"/>
  <c r="S87" i="13"/>
  <c r="R87" i="13"/>
  <c r="Q87" i="13"/>
  <c r="S86" i="13"/>
  <c r="R86" i="13"/>
  <c r="Q86" i="13"/>
  <c r="S85" i="13"/>
  <c r="R85" i="13"/>
  <c r="Q85" i="13"/>
  <c r="S77" i="13"/>
  <c r="R77" i="13"/>
  <c r="Q77" i="13"/>
  <c r="S76" i="13"/>
  <c r="R76" i="13"/>
  <c r="Q76" i="13"/>
  <c r="S75" i="13"/>
  <c r="R75" i="13"/>
  <c r="Q75" i="13"/>
  <c r="S68" i="13"/>
  <c r="R68" i="13"/>
  <c r="Q68" i="13"/>
  <c r="S67" i="13"/>
  <c r="R67" i="13"/>
  <c r="Q67" i="13"/>
  <c r="S66" i="13"/>
  <c r="R66" i="13"/>
  <c r="Q66" i="13"/>
  <c r="S65" i="13"/>
  <c r="R65" i="13"/>
  <c r="Q65" i="13"/>
  <c r="S60" i="13"/>
  <c r="R60" i="13"/>
  <c r="Q60" i="13"/>
  <c r="S58" i="13"/>
  <c r="R58" i="13"/>
  <c r="Q58" i="13"/>
  <c r="S57" i="13"/>
  <c r="R57" i="13"/>
  <c r="Q57" i="13"/>
  <c r="S56" i="13"/>
  <c r="R56" i="13"/>
  <c r="Q56" i="13"/>
  <c r="AE7" i="13"/>
  <c r="AE6" i="13" s="1"/>
  <c r="AE5" i="13" s="1"/>
  <c r="AE4" i="13" s="1"/>
  <c r="AD7" i="13"/>
  <c r="AD6" i="13" s="1"/>
  <c r="AD5" i="13" s="1"/>
  <c r="AD4" i="13" s="1"/>
  <c r="AC7" i="13"/>
  <c r="AC6" i="13" s="1"/>
  <c r="AC5" i="13" s="1"/>
  <c r="AC4" i="13" s="1"/>
  <c r="AE3" i="13"/>
  <c r="AD3" i="13"/>
  <c r="AC3" i="13"/>
  <c r="S12" i="13"/>
  <c r="R12" i="13"/>
  <c r="Q12" i="13"/>
  <c r="S10" i="13"/>
  <c r="R10" i="13"/>
  <c r="Q10" i="13"/>
  <c r="S9" i="13"/>
  <c r="R9" i="13"/>
  <c r="Q9" i="13"/>
  <c r="S8" i="13"/>
  <c r="R8" i="13"/>
  <c r="Q8" i="13"/>
  <c r="S7" i="13"/>
  <c r="R7" i="13"/>
  <c r="Q7" i="13"/>
  <c r="S6" i="13"/>
  <c r="R6" i="13"/>
  <c r="Q6" i="13"/>
  <c r="S5" i="13"/>
  <c r="R5" i="13"/>
  <c r="Q5" i="13"/>
  <c r="S4" i="13"/>
  <c r="R4" i="13"/>
  <c r="Q4" i="13"/>
  <c r="S3" i="13"/>
  <c r="R3" i="13"/>
  <c r="Q3" i="13"/>
  <c r="BX26" i="9"/>
  <c r="BQ26" i="9"/>
  <c r="BR26" i="9" s="1"/>
  <c r="BS26" i="9" s="1"/>
  <c r="BT26" i="9" s="1"/>
  <c r="BU26" i="9" s="1"/>
  <c r="BV26" i="9" s="1"/>
  <c r="BW26" i="9" s="1"/>
  <c r="BX18" i="9"/>
  <c r="BX19" i="9" s="1"/>
  <c r="BX20" i="9" s="1"/>
  <c r="BX21" i="9" s="1"/>
  <c r="BX22" i="9" s="1"/>
  <c r="BX23" i="9" s="1"/>
  <c r="BX24" i="9" s="1"/>
  <c r="BX25" i="9" s="1"/>
  <c r="BQ18" i="9"/>
  <c r="BR18" i="9" s="1"/>
  <c r="BS18" i="9" s="1"/>
  <c r="BT18" i="9" s="1"/>
  <c r="BU18" i="9" s="1"/>
  <c r="BV18" i="9" s="1"/>
  <c r="BW18" i="9" s="1"/>
  <c r="BL26" i="9"/>
  <c r="BE26" i="9"/>
  <c r="BF26" i="9" s="1"/>
  <c r="BG26" i="9" s="1"/>
  <c r="BH26" i="9" s="1"/>
  <c r="BI26" i="9" s="1"/>
  <c r="BJ26" i="9" s="1"/>
  <c r="BK26" i="9" s="1"/>
  <c r="BL18" i="9"/>
  <c r="BL19" i="9" s="1"/>
  <c r="BL20" i="9" s="1"/>
  <c r="BL21" i="9" s="1"/>
  <c r="BL22" i="9" s="1"/>
  <c r="BL23" i="9" s="1"/>
  <c r="BL24" i="9" s="1"/>
  <c r="BL25" i="9" s="1"/>
  <c r="BE18" i="9"/>
  <c r="BF18" i="9" s="1"/>
  <c r="BG18" i="9" s="1"/>
  <c r="BH18" i="9" s="1"/>
  <c r="BI18" i="9" s="1"/>
  <c r="BJ18" i="9" s="1"/>
  <c r="BK18" i="9" s="1"/>
  <c r="AZ26" i="9"/>
  <c r="AS26" i="9"/>
  <c r="AT26" i="9" s="1"/>
  <c r="AU26" i="9" s="1"/>
  <c r="AV26" i="9" s="1"/>
  <c r="AW26" i="9" s="1"/>
  <c r="AX26" i="9" s="1"/>
  <c r="AY26" i="9" s="1"/>
  <c r="AZ18" i="9"/>
  <c r="AZ19" i="9" s="1"/>
  <c r="AZ20" i="9" s="1"/>
  <c r="AZ21" i="9" s="1"/>
  <c r="AZ22" i="9" s="1"/>
  <c r="AZ23" i="9" s="1"/>
  <c r="AZ24" i="9" s="1"/>
  <c r="AZ25" i="9" s="1"/>
  <c r="AS18" i="9"/>
  <c r="AS19" i="9" s="1"/>
  <c r="AN26" i="9"/>
  <c r="AG26" i="9"/>
  <c r="AH26" i="9" s="1"/>
  <c r="AI26" i="9" s="1"/>
  <c r="AJ26" i="9" s="1"/>
  <c r="AK26" i="9" s="1"/>
  <c r="AL26" i="9" s="1"/>
  <c r="AM26" i="9" s="1"/>
  <c r="AN18" i="9"/>
  <c r="AN19" i="9" s="1"/>
  <c r="AN20" i="9" s="1"/>
  <c r="AN21" i="9" s="1"/>
  <c r="AN22" i="9" s="1"/>
  <c r="AN23" i="9" s="1"/>
  <c r="AN24" i="9" s="1"/>
  <c r="AN25" i="9" s="1"/>
  <c r="AG18" i="9"/>
  <c r="AG19" i="9" s="1"/>
  <c r="AG20" i="9" s="1"/>
  <c r="AG21" i="9" s="1"/>
  <c r="AA26" i="9"/>
  <c r="T26" i="9"/>
  <c r="U26" i="9" s="1"/>
  <c r="V26" i="9" s="1"/>
  <c r="W26" i="9" s="1"/>
  <c r="X26" i="9" s="1"/>
  <c r="Y26" i="9" s="1"/>
  <c r="Z26" i="9" s="1"/>
  <c r="AA20" i="9"/>
  <c r="AA21" i="9" s="1"/>
  <c r="AA22" i="9" s="1"/>
  <c r="AA23" i="9" s="1"/>
  <c r="AA24" i="9" s="1"/>
  <c r="AA25" i="9" s="1"/>
  <c r="T20" i="9"/>
  <c r="T21" i="9" s="1"/>
  <c r="T22" i="9" s="1"/>
  <c r="T23" i="9" s="1"/>
  <c r="T24" i="9" s="1"/>
  <c r="T25" i="9" s="1"/>
  <c r="AA19" i="9"/>
  <c r="T19" i="9"/>
  <c r="U19" i="9" s="1"/>
  <c r="V19" i="9" s="1"/>
  <c r="W19" i="9" s="1"/>
  <c r="X19" i="9" s="1"/>
  <c r="Y19" i="9" s="1"/>
  <c r="Z19" i="9" s="1"/>
  <c r="AA18" i="9"/>
  <c r="T18" i="9"/>
  <c r="U18" i="9" s="1"/>
  <c r="V18" i="9" s="1"/>
  <c r="W18" i="9" s="1"/>
  <c r="X18" i="9" s="1"/>
  <c r="Y18" i="9" s="1"/>
  <c r="Z18" i="9" s="1"/>
  <c r="AE75" i="7"/>
  <c r="AE73" i="7"/>
  <c r="AE67" i="7"/>
  <c r="AE68" i="7" s="1"/>
  <c r="AE69" i="7" s="1"/>
  <c r="AE70" i="7" s="1"/>
  <c r="AE71" i="7" s="1"/>
  <c r="AE72" i="7" s="1"/>
  <c r="AN76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6" i="7"/>
  <c r="AN5" i="7"/>
  <c r="AN4" i="7"/>
  <c r="EM34" i="17" l="1"/>
  <c r="EN33" i="17"/>
  <c r="EM36" i="17"/>
  <c r="EE33" i="17" s="1"/>
  <c r="EP44" i="17"/>
  <c r="FO31" i="17"/>
  <c r="FT9" i="17"/>
  <c r="FT11" i="17" s="1"/>
  <c r="EO7" i="17"/>
  <c r="EO45" i="17"/>
  <c r="EQ17" i="17"/>
  <c r="EO19" i="17"/>
  <c r="FS9" i="17"/>
  <c r="FS11" i="17" s="1"/>
  <c r="FO20" i="17"/>
  <c r="FW8" i="17"/>
  <c r="ES9" i="17"/>
  <c r="ES11" i="17" s="1"/>
  <c r="ES21" i="17"/>
  <c r="ES23" i="17" s="1"/>
  <c r="EK20" i="17" s="1"/>
  <c r="EP6" i="17"/>
  <c r="EO32" i="17"/>
  <c r="EP18" i="17"/>
  <c r="FO42" i="17"/>
  <c r="FU9" i="17"/>
  <c r="EM9" i="17"/>
  <c r="EN8" i="17"/>
  <c r="EP31" i="17"/>
  <c r="EM47" i="17"/>
  <c r="EN46" i="17"/>
  <c r="EQ30" i="17"/>
  <c r="EQ43" i="17"/>
  <c r="EQ5" i="17"/>
  <c r="EN20" i="17"/>
  <c r="EM21" i="17"/>
  <c r="FV9" i="17"/>
  <c r="FV11" i="17" s="1"/>
  <c r="FO53" i="17"/>
  <c r="AM271" i="17"/>
  <c r="AY211" i="17"/>
  <c r="AM283" i="17" s="1"/>
  <c r="BF145" i="17"/>
  <c r="BR94" i="17"/>
  <c r="BF155" i="17" s="1"/>
  <c r="AM299" i="17"/>
  <c r="AZ216" i="17"/>
  <c r="AM182" i="17"/>
  <c r="AY122" i="17"/>
  <c r="AM194" i="17" s="1"/>
  <c r="BF136" i="17"/>
  <c r="BQ95" i="17"/>
  <c r="BF169" i="17"/>
  <c r="BS100" i="17"/>
  <c r="BF171" i="17" s="1"/>
  <c r="BE168" i="17" s="1"/>
  <c r="AM278" i="17"/>
  <c r="AY218" i="17"/>
  <c r="AW213" i="17"/>
  <c r="AM249" i="17"/>
  <c r="BF150" i="17"/>
  <c r="BR99" i="17"/>
  <c r="BF160" i="17" s="1"/>
  <c r="AU215" i="17"/>
  <c r="AT216" i="17"/>
  <c r="AM227" i="17"/>
  <c r="BE110" i="17"/>
  <c r="BE106" i="17"/>
  <c r="BE111" i="17"/>
  <c r="BE105" i="17"/>
  <c r="BE107" i="17"/>
  <c r="BE108" i="17"/>
  <c r="BF127" i="17"/>
  <c r="BP96" i="17"/>
  <c r="BT94" i="17"/>
  <c r="AM260" i="17"/>
  <c r="AX212" i="17"/>
  <c r="AM238" i="17"/>
  <c r="AV214" i="17"/>
  <c r="BF118" i="17"/>
  <c r="BO97" i="17"/>
  <c r="BN98" i="17"/>
  <c r="BF109" i="17"/>
  <c r="BE109" i="17" s="1"/>
  <c r="BF23" i="17"/>
  <c r="AM42" i="17"/>
  <c r="AS10" i="17"/>
  <c r="AT121" i="17"/>
  <c r="AU120" i="17"/>
  <c r="AM132" i="17"/>
  <c r="AM31" i="17"/>
  <c r="BF52" i="17"/>
  <c r="BQ7" i="17"/>
  <c r="AM53" i="17"/>
  <c r="BP8" i="17"/>
  <c r="BF42" i="17"/>
  <c r="BE21" i="17"/>
  <c r="BF89" i="17"/>
  <c r="BE87" i="17" s="1"/>
  <c r="BF32" i="17"/>
  <c r="BO9" i="17"/>
  <c r="AM20" i="17"/>
  <c r="AU8" i="17"/>
  <c r="AQ10" i="17"/>
  <c r="AM143" i="17"/>
  <c r="AV119" i="17"/>
  <c r="AM204" i="17"/>
  <c r="AZ121" i="17"/>
  <c r="BF72" i="17"/>
  <c r="AM55" i="17"/>
  <c r="AM165" i="17"/>
  <c r="AX117" i="17"/>
  <c r="BR6" i="17"/>
  <c r="BF62" i="17"/>
  <c r="AM154" i="17"/>
  <c r="AW118" i="17"/>
  <c r="AM176" i="17"/>
  <c r="AY116" i="17"/>
  <c r="AT123" i="17"/>
  <c r="AR10" i="17"/>
  <c r="BN11" i="17"/>
  <c r="BT5" i="17"/>
  <c r="Z179" i="17"/>
  <c r="AG132" i="17"/>
  <c r="AB131" i="17"/>
  <c r="Z82" i="17"/>
  <c r="AD69" i="17"/>
  <c r="AD71" i="17" s="1"/>
  <c r="AH68" i="17"/>
  <c r="Z155" i="17"/>
  <c r="AE132" i="17"/>
  <c r="Z131" i="17"/>
  <c r="Z106" i="17"/>
  <c r="AF69" i="17"/>
  <c r="Y56" i="17"/>
  <c r="Y49" i="17"/>
  <c r="Y50" i="17"/>
  <c r="Y51" i="17"/>
  <c r="Y52" i="17"/>
  <c r="Y53" i="17"/>
  <c r="Y131" i="17"/>
  <c r="Z143" i="17"/>
  <c r="AD132" i="17"/>
  <c r="Z118" i="17"/>
  <c r="AG69" i="17"/>
  <c r="Z94" i="17"/>
  <c r="AE69" i="17"/>
  <c r="AE71" i="17" s="1"/>
  <c r="Z167" i="17"/>
  <c r="AA131" i="17"/>
  <c r="AF132" i="17"/>
  <c r="AG204" i="17"/>
  <c r="AF204" i="17"/>
  <c r="AH202" i="17"/>
  <c r="AD204" i="17"/>
  <c r="AE204" i="17"/>
  <c r="AH191" i="17"/>
  <c r="AH131" i="17"/>
  <c r="AC131" i="17" s="1"/>
  <c r="Y54" i="17"/>
  <c r="AB55" i="17"/>
  <c r="Y38" i="17"/>
  <c r="AB39" i="17"/>
  <c r="Y27" i="17"/>
  <c r="Y28" i="17"/>
  <c r="Y22" i="17"/>
  <c r="Y20" i="17"/>
  <c r="Y21" i="17"/>
  <c r="Y23" i="17"/>
  <c r="Y24" i="17"/>
  <c r="Y25" i="17"/>
  <c r="Y26" i="17"/>
  <c r="AH18" i="9"/>
  <c r="AI18" i="9" s="1"/>
  <c r="AJ18" i="9" s="1"/>
  <c r="AK18" i="9" s="1"/>
  <c r="AL18" i="9" s="1"/>
  <c r="AM18" i="9" s="1"/>
  <c r="AT18" i="9"/>
  <c r="AU18" i="9" s="1"/>
  <c r="AV18" i="9" s="1"/>
  <c r="AW18" i="9" s="1"/>
  <c r="AX18" i="9" s="1"/>
  <c r="AY18" i="9" s="1"/>
  <c r="U20" i="9"/>
  <c r="V20" i="9" s="1"/>
  <c r="W20" i="9" s="1"/>
  <c r="X20" i="9" s="1"/>
  <c r="Y20" i="9" s="1"/>
  <c r="Z20" i="9" s="1"/>
  <c r="AG22" i="9"/>
  <c r="AS20" i="9"/>
  <c r="AT19" i="9"/>
  <c r="AU19" i="9" s="1"/>
  <c r="AV19" i="9" s="1"/>
  <c r="AW19" i="9" s="1"/>
  <c r="AX19" i="9" s="1"/>
  <c r="AY19" i="9" s="1"/>
  <c r="BE19" i="9"/>
  <c r="BQ19" i="9"/>
  <c r="EG417" i="1"/>
  <c r="EG416" i="1"/>
  <c r="EG415" i="1"/>
  <c r="EG414" i="1"/>
  <c r="EG413" i="1"/>
  <c r="EG412" i="1"/>
  <c r="EG411" i="1"/>
  <c r="EG410" i="1"/>
  <c r="EG409" i="1"/>
  <c r="EG408" i="1"/>
  <c r="EG407" i="1"/>
  <c r="EG406" i="1"/>
  <c r="EG405" i="1"/>
  <c r="EG404" i="1"/>
  <c r="EG403" i="1"/>
  <c r="EG402" i="1"/>
  <c r="EG401" i="1"/>
  <c r="EG400" i="1"/>
  <c r="EG399" i="1"/>
  <c r="EG398" i="1"/>
  <c r="EG397" i="1"/>
  <c r="EG396" i="1"/>
  <c r="EG395" i="1"/>
  <c r="EG394" i="1"/>
  <c r="EG393" i="1"/>
  <c r="EG392" i="1"/>
  <c r="EG391" i="1"/>
  <c r="EG390" i="1"/>
  <c r="EG389" i="1"/>
  <c r="EG388" i="1"/>
  <c r="EG387" i="1"/>
  <c r="EG386" i="1"/>
  <c r="EG385" i="1"/>
  <c r="EG384" i="1"/>
  <c r="EG383" i="1"/>
  <c r="EG382" i="1"/>
  <c r="EG381" i="1"/>
  <c r="EG380" i="1"/>
  <c r="EG379" i="1"/>
  <c r="EG378" i="1"/>
  <c r="EG377" i="1"/>
  <c r="EG376" i="1"/>
  <c r="EG375" i="1"/>
  <c r="EG374" i="1"/>
  <c r="EG373" i="1"/>
  <c r="EG372" i="1"/>
  <c r="EG371" i="1"/>
  <c r="EG370" i="1"/>
  <c r="EG369" i="1"/>
  <c r="EG368" i="1"/>
  <c r="EG367" i="1"/>
  <c r="EG366" i="1"/>
  <c r="EG365" i="1"/>
  <c r="EG364" i="1"/>
  <c r="EG363" i="1"/>
  <c r="EG362" i="1"/>
  <c r="EG361" i="1"/>
  <c r="EG360" i="1"/>
  <c r="EG359" i="1"/>
  <c r="EG358" i="1"/>
  <c r="EG357" i="1"/>
  <c r="EG356" i="1"/>
  <c r="EG355" i="1"/>
  <c r="EG354" i="1"/>
  <c r="EG353" i="1"/>
  <c r="EG352" i="1"/>
  <c r="EG351" i="1"/>
  <c r="EG350" i="1"/>
  <c r="EG349" i="1"/>
  <c r="EG348" i="1"/>
  <c r="EG347" i="1"/>
  <c r="EG346" i="1"/>
  <c r="EG345" i="1"/>
  <c r="EG344" i="1"/>
  <c r="EG343" i="1"/>
  <c r="EG342" i="1"/>
  <c r="EG341" i="1"/>
  <c r="EG340" i="1"/>
  <c r="EG339" i="1"/>
  <c r="EG338" i="1"/>
  <c r="EG337" i="1"/>
  <c r="EG336" i="1"/>
  <c r="EG335" i="1"/>
  <c r="EG334" i="1"/>
  <c r="EG333" i="1"/>
  <c r="EG332" i="1"/>
  <c r="EG331" i="1"/>
  <c r="EG330" i="1"/>
  <c r="EG329" i="1"/>
  <c r="EG328" i="1"/>
  <c r="EG327" i="1"/>
  <c r="EG326" i="1"/>
  <c r="EG325" i="1"/>
  <c r="EG324" i="1"/>
  <c r="EG323" i="1"/>
  <c r="EG322" i="1"/>
  <c r="EG321" i="1"/>
  <c r="EG320" i="1"/>
  <c r="EG319" i="1"/>
  <c r="EG318" i="1"/>
  <c r="EG317" i="1"/>
  <c r="EG316" i="1"/>
  <c r="EG315" i="1"/>
  <c r="EG314" i="1"/>
  <c r="EG313" i="1"/>
  <c r="EG312" i="1"/>
  <c r="EG311" i="1"/>
  <c r="EG310" i="1"/>
  <c r="EG309" i="1"/>
  <c r="EG308" i="1"/>
  <c r="EG307" i="1"/>
  <c r="EG306" i="1"/>
  <c r="EG305" i="1"/>
  <c r="EG304" i="1"/>
  <c r="EG303" i="1"/>
  <c r="EG302" i="1"/>
  <c r="EG301" i="1"/>
  <c r="EG300" i="1"/>
  <c r="EG299" i="1"/>
  <c r="EG298" i="1"/>
  <c r="EG297" i="1"/>
  <c r="EG296" i="1"/>
  <c r="EG295" i="1"/>
  <c r="EG294" i="1"/>
  <c r="EG293" i="1"/>
  <c r="EG292" i="1"/>
  <c r="EG291" i="1"/>
  <c r="EG290" i="1"/>
  <c r="EG289" i="1"/>
  <c r="EG288" i="1"/>
  <c r="EG287" i="1"/>
  <c r="EG286" i="1"/>
  <c r="EG285" i="1"/>
  <c r="EG284" i="1"/>
  <c r="EG283" i="1"/>
  <c r="EG282" i="1"/>
  <c r="EG281" i="1"/>
  <c r="EG280" i="1"/>
  <c r="EG279" i="1"/>
  <c r="EG278" i="1"/>
  <c r="EG277" i="1"/>
  <c r="EG276" i="1"/>
  <c r="EG275" i="1"/>
  <c r="EG274" i="1"/>
  <c r="EG273" i="1"/>
  <c r="EG272" i="1"/>
  <c r="EG271" i="1"/>
  <c r="EG270" i="1"/>
  <c r="EG269" i="1"/>
  <c r="EG268" i="1"/>
  <c r="EG267" i="1"/>
  <c r="EG266" i="1"/>
  <c r="EG265" i="1"/>
  <c r="EG264" i="1"/>
  <c r="EG263" i="1"/>
  <c r="EG262" i="1"/>
  <c r="EG261" i="1"/>
  <c r="EG260" i="1"/>
  <c r="EG259" i="1"/>
  <c r="EG258" i="1"/>
  <c r="EG257" i="1"/>
  <c r="EG256" i="1"/>
  <c r="EG255" i="1"/>
  <c r="EG254" i="1"/>
  <c r="EG253" i="1"/>
  <c r="EG252" i="1"/>
  <c r="EG251" i="1"/>
  <c r="EG250" i="1"/>
  <c r="EG249" i="1"/>
  <c r="EG248" i="1"/>
  <c r="EG247" i="1"/>
  <c r="EG246" i="1"/>
  <c r="EG245" i="1"/>
  <c r="EG244" i="1"/>
  <c r="EG243" i="1"/>
  <c r="EG242" i="1"/>
  <c r="EG241" i="1"/>
  <c r="EG240" i="1"/>
  <c r="EG239" i="1"/>
  <c r="EG238" i="1"/>
  <c r="EG237" i="1"/>
  <c r="EG236" i="1"/>
  <c r="EG235" i="1"/>
  <c r="EG234" i="1"/>
  <c r="EG233" i="1"/>
  <c r="EG232" i="1"/>
  <c r="EG231" i="1"/>
  <c r="EG230" i="1"/>
  <c r="EG229" i="1"/>
  <c r="EG228" i="1"/>
  <c r="EG227" i="1"/>
  <c r="EG226" i="1"/>
  <c r="EG225" i="1"/>
  <c r="EG224" i="1"/>
  <c r="EG223" i="1"/>
  <c r="EG222" i="1"/>
  <c r="EG221" i="1"/>
  <c r="EG220" i="1"/>
  <c r="EG219" i="1"/>
  <c r="EG218" i="1"/>
  <c r="EG217" i="1"/>
  <c r="EG216" i="1"/>
  <c r="EG215" i="1"/>
  <c r="EG214" i="1"/>
  <c r="EG213" i="1"/>
  <c r="EG212" i="1"/>
  <c r="EG211" i="1"/>
  <c r="EG210" i="1"/>
  <c r="EG209" i="1"/>
  <c r="EG208" i="1"/>
  <c r="EG207" i="1"/>
  <c r="EG206" i="1"/>
  <c r="EG205" i="1"/>
  <c r="EG204" i="1"/>
  <c r="EG203" i="1"/>
  <c r="EG202" i="1"/>
  <c r="EG201" i="1"/>
  <c r="EG200" i="1"/>
  <c r="EG199" i="1"/>
  <c r="EG198" i="1"/>
  <c r="EG197" i="1"/>
  <c r="EG196" i="1"/>
  <c r="EG195" i="1"/>
  <c r="EG194" i="1"/>
  <c r="EG193" i="1"/>
  <c r="EG192" i="1"/>
  <c r="EG191" i="1"/>
  <c r="EG190" i="1"/>
  <c r="EG189" i="1"/>
  <c r="EG188" i="1"/>
  <c r="EG187" i="1"/>
  <c r="EG186" i="1"/>
  <c r="EG185" i="1"/>
  <c r="EG184" i="1"/>
  <c r="EG183" i="1"/>
  <c r="EG182" i="1"/>
  <c r="EG181" i="1"/>
  <c r="EG180" i="1"/>
  <c r="EG179" i="1"/>
  <c r="EG178" i="1"/>
  <c r="EG177" i="1"/>
  <c r="EG176" i="1"/>
  <c r="EG175" i="1"/>
  <c r="EG174" i="1"/>
  <c r="EG173" i="1"/>
  <c r="EG172" i="1"/>
  <c r="EG171" i="1"/>
  <c r="EG170" i="1"/>
  <c r="EG169" i="1"/>
  <c r="EG168" i="1"/>
  <c r="EG167" i="1"/>
  <c r="EG166" i="1"/>
  <c r="EG165" i="1"/>
  <c r="EG164" i="1"/>
  <c r="EG163" i="1"/>
  <c r="EG162" i="1"/>
  <c r="EG161" i="1"/>
  <c r="EG160" i="1"/>
  <c r="EG159" i="1"/>
  <c r="EG158" i="1"/>
  <c r="EG157" i="1"/>
  <c r="EG156" i="1"/>
  <c r="EG155" i="1"/>
  <c r="EG154" i="1"/>
  <c r="EG153" i="1"/>
  <c r="EG152" i="1"/>
  <c r="EG151" i="1"/>
  <c r="EG150" i="1"/>
  <c r="EG149" i="1"/>
  <c r="EG148" i="1"/>
  <c r="EG147" i="1"/>
  <c r="EG146" i="1"/>
  <c r="EG145" i="1"/>
  <c r="EG144" i="1"/>
  <c r="EG143" i="1"/>
  <c r="EG142" i="1"/>
  <c r="EG141" i="1"/>
  <c r="EG140" i="1"/>
  <c r="EG139" i="1"/>
  <c r="EG138" i="1"/>
  <c r="EG137" i="1"/>
  <c r="EG136" i="1"/>
  <c r="EG135" i="1"/>
  <c r="EG134" i="1"/>
  <c r="EG133" i="1"/>
  <c r="EG132" i="1"/>
  <c r="EG131" i="1"/>
  <c r="EG130" i="1"/>
  <c r="EG129" i="1"/>
  <c r="EG128" i="1"/>
  <c r="EG127" i="1"/>
  <c r="EG126" i="1"/>
  <c r="EG125" i="1"/>
  <c r="EG124" i="1"/>
  <c r="EG123" i="1"/>
  <c r="EG122" i="1"/>
  <c r="EG121" i="1"/>
  <c r="EG120" i="1"/>
  <c r="EG119" i="1"/>
  <c r="EG118" i="1"/>
  <c r="EG117" i="1"/>
  <c r="EG116" i="1"/>
  <c r="EG115" i="1"/>
  <c r="EG114" i="1"/>
  <c r="EG113" i="1"/>
  <c r="EG112" i="1"/>
  <c r="EG111" i="1"/>
  <c r="EG110" i="1"/>
  <c r="EG109" i="1"/>
  <c r="EG108" i="1"/>
  <c r="EG107" i="1"/>
  <c r="EG106" i="1"/>
  <c r="EG105" i="1"/>
  <c r="EG104" i="1"/>
  <c r="EG103" i="1"/>
  <c r="EG102" i="1"/>
  <c r="EG101" i="1"/>
  <c r="EG100" i="1"/>
  <c r="EG99" i="1"/>
  <c r="EG98" i="1"/>
  <c r="EG97" i="1"/>
  <c r="EG96" i="1"/>
  <c r="EG95" i="1"/>
  <c r="EG94" i="1"/>
  <c r="EG93" i="1"/>
  <c r="EG92" i="1"/>
  <c r="EG91" i="1"/>
  <c r="EG90" i="1"/>
  <c r="EG89" i="1"/>
  <c r="EG88" i="1"/>
  <c r="EG87" i="1"/>
  <c r="EG86" i="1"/>
  <c r="EG85" i="1"/>
  <c r="EG84" i="1"/>
  <c r="EG83" i="1"/>
  <c r="EG82" i="1"/>
  <c r="EG81" i="1"/>
  <c r="EG80" i="1"/>
  <c r="EG79" i="1"/>
  <c r="EG78" i="1"/>
  <c r="EG77" i="1"/>
  <c r="EG76" i="1"/>
  <c r="EG75" i="1"/>
  <c r="EG74" i="1"/>
  <c r="EG73" i="1"/>
  <c r="EG72" i="1"/>
  <c r="EG71" i="1"/>
  <c r="EG70" i="1"/>
  <c r="EG69" i="1"/>
  <c r="EG68" i="1"/>
  <c r="EG67" i="1"/>
  <c r="EG66" i="1"/>
  <c r="EG65" i="1"/>
  <c r="EG64" i="1"/>
  <c r="EG63" i="1"/>
  <c r="EG62" i="1"/>
  <c r="EG61" i="1"/>
  <c r="EG60" i="1"/>
  <c r="EG59" i="1"/>
  <c r="EG58" i="1"/>
  <c r="EG57" i="1"/>
  <c r="EG56" i="1"/>
  <c r="EG55" i="1"/>
  <c r="EG54" i="1"/>
  <c r="EG53" i="1"/>
  <c r="EG52" i="1"/>
  <c r="EG51" i="1"/>
  <c r="EG50" i="1"/>
  <c r="EG49" i="1"/>
  <c r="EG48" i="1"/>
  <c r="EG47" i="1"/>
  <c r="EG46" i="1"/>
  <c r="EG45" i="1"/>
  <c r="EG44" i="1"/>
  <c r="EG43" i="1"/>
  <c r="EG42" i="1"/>
  <c r="EG41" i="1"/>
  <c r="EG40" i="1"/>
  <c r="EG39" i="1"/>
  <c r="EG38" i="1"/>
  <c r="EG37" i="1"/>
  <c r="EG36" i="1"/>
  <c r="EG35" i="1"/>
  <c r="EG34" i="1"/>
  <c r="EG33" i="1"/>
  <c r="EG32" i="1"/>
  <c r="EG31" i="1"/>
  <c r="EG30" i="1"/>
  <c r="EG29" i="1"/>
  <c r="EG28" i="1"/>
  <c r="EG27" i="1"/>
  <c r="EG26" i="1"/>
  <c r="EG25" i="1"/>
  <c r="EG24" i="1"/>
  <c r="EG23" i="1"/>
  <c r="EG22" i="1"/>
  <c r="EG21" i="1"/>
  <c r="EG20" i="1"/>
  <c r="EG19" i="1"/>
  <c r="EG18" i="1"/>
  <c r="EG17" i="1"/>
  <c r="EG16" i="1"/>
  <c r="EG15" i="1"/>
  <c r="EG14" i="1"/>
  <c r="EG13" i="1"/>
  <c r="EG12" i="1"/>
  <c r="EG11" i="1"/>
  <c r="EG10" i="1"/>
  <c r="EG9" i="1"/>
  <c r="EG8" i="1"/>
  <c r="EG7" i="1"/>
  <c r="FO56" i="17" l="1"/>
  <c r="FN53" i="17" s="1"/>
  <c r="EO20" i="17"/>
  <c r="ER5" i="17"/>
  <c r="ET5" i="17" s="1"/>
  <c r="ER43" i="17"/>
  <c r="ET43" i="17" s="1"/>
  <c r="ER30" i="17"/>
  <c r="EN47" i="17"/>
  <c r="EN9" i="17"/>
  <c r="EQ18" i="17"/>
  <c r="EP32" i="17"/>
  <c r="EQ6" i="17"/>
  <c r="EK10" i="17"/>
  <c r="EK11" i="17"/>
  <c r="EK4" i="17"/>
  <c r="EK5" i="17"/>
  <c r="EK6" i="17"/>
  <c r="EK7" i="17"/>
  <c r="EK9" i="17"/>
  <c r="ER17" i="17"/>
  <c r="EP45" i="17"/>
  <c r="EP7" i="17"/>
  <c r="EQ44" i="17"/>
  <c r="EN34" i="17"/>
  <c r="EE34" i="17"/>
  <c r="FO54" i="17"/>
  <c r="FN54" i="17" s="1"/>
  <c r="EN21" i="17"/>
  <c r="EM23" i="17"/>
  <c r="EM49" i="17"/>
  <c r="EO46" i="17"/>
  <c r="EQ31" i="17"/>
  <c r="EM11" i="17"/>
  <c r="EO8" i="17"/>
  <c r="FO43" i="17"/>
  <c r="EK22" i="17"/>
  <c r="EK16" i="17"/>
  <c r="EK23" i="17"/>
  <c r="EK17" i="17"/>
  <c r="EK18" i="17"/>
  <c r="EK19" i="17"/>
  <c r="EK21" i="17"/>
  <c r="EK8" i="17"/>
  <c r="FO23" i="17"/>
  <c r="FO21" i="17"/>
  <c r="FW9" i="17"/>
  <c r="EP19" i="17"/>
  <c r="ET17" i="17"/>
  <c r="EN49" i="17"/>
  <c r="FO34" i="17"/>
  <c r="FO32" i="17"/>
  <c r="FN32" i="17" s="1"/>
  <c r="EE29" i="17"/>
  <c r="EE36" i="17"/>
  <c r="EE35" i="17"/>
  <c r="EE30" i="17"/>
  <c r="EE31" i="17"/>
  <c r="EE32" i="17"/>
  <c r="EO33" i="17"/>
  <c r="FU11" i="17"/>
  <c r="FW12" i="17" s="1"/>
  <c r="ET30" i="17"/>
  <c r="BE169" i="17"/>
  <c r="BO98" i="17"/>
  <c r="BF119" i="17"/>
  <c r="BF128" i="17"/>
  <c r="BP97" i="17"/>
  <c r="BO100" i="17"/>
  <c r="BF131" i="17" s="1"/>
  <c r="AW214" i="17"/>
  <c r="AM250" i="17"/>
  <c r="AM272" i="17"/>
  <c r="AY212" i="17"/>
  <c r="BQ96" i="17"/>
  <c r="BF137" i="17"/>
  <c r="AM239" i="17"/>
  <c r="AV215" i="17"/>
  <c r="AM290" i="17"/>
  <c r="BA218" i="17"/>
  <c r="BE171" i="17"/>
  <c r="BE165" i="17"/>
  <c r="BE167" i="17"/>
  <c r="BE170" i="17"/>
  <c r="BE166" i="17"/>
  <c r="BR95" i="17"/>
  <c r="BF156" i="17" s="1"/>
  <c r="BF146" i="17"/>
  <c r="BT95" i="17"/>
  <c r="BA122" i="17"/>
  <c r="BN100" i="17"/>
  <c r="BF121" i="17" s="1"/>
  <c r="AU216" i="17"/>
  <c r="AM228" i="17"/>
  <c r="AT217" i="17"/>
  <c r="BT99" i="17"/>
  <c r="AX213" i="17"/>
  <c r="AM261" i="17"/>
  <c r="AZ217" i="17"/>
  <c r="AM300" i="17"/>
  <c r="BA211" i="17"/>
  <c r="AM33" i="17"/>
  <c r="AL31" i="17" s="1"/>
  <c r="BF73" i="17"/>
  <c r="AM177" i="17"/>
  <c r="AY117" i="17"/>
  <c r="AM205" i="17"/>
  <c r="AM155" i="17"/>
  <c r="AW119" i="17"/>
  <c r="AM22" i="17"/>
  <c r="AL20" i="17" s="1"/>
  <c r="AU10" i="17"/>
  <c r="AM10" i="17" s="1"/>
  <c r="BF43" i="17"/>
  <c r="BP9" i="17"/>
  <c r="BE131" i="17"/>
  <c r="BE130" i="17"/>
  <c r="BE125" i="17"/>
  <c r="BE126" i="17"/>
  <c r="BE127" i="17"/>
  <c r="BE128" i="17"/>
  <c r="BE89" i="17"/>
  <c r="BE88" i="17"/>
  <c r="BE82" i="17"/>
  <c r="BE83" i="17"/>
  <c r="BE84" i="17"/>
  <c r="BE85" i="17"/>
  <c r="BE86" i="17"/>
  <c r="BF63" i="17"/>
  <c r="BR7" i="17"/>
  <c r="AM144" i="17"/>
  <c r="AV120" i="17"/>
  <c r="AZ123" i="17"/>
  <c r="BF34" i="17"/>
  <c r="BE32" i="17" s="1"/>
  <c r="AM135" i="17"/>
  <c r="AL132" i="17" s="1"/>
  <c r="AM188" i="17"/>
  <c r="BA116" i="17"/>
  <c r="AM166" i="17"/>
  <c r="AX118" i="17"/>
  <c r="AL55" i="17"/>
  <c r="AL48" i="17"/>
  <c r="AL54" i="17"/>
  <c r="AL49" i="17"/>
  <c r="AL50" i="17"/>
  <c r="AL51" i="17"/>
  <c r="BQ8" i="17"/>
  <c r="BF53" i="17"/>
  <c r="AM133" i="17"/>
  <c r="AU121" i="17"/>
  <c r="AN10" i="17"/>
  <c r="AM44" i="17"/>
  <c r="AL42" i="17" s="1"/>
  <c r="BE23" i="17"/>
  <c r="BE22" i="17"/>
  <c r="BE16" i="17"/>
  <c r="BE17" i="17"/>
  <c r="BE18" i="17"/>
  <c r="BE19" i="17"/>
  <c r="BE20" i="17"/>
  <c r="BT6" i="17"/>
  <c r="AP8" i="17"/>
  <c r="AL52" i="17"/>
  <c r="AL53" i="17"/>
  <c r="BO11" i="17"/>
  <c r="Z119" i="17"/>
  <c r="AG71" i="17"/>
  <c r="Z107" i="17"/>
  <c r="AF71" i="17"/>
  <c r="Z132" i="17"/>
  <c r="Z156" i="17"/>
  <c r="Z85" i="17"/>
  <c r="Y82" i="17" s="1"/>
  <c r="Z83" i="17"/>
  <c r="AH69" i="17"/>
  <c r="AH71" i="17" s="1"/>
  <c r="Z168" i="17"/>
  <c r="AA132" i="17"/>
  <c r="Z97" i="17"/>
  <c r="Y94" i="17" s="1"/>
  <c r="Z95" i="17"/>
  <c r="Z144" i="17"/>
  <c r="Y132" i="17"/>
  <c r="AB132" i="17"/>
  <c r="Z180" i="17"/>
  <c r="AH204" i="17"/>
  <c r="AC202" i="17" s="1"/>
  <c r="AE193" i="17"/>
  <c r="AF193" i="17"/>
  <c r="AG193" i="17"/>
  <c r="AH192" i="17"/>
  <c r="AH193" i="17" s="1"/>
  <c r="AD193" i="17"/>
  <c r="AF134" i="17"/>
  <c r="AG134" i="17"/>
  <c r="AE134" i="17"/>
  <c r="AH132" i="17"/>
  <c r="AC132" i="17" s="1"/>
  <c r="AD134" i="17"/>
  <c r="Y55" i="17"/>
  <c r="AB57" i="17"/>
  <c r="Y57" i="17" s="1"/>
  <c r="Y39" i="17"/>
  <c r="AB41" i="17"/>
  <c r="U21" i="9"/>
  <c r="U22" i="9" s="1"/>
  <c r="AH19" i="9"/>
  <c r="AI19" i="9" s="1"/>
  <c r="AJ19" i="9" s="1"/>
  <c r="AK19" i="9" s="1"/>
  <c r="AL19" i="9" s="1"/>
  <c r="AM19" i="9" s="1"/>
  <c r="BR19" i="9"/>
  <c r="BS19" i="9" s="1"/>
  <c r="BT19" i="9" s="1"/>
  <c r="BU19" i="9" s="1"/>
  <c r="BV19" i="9" s="1"/>
  <c r="BW19" i="9" s="1"/>
  <c r="BQ20" i="9"/>
  <c r="BF19" i="9"/>
  <c r="BG19" i="9" s="1"/>
  <c r="BH19" i="9" s="1"/>
  <c r="BI19" i="9" s="1"/>
  <c r="BJ19" i="9" s="1"/>
  <c r="BK19" i="9" s="1"/>
  <c r="BE20" i="9"/>
  <c r="AS21" i="9"/>
  <c r="AT20" i="9"/>
  <c r="AU20" i="9" s="1"/>
  <c r="AV20" i="9" s="1"/>
  <c r="AW20" i="9" s="1"/>
  <c r="AX20" i="9" s="1"/>
  <c r="AY20" i="9" s="1"/>
  <c r="V21" i="9"/>
  <c r="W21" i="9" s="1"/>
  <c r="X21" i="9" s="1"/>
  <c r="Y21" i="9" s="1"/>
  <c r="Z21" i="9" s="1"/>
  <c r="AG23" i="9"/>
  <c r="EP33" i="17" l="1"/>
  <c r="FN34" i="17"/>
  <c r="FN27" i="17"/>
  <c r="FN33" i="17"/>
  <c r="FN28" i="17"/>
  <c r="FN29" i="17"/>
  <c r="FN30" i="17"/>
  <c r="EF47" i="17"/>
  <c r="EF42" i="17"/>
  <c r="EF43" i="17"/>
  <c r="EF49" i="17"/>
  <c r="EF48" i="17"/>
  <c r="EF44" i="17"/>
  <c r="EF45" i="17"/>
  <c r="EQ19" i="17"/>
  <c r="FN23" i="17"/>
  <c r="FN16" i="17"/>
  <c r="FN22" i="17"/>
  <c r="FN17" i="17"/>
  <c r="FN18" i="17"/>
  <c r="FN19" i="17"/>
  <c r="EE11" i="17"/>
  <c r="EE10" i="17"/>
  <c r="EE4" i="17"/>
  <c r="EE5" i="17"/>
  <c r="EE6" i="17"/>
  <c r="EE7" i="17"/>
  <c r="EE8" i="17"/>
  <c r="ER31" i="17"/>
  <c r="ET31" i="17" s="1"/>
  <c r="EF46" i="17"/>
  <c r="EE49" i="17"/>
  <c r="EE48" i="17"/>
  <c r="EE42" i="17"/>
  <c r="EE43" i="17"/>
  <c r="EE44" i="17"/>
  <c r="EE45" i="17"/>
  <c r="EE46" i="17"/>
  <c r="EO21" i="17"/>
  <c r="FN31" i="17"/>
  <c r="EQ7" i="17"/>
  <c r="EQ45" i="17"/>
  <c r="FN20" i="17"/>
  <c r="ER6" i="17"/>
  <c r="ET6" i="17" s="1"/>
  <c r="EQ32" i="17"/>
  <c r="EO9" i="17"/>
  <c r="EO47" i="17"/>
  <c r="EN23" i="17"/>
  <c r="FN56" i="17"/>
  <c r="FN55" i="17"/>
  <c r="FN49" i="17"/>
  <c r="FN50" i="17"/>
  <c r="FN51" i="17"/>
  <c r="FN52" i="17"/>
  <c r="FO45" i="17"/>
  <c r="FN43" i="17" s="1"/>
  <c r="FN21" i="17"/>
  <c r="FW11" i="17"/>
  <c r="FP11" i="17" s="1"/>
  <c r="EP8" i="17"/>
  <c r="EP46" i="17"/>
  <c r="EE23" i="17"/>
  <c r="EE16" i="17"/>
  <c r="EE22" i="17"/>
  <c r="EE17" i="17"/>
  <c r="EE18" i="17"/>
  <c r="EE19" i="17"/>
  <c r="EE20" i="17"/>
  <c r="EE21" i="17"/>
  <c r="EO34" i="17"/>
  <c r="EN36" i="17"/>
  <c r="ER44" i="17"/>
  <c r="ET44" i="17" s="1"/>
  <c r="ER18" i="17"/>
  <c r="EE9" i="17"/>
  <c r="EE47" i="17"/>
  <c r="EP20" i="17"/>
  <c r="EO23" i="17"/>
  <c r="EG20" i="17" s="1"/>
  <c r="EN11" i="17"/>
  <c r="AM301" i="17"/>
  <c r="AZ219" i="17"/>
  <c r="AM303" i="17" s="1"/>
  <c r="AM273" i="17"/>
  <c r="AY213" i="17"/>
  <c r="AU217" i="17"/>
  <c r="AM229" i="17"/>
  <c r="AL229" i="17" s="1"/>
  <c r="AT219" i="17"/>
  <c r="AM231" i="17" s="1"/>
  <c r="AV216" i="17"/>
  <c r="AM240" i="17"/>
  <c r="BF147" i="17"/>
  <c r="BR96" i="17"/>
  <c r="BF157" i="17" s="1"/>
  <c r="BT96" i="17"/>
  <c r="AX214" i="17"/>
  <c r="AM262" i="17"/>
  <c r="BQ97" i="17"/>
  <c r="BF138" i="17"/>
  <c r="BE119" i="17"/>
  <c r="BE120" i="17"/>
  <c r="BE116" i="17"/>
  <c r="BE118" i="17"/>
  <c r="BE121" i="17"/>
  <c r="BE115" i="17"/>
  <c r="BE117" i="17"/>
  <c r="AM251" i="17"/>
  <c r="AW215" i="17"/>
  <c r="AM284" i="17"/>
  <c r="BA212" i="17"/>
  <c r="BF129" i="17"/>
  <c r="BE129" i="17" s="1"/>
  <c r="BP98" i="17"/>
  <c r="AL133" i="17"/>
  <c r="AB69" i="17"/>
  <c r="AC68" i="17"/>
  <c r="BR8" i="17"/>
  <c r="BF64" i="17"/>
  <c r="AM145" i="17"/>
  <c r="AV121" i="17"/>
  <c r="AV123" i="17" s="1"/>
  <c r="AL135" i="17"/>
  <c r="AL134" i="17"/>
  <c r="AL127" i="17"/>
  <c r="AL128" i="17"/>
  <c r="AL129" i="17"/>
  <c r="AL130" i="17"/>
  <c r="AL131" i="17"/>
  <c r="AM207" i="17"/>
  <c r="AL205" i="17" s="1"/>
  <c r="AL22" i="17"/>
  <c r="AL15" i="17"/>
  <c r="AL21" i="17"/>
  <c r="AL16" i="17"/>
  <c r="AL17" i="17"/>
  <c r="AL18" i="17"/>
  <c r="AL19" i="17"/>
  <c r="AM167" i="17"/>
  <c r="AX119" i="17"/>
  <c r="AL303" i="17"/>
  <c r="AL296" i="17"/>
  <c r="AL298" i="17"/>
  <c r="AL302" i="17"/>
  <c r="AL297" i="17"/>
  <c r="AL295" i="17"/>
  <c r="AL299" i="17"/>
  <c r="AL301" i="17"/>
  <c r="AL300" i="17"/>
  <c r="Y95" i="17"/>
  <c r="AA204" i="17"/>
  <c r="Y83" i="17"/>
  <c r="BF45" i="17"/>
  <c r="AL44" i="17"/>
  <c r="AL43" i="17"/>
  <c r="AL37" i="17"/>
  <c r="AL38" i="17"/>
  <c r="AL39" i="17"/>
  <c r="AL40" i="17"/>
  <c r="AL41" i="17"/>
  <c r="AM178" i="17"/>
  <c r="AY118" i="17"/>
  <c r="BA118" i="17" s="1"/>
  <c r="BE34" i="17"/>
  <c r="BE33" i="17"/>
  <c r="BE27" i="17"/>
  <c r="BE28" i="17"/>
  <c r="BE29" i="17"/>
  <c r="BE30" i="17"/>
  <c r="BE31" i="17"/>
  <c r="AM156" i="17"/>
  <c r="AW120" i="17"/>
  <c r="BF74" i="17"/>
  <c r="BF54" i="17"/>
  <c r="BQ9" i="17"/>
  <c r="AP10" i="17"/>
  <c r="AL3" i="17"/>
  <c r="AL9" i="17"/>
  <c r="AO3" i="17"/>
  <c r="AO9" i="17"/>
  <c r="AN9" i="17"/>
  <c r="AN3" i="17"/>
  <c r="AM3" i="17"/>
  <c r="AM9" i="17"/>
  <c r="AM4" i="17"/>
  <c r="AP4" i="17"/>
  <c r="AL4" i="17"/>
  <c r="AN4" i="17"/>
  <c r="AP9" i="17"/>
  <c r="AO4" i="17"/>
  <c r="AP3" i="17"/>
  <c r="AN5" i="17"/>
  <c r="AL5" i="17"/>
  <c r="AO5" i="17"/>
  <c r="AM5" i="17"/>
  <c r="AL6" i="17"/>
  <c r="AN6" i="17"/>
  <c r="AP5" i="17"/>
  <c r="AM6" i="17"/>
  <c r="AO6" i="17"/>
  <c r="AP6" i="17"/>
  <c r="AO7" i="17"/>
  <c r="AM7" i="17"/>
  <c r="AN7" i="17"/>
  <c r="AL7" i="17"/>
  <c r="AN8" i="17"/>
  <c r="AM8" i="17"/>
  <c r="AL8" i="17"/>
  <c r="AO8" i="17"/>
  <c r="AP7" i="17"/>
  <c r="AO10" i="17"/>
  <c r="AM189" i="17"/>
  <c r="BA117" i="17"/>
  <c r="AL33" i="17"/>
  <c r="AL26" i="17"/>
  <c r="AL32" i="17"/>
  <c r="AL27" i="17"/>
  <c r="AL28" i="17"/>
  <c r="AL29" i="17"/>
  <c r="AL30" i="17"/>
  <c r="AU123" i="17"/>
  <c r="AL10" i="17"/>
  <c r="BT7" i="17"/>
  <c r="BP11" i="17"/>
  <c r="AC193" i="17"/>
  <c r="AB192" i="17"/>
  <c r="Z192" i="17"/>
  <c r="AA187" i="17"/>
  <c r="Y192" i="17"/>
  <c r="AB186" i="17"/>
  <c r="Y186" i="17"/>
  <c r="AA192" i="17"/>
  <c r="Z186" i="17"/>
  <c r="AA186" i="17"/>
  <c r="Y187" i="17"/>
  <c r="Z187" i="17"/>
  <c r="AA188" i="17"/>
  <c r="AC186" i="17"/>
  <c r="AB187" i="17"/>
  <c r="AC187" i="17"/>
  <c r="Y188" i="17"/>
  <c r="AB188" i="17"/>
  <c r="AA189" i="17"/>
  <c r="Z188" i="17"/>
  <c r="AC188" i="17"/>
  <c r="AA190" i="17"/>
  <c r="Z189" i="17"/>
  <c r="AB189" i="17"/>
  <c r="Y189" i="17"/>
  <c r="AC189" i="17"/>
  <c r="Z190" i="17"/>
  <c r="Y190" i="17"/>
  <c r="AA191" i="17"/>
  <c r="AB190" i="17"/>
  <c r="Z191" i="17"/>
  <c r="Y191" i="17"/>
  <c r="AB191" i="17"/>
  <c r="AC190" i="17"/>
  <c r="AC191" i="17"/>
  <c r="Y69" i="17"/>
  <c r="Y71" i="17"/>
  <c r="AA69" i="17"/>
  <c r="Z182" i="17"/>
  <c r="Y180" i="17" s="1"/>
  <c r="AB134" i="17"/>
  <c r="Y193" i="17"/>
  <c r="AB193" i="17"/>
  <c r="Z193" i="17"/>
  <c r="Y97" i="17"/>
  <c r="Y96" i="17"/>
  <c r="Y89" i="17"/>
  <c r="Y90" i="17"/>
  <c r="Y91" i="17"/>
  <c r="Y92" i="17"/>
  <c r="Y93" i="17"/>
  <c r="Z146" i="17"/>
  <c r="Y134" i="17"/>
  <c r="Z158" i="17"/>
  <c r="Y156" i="17" s="1"/>
  <c r="Z134" i="17"/>
  <c r="Z170" i="17"/>
  <c r="Y168" i="17" s="1"/>
  <c r="AA134" i="17"/>
  <c r="AC192" i="17"/>
  <c r="AA193" i="17"/>
  <c r="AC204" i="17"/>
  <c r="Y197" i="17"/>
  <c r="Y203" i="17"/>
  <c r="AB197" i="17"/>
  <c r="AB203" i="17"/>
  <c r="AA197" i="17"/>
  <c r="AA203" i="17"/>
  <c r="Z197" i="17"/>
  <c r="Z203" i="17"/>
  <c r="AC197" i="17"/>
  <c r="AB198" i="17"/>
  <c r="AC203" i="17"/>
  <c r="Z198" i="17"/>
  <c r="AA198" i="17"/>
  <c r="Y198" i="17"/>
  <c r="AB199" i="17"/>
  <c r="AC198" i="17"/>
  <c r="Z199" i="17"/>
  <c r="Y199" i="17"/>
  <c r="AA199" i="17"/>
  <c r="AC199" i="17"/>
  <c r="Z200" i="17"/>
  <c r="AA200" i="17"/>
  <c r="AB200" i="17"/>
  <c r="Y200" i="17"/>
  <c r="AC200" i="17"/>
  <c r="Z201" i="17"/>
  <c r="Y201" i="17"/>
  <c r="AB201" i="17"/>
  <c r="AA201" i="17"/>
  <c r="AC201" i="17"/>
  <c r="Y202" i="17"/>
  <c r="AA202" i="17"/>
  <c r="Z202" i="17"/>
  <c r="AB202" i="17"/>
  <c r="AC71" i="17"/>
  <c r="Z70" i="17"/>
  <c r="AB70" i="17"/>
  <c r="Z63" i="17"/>
  <c r="AC63" i="17"/>
  <c r="AA63" i="17"/>
  <c r="AB63" i="17"/>
  <c r="Y70" i="17"/>
  <c r="AA70" i="17"/>
  <c r="Y63" i="17"/>
  <c r="Z64" i="17"/>
  <c r="AA64" i="17"/>
  <c r="AB64" i="17"/>
  <c r="Y64" i="17"/>
  <c r="AC70" i="17"/>
  <c r="AC64" i="17"/>
  <c r="AB65" i="17"/>
  <c r="AA65" i="17"/>
  <c r="Z65" i="17"/>
  <c r="Y65" i="17"/>
  <c r="AB66" i="17"/>
  <c r="Z66" i="17"/>
  <c r="AC65" i="17"/>
  <c r="AA66" i="17"/>
  <c r="Y66" i="17"/>
  <c r="AA67" i="17"/>
  <c r="Y67" i="17"/>
  <c r="AB67" i="17"/>
  <c r="Z67" i="17"/>
  <c r="AC66" i="17"/>
  <c r="AA68" i="17"/>
  <c r="AB68" i="17"/>
  <c r="AC67" i="17"/>
  <c r="Y68" i="17"/>
  <c r="Z68" i="17"/>
  <c r="Y144" i="17"/>
  <c r="Z69" i="17"/>
  <c r="Z71" i="17"/>
  <c r="Y204" i="17"/>
  <c r="AC69" i="17"/>
  <c r="Y85" i="17"/>
  <c r="Y77" i="17"/>
  <c r="Y84" i="17"/>
  <c r="Y78" i="17"/>
  <c r="Y79" i="17"/>
  <c r="Y80" i="17"/>
  <c r="Y81" i="17"/>
  <c r="Z109" i="17"/>
  <c r="AA71" i="17"/>
  <c r="Y107" i="17"/>
  <c r="Z121" i="17"/>
  <c r="AB71" i="17"/>
  <c r="Y119" i="17"/>
  <c r="AB204" i="17"/>
  <c r="Z204" i="17"/>
  <c r="AH134" i="17"/>
  <c r="AC134" i="17" s="1"/>
  <c r="Y41" i="17"/>
  <c r="AB44" i="17"/>
  <c r="AH20" i="9"/>
  <c r="AI20" i="9" s="1"/>
  <c r="AJ20" i="9" s="1"/>
  <c r="AK20" i="9" s="1"/>
  <c r="AL20" i="9" s="1"/>
  <c r="AM20" i="9" s="1"/>
  <c r="AG24" i="9"/>
  <c r="V22" i="9"/>
  <c r="W22" i="9" s="1"/>
  <c r="X22" i="9" s="1"/>
  <c r="Y22" i="9" s="1"/>
  <c r="Z22" i="9" s="1"/>
  <c r="U23" i="9"/>
  <c r="BF20" i="9"/>
  <c r="BG20" i="9" s="1"/>
  <c r="BH20" i="9" s="1"/>
  <c r="BI20" i="9" s="1"/>
  <c r="BJ20" i="9" s="1"/>
  <c r="BK20" i="9" s="1"/>
  <c r="BE21" i="9"/>
  <c r="BR20" i="9"/>
  <c r="BS20" i="9" s="1"/>
  <c r="BT20" i="9" s="1"/>
  <c r="BU20" i="9" s="1"/>
  <c r="BV20" i="9" s="1"/>
  <c r="BW20" i="9" s="1"/>
  <c r="BQ21" i="9"/>
  <c r="AS22" i="9"/>
  <c r="AT21" i="9"/>
  <c r="AU21" i="9" s="1"/>
  <c r="AV21" i="9" s="1"/>
  <c r="AW21" i="9" s="1"/>
  <c r="AX21" i="9" s="1"/>
  <c r="AY21" i="9" s="1"/>
  <c r="AH21" i="9" l="1"/>
  <c r="EF4" i="17"/>
  <c r="EF11" i="17"/>
  <c r="EF10" i="17"/>
  <c r="EF5" i="17"/>
  <c r="EF6" i="17"/>
  <c r="EF7" i="17"/>
  <c r="EF8" i="17"/>
  <c r="EP34" i="17"/>
  <c r="EQ46" i="17"/>
  <c r="EO11" i="17"/>
  <c r="EQ8" i="17"/>
  <c r="FR11" i="17"/>
  <c r="FN4" i="17"/>
  <c r="FO4" i="17"/>
  <c r="FQ10" i="17"/>
  <c r="FP10" i="17"/>
  <c r="FO10" i="17"/>
  <c r="FQ4" i="17"/>
  <c r="FP4" i="17"/>
  <c r="FN10" i="17"/>
  <c r="FO5" i="17"/>
  <c r="FN5" i="17"/>
  <c r="FQ5" i="17"/>
  <c r="FR10" i="17"/>
  <c r="FP5" i="17"/>
  <c r="FR4" i="17"/>
  <c r="FQ6" i="17"/>
  <c r="FN6" i="17"/>
  <c r="FR5" i="17"/>
  <c r="FP6" i="17"/>
  <c r="FO6" i="17"/>
  <c r="FN7" i="17"/>
  <c r="FQ7" i="17"/>
  <c r="FR6" i="17"/>
  <c r="FP7" i="17"/>
  <c r="FO7" i="17"/>
  <c r="FQ8" i="17"/>
  <c r="FO8" i="17"/>
  <c r="FR7" i="17"/>
  <c r="FN8" i="17"/>
  <c r="FP8" i="17"/>
  <c r="FQ11" i="17"/>
  <c r="FN11" i="17"/>
  <c r="FN9" i="17"/>
  <c r="FO11" i="17"/>
  <c r="FO9" i="17"/>
  <c r="FQ9" i="17"/>
  <c r="FP9" i="17"/>
  <c r="FR8" i="17"/>
  <c r="FN45" i="17"/>
  <c r="FN44" i="17"/>
  <c r="FN38" i="17"/>
  <c r="FN39" i="17"/>
  <c r="FN40" i="17"/>
  <c r="FN41" i="17"/>
  <c r="FN42" i="17"/>
  <c r="EF21" i="17"/>
  <c r="EF23" i="17"/>
  <c r="EF16" i="17"/>
  <c r="EF22" i="17"/>
  <c r="EF17" i="17"/>
  <c r="EF18" i="17"/>
  <c r="EF19" i="17"/>
  <c r="EF20" i="17"/>
  <c r="EF9" i="17"/>
  <c r="EP21" i="17"/>
  <c r="EG21" i="17"/>
  <c r="ET18" i="17"/>
  <c r="EG22" i="17"/>
  <c r="EG17" i="17"/>
  <c r="EG23" i="17"/>
  <c r="EG16" i="17"/>
  <c r="EG18" i="17"/>
  <c r="EG19" i="17"/>
  <c r="EQ20" i="17"/>
  <c r="EP23" i="17"/>
  <c r="EF35" i="17"/>
  <c r="EF36" i="17"/>
  <c r="EF29" i="17"/>
  <c r="EF30" i="17"/>
  <c r="EF31" i="17"/>
  <c r="EF32" i="17"/>
  <c r="EF33" i="17"/>
  <c r="EF34" i="17"/>
  <c r="EO49" i="17"/>
  <c r="EP47" i="17"/>
  <c r="EG47" i="17"/>
  <c r="EP9" i="17"/>
  <c r="EG9" i="17"/>
  <c r="ER32" i="17"/>
  <c r="ET32" i="17" s="1"/>
  <c r="ER45" i="17"/>
  <c r="ER7" i="17"/>
  <c r="FR9" i="17"/>
  <c r="ER19" i="17"/>
  <c r="ET19" i="17" s="1"/>
  <c r="EO36" i="17"/>
  <c r="EQ33" i="17"/>
  <c r="AM252" i="17"/>
  <c r="AW216" i="17"/>
  <c r="AM285" i="17"/>
  <c r="BA213" i="17"/>
  <c r="BF139" i="17"/>
  <c r="BQ98" i="17"/>
  <c r="BQ100" i="17" s="1"/>
  <c r="BF151" i="17" s="1"/>
  <c r="AX215" i="17"/>
  <c r="AM263" i="17"/>
  <c r="BP100" i="17"/>
  <c r="BF141" i="17" s="1"/>
  <c r="BR97" i="17"/>
  <c r="BF148" i="17"/>
  <c r="BT97" i="17"/>
  <c r="AM274" i="17"/>
  <c r="AY214" i="17"/>
  <c r="AL230" i="17"/>
  <c r="AL224" i="17"/>
  <c r="AL226" i="17"/>
  <c r="AL231" i="17"/>
  <c r="AL223" i="17"/>
  <c r="AL225" i="17"/>
  <c r="AL227" i="17"/>
  <c r="AL228" i="17"/>
  <c r="AU219" i="17"/>
  <c r="AM243" i="17" s="1"/>
  <c r="AM241" i="17"/>
  <c r="AV217" i="17"/>
  <c r="BF65" i="17"/>
  <c r="BR9" i="17"/>
  <c r="AM159" i="17"/>
  <c r="AM147" i="17"/>
  <c r="AL145" i="17" s="1"/>
  <c r="BE45" i="17"/>
  <c r="BE44" i="17"/>
  <c r="BE38" i="17"/>
  <c r="BE39" i="17"/>
  <c r="BE40" i="17"/>
  <c r="BE41" i="17"/>
  <c r="BE42" i="17"/>
  <c r="AL207" i="17"/>
  <c r="AL199" i="17"/>
  <c r="AL206" i="17"/>
  <c r="AL200" i="17"/>
  <c r="AL201" i="17"/>
  <c r="AL202" i="17"/>
  <c r="AL203" i="17"/>
  <c r="AL204" i="17"/>
  <c r="AM157" i="17"/>
  <c r="AW121" i="17"/>
  <c r="BF75" i="17"/>
  <c r="BF56" i="17"/>
  <c r="AM168" i="17"/>
  <c r="AX120" i="17"/>
  <c r="AM190" i="17"/>
  <c r="AM179" i="17"/>
  <c r="AY119" i="17"/>
  <c r="BA119" i="17" s="1"/>
  <c r="AL156" i="17"/>
  <c r="BE43" i="17"/>
  <c r="BT8" i="17"/>
  <c r="BQ11" i="17"/>
  <c r="Y109" i="17"/>
  <c r="Y101" i="17"/>
  <c r="Y108" i="17"/>
  <c r="Y102" i="17"/>
  <c r="Y103" i="17"/>
  <c r="Y104" i="17"/>
  <c r="Y105" i="17"/>
  <c r="Y106" i="17"/>
  <c r="Y182" i="17"/>
  <c r="Y174" i="17"/>
  <c r="Y181" i="17"/>
  <c r="Y175" i="17"/>
  <c r="Y176" i="17"/>
  <c r="Y177" i="17"/>
  <c r="Y178" i="17"/>
  <c r="Y179" i="17"/>
  <c r="Y121" i="17"/>
  <c r="Y120" i="17"/>
  <c r="Y113" i="17"/>
  <c r="Y114" i="17"/>
  <c r="Y115" i="17"/>
  <c r="Y116" i="17"/>
  <c r="Y117" i="17"/>
  <c r="Y118" i="17"/>
  <c r="Y170" i="17"/>
  <c r="Y162" i="17"/>
  <c r="Y169" i="17"/>
  <c r="Y163" i="17"/>
  <c r="Y164" i="17"/>
  <c r="Y165" i="17"/>
  <c r="Y166" i="17"/>
  <c r="Y167" i="17"/>
  <c r="Y158" i="17"/>
  <c r="Y150" i="17"/>
  <c r="Y157" i="17"/>
  <c r="Y151" i="17"/>
  <c r="Y152" i="17"/>
  <c r="Y153" i="17"/>
  <c r="Y154" i="17"/>
  <c r="Y155" i="17"/>
  <c r="Y146" i="17"/>
  <c r="Y138" i="17"/>
  <c r="Y145" i="17"/>
  <c r="Y139" i="17"/>
  <c r="Y140" i="17"/>
  <c r="Y141" i="17"/>
  <c r="Y142" i="17"/>
  <c r="Y143" i="17"/>
  <c r="AS23" i="9"/>
  <c r="AT22" i="9"/>
  <c r="AU22" i="9" s="1"/>
  <c r="AV22" i="9" s="1"/>
  <c r="AW22" i="9" s="1"/>
  <c r="AX22" i="9" s="1"/>
  <c r="AY22" i="9" s="1"/>
  <c r="AI21" i="9"/>
  <c r="AJ21" i="9" s="1"/>
  <c r="AK21" i="9" s="1"/>
  <c r="AL21" i="9" s="1"/>
  <c r="AM21" i="9" s="1"/>
  <c r="AH22" i="9"/>
  <c r="BR21" i="9"/>
  <c r="BS21" i="9" s="1"/>
  <c r="BT21" i="9" s="1"/>
  <c r="BU21" i="9" s="1"/>
  <c r="BV21" i="9" s="1"/>
  <c r="BW21" i="9" s="1"/>
  <c r="BQ22" i="9"/>
  <c r="BF21" i="9"/>
  <c r="BG21" i="9" s="1"/>
  <c r="BH21" i="9" s="1"/>
  <c r="BI21" i="9" s="1"/>
  <c r="BJ21" i="9" s="1"/>
  <c r="BK21" i="9" s="1"/>
  <c r="BE22" i="9"/>
  <c r="V23" i="9"/>
  <c r="W23" i="9" s="1"/>
  <c r="X23" i="9" s="1"/>
  <c r="Y23" i="9" s="1"/>
  <c r="Z23" i="9" s="1"/>
  <c r="U24" i="9"/>
  <c r="AG25" i="9"/>
  <c r="CP10" i="13"/>
  <c r="CN10" i="13"/>
  <c r="CO10" i="13" s="1"/>
  <c r="CP9" i="13"/>
  <c r="CN9" i="13"/>
  <c r="CO9" i="13" s="1"/>
  <c r="CP4" i="13"/>
  <c r="CN4" i="13"/>
  <c r="CO4" i="13" s="1"/>
  <c r="CP3" i="13"/>
  <c r="CN3" i="13"/>
  <c r="CO3" i="13" s="1"/>
  <c r="CG33" i="13"/>
  <c r="CG32" i="13"/>
  <c r="CG31" i="13"/>
  <c r="CG30" i="13"/>
  <c r="CG29" i="13"/>
  <c r="CF33" i="13"/>
  <c r="CF32" i="13"/>
  <c r="CF31" i="13"/>
  <c r="CF30" i="13"/>
  <c r="CF29" i="13"/>
  <c r="CE33" i="13"/>
  <c r="CE32" i="13"/>
  <c r="CE31" i="13"/>
  <c r="CE30" i="13"/>
  <c r="CE29" i="13"/>
  <c r="CG24" i="13"/>
  <c r="CG23" i="13"/>
  <c r="CF24" i="13"/>
  <c r="CF23" i="13"/>
  <c r="CE24" i="13"/>
  <c r="CE23" i="13"/>
  <c r="CG18" i="13"/>
  <c r="CG17" i="13"/>
  <c r="CG16" i="13"/>
  <c r="CG15" i="13"/>
  <c r="CF18" i="13"/>
  <c r="CF17" i="13"/>
  <c r="CF16" i="13"/>
  <c r="CF15" i="13"/>
  <c r="CE18" i="13"/>
  <c r="CE17" i="13"/>
  <c r="CE16" i="13"/>
  <c r="CE15" i="13"/>
  <c r="CG10" i="13"/>
  <c r="CE10" i="13"/>
  <c r="CF10" i="13" s="1"/>
  <c r="CG9" i="13"/>
  <c r="CE9" i="13"/>
  <c r="CF9" i="13" s="1"/>
  <c r="CG4" i="13"/>
  <c r="CE4" i="13"/>
  <c r="CF4" i="13" s="1"/>
  <c r="CG3" i="13"/>
  <c r="CE3" i="13"/>
  <c r="BX103" i="13"/>
  <c r="BV103" i="13"/>
  <c r="BW103" i="13" s="1"/>
  <c r="BX102" i="13"/>
  <c r="BV102" i="13"/>
  <c r="BW102" i="13" s="1"/>
  <c r="BX101" i="13"/>
  <c r="BV101" i="13"/>
  <c r="BW101" i="13" s="1"/>
  <c r="BX100" i="13"/>
  <c r="BV100" i="13"/>
  <c r="BW100" i="13" s="1"/>
  <c r="BX99" i="13"/>
  <c r="BV99" i="13"/>
  <c r="BW99" i="13" s="1"/>
  <c r="BX98" i="13"/>
  <c r="BV98" i="13"/>
  <c r="BW98" i="13" s="1"/>
  <c r="BX92" i="13"/>
  <c r="BV92" i="13"/>
  <c r="BW92" i="13" s="1"/>
  <c r="BX91" i="13"/>
  <c r="BV91" i="13"/>
  <c r="BW91" i="13" s="1"/>
  <c r="BX90" i="13"/>
  <c r="BV90" i="13"/>
  <c r="BX89" i="13"/>
  <c r="BV89" i="13"/>
  <c r="BW89" i="13" s="1"/>
  <c r="BX88" i="13"/>
  <c r="BV88" i="13"/>
  <c r="BX87" i="13"/>
  <c r="BV87" i="13"/>
  <c r="BW87" i="13" s="1"/>
  <c r="BX81" i="13"/>
  <c r="BV81" i="13"/>
  <c r="BX80" i="13"/>
  <c r="BV80" i="13"/>
  <c r="BW80" i="13" s="1"/>
  <c r="BX79" i="13"/>
  <c r="BV79" i="13"/>
  <c r="BW79" i="13" s="1"/>
  <c r="BX78" i="13"/>
  <c r="BV78" i="13"/>
  <c r="BW78" i="13" s="1"/>
  <c r="BX77" i="13"/>
  <c r="BV77" i="13"/>
  <c r="BW77" i="13" s="1"/>
  <c r="BX76" i="13"/>
  <c r="BV76" i="13"/>
  <c r="BW76" i="13" s="1"/>
  <c r="BX70" i="13"/>
  <c r="BV70" i="13"/>
  <c r="BW70" i="13" s="1"/>
  <c r="BX69" i="13"/>
  <c r="BV69" i="13"/>
  <c r="BX68" i="13"/>
  <c r="BV68" i="13"/>
  <c r="BW68" i="13" s="1"/>
  <c r="BX67" i="13"/>
  <c r="BV67" i="13"/>
  <c r="BW67" i="13" s="1"/>
  <c r="BX66" i="13"/>
  <c r="BV66" i="13"/>
  <c r="BW66" i="13" s="1"/>
  <c r="BX65" i="13"/>
  <c r="BV65" i="13"/>
  <c r="BW65" i="13" s="1"/>
  <c r="BX59" i="13"/>
  <c r="BV59" i="13"/>
  <c r="BW59" i="13" s="1"/>
  <c r="BX58" i="13"/>
  <c r="BV58" i="13"/>
  <c r="BW58" i="13" s="1"/>
  <c r="BX57" i="13"/>
  <c r="BV57" i="13"/>
  <c r="BX56" i="13"/>
  <c r="BV56" i="13"/>
  <c r="BW56" i="13" s="1"/>
  <c r="BX55" i="13"/>
  <c r="BV55" i="13"/>
  <c r="BX54" i="13"/>
  <c r="BV54" i="13"/>
  <c r="BW54" i="13" s="1"/>
  <c r="BX48" i="13"/>
  <c r="BX47" i="13"/>
  <c r="BX46" i="13"/>
  <c r="BX45" i="13"/>
  <c r="BX44" i="13"/>
  <c r="BX43" i="13"/>
  <c r="BV48" i="13"/>
  <c r="BV47" i="13"/>
  <c r="BW47" i="13" s="1"/>
  <c r="BV46" i="13"/>
  <c r="BV45" i="13"/>
  <c r="BW45" i="13" s="1"/>
  <c r="BV44" i="13"/>
  <c r="BV43" i="13"/>
  <c r="BW43" i="13" s="1"/>
  <c r="BW37" i="13"/>
  <c r="BW36" i="13"/>
  <c r="BW35" i="13"/>
  <c r="BW34" i="13"/>
  <c r="BW33" i="13"/>
  <c r="BU37" i="13"/>
  <c r="BV37" i="13" s="1"/>
  <c r="BU36" i="13"/>
  <c r="BU35" i="13"/>
  <c r="BV35" i="13" s="1"/>
  <c r="BU34" i="13"/>
  <c r="BU33" i="13"/>
  <c r="BV33" i="13" s="1"/>
  <c r="BW27" i="13"/>
  <c r="BW26" i="13"/>
  <c r="BW25" i="13"/>
  <c r="BW24" i="13"/>
  <c r="BW23" i="13"/>
  <c r="BW28" i="13"/>
  <c r="BU28" i="13"/>
  <c r="BV28" i="13" s="1"/>
  <c r="BU27" i="13"/>
  <c r="BV27" i="13" s="1"/>
  <c r="BU26" i="13"/>
  <c r="BV26" i="13" s="1"/>
  <c r="BU25" i="13"/>
  <c r="BV25" i="13" s="1"/>
  <c r="BU24" i="13"/>
  <c r="BV24" i="13" s="1"/>
  <c r="BU23" i="13"/>
  <c r="BV23" i="13" s="1"/>
  <c r="BW18" i="13"/>
  <c r="BW17" i="13"/>
  <c r="BW16" i="13"/>
  <c r="BU18" i="13"/>
  <c r="BV18" i="13" s="1"/>
  <c r="BU17" i="13"/>
  <c r="BV17" i="13" s="1"/>
  <c r="BU16" i="13"/>
  <c r="BV16" i="13" s="1"/>
  <c r="BW10" i="13"/>
  <c r="BW9" i="13"/>
  <c r="BW8" i="13"/>
  <c r="BW7" i="13"/>
  <c r="BW6" i="13"/>
  <c r="BW5" i="13"/>
  <c r="BW4" i="13"/>
  <c r="BU10" i="13"/>
  <c r="BU9" i="13"/>
  <c r="BU8" i="13"/>
  <c r="BU7" i="13"/>
  <c r="BV7" i="13" s="1"/>
  <c r="BU6" i="13"/>
  <c r="BU5" i="13"/>
  <c r="BU4" i="13"/>
  <c r="BN85" i="13"/>
  <c r="BL85" i="13"/>
  <c r="BN79" i="13"/>
  <c r="BL79" i="13"/>
  <c r="BN72" i="13"/>
  <c r="BN65" i="13"/>
  <c r="BN66" i="13" s="1"/>
  <c r="BL72" i="13"/>
  <c r="BL65" i="13"/>
  <c r="BL66" i="13" s="1"/>
  <c r="BN59" i="13"/>
  <c r="BL59" i="13"/>
  <c r="BM59" i="13" s="1"/>
  <c r="BN47" i="13"/>
  <c r="BN41" i="13"/>
  <c r="BN42" i="13" s="1"/>
  <c r="BN43" i="13" s="1"/>
  <c r="BN44" i="13" s="1"/>
  <c r="BN45" i="13" s="1"/>
  <c r="BN46" i="13" s="1"/>
  <c r="BL47" i="13"/>
  <c r="BM47" i="13" s="1"/>
  <c r="BL41" i="13"/>
  <c r="BM41" i="13" s="1"/>
  <c r="BN53" i="13"/>
  <c r="BN54" i="13" s="1"/>
  <c r="BN55" i="13" s="1"/>
  <c r="BN56" i="13" s="1"/>
  <c r="BN57" i="13" s="1"/>
  <c r="BN58" i="13" s="1"/>
  <c r="BL53" i="13"/>
  <c r="BL54" i="13" s="1"/>
  <c r="BL55" i="13" s="1"/>
  <c r="BL56" i="13" s="1"/>
  <c r="BL57" i="13" s="1"/>
  <c r="BL58" i="13" s="1"/>
  <c r="BN36" i="13"/>
  <c r="BN30" i="13"/>
  <c r="BN31" i="13" s="1"/>
  <c r="BL36" i="13"/>
  <c r="BL30" i="13"/>
  <c r="BE54" i="13"/>
  <c r="BC54" i="13"/>
  <c r="BD54" i="13" s="1"/>
  <c r="BE46" i="13"/>
  <c r="BC46" i="13"/>
  <c r="BE38" i="13"/>
  <c r="BE30" i="13"/>
  <c r="BE31" i="13" s="1"/>
  <c r="BC38" i="13"/>
  <c r="BC30" i="13"/>
  <c r="BE23" i="13"/>
  <c r="BE18" i="13"/>
  <c r="BE19" i="13" s="1"/>
  <c r="BC23" i="13"/>
  <c r="BD23" i="13" s="1"/>
  <c r="BC18" i="13"/>
  <c r="BE12" i="13"/>
  <c r="BE6" i="13"/>
  <c r="BE7" i="13" s="1"/>
  <c r="BE5" i="13"/>
  <c r="BE4" i="13"/>
  <c r="BC12" i="13"/>
  <c r="BC6" i="13"/>
  <c r="BC7" i="13" s="1"/>
  <c r="BC5" i="13"/>
  <c r="BC4" i="13"/>
  <c r="BD4" i="13" s="1"/>
  <c r="AT107" i="13"/>
  <c r="AT106" i="13"/>
  <c r="AT105" i="13"/>
  <c r="AT104" i="13"/>
  <c r="AT103" i="13"/>
  <c r="AT102" i="13"/>
  <c r="AT101" i="13"/>
  <c r="AT100" i="13"/>
  <c r="AT99" i="13"/>
  <c r="AT98" i="13"/>
  <c r="AT97" i="13"/>
  <c r="AT96" i="13"/>
  <c r="AT95" i="13"/>
  <c r="AT94" i="13"/>
  <c r="AT93" i="13"/>
  <c r="AT92" i="13"/>
  <c r="AT91" i="13"/>
  <c r="AT90" i="13"/>
  <c r="AT89" i="13"/>
  <c r="AT88" i="13"/>
  <c r="AT87" i="13"/>
  <c r="AT86" i="13"/>
  <c r="AT85" i="13"/>
  <c r="AT84" i="13"/>
  <c r="AT83" i="13"/>
  <c r="AT82" i="13"/>
  <c r="AT81" i="13"/>
  <c r="AT80" i="13"/>
  <c r="AT79" i="13"/>
  <c r="AT78" i="13"/>
  <c r="AT77" i="13"/>
  <c r="AT76" i="13"/>
  <c r="AT75" i="13"/>
  <c r="AT74" i="13"/>
  <c r="AT73" i="13"/>
  <c r="AT69" i="13"/>
  <c r="AT68" i="13"/>
  <c r="AT67" i="13"/>
  <c r="AT66" i="13"/>
  <c r="AT65" i="13"/>
  <c r="AT64" i="13"/>
  <c r="AT63" i="13"/>
  <c r="AT62" i="13"/>
  <c r="AT61" i="13"/>
  <c r="AT60" i="13"/>
  <c r="AT59" i="13"/>
  <c r="AW52" i="13"/>
  <c r="AW107" i="13" s="1"/>
  <c r="AW51" i="13"/>
  <c r="AW106" i="13" s="1"/>
  <c r="AW50" i="13"/>
  <c r="AW105" i="13" s="1"/>
  <c r="AW49" i="13"/>
  <c r="AW104" i="13" s="1"/>
  <c r="AW48" i="13"/>
  <c r="AW103" i="13" s="1"/>
  <c r="AW47" i="13"/>
  <c r="AW102" i="13" s="1"/>
  <c r="AW46" i="13"/>
  <c r="AW101" i="13" s="1"/>
  <c r="AW45" i="13"/>
  <c r="AW100" i="13" s="1"/>
  <c r="AW44" i="13"/>
  <c r="AW99" i="13" s="1"/>
  <c r="AW43" i="13"/>
  <c r="AW98" i="13" s="1"/>
  <c r="AW42" i="13"/>
  <c r="AW97" i="13" s="1"/>
  <c r="AW41" i="13"/>
  <c r="AW96" i="13" s="1"/>
  <c r="AW40" i="13"/>
  <c r="AW95" i="13" s="1"/>
  <c r="AW39" i="13"/>
  <c r="AW94" i="13" s="1"/>
  <c r="AW38" i="13"/>
  <c r="AW93" i="13" s="1"/>
  <c r="AW37" i="13"/>
  <c r="AW92" i="13" s="1"/>
  <c r="AW36" i="13"/>
  <c r="AW91" i="13" s="1"/>
  <c r="AW35" i="13"/>
  <c r="AW90" i="13" s="1"/>
  <c r="AW34" i="13"/>
  <c r="AW89" i="13" s="1"/>
  <c r="AW33" i="13"/>
  <c r="AW88" i="13" s="1"/>
  <c r="AW32" i="13"/>
  <c r="AW87" i="13" s="1"/>
  <c r="AW31" i="13"/>
  <c r="AW86" i="13" s="1"/>
  <c r="AW30" i="13"/>
  <c r="AW85" i="13" s="1"/>
  <c r="AW29" i="13"/>
  <c r="AW84" i="13" s="1"/>
  <c r="AW28" i="13"/>
  <c r="AW83" i="13" s="1"/>
  <c r="AW27" i="13"/>
  <c r="AW82" i="13" s="1"/>
  <c r="AW26" i="13"/>
  <c r="AW81" i="13" s="1"/>
  <c r="AW25" i="13"/>
  <c r="AW80" i="13" s="1"/>
  <c r="AW24" i="13"/>
  <c r="AW79" i="13" s="1"/>
  <c r="AW23" i="13"/>
  <c r="AW78" i="13" s="1"/>
  <c r="AW22" i="13"/>
  <c r="AW77" i="13" s="1"/>
  <c r="AW21" i="13"/>
  <c r="AW76" i="13" s="1"/>
  <c r="AW20" i="13"/>
  <c r="AW75" i="13" s="1"/>
  <c r="AW19" i="13"/>
  <c r="AW74" i="13" s="1"/>
  <c r="AW18" i="13"/>
  <c r="AW73" i="13" s="1"/>
  <c r="AW14" i="13"/>
  <c r="AW69" i="13" s="1"/>
  <c r="AW13" i="13"/>
  <c r="AW68" i="13" s="1"/>
  <c r="AW12" i="13"/>
  <c r="AW67" i="13" s="1"/>
  <c r="AW11" i="13"/>
  <c r="AW66" i="13" s="1"/>
  <c r="AW10" i="13"/>
  <c r="AW65" i="13" s="1"/>
  <c r="AW9" i="13"/>
  <c r="AW64" i="13" s="1"/>
  <c r="AW8" i="13"/>
  <c r="AW63" i="13" s="1"/>
  <c r="AW7" i="13"/>
  <c r="AW62" i="13" s="1"/>
  <c r="AW6" i="13"/>
  <c r="AW61" i="13" s="1"/>
  <c r="AW5" i="13"/>
  <c r="AW60" i="13" s="1"/>
  <c r="AW4" i="13"/>
  <c r="AT52" i="13"/>
  <c r="AT51" i="13"/>
  <c r="AT50" i="13"/>
  <c r="AT49" i="13"/>
  <c r="AT48" i="13"/>
  <c r="AT47" i="13"/>
  <c r="AT46" i="13"/>
  <c r="AT45" i="13"/>
  <c r="AT44" i="13"/>
  <c r="AT43" i="13"/>
  <c r="AT42" i="13"/>
  <c r="AT41" i="13"/>
  <c r="AT40" i="13"/>
  <c r="AT39" i="13"/>
  <c r="AT38" i="13"/>
  <c r="AT37" i="13"/>
  <c r="AT36" i="13"/>
  <c r="AT35" i="13"/>
  <c r="AT34" i="13"/>
  <c r="AT33" i="13"/>
  <c r="AT32" i="13"/>
  <c r="AT31" i="13"/>
  <c r="AT30" i="13"/>
  <c r="AT29" i="13"/>
  <c r="AT28" i="13"/>
  <c r="AT27" i="13"/>
  <c r="AT26" i="13"/>
  <c r="AT25" i="13"/>
  <c r="AT24" i="13"/>
  <c r="AT23" i="13"/>
  <c r="AT22" i="13"/>
  <c r="AT21" i="13"/>
  <c r="AT20" i="13"/>
  <c r="AT19" i="13"/>
  <c r="AT18" i="13"/>
  <c r="AT14" i="13"/>
  <c r="AT13" i="13"/>
  <c r="AT12" i="13"/>
  <c r="AT11" i="13"/>
  <c r="AT10" i="13"/>
  <c r="AT9" i="13"/>
  <c r="AT8" i="13"/>
  <c r="AT7" i="13"/>
  <c r="AT6" i="13"/>
  <c r="AT5" i="13"/>
  <c r="AT4" i="13"/>
  <c r="AN57" i="13"/>
  <c r="AN56" i="13"/>
  <c r="AN55" i="13"/>
  <c r="AN54" i="13"/>
  <c r="AN53" i="13"/>
  <c r="AN52" i="13"/>
  <c r="AN51" i="13"/>
  <c r="AL57" i="13"/>
  <c r="AL56" i="13"/>
  <c r="AM56" i="13" s="1"/>
  <c r="AL55" i="13"/>
  <c r="AL54" i="13"/>
  <c r="AM54" i="13" s="1"/>
  <c r="AL53" i="13"/>
  <c r="AL52" i="13"/>
  <c r="AM52" i="13" s="1"/>
  <c r="AL51" i="13"/>
  <c r="W26" i="3"/>
  <c r="AN36" i="13"/>
  <c r="AL36" i="13"/>
  <c r="AN35" i="13"/>
  <c r="AL35" i="13"/>
  <c r="AM35" i="13" s="1"/>
  <c r="AN34" i="13"/>
  <c r="AL34" i="13"/>
  <c r="W25" i="3"/>
  <c r="W24" i="3"/>
  <c r="AN29" i="13"/>
  <c r="AN28" i="13"/>
  <c r="AN27" i="13"/>
  <c r="AN26" i="13"/>
  <c r="AN25" i="13"/>
  <c r="AL29" i="13"/>
  <c r="AL28" i="13"/>
  <c r="D63" i="5"/>
  <c r="AL27" i="13"/>
  <c r="AL25" i="13"/>
  <c r="AL26" i="13"/>
  <c r="AN20" i="13"/>
  <c r="AN19" i="13"/>
  <c r="AL20" i="13"/>
  <c r="AM20" i="13" s="1"/>
  <c r="AL19" i="13"/>
  <c r="AN13" i="13"/>
  <c r="AN12" i="13"/>
  <c r="AL13" i="13"/>
  <c r="AM13" i="13" s="1"/>
  <c r="AL12" i="13"/>
  <c r="AN7" i="13"/>
  <c r="AN6" i="13"/>
  <c r="AN5" i="13"/>
  <c r="AN4" i="13"/>
  <c r="AN3" i="13"/>
  <c r="AL7" i="13"/>
  <c r="AM7" i="13" s="1"/>
  <c r="AL6" i="13"/>
  <c r="AM6" i="13" s="1"/>
  <c r="AL5" i="13"/>
  <c r="AM5" i="13" s="1"/>
  <c r="AL4" i="13"/>
  <c r="AM4" i="13" s="1"/>
  <c r="AL3" i="13"/>
  <c r="AL157" i="17" l="1"/>
  <c r="BE151" i="17"/>
  <c r="BE150" i="17"/>
  <c r="BE148" i="17"/>
  <c r="BE146" i="17"/>
  <c r="ER33" i="17"/>
  <c r="ET7" i="17"/>
  <c r="EQ9" i="17"/>
  <c r="EP11" i="17"/>
  <c r="EQ47" i="17"/>
  <c r="EP49" i="17"/>
  <c r="EH21" i="17"/>
  <c r="EH23" i="17"/>
  <c r="EH16" i="17"/>
  <c r="EH22" i="17"/>
  <c r="EH17" i="17"/>
  <c r="EH18" i="17"/>
  <c r="EH19" i="17"/>
  <c r="EH20" i="17"/>
  <c r="EQ21" i="17"/>
  <c r="ER8" i="17"/>
  <c r="ET8" i="17"/>
  <c r="ER46" i="17"/>
  <c r="EQ34" i="17"/>
  <c r="EP36" i="17"/>
  <c r="EG36" i="17"/>
  <c r="EG29" i="17"/>
  <c r="EG35" i="17"/>
  <c r="EG30" i="17"/>
  <c r="EG31" i="17"/>
  <c r="EG32" i="17"/>
  <c r="EG33" i="17"/>
  <c r="EG49" i="17"/>
  <c r="EG42" i="17"/>
  <c r="EG48" i="17"/>
  <c r="EG43" i="17"/>
  <c r="EG44" i="17"/>
  <c r="EG45" i="17"/>
  <c r="EG46" i="17"/>
  <c r="ER20" i="17"/>
  <c r="ET45" i="17"/>
  <c r="EG4" i="17"/>
  <c r="EG11" i="17"/>
  <c r="EG10" i="17"/>
  <c r="EG5" i="17"/>
  <c r="EG6" i="17"/>
  <c r="EG7" i="17"/>
  <c r="EG8" i="17"/>
  <c r="EG34" i="17"/>
  <c r="EQ36" i="17"/>
  <c r="AW217" i="17"/>
  <c r="AV219" i="17"/>
  <c r="AM255" i="17" s="1"/>
  <c r="AM253" i="17"/>
  <c r="AL243" i="17"/>
  <c r="AL235" i="17"/>
  <c r="AL237" i="17"/>
  <c r="AL239" i="17"/>
  <c r="AL242" i="17"/>
  <c r="AL236" i="17"/>
  <c r="AL238" i="17"/>
  <c r="AM286" i="17"/>
  <c r="BA214" i="17"/>
  <c r="BE139" i="17"/>
  <c r="BE141" i="17"/>
  <c r="BE135" i="17"/>
  <c r="BE137" i="17"/>
  <c r="BE140" i="17"/>
  <c r="BE136" i="17"/>
  <c r="BE138" i="17"/>
  <c r="AM275" i="17"/>
  <c r="AY215" i="17"/>
  <c r="AX216" i="17"/>
  <c r="AM264" i="17"/>
  <c r="BE147" i="17"/>
  <c r="BE145" i="17"/>
  <c r="AL241" i="17"/>
  <c r="AL240" i="17"/>
  <c r="BF158" i="17"/>
  <c r="BR98" i="17"/>
  <c r="BF159" i="17" s="1"/>
  <c r="BF149" i="17"/>
  <c r="BE149" i="17" s="1"/>
  <c r="BT98" i="17"/>
  <c r="BT101" i="17" s="1"/>
  <c r="AM180" i="17"/>
  <c r="AY120" i="17"/>
  <c r="BE56" i="17"/>
  <c r="BE55" i="17"/>
  <c r="BE49" i="17"/>
  <c r="BE50" i="17"/>
  <c r="BE51" i="17"/>
  <c r="BE52" i="17"/>
  <c r="BE53" i="17"/>
  <c r="AM169" i="17"/>
  <c r="AX121" i="17"/>
  <c r="AL159" i="17"/>
  <c r="AL158" i="17"/>
  <c r="AL151" i="17"/>
  <c r="AL152" i="17"/>
  <c r="AL153" i="17"/>
  <c r="AL154" i="17"/>
  <c r="AL155" i="17"/>
  <c r="BE54" i="17"/>
  <c r="BF67" i="17"/>
  <c r="AM191" i="17"/>
  <c r="AL147" i="17"/>
  <c r="AL139" i="17"/>
  <c r="AL146" i="17"/>
  <c r="AL140" i="17"/>
  <c r="AL141" i="17"/>
  <c r="AL142" i="17"/>
  <c r="AL143" i="17"/>
  <c r="AL144" i="17"/>
  <c r="BF76" i="17"/>
  <c r="AW123" i="17"/>
  <c r="BA120" i="17"/>
  <c r="BT9" i="17"/>
  <c r="BR11" i="17"/>
  <c r="CG5" i="13"/>
  <c r="CD5" i="13" s="1"/>
  <c r="V24" i="9"/>
  <c r="W24" i="9" s="1"/>
  <c r="X24" i="9" s="1"/>
  <c r="Y24" i="9" s="1"/>
  <c r="Z24" i="9" s="1"/>
  <c r="U25" i="9"/>
  <c r="BF22" i="9"/>
  <c r="BG22" i="9" s="1"/>
  <c r="BH22" i="9" s="1"/>
  <c r="BI22" i="9" s="1"/>
  <c r="BJ22" i="9" s="1"/>
  <c r="BK22" i="9" s="1"/>
  <c r="BE23" i="9"/>
  <c r="BR22" i="9"/>
  <c r="BS22" i="9" s="1"/>
  <c r="BT22" i="9" s="1"/>
  <c r="BU22" i="9" s="1"/>
  <c r="BV22" i="9" s="1"/>
  <c r="BW22" i="9" s="1"/>
  <c r="BQ23" i="9"/>
  <c r="AI22" i="9"/>
  <c r="AJ22" i="9" s="1"/>
  <c r="AK22" i="9" s="1"/>
  <c r="AL22" i="9" s="1"/>
  <c r="AM22" i="9" s="1"/>
  <c r="AH23" i="9"/>
  <c r="AS24" i="9"/>
  <c r="AT23" i="9"/>
  <c r="AU23" i="9" s="1"/>
  <c r="AV23" i="9" s="1"/>
  <c r="AW23" i="9" s="1"/>
  <c r="AX23" i="9" s="1"/>
  <c r="AY23" i="9" s="1"/>
  <c r="BL67" i="13"/>
  <c r="BN67" i="13"/>
  <c r="BM30" i="13"/>
  <c r="BM36" i="13"/>
  <c r="BM65" i="13"/>
  <c r="BL31" i="13"/>
  <c r="BN32" i="13"/>
  <c r="BM53" i="13"/>
  <c r="BM54" i="13" s="1"/>
  <c r="BM55" i="13" s="1"/>
  <c r="BM56" i="13" s="1"/>
  <c r="BM57" i="13" s="1"/>
  <c r="BM58" i="13" s="1"/>
  <c r="BL42" i="13"/>
  <c r="BL43" i="13" s="1"/>
  <c r="BL44" i="13" s="1"/>
  <c r="BL45" i="13" s="1"/>
  <c r="BL46" i="13" s="1"/>
  <c r="BM72" i="13"/>
  <c r="BL80" i="13"/>
  <c r="BM79" i="13"/>
  <c r="BN80" i="13"/>
  <c r="BM85" i="13"/>
  <c r="BV5" i="13"/>
  <c r="BV9" i="13"/>
  <c r="BU29" i="13"/>
  <c r="BR27" i="13" s="1"/>
  <c r="BU38" i="13"/>
  <c r="BR36" i="13" s="1"/>
  <c r="BV36" i="13"/>
  <c r="BW55" i="13"/>
  <c r="BU11" i="13"/>
  <c r="BR11" i="13" s="1"/>
  <c r="BU19" i="13"/>
  <c r="BR17" i="13" s="1"/>
  <c r="BR28" i="13"/>
  <c r="BV34" i="13"/>
  <c r="BW88" i="13"/>
  <c r="CF3" i="13"/>
  <c r="CF5" i="13" s="1"/>
  <c r="CC5" i="13" s="1"/>
  <c r="CE25" i="13"/>
  <c r="CB23" i="13" s="1"/>
  <c r="BV4" i="13"/>
  <c r="BV6" i="13"/>
  <c r="BV8" i="13"/>
  <c r="BV10" i="13"/>
  <c r="BW44" i="13"/>
  <c r="BW46" i="13"/>
  <c r="BW48" i="13"/>
  <c r="BW57" i="13"/>
  <c r="BW69" i="13"/>
  <c r="BW71" i="13" s="1"/>
  <c r="BW81" i="13"/>
  <c r="BW82" i="13" s="1"/>
  <c r="BT82" i="13" s="1"/>
  <c r="BW90" i="13"/>
  <c r="BW93" i="13" s="1"/>
  <c r="CD3" i="13"/>
  <c r="CE5" i="13"/>
  <c r="CD4" i="13"/>
  <c r="CE34" i="13"/>
  <c r="CB34" i="13" s="1"/>
  <c r="CP11" i="13"/>
  <c r="CM9" i="13" s="1"/>
  <c r="CP5" i="13"/>
  <c r="CM3" i="13" s="1"/>
  <c r="CM10" i="13"/>
  <c r="CO5" i="13"/>
  <c r="CL5" i="13" s="1"/>
  <c r="CO11" i="13"/>
  <c r="CL11" i="13" s="1"/>
  <c r="CN5" i="13"/>
  <c r="CK5" i="13" s="1"/>
  <c r="CN11" i="13"/>
  <c r="CK11" i="13" s="1"/>
  <c r="CK3" i="13"/>
  <c r="CK9" i="13"/>
  <c r="CG34" i="13"/>
  <c r="CD34" i="13" s="1"/>
  <c r="CF34" i="13"/>
  <c r="CC34" i="13" s="1"/>
  <c r="CG25" i="13"/>
  <c r="CD25" i="13" s="1"/>
  <c r="CF25" i="13"/>
  <c r="CG19" i="13"/>
  <c r="CD19" i="13" s="1"/>
  <c r="CF19" i="13"/>
  <c r="CE19" i="13"/>
  <c r="CB19" i="13" s="1"/>
  <c r="CG11" i="13"/>
  <c r="CD11" i="13" s="1"/>
  <c r="CF11" i="13"/>
  <c r="CC11" i="13" s="1"/>
  <c r="CE11" i="13"/>
  <c r="BW104" i="13"/>
  <c r="BT104" i="13" s="1"/>
  <c r="BV104" i="13"/>
  <c r="BS103" i="13" s="1"/>
  <c r="BX104" i="13"/>
  <c r="BU98" i="13" s="1"/>
  <c r="BV93" i="13"/>
  <c r="BS88" i="13" s="1"/>
  <c r="BX93" i="13"/>
  <c r="BU91" i="13" s="1"/>
  <c r="BV82" i="13"/>
  <c r="BS81" i="13" s="1"/>
  <c r="BX82" i="13"/>
  <c r="BU76" i="13" s="1"/>
  <c r="BV71" i="13"/>
  <c r="BS71" i="13" s="1"/>
  <c r="BX71" i="13"/>
  <c r="BU71" i="13" s="1"/>
  <c r="BV60" i="13"/>
  <c r="BX60" i="13"/>
  <c r="BU58" i="13" s="1"/>
  <c r="BX49" i="13"/>
  <c r="BU49" i="13" s="1"/>
  <c r="BV49" i="13"/>
  <c r="BW38" i="13"/>
  <c r="BT37" i="13" s="1"/>
  <c r="BW29" i="13"/>
  <c r="BT29" i="13" s="1"/>
  <c r="BV29" i="13"/>
  <c r="BS29" i="13" s="1"/>
  <c r="BW19" i="13"/>
  <c r="BT19" i="13" s="1"/>
  <c r="BV19" i="13"/>
  <c r="BS19" i="13" s="1"/>
  <c r="BW11" i="13"/>
  <c r="BT6" i="13" s="1"/>
  <c r="AW17" i="13"/>
  <c r="AW59" i="13"/>
  <c r="AW72" i="13" s="1"/>
  <c r="BC8" i="13"/>
  <c r="BD5" i="13"/>
  <c r="BD6" i="13"/>
  <c r="BE8" i="13"/>
  <c r="BC19" i="13"/>
  <c r="BD18" i="13"/>
  <c r="BE20" i="13"/>
  <c r="BC31" i="13"/>
  <c r="BE32" i="13"/>
  <c r="BD46" i="13"/>
  <c r="BC47" i="13"/>
  <c r="BE47" i="13"/>
  <c r="BD12" i="13"/>
  <c r="BD30" i="13"/>
  <c r="BD38" i="13"/>
  <c r="AW108" i="13"/>
  <c r="AW109" i="13" s="1"/>
  <c r="AO35" i="13"/>
  <c r="AM34" i="13"/>
  <c r="AM36" i="13"/>
  <c r="AM51" i="13"/>
  <c r="AM53" i="13"/>
  <c r="AM55" i="13"/>
  <c r="AM57" i="13"/>
  <c r="AL37" i="13"/>
  <c r="AI34" i="13" s="1"/>
  <c r="AN37" i="13"/>
  <c r="AW53" i="13"/>
  <c r="AW54" i="13" s="1"/>
  <c r="AN58" i="13"/>
  <c r="AL58" i="13"/>
  <c r="AM3" i="13"/>
  <c r="AM12" i="13"/>
  <c r="AM14" i="13" s="1"/>
  <c r="AJ14" i="13" s="1"/>
  <c r="AN14" i="13"/>
  <c r="AM19" i="13"/>
  <c r="AM21" i="13" s="1"/>
  <c r="AJ21" i="13" s="1"/>
  <c r="AM26" i="13"/>
  <c r="AO26" i="13" s="1"/>
  <c r="AM28" i="13"/>
  <c r="AO28" i="13" s="1"/>
  <c r="AL8" i="13"/>
  <c r="AI3" i="13" s="1"/>
  <c r="AL14" i="13"/>
  <c r="AI14" i="13" s="1"/>
  <c r="AL30" i="13"/>
  <c r="AM25" i="13"/>
  <c r="AO25" i="13" s="1"/>
  <c r="AM27" i="13"/>
  <c r="AO27" i="13" s="1"/>
  <c r="AM29" i="13"/>
  <c r="AO29" i="13" s="1"/>
  <c r="AN30" i="13"/>
  <c r="AK25" i="13" s="1"/>
  <c r="AN21" i="13"/>
  <c r="AK21" i="13" s="1"/>
  <c r="AL21" i="13"/>
  <c r="AI21" i="13" s="1"/>
  <c r="AN8" i="13"/>
  <c r="AK8" i="13" s="1"/>
  <c r="AB14" i="13"/>
  <c r="AB13" i="13"/>
  <c r="Z14" i="13"/>
  <c r="AA14" i="13" s="1"/>
  <c r="Z13" i="13"/>
  <c r="AA13" i="13" s="1"/>
  <c r="BA987" i="2"/>
  <c r="BA986" i="2"/>
  <c r="BA985" i="2"/>
  <c r="BA984" i="2"/>
  <c r="BA983" i="2"/>
  <c r="BA982" i="2"/>
  <c r="BA981" i="2"/>
  <c r="BA980" i="2"/>
  <c r="BA979" i="2"/>
  <c r="BA978" i="2"/>
  <c r="BA977" i="2"/>
  <c r="BA976" i="2"/>
  <c r="BA975" i="2"/>
  <c r="BA974" i="2"/>
  <c r="BA973" i="2"/>
  <c r="BA972" i="2"/>
  <c r="BA971" i="2"/>
  <c r="BA970" i="2"/>
  <c r="BA969" i="2"/>
  <c r="BA968" i="2"/>
  <c r="BA967" i="2"/>
  <c r="BA966" i="2"/>
  <c r="BA965" i="2"/>
  <c r="BA964" i="2"/>
  <c r="BA963" i="2"/>
  <c r="BA962" i="2"/>
  <c r="BA961" i="2"/>
  <c r="BA960" i="2"/>
  <c r="BA959" i="2"/>
  <c r="BA958" i="2"/>
  <c r="BA957" i="2"/>
  <c r="BA956" i="2"/>
  <c r="BA955" i="2"/>
  <c r="BA954" i="2"/>
  <c r="BA953" i="2"/>
  <c r="BA952" i="2"/>
  <c r="BA951" i="2"/>
  <c r="BA950" i="2"/>
  <c r="BA949" i="2"/>
  <c r="BA948" i="2"/>
  <c r="BA947" i="2"/>
  <c r="BA946" i="2"/>
  <c r="BA945" i="2"/>
  <c r="BA944" i="2"/>
  <c r="BA943" i="2"/>
  <c r="BA942" i="2"/>
  <c r="BA941" i="2"/>
  <c r="BA940" i="2"/>
  <c r="BA939" i="2"/>
  <c r="BA938" i="2"/>
  <c r="BA937" i="2"/>
  <c r="BA936" i="2"/>
  <c r="BA935" i="2"/>
  <c r="BA934" i="2"/>
  <c r="BA933" i="2"/>
  <c r="BA932" i="2"/>
  <c r="BA931" i="2"/>
  <c r="BA930" i="2"/>
  <c r="BA929" i="2"/>
  <c r="BA928" i="2"/>
  <c r="BA927" i="2"/>
  <c r="BA926" i="2"/>
  <c r="BA925" i="2"/>
  <c r="BA924" i="2"/>
  <c r="BA923" i="2"/>
  <c r="BA922" i="2"/>
  <c r="BA921" i="2"/>
  <c r="BA920" i="2"/>
  <c r="BA919" i="2"/>
  <c r="BA918" i="2"/>
  <c r="BA917" i="2"/>
  <c r="BA916" i="2"/>
  <c r="BA915" i="2"/>
  <c r="BA914" i="2"/>
  <c r="BA913" i="2"/>
  <c r="BA912" i="2"/>
  <c r="BA911" i="2"/>
  <c r="BA910" i="2"/>
  <c r="BA909" i="2"/>
  <c r="BA908" i="2"/>
  <c r="BA907" i="2"/>
  <c r="BA906" i="2"/>
  <c r="BA905" i="2"/>
  <c r="BA904" i="2"/>
  <c r="BA903" i="2"/>
  <c r="BA902" i="2"/>
  <c r="BA901" i="2"/>
  <c r="BA900" i="2"/>
  <c r="BA899" i="2"/>
  <c r="BA898" i="2"/>
  <c r="BA897" i="2"/>
  <c r="BA896" i="2"/>
  <c r="BA895" i="2"/>
  <c r="BA894" i="2"/>
  <c r="BA893" i="2"/>
  <c r="BA892" i="2"/>
  <c r="BA891" i="2"/>
  <c r="BA890" i="2"/>
  <c r="BA889" i="2"/>
  <c r="BA888" i="2"/>
  <c r="BA887" i="2"/>
  <c r="BA886" i="2"/>
  <c r="BA885" i="2"/>
  <c r="BA884" i="2"/>
  <c r="BA883" i="2"/>
  <c r="BA882" i="2"/>
  <c r="BA881" i="2"/>
  <c r="BA880" i="2"/>
  <c r="BA879" i="2"/>
  <c r="BA878" i="2"/>
  <c r="BA877" i="2"/>
  <c r="BA876" i="2"/>
  <c r="BA875" i="2"/>
  <c r="BA874" i="2"/>
  <c r="BA873" i="2"/>
  <c r="BA872" i="2"/>
  <c r="BA871" i="2"/>
  <c r="BA870" i="2"/>
  <c r="BA869" i="2"/>
  <c r="BA868" i="2"/>
  <c r="BA867" i="2"/>
  <c r="BA866" i="2"/>
  <c r="BA865" i="2"/>
  <c r="BA864" i="2"/>
  <c r="BA863" i="2"/>
  <c r="BA862" i="2"/>
  <c r="BA861" i="2"/>
  <c r="BA860" i="2"/>
  <c r="BA859" i="2"/>
  <c r="BA858" i="2"/>
  <c r="BA857" i="2"/>
  <c r="BA856" i="2"/>
  <c r="BA855" i="2"/>
  <c r="BA854" i="2"/>
  <c r="BA853" i="2"/>
  <c r="BA852" i="2"/>
  <c r="BA851" i="2"/>
  <c r="BA850" i="2"/>
  <c r="BA849" i="2"/>
  <c r="BA848" i="2"/>
  <c r="BA847" i="2"/>
  <c r="BA846" i="2"/>
  <c r="BA845" i="2"/>
  <c r="BA844" i="2"/>
  <c r="BA843" i="2"/>
  <c r="BA842" i="2"/>
  <c r="BA841" i="2"/>
  <c r="BA840" i="2"/>
  <c r="BA839" i="2"/>
  <c r="BA838" i="2"/>
  <c r="BA837" i="2"/>
  <c r="BA836" i="2"/>
  <c r="BA835" i="2"/>
  <c r="BA834" i="2"/>
  <c r="BA833" i="2"/>
  <c r="BA832" i="2"/>
  <c r="BA831" i="2"/>
  <c r="BA830" i="2"/>
  <c r="BA829" i="2"/>
  <c r="BA828" i="2"/>
  <c r="BA827" i="2"/>
  <c r="BA826" i="2"/>
  <c r="BA825" i="2"/>
  <c r="BA824" i="2"/>
  <c r="BA823" i="2"/>
  <c r="BA822" i="2"/>
  <c r="BA821" i="2"/>
  <c r="BA820" i="2"/>
  <c r="BA819" i="2"/>
  <c r="BA818" i="2"/>
  <c r="BA817" i="2"/>
  <c r="BA816" i="2"/>
  <c r="BA815" i="2"/>
  <c r="BA814" i="2"/>
  <c r="BA813" i="2"/>
  <c r="BA812" i="2"/>
  <c r="BA811" i="2"/>
  <c r="BA810" i="2"/>
  <c r="BA809" i="2"/>
  <c r="BA808" i="2"/>
  <c r="BA807" i="2"/>
  <c r="BA806" i="2"/>
  <c r="BA805" i="2"/>
  <c r="BA804" i="2"/>
  <c r="BA803" i="2"/>
  <c r="BA802" i="2"/>
  <c r="BA801" i="2"/>
  <c r="BA800" i="2"/>
  <c r="BA799" i="2"/>
  <c r="BA798" i="2"/>
  <c r="BA797" i="2"/>
  <c r="BA796" i="2"/>
  <c r="BA795" i="2"/>
  <c r="BA794" i="2"/>
  <c r="BA793" i="2"/>
  <c r="BA792" i="2"/>
  <c r="BA791" i="2"/>
  <c r="BA790" i="2"/>
  <c r="BA789" i="2"/>
  <c r="BA788" i="2"/>
  <c r="BA787" i="2"/>
  <c r="BA786" i="2"/>
  <c r="BA785" i="2"/>
  <c r="BA784" i="2"/>
  <c r="BA783" i="2"/>
  <c r="BA782" i="2"/>
  <c r="BA781" i="2"/>
  <c r="BA780" i="2"/>
  <c r="BA779" i="2"/>
  <c r="BA778" i="2"/>
  <c r="BA777" i="2"/>
  <c r="BA776" i="2"/>
  <c r="BA775" i="2"/>
  <c r="BA774" i="2"/>
  <c r="BA773" i="2"/>
  <c r="BA772" i="2"/>
  <c r="BA771" i="2"/>
  <c r="BA770" i="2"/>
  <c r="BA769" i="2"/>
  <c r="BA768" i="2"/>
  <c r="BA767" i="2"/>
  <c r="BA766" i="2"/>
  <c r="BA765" i="2"/>
  <c r="BA764" i="2"/>
  <c r="BA763" i="2"/>
  <c r="BA762" i="2"/>
  <c r="BA761" i="2"/>
  <c r="BA760" i="2"/>
  <c r="BA759" i="2"/>
  <c r="BA758" i="2"/>
  <c r="BA757" i="2"/>
  <c r="BA756" i="2"/>
  <c r="BA755" i="2"/>
  <c r="BA754" i="2"/>
  <c r="BA753" i="2"/>
  <c r="BA752" i="2"/>
  <c r="BA751" i="2"/>
  <c r="BA750" i="2"/>
  <c r="BA749" i="2"/>
  <c r="BA748" i="2"/>
  <c r="BA747" i="2"/>
  <c r="BA746" i="2"/>
  <c r="BA745" i="2"/>
  <c r="BA744" i="2"/>
  <c r="BA743" i="2"/>
  <c r="BA742" i="2"/>
  <c r="BA741" i="2"/>
  <c r="BA740" i="2"/>
  <c r="BA739" i="2"/>
  <c r="BA738" i="2"/>
  <c r="BA737" i="2"/>
  <c r="BA736" i="2"/>
  <c r="BA735" i="2"/>
  <c r="BA734" i="2"/>
  <c r="BA733" i="2"/>
  <c r="BA732" i="2"/>
  <c r="BA731" i="2"/>
  <c r="BA730" i="2"/>
  <c r="BA729" i="2"/>
  <c r="BA728" i="2"/>
  <c r="BA727" i="2"/>
  <c r="BA726" i="2"/>
  <c r="BA725" i="2"/>
  <c r="BA724" i="2"/>
  <c r="BA723" i="2"/>
  <c r="BA722" i="2"/>
  <c r="BA721" i="2"/>
  <c r="BA720" i="2"/>
  <c r="BA719" i="2"/>
  <c r="BA718" i="2"/>
  <c r="BA717" i="2"/>
  <c r="BA716" i="2"/>
  <c r="BA715" i="2"/>
  <c r="BA714" i="2"/>
  <c r="BA713" i="2"/>
  <c r="BA712" i="2"/>
  <c r="BA711" i="2"/>
  <c r="BA710" i="2"/>
  <c r="BA709" i="2"/>
  <c r="BA708" i="2"/>
  <c r="BA707" i="2"/>
  <c r="BA706" i="2"/>
  <c r="BA705" i="2"/>
  <c r="BA704" i="2"/>
  <c r="BA703" i="2"/>
  <c r="BA702" i="2"/>
  <c r="BA701" i="2"/>
  <c r="BA700" i="2"/>
  <c r="BA699" i="2"/>
  <c r="BA698" i="2"/>
  <c r="BA697" i="2"/>
  <c r="BA696" i="2"/>
  <c r="BA695" i="2"/>
  <c r="BA694" i="2"/>
  <c r="BA693" i="2"/>
  <c r="BA692" i="2"/>
  <c r="BA691" i="2"/>
  <c r="BA690" i="2"/>
  <c r="BA689" i="2"/>
  <c r="BA688" i="2"/>
  <c r="BA687" i="2"/>
  <c r="BA686" i="2"/>
  <c r="BA685" i="2"/>
  <c r="BA684" i="2"/>
  <c r="BA683" i="2"/>
  <c r="BA682" i="2"/>
  <c r="BA681" i="2"/>
  <c r="BA680" i="2"/>
  <c r="BA679" i="2"/>
  <c r="BA678" i="2"/>
  <c r="BA677" i="2"/>
  <c r="BA676" i="2"/>
  <c r="BA675" i="2"/>
  <c r="BA674" i="2"/>
  <c r="BA673" i="2"/>
  <c r="BA672" i="2"/>
  <c r="BA671" i="2"/>
  <c r="BA670" i="2"/>
  <c r="BA669" i="2"/>
  <c r="BA668" i="2"/>
  <c r="BA667" i="2"/>
  <c r="BA666" i="2"/>
  <c r="BA665" i="2"/>
  <c r="BA664" i="2"/>
  <c r="BA663" i="2"/>
  <c r="BA662" i="2"/>
  <c r="BA661" i="2"/>
  <c r="BA660" i="2"/>
  <c r="BA659" i="2"/>
  <c r="BA658" i="2"/>
  <c r="BA657" i="2"/>
  <c r="BA656" i="2"/>
  <c r="BA655" i="2"/>
  <c r="BA654" i="2"/>
  <c r="BA653" i="2"/>
  <c r="BA652" i="2"/>
  <c r="BA651" i="2"/>
  <c r="BA650" i="2"/>
  <c r="BA649" i="2"/>
  <c r="BA648" i="2"/>
  <c r="BA647" i="2"/>
  <c r="BA646" i="2"/>
  <c r="BA645" i="2"/>
  <c r="BA644" i="2"/>
  <c r="BA643" i="2"/>
  <c r="BA642" i="2"/>
  <c r="BA641" i="2"/>
  <c r="BA640" i="2"/>
  <c r="BA639" i="2"/>
  <c r="BA638" i="2"/>
  <c r="BA637" i="2"/>
  <c r="BA636" i="2"/>
  <c r="BA635" i="2"/>
  <c r="BA634" i="2"/>
  <c r="BA633" i="2"/>
  <c r="BA632" i="2"/>
  <c r="BA631" i="2"/>
  <c r="BA630" i="2"/>
  <c r="BA629" i="2"/>
  <c r="BA628" i="2"/>
  <c r="BA627" i="2"/>
  <c r="BA626" i="2"/>
  <c r="BA625" i="2"/>
  <c r="BA624" i="2"/>
  <c r="BA623" i="2"/>
  <c r="BA622" i="2"/>
  <c r="BA621" i="2"/>
  <c r="BA620" i="2"/>
  <c r="BA619" i="2"/>
  <c r="BA618" i="2"/>
  <c r="BA617" i="2"/>
  <c r="BA616" i="2"/>
  <c r="BA615" i="2"/>
  <c r="BA614" i="2"/>
  <c r="BA613" i="2"/>
  <c r="BA612" i="2"/>
  <c r="BA611" i="2"/>
  <c r="BA610" i="2"/>
  <c r="BA609" i="2"/>
  <c r="BA608" i="2"/>
  <c r="BA607" i="2"/>
  <c r="BA606" i="2"/>
  <c r="BA605" i="2"/>
  <c r="BA604" i="2"/>
  <c r="BA603" i="2"/>
  <c r="BA602" i="2"/>
  <c r="BA601" i="2"/>
  <c r="BA600" i="2"/>
  <c r="BA599" i="2"/>
  <c r="BA598" i="2"/>
  <c r="BA597" i="2"/>
  <c r="BA596" i="2"/>
  <c r="BA595" i="2"/>
  <c r="BA594" i="2"/>
  <c r="BA593" i="2"/>
  <c r="BA592" i="2"/>
  <c r="BA591" i="2"/>
  <c r="BA590" i="2"/>
  <c r="BA589" i="2"/>
  <c r="BA588" i="2"/>
  <c r="BA587" i="2"/>
  <c r="BA586" i="2"/>
  <c r="BA585" i="2"/>
  <c r="BA584" i="2"/>
  <c r="BA583" i="2"/>
  <c r="BA582" i="2"/>
  <c r="BA581" i="2"/>
  <c r="BA580" i="2"/>
  <c r="BA579" i="2"/>
  <c r="BA578" i="2"/>
  <c r="BA577" i="2"/>
  <c r="BA576" i="2"/>
  <c r="BA575" i="2"/>
  <c r="BA574" i="2"/>
  <c r="BA573" i="2"/>
  <c r="BA572" i="2"/>
  <c r="BA571" i="2"/>
  <c r="BA570" i="2"/>
  <c r="BA569" i="2"/>
  <c r="BA568" i="2"/>
  <c r="BA567" i="2"/>
  <c r="BA566" i="2"/>
  <c r="BA565" i="2"/>
  <c r="BA564" i="2"/>
  <c r="BA563" i="2"/>
  <c r="BA562" i="2"/>
  <c r="BA561" i="2"/>
  <c r="BA560" i="2"/>
  <c r="BA559" i="2"/>
  <c r="BA558" i="2"/>
  <c r="BA557" i="2"/>
  <c r="BA556" i="2"/>
  <c r="BA555" i="2"/>
  <c r="BA554" i="2"/>
  <c r="BA553" i="2"/>
  <c r="BA552" i="2"/>
  <c r="BA551" i="2"/>
  <c r="BA550" i="2"/>
  <c r="BA549" i="2"/>
  <c r="BA548" i="2"/>
  <c r="BA547" i="2"/>
  <c r="BA546" i="2"/>
  <c r="BA545" i="2"/>
  <c r="BA544" i="2"/>
  <c r="BA543" i="2"/>
  <c r="BA542" i="2"/>
  <c r="BA541" i="2"/>
  <c r="BA540" i="2"/>
  <c r="BA539" i="2"/>
  <c r="BA538" i="2"/>
  <c r="BA537" i="2"/>
  <c r="BA536" i="2"/>
  <c r="BA535" i="2"/>
  <c r="BA534" i="2"/>
  <c r="BA533" i="2"/>
  <c r="BA532" i="2"/>
  <c r="BA531" i="2"/>
  <c r="BA530" i="2"/>
  <c r="BA529" i="2"/>
  <c r="BA528" i="2"/>
  <c r="BA527" i="2"/>
  <c r="BA526" i="2"/>
  <c r="BA525" i="2"/>
  <c r="BA524" i="2"/>
  <c r="BA523" i="2"/>
  <c r="BA522" i="2"/>
  <c r="BA521" i="2"/>
  <c r="BA520" i="2"/>
  <c r="BA519" i="2"/>
  <c r="BA518" i="2"/>
  <c r="BA517" i="2"/>
  <c r="BA516" i="2"/>
  <c r="BA515" i="2"/>
  <c r="BA514" i="2"/>
  <c r="BA513" i="2"/>
  <c r="BA512" i="2"/>
  <c r="BA511" i="2"/>
  <c r="BA510" i="2"/>
  <c r="BA509" i="2"/>
  <c r="BA508" i="2"/>
  <c r="BA507" i="2"/>
  <c r="BA506" i="2"/>
  <c r="BA505" i="2"/>
  <c r="BA504" i="2"/>
  <c r="BA503" i="2"/>
  <c r="BA502" i="2"/>
  <c r="BA501" i="2"/>
  <c r="BA500" i="2"/>
  <c r="BA499" i="2"/>
  <c r="BA498" i="2"/>
  <c r="BA497" i="2"/>
  <c r="BA496" i="2"/>
  <c r="BA495" i="2"/>
  <c r="BA494" i="2"/>
  <c r="BA493" i="2"/>
  <c r="BA492" i="2"/>
  <c r="BA491" i="2"/>
  <c r="BA490" i="2"/>
  <c r="BA489" i="2"/>
  <c r="BA488" i="2"/>
  <c r="BA487" i="2"/>
  <c r="BA486" i="2"/>
  <c r="BA485" i="2"/>
  <c r="BA484" i="2"/>
  <c r="BA483" i="2"/>
  <c r="BA482" i="2"/>
  <c r="BA481" i="2"/>
  <c r="BA480" i="2"/>
  <c r="BA479" i="2"/>
  <c r="BA478" i="2"/>
  <c r="BA477" i="2"/>
  <c r="BA476" i="2"/>
  <c r="BA475" i="2"/>
  <c r="BA474" i="2"/>
  <c r="BA473" i="2"/>
  <c r="BA472" i="2"/>
  <c r="BA471" i="2"/>
  <c r="BA470" i="2"/>
  <c r="BA469" i="2"/>
  <c r="BA468" i="2"/>
  <c r="BA467" i="2"/>
  <c r="BA466" i="2"/>
  <c r="BA465" i="2"/>
  <c r="BA464" i="2"/>
  <c r="BA463" i="2"/>
  <c r="BA462" i="2"/>
  <c r="BA461" i="2"/>
  <c r="BA460" i="2"/>
  <c r="BA459" i="2"/>
  <c r="BA458" i="2"/>
  <c r="BA457" i="2"/>
  <c r="BA456" i="2"/>
  <c r="BA455" i="2"/>
  <c r="BA454" i="2"/>
  <c r="BA453" i="2"/>
  <c r="BA452" i="2"/>
  <c r="BA451" i="2"/>
  <c r="BA450" i="2"/>
  <c r="BA449" i="2"/>
  <c r="BA448" i="2"/>
  <c r="BA447" i="2"/>
  <c r="BA446" i="2"/>
  <c r="BA445" i="2"/>
  <c r="BA444" i="2"/>
  <c r="BA443" i="2"/>
  <c r="BA442" i="2"/>
  <c r="BA441" i="2"/>
  <c r="BA440" i="2"/>
  <c r="BA439" i="2"/>
  <c r="BA438" i="2"/>
  <c r="BA437" i="2"/>
  <c r="BA436" i="2"/>
  <c r="BA435" i="2"/>
  <c r="BA434" i="2"/>
  <c r="BA433" i="2"/>
  <c r="BA432" i="2"/>
  <c r="BA431" i="2"/>
  <c r="BA430" i="2"/>
  <c r="BA429" i="2"/>
  <c r="BA428" i="2"/>
  <c r="BA427" i="2"/>
  <c r="BA426" i="2"/>
  <c r="BA425" i="2"/>
  <c r="BA424" i="2"/>
  <c r="BA423" i="2"/>
  <c r="BA422" i="2"/>
  <c r="BA421" i="2"/>
  <c r="BA420" i="2"/>
  <c r="BA419" i="2"/>
  <c r="BA418" i="2"/>
  <c r="BA417" i="2"/>
  <c r="BA416" i="2"/>
  <c r="BA415" i="2"/>
  <c r="BA414" i="2"/>
  <c r="BA413" i="2"/>
  <c r="BA412" i="2"/>
  <c r="BA411" i="2"/>
  <c r="BA410" i="2"/>
  <c r="BA409" i="2"/>
  <c r="BA408" i="2"/>
  <c r="BA407" i="2"/>
  <c r="BA406" i="2"/>
  <c r="BA405" i="2"/>
  <c r="BA404" i="2"/>
  <c r="BA403" i="2"/>
  <c r="BA402" i="2"/>
  <c r="BA401" i="2"/>
  <c r="BA400" i="2"/>
  <c r="BA399" i="2"/>
  <c r="BA398" i="2"/>
  <c r="BA397" i="2"/>
  <c r="BA396" i="2"/>
  <c r="BA395" i="2"/>
  <c r="BA394" i="2"/>
  <c r="BA393" i="2"/>
  <c r="BA392" i="2"/>
  <c r="BA391" i="2"/>
  <c r="BA390" i="2"/>
  <c r="BA389" i="2"/>
  <c r="BA388" i="2"/>
  <c r="BA387" i="2"/>
  <c r="BA386" i="2"/>
  <c r="BA385" i="2"/>
  <c r="BA384" i="2"/>
  <c r="BA383" i="2"/>
  <c r="BA382" i="2"/>
  <c r="BA381" i="2"/>
  <c r="BA380" i="2"/>
  <c r="BA379" i="2"/>
  <c r="BA378" i="2"/>
  <c r="BA377" i="2"/>
  <c r="BA376" i="2"/>
  <c r="BA375" i="2"/>
  <c r="BA374" i="2"/>
  <c r="BA373" i="2"/>
  <c r="BA372" i="2"/>
  <c r="BA371" i="2"/>
  <c r="BA370" i="2"/>
  <c r="BA369" i="2"/>
  <c r="BA368" i="2"/>
  <c r="BA367" i="2"/>
  <c r="BA366" i="2"/>
  <c r="BA365" i="2"/>
  <c r="BA364" i="2"/>
  <c r="BA363" i="2"/>
  <c r="BA362" i="2"/>
  <c r="BA361" i="2"/>
  <c r="BA360" i="2"/>
  <c r="BA359" i="2"/>
  <c r="BA358" i="2"/>
  <c r="BA357" i="2"/>
  <c r="BA356" i="2"/>
  <c r="BA355" i="2"/>
  <c r="BA354" i="2"/>
  <c r="BA353" i="2"/>
  <c r="BA352" i="2"/>
  <c r="BA351" i="2"/>
  <c r="BA350" i="2"/>
  <c r="BA349" i="2"/>
  <c r="BA348" i="2"/>
  <c r="BA347" i="2"/>
  <c r="BA346" i="2"/>
  <c r="BA345" i="2"/>
  <c r="BA344" i="2"/>
  <c r="BA343" i="2"/>
  <c r="BA342" i="2"/>
  <c r="BA341" i="2"/>
  <c r="BA340" i="2"/>
  <c r="BA339" i="2"/>
  <c r="BA338" i="2"/>
  <c r="BA337" i="2"/>
  <c r="BA336" i="2"/>
  <c r="BA335" i="2"/>
  <c r="BA334" i="2"/>
  <c r="BA333" i="2"/>
  <c r="BA332" i="2"/>
  <c r="BA331" i="2"/>
  <c r="BA330" i="2"/>
  <c r="BA329" i="2"/>
  <c r="BA328" i="2"/>
  <c r="BA327" i="2"/>
  <c r="BA326" i="2"/>
  <c r="BA325" i="2"/>
  <c r="BA324" i="2"/>
  <c r="BA323" i="2"/>
  <c r="BA322" i="2"/>
  <c r="BA321" i="2"/>
  <c r="BA320" i="2"/>
  <c r="BA319" i="2"/>
  <c r="BA318" i="2"/>
  <c r="BA317" i="2"/>
  <c r="BA316" i="2"/>
  <c r="BA315" i="2"/>
  <c r="BA314" i="2"/>
  <c r="BA313" i="2"/>
  <c r="BA312" i="2"/>
  <c r="BA311" i="2"/>
  <c r="BA310" i="2"/>
  <c r="BA309" i="2"/>
  <c r="BA308" i="2"/>
  <c r="BA307" i="2"/>
  <c r="BA306" i="2"/>
  <c r="BA305" i="2"/>
  <c r="BA304" i="2"/>
  <c r="BA303" i="2"/>
  <c r="BA302" i="2"/>
  <c r="BA301" i="2"/>
  <c r="BA300" i="2"/>
  <c r="BA299" i="2"/>
  <c r="BA298" i="2"/>
  <c r="BA297" i="2"/>
  <c r="BA296" i="2"/>
  <c r="BA295" i="2"/>
  <c r="BA294" i="2"/>
  <c r="BA293" i="2"/>
  <c r="BA292" i="2"/>
  <c r="BA291" i="2"/>
  <c r="BA290" i="2"/>
  <c r="BA289" i="2"/>
  <c r="BA288" i="2"/>
  <c r="BA287" i="2"/>
  <c r="BA286" i="2"/>
  <c r="BA285" i="2"/>
  <c r="BA284" i="2"/>
  <c r="BA283" i="2"/>
  <c r="BA282" i="2"/>
  <c r="BA281" i="2"/>
  <c r="BA280" i="2"/>
  <c r="BA279" i="2"/>
  <c r="BA278" i="2"/>
  <c r="BA277" i="2"/>
  <c r="BA276" i="2"/>
  <c r="BA275" i="2"/>
  <c r="BA274" i="2"/>
  <c r="BA273" i="2"/>
  <c r="BA272" i="2"/>
  <c r="BA271" i="2"/>
  <c r="BA270" i="2"/>
  <c r="BA269" i="2"/>
  <c r="BA268" i="2"/>
  <c r="BA267" i="2"/>
  <c r="BA266" i="2"/>
  <c r="BA265" i="2"/>
  <c r="BA264" i="2"/>
  <c r="BA263" i="2"/>
  <c r="BA262" i="2"/>
  <c r="BA261" i="2"/>
  <c r="BA260" i="2"/>
  <c r="BA259" i="2"/>
  <c r="BA258" i="2"/>
  <c r="BA257" i="2"/>
  <c r="BA256" i="2"/>
  <c r="BA255" i="2"/>
  <c r="BA254" i="2"/>
  <c r="BA253" i="2"/>
  <c r="BA252" i="2"/>
  <c r="BA251" i="2"/>
  <c r="BA250" i="2"/>
  <c r="BA249" i="2"/>
  <c r="BA248" i="2"/>
  <c r="BA247" i="2"/>
  <c r="BA246" i="2"/>
  <c r="BA245" i="2"/>
  <c r="BA244" i="2"/>
  <c r="BA243" i="2"/>
  <c r="BA242" i="2"/>
  <c r="BA241" i="2"/>
  <c r="BA240" i="2"/>
  <c r="BA239" i="2"/>
  <c r="BA238" i="2"/>
  <c r="BA237" i="2"/>
  <c r="BA236" i="2"/>
  <c r="BA235" i="2"/>
  <c r="BA234" i="2"/>
  <c r="BA233" i="2"/>
  <c r="BA232" i="2"/>
  <c r="BA231" i="2"/>
  <c r="BA230" i="2"/>
  <c r="BA229" i="2"/>
  <c r="BA228" i="2"/>
  <c r="BA227" i="2"/>
  <c r="BA226" i="2"/>
  <c r="BA225" i="2"/>
  <c r="BA224" i="2"/>
  <c r="BA223" i="2"/>
  <c r="BA222" i="2"/>
  <c r="BA221" i="2"/>
  <c r="BA220" i="2"/>
  <c r="BA219" i="2"/>
  <c r="BA218" i="2"/>
  <c r="BA217" i="2"/>
  <c r="BA216" i="2"/>
  <c r="BA215" i="2"/>
  <c r="BA214" i="2"/>
  <c r="BA213" i="2"/>
  <c r="BA212" i="2"/>
  <c r="BA211" i="2"/>
  <c r="BA210" i="2"/>
  <c r="BA209" i="2"/>
  <c r="BA208" i="2"/>
  <c r="BA207" i="2"/>
  <c r="BA206" i="2"/>
  <c r="BA205" i="2"/>
  <c r="BA204" i="2"/>
  <c r="BA203" i="2"/>
  <c r="BA202" i="2"/>
  <c r="BA201" i="2"/>
  <c r="BA200" i="2"/>
  <c r="BA199" i="2"/>
  <c r="BA198" i="2"/>
  <c r="BA197" i="2"/>
  <c r="BA196" i="2"/>
  <c r="BA195" i="2"/>
  <c r="BA194" i="2"/>
  <c r="BA193" i="2"/>
  <c r="BA192" i="2"/>
  <c r="BA191" i="2"/>
  <c r="BA190" i="2"/>
  <c r="BA189" i="2"/>
  <c r="BA188" i="2"/>
  <c r="BA187" i="2"/>
  <c r="BA186" i="2"/>
  <c r="BA185" i="2"/>
  <c r="BA184" i="2"/>
  <c r="BA183" i="2"/>
  <c r="BA182" i="2"/>
  <c r="BA181" i="2"/>
  <c r="BA180" i="2"/>
  <c r="BA179" i="2"/>
  <c r="BA178" i="2"/>
  <c r="BA177" i="2"/>
  <c r="BA176" i="2"/>
  <c r="BA175" i="2"/>
  <c r="BA174" i="2"/>
  <c r="BA173" i="2"/>
  <c r="BA172" i="2"/>
  <c r="BA171" i="2"/>
  <c r="BA170" i="2"/>
  <c r="BA169" i="2"/>
  <c r="BA168" i="2"/>
  <c r="BA167" i="2"/>
  <c r="BA166" i="2"/>
  <c r="BA165" i="2"/>
  <c r="BA164" i="2"/>
  <c r="BA163" i="2"/>
  <c r="BA162" i="2"/>
  <c r="BA161" i="2"/>
  <c r="BA160" i="2"/>
  <c r="BA159" i="2"/>
  <c r="BA158" i="2"/>
  <c r="BA157" i="2"/>
  <c r="BA156" i="2"/>
  <c r="BA155" i="2"/>
  <c r="BA154" i="2"/>
  <c r="BA153" i="2"/>
  <c r="BA152" i="2"/>
  <c r="BA151" i="2"/>
  <c r="BA150" i="2"/>
  <c r="BA149" i="2"/>
  <c r="BA148" i="2"/>
  <c r="BA147" i="2"/>
  <c r="BA146" i="2"/>
  <c r="BA145" i="2"/>
  <c r="BA144" i="2"/>
  <c r="BA143" i="2"/>
  <c r="BA142" i="2"/>
  <c r="BA141" i="2"/>
  <c r="BA140" i="2"/>
  <c r="BA139" i="2"/>
  <c r="BA138" i="2"/>
  <c r="BA137" i="2"/>
  <c r="BA136" i="2"/>
  <c r="BA135" i="2"/>
  <c r="BA134" i="2"/>
  <c r="BA133" i="2"/>
  <c r="BA132" i="2"/>
  <c r="BA131" i="2"/>
  <c r="BA130" i="2"/>
  <c r="BA129" i="2"/>
  <c r="BA128" i="2"/>
  <c r="BA127" i="2"/>
  <c r="BA126" i="2"/>
  <c r="BA125" i="2"/>
  <c r="BA124" i="2"/>
  <c r="BA123" i="2"/>
  <c r="BA122" i="2"/>
  <c r="BA121" i="2"/>
  <c r="BA120" i="2"/>
  <c r="BA119" i="2"/>
  <c r="BA118" i="2"/>
  <c r="BA117" i="2"/>
  <c r="BA116" i="2"/>
  <c r="BA115" i="2"/>
  <c r="BA114" i="2"/>
  <c r="BA113" i="2"/>
  <c r="BA112" i="2"/>
  <c r="BA111" i="2"/>
  <c r="BA110" i="2"/>
  <c r="BA109" i="2"/>
  <c r="BA108" i="2"/>
  <c r="BA107" i="2"/>
  <c r="BA106" i="2"/>
  <c r="BA105" i="2"/>
  <c r="BA104" i="2"/>
  <c r="BA103" i="2"/>
  <c r="BA102" i="2"/>
  <c r="BA101" i="2"/>
  <c r="BA100" i="2"/>
  <c r="BA99" i="2"/>
  <c r="BA98" i="2"/>
  <c r="BA97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AC8" i="13"/>
  <c r="P97" i="13"/>
  <c r="N97" i="13"/>
  <c r="O97" i="13" s="1"/>
  <c r="P96" i="13"/>
  <c r="N96" i="13"/>
  <c r="O96" i="13" s="1"/>
  <c r="P95" i="13"/>
  <c r="N95" i="13"/>
  <c r="O95" i="13" s="1"/>
  <c r="P87" i="13"/>
  <c r="N87" i="13"/>
  <c r="O87" i="13" s="1"/>
  <c r="P86" i="13"/>
  <c r="N86" i="13"/>
  <c r="O86" i="13" s="1"/>
  <c r="P85" i="13"/>
  <c r="N85" i="13"/>
  <c r="O85" i="13" s="1"/>
  <c r="N77" i="13"/>
  <c r="N76" i="13"/>
  <c r="O76" i="13" s="1"/>
  <c r="N75" i="13"/>
  <c r="O75" i="13" s="1"/>
  <c r="P77" i="13"/>
  <c r="O77" i="13"/>
  <c r="P76" i="13"/>
  <c r="P75" i="13"/>
  <c r="P68" i="13"/>
  <c r="P67" i="13"/>
  <c r="P66" i="13"/>
  <c r="P65" i="13"/>
  <c r="N68" i="13"/>
  <c r="O68" i="13" s="1"/>
  <c r="N67" i="13"/>
  <c r="O67" i="13" s="1"/>
  <c r="N66" i="13"/>
  <c r="O66" i="13" s="1"/>
  <c r="N65" i="13"/>
  <c r="S70" i="13"/>
  <c r="R70" i="13"/>
  <c r="Q70" i="13"/>
  <c r="D22" i="17" l="1"/>
  <c r="D14" i="17"/>
  <c r="H6" i="17"/>
  <c r="I6" i="17"/>
  <c r="AQ59" i="17"/>
  <c r="AQ60" i="17" s="1"/>
  <c r="AQ61" i="17" s="1"/>
  <c r="AQ62" i="17" s="1"/>
  <c r="AQ63" i="17" s="1"/>
  <c r="AQ64" i="17" s="1"/>
  <c r="AR59" i="17"/>
  <c r="AR60" i="17" s="1"/>
  <c r="AR61" i="17" s="1"/>
  <c r="AR62" i="17" s="1"/>
  <c r="AR63" i="17" s="1"/>
  <c r="AR64" i="17" s="1"/>
  <c r="AQ65" i="17"/>
  <c r="AR65" i="17"/>
  <c r="EI36" i="17"/>
  <c r="EI29" i="17"/>
  <c r="EI35" i="17"/>
  <c r="EI30" i="17"/>
  <c r="EI31" i="17"/>
  <c r="EI32" i="17"/>
  <c r="ET20" i="17"/>
  <c r="EH35" i="17"/>
  <c r="EH30" i="17"/>
  <c r="EH36" i="17"/>
  <c r="EH29" i="17"/>
  <c r="EH31" i="17"/>
  <c r="EH32" i="17"/>
  <c r="EH33" i="17"/>
  <c r="ER34" i="17"/>
  <c r="EI34" i="17"/>
  <c r="ET46" i="17"/>
  <c r="EH48" i="17"/>
  <c r="EH43" i="17"/>
  <c r="EH49" i="17"/>
  <c r="EH42" i="17"/>
  <c r="EH44" i="17"/>
  <c r="EH45" i="17"/>
  <c r="EH46" i="17"/>
  <c r="ER47" i="17"/>
  <c r="ER49" i="17" s="1"/>
  <c r="EQ49" i="17"/>
  <c r="EQ11" i="17"/>
  <c r="ER9" i="17"/>
  <c r="EI9" i="17"/>
  <c r="EI33" i="17"/>
  <c r="FU67" i="17"/>
  <c r="FS67" i="17"/>
  <c r="FU61" i="17"/>
  <c r="FS61" i="17"/>
  <c r="FV67" i="17"/>
  <c r="FT67" i="17"/>
  <c r="FV61" i="17"/>
  <c r="FT61" i="17"/>
  <c r="DL122" i="17"/>
  <c r="DL111" i="17"/>
  <c r="DL99" i="17"/>
  <c r="DL89" i="17"/>
  <c r="DL76" i="17"/>
  <c r="DL44" i="17"/>
  <c r="DL45" i="17" s="1"/>
  <c r="DL46" i="17" s="1"/>
  <c r="DL47" i="17" s="1"/>
  <c r="DL48" i="17" s="1"/>
  <c r="DL49" i="17" s="1"/>
  <c r="DL37" i="17"/>
  <c r="DL31" i="17"/>
  <c r="DL32" i="17" s="1"/>
  <c r="DL33" i="17" s="1"/>
  <c r="DL34" i="17" s="1"/>
  <c r="DL35" i="17" s="1"/>
  <c r="DL36" i="17" s="1"/>
  <c r="DL25" i="17"/>
  <c r="DL23" i="17"/>
  <c r="DL24" i="17" s="1"/>
  <c r="DL17" i="17"/>
  <c r="D16" i="17"/>
  <c r="H8" i="17"/>
  <c r="CZ4" i="17"/>
  <c r="DM117" i="17"/>
  <c r="DM106" i="17"/>
  <c r="DM96" i="17"/>
  <c r="DM83" i="17"/>
  <c r="DM84" i="17" s="1"/>
  <c r="DM85" i="17" s="1"/>
  <c r="DM86" i="17" s="1"/>
  <c r="DM87" i="17" s="1"/>
  <c r="DM88" i="17" s="1"/>
  <c r="DM76" i="17"/>
  <c r="DM63" i="17"/>
  <c r="DM57" i="17"/>
  <c r="DM58" i="17" s="1"/>
  <c r="DM59" i="17" s="1"/>
  <c r="DM60" i="17" s="1"/>
  <c r="DM61" i="17" s="1"/>
  <c r="DM62" i="17" s="1"/>
  <c r="DM50" i="17"/>
  <c r="DM17" i="17"/>
  <c r="DA8" i="17"/>
  <c r="DA7" i="17" s="1"/>
  <c r="DA6" i="17" s="1"/>
  <c r="DA5" i="17" s="1"/>
  <c r="DL117" i="17"/>
  <c r="DL106" i="17"/>
  <c r="DL96" i="17"/>
  <c r="DL83" i="17"/>
  <c r="DL84" i="17" s="1"/>
  <c r="DL85" i="17" s="1"/>
  <c r="DL86" i="17" s="1"/>
  <c r="DL87" i="17" s="1"/>
  <c r="DL88" i="17" s="1"/>
  <c r="DL70" i="17"/>
  <c r="DL71" i="17" s="1"/>
  <c r="DL72" i="17" s="1"/>
  <c r="DL73" i="17" s="1"/>
  <c r="DL74" i="17" s="1"/>
  <c r="DL75" i="17" s="1"/>
  <c r="DL63" i="17"/>
  <c r="DL57" i="17"/>
  <c r="DL58" i="17" s="1"/>
  <c r="DL59" i="17" s="1"/>
  <c r="DL60" i="17" s="1"/>
  <c r="DL61" i="17" s="1"/>
  <c r="DL62" i="17" s="1"/>
  <c r="DL50" i="17"/>
  <c r="DL11" i="17"/>
  <c r="DL12" i="17" s="1"/>
  <c r="DL13" i="17" s="1"/>
  <c r="DL14" i="17" s="1"/>
  <c r="DL15" i="17" s="1"/>
  <c r="DL16" i="17" s="1"/>
  <c r="CZ8" i="17"/>
  <c r="CZ7" i="17" s="1"/>
  <c r="CZ6" i="17" s="1"/>
  <c r="CZ5" i="17" s="1"/>
  <c r="DM122" i="17"/>
  <c r="DM111" i="17"/>
  <c r="DM99" i="17"/>
  <c r="DM89" i="17"/>
  <c r="DM70" i="17"/>
  <c r="DM71" i="17" s="1"/>
  <c r="DM72" i="17" s="1"/>
  <c r="DM73" i="17" s="1"/>
  <c r="DM74" i="17" s="1"/>
  <c r="DM75" i="17" s="1"/>
  <c r="DM44" i="17"/>
  <c r="DM45" i="17" s="1"/>
  <c r="DM46" i="17" s="1"/>
  <c r="DM47" i="17" s="1"/>
  <c r="DM48" i="17" s="1"/>
  <c r="DM49" i="17" s="1"/>
  <c r="DM37" i="17"/>
  <c r="DM31" i="17"/>
  <c r="DM32" i="17" s="1"/>
  <c r="DM33" i="17" s="1"/>
  <c r="DM34" i="17" s="1"/>
  <c r="DM35" i="17" s="1"/>
  <c r="DM36" i="17" s="1"/>
  <c r="DM25" i="17"/>
  <c r="D24" i="17"/>
  <c r="DM23" i="17"/>
  <c r="DM24" i="17" s="1"/>
  <c r="DM11" i="17"/>
  <c r="DM12" i="17" s="1"/>
  <c r="DM13" i="17" s="1"/>
  <c r="DM14" i="17" s="1"/>
  <c r="DM15" i="17" s="1"/>
  <c r="DM16" i="17" s="1"/>
  <c r="I8" i="17"/>
  <c r="DA4" i="17"/>
  <c r="DO122" i="17"/>
  <c r="DO117" i="17"/>
  <c r="DN111" i="17"/>
  <c r="DN106" i="17"/>
  <c r="DN122" i="17"/>
  <c r="DN117" i="17"/>
  <c r="DO111" i="17"/>
  <c r="DO106" i="17"/>
  <c r="DO99" i="17"/>
  <c r="DN96" i="17"/>
  <c r="DN99" i="17"/>
  <c r="DO96" i="17"/>
  <c r="H5" i="17"/>
  <c r="D13" i="17"/>
  <c r="D21" i="17"/>
  <c r="I5" i="17"/>
  <c r="D23" i="17"/>
  <c r="I7" i="17"/>
  <c r="D15" i="17"/>
  <c r="H7" i="17"/>
  <c r="BR100" i="17"/>
  <c r="AL253" i="17"/>
  <c r="ET34" i="17"/>
  <c r="EH34" i="17"/>
  <c r="EQ23" i="17"/>
  <c r="ER21" i="17"/>
  <c r="ER23" i="17" s="1"/>
  <c r="EI21" i="17"/>
  <c r="EH47" i="17"/>
  <c r="EH9" i="17"/>
  <c r="EH4" i="17"/>
  <c r="EH11" i="17"/>
  <c r="EH10" i="17"/>
  <c r="EH5" i="17"/>
  <c r="EH6" i="17"/>
  <c r="EH7" i="17"/>
  <c r="EH8" i="17"/>
  <c r="ET33" i="17"/>
  <c r="AM276" i="17"/>
  <c r="AY216" i="17"/>
  <c r="AL254" i="17"/>
  <c r="AL248" i="17"/>
  <c r="AL250" i="17"/>
  <c r="AL252" i="17"/>
  <c r="AL255" i="17"/>
  <c r="AL247" i="17"/>
  <c r="AL249" i="17"/>
  <c r="AL251" i="17"/>
  <c r="DO50" i="17"/>
  <c r="DO44" i="17"/>
  <c r="DO89" i="17"/>
  <c r="DO83" i="17"/>
  <c r="DO76" i="17"/>
  <c r="DO70" i="17"/>
  <c r="DO63" i="17"/>
  <c r="DO57" i="17"/>
  <c r="DN37" i="17"/>
  <c r="DN31" i="17"/>
  <c r="DN25" i="17"/>
  <c r="DN23" i="17"/>
  <c r="DN17" i="17"/>
  <c r="DN11" i="17"/>
  <c r="DB8" i="17"/>
  <c r="DB4" i="17"/>
  <c r="DN50" i="17"/>
  <c r="DN44" i="17"/>
  <c r="DN89" i="17"/>
  <c r="DN83" i="17"/>
  <c r="DN76" i="17"/>
  <c r="DN70" i="17"/>
  <c r="DN63" i="17"/>
  <c r="DN57" i="17"/>
  <c r="DO37" i="17"/>
  <c r="DO31" i="17"/>
  <c r="DO25" i="17"/>
  <c r="DO23" i="17"/>
  <c r="DO17" i="17"/>
  <c r="DO11" i="17"/>
  <c r="DC8" i="17"/>
  <c r="DC4" i="17"/>
  <c r="AT59" i="17"/>
  <c r="AT65" i="17"/>
  <c r="BV38" i="13"/>
  <c r="BS38" i="13" s="1"/>
  <c r="BW60" i="13"/>
  <c r="BT60" i="13" s="1"/>
  <c r="BT100" i="17"/>
  <c r="BF161" i="17"/>
  <c r="AM287" i="17"/>
  <c r="BA215" i="17"/>
  <c r="AM265" i="17"/>
  <c r="AW219" i="17"/>
  <c r="AM267" i="17" s="1"/>
  <c r="AL267" i="17" s="1"/>
  <c r="AX217" i="17"/>
  <c r="AM181" i="17"/>
  <c r="AY121" i="17"/>
  <c r="AM192" i="17"/>
  <c r="AM171" i="17"/>
  <c r="AL169" i="17" s="1"/>
  <c r="BE67" i="17"/>
  <c r="BE66" i="17"/>
  <c r="BE60" i="17"/>
  <c r="BE61" i="17"/>
  <c r="BE62" i="17"/>
  <c r="BE63" i="17"/>
  <c r="BE64" i="17"/>
  <c r="AL266" i="17"/>
  <c r="AL260" i="17"/>
  <c r="AL262" i="17"/>
  <c r="AL264" i="17"/>
  <c r="BF78" i="17"/>
  <c r="BE76" i="17" s="1"/>
  <c r="BE65" i="17"/>
  <c r="AX123" i="17"/>
  <c r="BT11" i="17"/>
  <c r="BJ11" i="17" s="1"/>
  <c r="BT12" i="17"/>
  <c r="D39" i="17"/>
  <c r="K7" i="17"/>
  <c r="D37" i="17"/>
  <c r="K5" i="17"/>
  <c r="K8" i="17"/>
  <c r="D40" i="17"/>
  <c r="DT8" i="13"/>
  <c r="DR4" i="13"/>
  <c r="DT4" i="13"/>
  <c r="DR8" i="13"/>
  <c r="K6" i="17"/>
  <c r="D38" i="17"/>
  <c r="BS78" i="13"/>
  <c r="BV11" i="13"/>
  <c r="BS11" i="13" s="1"/>
  <c r="BW49" i="13"/>
  <c r="BT49" i="13" s="1"/>
  <c r="CC30" i="13"/>
  <c r="BS98" i="13"/>
  <c r="AM37" i="13"/>
  <c r="CM4" i="13"/>
  <c r="CB31" i="13"/>
  <c r="CD10" i="13"/>
  <c r="CC4" i="13"/>
  <c r="BS79" i="13"/>
  <c r="BU70" i="13"/>
  <c r="BR24" i="13"/>
  <c r="BR23" i="13"/>
  <c r="AS25" i="9"/>
  <c r="AT24" i="9"/>
  <c r="AU24" i="9" s="1"/>
  <c r="AV24" i="9" s="1"/>
  <c r="AW24" i="9" s="1"/>
  <c r="AX24" i="9" s="1"/>
  <c r="AY24" i="9" s="1"/>
  <c r="AI23" i="9"/>
  <c r="AJ23" i="9" s="1"/>
  <c r="AK23" i="9" s="1"/>
  <c r="AL23" i="9" s="1"/>
  <c r="AM23" i="9" s="1"/>
  <c r="AH24" i="9"/>
  <c r="BR23" i="9"/>
  <c r="BS23" i="9" s="1"/>
  <c r="BT23" i="9" s="1"/>
  <c r="BU23" i="9" s="1"/>
  <c r="BV23" i="9" s="1"/>
  <c r="BW23" i="9" s="1"/>
  <c r="BQ24" i="9"/>
  <c r="BF23" i="9"/>
  <c r="BG23" i="9" s="1"/>
  <c r="BH23" i="9" s="1"/>
  <c r="BI23" i="9" s="1"/>
  <c r="BJ23" i="9" s="1"/>
  <c r="BK23" i="9" s="1"/>
  <c r="BE24" i="9"/>
  <c r="V25" i="9"/>
  <c r="W25" i="9" s="1"/>
  <c r="X25" i="9" s="1"/>
  <c r="Y25" i="9" s="1"/>
  <c r="Z25" i="9" s="1"/>
  <c r="BT93" i="13"/>
  <c r="BT87" i="13"/>
  <c r="BT89" i="13"/>
  <c r="BT91" i="13"/>
  <c r="BT92" i="13"/>
  <c r="BT71" i="13"/>
  <c r="BT66" i="13"/>
  <c r="BT65" i="13"/>
  <c r="BT68" i="13"/>
  <c r="BT67" i="13"/>
  <c r="BT70" i="13"/>
  <c r="BN24" i="13"/>
  <c r="BL24" i="13"/>
  <c r="BM24" i="13" s="1"/>
  <c r="BN22" i="13"/>
  <c r="BL22" i="13"/>
  <c r="BL25" i="13"/>
  <c r="BM25" i="13" s="1"/>
  <c r="BN11" i="13"/>
  <c r="BN9" i="13"/>
  <c r="BN7" i="13"/>
  <c r="BN5" i="13"/>
  <c r="BL10" i="13"/>
  <c r="BL8" i="13"/>
  <c r="BL6" i="13"/>
  <c r="BL4" i="13"/>
  <c r="AB65" i="13"/>
  <c r="AB63" i="13"/>
  <c r="AB64" i="13" s="1"/>
  <c r="AB59" i="13"/>
  <c r="Z59" i="13"/>
  <c r="AA59" i="13" s="1"/>
  <c r="Z56" i="13"/>
  <c r="Z51" i="13"/>
  <c r="AA51" i="13" s="1"/>
  <c r="Z49" i="13"/>
  <c r="Z44" i="13"/>
  <c r="AA44" i="13" s="1"/>
  <c r="Z40" i="13"/>
  <c r="BN23" i="13"/>
  <c r="BL23" i="13"/>
  <c r="BN25" i="13"/>
  <c r="BN10" i="13"/>
  <c r="BN8" i="13"/>
  <c r="BN6" i="13"/>
  <c r="BN4" i="13"/>
  <c r="BL11" i="13"/>
  <c r="BL9" i="13"/>
  <c r="BL7" i="13"/>
  <c r="BL5" i="13"/>
  <c r="Z65" i="13"/>
  <c r="AA65" i="13" s="1"/>
  <c r="Z63" i="13"/>
  <c r="AB56" i="13"/>
  <c r="AB57" i="13" s="1"/>
  <c r="AB58" i="13" s="1"/>
  <c r="AB51" i="13"/>
  <c r="AB49" i="13"/>
  <c r="AB50" i="13" s="1"/>
  <c r="AB44" i="13"/>
  <c r="AB40" i="13"/>
  <c r="AB41" i="13" s="1"/>
  <c r="AB42" i="13" s="1"/>
  <c r="AB43" i="13" s="1"/>
  <c r="Z3" i="13"/>
  <c r="AA3" i="13" s="1"/>
  <c r="AB3" i="13"/>
  <c r="Z20" i="13"/>
  <c r="AB20" i="13"/>
  <c r="AB21" i="13" s="1"/>
  <c r="AB22" i="13" s="1"/>
  <c r="Z32" i="13"/>
  <c r="Z33" i="13" s="1"/>
  <c r="Z34" i="13"/>
  <c r="AA34" i="13" s="1"/>
  <c r="BS49" i="13"/>
  <c r="BS47" i="13"/>
  <c r="BS60" i="13"/>
  <c r="BS58" i="13"/>
  <c r="BS56" i="13"/>
  <c r="BS82" i="13"/>
  <c r="BS77" i="13"/>
  <c r="BU93" i="13"/>
  <c r="BU87" i="13"/>
  <c r="BU92" i="13"/>
  <c r="BU89" i="13"/>
  <c r="BS104" i="13"/>
  <c r="BS101" i="13"/>
  <c r="CB11" i="13"/>
  <c r="CB9" i="13"/>
  <c r="CC19" i="13"/>
  <c r="CC15" i="13"/>
  <c r="CC17" i="13"/>
  <c r="CC23" i="13"/>
  <c r="CC25" i="13"/>
  <c r="CK10" i="13"/>
  <c r="CM11" i="13"/>
  <c r="CM5" i="13"/>
  <c r="CD31" i="13"/>
  <c r="CC32" i="13"/>
  <c r="CB33" i="13"/>
  <c r="CB29" i="13"/>
  <c r="CD23" i="13"/>
  <c r="CD15" i="13"/>
  <c r="CB15" i="13"/>
  <c r="CB10" i="13"/>
  <c r="BS99" i="13"/>
  <c r="BS102" i="13"/>
  <c r="BS92" i="13"/>
  <c r="BS91" i="13"/>
  <c r="BS90" i="13"/>
  <c r="BU88" i="13"/>
  <c r="BT81" i="13"/>
  <c r="BU78" i="13"/>
  <c r="BT77" i="13"/>
  <c r="BS70" i="13"/>
  <c r="BU68" i="13"/>
  <c r="BT46" i="13"/>
  <c r="BS10" i="13"/>
  <c r="BS6" i="13"/>
  <c r="CD32" i="13"/>
  <c r="CC33" i="13"/>
  <c r="CC29" i="13"/>
  <c r="CB30" i="13"/>
  <c r="CB25" i="13"/>
  <c r="CB24" i="13"/>
  <c r="CC18" i="13"/>
  <c r="CC3" i="13"/>
  <c r="BT103" i="13"/>
  <c r="BS100" i="13"/>
  <c r="BU81" i="13"/>
  <c r="BS80" i="13"/>
  <c r="BS67" i="13"/>
  <c r="BS59" i="13"/>
  <c r="CD9" i="13"/>
  <c r="BT78" i="13"/>
  <c r="BU65" i="13"/>
  <c r="BT56" i="13"/>
  <c r="BS54" i="13"/>
  <c r="BU46" i="13"/>
  <c r="BS34" i="13"/>
  <c r="BS35" i="13"/>
  <c r="BR25" i="13"/>
  <c r="BR26" i="13"/>
  <c r="BR19" i="13"/>
  <c r="BU20" i="13"/>
  <c r="BR18" i="13"/>
  <c r="BR16" i="13"/>
  <c r="BT10" i="13"/>
  <c r="CD18" i="13"/>
  <c r="CB18" i="13"/>
  <c r="BT102" i="13"/>
  <c r="BT98" i="13"/>
  <c r="BT76" i="13"/>
  <c r="BU66" i="13"/>
  <c r="BT58" i="13"/>
  <c r="BT54" i="13"/>
  <c r="BS46" i="13"/>
  <c r="BT36" i="13"/>
  <c r="BS36" i="13"/>
  <c r="BT26" i="13"/>
  <c r="BT28" i="13"/>
  <c r="BS27" i="13"/>
  <c r="BS23" i="13"/>
  <c r="BS18" i="13"/>
  <c r="BR7" i="13"/>
  <c r="BS5" i="13"/>
  <c r="BR8" i="13"/>
  <c r="BR4" i="13"/>
  <c r="BU45" i="13"/>
  <c r="BT27" i="13"/>
  <c r="BT23" i="13"/>
  <c r="BS24" i="13"/>
  <c r="BL81" i="13"/>
  <c r="BL32" i="13"/>
  <c r="BS45" i="13"/>
  <c r="BS26" i="13"/>
  <c r="BT16" i="13"/>
  <c r="BR9" i="13"/>
  <c r="BR5" i="13"/>
  <c r="BM66" i="13"/>
  <c r="BN68" i="13"/>
  <c r="BL68" i="13"/>
  <c r="Z7" i="13"/>
  <c r="Z6" i="13" s="1"/>
  <c r="Z5" i="13" s="1"/>
  <c r="Z4" i="13" s="1"/>
  <c r="AB7" i="13"/>
  <c r="AB6" i="13" s="1"/>
  <c r="AB5" i="13" s="1"/>
  <c r="AB4" i="13" s="1"/>
  <c r="Z26" i="13"/>
  <c r="AB26" i="13"/>
  <c r="AB32" i="13"/>
  <c r="AB33" i="13" s="1"/>
  <c r="AB34" i="13"/>
  <c r="BT11" i="13"/>
  <c r="BT7" i="13"/>
  <c r="BT9" i="13"/>
  <c r="BT5" i="13"/>
  <c r="BT38" i="13"/>
  <c r="BT35" i="13"/>
  <c r="BU60" i="13"/>
  <c r="BU56" i="13"/>
  <c r="BU54" i="13"/>
  <c r="BU82" i="13"/>
  <c r="BU79" i="13"/>
  <c r="BS93" i="13"/>
  <c r="BS89" i="13"/>
  <c r="BS87" i="13"/>
  <c r="BU104" i="13"/>
  <c r="BU103" i="13"/>
  <c r="BU99" i="13"/>
  <c r="CD33" i="13"/>
  <c r="CD29" i="13"/>
  <c r="CD17" i="13"/>
  <c r="CB17" i="13"/>
  <c r="CC9" i="13"/>
  <c r="CB5" i="13"/>
  <c r="CB4" i="13"/>
  <c r="BU102" i="13"/>
  <c r="BT101" i="13"/>
  <c r="BT90" i="13"/>
  <c r="BT69" i="13"/>
  <c r="BS68" i="13"/>
  <c r="BT44" i="13"/>
  <c r="BS8" i="13"/>
  <c r="BS4" i="13"/>
  <c r="CD30" i="13"/>
  <c r="CC31" i="13"/>
  <c r="CB32" i="13"/>
  <c r="CC24" i="13"/>
  <c r="CC16" i="13"/>
  <c r="CB3" i="13"/>
  <c r="BU100" i="13"/>
  <c r="BT99" i="13"/>
  <c r="BT88" i="13"/>
  <c r="BU80" i="13"/>
  <c r="BT79" i="13"/>
  <c r="BS76" i="13"/>
  <c r="BS65" i="13"/>
  <c r="CC10" i="13"/>
  <c r="BT100" i="13"/>
  <c r="BU90" i="13"/>
  <c r="BU77" i="13"/>
  <c r="BU69" i="13"/>
  <c r="BU59" i="13"/>
  <c r="BS57" i="13"/>
  <c r="BU55" i="13"/>
  <c r="BU48" i="13"/>
  <c r="BU44" i="13"/>
  <c r="BS37" i="13"/>
  <c r="BS33" i="13"/>
  <c r="BT8" i="13"/>
  <c r="BT4" i="13"/>
  <c r="CD24" i="13"/>
  <c r="CD16" i="13"/>
  <c r="CB16" i="13"/>
  <c r="BU101" i="13"/>
  <c r="BT80" i="13"/>
  <c r="BS69" i="13"/>
  <c r="BU67" i="13"/>
  <c r="BS66" i="13"/>
  <c r="BT59" i="13"/>
  <c r="BU57" i="13"/>
  <c r="BS55" i="13"/>
  <c r="BS43" i="13"/>
  <c r="BS48" i="13"/>
  <c r="BS44" i="13"/>
  <c r="BT34" i="13"/>
  <c r="BR38" i="13"/>
  <c r="BU39" i="13"/>
  <c r="BR35" i="13"/>
  <c r="BR37" i="13"/>
  <c r="BR33" i="13"/>
  <c r="BR34" i="13"/>
  <c r="BT24" i="13"/>
  <c r="BU30" i="13"/>
  <c r="BR29" i="13"/>
  <c r="BS25" i="13"/>
  <c r="BT17" i="13"/>
  <c r="BS16" i="13"/>
  <c r="BS9" i="13"/>
  <c r="BR10" i="13"/>
  <c r="BR6" i="13"/>
  <c r="BN81" i="13"/>
  <c r="BU47" i="13"/>
  <c r="BU43" i="13"/>
  <c r="BT33" i="13"/>
  <c r="BT25" i="13"/>
  <c r="BS28" i="13"/>
  <c r="BM80" i="13"/>
  <c r="BN33" i="13"/>
  <c r="BT47" i="13"/>
  <c r="BT18" i="13"/>
  <c r="BS17" i="13"/>
  <c r="BS7" i="13"/>
  <c r="BM31" i="13"/>
  <c r="BM42" i="13"/>
  <c r="BM43" i="13" s="1"/>
  <c r="BM44" i="13" s="1"/>
  <c r="BM45" i="13" s="1"/>
  <c r="BM46" i="13" s="1"/>
  <c r="CL3" i="13"/>
  <c r="CK4" i="13"/>
  <c r="CL10" i="13"/>
  <c r="CL4" i="13"/>
  <c r="CL9" i="13"/>
  <c r="BM60" i="13"/>
  <c r="BN60" i="13"/>
  <c r="BL60" i="13"/>
  <c r="BO25" i="13"/>
  <c r="BJ25" i="13" s="1"/>
  <c r="BO24" i="13"/>
  <c r="BD31" i="13"/>
  <c r="BC48" i="13"/>
  <c r="BE33" i="13"/>
  <c r="BC32" i="13"/>
  <c r="BE21" i="13"/>
  <c r="BC20" i="13"/>
  <c r="BD7" i="13"/>
  <c r="BC9" i="13"/>
  <c r="AV108" i="13"/>
  <c r="AV32" i="13"/>
  <c r="AV28" i="13"/>
  <c r="AV24" i="13"/>
  <c r="AV20" i="13"/>
  <c r="AV51" i="13"/>
  <c r="AV47" i="13"/>
  <c r="AV43" i="13"/>
  <c r="AV39" i="13"/>
  <c r="AV35" i="13"/>
  <c r="AV31" i="13"/>
  <c r="AV27" i="13"/>
  <c r="AV23" i="13"/>
  <c r="AV19" i="13"/>
  <c r="AV105" i="13"/>
  <c r="AV101" i="13"/>
  <c r="AV97" i="13"/>
  <c r="AV93" i="13"/>
  <c r="AV89" i="13"/>
  <c r="AV85" i="13"/>
  <c r="AV81" i="13"/>
  <c r="AV77" i="13"/>
  <c r="AV73" i="13"/>
  <c r="AV106" i="13"/>
  <c r="AV102" i="13"/>
  <c r="AV98" i="13"/>
  <c r="AV94" i="13"/>
  <c r="AV90" i="13"/>
  <c r="AV86" i="13"/>
  <c r="AV82" i="13"/>
  <c r="AV78" i="13"/>
  <c r="AV74" i="13"/>
  <c r="AV52" i="13"/>
  <c r="AV50" i="13"/>
  <c r="AV48" i="13"/>
  <c r="AV46" i="13"/>
  <c r="AV44" i="13"/>
  <c r="AV42" i="13"/>
  <c r="AV40" i="13"/>
  <c r="AV38" i="13"/>
  <c r="AV36" i="13"/>
  <c r="AV34" i="13"/>
  <c r="AV53" i="13"/>
  <c r="BE48" i="13"/>
  <c r="BD47" i="13"/>
  <c r="BD19" i="13"/>
  <c r="BE9" i="13"/>
  <c r="AV72" i="13"/>
  <c r="AV30" i="13"/>
  <c r="AV26" i="13"/>
  <c r="AV22" i="13"/>
  <c r="AV18" i="13"/>
  <c r="AV49" i="13"/>
  <c r="AV45" i="13"/>
  <c r="AV41" i="13"/>
  <c r="AV37" i="13"/>
  <c r="AV33" i="13"/>
  <c r="AV29" i="13"/>
  <c r="AV25" i="13"/>
  <c r="AV21" i="13"/>
  <c r="AV107" i="13"/>
  <c r="AV103" i="13"/>
  <c r="AV99" i="13"/>
  <c r="AV95" i="13"/>
  <c r="AV91" i="13"/>
  <c r="AV87" i="13"/>
  <c r="AV83" i="13"/>
  <c r="AV79" i="13"/>
  <c r="AV75" i="13"/>
  <c r="AV104" i="13"/>
  <c r="AV100" i="13"/>
  <c r="AV96" i="13"/>
  <c r="AV92" i="13"/>
  <c r="AV88" i="13"/>
  <c r="AV84" i="13"/>
  <c r="AV80" i="13"/>
  <c r="AV76" i="13"/>
  <c r="AV17" i="13"/>
  <c r="N70" i="13"/>
  <c r="K68" i="13" s="1"/>
  <c r="P70" i="13"/>
  <c r="M65" i="13" s="1"/>
  <c r="AM30" i="13"/>
  <c r="AL31" i="13" s="1"/>
  <c r="AM58" i="13"/>
  <c r="AL59" i="13" s="1"/>
  <c r="AI30" i="13"/>
  <c r="AL38" i="13"/>
  <c r="AJ37" i="13"/>
  <c r="AK37" i="13"/>
  <c r="AK35" i="13"/>
  <c r="AJ34" i="13"/>
  <c r="AK36" i="13"/>
  <c r="AJ35" i="13"/>
  <c r="AI37" i="13"/>
  <c r="AI35" i="13"/>
  <c r="O65" i="13"/>
  <c r="O70" i="13" s="1"/>
  <c r="L70" i="13" s="1"/>
  <c r="AJ36" i="13"/>
  <c r="AO34" i="13"/>
  <c r="AI36" i="13"/>
  <c r="AK34" i="13"/>
  <c r="AO37" i="13"/>
  <c r="AO36" i="13"/>
  <c r="AA15" i="13"/>
  <c r="X15" i="13" s="1"/>
  <c r="AB23" i="13"/>
  <c r="X13" i="13"/>
  <c r="AK14" i="13"/>
  <c r="AK12" i="13"/>
  <c r="AM8" i="13"/>
  <c r="AJ3" i="13" s="1"/>
  <c r="AA20" i="13"/>
  <c r="AA26" i="13"/>
  <c r="AI20" i="13"/>
  <c r="AI6" i="13"/>
  <c r="AI25" i="13"/>
  <c r="AJ20" i="13"/>
  <c r="AJ13" i="13"/>
  <c r="AK6" i="13"/>
  <c r="AK29" i="13"/>
  <c r="AI27" i="13"/>
  <c r="AK19" i="13"/>
  <c r="AI13" i="13"/>
  <c r="AK5" i="13"/>
  <c r="AK30" i="13"/>
  <c r="AK28" i="13"/>
  <c r="AK26" i="13"/>
  <c r="AI7" i="13"/>
  <c r="AI5" i="13"/>
  <c r="AI8" i="13"/>
  <c r="M68" i="13"/>
  <c r="Z8" i="13"/>
  <c r="W5" i="13" s="1"/>
  <c r="Z15" i="13"/>
  <c r="W15" i="13" s="1"/>
  <c r="Z21" i="13"/>
  <c r="AJ19" i="13"/>
  <c r="AJ12" i="13"/>
  <c r="AI4" i="13"/>
  <c r="AI29" i="13"/>
  <c r="AK20" i="13"/>
  <c r="AK13" i="13"/>
  <c r="AI12" i="13"/>
  <c r="AK4" i="13"/>
  <c r="AK27" i="13"/>
  <c r="AI28" i="13"/>
  <c r="AI26" i="13"/>
  <c r="AI19" i="13"/>
  <c r="AK7" i="13"/>
  <c r="AK3" i="13"/>
  <c r="AB66" i="13"/>
  <c r="M67" i="13"/>
  <c r="AB15" i="13"/>
  <c r="Y15" i="13" s="1"/>
  <c r="AE8" i="13"/>
  <c r="AD8" i="13"/>
  <c r="R100" i="13"/>
  <c r="Q100" i="13"/>
  <c r="S100" i="13"/>
  <c r="O100" i="13"/>
  <c r="N100" i="13"/>
  <c r="P100" i="13"/>
  <c r="S90" i="13"/>
  <c r="R90" i="13"/>
  <c r="Q90" i="13"/>
  <c r="O90" i="13"/>
  <c r="N90" i="13"/>
  <c r="P90" i="13"/>
  <c r="S80" i="13"/>
  <c r="R80" i="13"/>
  <c r="Q80" i="13"/>
  <c r="O80" i="13"/>
  <c r="N80" i="13"/>
  <c r="P80" i="13"/>
  <c r="P59" i="13"/>
  <c r="P58" i="13"/>
  <c r="P57" i="13"/>
  <c r="P56" i="13"/>
  <c r="N59" i="13"/>
  <c r="O59" i="13" s="1"/>
  <c r="N58" i="13"/>
  <c r="O58" i="13" s="1"/>
  <c r="N57" i="13"/>
  <c r="O57" i="13" s="1"/>
  <c r="N56" i="13"/>
  <c r="O56" i="13" s="1"/>
  <c r="S61" i="13"/>
  <c r="R61" i="13"/>
  <c r="Q61" i="13"/>
  <c r="BT43" i="13" l="1"/>
  <c r="BT48" i="13"/>
  <c r="BT45" i="13"/>
  <c r="BT55" i="13"/>
  <c r="BT57" i="13"/>
  <c r="K66" i="13"/>
  <c r="AA32" i="13"/>
  <c r="EJ23" i="17"/>
  <c r="EJ16" i="17"/>
  <c r="EJ22" i="17"/>
  <c r="EJ17" i="17"/>
  <c r="EJ18" i="17"/>
  <c r="EJ19" i="17"/>
  <c r="EJ20" i="17"/>
  <c r="M66" i="13"/>
  <c r="M70" i="13"/>
  <c r="AL263" i="17"/>
  <c r="AL261" i="17"/>
  <c r="AL259" i="17"/>
  <c r="EI22" i="17"/>
  <c r="EI23" i="17"/>
  <c r="EI16" i="17"/>
  <c r="EI17" i="17"/>
  <c r="EI18" i="17"/>
  <c r="EI19" i="17"/>
  <c r="EI20" i="17"/>
  <c r="ET36" i="17"/>
  <c r="EL34" i="17" s="1"/>
  <c r="DP99" i="17"/>
  <c r="DL97" i="17"/>
  <c r="DP96" i="17"/>
  <c r="DL118" i="17"/>
  <c r="DP117" i="17"/>
  <c r="DM97" i="17"/>
  <c r="DM118" i="17"/>
  <c r="DP122" i="17"/>
  <c r="FO106" i="17"/>
  <c r="FV62" i="17"/>
  <c r="FO112" i="17"/>
  <c r="FO95" i="17"/>
  <c r="FU62" i="17"/>
  <c r="FO101" i="17"/>
  <c r="EJ48" i="17"/>
  <c r="EJ43" i="17"/>
  <c r="EJ49" i="17"/>
  <c r="EJ42" i="17"/>
  <c r="EJ44" i="17"/>
  <c r="EJ45" i="17"/>
  <c r="ER11" i="17"/>
  <c r="EJ9" i="17"/>
  <c r="ET9" i="17"/>
  <c r="EI47" i="17"/>
  <c r="EI49" i="17"/>
  <c r="EI42" i="17"/>
  <c r="EI48" i="17"/>
  <c r="EI43" i="17"/>
  <c r="EI44" i="17"/>
  <c r="EI45" i="17"/>
  <c r="EI46" i="17"/>
  <c r="EJ46" i="17"/>
  <c r="ER36" i="17"/>
  <c r="EJ34" i="17" s="1"/>
  <c r="EL33" i="17"/>
  <c r="EJ21" i="17"/>
  <c r="DO97" i="17"/>
  <c r="DN97" i="17"/>
  <c r="DO107" i="17"/>
  <c r="DN118" i="17"/>
  <c r="DN107" i="17"/>
  <c r="DO118" i="17"/>
  <c r="DL107" i="17"/>
  <c r="DP106" i="17"/>
  <c r="DM107" i="17"/>
  <c r="DP111" i="17"/>
  <c r="FO84" i="17"/>
  <c r="FT62" i="17"/>
  <c r="FO90" i="17"/>
  <c r="FO73" i="17"/>
  <c r="FW61" i="17"/>
  <c r="FS62" i="17"/>
  <c r="FO79" i="17"/>
  <c r="FW67" i="17"/>
  <c r="EI11" i="17"/>
  <c r="EI10" i="17"/>
  <c r="EI4" i="17"/>
  <c r="EI5" i="17"/>
  <c r="EI6" i="17"/>
  <c r="EI7" i="17"/>
  <c r="EI8" i="17"/>
  <c r="ET47" i="17"/>
  <c r="EJ47" i="17"/>
  <c r="ET49" i="17"/>
  <c r="ET21" i="17"/>
  <c r="Z35" i="13"/>
  <c r="AL265" i="17"/>
  <c r="AY217" i="17"/>
  <c r="AM277" i="17"/>
  <c r="AX219" i="17"/>
  <c r="AM279" i="17" s="1"/>
  <c r="BJ100" i="17"/>
  <c r="BL100" i="17"/>
  <c r="BK99" i="17"/>
  <c r="BE94" i="17"/>
  <c r="BK94" i="17"/>
  <c r="BF94" i="17"/>
  <c r="BK95" i="17"/>
  <c r="BG94" i="17"/>
  <c r="BF95" i="17"/>
  <c r="BK97" i="17"/>
  <c r="BI99" i="17"/>
  <c r="BG95" i="17"/>
  <c r="BE100" i="17"/>
  <c r="BG96" i="17"/>
  <c r="BK100" i="17"/>
  <c r="BF97" i="17"/>
  <c r="BH95" i="17"/>
  <c r="BI95" i="17"/>
  <c r="BH96" i="17"/>
  <c r="BJ94" i="17"/>
  <c r="BI96" i="17"/>
  <c r="BF100" i="17"/>
  <c r="BL99" i="17"/>
  <c r="BI97" i="17"/>
  <c r="BG100" i="17"/>
  <c r="BJ97" i="17"/>
  <c r="BI98" i="17"/>
  <c r="BL97" i="17"/>
  <c r="BJ98" i="17"/>
  <c r="BT102" i="17"/>
  <c r="BE99" i="17"/>
  <c r="BF99" i="17"/>
  <c r="BG99" i="17"/>
  <c r="BE95" i="17"/>
  <c r="BE96" i="17"/>
  <c r="BK96" i="17"/>
  <c r="BH99" i="17"/>
  <c r="BH94" i="17"/>
  <c r="BE97" i="17"/>
  <c r="BF96" i="17"/>
  <c r="BE98" i="17"/>
  <c r="BK98" i="17"/>
  <c r="BJ99" i="17"/>
  <c r="BI94" i="17"/>
  <c r="BF98" i="17"/>
  <c r="BG97" i="17"/>
  <c r="BL94" i="17"/>
  <c r="BH97" i="17"/>
  <c r="BG98" i="17"/>
  <c r="BJ95" i="17"/>
  <c r="BH98" i="17"/>
  <c r="BL95" i="17"/>
  <c r="BJ96" i="17"/>
  <c r="BH100" i="17"/>
  <c r="BL96" i="17"/>
  <c r="BI100" i="17"/>
  <c r="BL98" i="17"/>
  <c r="AM88" i="17"/>
  <c r="AS65" i="17"/>
  <c r="AU65" i="17" s="1"/>
  <c r="AP65" i="17" s="1"/>
  <c r="AM65" i="17"/>
  <c r="AM71" i="17"/>
  <c r="AL59" i="17"/>
  <c r="AS59" i="17"/>
  <c r="AM82" i="17"/>
  <c r="AM59" i="17"/>
  <c r="CV41" i="17"/>
  <c r="CV45" i="17"/>
  <c r="DC7" i="17"/>
  <c r="DO12" i="17"/>
  <c r="DO24" i="17"/>
  <c r="DO26" i="17" s="1"/>
  <c r="DO32" i="17"/>
  <c r="DN58" i="17"/>
  <c r="DN71" i="17"/>
  <c r="DN84" i="17"/>
  <c r="DN45" i="17"/>
  <c r="CV32" i="17"/>
  <c r="CV36" i="17"/>
  <c r="DB7" i="17"/>
  <c r="DN12" i="17"/>
  <c r="DN24" i="17"/>
  <c r="DN26" i="17" s="1"/>
  <c r="DN32" i="17"/>
  <c r="DO58" i="17"/>
  <c r="DO71" i="17"/>
  <c r="DO84" i="17"/>
  <c r="DO45" i="17"/>
  <c r="AL276" i="17"/>
  <c r="L67" i="13"/>
  <c r="K65" i="13"/>
  <c r="K67" i="13"/>
  <c r="AJ26" i="13"/>
  <c r="AB35" i="13"/>
  <c r="AB8" i="13"/>
  <c r="Y6" i="13" s="1"/>
  <c r="BE160" i="17"/>
  <c r="BE156" i="17"/>
  <c r="BE158" i="17"/>
  <c r="BE161" i="17"/>
  <c r="BE155" i="17"/>
  <c r="BE157" i="17"/>
  <c r="AM110" i="17"/>
  <c r="AO65" i="17"/>
  <c r="AM77" i="17"/>
  <c r="AL65" i="17"/>
  <c r="AT60" i="17"/>
  <c r="AM104" i="17"/>
  <c r="AO59" i="17"/>
  <c r="CV23" i="17"/>
  <c r="CV27" i="17"/>
  <c r="DM26" i="17"/>
  <c r="DH26" i="17" s="1"/>
  <c r="DP57" i="17"/>
  <c r="DP63" i="17"/>
  <c r="DP70" i="17"/>
  <c r="DP76" i="17"/>
  <c r="DP83" i="17"/>
  <c r="DP89" i="17"/>
  <c r="DP44" i="17"/>
  <c r="DP50" i="17"/>
  <c r="CV14" i="17"/>
  <c r="DD4" i="17"/>
  <c r="CV18" i="17"/>
  <c r="DD8" i="17"/>
  <c r="DP11" i="17"/>
  <c r="DP17" i="17"/>
  <c r="DP23" i="17"/>
  <c r="DL26" i="17"/>
  <c r="DG26" i="17" s="1"/>
  <c r="DP25" i="17"/>
  <c r="DP31" i="17"/>
  <c r="DP37" i="17"/>
  <c r="AM288" i="17"/>
  <c r="BA216" i="17"/>
  <c r="BE159" i="17"/>
  <c r="AM183" i="17"/>
  <c r="AM193" i="17"/>
  <c r="BL11" i="17"/>
  <c r="BE10" i="17"/>
  <c r="BK4" i="17"/>
  <c r="BF10" i="17"/>
  <c r="BK10" i="17"/>
  <c r="BE4" i="17"/>
  <c r="BE5" i="17"/>
  <c r="BG10" i="17"/>
  <c r="BF4" i="17"/>
  <c r="BK5" i="17"/>
  <c r="BF5" i="17"/>
  <c r="BK6" i="17"/>
  <c r="BE6" i="17"/>
  <c r="BG4" i="17"/>
  <c r="BH10" i="17"/>
  <c r="BH4" i="17"/>
  <c r="BF6" i="17"/>
  <c r="BI10" i="17"/>
  <c r="BK7" i="17"/>
  <c r="BG5" i="17"/>
  <c r="BE7" i="17"/>
  <c r="BJ10" i="17"/>
  <c r="BE8" i="17"/>
  <c r="BK8" i="17"/>
  <c r="BG6" i="17"/>
  <c r="BF7" i="17"/>
  <c r="BH5" i="17"/>
  <c r="BI4" i="17"/>
  <c r="BF8" i="17"/>
  <c r="BG7" i="17"/>
  <c r="BL4" i="17"/>
  <c r="BJ4" i="17"/>
  <c r="BH6" i="17"/>
  <c r="BK9" i="17"/>
  <c r="BL10" i="17"/>
  <c r="BI5" i="17"/>
  <c r="BE9" i="17"/>
  <c r="BH7" i="17"/>
  <c r="BG8" i="17"/>
  <c r="BK11" i="17"/>
  <c r="BF9" i="17"/>
  <c r="BE11" i="17"/>
  <c r="BJ5" i="17"/>
  <c r="BI6" i="17"/>
  <c r="BJ6" i="17"/>
  <c r="BL5" i="17"/>
  <c r="BG9" i="17"/>
  <c r="BI7" i="17"/>
  <c r="BF11" i="17"/>
  <c r="BH8" i="17"/>
  <c r="BG11" i="17"/>
  <c r="BL6" i="17"/>
  <c r="BI8" i="17"/>
  <c r="BJ7" i="17"/>
  <c r="BH9" i="17"/>
  <c r="BH11" i="17"/>
  <c r="BI9" i="17"/>
  <c r="BJ8" i="17"/>
  <c r="BL7" i="17"/>
  <c r="BI11" i="17"/>
  <c r="BJ9" i="17"/>
  <c r="BL8" i="17"/>
  <c r="BE78" i="17"/>
  <c r="BE77" i="17"/>
  <c r="BE71" i="17"/>
  <c r="BE72" i="17"/>
  <c r="BE73" i="17"/>
  <c r="BE74" i="17"/>
  <c r="BE75" i="17"/>
  <c r="AL171" i="17"/>
  <c r="AL163" i="17"/>
  <c r="AL170" i="17"/>
  <c r="AL164" i="17"/>
  <c r="AL165" i="17"/>
  <c r="AL166" i="17"/>
  <c r="AL167" i="17"/>
  <c r="AL168" i="17"/>
  <c r="BA121" i="17"/>
  <c r="BL9" i="17"/>
  <c r="AY123" i="17"/>
  <c r="AL181" i="17"/>
  <c r="W4" i="13"/>
  <c r="BT13" i="17"/>
  <c r="W6" i="13"/>
  <c r="AB52" i="13"/>
  <c r="W3" i="13"/>
  <c r="AA7" i="13"/>
  <c r="AA6" i="13" s="1"/>
  <c r="AA5" i="13" s="1"/>
  <c r="AA4" i="13" s="1"/>
  <c r="J6" i="17"/>
  <c r="L6" i="17" s="1"/>
  <c r="DR7" i="13"/>
  <c r="DS8" i="13"/>
  <c r="DN18" i="13" s="1"/>
  <c r="DS4" i="13"/>
  <c r="DU4" i="13" s="1"/>
  <c r="J8" i="17"/>
  <c r="L8" i="17" s="1"/>
  <c r="H9" i="17"/>
  <c r="K9" i="17"/>
  <c r="D25" i="17"/>
  <c r="C25" i="17" s="1"/>
  <c r="C23" i="17"/>
  <c r="DT7" i="13"/>
  <c r="J5" i="17"/>
  <c r="L5" i="17" s="1"/>
  <c r="I9" i="17"/>
  <c r="D17" i="17"/>
  <c r="C13" i="17" s="1"/>
  <c r="D41" i="17"/>
  <c r="C41" i="17" s="1"/>
  <c r="J7" i="17"/>
  <c r="C39" i="17"/>
  <c r="AO30" i="13"/>
  <c r="L65" i="13"/>
  <c r="K70" i="13"/>
  <c r="L68" i="13"/>
  <c r="L66" i="13"/>
  <c r="AJ27" i="13"/>
  <c r="AT25" i="9"/>
  <c r="AU25" i="9" s="1"/>
  <c r="AV25" i="9" s="1"/>
  <c r="AW25" i="9" s="1"/>
  <c r="AX25" i="9" s="1"/>
  <c r="AY25" i="9" s="1"/>
  <c r="BF24" i="9"/>
  <c r="BG24" i="9" s="1"/>
  <c r="BH24" i="9" s="1"/>
  <c r="BI24" i="9" s="1"/>
  <c r="BJ24" i="9" s="1"/>
  <c r="BK24" i="9" s="1"/>
  <c r="BE25" i="9"/>
  <c r="BR24" i="9"/>
  <c r="BS24" i="9" s="1"/>
  <c r="BT24" i="9" s="1"/>
  <c r="BU24" i="9" s="1"/>
  <c r="BV24" i="9" s="1"/>
  <c r="BW24" i="9" s="1"/>
  <c r="BQ25" i="9"/>
  <c r="AI24" i="9"/>
  <c r="AJ24" i="9" s="1"/>
  <c r="AK24" i="9" s="1"/>
  <c r="AL24" i="9" s="1"/>
  <c r="AM24" i="9" s="1"/>
  <c r="AH25" i="9"/>
  <c r="BN34" i="13"/>
  <c r="BM81" i="13"/>
  <c r="BL69" i="13"/>
  <c r="BN69" i="13"/>
  <c r="BM67" i="13"/>
  <c r="Z64" i="13"/>
  <c r="Z66" i="13" s="1"/>
  <c r="AA63" i="13"/>
  <c r="BM5" i="13"/>
  <c r="BO5" i="13" s="1"/>
  <c r="BM9" i="13"/>
  <c r="BO9" i="13" s="1"/>
  <c r="BI9" i="13" s="1"/>
  <c r="BN12" i="13"/>
  <c r="BL12" i="13"/>
  <c r="BM4" i="13"/>
  <c r="BM8" i="13"/>
  <c r="BO8" i="13" s="1"/>
  <c r="BK8" i="13" s="1"/>
  <c r="BN26" i="13"/>
  <c r="AJ25" i="13"/>
  <c r="BM32" i="13"/>
  <c r="BN82" i="13"/>
  <c r="BL33" i="13"/>
  <c r="BL82" i="13"/>
  <c r="BM7" i="13"/>
  <c r="BO7" i="13" s="1"/>
  <c r="BI7" i="13" s="1"/>
  <c r="BM11" i="13"/>
  <c r="BO11" i="13" s="1"/>
  <c r="BI11" i="13" s="1"/>
  <c r="BM23" i="13"/>
  <c r="BO23" i="13" s="1"/>
  <c r="BI23" i="13" s="1"/>
  <c r="Z41" i="13"/>
  <c r="Z42" i="13" s="1"/>
  <c r="Z43" i="13" s="1"/>
  <c r="AA40" i="13"/>
  <c r="AA49" i="13"/>
  <c r="Z50" i="13"/>
  <c r="Z52" i="13" s="1"/>
  <c r="Z57" i="13"/>
  <c r="Z58" i="13" s="1"/>
  <c r="AA56" i="13"/>
  <c r="BM6" i="13"/>
  <c r="BO6" i="13" s="1"/>
  <c r="BI6" i="13" s="1"/>
  <c r="BM10" i="13"/>
  <c r="BM22" i="13"/>
  <c r="BL26" i="13"/>
  <c r="BK60" i="13"/>
  <c r="BK56" i="13"/>
  <c r="BK54" i="13"/>
  <c r="BK59" i="13"/>
  <c r="BK55" i="13"/>
  <c r="BK53" i="13"/>
  <c r="BK58" i="13"/>
  <c r="BK57" i="13"/>
  <c r="BJ60" i="13"/>
  <c r="BJ56" i="13"/>
  <c r="BJ54" i="13"/>
  <c r="BJ59" i="13"/>
  <c r="BJ55" i="13"/>
  <c r="BJ53" i="13"/>
  <c r="BJ57" i="13"/>
  <c r="BI59" i="13"/>
  <c r="BI55" i="13"/>
  <c r="BI53" i="13"/>
  <c r="BI60" i="13"/>
  <c r="BI56" i="13"/>
  <c r="BI54" i="13"/>
  <c r="BI57" i="13"/>
  <c r="BI58" i="13"/>
  <c r="BJ58" i="13"/>
  <c r="BK25" i="13"/>
  <c r="BI25" i="13"/>
  <c r="BK24" i="13"/>
  <c r="BI24" i="13"/>
  <c r="BJ24" i="13"/>
  <c r="BE10" i="13"/>
  <c r="BD20" i="13"/>
  <c r="BD8" i="13"/>
  <c r="BE22" i="13"/>
  <c r="BC33" i="13"/>
  <c r="BC49" i="13"/>
  <c r="AJ28" i="13"/>
  <c r="AJ29" i="13"/>
  <c r="AJ30" i="13"/>
  <c r="X14" i="13"/>
  <c r="BD48" i="13"/>
  <c r="BE49" i="13"/>
  <c r="BC10" i="13"/>
  <c r="BC21" i="13"/>
  <c r="BE34" i="13"/>
  <c r="BD32" i="13"/>
  <c r="W7" i="13"/>
  <c r="Y52" i="13"/>
  <c r="Y51" i="13"/>
  <c r="Y63" i="13"/>
  <c r="Y64" i="13"/>
  <c r="Y49" i="13"/>
  <c r="Y65" i="13"/>
  <c r="Z22" i="13"/>
  <c r="W63" i="13"/>
  <c r="W52" i="13"/>
  <c r="W51" i="13"/>
  <c r="W49" i="13"/>
  <c r="W65" i="13"/>
  <c r="W64" i="13"/>
  <c r="AA33" i="13"/>
  <c r="AA35" i="13" s="1"/>
  <c r="AB24" i="13"/>
  <c r="N61" i="13"/>
  <c r="K57" i="13" s="1"/>
  <c r="Y66" i="13"/>
  <c r="K60" i="13"/>
  <c r="Y50" i="13"/>
  <c r="W50" i="13"/>
  <c r="W14" i="13"/>
  <c r="Y13" i="13"/>
  <c r="AA21" i="13"/>
  <c r="AJ8" i="13"/>
  <c r="AJ4" i="13"/>
  <c r="AJ5" i="13"/>
  <c r="AJ6" i="13"/>
  <c r="AJ7" i="13"/>
  <c r="Y14" i="13"/>
  <c r="W13" i="13"/>
  <c r="W66" i="13"/>
  <c r="AB60" i="13"/>
  <c r="L80" i="13"/>
  <c r="L77" i="13"/>
  <c r="L75" i="13"/>
  <c r="L76" i="13"/>
  <c r="L78" i="13"/>
  <c r="L90" i="13"/>
  <c r="L87" i="13"/>
  <c r="L85" i="13"/>
  <c r="L86" i="13"/>
  <c r="L88" i="13"/>
  <c r="K98" i="13"/>
  <c r="K96" i="13"/>
  <c r="K100" i="13"/>
  <c r="K95" i="13"/>
  <c r="K97" i="13"/>
  <c r="AC9" i="13"/>
  <c r="K78" i="13"/>
  <c r="K76" i="13"/>
  <c r="K80" i="13"/>
  <c r="K75" i="13"/>
  <c r="K77" i="13"/>
  <c r="M78" i="13"/>
  <c r="M76" i="13"/>
  <c r="M77" i="13"/>
  <c r="M80" i="13"/>
  <c r="M75" i="13"/>
  <c r="K88" i="13"/>
  <c r="K86" i="13"/>
  <c r="K90" i="13"/>
  <c r="K85" i="13"/>
  <c r="K87" i="13"/>
  <c r="M88" i="13"/>
  <c r="M86" i="13"/>
  <c r="M87" i="13"/>
  <c r="M90" i="13"/>
  <c r="M85" i="13"/>
  <c r="M98" i="13"/>
  <c r="M96" i="13"/>
  <c r="M97" i="13"/>
  <c r="M100" i="13"/>
  <c r="M95" i="13"/>
  <c r="L100" i="13"/>
  <c r="L97" i="13"/>
  <c r="L95" i="13"/>
  <c r="L96" i="13"/>
  <c r="L98" i="13"/>
  <c r="Y4" i="13"/>
  <c r="Y5" i="13"/>
  <c r="P61" i="13"/>
  <c r="M56" i="13" s="1"/>
  <c r="O61" i="13"/>
  <c r="L57" i="13" s="1"/>
  <c r="N50" i="13"/>
  <c r="O50" i="13" s="1"/>
  <c r="P50" i="13"/>
  <c r="P49" i="13"/>
  <c r="N49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P44" i="13"/>
  <c r="P43" i="13"/>
  <c r="P42" i="13"/>
  <c r="P41" i="13"/>
  <c r="P40" i="13"/>
  <c r="P39" i="13"/>
  <c r="P38" i="13"/>
  <c r="P37" i="13"/>
  <c r="P36" i="13"/>
  <c r="P35" i="13"/>
  <c r="P34" i="13"/>
  <c r="P33" i="13"/>
  <c r="N28" i="13"/>
  <c r="O28" i="13" s="1"/>
  <c r="N27" i="13"/>
  <c r="N26" i="13"/>
  <c r="O26" i="13" s="1"/>
  <c r="N25" i="13"/>
  <c r="P28" i="13"/>
  <c r="P27" i="13"/>
  <c r="P26" i="13"/>
  <c r="P25" i="13"/>
  <c r="P19" i="13"/>
  <c r="P18" i="13"/>
  <c r="N19" i="13"/>
  <c r="O19" i="13" s="1"/>
  <c r="N18" i="13"/>
  <c r="O18" i="13" s="1"/>
  <c r="P12" i="13"/>
  <c r="P10" i="13"/>
  <c r="P9" i="13"/>
  <c r="P8" i="13"/>
  <c r="P7" i="13"/>
  <c r="P6" i="13"/>
  <c r="P5" i="13"/>
  <c r="P4" i="13"/>
  <c r="P3" i="13"/>
  <c r="O12" i="13"/>
  <c r="N12" i="13"/>
  <c r="N10" i="13"/>
  <c r="O10" i="13" s="1"/>
  <c r="N9" i="13"/>
  <c r="O9" i="13" s="1"/>
  <c r="N8" i="13"/>
  <c r="O8" i="13" s="1"/>
  <c r="N7" i="13"/>
  <c r="O7" i="13" s="1"/>
  <c r="N6" i="13"/>
  <c r="O6" i="13" s="1"/>
  <c r="N5" i="13"/>
  <c r="O5" i="13" s="1"/>
  <c r="N4" i="13"/>
  <c r="O4" i="13" s="1"/>
  <c r="N3" i="13"/>
  <c r="O3" i="13" s="1"/>
  <c r="C93" i="13"/>
  <c r="E82" i="13"/>
  <c r="F82" i="13" s="1"/>
  <c r="E76" i="13"/>
  <c r="E77" i="13" s="1"/>
  <c r="G82" i="13"/>
  <c r="G76" i="13"/>
  <c r="W8" i="13" l="1"/>
  <c r="Q28" i="13"/>
  <c r="DN14" i="13"/>
  <c r="Y3" i="13"/>
  <c r="Y7" i="13"/>
  <c r="C24" i="17"/>
  <c r="C22" i="17"/>
  <c r="C21" i="17"/>
  <c r="DU8" i="13"/>
  <c r="ET23" i="17"/>
  <c r="EL21" i="17" s="1"/>
  <c r="FO74" i="17"/>
  <c r="FW62" i="17"/>
  <c r="FS63" i="17"/>
  <c r="DN108" i="17"/>
  <c r="DO108" i="17"/>
  <c r="DO98" i="17"/>
  <c r="ET11" i="17"/>
  <c r="EL9" i="17" s="1"/>
  <c r="EJ11" i="17"/>
  <c r="EJ4" i="17"/>
  <c r="EJ10" i="17"/>
  <c r="EJ5" i="17"/>
  <c r="EJ6" i="17"/>
  <c r="EJ7" i="17"/>
  <c r="EJ8" i="17"/>
  <c r="DM98" i="17"/>
  <c r="DL119" i="17"/>
  <c r="DP118" i="17"/>
  <c r="DL98" i="17"/>
  <c r="DP97" i="17"/>
  <c r="EL49" i="17"/>
  <c r="EL48" i="17"/>
  <c r="EL42" i="17"/>
  <c r="EL43" i="17"/>
  <c r="EL44" i="17"/>
  <c r="EL45" i="17"/>
  <c r="EL46" i="17"/>
  <c r="EL47" i="17"/>
  <c r="FT63" i="17"/>
  <c r="FO85" i="17"/>
  <c r="DM108" i="17"/>
  <c r="DL108" i="17"/>
  <c r="DP107" i="17"/>
  <c r="DO119" i="17"/>
  <c r="DN119" i="17"/>
  <c r="DN98" i="17"/>
  <c r="EJ35" i="17"/>
  <c r="EJ30" i="17"/>
  <c r="EJ36" i="17"/>
  <c r="EJ29" i="17"/>
  <c r="EJ31" i="17"/>
  <c r="EJ32" i="17"/>
  <c r="EJ33" i="17"/>
  <c r="FO96" i="17"/>
  <c r="FU63" i="17"/>
  <c r="FV63" i="17"/>
  <c r="FO107" i="17"/>
  <c r="DM119" i="17"/>
  <c r="DM100" i="17"/>
  <c r="DH97" i="17" s="1"/>
  <c r="DL100" i="17"/>
  <c r="DG97" i="17" s="1"/>
  <c r="EL36" i="17"/>
  <c r="EL30" i="17"/>
  <c r="EL31" i="17"/>
  <c r="EL29" i="17"/>
  <c r="EL35" i="17"/>
  <c r="EL32" i="17"/>
  <c r="DI26" i="17"/>
  <c r="DI25" i="17"/>
  <c r="DJ26" i="17"/>
  <c r="DJ25" i="17"/>
  <c r="Q26" i="13"/>
  <c r="DH25" i="17"/>
  <c r="DP32" i="17"/>
  <c r="DP24" i="17"/>
  <c r="DG24" i="17"/>
  <c r="CV17" i="17"/>
  <c r="DD7" i="17"/>
  <c r="DN13" i="17"/>
  <c r="DB6" i="17"/>
  <c r="CV35" i="17"/>
  <c r="DN46" i="17"/>
  <c r="DN85" i="17"/>
  <c r="DN72" i="17"/>
  <c r="DN59" i="17"/>
  <c r="DO33" i="17"/>
  <c r="DJ23" i="17"/>
  <c r="DJ24" i="17"/>
  <c r="DO13" i="17"/>
  <c r="DC6" i="17"/>
  <c r="CV44" i="17"/>
  <c r="AM72" i="17"/>
  <c r="AL60" i="17"/>
  <c r="AM99" i="17"/>
  <c r="AN65" i="17"/>
  <c r="AL277" i="17"/>
  <c r="DG25" i="17"/>
  <c r="DG23" i="17"/>
  <c r="DP27" i="17"/>
  <c r="DP26" i="17"/>
  <c r="DK26" i="17" s="1"/>
  <c r="DP12" i="17"/>
  <c r="DP45" i="17"/>
  <c r="DP84" i="17"/>
  <c r="DP71" i="17"/>
  <c r="DP58" i="17"/>
  <c r="DH23" i="17"/>
  <c r="DH24" i="17"/>
  <c r="CV26" i="17"/>
  <c r="AM105" i="17"/>
  <c r="AT61" i="17"/>
  <c r="AO60" i="17"/>
  <c r="DO46" i="17"/>
  <c r="DO85" i="17"/>
  <c r="DO72" i="17"/>
  <c r="DO59" i="17"/>
  <c r="DN33" i="17"/>
  <c r="DI23" i="17"/>
  <c r="DI24" i="17"/>
  <c r="AS60" i="17"/>
  <c r="AM83" i="17"/>
  <c r="AM60" i="17"/>
  <c r="AM93" i="17"/>
  <c r="AN59" i="17"/>
  <c r="AU59" i="17"/>
  <c r="AL279" i="17"/>
  <c r="AL271" i="17"/>
  <c r="AL273" i="17"/>
  <c r="AL275" i="17"/>
  <c r="AL278" i="17"/>
  <c r="AL272" i="17"/>
  <c r="AL274" i="17"/>
  <c r="AM289" i="17"/>
  <c r="AY219" i="17"/>
  <c r="BA217" i="17"/>
  <c r="BA220" i="17" s="1"/>
  <c r="AM195" i="17"/>
  <c r="C14" i="17"/>
  <c r="BA123" i="17"/>
  <c r="AL193" i="17"/>
  <c r="AS121" i="17"/>
  <c r="BA124" i="17"/>
  <c r="AL183" i="17"/>
  <c r="AL175" i="17"/>
  <c r="AL182" i="17"/>
  <c r="AL176" i="17"/>
  <c r="AL177" i="17"/>
  <c r="AL178" i="17"/>
  <c r="AL179" i="17"/>
  <c r="AL180" i="17"/>
  <c r="C15" i="17"/>
  <c r="C37" i="17"/>
  <c r="BB124" i="17"/>
  <c r="D31" i="17"/>
  <c r="C16" i="17"/>
  <c r="C17" i="17"/>
  <c r="L7" i="17"/>
  <c r="C40" i="17"/>
  <c r="DS7" i="13"/>
  <c r="DN17" i="13" s="1"/>
  <c r="DR6" i="13"/>
  <c r="DU7" i="13"/>
  <c r="C38" i="17"/>
  <c r="D29" i="17"/>
  <c r="DT6" i="13"/>
  <c r="J9" i="17"/>
  <c r="D33" i="17" s="1"/>
  <c r="C33" i="17" s="1"/>
  <c r="D32" i="17"/>
  <c r="D30" i="17"/>
  <c r="BI5" i="13"/>
  <c r="BK5" i="13"/>
  <c r="K58" i="13"/>
  <c r="BK11" i="13"/>
  <c r="K59" i="13"/>
  <c r="AA57" i="13"/>
  <c r="AA58" i="13" s="1"/>
  <c r="AA41" i="13"/>
  <c r="AA42" i="13" s="1"/>
  <c r="AA43" i="13" s="1"/>
  <c r="AA64" i="13"/>
  <c r="AA66" i="13" s="1"/>
  <c r="AI25" i="9"/>
  <c r="AJ25" i="9" s="1"/>
  <c r="AK25" i="9" s="1"/>
  <c r="AL25" i="9" s="1"/>
  <c r="AM25" i="9" s="1"/>
  <c r="BR25" i="9"/>
  <c r="BS25" i="9" s="1"/>
  <c r="BT25" i="9" s="1"/>
  <c r="BU25" i="9" s="1"/>
  <c r="BV25" i="9" s="1"/>
  <c r="BW25" i="9" s="1"/>
  <c r="BF25" i="9"/>
  <c r="BG25" i="9" s="1"/>
  <c r="BH25" i="9" s="1"/>
  <c r="BI25" i="9" s="1"/>
  <c r="BJ25" i="9" s="1"/>
  <c r="BK25" i="9" s="1"/>
  <c r="BJ23" i="13"/>
  <c r="BK6" i="13"/>
  <c r="BJ7" i="13"/>
  <c r="BL34" i="13"/>
  <c r="BM12" i="13"/>
  <c r="BO4" i="13"/>
  <c r="BK23" i="13"/>
  <c r="BJ9" i="13"/>
  <c r="BM68" i="13"/>
  <c r="BN70" i="13"/>
  <c r="BL70" i="13"/>
  <c r="BM82" i="13"/>
  <c r="BN35" i="13"/>
  <c r="BN37" i="13" s="1"/>
  <c r="K61" i="13"/>
  <c r="BO22" i="13"/>
  <c r="BM26" i="13"/>
  <c r="BL27" i="13" s="1"/>
  <c r="BJ22" i="13"/>
  <c r="BK7" i="13"/>
  <c r="BO10" i="13"/>
  <c r="BJ6" i="13"/>
  <c r="AA50" i="13"/>
  <c r="AA52" i="13" s="1"/>
  <c r="X50" i="13" s="1"/>
  <c r="BJ11" i="13"/>
  <c r="BL83" i="13"/>
  <c r="BN83" i="13"/>
  <c r="BM33" i="13"/>
  <c r="BK9" i="13"/>
  <c r="BJ8" i="13"/>
  <c r="BI8" i="13"/>
  <c r="BL13" i="13"/>
  <c r="BJ5" i="13"/>
  <c r="BN48" i="13"/>
  <c r="BL48" i="13"/>
  <c r="BC34" i="13"/>
  <c r="BE24" i="13"/>
  <c r="BB22" i="13" s="1"/>
  <c r="BD9" i="13"/>
  <c r="BD21" i="13"/>
  <c r="BE11" i="13"/>
  <c r="BE13" i="13" s="1"/>
  <c r="N51" i="13"/>
  <c r="K56" i="13"/>
  <c r="BD33" i="13"/>
  <c r="BE35" i="13"/>
  <c r="BC22" i="13"/>
  <c r="BC24" i="13" s="1"/>
  <c r="BC11" i="13"/>
  <c r="BE50" i="13"/>
  <c r="BD49" i="13"/>
  <c r="BC50" i="13"/>
  <c r="O49" i="13"/>
  <c r="O51" i="13" s="1"/>
  <c r="L60" i="13"/>
  <c r="L56" i="13"/>
  <c r="P29" i="13"/>
  <c r="M28" i="13" s="1"/>
  <c r="L58" i="13"/>
  <c r="L61" i="13"/>
  <c r="Y60" i="13"/>
  <c r="Y56" i="13"/>
  <c r="Y59" i="13"/>
  <c r="Y57" i="13"/>
  <c r="Y58" i="13"/>
  <c r="AA22" i="13"/>
  <c r="AB25" i="13"/>
  <c r="N29" i="13"/>
  <c r="O33" i="13"/>
  <c r="O35" i="13"/>
  <c r="O37" i="13"/>
  <c r="O39" i="13"/>
  <c r="O41" i="13"/>
  <c r="O43" i="13"/>
  <c r="M57" i="13"/>
  <c r="M58" i="13"/>
  <c r="M61" i="13"/>
  <c r="X65" i="13"/>
  <c r="X63" i="13"/>
  <c r="Z23" i="13"/>
  <c r="P20" i="13"/>
  <c r="N11" i="13"/>
  <c r="N20" i="13"/>
  <c r="K20" i="13" s="1"/>
  <c r="O25" i="13"/>
  <c r="Q25" i="13" s="1"/>
  <c r="O27" i="13"/>
  <c r="Q27" i="13" s="1"/>
  <c r="M25" i="13"/>
  <c r="N45" i="13"/>
  <c r="K45" i="13" s="1"/>
  <c r="O34" i="13"/>
  <c r="O36" i="13"/>
  <c r="O38" i="13"/>
  <c r="O40" i="13"/>
  <c r="O42" i="13"/>
  <c r="O44" i="13"/>
  <c r="P51" i="13"/>
  <c r="L59" i="13"/>
  <c r="M59" i="13"/>
  <c r="M60" i="13"/>
  <c r="X64" i="13"/>
  <c r="Z60" i="13"/>
  <c r="Q11" i="13"/>
  <c r="P45" i="13"/>
  <c r="M45" i="13" s="1"/>
  <c r="O20" i="13"/>
  <c r="L20" i="13" s="1"/>
  <c r="P11" i="13"/>
  <c r="O11" i="13"/>
  <c r="S11" i="13"/>
  <c r="R11" i="13"/>
  <c r="E78" i="13"/>
  <c r="F76" i="13"/>
  <c r="G77" i="13"/>
  <c r="B70" i="13"/>
  <c r="B69" i="13"/>
  <c r="B68" i="13"/>
  <c r="B67" i="13"/>
  <c r="B66" i="13"/>
  <c r="B65" i="13"/>
  <c r="B64" i="13"/>
  <c r="B63" i="13"/>
  <c r="D70" i="13"/>
  <c r="D69" i="13"/>
  <c r="D68" i="13"/>
  <c r="D67" i="13"/>
  <c r="D66" i="13"/>
  <c r="D65" i="13"/>
  <c r="D64" i="13"/>
  <c r="D63" i="13"/>
  <c r="E47" i="13"/>
  <c r="G47" i="13"/>
  <c r="E46" i="13"/>
  <c r="E45" i="13"/>
  <c r="F45" i="13" s="1"/>
  <c r="E44" i="13"/>
  <c r="E43" i="13"/>
  <c r="F43" i="13" s="1"/>
  <c r="E42" i="13"/>
  <c r="G46" i="13"/>
  <c r="G45" i="13"/>
  <c r="G44" i="13"/>
  <c r="G43" i="13"/>
  <c r="G42" i="13"/>
  <c r="G37" i="13"/>
  <c r="G31" i="13"/>
  <c r="C10" i="13"/>
  <c r="C20" i="13" s="1"/>
  <c r="F31" i="13" s="1"/>
  <c r="C16" i="13"/>
  <c r="C26" i="13" s="1"/>
  <c r="F37" i="13" s="1"/>
  <c r="C5" i="13"/>
  <c r="C3" i="13"/>
  <c r="C4" i="13" s="1"/>
  <c r="Y8" i="13" l="1"/>
  <c r="FV64" i="17"/>
  <c r="FO108" i="17"/>
  <c r="FU64" i="17"/>
  <c r="FO97" i="17"/>
  <c r="DN120" i="17"/>
  <c r="DO120" i="17"/>
  <c r="DM109" i="17"/>
  <c r="EL10" i="17"/>
  <c r="EL6" i="17"/>
  <c r="EL11" i="17"/>
  <c r="EL4" i="17"/>
  <c r="EL5" i="17"/>
  <c r="EL7" i="17"/>
  <c r="EL8" i="17"/>
  <c r="DN100" i="17"/>
  <c r="DI98" i="17" s="1"/>
  <c r="DG99" i="17"/>
  <c r="DG100" i="17"/>
  <c r="DG96" i="17"/>
  <c r="DH99" i="17"/>
  <c r="DH100" i="17"/>
  <c r="DH96" i="17"/>
  <c r="DM120" i="17"/>
  <c r="DL109" i="17"/>
  <c r="DP108" i="17"/>
  <c r="FT64" i="17"/>
  <c r="FO86" i="17"/>
  <c r="DG98" i="17"/>
  <c r="DP98" i="17"/>
  <c r="DP101" i="17"/>
  <c r="DL120" i="17"/>
  <c r="DP119" i="17"/>
  <c r="DH98" i="17"/>
  <c r="DJ98" i="17"/>
  <c r="DO100" i="17"/>
  <c r="DO109" i="17"/>
  <c r="DN109" i="17"/>
  <c r="FS64" i="17"/>
  <c r="FO75" i="17"/>
  <c r="FW63" i="17"/>
  <c r="EL20" i="17"/>
  <c r="EL22" i="17"/>
  <c r="EL16" i="17"/>
  <c r="EL23" i="17"/>
  <c r="EL17" i="17"/>
  <c r="EL19" i="17"/>
  <c r="EL18" i="17"/>
  <c r="BA219" i="17"/>
  <c r="AM291" i="17"/>
  <c r="AP59" i="17"/>
  <c r="AS61" i="17"/>
  <c r="AU61" i="17" s="1"/>
  <c r="AP61" i="17" s="1"/>
  <c r="AM84" i="17"/>
  <c r="AM61" i="17"/>
  <c r="DN34" i="17"/>
  <c r="DO60" i="17"/>
  <c r="DO73" i="17"/>
  <c r="DO86" i="17"/>
  <c r="DO47" i="17"/>
  <c r="AT62" i="17"/>
  <c r="AM106" i="17"/>
  <c r="AO61" i="17"/>
  <c r="DP59" i="17"/>
  <c r="DP72" i="17"/>
  <c r="DP85" i="17"/>
  <c r="DP46" i="17"/>
  <c r="DK23" i="17"/>
  <c r="AM73" i="17"/>
  <c r="AL61" i="17"/>
  <c r="DK25" i="17"/>
  <c r="X66" i="13"/>
  <c r="AM94" i="17"/>
  <c r="AN60" i="17"/>
  <c r="CV25" i="17"/>
  <c r="DP13" i="17"/>
  <c r="AU60" i="17"/>
  <c r="AP60" i="17" s="1"/>
  <c r="CV43" i="17"/>
  <c r="DC5" i="17"/>
  <c r="DO14" i="17"/>
  <c r="DO34" i="17"/>
  <c r="DN60" i="17"/>
  <c r="DN73" i="17"/>
  <c r="DN86" i="17"/>
  <c r="DN47" i="17"/>
  <c r="CV34" i="17"/>
  <c r="DB5" i="17"/>
  <c r="DN14" i="17"/>
  <c r="CV16" i="17"/>
  <c r="DD6" i="17"/>
  <c r="DK24" i="17"/>
  <c r="DP33" i="17"/>
  <c r="AL218" i="17"/>
  <c r="AR211" i="17"/>
  <c r="AM218" i="17"/>
  <c r="AR122" i="17"/>
  <c r="AL122" i="17"/>
  <c r="AR115" i="17"/>
  <c r="AL211" i="17"/>
  <c r="AR218" i="17"/>
  <c r="AN218" i="17"/>
  <c r="AS123" i="17"/>
  <c r="AM122" i="17"/>
  <c r="AM211" i="17"/>
  <c r="AL115" i="17"/>
  <c r="AO218" i="17"/>
  <c r="AN211" i="17"/>
  <c r="AM115" i="17"/>
  <c r="AR212" i="17"/>
  <c r="AL212" i="17"/>
  <c r="AN122" i="17"/>
  <c r="AL116" i="17"/>
  <c r="AO211" i="17"/>
  <c r="AP218" i="17"/>
  <c r="AR213" i="17"/>
  <c r="AR116" i="17"/>
  <c r="AN115" i="17"/>
  <c r="AM212" i="17"/>
  <c r="AL213" i="17"/>
  <c r="AL117" i="17"/>
  <c r="AO122" i="17"/>
  <c r="AR117" i="17"/>
  <c r="AP211" i="17"/>
  <c r="AN212" i="17"/>
  <c r="AM116" i="17"/>
  <c r="AO115" i="17"/>
  <c r="AM213" i="17"/>
  <c r="AR214" i="17"/>
  <c r="AL214" i="17"/>
  <c r="AN116" i="17"/>
  <c r="AS218" i="17"/>
  <c r="AO212" i="17"/>
  <c r="AQ211" i="17"/>
  <c r="AN213" i="17"/>
  <c r="AQ218" i="17"/>
  <c r="AP122" i="17"/>
  <c r="AL118" i="17"/>
  <c r="AR118" i="17"/>
  <c r="AP115" i="17"/>
  <c r="AM117" i="17"/>
  <c r="AR215" i="17"/>
  <c r="AM214" i="17"/>
  <c r="AL215" i="17"/>
  <c r="AS122" i="17"/>
  <c r="AN117" i="17"/>
  <c r="AQ115" i="17"/>
  <c r="AR119" i="17"/>
  <c r="AL119" i="17"/>
  <c r="AQ122" i="17"/>
  <c r="AP212" i="17"/>
  <c r="AR217" i="17"/>
  <c r="AL216" i="17"/>
  <c r="AS211" i="17"/>
  <c r="AO116" i="17"/>
  <c r="AM118" i="17"/>
  <c r="AM215" i="17"/>
  <c r="AR216" i="17"/>
  <c r="AO213" i="17"/>
  <c r="AN214" i="17"/>
  <c r="AM119" i="17"/>
  <c r="AR120" i="17"/>
  <c r="AO117" i="17"/>
  <c r="AS212" i="17"/>
  <c r="AQ213" i="17"/>
  <c r="AO214" i="17"/>
  <c r="AQ212" i="17"/>
  <c r="AL120" i="17"/>
  <c r="AS115" i="17"/>
  <c r="AN118" i="17"/>
  <c r="AP116" i="17"/>
  <c r="AP213" i="17"/>
  <c r="AL217" i="17"/>
  <c r="AM216" i="17"/>
  <c r="AN215" i="17"/>
  <c r="AR219" i="17"/>
  <c r="AP117" i="17"/>
  <c r="AM219" i="17"/>
  <c r="AL123" i="17"/>
  <c r="AL121" i="17"/>
  <c r="AM217" i="17"/>
  <c r="AL219" i="17"/>
  <c r="AP214" i="17"/>
  <c r="AR121" i="17"/>
  <c r="AN119" i="17"/>
  <c r="AM120" i="17"/>
  <c r="AQ116" i="17"/>
  <c r="AO118" i="17"/>
  <c r="AO215" i="17"/>
  <c r="AN216" i="17"/>
  <c r="AQ214" i="17"/>
  <c r="AM121" i="17"/>
  <c r="AR123" i="17"/>
  <c r="AQ117" i="17"/>
  <c r="AO216" i="17"/>
  <c r="AN217" i="17"/>
  <c r="AS116" i="17"/>
  <c r="AO119" i="17"/>
  <c r="AP118" i="17"/>
  <c r="AN120" i="17"/>
  <c r="AP215" i="17"/>
  <c r="AS213" i="17"/>
  <c r="AN123" i="17"/>
  <c r="AS214" i="17"/>
  <c r="AO120" i="17"/>
  <c r="AQ118" i="17"/>
  <c r="AP119" i="17"/>
  <c r="AQ215" i="17"/>
  <c r="AN219" i="17"/>
  <c r="AP216" i="17"/>
  <c r="AO217" i="17"/>
  <c r="AS118" i="17"/>
  <c r="AM123" i="17"/>
  <c r="AN121" i="17"/>
  <c r="AS117" i="17"/>
  <c r="AP120" i="17"/>
  <c r="AO121" i="17"/>
  <c r="AO219" i="17"/>
  <c r="AQ119" i="17"/>
  <c r="AS119" i="17"/>
  <c r="AP217" i="17"/>
  <c r="AQ216" i="17"/>
  <c r="AS215" i="17"/>
  <c r="AQ217" i="17"/>
  <c r="AS216" i="17"/>
  <c r="AP121" i="17"/>
  <c r="AQ120" i="17"/>
  <c r="AO123" i="17"/>
  <c r="AS120" i="17"/>
  <c r="AP219" i="17"/>
  <c r="AQ121" i="17"/>
  <c r="AQ219" i="17"/>
  <c r="AS217" i="17"/>
  <c r="AP123" i="17"/>
  <c r="AS219" i="17"/>
  <c r="AL195" i="17"/>
  <c r="AL194" i="17"/>
  <c r="AL187" i="17"/>
  <c r="AL188" i="17"/>
  <c r="AL189" i="17"/>
  <c r="AL190" i="17"/>
  <c r="AL191" i="17"/>
  <c r="AL192" i="17"/>
  <c r="AQ123" i="17"/>
  <c r="Z53" i="13"/>
  <c r="Z67" i="13"/>
  <c r="X49" i="13"/>
  <c r="X51" i="13"/>
  <c r="X52" i="13"/>
  <c r="C30" i="17"/>
  <c r="C32" i="17"/>
  <c r="C29" i="17"/>
  <c r="L9" i="17"/>
  <c r="G7" i="17" s="1"/>
  <c r="DT5" i="13"/>
  <c r="DR5" i="13"/>
  <c r="DS6" i="13"/>
  <c r="C31" i="17"/>
  <c r="M29" i="13"/>
  <c r="O45" i="13"/>
  <c r="L45" i="13" s="1"/>
  <c r="O29" i="13"/>
  <c r="L29" i="13" s="1"/>
  <c r="BM34" i="13"/>
  <c r="BL84" i="13"/>
  <c r="BK35" i="13"/>
  <c r="BM69" i="13"/>
  <c r="BL35" i="13"/>
  <c r="BN84" i="13"/>
  <c r="BK10" i="13"/>
  <c r="BI10" i="13"/>
  <c r="BO26" i="13"/>
  <c r="BK22" i="13"/>
  <c r="BI22" i="13"/>
  <c r="BK37" i="13"/>
  <c r="BK36" i="13"/>
  <c r="BK30" i="13"/>
  <c r="BK31" i="13"/>
  <c r="BK32" i="13"/>
  <c r="BK33" i="13"/>
  <c r="BK34" i="13"/>
  <c r="BM83" i="13"/>
  <c r="BL71" i="13"/>
  <c r="BN71" i="13"/>
  <c r="BO12" i="13"/>
  <c r="BJ12" i="13" s="1"/>
  <c r="BK4" i="13"/>
  <c r="BI4" i="13"/>
  <c r="BJ4" i="13"/>
  <c r="BJ10" i="13"/>
  <c r="BK48" i="13"/>
  <c r="BK47" i="13"/>
  <c r="BK41" i="13"/>
  <c r="BK42" i="13"/>
  <c r="BK43" i="13"/>
  <c r="BK44" i="13"/>
  <c r="BK45" i="13"/>
  <c r="BK46" i="13"/>
  <c r="BI48" i="13"/>
  <c r="BI47" i="13"/>
  <c r="BI41" i="13"/>
  <c r="BI42" i="13"/>
  <c r="BI43" i="13"/>
  <c r="BI44" i="13"/>
  <c r="BI45" i="13"/>
  <c r="BI46" i="13"/>
  <c r="AZ24" i="13"/>
  <c r="AZ18" i="13"/>
  <c r="AZ23" i="13"/>
  <c r="AZ19" i="13"/>
  <c r="AZ20" i="13"/>
  <c r="AZ21" i="13"/>
  <c r="BC51" i="13"/>
  <c r="BD50" i="13"/>
  <c r="BC13" i="13"/>
  <c r="AZ11" i="13" s="1"/>
  <c r="BE36" i="13"/>
  <c r="BB24" i="13"/>
  <c r="BB18" i="13"/>
  <c r="BB19" i="13"/>
  <c r="BB23" i="13"/>
  <c r="BB20" i="13"/>
  <c r="BB21" i="13"/>
  <c r="M26" i="13"/>
  <c r="M27" i="13"/>
  <c r="BB11" i="13"/>
  <c r="BE51" i="13"/>
  <c r="BD34" i="13"/>
  <c r="BB12" i="13"/>
  <c r="BB6" i="13"/>
  <c r="BB4" i="13"/>
  <c r="BB13" i="13"/>
  <c r="BB5" i="13"/>
  <c r="BB7" i="13"/>
  <c r="BB8" i="13"/>
  <c r="BB9" i="13"/>
  <c r="BD22" i="13"/>
  <c r="BD10" i="13"/>
  <c r="BC35" i="13"/>
  <c r="AZ22" i="13"/>
  <c r="BB10" i="13"/>
  <c r="W60" i="13"/>
  <c r="W59" i="13"/>
  <c r="W57" i="13"/>
  <c r="W56" i="13"/>
  <c r="W58" i="13"/>
  <c r="M20" i="13"/>
  <c r="M19" i="13"/>
  <c r="K29" i="13"/>
  <c r="K28" i="13"/>
  <c r="K26" i="13"/>
  <c r="K34" i="13"/>
  <c r="L38" i="13"/>
  <c r="L25" i="13"/>
  <c r="L39" i="13"/>
  <c r="K43" i="13"/>
  <c r="K39" i="13"/>
  <c r="K35" i="13"/>
  <c r="M43" i="13"/>
  <c r="M39" i="13"/>
  <c r="M35" i="13"/>
  <c r="L26" i="13"/>
  <c r="K25" i="13"/>
  <c r="L19" i="13"/>
  <c r="K42" i="13"/>
  <c r="K38" i="13"/>
  <c r="M44" i="13"/>
  <c r="M40" i="13"/>
  <c r="M36" i="13"/>
  <c r="L28" i="13"/>
  <c r="K18" i="13"/>
  <c r="Z24" i="13"/>
  <c r="AB27" i="13"/>
  <c r="Y25" i="13" s="1"/>
  <c r="AA23" i="13"/>
  <c r="L40" i="13"/>
  <c r="L27" i="13"/>
  <c r="K19" i="13"/>
  <c r="L41" i="13"/>
  <c r="L33" i="13"/>
  <c r="K41" i="13"/>
  <c r="K37" i="13"/>
  <c r="K33" i="13"/>
  <c r="M41" i="13"/>
  <c r="M37" i="13"/>
  <c r="M33" i="13"/>
  <c r="K27" i="13"/>
  <c r="M18" i="13"/>
  <c r="K44" i="13"/>
  <c r="K40" i="13"/>
  <c r="K36" i="13"/>
  <c r="M42" i="13"/>
  <c r="M38" i="13"/>
  <c r="M34" i="13"/>
  <c r="L18" i="13"/>
  <c r="AA60" i="13"/>
  <c r="O13" i="13"/>
  <c r="L11" i="13" s="1"/>
  <c r="P13" i="13"/>
  <c r="M11" i="13" s="1"/>
  <c r="N13" i="13"/>
  <c r="K11" i="13" s="1"/>
  <c r="E31" i="13"/>
  <c r="F47" i="13"/>
  <c r="C63" i="13"/>
  <c r="C65" i="13"/>
  <c r="C67" i="13"/>
  <c r="C69" i="13"/>
  <c r="F77" i="13"/>
  <c r="E37" i="13"/>
  <c r="F42" i="13"/>
  <c r="F44" i="13"/>
  <c r="F46" i="13"/>
  <c r="C64" i="13"/>
  <c r="C66" i="13"/>
  <c r="C68" i="13"/>
  <c r="C70" i="13"/>
  <c r="E79" i="13"/>
  <c r="G78" i="13"/>
  <c r="B71" i="13"/>
  <c r="D71" i="13"/>
  <c r="G48" i="13"/>
  <c r="D48" i="13" s="1"/>
  <c r="E48" i="13"/>
  <c r="B48" i="13" s="1"/>
  <c r="C11" i="13"/>
  <c r="E32" i="13" s="1"/>
  <c r="G32" i="13"/>
  <c r="C6" i="13"/>
  <c r="B6" i="13" s="1"/>
  <c r="DN110" i="17" l="1"/>
  <c r="DJ100" i="17"/>
  <c r="DJ99" i="17"/>
  <c r="DJ96" i="17"/>
  <c r="DJ97" i="17"/>
  <c r="DL121" i="17"/>
  <c r="DP120" i="17"/>
  <c r="DL110" i="17"/>
  <c r="DP109" i="17"/>
  <c r="DP100" i="17"/>
  <c r="FS65" i="17"/>
  <c r="FW64" i="17"/>
  <c r="FO76" i="17"/>
  <c r="DO110" i="17"/>
  <c r="FO87" i="17"/>
  <c r="FT65" i="17"/>
  <c r="DM121" i="17"/>
  <c r="DI100" i="17"/>
  <c r="DI96" i="17"/>
  <c r="DI99" i="17"/>
  <c r="DI97" i="17"/>
  <c r="DM110" i="17"/>
  <c r="DO121" i="17"/>
  <c r="DN121" i="17"/>
  <c r="FU65" i="17"/>
  <c r="FO98" i="17"/>
  <c r="FO109" i="17"/>
  <c r="FV65" i="17"/>
  <c r="DP34" i="17"/>
  <c r="L37" i="13"/>
  <c r="L36" i="13"/>
  <c r="L44" i="13"/>
  <c r="L35" i="13"/>
  <c r="L43" i="13"/>
  <c r="L34" i="13"/>
  <c r="L42" i="13"/>
  <c r="CV15" i="17"/>
  <c r="DD5" i="17"/>
  <c r="CZ9" i="17"/>
  <c r="DO15" i="17"/>
  <c r="CV42" i="17"/>
  <c r="DC9" i="17"/>
  <c r="DP14" i="17"/>
  <c r="CV24" i="17"/>
  <c r="DA9" i="17"/>
  <c r="DP47" i="17"/>
  <c r="AT63" i="17"/>
  <c r="AM107" i="17"/>
  <c r="AO62" i="17"/>
  <c r="DO87" i="17"/>
  <c r="DO61" i="17"/>
  <c r="AL291" i="17"/>
  <c r="AL290" i="17"/>
  <c r="AL285" i="17"/>
  <c r="AL287" i="17"/>
  <c r="AL289" i="17"/>
  <c r="AL283" i="17"/>
  <c r="AL284" i="17"/>
  <c r="AL286" i="17"/>
  <c r="AL288" i="17"/>
  <c r="DN15" i="17"/>
  <c r="CV33" i="17"/>
  <c r="DB9" i="17"/>
  <c r="DN48" i="17"/>
  <c r="DN87" i="17"/>
  <c r="DN74" i="17"/>
  <c r="DN61" i="17"/>
  <c r="DO35" i="17"/>
  <c r="AM74" i="17"/>
  <c r="AL62" i="17"/>
  <c r="DP86" i="17"/>
  <c r="DP73" i="17"/>
  <c r="DP60" i="17"/>
  <c r="DO48" i="17"/>
  <c r="DO74" i="17"/>
  <c r="DN35" i="17"/>
  <c r="AM85" i="17"/>
  <c r="AS62" i="17"/>
  <c r="AM62" i="17"/>
  <c r="AM95" i="17"/>
  <c r="AN61" i="17"/>
  <c r="DS5" i="13"/>
  <c r="DU5" i="13" s="1"/>
  <c r="DU6" i="13"/>
  <c r="DR9" i="13"/>
  <c r="DN16" i="13"/>
  <c r="E9" i="17"/>
  <c r="G9" i="17"/>
  <c r="F6" i="17"/>
  <c r="C5" i="17"/>
  <c r="F5" i="17"/>
  <c r="C7" i="17"/>
  <c r="C6" i="17"/>
  <c r="F8" i="17"/>
  <c r="D5" i="17"/>
  <c r="D7" i="17"/>
  <c r="D6" i="17"/>
  <c r="D8" i="17"/>
  <c r="F7" i="17"/>
  <c r="C8" i="17"/>
  <c r="G5" i="17"/>
  <c r="D9" i="17"/>
  <c r="F9" i="17"/>
  <c r="E5" i="17"/>
  <c r="E8" i="17"/>
  <c r="E6" i="17"/>
  <c r="G6" i="17"/>
  <c r="E7" i="17"/>
  <c r="G8" i="17"/>
  <c r="C9" i="17"/>
  <c r="DT9" i="13"/>
  <c r="DP5" i="13" s="1"/>
  <c r="Q29" i="13"/>
  <c r="BM84" i="13"/>
  <c r="BM35" i="13"/>
  <c r="BK12" i="13"/>
  <c r="BI12" i="13"/>
  <c r="BI26" i="13"/>
  <c r="BK26" i="13"/>
  <c r="BJ26" i="13"/>
  <c r="BL37" i="13"/>
  <c r="BM70" i="13"/>
  <c r="BN86" i="13"/>
  <c r="BL86" i="13"/>
  <c r="BL73" i="13"/>
  <c r="BI71" i="13" s="1"/>
  <c r="BM48" i="13"/>
  <c r="BJ46" i="13" s="1"/>
  <c r="BC36" i="13"/>
  <c r="BD11" i="13"/>
  <c r="AZ13" i="13"/>
  <c r="AZ4" i="13"/>
  <c r="AZ12" i="13"/>
  <c r="AZ7" i="13"/>
  <c r="AZ6" i="13"/>
  <c r="AZ5" i="13"/>
  <c r="AZ8" i="13"/>
  <c r="AZ9" i="13"/>
  <c r="AZ10" i="13"/>
  <c r="BD24" i="13"/>
  <c r="BD35" i="13"/>
  <c r="BE52" i="13"/>
  <c r="BE37" i="13"/>
  <c r="BE39" i="13" s="1"/>
  <c r="BD51" i="13"/>
  <c r="BC52" i="13"/>
  <c r="X60" i="13"/>
  <c r="X59" i="13"/>
  <c r="X56" i="13"/>
  <c r="X57" i="13"/>
  <c r="X58" i="13"/>
  <c r="AA24" i="13"/>
  <c r="Y27" i="13"/>
  <c r="Y26" i="13"/>
  <c r="Y20" i="13"/>
  <c r="Y22" i="13"/>
  <c r="Y21" i="13"/>
  <c r="Y23" i="13"/>
  <c r="Y24" i="13"/>
  <c r="Z25" i="13"/>
  <c r="Z27" i="13" s="1"/>
  <c r="Z61" i="13"/>
  <c r="AB45" i="13"/>
  <c r="Z45" i="13"/>
  <c r="K4" i="13"/>
  <c r="K8" i="13"/>
  <c r="K5" i="13"/>
  <c r="K9" i="13"/>
  <c r="K6" i="13"/>
  <c r="K3" i="13"/>
  <c r="K7" i="13"/>
  <c r="K10" i="13"/>
  <c r="M6" i="13"/>
  <c r="M10" i="13"/>
  <c r="M3" i="13"/>
  <c r="M7" i="13"/>
  <c r="M4" i="13"/>
  <c r="M8" i="13"/>
  <c r="M5" i="13"/>
  <c r="M9" i="13"/>
  <c r="L5" i="13"/>
  <c r="L9" i="13"/>
  <c r="L4" i="13"/>
  <c r="L8" i="13"/>
  <c r="L3" i="13"/>
  <c r="L7" i="13"/>
  <c r="L6" i="13"/>
  <c r="L10" i="13"/>
  <c r="F48" i="13"/>
  <c r="C48" i="13" s="1"/>
  <c r="E80" i="13"/>
  <c r="C44" i="13"/>
  <c r="B47" i="13"/>
  <c r="B44" i="13"/>
  <c r="D45" i="13"/>
  <c r="B45" i="13"/>
  <c r="D46" i="13"/>
  <c r="D42" i="13"/>
  <c r="F78" i="13"/>
  <c r="B46" i="13"/>
  <c r="B42" i="13"/>
  <c r="D43" i="13"/>
  <c r="D47" i="13"/>
  <c r="B43" i="13"/>
  <c r="D44" i="13"/>
  <c r="G79" i="13"/>
  <c r="C71" i="13"/>
  <c r="C21" i="13"/>
  <c r="F32" i="13" s="1"/>
  <c r="C12" i="13"/>
  <c r="E33" i="13" s="1"/>
  <c r="G33" i="13"/>
  <c r="B3" i="13"/>
  <c r="B4" i="13"/>
  <c r="B5" i="13"/>
  <c r="DK100" i="17" l="1"/>
  <c r="DP102" i="17"/>
  <c r="DK96" i="17"/>
  <c r="DK99" i="17"/>
  <c r="DK97" i="17"/>
  <c r="DP110" i="17"/>
  <c r="DL112" i="17"/>
  <c r="DK98" i="17"/>
  <c r="FV66" i="17"/>
  <c r="FO110" i="17"/>
  <c r="FU66" i="17"/>
  <c r="FU68" i="17" s="1"/>
  <c r="FO99" i="17"/>
  <c r="DI121" i="17"/>
  <c r="DN123" i="17"/>
  <c r="DM112" i="17"/>
  <c r="DH110" i="17" s="1"/>
  <c r="DM123" i="17"/>
  <c r="DH121" i="17" s="1"/>
  <c r="FT66" i="17"/>
  <c r="FO88" i="17"/>
  <c r="DJ110" i="17"/>
  <c r="DO112" i="17"/>
  <c r="FS66" i="17"/>
  <c r="FS68" i="17" s="1"/>
  <c r="FO77" i="17"/>
  <c r="FW65" i="17"/>
  <c r="DP121" i="17"/>
  <c r="DL123" i="17"/>
  <c r="DG121" i="17" s="1"/>
  <c r="DN112" i="17"/>
  <c r="DI110" i="17" s="1"/>
  <c r="DO123" i="17"/>
  <c r="AM96" i="17"/>
  <c r="AN62" i="17"/>
  <c r="DN36" i="17"/>
  <c r="DN38" i="17" s="1"/>
  <c r="DO75" i="17"/>
  <c r="DO77" i="17" s="1"/>
  <c r="DJ74" i="17" s="1"/>
  <c r="DO49" i="17"/>
  <c r="DO51" i="17" s="1"/>
  <c r="DP61" i="17"/>
  <c r="DP87" i="17"/>
  <c r="AU62" i="17"/>
  <c r="DN62" i="17"/>
  <c r="DN88" i="17"/>
  <c r="DN49" i="17"/>
  <c r="DN51" i="17" s="1"/>
  <c r="DI48" i="17" s="1"/>
  <c r="DO62" i="17"/>
  <c r="DO64" i="17" s="1"/>
  <c r="DJ61" i="17" s="1"/>
  <c r="DO88" i="17"/>
  <c r="DO90" i="17" s="1"/>
  <c r="DJ87" i="17" s="1"/>
  <c r="DP15" i="17"/>
  <c r="DD10" i="17"/>
  <c r="CV19" i="17"/>
  <c r="DD9" i="17"/>
  <c r="CY5" i="17" s="1"/>
  <c r="DP35" i="17"/>
  <c r="DL64" i="17"/>
  <c r="DL90" i="17"/>
  <c r="AS63" i="17"/>
  <c r="AU63" i="17" s="1"/>
  <c r="AP63" i="17" s="1"/>
  <c r="AM86" i="17"/>
  <c r="AM63" i="17"/>
  <c r="AR66" i="17"/>
  <c r="DP74" i="17"/>
  <c r="AM75" i="17"/>
  <c r="AL63" i="17"/>
  <c r="AQ66" i="17"/>
  <c r="DH48" i="17"/>
  <c r="DM51" i="17"/>
  <c r="DM18" i="17"/>
  <c r="DO36" i="17"/>
  <c r="DN75" i="17"/>
  <c r="CV37" i="17"/>
  <c r="DN16" i="17"/>
  <c r="AM108" i="17"/>
  <c r="AT64" i="17"/>
  <c r="AT66" i="17" s="1"/>
  <c r="AO63" i="17"/>
  <c r="DL51" i="17"/>
  <c r="DP48" i="17"/>
  <c r="CV28" i="17"/>
  <c r="CU24" i="17" s="1"/>
  <c r="DM38" i="17"/>
  <c r="DH35" i="17" s="1"/>
  <c r="CV46" i="17"/>
  <c r="DO16" i="17"/>
  <c r="CU15" i="17"/>
  <c r="DL38" i="17"/>
  <c r="DG35" i="17" s="1"/>
  <c r="DL77" i="17"/>
  <c r="DG74" i="17" s="1"/>
  <c r="DN9" i="13"/>
  <c r="DN8" i="13"/>
  <c r="DN4" i="13"/>
  <c r="DN7" i="13"/>
  <c r="DN6" i="13"/>
  <c r="DN15" i="13"/>
  <c r="DP9" i="13"/>
  <c r="DP4" i="13"/>
  <c r="DP8" i="13"/>
  <c r="DP7" i="13"/>
  <c r="DP6" i="13"/>
  <c r="DN5" i="13"/>
  <c r="DS9" i="13"/>
  <c r="DO5" i="13" s="1"/>
  <c r="C46" i="13"/>
  <c r="C43" i="13"/>
  <c r="C47" i="13"/>
  <c r="C45" i="13"/>
  <c r="C42" i="13"/>
  <c r="BI86" i="13"/>
  <c r="BI79" i="13"/>
  <c r="BI85" i="13"/>
  <c r="BI80" i="13"/>
  <c r="BI81" i="13"/>
  <c r="BI82" i="13"/>
  <c r="BI83" i="13"/>
  <c r="BM71" i="13"/>
  <c r="BM73" i="13" s="1"/>
  <c r="BI37" i="13"/>
  <c r="BI36" i="13"/>
  <c r="BI30" i="13"/>
  <c r="BI31" i="13"/>
  <c r="BI32" i="13"/>
  <c r="BI33" i="13"/>
  <c r="BI34" i="13"/>
  <c r="BI84" i="13"/>
  <c r="BI73" i="13"/>
  <c r="BI66" i="13"/>
  <c r="BI65" i="13"/>
  <c r="BI72" i="13"/>
  <c r="BI67" i="13"/>
  <c r="BI68" i="13"/>
  <c r="BI69" i="13"/>
  <c r="BI70" i="13"/>
  <c r="BK86" i="13"/>
  <c r="BK85" i="13"/>
  <c r="BK79" i="13"/>
  <c r="BK80" i="13"/>
  <c r="BK81" i="13"/>
  <c r="BK82" i="13"/>
  <c r="BK83" i="13"/>
  <c r="BI35" i="13"/>
  <c r="BM37" i="13"/>
  <c r="BJ35" i="13" s="1"/>
  <c r="BK84" i="13"/>
  <c r="BM86" i="13"/>
  <c r="BJ84" i="13" s="1"/>
  <c r="BN73" i="13"/>
  <c r="BJ47" i="13"/>
  <c r="BJ48" i="13"/>
  <c r="BJ41" i="13"/>
  <c r="BJ42" i="13"/>
  <c r="BJ43" i="13"/>
  <c r="BJ44" i="13"/>
  <c r="BJ45" i="13"/>
  <c r="BE53" i="13"/>
  <c r="BE55" i="13" s="1"/>
  <c r="BD36" i="13"/>
  <c r="BA24" i="13"/>
  <c r="BA23" i="13"/>
  <c r="BA18" i="13"/>
  <c r="BA19" i="13"/>
  <c r="BA20" i="13"/>
  <c r="BA21" i="13"/>
  <c r="BC37" i="13"/>
  <c r="BC53" i="13"/>
  <c r="BC55" i="13" s="1"/>
  <c r="AZ52" i="13" s="1"/>
  <c r="BB38" i="13"/>
  <c r="BB39" i="13"/>
  <c r="BB30" i="13"/>
  <c r="BB31" i="13"/>
  <c r="BB32" i="13"/>
  <c r="BB33" i="13"/>
  <c r="BB34" i="13"/>
  <c r="BB35" i="13"/>
  <c r="BD52" i="13"/>
  <c r="BB36" i="13"/>
  <c r="BB37" i="13"/>
  <c r="BA22" i="13"/>
  <c r="BD13" i="13"/>
  <c r="W27" i="13"/>
  <c r="W20" i="13"/>
  <c r="W26" i="13"/>
  <c r="W21" i="13"/>
  <c r="W22" i="13"/>
  <c r="W23" i="13"/>
  <c r="W24" i="13"/>
  <c r="AA25" i="13"/>
  <c r="W25" i="13"/>
  <c r="Y45" i="13"/>
  <c r="Y42" i="13"/>
  <c r="Y40" i="13"/>
  <c r="Y44" i="13"/>
  <c r="Y43" i="13"/>
  <c r="Y41" i="13"/>
  <c r="W45" i="13"/>
  <c r="W42" i="13"/>
  <c r="W40" i="13"/>
  <c r="W44" i="13"/>
  <c r="W43" i="13"/>
  <c r="W41" i="13"/>
  <c r="AA45" i="13"/>
  <c r="F79" i="13"/>
  <c r="E81" i="13"/>
  <c r="E83" i="13" s="1"/>
  <c r="G80" i="13"/>
  <c r="C22" i="13"/>
  <c r="F33" i="13" s="1"/>
  <c r="C13" i="13"/>
  <c r="E34" i="13" s="1"/>
  <c r="G34" i="13"/>
  <c r="FO102" i="17" l="1"/>
  <c r="CV9" i="17"/>
  <c r="DJ123" i="17"/>
  <c r="DJ117" i="17"/>
  <c r="DJ122" i="17"/>
  <c r="DJ118" i="17"/>
  <c r="DJ119" i="17"/>
  <c r="DJ120" i="17"/>
  <c r="FO80" i="17"/>
  <c r="FW66" i="17"/>
  <c r="FO78" i="17"/>
  <c r="FN78" i="17" s="1"/>
  <c r="DJ112" i="17"/>
  <c r="DJ111" i="17"/>
  <c r="DJ106" i="17"/>
  <c r="DJ107" i="17"/>
  <c r="DJ108" i="17"/>
  <c r="DJ109" i="17"/>
  <c r="FO89" i="17"/>
  <c r="FT68" i="17"/>
  <c r="DI123" i="17"/>
  <c r="DI117" i="17"/>
  <c r="DI122" i="17"/>
  <c r="DI118" i="17"/>
  <c r="DI119" i="17"/>
  <c r="DI120" i="17"/>
  <c r="FO111" i="17"/>
  <c r="DP112" i="17"/>
  <c r="DK110" i="17" s="1"/>
  <c r="DP113" i="17"/>
  <c r="FW68" i="17"/>
  <c r="FP68" i="17" s="1"/>
  <c r="DI112" i="17"/>
  <c r="DI111" i="17"/>
  <c r="DI106" i="17"/>
  <c r="DI107" i="17"/>
  <c r="DI108" i="17"/>
  <c r="DI109" i="17"/>
  <c r="DG123" i="17"/>
  <c r="DG117" i="17"/>
  <c r="DG122" i="17"/>
  <c r="DG118" i="17"/>
  <c r="DG119" i="17"/>
  <c r="DG120" i="17"/>
  <c r="DP123" i="17"/>
  <c r="DK121" i="17" s="1"/>
  <c r="DP124" i="17"/>
  <c r="FN77" i="17"/>
  <c r="DH123" i="17"/>
  <c r="DH122" i="17"/>
  <c r="DH117" i="17"/>
  <c r="DH118" i="17"/>
  <c r="DH119" i="17"/>
  <c r="DH120" i="17"/>
  <c r="DH112" i="17"/>
  <c r="DH106" i="17"/>
  <c r="DH111" i="17"/>
  <c r="DH107" i="17"/>
  <c r="DH108" i="17"/>
  <c r="DH109" i="17"/>
  <c r="DJ121" i="17"/>
  <c r="FO100" i="17"/>
  <c r="FN100" i="17" s="1"/>
  <c r="FP66" i="17"/>
  <c r="DG112" i="17"/>
  <c r="DG111" i="17"/>
  <c r="DG106" i="17"/>
  <c r="DG107" i="17"/>
  <c r="DG108" i="17"/>
  <c r="DG109" i="17"/>
  <c r="DG110" i="17"/>
  <c r="FV68" i="17"/>
  <c r="CX9" i="17"/>
  <c r="DG51" i="17"/>
  <c r="DG50" i="17"/>
  <c r="DG44" i="17"/>
  <c r="DG45" i="17"/>
  <c r="DG46" i="17"/>
  <c r="DG47" i="17"/>
  <c r="DG48" i="17"/>
  <c r="DH15" i="17"/>
  <c r="DH18" i="17"/>
  <c r="DH11" i="17"/>
  <c r="DH17" i="17"/>
  <c r="DH12" i="17"/>
  <c r="DH13" i="17"/>
  <c r="DH14" i="17"/>
  <c r="DN18" i="17"/>
  <c r="DI16" i="17" s="1"/>
  <c r="CU33" i="17"/>
  <c r="CU37" i="17"/>
  <c r="CU32" i="17"/>
  <c r="CU36" i="17"/>
  <c r="CU35" i="17"/>
  <c r="CU34" i="17"/>
  <c r="DH38" i="17"/>
  <c r="DH31" i="17"/>
  <c r="DH37" i="17"/>
  <c r="DH32" i="17"/>
  <c r="DH33" i="17"/>
  <c r="DH34" i="17"/>
  <c r="DH36" i="17"/>
  <c r="AM111" i="17"/>
  <c r="AO66" i="17"/>
  <c r="AM109" i="17"/>
  <c r="AL109" i="17" s="1"/>
  <c r="AO64" i="17"/>
  <c r="CW9" i="17"/>
  <c r="DH51" i="17"/>
  <c r="DH44" i="17"/>
  <c r="DH50" i="17"/>
  <c r="DH45" i="17"/>
  <c r="DH46" i="17"/>
  <c r="DH47" i="17"/>
  <c r="DH49" i="17"/>
  <c r="DM90" i="17"/>
  <c r="DM64" i="17"/>
  <c r="AM76" i="17"/>
  <c r="AL64" i="17"/>
  <c r="DP75" i="17"/>
  <c r="DG75" i="17"/>
  <c r="DG90" i="17"/>
  <c r="DG83" i="17"/>
  <c r="DG89" i="17"/>
  <c r="DG84" i="17"/>
  <c r="DG85" i="17"/>
  <c r="DG86" i="17"/>
  <c r="DP36" i="17"/>
  <c r="DG36" i="17"/>
  <c r="DL18" i="17"/>
  <c r="DG16" i="17" s="1"/>
  <c r="DP16" i="17"/>
  <c r="DJ90" i="17"/>
  <c r="DJ83" i="17"/>
  <c r="DJ89" i="17"/>
  <c r="DJ84" i="17"/>
  <c r="DJ85" i="17"/>
  <c r="DJ86" i="17"/>
  <c r="DJ88" i="17"/>
  <c r="DG87" i="17"/>
  <c r="DP88" i="17"/>
  <c r="DG88" i="17"/>
  <c r="DJ51" i="17"/>
  <c r="DJ44" i="17"/>
  <c r="DJ50" i="17"/>
  <c r="DJ45" i="17"/>
  <c r="DJ46" i="17"/>
  <c r="DJ47" i="17"/>
  <c r="DJ49" i="17"/>
  <c r="DI38" i="17"/>
  <c r="DI31" i="17"/>
  <c r="DI37" i="17"/>
  <c r="DI32" i="17"/>
  <c r="DI33" i="17"/>
  <c r="DI34" i="17"/>
  <c r="DI36" i="17"/>
  <c r="DG77" i="17"/>
  <c r="DG70" i="17"/>
  <c r="DG76" i="17"/>
  <c r="DG71" i="17"/>
  <c r="DG72" i="17"/>
  <c r="DG73" i="17"/>
  <c r="DG38" i="17"/>
  <c r="DG31" i="17"/>
  <c r="DG37" i="17"/>
  <c r="DG32" i="17"/>
  <c r="DG33" i="17"/>
  <c r="DG34" i="17"/>
  <c r="DO18" i="17"/>
  <c r="CU42" i="17"/>
  <c r="CU46" i="17"/>
  <c r="CU45" i="17"/>
  <c r="CU41" i="17"/>
  <c r="CU44" i="17"/>
  <c r="CU43" i="17"/>
  <c r="CU28" i="17"/>
  <c r="CU27" i="17"/>
  <c r="CU23" i="17"/>
  <c r="CU26" i="17"/>
  <c r="CU25" i="17"/>
  <c r="DG49" i="17"/>
  <c r="DP49" i="17"/>
  <c r="DP51" i="17" s="1"/>
  <c r="AL108" i="17"/>
  <c r="DN77" i="17"/>
  <c r="DI75" i="17" s="1"/>
  <c r="DO38" i="17"/>
  <c r="DJ36" i="17" s="1"/>
  <c r="DH16" i="17"/>
  <c r="AM78" i="17"/>
  <c r="AL66" i="17"/>
  <c r="AL75" i="17"/>
  <c r="AM89" i="17"/>
  <c r="AL86" i="17" s="1"/>
  <c r="AM66" i="17"/>
  <c r="AS64" i="17"/>
  <c r="AU64" i="17" s="1"/>
  <c r="AM87" i="17"/>
  <c r="AM64" i="17"/>
  <c r="AM97" i="17"/>
  <c r="AN63" i="17"/>
  <c r="DG64" i="17"/>
  <c r="DG57" i="17"/>
  <c r="DG63" i="17"/>
  <c r="DG58" i="17"/>
  <c r="DG59" i="17"/>
  <c r="DG60" i="17"/>
  <c r="DP38" i="17"/>
  <c r="DP39" i="17"/>
  <c r="DP40" i="17" s="1"/>
  <c r="CY9" i="17"/>
  <c r="CX8" i="17"/>
  <c r="CW8" i="17"/>
  <c r="CV4" i="17"/>
  <c r="CX4" i="17"/>
  <c r="CW4" i="17"/>
  <c r="CV8" i="17"/>
  <c r="CU4" i="17"/>
  <c r="CU8" i="17"/>
  <c r="CW7" i="17"/>
  <c r="CX7" i="17"/>
  <c r="CV7" i="17"/>
  <c r="CU7" i="17"/>
  <c r="CY4" i="17"/>
  <c r="CY8" i="17"/>
  <c r="CY7" i="17"/>
  <c r="CX6" i="17"/>
  <c r="CV6" i="17"/>
  <c r="CW6" i="17"/>
  <c r="CU6" i="17"/>
  <c r="CY6" i="17"/>
  <c r="CU5" i="17"/>
  <c r="CX5" i="17"/>
  <c r="CV5" i="17"/>
  <c r="CW5" i="17"/>
  <c r="CU19" i="17"/>
  <c r="CU18" i="17"/>
  <c r="CU14" i="17"/>
  <c r="CU17" i="17"/>
  <c r="CU16" i="17"/>
  <c r="CU9" i="17"/>
  <c r="DJ64" i="17"/>
  <c r="DJ57" i="17"/>
  <c r="DJ63" i="17"/>
  <c r="DJ58" i="17"/>
  <c r="DJ59" i="17"/>
  <c r="DJ60" i="17"/>
  <c r="DJ62" i="17"/>
  <c r="DI51" i="17"/>
  <c r="DI44" i="17"/>
  <c r="DI50" i="17"/>
  <c r="DI45" i="17"/>
  <c r="DI46" i="17"/>
  <c r="DI47" i="17"/>
  <c r="DI49" i="17"/>
  <c r="DI88" i="17"/>
  <c r="DN90" i="17"/>
  <c r="DI62" i="17"/>
  <c r="DN64" i="17"/>
  <c r="DH75" i="17"/>
  <c r="DM77" i="17"/>
  <c r="AP62" i="17"/>
  <c r="DP91" i="17"/>
  <c r="DP92" i="17" s="1"/>
  <c r="DP78" i="17"/>
  <c r="DP79" i="17" s="1"/>
  <c r="DG61" i="17"/>
  <c r="DP62" i="17"/>
  <c r="DG62" i="17"/>
  <c r="DJ48" i="17"/>
  <c r="DJ77" i="17"/>
  <c r="DJ70" i="17"/>
  <c r="DJ76" i="17"/>
  <c r="DJ71" i="17"/>
  <c r="DJ72" i="17"/>
  <c r="DJ73" i="17"/>
  <c r="DJ75" i="17"/>
  <c r="DI35" i="17"/>
  <c r="DO9" i="13"/>
  <c r="DO8" i="13"/>
  <c r="DO4" i="13"/>
  <c r="DO7" i="13"/>
  <c r="DO6" i="13"/>
  <c r="DU9" i="13"/>
  <c r="DN19" i="13"/>
  <c r="BJ73" i="13"/>
  <c r="BJ72" i="13"/>
  <c r="BJ65" i="13"/>
  <c r="BJ66" i="13"/>
  <c r="BJ67" i="13"/>
  <c r="BJ68" i="13"/>
  <c r="BJ69" i="13"/>
  <c r="BJ70" i="13"/>
  <c r="BJ86" i="13"/>
  <c r="BJ85" i="13"/>
  <c r="BJ79" i="13"/>
  <c r="BJ80" i="13"/>
  <c r="BJ81" i="13"/>
  <c r="BJ82" i="13"/>
  <c r="BJ83" i="13"/>
  <c r="BJ37" i="13"/>
  <c r="BJ36" i="13"/>
  <c r="BJ30" i="13"/>
  <c r="BJ31" i="13"/>
  <c r="BJ32" i="13"/>
  <c r="BJ33" i="13"/>
  <c r="BJ34" i="13"/>
  <c r="BK73" i="13"/>
  <c r="BK72" i="13"/>
  <c r="BK66" i="13"/>
  <c r="BK65" i="13"/>
  <c r="BK67" i="13"/>
  <c r="BK68" i="13"/>
  <c r="BK69" i="13"/>
  <c r="BK70" i="13"/>
  <c r="BK71" i="13"/>
  <c r="BJ71" i="13"/>
  <c r="BA13" i="13"/>
  <c r="BA4" i="13"/>
  <c r="BA6" i="13"/>
  <c r="BA12" i="13"/>
  <c r="BA5" i="13"/>
  <c r="BA7" i="13"/>
  <c r="BA8" i="13"/>
  <c r="BA9" i="13"/>
  <c r="BC14" i="13"/>
  <c r="BA10" i="13"/>
  <c r="BB54" i="13"/>
  <c r="BB55" i="13"/>
  <c r="BB46" i="13"/>
  <c r="BB47" i="13"/>
  <c r="BB48" i="13"/>
  <c r="BB49" i="13"/>
  <c r="BB50" i="13"/>
  <c r="BB51" i="13"/>
  <c r="AZ54" i="13"/>
  <c r="AZ55" i="13"/>
  <c r="AZ46" i="13"/>
  <c r="AZ47" i="13"/>
  <c r="AZ48" i="13"/>
  <c r="AZ49" i="13"/>
  <c r="AZ50" i="13"/>
  <c r="AZ51" i="13"/>
  <c r="BD53" i="13"/>
  <c r="AZ53" i="13"/>
  <c r="BA11" i="13"/>
  <c r="BB52" i="13"/>
  <c r="AZ37" i="13"/>
  <c r="BC39" i="13"/>
  <c r="BD37" i="13"/>
  <c r="BD39" i="13" s="1"/>
  <c r="BB53" i="13"/>
  <c r="AA27" i="13"/>
  <c r="X25" i="13" s="1"/>
  <c r="X44" i="13"/>
  <c r="X41" i="13"/>
  <c r="X45" i="13"/>
  <c r="X42" i="13"/>
  <c r="X40" i="13"/>
  <c r="X43" i="13"/>
  <c r="Z46" i="13"/>
  <c r="B82" i="13"/>
  <c r="B83" i="13"/>
  <c r="B77" i="13"/>
  <c r="B76" i="13"/>
  <c r="B78" i="13"/>
  <c r="B79" i="13"/>
  <c r="B81" i="13"/>
  <c r="F80" i="13"/>
  <c r="B80" i="13"/>
  <c r="G81" i="13"/>
  <c r="C23" i="13"/>
  <c r="F34" i="13" s="1"/>
  <c r="C14" i="13"/>
  <c r="E35" i="13" s="1"/>
  <c r="G35" i="13"/>
  <c r="EF14" i="9"/>
  <c r="EG11" i="9"/>
  <c r="EE10" i="9"/>
  <c r="EE5" i="9"/>
  <c r="FW69" i="17" l="1"/>
  <c r="FO113" i="17"/>
  <c r="FQ68" i="17"/>
  <c r="FN111" i="17"/>
  <c r="FO66" i="17"/>
  <c r="FN66" i="17"/>
  <c r="FR66" i="17"/>
  <c r="FN68" i="17"/>
  <c r="DK123" i="17"/>
  <c r="DK122" i="17"/>
  <c r="DK117" i="17"/>
  <c r="DK118" i="17"/>
  <c r="DK119" i="17"/>
  <c r="DK120" i="17"/>
  <c r="FR68" i="17"/>
  <c r="FQ61" i="17"/>
  <c r="FQ67" i="17"/>
  <c r="FP61" i="17"/>
  <c r="FP67" i="17"/>
  <c r="FO61" i="17"/>
  <c r="FO67" i="17"/>
  <c r="FN67" i="17"/>
  <c r="FN61" i="17"/>
  <c r="FO62" i="17"/>
  <c r="FP62" i="17"/>
  <c r="FR67" i="17"/>
  <c r="FN62" i="17"/>
  <c r="FR61" i="17"/>
  <c r="FQ62" i="17"/>
  <c r="FQ63" i="17"/>
  <c r="FP63" i="17"/>
  <c r="FO63" i="17"/>
  <c r="FR62" i="17"/>
  <c r="FN63" i="17"/>
  <c r="FR63" i="17"/>
  <c r="FP64" i="17"/>
  <c r="FN64" i="17"/>
  <c r="FO64" i="17"/>
  <c r="FQ64" i="17"/>
  <c r="FR64" i="17"/>
  <c r="FP65" i="17"/>
  <c r="FN65" i="17"/>
  <c r="FQ65" i="17"/>
  <c r="FO65" i="17"/>
  <c r="DK112" i="17"/>
  <c r="DK111" i="17"/>
  <c r="DK106" i="17"/>
  <c r="DK107" i="17"/>
  <c r="DK108" i="17"/>
  <c r="DK109" i="17"/>
  <c r="FQ66" i="17"/>
  <c r="FO91" i="17"/>
  <c r="FO68" i="17"/>
  <c r="FN89" i="17"/>
  <c r="FR65" i="17"/>
  <c r="FN80" i="17"/>
  <c r="FN73" i="17"/>
  <c r="FN79" i="17"/>
  <c r="FN74" i="17"/>
  <c r="FN75" i="17"/>
  <c r="FN76" i="17"/>
  <c r="FN99" i="17"/>
  <c r="FN102" i="17"/>
  <c r="FN95" i="17"/>
  <c r="FN101" i="17"/>
  <c r="FN96" i="17"/>
  <c r="FN97" i="17"/>
  <c r="FN98" i="17"/>
  <c r="DP52" i="17"/>
  <c r="DP53" i="17" s="1"/>
  <c r="AP64" i="17"/>
  <c r="AV67" i="17"/>
  <c r="DK51" i="17"/>
  <c r="DK50" i="17"/>
  <c r="DK44" i="17"/>
  <c r="DK45" i="17"/>
  <c r="DK46" i="17"/>
  <c r="DK47" i="17"/>
  <c r="DK48" i="17"/>
  <c r="DH77" i="17"/>
  <c r="DH76" i="17"/>
  <c r="DH70" i="17"/>
  <c r="DH71" i="17"/>
  <c r="DH72" i="17"/>
  <c r="DH73" i="17"/>
  <c r="DH74" i="17"/>
  <c r="DI64" i="17"/>
  <c r="DI63" i="17"/>
  <c r="DI57" i="17"/>
  <c r="DI58" i="17"/>
  <c r="DI59" i="17"/>
  <c r="DI60" i="17"/>
  <c r="DI61" i="17"/>
  <c r="DI90" i="17"/>
  <c r="DI89" i="17"/>
  <c r="DI83" i="17"/>
  <c r="DI84" i="17"/>
  <c r="DI85" i="17"/>
  <c r="DI86" i="17"/>
  <c r="DI87" i="17"/>
  <c r="DK35" i="17"/>
  <c r="DK38" i="17"/>
  <c r="DK37" i="17"/>
  <c r="DK31" i="17"/>
  <c r="DK32" i="17"/>
  <c r="DK33" i="17"/>
  <c r="DK34" i="17"/>
  <c r="AL87" i="17"/>
  <c r="AL78" i="17"/>
  <c r="AL77" i="17"/>
  <c r="AL71" i="17"/>
  <c r="AL72" i="17"/>
  <c r="AL73" i="17"/>
  <c r="AL74" i="17"/>
  <c r="DJ38" i="17"/>
  <c r="DJ37" i="17"/>
  <c r="DJ31" i="17"/>
  <c r="DJ32" i="17"/>
  <c r="DJ33" i="17"/>
  <c r="DJ34" i="17"/>
  <c r="DJ35" i="17"/>
  <c r="DI77" i="17"/>
  <c r="DI76" i="17"/>
  <c r="DI70" i="17"/>
  <c r="DI71" i="17"/>
  <c r="DI72" i="17"/>
  <c r="DI73" i="17"/>
  <c r="DI74" i="17"/>
  <c r="DJ18" i="17"/>
  <c r="DJ17" i="17"/>
  <c r="DJ11" i="17"/>
  <c r="DJ12" i="17"/>
  <c r="DJ13" i="17"/>
  <c r="DJ14" i="17"/>
  <c r="DJ15" i="17"/>
  <c r="DP18" i="17"/>
  <c r="DP19" i="17"/>
  <c r="DG18" i="17"/>
  <c r="DG11" i="17"/>
  <c r="DG17" i="17"/>
  <c r="DG12" i="17"/>
  <c r="DG13" i="17"/>
  <c r="DG14" i="17"/>
  <c r="DG15" i="17"/>
  <c r="DP77" i="17"/>
  <c r="DH64" i="17"/>
  <c r="DH63" i="17"/>
  <c r="DH57" i="17"/>
  <c r="DH58" i="17"/>
  <c r="DH59" i="17"/>
  <c r="DH60" i="17"/>
  <c r="DH61" i="17"/>
  <c r="DH90" i="17"/>
  <c r="DH89" i="17"/>
  <c r="DH83" i="17"/>
  <c r="DH84" i="17"/>
  <c r="DH85" i="17"/>
  <c r="DH86" i="17"/>
  <c r="DH87" i="17"/>
  <c r="DP65" i="17"/>
  <c r="DP66" i="17" s="1"/>
  <c r="AS66" i="17"/>
  <c r="AN64" i="17"/>
  <c r="AM98" i="17"/>
  <c r="AL89" i="17"/>
  <c r="AL82" i="17"/>
  <c r="AL88" i="17"/>
  <c r="AL83" i="17"/>
  <c r="AL84" i="17"/>
  <c r="AL85" i="17"/>
  <c r="DK49" i="17"/>
  <c r="DP64" i="17"/>
  <c r="DP90" i="17"/>
  <c r="DK88" i="17" s="1"/>
  <c r="DK36" i="17"/>
  <c r="AL76" i="17"/>
  <c r="DH62" i="17"/>
  <c r="DH88" i="17"/>
  <c r="AL111" i="17"/>
  <c r="AL104" i="17"/>
  <c r="AL110" i="17"/>
  <c r="AL105" i="17"/>
  <c r="AL106" i="17"/>
  <c r="AL107" i="17"/>
  <c r="DI18" i="17"/>
  <c r="DI11" i="17"/>
  <c r="DI17" i="17"/>
  <c r="DI12" i="17"/>
  <c r="DI13" i="17"/>
  <c r="DI14" i="17"/>
  <c r="DI15" i="17"/>
  <c r="DJ16" i="17"/>
  <c r="BA39" i="13"/>
  <c r="BA30" i="13"/>
  <c r="BA38" i="13"/>
  <c r="BA31" i="13"/>
  <c r="BA32" i="13"/>
  <c r="BA33" i="13"/>
  <c r="BA34" i="13"/>
  <c r="BA35" i="13"/>
  <c r="BD55" i="13"/>
  <c r="BA53" i="13" s="1"/>
  <c r="AZ39" i="13"/>
  <c r="AZ38" i="13"/>
  <c r="AZ30" i="13"/>
  <c r="AZ31" i="13"/>
  <c r="AZ32" i="13"/>
  <c r="AZ33" i="13"/>
  <c r="AZ34" i="13"/>
  <c r="AZ35" i="13"/>
  <c r="AZ36" i="13"/>
  <c r="BA36" i="13"/>
  <c r="BA37" i="13"/>
  <c r="X27" i="13"/>
  <c r="X20" i="13"/>
  <c r="X26" i="13"/>
  <c r="X21" i="13"/>
  <c r="X22" i="13"/>
  <c r="X23" i="13"/>
  <c r="Z28" i="13"/>
  <c r="X24" i="13"/>
  <c r="C15" i="13"/>
  <c r="E36" i="13" s="1"/>
  <c r="E38" i="13" s="1"/>
  <c r="F81" i="13"/>
  <c r="C94" i="13"/>
  <c r="G83" i="13"/>
  <c r="C17" i="13"/>
  <c r="C24" i="13"/>
  <c r="B14" i="13"/>
  <c r="G36" i="13"/>
  <c r="B17" i="13"/>
  <c r="B10" i="13"/>
  <c r="EE6" i="9"/>
  <c r="FN91" i="17" l="1"/>
  <c r="FN84" i="17"/>
  <c r="FN90" i="17"/>
  <c r="FN85" i="17"/>
  <c r="FN86" i="17"/>
  <c r="FN87" i="17"/>
  <c r="FN88" i="17"/>
  <c r="FN113" i="17"/>
  <c r="FN106" i="17"/>
  <c r="FN112" i="17"/>
  <c r="FN107" i="17"/>
  <c r="FN108" i="17"/>
  <c r="FN109" i="17"/>
  <c r="FN110" i="17"/>
  <c r="DK77" i="17"/>
  <c r="DK70" i="17"/>
  <c r="DK76" i="17"/>
  <c r="DK71" i="17"/>
  <c r="DK72" i="17"/>
  <c r="DK73" i="17"/>
  <c r="DK74" i="17"/>
  <c r="DK18" i="17"/>
  <c r="DK17" i="17"/>
  <c r="DK11" i="17"/>
  <c r="DK12" i="17"/>
  <c r="DK13" i="17"/>
  <c r="DK14" i="17"/>
  <c r="DK15" i="17"/>
  <c r="DK90" i="17"/>
  <c r="DP93" i="17"/>
  <c r="DK89" i="17"/>
  <c r="DK83" i="17"/>
  <c r="DK84" i="17"/>
  <c r="DK85" i="17"/>
  <c r="DK86" i="17"/>
  <c r="DK87" i="17"/>
  <c r="DK61" i="17"/>
  <c r="DK64" i="17"/>
  <c r="DK63" i="17"/>
  <c r="DK57" i="17"/>
  <c r="DK58" i="17"/>
  <c r="DK59" i="17"/>
  <c r="DK60" i="17"/>
  <c r="AM100" i="17"/>
  <c r="AL98" i="17" s="1"/>
  <c r="AN66" i="17"/>
  <c r="AU66" i="17"/>
  <c r="AP66" i="17" s="1"/>
  <c r="DK62" i="17"/>
  <c r="DK75" i="17"/>
  <c r="DK16" i="17"/>
  <c r="BA55" i="13"/>
  <c r="BA54" i="13"/>
  <c r="BA46" i="13"/>
  <c r="BA47" i="13"/>
  <c r="BA48" i="13"/>
  <c r="BA49" i="13"/>
  <c r="BA50" i="13"/>
  <c r="BA51" i="13"/>
  <c r="BA52" i="13"/>
  <c r="B38" i="13"/>
  <c r="B37" i="13"/>
  <c r="B32" i="13"/>
  <c r="B31" i="13"/>
  <c r="B33" i="13"/>
  <c r="B34" i="13"/>
  <c r="B35" i="13"/>
  <c r="C25" i="13"/>
  <c r="F36" i="13" s="1"/>
  <c r="F35" i="13"/>
  <c r="D83" i="13"/>
  <c r="D76" i="13"/>
  <c r="D82" i="13"/>
  <c r="D77" i="13"/>
  <c r="D78" i="13"/>
  <c r="D79" i="13"/>
  <c r="D80" i="13"/>
  <c r="B94" i="13"/>
  <c r="B93" i="13"/>
  <c r="B88" i="13"/>
  <c r="B87" i="13"/>
  <c r="B89" i="13"/>
  <c r="B90" i="13"/>
  <c r="B91" i="13"/>
  <c r="B92" i="13"/>
  <c r="D81" i="13"/>
  <c r="B36" i="13"/>
  <c r="F83" i="13"/>
  <c r="B16" i="13"/>
  <c r="B11" i="13"/>
  <c r="B12" i="13"/>
  <c r="B13" i="13"/>
  <c r="B15" i="13"/>
  <c r="G38" i="13"/>
  <c r="D36" i="13" s="1"/>
  <c r="EE7" i="9"/>
  <c r="DW10" i="9"/>
  <c r="DW5" i="9"/>
  <c r="DX5" i="9" s="1"/>
  <c r="AL100" i="17" l="1"/>
  <c r="AL93" i="17"/>
  <c r="AL99" i="17"/>
  <c r="AL94" i="17"/>
  <c r="AL95" i="17"/>
  <c r="AL96" i="17"/>
  <c r="AL97" i="17"/>
  <c r="C27" i="13"/>
  <c r="B27" i="13" s="1"/>
  <c r="D38" i="13"/>
  <c r="D37" i="13"/>
  <c r="D31" i="13"/>
  <c r="D32" i="13"/>
  <c r="D33" i="13"/>
  <c r="D34" i="13"/>
  <c r="D35" i="13"/>
  <c r="C83" i="13"/>
  <c r="C82" i="13"/>
  <c r="C76" i="13"/>
  <c r="C77" i="13"/>
  <c r="C78" i="13"/>
  <c r="C79" i="13"/>
  <c r="C80" i="13"/>
  <c r="F38" i="13"/>
  <c r="C35" i="13" s="1"/>
  <c r="C81" i="13"/>
  <c r="B21" i="13"/>
  <c r="B24" i="13"/>
  <c r="DW6" i="9"/>
  <c r="DY5" i="9"/>
  <c r="DX6" i="9"/>
  <c r="DX10" i="9"/>
  <c r="EE8" i="9"/>
  <c r="DW7" i="9"/>
  <c r="AZ20" i="3"/>
  <c r="AW20" i="3"/>
  <c r="AZ12" i="3"/>
  <c r="AZ13" i="3" s="1"/>
  <c r="AW12" i="3"/>
  <c r="B23" i="13" l="1"/>
  <c r="B26" i="13"/>
  <c r="B25" i="13"/>
  <c r="B22" i="13"/>
  <c r="B20" i="13"/>
  <c r="AZ14" i="3"/>
  <c r="AW13" i="3"/>
  <c r="C38" i="13"/>
  <c r="C31" i="13"/>
  <c r="C37" i="13"/>
  <c r="C32" i="13"/>
  <c r="C33" i="13"/>
  <c r="C34" i="13"/>
  <c r="C36" i="13"/>
  <c r="DW8" i="9"/>
  <c r="DY10" i="9"/>
  <c r="DY6" i="9"/>
  <c r="DZ5" i="9"/>
  <c r="DX7" i="9"/>
  <c r="EE9" i="9"/>
  <c r="EE11" i="9" s="1"/>
  <c r="DB13" i="9"/>
  <c r="DB12" i="9"/>
  <c r="DB11" i="9"/>
  <c r="DB10" i="9"/>
  <c r="DB9" i="9"/>
  <c r="DB8" i="9"/>
  <c r="DB7" i="9"/>
  <c r="DB6" i="9"/>
  <c r="DB5" i="9"/>
  <c r="DB4" i="9"/>
  <c r="DB3" i="9"/>
  <c r="DB50" i="9"/>
  <c r="DB49" i="9"/>
  <c r="DB48" i="9"/>
  <c r="DB47" i="9"/>
  <c r="DB46" i="9"/>
  <c r="DB45" i="9"/>
  <c r="DB44" i="9"/>
  <c r="DB43" i="9"/>
  <c r="DB42" i="9"/>
  <c r="DB41" i="9"/>
  <c r="DB40" i="9"/>
  <c r="DB39" i="9"/>
  <c r="DB38" i="9"/>
  <c r="DB37" i="9"/>
  <c r="DB36" i="9"/>
  <c r="DB35" i="9"/>
  <c r="DB34" i="9"/>
  <c r="DB33" i="9"/>
  <c r="DB32" i="9"/>
  <c r="DB31" i="9"/>
  <c r="DB30" i="9"/>
  <c r="DB29" i="9"/>
  <c r="DB28" i="9"/>
  <c r="DB27" i="9"/>
  <c r="DB26" i="9"/>
  <c r="DB25" i="9"/>
  <c r="DB24" i="9"/>
  <c r="DB23" i="9"/>
  <c r="DB22" i="9"/>
  <c r="DB21" i="9"/>
  <c r="DB20" i="9"/>
  <c r="DB19" i="9"/>
  <c r="DB18" i="9"/>
  <c r="DB17" i="9"/>
  <c r="DB51" i="9"/>
  <c r="CV32" i="9"/>
  <c r="AK429" i="11"/>
  <c r="DT19" i="9" s="1"/>
  <c r="AJ429" i="11"/>
  <c r="DT18" i="9" s="1"/>
  <c r="AK42" i="11"/>
  <c r="DS19" i="9" s="1"/>
  <c r="AJ42" i="11"/>
  <c r="DS18" i="9" s="1"/>
  <c r="AI429" i="11"/>
  <c r="DT12" i="9" s="1"/>
  <c r="AH429" i="11"/>
  <c r="AG429" i="11"/>
  <c r="DT11" i="9" s="1"/>
  <c r="AF429" i="11"/>
  <c r="AE429" i="11"/>
  <c r="DT10" i="9" s="1"/>
  <c r="AD429" i="11"/>
  <c r="AD430" i="11" s="1"/>
  <c r="DT9" i="9" s="1"/>
  <c r="AC429" i="11"/>
  <c r="DT8" i="9" s="1"/>
  <c r="AB429" i="11"/>
  <c r="AB430" i="11" s="1"/>
  <c r="DT7" i="9" s="1"/>
  <c r="AA429" i="11"/>
  <c r="DT6" i="9" s="1"/>
  <c r="Z429" i="11"/>
  <c r="DT5" i="9" s="1"/>
  <c r="AI42" i="11"/>
  <c r="DS12" i="9" s="1"/>
  <c r="AW14" i="3" l="1"/>
  <c r="AZ15" i="3"/>
  <c r="DX8" i="9"/>
  <c r="DY7" i="9"/>
  <c r="DZ10" i="9"/>
  <c r="DS20" i="9"/>
  <c r="DT13" i="9"/>
  <c r="DR13" i="9" s="1"/>
  <c r="DT20" i="9"/>
  <c r="DR20" i="9" s="1"/>
  <c r="EA5" i="9"/>
  <c r="DZ6" i="9"/>
  <c r="DW9" i="9"/>
  <c r="AH42" i="11"/>
  <c r="AG42" i="11"/>
  <c r="DS11" i="9" s="1"/>
  <c r="AF42" i="11"/>
  <c r="AE42" i="11"/>
  <c r="DS10" i="9" s="1"/>
  <c r="AD42" i="11"/>
  <c r="AD43" i="11" s="1"/>
  <c r="DS9" i="9" s="1"/>
  <c r="AC42" i="11"/>
  <c r="DS8" i="9" s="1"/>
  <c r="AB42" i="11"/>
  <c r="AB43" i="11" s="1"/>
  <c r="DS7" i="9" s="1"/>
  <c r="AA42" i="11"/>
  <c r="DS6" i="9" s="1"/>
  <c r="Z42" i="11"/>
  <c r="DS5" i="9" s="1"/>
  <c r="DS13" i="9" l="1"/>
  <c r="AW15" i="3"/>
  <c r="AZ16" i="3"/>
  <c r="EB5" i="9"/>
  <c r="EA6" i="9"/>
  <c r="DQ13" i="9"/>
  <c r="DQ12" i="9"/>
  <c r="DQ10" i="9"/>
  <c r="DQ8" i="9"/>
  <c r="DQ6" i="9"/>
  <c r="DY8" i="9"/>
  <c r="DX9" i="9"/>
  <c r="DX11" i="9" s="1"/>
  <c r="DR18" i="9"/>
  <c r="DR11" i="9"/>
  <c r="DR7" i="9"/>
  <c r="DQ11" i="9"/>
  <c r="DQ7" i="9"/>
  <c r="DR19" i="9"/>
  <c r="DR10" i="9"/>
  <c r="DR6" i="9"/>
  <c r="EA10" i="9"/>
  <c r="DW11" i="9"/>
  <c r="DZ7" i="9"/>
  <c r="DQ20" i="9"/>
  <c r="DQ19" i="9"/>
  <c r="DQ18" i="9"/>
  <c r="DR9" i="9"/>
  <c r="DR5" i="9"/>
  <c r="DQ9" i="9"/>
  <c r="DQ5" i="9"/>
  <c r="DR12" i="9"/>
  <c r="DR8" i="9"/>
  <c r="C9" i="3"/>
  <c r="C8" i="3"/>
  <c r="F11" i="5"/>
  <c r="D11" i="5"/>
  <c r="AW16" i="3" l="1"/>
  <c r="AZ17" i="3"/>
  <c r="DZ8" i="9"/>
  <c r="DY9" i="9"/>
  <c r="DY11" i="9" s="1"/>
  <c r="EB10" i="9"/>
  <c r="EA7" i="9"/>
  <c r="EC5" i="9"/>
  <c r="EB6" i="9"/>
  <c r="DN19" i="9"/>
  <c r="DN18" i="9"/>
  <c r="DN17" i="9"/>
  <c r="DN16" i="9"/>
  <c r="DN15" i="9"/>
  <c r="DN14" i="9"/>
  <c r="DM19" i="9"/>
  <c r="DM18" i="9"/>
  <c r="DM17" i="9"/>
  <c r="DM16" i="9"/>
  <c r="DM15" i="9"/>
  <c r="DM14" i="9"/>
  <c r="DN8" i="9"/>
  <c r="DN7" i="9"/>
  <c r="DN6" i="9"/>
  <c r="DM8" i="9"/>
  <c r="DM7" i="9"/>
  <c r="DM6" i="9"/>
  <c r="W57" i="3"/>
  <c r="W56" i="3"/>
  <c r="W55" i="3"/>
  <c r="W54" i="3"/>
  <c r="W53" i="3"/>
  <c r="W52" i="3"/>
  <c r="W51" i="3"/>
  <c r="V57" i="3"/>
  <c r="V56" i="3"/>
  <c r="V55" i="3"/>
  <c r="V54" i="3"/>
  <c r="V53" i="3"/>
  <c r="V52" i="3"/>
  <c r="V51" i="3"/>
  <c r="DM20" i="9" l="1"/>
  <c r="DK20" i="9" s="1"/>
  <c r="AZ18" i="3"/>
  <c r="AW17" i="3"/>
  <c r="DK17" i="9"/>
  <c r="DK16" i="9"/>
  <c r="DN20" i="9"/>
  <c r="EB7" i="9"/>
  <c r="EA8" i="9"/>
  <c r="EC10" i="9"/>
  <c r="DZ9" i="9"/>
  <c r="DZ11" i="9" s="1"/>
  <c r="DM9" i="9"/>
  <c r="DN9" i="9"/>
  <c r="DL8" i="9" s="1"/>
  <c r="ED5" i="9"/>
  <c r="EC6" i="9"/>
  <c r="W58" i="3"/>
  <c r="U58" i="3" s="1"/>
  <c r="V58" i="3"/>
  <c r="T58" i="3" s="1"/>
  <c r="DK14" i="9" l="1"/>
  <c r="DK18" i="9"/>
  <c r="DK19" i="9"/>
  <c r="DK15" i="9"/>
  <c r="AW18" i="3"/>
  <c r="U54" i="3"/>
  <c r="T57" i="3"/>
  <c r="T53" i="3"/>
  <c r="T54" i="3"/>
  <c r="U55" i="3"/>
  <c r="U51" i="3"/>
  <c r="T52" i="3"/>
  <c r="AZ19" i="3"/>
  <c r="U56" i="3"/>
  <c r="U52" i="3"/>
  <c r="T55" i="3"/>
  <c r="T51" i="3"/>
  <c r="U57" i="3"/>
  <c r="U53" i="3"/>
  <c r="T56" i="3"/>
  <c r="EC7" i="9"/>
  <c r="ED6" i="9"/>
  <c r="EF5" i="9"/>
  <c r="DK9" i="9"/>
  <c r="DK7" i="9"/>
  <c r="ED10" i="9"/>
  <c r="EB8" i="9"/>
  <c r="DL20" i="9"/>
  <c r="DN21" i="9"/>
  <c r="DL19" i="9"/>
  <c r="DL17" i="9"/>
  <c r="DL16" i="9"/>
  <c r="DL15" i="9"/>
  <c r="DK8" i="9"/>
  <c r="DL9" i="9"/>
  <c r="DL7" i="9"/>
  <c r="DN10" i="9"/>
  <c r="EA9" i="9"/>
  <c r="DL18" i="9"/>
  <c r="DL14" i="9"/>
  <c r="DL6" i="9"/>
  <c r="DK6" i="9"/>
  <c r="AZ21" i="3" l="1"/>
  <c r="AY19" i="3" s="1"/>
  <c r="AW19" i="3"/>
  <c r="EF10" i="9"/>
  <c r="ED7" i="9"/>
  <c r="EC8" i="9"/>
  <c r="EA11" i="9"/>
  <c r="EB9" i="9"/>
  <c r="EB11" i="9" s="1"/>
  <c r="EF6" i="9"/>
  <c r="N48" i="7"/>
  <c r="N47" i="7"/>
  <c r="N46" i="7"/>
  <c r="N45" i="7"/>
  <c r="N44" i="7"/>
  <c r="N43" i="7"/>
  <c r="N42" i="7"/>
  <c r="N41" i="7"/>
  <c r="N40" i="7"/>
  <c r="N39" i="7"/>
  <c r="N38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86" i="7"/>
  <c r="I83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4" i="3"/>
  <c r="R68" i="3"/>
  <c r="R67" i="3"/>
  <c r="Q68" i="3"/>
  <c r="Q67" i="3"/>
  <c r="Q69" i="3" l="1"/>
  <c r="O69" i="3" s="1"/>
  <c r="R69" i="3"/>
  <c r="P69" i="3" s="1"/>
  <c r="O68" i="3"/>
  <c r="AW21" i="3"/>
  <c r="AV19" i="3" s="1"/>
  <c r="AY21" i="3"/>
  <c r="AY13" i="3"/>
  <c r="AY20" i="3"/>
  <c r="AY14" i="3"/>
  <c r="AY15" i="3"/>
  <c r="AY16" i="3"/>
  <c r="AY17" i="3"/>
  <c r="AY18" i="3"/>
  <c r="EC9" i="9"/>
  <c r="ED8" i="9"/>
  <c r="EF7" i="9"/>
  <c r="CW42" i="9"/>
  <c r="CW41" i="9"/>
  <c r="CW40" i="9"/>
  <c r="CW39" i="9"/>
  <c r="CW38" i="9"/>
  <c r="CW37" i="9"/>
  <c r="CW36" i="9"/>
  <c r="CW35" i="9"/>
  <c r="CW34" i="9"/>
  <c r="CW33" i="9"/>
  <c r="CW32" i="9"/>
  <c r="CV42" i="9"/>
  <c r="CV41" i="9"/>
  <c r="CV40" i="9"/>
  <c r="CV39" i="9"/>
  <c r="CV38" i="9"/>
  <c r="CV37" i="9"/>
  <c r="CV36" i="9"/>
  <c r="CV35" i="9"/>
  <c r="CV34" i="9"/>
  <c r="CV33" i="9"/>
  <c r="CW24" i="9"/>
  <c r="CW23" i="9"/>
  <c r="CW22" i="9"/>
  <c r="CW21" i="9"/>
  <c r="CW20" i="9"/>
  <c r="CW19" i="9"/>
  <c r="CW18" i="9"/>
  <c r="CW17" i="9"/>
  <c r="CW16" i="9"/>
  <c r="CW15" i="9"/>
  <c r="CW14" i="9"/>
  <c r="CW13" i="9"/>
  <c r="CV24" i="9"/>
  <c r="CV23" i="9"/>
  <c r="CV22" i="9"/>
  <c r="CV21" i="9"/>
  <c r="CV20" i="9"/>
  <c r="CV19" i="9"/>
  <c r="CV18" i="9"/>
  <c r="CV17" i="9"/>
  <c r="CV16" i="9"/>
  <c r="CV15" i="9"/>
  <c r="CV14" i="9"/>
  <c r="CV13" i="9"/>
  <c r="CW6" i="9"/>
  <c r="CW5" i="9"/>
  <c r="CW4" i="9"/>
  <c r="CW3" i="9"/>
  <c r="CV6" i="9"/>
  <c r="CV5" i="9"/>
  <c r="CV4" i="9"/>
  <c r="CV3" i="9"/>
  <c r="AW24" i="7"/>
  <c r="O67" i="3" l="1"/>
  <c r="P67" i="3"/>
  <c r="AV21" i="3"/>
  <c r="AV20" i="3"/>
  <c r="AV13" i="3"/>
  <c r="AV14" i="3"/>
  <c r="AV15" i="3"/>
  <c r="AV16" i="3"/>
  <c r="AV17" i="3"/>
  <c r="AV18" i="3"/>
  <c r="P68" i="3"/>
  <c r="ED9" i="9"/>
  <c r="EF8" i="9"/>
  <c r="EC11" i="9"/>
  <c r="CW7" i="9"/>
  <c r="CU7" i="9" s="1"/>
  <c r="CW25" i="9"/>
  <c r="CU25" i="9" s="1"/>
  <c r="CV43" i="9"/>
  <c r="CT43" i="9" s="1"/>
  <c r="CW43" i="9"/>
  <c r="CV7" i="9"/>
  <c r="CT7" i="9" s="1"/>
  <c r="CV25" i="9"/>
  <c r="CT25" i="9" s="1"/>
  <c r="CU43" i="9" l="1"/>
  <c r="CW44" i="9"/>
  <c r="ED11" i="9"/>
  <c r="EF11" i="9" s="1"/>
  <c r="EC23" i="9" s="1"/>
  <c r="EF9" i="9"/>
  <c r="EF12" i="9" s="1"/>
  <c r="CU39" i="9"/>
  <c r="CU23" i="9"/>
  <c r="CU15" i="9"/>
  <c r="CU35" i="9"/>
  <c r="CU19" i="9"/>
  <c r="CT42" i="9"/>
  <c r="CT34" i="9"/>
  <c r="CU41" i="9"/>
  <c r="CU37" i="9"/>
  <c r="CU33" i="9"/>
  <c r="CT40" i="9"/>
  <c r="CT36" i="9"/>
  <c r="CT32" i="9"/>
  <c r="CU21" i="9"/>
  <c r="CU17" i="9"/>
  <c r="CU13" i="9"/>
  <c r="CT21" i="9"/>
  <c r="CT17" i="9"/>
  <c r="CT13" i="9"/>
  <c r="CU3" i="9"/>
  <c r="CT5" i="9"/>
  <c r="CT4" i="9"/>
  <c r="CU40" i="9"/>
  <c r="CU36" i="9"/>
  <c r="CU32" i="9"/>
  <c r="CT39" i="9"/>
  <c r="CT35" i="9"/>
  <c r="CU24" i="9"/>
  <c r="CU20" i="9"/>
  <c r="CU16" i="9"/>
  <c r="CT24" i="9"/>
  <c r="CT20" i="9"/>
  <c r="CT16" i="9"/>
  <c r="CU6" i="9"/>
  <c r="CT6" i="9"/>
  <c r="CT38" i="9"/>
  <c r="CT23" i="9"/>
  <c r="CT19" i="9"/>
  <c r="CT15" i="9"/>
  <c r="CU5" i="9"/>
  <c r="CT3" i="9"/>
  <c r="CU42" i="9"/>
  <c r="CU38" i="9"/>
  <c r="CU34" i="9"/>
  <c r="CT41" i="9"/>
  <c r="CT37" i="9"/>
  <c r="CT33" i="9"/>
  <c r="CU22" i="9"/>
  <c r="CU18" i="9"/>
  <c r="CU14" i="9"/>
  <c r="CT22" i="9"/>
  <c r="CT18" i="9"/>
  <c r="CT14" i="9"/>
  <c r="CU4" i="9"/>
  <c r="AW10" i="7"/>
  <c r="AW9" i="7"/>
  <c r="AW8" i="7"/>
  <c r="AW23" i="7"/>
  <c r="AW7" i="7"/>
  <c r="AW6" i="7"/>
  <c r="AW22" i="7"/>
  <c r="AW5" i="7"/>
  <c r="AW4" i="7"/>
  <c r="AW25" i="7" l="1"/>
  <c r="CU48" i="9"/>
  <c r="CU47" i="9"/>
  <c r="ED23" i="9"/>
  <c r="EE22" i="9"/>
  <c r="EE17" i="9"/>
  <c r="EE18" i="9"/>
  <c r="DX17" i="9"/>
  <c r="DW22" i="9"/>
  <c r="EE19" i="9"/>
  <c r="DW18" i="9"/>
  <c r="DW17" i="9"/>
  <c r="DW19" i="9"/>
  <c r="DX22" i="9"/>
  <c r="DX18" i="9"/>
  <c r="DY17" i="9"/>
  <c r="EE20" i="9"/>
  <c r="EE23" i="9"/>
  <c r="DX19" i="9"/>
  <c r="DY18" i="9"/>
  <c r="DY22" i="9"/>
  <c r="DZ17" i="9"/>
  <c r="DW20" i="9"/>
  <c r="EE21" i="9"/>
  <c r="DY19" i="9"/>
  <c r="DX20" i="9"/>
  <c r="DZ18" i="9"/>
  <c r="EA17" i="9"/>
  <c r="DZ22" i="9"/>
  <c r="DW21" i="9"/>
  <c r="DX23" i="9"/>
  <c r="DZ19" i="9"/>
  <c r="DW23" i="9"/>
  <c r="EA22" i="9"/>
  <c r="EA18" i="9"/>
  <c r="DX21" i="9"/>
  <c r="DY20" i="9"/>
  <c r="EB17" i="9"/>
  <c r="EB18" i="9"/>
  <c r="EB22" i="9"/>
  <c r="DY23" i="9"/>
  <c r="DZ20" i="9"/>
  <c r="EC17" i="9"/>
  <c r="DY21" i="9"/>
  <c r="EA19" i="9"/>
  <c r="EC18" i="9"/>
  <c r="ED17" i="9"/>
  <c r="EC22" i="9"/>
  <c r="DZ23" i="9"/>
  <c r="DZ21" i="9"/>
  <c r="EB19" i="9"/>
  <c r="EA20" i="9"/>
  <c r="ED22" i="9"/>
  <c r="EC19" i="9"/>
  <c r="EA21" i="9"/>
  <c r="ED18" i="9"/>
  <c r="EB20" i="9"/>
  <c r="EB23" i="9"/>
  <c r="EC20" i="9"/>
  <c r="ED19" i="9"/>
  <c r="EA23" i="9"/>
  <c r="EB21" i="9"/>
  <c r="ED20" i="9"/>
  <c r="EC21" i="9"/>
  <c r="ED21" i="9"/>
  <c r="CT48" i="9"/>
  <c r="CT47" i="9"/>
  <c r="AW11" i="7"/>
  <c r="CN3" i="9"/>
  <c r="CN4" i="9" s="1"/>
  <c r="CN5" i="9" s="1"/>
  <c r="M1437" i="12"/>
  <c r="M1436" i="12"/>
  <c r="M1435" i="12"/>
  <c r="M1434" i="12"/>
  <c r="M1433" i="12"/>
  <c r="M1432" i="12"/>
  <c r="M1431" i="12"/>
  <c r="M1430" i="12"/>
  <c r="M1429" i="12"/>
  <c r="M1428" i="12"/>
  <c r="M1427" i="12"/>
  <c r="M1426" i="12"/>
  <c r="M1425" i="12"/>
  <c r="M1424" i="12"/>
  <c r="M1423" i="12"/>
  <c r="M1422" i="12"/>
  <c r="M1421" i="12"/>
  <c r="M1420" i="12"/>
  <c r="M1419" i="12"/>
  <c r="M1418" i="12"/>
  <c r="M1417" i="12"/>
  <c r="M1416" i="12"/>
  <c r="M1415" i="12"/>
  <c r="M1414" i="12"/>
  <c r="M1413" i="12"/>
  <c r="M1412" i="12"/>
  <c r="M1411" i="12"/>
  <c r="M1410" i="12"/>
  <c r="M1409" i="12"/>
  <c r="M1408" i="12"/>
  <c r="M1407" i="12"/>
  <c r="M1406" i="12"/>
  <c r="M1405" i="12"/>
  <c r="M1404" i="12"/>
  <c r="M1403" i="12"/>
  <c r="M1402" i="12"/>
  <c r="M1401" i="12"/>
  <c r="M1400" i="12"/>
  <c r="M1399" i="12"/>
  <c r="M1398" i="12"/>
  <c r="M1397" i="12"/>
  <c r="M1396" i="12"/>
  <c r="M1395" i="12"/>
  <c r="M1394" i="12"/>
  <c r="M1393" i="12"/>
  <c r="M1392" i="12"/>
  <c r="M1391" i="12"/>
  <c r="M1390" i="12"/>
  <c r="M1389" i="12"/>
  <c r="M1388" i="12"/>
  <c r="M1387" i="12"/>
  <c r="M1386" i="12"/>
  <c r="M1385" i="12"/>
  <c r="M1384" i="12"/>
  <c r="M1383" i="12"/>
  <c r="M1382" i="12"/>
  <c r="M1381" i="12"/>
  <c r="M1380" i="12"/>
  <c r="M1379" i="12"/>
  <c r="M1378" i="12"/>
  <c r="M1377" i="12"/>
  <c r="M1376" i="12"/>
  <c r="M1375" i="12"/>
  <c r="M1374" i="12"/>
  <c r="M1373" i="12"/>
  <c r="M1372" i="12"/>
  <c r="M1371" i="12"/>
  <c r="M1370" i="12"/>
  <c r="M1369" i="12"/>
  <c r="M1368" i="12"/>
  <c r="M1367" i="12"/>
  <c r="M1366" i="12"/>
  <c r="M1365" i="12"/>
  <c r="M1364" i="12"/>
  <c r="M1363" i="12"/>
  <c r="M1362" i="12"/>
  <c r="M1361" i="12"/>
  <c r="M1360" i="12"/>
  <c r="M1359" i="12"/>
  <c r="M1358" i="12"/>
  <c r="M1357" i="12"/>
  <c r="M1356" i="12"/>
  <c r="M1355" i="12"/>
  <c r="M1354" i="12"/>
  <c r="M1353" i="12"/>
  <c r="M1352" i="12"/>
  <c r="M1351" i="12"/>
  <c r="M1350" i="12"/>
  <c r="M1349" i="12"/>
  <c r="M1348" i="12"/>
  <c r="M1347" i="12"/>
  <c r="M1346" i="12"/>
  <c r="M1345" i="12"/>
  <c r="M1344" i="12"/>
  <c r="M1343" i="12"/>
  <c r="M1342" i="12"/>
  <c r="M1341" i="12"/>
  <c r="M1340" i="12"/>
  <c r="M1339" i="12"/>
  <c r="M1338" i="12"/>
  <c r="M1337" i="12"/>
  <c r="M1336" i="12"/>
  <c r="M1335" i="12"/>
  <c r="M1334" i="12"/>
  <c r="M1333" i="12"/>
  <c r="M1332" i="12"/>
  <c r="M1331" i="12"/>
  <c r="M1330" i="12"/>
  <c r="M1329" i="12"/>
  <c r="M1328" i="12"/>
  <c r="M1327" i="12"/>
  <c r="M1326" i="12"/>
  <c r="M1325" i="12"/>
  <c r="M1324" i="12"/>
  <c r="M1323" i="12"/>
  <c r="M1322" i="12"/>
  <c r="M1321" i="12"/>
  <c r="M1320" i="12"/>
  <c r="M1319" i="12"/>
  <c r="M1318" i="12"/>
  <c r="M1317" i="12"/>
  <c r="M1316" i="12"/>
  <c r="M1315" i="12"/>
  <c r="M1314" i="12"/>
  <c r="M1313" i="12"/>
  <c r="M1312" i="12"/>
  <c r="M1311" i="12"/>
  <c r="M1310" i="12"/>
  <c r="M1309" i="12"/>
  <c r="M1308" i="12"/>
  <c r="M1307" i="12"/>
  <c r="M1306" i="12"/>
  <c r="M1305" i="12"/>
  <c r="M1304" i="12"/>
  <c r="M1303" i="12"/>
  <c r="M1302" i="12"/>
  <c r="M1301" i="12"/>
  <c r="M1300" i="12"/>
  <c r="M1299" i="12"/>
  <c r="M1298" i="12"/>
  <c r="M1297" i="12"/>
  <c r="M1296" i="12"/>
  <c r="M1295" i="12"/>
  <c r="M1294" i="12"/>
  <c r="M1293" i="12"/>
  <c r="M1292" i="12"/>
  <c r="M1291" i="12"/>
  <c r="M1290" i="12"/>
  <c r="M1289" i="12"/>
  <c r="M1288" i="12"/>
  <c r="M1287" i="12"/>
  <c r="M1286" i="12"/>
  <c r="M1285" i="12"/>
  <c r="M1284" i="12"/>
  <c r="M1283" i="12"/>
  <c r="M1282" i="12"/>
  <c r="M1281" i="12"/>
  <c r="M1280" i="12"/>
  <c r="M1279" i="12"/>
  <c r="M1278" i="12"/>
  <c r="M1277" i="12"/>
  <c r="M1276" i="12"/>
  <c r="M1275" i="12"/>
  <c r="M1274" i="12"/>
  <c r="M1273" i="12"/>
  <c r="M1272" i="12"/>
  <c r="M1271" i="12"/>
  <c r="M1270" i="12"/>
  <c r="M1269" i="12"/>
  <c r="M1268" i="12"/>
  <c r="M1267" i="12"/>
  <c r="M1266" i="12"/>
  <c r="M1265" i="12"/>
  <c r="M1264" i="12"/>
  <c r="M1263" i="12"/>
  <c r="M1262" i="12"/>
  <c r="M1261" i="12"/>
  <c r="M1260" i="12"/>
  <c r="M1259" i="12"/>
  <c r="M1258" i="12"/>
  <c r="M1257" i="12"/>
  <c r="M1256" i="12"/>
  <c r="M1255" i="12"/>
  <c r="M1254" i="12"/>
  <c r="M1253" i="12"/>
  <c r="M1252" i="12"/>
  <c r="M1251" i="12"/>
  <c r="M1250" i="12"/>
  <c r="M1249" i="12"/>
  <c r="M1248" i="12"/>
  <c r="M1247" i="12"/>
  <c r="M1246" i="12"/>
  <c r="M1245" i="12"/>
  <c r="M1244" i="12"/>
  <c r="M1243" i="12"/>
  <c r="M1242" i="12"/>
  <c r="M1241" i="12"/>
  <c r="M1240" i="12"/>
  <c r="M1239" i="12"/>
  <c r="M1238" i="12"/>
  <c r="M1237" i="12"/>
  <c r="M1236" i="12"/>
  <c r="M1235" i="12"/>
  <c r="M1234" i="12"/>
  <c r="M1233" i="12"/>
  <c r="M1232" i="12"/>
  <c r="M1231" i="12"/>
  <c r="M1230" i="12"/>
  <c r="M1229" i="12"/>
  <c r="M1228" i="12"/>
  <c r="M1227" i="12"/>
  <c r="M1226" i="12"/>
  <c r="M1225" i="12"/>
  <c r="M1224" i="12"/>
  <c r="M1223" i="12"/>
  <c r="M1222" i="12"/>
  <c r="M1221" i="12"/>
  <c r="M1220" i="12"/>
  <c r="M1219" i="12"/>
  <c r="M1218" i="12"/>
  <c r="M1217" i="12"/>
  <c r="M1216" i="12"/>
  <c r="M1215" i="12"/>
  <c r="M1214" i="12"/>
  <c r="M1213" i="12"/>
  <c r="M1212" i="12"/>
  <c r="M1211" i="12"/>
  <c r="M1210" i="12"/>
  <c r="M1209" i="12"/>
  <c r="M1208" i="12"/>
  <c r="M1207" i="12"/>
  <c r="M1206" i="12"/>
  <c r="M1205" i="12"/>
  <c r="M1204" i="12"/>
  <c r="M1203" i="12"/>
  <c r="M1202" i="12"/>
  <c r="M1201" i="12"/>
  <c r="M1200" i="12"/>
  <c r="M1199" i="12"/>
  <c r="M1198" i="12"/>
  <c r="M1197" i="12"/>
  <c r="M1196" i="12"/>
  <c r="M1195" i="12"/>
  <c r="M1194" i="12"/>
  <c r="M1193" i="12"/>
  <c r="M1192" i="12"/>
  <c r="M1191" i="12"/>
  <c r="M1190" i="12"/>
  <c r="M1189" i="12"/>
  <c r="M1188" i="12"/>
  <c r="M1187" i="12"/>
  <c r="M1186" i="12"/>
  <c r="M1185" i="12"/>
  <c r="M1184" i="12"/>
  <c r="M1183" i="12"/>
  <c r="M1182" i="12"/>
  <c r="M1181" i="12"/>
  <c r="M1180" i="12"/>
  <c r="M1179" i="12"/>
  <c r="M1178" i="12"/>
  <c r="M1177" i="12"/>
  <c r="M1176" i="12"/>
  <c r="M1175" i="12"/>
  <c r="M1174" i="12"/>
  <c r="M1173" i="12"/>
  <c r="M1172" i="12"/>
  <c r="M1171" i="12"/>
  <c r="M1170" i="12"/>
  <c r="M1169" i="12"/>
  <c r="M1168" i="12"/>
  <c r="M1167" i="12"/>
  <c r="M1166" i="12"/>
  <c r="M1165" i="12"/>
  <c r="M1164" i="12"/>
  <c r="M1163" i="12"/>
  <c r="M1162" i="12"/>
  <c r="M1161" i="12"/>
  <c r="M1160" i="12"/>
  <c r="M1159" i="12"/>
  <c r="M1158" i="12"/>
  <c r="M1157" i="12"/>
  <c r="M1156" i="12"/>
  <c r="M1155" i="12"/>
  <c r="M1154" i="12"/>
  <c r="M1153" i="12"/>
  <c r="M1152" i="12"/>
  <c r="M1151" i="12"/>
  <c r="M1150" i="12"/>
  <c r="M1149" i="12"/>
  <c r="M1148" i="12"/>
  <c r="M1147" i="12"/>
  <c r="M1146" i="12"/>
  <c r="M1145" i="12"/>
  <c r="M1144" i="12"/>
  <c r="M1143" i="12"/>
  <c r="M1142" i="12"/>
  <c r="M1141" i="12"/>
  <c r="M1140" i="12"/>
  <c r="M1139" i="12"/>
  <c r="M1138" i="12"/>
  <c r="M1137" i="12"/>
  <c r="M1136" i="12"/>
  <c r="M1135" i="12"/>
  <c r="M1134" i="12"/>
  <c r="M1133" i="12"/>
  <c r="M1132" i="12"/>
  <c r="M1131" i="12"/>
  <c r="M1130" i="12"/>
  <c r="M1129" i="12"/>
  <c r="M1128" i="12"/>
  <c r="M1127" i="12"/>
  <c r="M1126" i="12"/>
  <c r="M1125" i="12"/>
  <c r="M1124" i="12"/>
  <c r="M1123" i="12"/>
  <c r="M1122" i="12"/>
  <c r="M1121" i="12"/>
  <c r="M1120" i="12"/>
  <c r="M1119" i="12"/>
  <c r="M1118" i="12"/>
  <c r="M1117" i="12"/>
  <c r="M1116" i="12"/>
  <c r="M1115" i="12"/>
  <c r="M1114" i="12"/>
  <c r="M1113" i="12"/>
  <c r="M1112" i="12"/>
  <c r="M1111" i="12"/>
  <c r="M1110" i="12"/>
  <c r="M1109" i="12"/>
  <c r="M1108" i="12"/>
  <c r="M1107" i="12"/>
  <c r="M1106" i="12"/>
  <c r="M1105" i="12"/>
  <c r="M1104" i="12"/>
  <c r="M1103" i="12"/>
  <c r="M1102" i="12"/>
  <c r="M1101" i="12"/>
  <c r="M1100" i="12"/>
  <c r="M1099" i="12"/>
  <c r="M1098" i="12"/>
  <c r="M1097" i="12"/>
  <c r="M1096" i="12"/>
  <c r="M1095" i="12"/>
  <c r="M1094" i="12"/>
  <c r="M1093" i="12"/>
  <c r="M1092" i="12"/>
  <c r="M1091" i="12"/>
  <c r="M1090" i="12"/>
  <c r="M1089" i="12"/>
  <c r="M1088" i="12"/>
  <c r="M1087" i="12"/>
  <c r="M1086" i="12"/>
  <c r="M1085" i="12"/>
  <c r="M1084" i="12"/>
  <c r="M1083" i="12"/>
  <c r="M1082" i="12"/>
  <c r="M1081" i="12"/>
  <c r="M1080" i="12"/>
  <c r="M1079" i="12"/>
  <c r="M1078" i="12"/>
  <c r="M1077" i="12"/>
  <c r="M1076" i="12"/>
  <c r="M1075" i="12"/>
  <c r="M1074" i="12"/>
  <c r="M1073" i="12"/>
  <c r="M1072" i="12"/>
  <c r="M1071" i="12"/>
  <c r="M1070" i="12"/>
  <c r="M1069" i="12"/>
  <c r="M1068" i="12"/>
  <c r="M1067" i="12"/>
  <c r="M1066" i="12"/>
  <c r="M1065" i="12"/>
  <c r="M1064" i="12"/>
  <c r="M1063" i="12"/>
  <c r="M1062" i="12"/>
  <c r="M1061" i="12"/>
  <c r="M1060" i="12"/>
  <c r="M1059" i="12"/>
  <c r="M1058" i="12"/>
  <c r="M1057" i="12"/>
  <c r="M1056" i="12"/>
  <c r="M1055" i="12"/>
  <c r="M1054" i="12"/>
  <c r="M1053" i="12"/>
  <c r="M1052" i="12"/>
  <c r="M1051" i="12"/>
  <c r="M1050" i="12"/>
  <c r="M1049" i="12"/>
  <c r="M1048" i="12"/>
  <c r="M1047" i="12"/>
  <c r="M1046" i="12"/>
  <c r="M1045" i="12"/>
  <c r="M1044" i="12"/>
  <c r="M1043" i="12"/>
  <c r="M1042" i="12"/>
  <c r="M1041" i="12"/>
  <c r="M1040" i="12"/>
  <c r="M1039" i="12"/>
  <c r="M1038" i="12"/>
  <c r="M1037" i="12"/>
  <c r="M1036" i="12"/>
  <c r="M1035" i="12"/>
  <c r="M1034" i="12"/>
  <c r="M1033" i="12"/>
  <c r="M1032" i="12"/>
  <c r="M1031" i="12"/>
  <c r="M1030" i="12"/>
  <c r="M1029" i="12"/>
  <c r="M1028" i="12"/>
  <c r="M1027" i="12"/>
  <c r="M1026" i="12"/>
  <c r="M1025" i="12"/>
  <c r="M1024" i="12"/>
  <c r="M1023" i="12"/>
  <c r="M1022" i="12"/>
  <c r="M1021" i="12"/>
  <c r="M1020" i="12"/>
  <c r="M1019" i="12"/>
  <c r="M1018" i="12"/>
  <c r="M1017" i="12"/>
  <c r="M1016" i="12"/>
  <c r="M1015" i="12"/>
  <c r="M1014" i="12"/>
  <c r="M1013" i="12"/>
  <c r="M1012" i="12"/>
  <c r="M1011" i="12"/>
  <c r="M1010" i="12"/>
  <c r="M1009" i="12"/>
  <c r="M1008" i="12"/>
  <c r="M1007" i="12"/>
  <c r="M1006" i="12"/>
  <c r="M1005" i="12"/>
  <c r="M1004" i="12"/>
  <c r="M1003" i="12"/>
  <c r="M1002" i="12"/>
  <c r="M1001" i="12"/>
  <c r="M1000" i="12"/>
  <c r="M999" i="12"/>
  <c r="M998" i="12"/>
  <c r="M997" i="12"/>
  <c r="M996" i="12"/>
  <c r="M995" i="12"/>
  <c r="M994" i="12"/>
  <c r="M993" i="12"/>
  <c r="M992" i="12"/>
  <c r="M991" i="12"/>
  <c r="M990" i="12"/>
  <c r="M989" i="12"/>
  <c r="M988" i="12"/>
  <c r="M987" i="12"/>
  <c r="M986" i="12"/>
  <c r="M985" i="12"/>
  <c r="M984" i="12"/>
  <c r="M983" i="12"/>
  <c r="M982" i="12"/>
  <c r="M981" i="12"/>
  <c r="M980" i="12"/>
  <c r="M979" i="12"/>
  <c r="M978" i="12"/>
  <c r="M977" i="12"/>
  <c r="M976" i="12"/>
  <c r="M975" i="12"/>
  <c r="M974" i="12"/>
  <c r="M973" i="12"/>
  <c r="M972" i="12"/>
  <c r="M971" i="12"/>
  <c r="M970" i="12"/>
  <c r="M969" i="12"/>
  <c r="M968" i="12"/>
  <c r="M967" i="12"/>
  <c r="M966" i="12"/>
  <c r="M965" i="12"/>
  <c r="M964" i="12"/>
  <c r="M963" i="12"/>
  <c r="M962" i="12"/>
  <c r="M961" i="12"/>
  <c r="M960" i="12"/>
  <c r="M959" i="12"/>
  <c r="M958" i="12"/>
  <c r="M957" i="12"/>
  <c r="M956" i="12"/>
  <c r="M955" i="12"/>
  <c r="M954" i="12"/>
  <c r="M953" i="12"/>
  <c r="M952" i="12"/>
  <c r="M951" i="12"/>
  <c r="M950" i="12"/>
  <c r="M949" i="12"/>
  <c r="M948" i="12"/>
  <c r="M947" i="12"/>
  <c r="M946" i="12"/>
  <c r="M945" i="12"/>
  <c r="M944" i="12"/>
  <c r="M943" i="12"/>
  <c r="M942" i="12"/>
  <c r="M941" i="12"/>
  <c r="M940" i="12"/>
  <c r="M939" i="12"/>
  <c r="M938" i="12"/>
  <c r="M937" i="12"/>
  <c r="M936" i="12"/>
  <c r="M935" i="12"/>
  <c r="M934" i="12"/>
  <c r="M933" i="12"/>
  <c r="M932" i="12"/>
  <c r="M931" i="12"/>
  <c r="M930" i="12"/>
  <c r="M929" i="12"/>
  <c r="M928" i="12"/>
  <c r="M927" i="12"/>
  <c r="M926" i="12"/>
  <c r="M925" i="12"/>
  <c r="M924" i="12"/>
  <c r="M923" i="12"/>
  <c r="M922" i="12"/>
  <c r="M921" i="12"/>
  <c r="M920" i="12"/>
  <c r="M919" i="12"/>
  <c r="M918" i="12"/>
  <c r="M917" i="12"/>
  <c r="M916" i="12"/>
  <c r="M915" i="12"/>
  <c r="M914" i="12"/>
  <c r="M913" i="12"/>
  <c r="M912" i="12"/>
  <c r="M911" i="12"/>
  <c r="M910" i="12"/>
  <c r="M909" i="12"/>
  <c r="M908" i="12"/>
  <c r="M907" i="12"/>
  <c r="M906" i="12"/>
  <c r="M905" i="12"/>
  <c r="M904" i="12"/>
  <c r="M903" i="12"/>
  <c r="M902" i="12"/>
  <c r="M901" i="12"/>
  <c r="M900" i="12"/>
  <c r="M899" i="12"/>
  <c r="M898" i="12"/>
  <c r="M897" i="12"/>
  <c r="M896" i="12"/>
  <c r="M895" i="12"/>
  <c r="M894" i="12"/>
  <c r="M893" i="12"/>
  <c r="M892" i="12"/>
  <c r="M891" i="12"/>
  <c r="M890" i="12"/>
  <c r="M889" i="12"/>
  <c r="M888" i="12"/>
  <c r="M887" i="12"/>
  <c r="M886" i="12"/>
  <c r="M885" i="12"/>
  <c r="M884" i="12"/>
  <c r="M883" i="12"/>
  <c r="M882" i="12"/>
  <c r="M881" i="12"/>
  <c r="M880" i="12"/>
  <c r="M879" i="12"/>
  <c r="M878" i="12"/>
  <c r="M877" i="12"/>
  <c r="M876" i="12"/>
  <c r="M875" i="12"/>
  <c r="M874" i="12"/>
  <c r="M873" i="12"/>
  <c r="M872" i="12"/>
  <c r="M871" i="12"/>
  <c r="M870" i="12"/>
  <c r="M869" i="12"/>
  <c r="M868" i="12"/>
  <c r="M867" i="12"/>
  <c r="M866" i="12"/>
  <c r="M865" i="12"/>
  <c r="M864" i="12"/>
  <c r="M863" i="12"/>
  <c r="M862" i="12"/>
  <c r="M861" i="12"/>
  <c r="M860" i="12"/>
  <c r="M859" i="12"/>
  <c r="M858" i="12"/>
  <c r="M857" i="12"/>
  <c r="M856" i="12"/>
  <c r="M855" i="12"/>
  <c r="M854" i="12"/>
  <c r="M853" i="12"/>
  <c r="M852" i="12"/>
  <c r="M851" i="12"/>
  <c r="M850" i="12"/>
  <c r="M849" i="12"/>
  <c r="M848" i="12"/>
  <c r="M847" i="12"/>
  <c r="M846" i="12"/>
  <c r="M845" i="12"/>
  <c r="M844" i="12"/>
  <c r="M843" i="12"/>
  <c r="M842" i="12"/>
  <c r="M841" i="12"/>
  <c r="M840" i="12"/>
  <c r="M839" i="12"/>
  <c r="M838" i="12"/>
  <c r="M837" i="12"/>
  <c r="M836" i="12"/>
  <c r="M835" i="12"/>
  <c r="M834" i="12"/>
  <c r="M833" i="12"/>
  <c r="M832" i="12"/>
  <c r="M831" i="12"/>
  <c r="M830" i="12"/>
  <c r="M829" i="12"/>
  <c r="M828" i="12"/>
  <c r="M827" i="12"/>
  <c r="M826" i="12"/>
  <c r="M825" i="12"/>
  <c r="M824" i="12"/>
  <c r="M823" i="12"/>
  <c r="M822" i="12"/>
  <c r="M821" i="12"/>
  <c r="M820" i="12"/>
  <c r="M819" i="12"/>
  <c r="M818" i="12"/>
  <c r="M817" i="12"/>
  <c r="M816" i="12"/>
  <c r="M815" i="12"/>
  <c r="M814" i="12"/>
  <c r="M813" i="12"/>
  <c r="M812" i="12"/>
  <c r="M811" i="12"/>
  <c r="M810" i="12"/>
  <c r="M809" i="12"/>
  <c r="M808" i="12"/>
  <c r="M807" i="12"/>
  <c r="M806" i="12"/>
  <c r="M805" i="12"/>
  <c r="M804" i="12"/>
  <c r="M803" i="12"/>
  <c r="M802" i="12"/>
  <c r="M801" i="12"/>
  <c r="M800" i="12"/>
  <c r="M799" i="12"/>
  <c r="M798" i="12"/>
  <c r="M797" i="12"/>
  <c r="M796" i="12"/>
  <c r="M795" i="12"/>
  <c r="M794" i="12"/>
  <c r="M793" i="12"/>
  <c r="M792" i="12"/>
  <c r="M791" i="12"/>
  <c r="M790" i="12"/>
  <c r="M789" i="12"/>
  <c r="M788" i="12"/>
  <c r="M787" i="12"/>
  <c r="M786" i="12"/>
  <c r="M785" i="12"/>
  <c r="M784" i="12"/>
  <c r="M783" i="12"/>
  <c r="M782" i="12"/>
  <c r="M781" i="12"/>
  <c r="M780" i="12"/>
  <c r="M779" i="12"/>
  <c r="M778" i="12"/>
  <c r="M777" i="12"/>
  <c r="M776" i="12"/>
  <c r="M775" i="12"/>
  <c r="M774" i="12"/>
  <c r="M773" i="12"/>
  <c r="M772" i="12"/>
  <c r="M771" i="12"/>
  <c r="M770" i="12"/>
  <c r="M769" i="12"/>
  <c r="M768" i="12"/>
  <c r="M767" i="12"/>
  <c r="M766" i="12"/>
  <c r="M765" i="12"/>
  <c r="M764" i="12"/>
  <c r="M763" i="12"/>
  <c r="M762" i="12"/>
  <c r="M761" i="12"/>
  <c r="M760" i="12"/>
  <c r="M759" i="12"/>
  <c r="M758" i="12"/>
  <c r="M757" i="12"/>
  <c r="M756" i="12"/>
  <c r="M755" i="12"/>
  <c r="M754" i="12"/>
  <c r="M753" i="12"/>
  <c r="M752" i="12"/>
  <c r="M751" i="12"/>
  <c r="M750" i="12"/>
  <c r="M749" i="12"/>
  <c r="M748" i="12"/>
  <c r="M747" i="12"/>
  <c r="M746" i="12"/>
  <c r="M745" i="12"/>
  <c r="M744" i="12"/>
  <c r="M743" i="12"/>
  <c r="M742" i="12"/>
  <c r="M741" i="12"/>
  <c r="M740" i="12"/>
  <c r="M739" i="12"/>
  <c r="M738" i="12"/>
  <c r="M737" i="12"/>
  <c r="M736" i="12"/>
  <c r="M735" i="12"/>
  <c r="M734" i="12"/>
  <c r="M733" i="12"/>
  <c r="M732" i="12"/>
  <c r="M731" i="12"/>
  <c r="M730" i="12"/>
  <c r="M729" i="12"/>
  <c r="M728" i="12"/>
  <c r="M727" i="12"/>
  <c r="M726" i="12"/>
  <c r="M725" i="12"/>
  <c r="M724" i="12"/>
  <c r="M723" i="12"/>
  <c r="M722" i="12"/>
  <c r="M721" i="12"/>
  <c r="M720" i="12"/>
  <c r="M719" i="12"/>
  <c r="M718" i="12"/>
  <c r="M717" i="12"/>
  <c r="M716" i="12"/>
  <c r="M715" i="12"/>
  <c r="M714" i="12"/>
  <c r="M713" i="12"/>
  <c r="M712" i="12"/>
  <c r="M711" i="12"/>
  <c r="M710" i="12"/>
  <c r="M709" i="12"/>
  <c r="M708" i="12"/>
  <c r="M707" i="12"/>
  <c r="M706" i="12"/>
  <c r="M705" i="12"/>
  <c r="M704" i="12"/>
  <c r="M703" i="12"/>
  <c r="M702" i="12"/>
  <c r="M701" i="12"/>
  <c r="M700" i="12"/>
  <c r="M699" i="12"/>
  <c r="M698" i="12"/>
  <c r="M697" i="12"/>
  <c r="M696" i="12"/>
  <c r="M695" i="12"/>
  <c r="M694" i="12"/>
  <c r="M693" i="12"/>
  <c r="M692" i="12"/>
  <c r="M691" i="12"/>
  <c r="M690" i="12"/>
  <c r="M689" i="12"/>
  <c r="M688" i="12"/>
  <c r="M687" i="12"/>
  <c r="M686" i="12"/>
  <c r="M685" i="12"/>
  <c r="M684" i="12"/>
  <c r="M683" i="12"/>
  <c r="M682" i="12"/>
  <c r="M681" i="12"/>
  <c r="M680" i="12"/>
  <c r="M679" i="12"/>
  <c r="M678" i="12"/>
  <c r="M677" i="12"/>
  <c r="M676" i="12"/>
  <c r="M675" i="12"/>
  <c r="M674" i="12"/>
  <c r="M673" i="12"/>
  <c r="M672" i="12"/>
  <c r="M671" i="12"/>
  <c r="M670" i="12"/>
  <c r="M669" i="12"/>
  <c r="M668" i="12"/>
  <c r="M667" i="12"/>
  <c r="M666" i="12"/>
  <c r="M665" i="12"/>
  <c r="M664" i="12"/>
  <c r="M663" i="12"/>
  <c r="M662" i="12"/>
  <c r="M661" i="12"/>
  <c r="M660" i="12"/>
  <c r="M659" i="12"/>
  <c r="M658" i="12"/>
  <c r="M657" i="12"/>
  <c r="M656" i="12"/>
  <c r="M655" i="12"/>
  <c r="M654" i="12"/>
  <c r="M653" i="12"/>
  <c r="M652" i="12"/>
  <c r="M651" i="12"/>
  <c r="M650" i="12"/>
  <c r="M649" i="12"/>
  <c r="M648" i="12"/>
  <c r="M647" i="12"/>
  <c r="M646" i="12"/>
  <c r="M645" i="12"/>
  <c r="M644" i="12"/>
  <c r="M643" i="12"/>
  <c r="M642" i="12"/>
  <c r="M641" i="12"/>
  <c r="M640" i="12"/>
  <c r="M639" i="12"/>
  <c r="M638" i="12"/>
  <c r="M637" i="12"/>
  <c r="M636" i="12"/>
  <c r="M635" i="12"/>
  <c r="M634" i="12"/>
  <c r="M633" i="12"/>
  <c r="M632" i="12"/>
  <c r="M631" i="12"/>
  <c r="M630" i="12"/>
  <c r="M629" i="12"/>
  <c r="M628" i="12"/>
  <c r="M627" i="12"/>
  <c r="M626" i="12"/>
  <c r="M625" i="12"/>
  <c r="M624" i="12"/>
  <c r="M623" i="12"/>
  <c r="M622" i="12"/>
  <c r="M621" i="12"/>
  <c r="M620" i="12"/>
  <c r="M619" i="12"/>
  <c r="M618" i="12"/>
  <c r="M617" i="12"/>
  <c r="M616" i="12"/>
  <c r="M615" i="12"/>
  <c r="M614" i="12"/>
  <c r="M613" i="12"/>
  <c r="M612" i="12"/>
  <c r="M611" i="12"/>
  <c r="M610" i="12"/>
  <c r="M609" i="12"/>
  <c r="M608" i="12"/>
  <c r="M607" i="12"/>
  <c r="M606" i="12"/>
  <c r="M605" i="12"/>
  <c r="M604" i="12"/>
  <c r="M603" i="12"/>
  <c r="M602" i="12"/>
  <c r="M601" i="12"/>
  <c r="M600" i="12"/>
  <c r="M599" i="12"/>
  <c r="M598" i="12"/>
  <c r="M597" i="12"/>
  <c r="M596" i="12"/>
  <c r="M595" i="12"/>
  <c r="M594" i="12"/>
  <c r="M593" i="12"/>
  <c r="M592" i="12"/>
  <c r="M591" i="12"/>
  <c r="M590" i="12"/>
  <c r="M589" i="12"/>
  <c r="M588" i="12"/>
  <c r="M587" i="12"/>
  <c r="M586" i="12"/>
  <c r="M585" i="12"/>
  <c r="M584" i="12"/>
  <c r="M583" i="12"/>
  <c r="M582" i="12"/>
  <c r="M581" i="12"/>
  <c r="M580" i="12"/>
  <c r="M579" i="12"/>
  <c r="M578" i="12"/>
  <c r="M577" i="12"/>
  <c r="M576" i="12"/>
  <c r="M575" i="12"/>
  <c r="M574" i="12"/>
  <c r="M573" i="12"/>
  <c r="M572" i="12"/>
  <c r="M571" i="12"/>
  <c r="M570" i="12"/>
  <c r="M569" i="12"/>
  <c r="M568" i="12"/>
  <c r="M567" i="12"/>
  <c r="M566" i="12"/>
  <c r="M565" i="12"/>
  <c r="M564" i="12"/>
  <c r="M563" i="12"/>
  <c r="M562" i="12"/>
  <c r="M561" i="12"/>
  <c r="M560" i="12"/>
  <c r="M559" i="12"/>
  <c r="M558" i="12"/>
  <c r="M557" i="12"/>
  <c r="M556" i="12"/>
  <c r="M555" i="12"/>
  <c r="M554" i="12"/>
  <c r="M553" i="12"/>
  <c r="M552" i="12"/>
  <c r="M551" i="12"/>
  <c r="M550" i="12"/>
  <c r="M549" i="12"/>
  <c r="M548" i="12"/>
  <c r="M547" i="12"/>
  <c r="M546" i="12"/>
  <c r="M545" i="12"/>
  <c r="M544" i="12"/>
  <c r="M543" i="12"/>
  <c r="M542" i="12"/>
  <c r="M541" i="12"/>
  <c r="M540" i="12"/>
  <c r="M539" i="12"/>
  <c r="M538" i="12"/>
  <c r="M537" i="12"/>
  <c r="M536" i="12"/>
  <c r="M535" i="12"/>
  <c r="M534" i="12"/>
  <c r="M533" i="12"/>
  <c r="M532" i="12"/>
  <c r="M531" i="12"/>
  <c r="M530" i="12"/>
  <c r="M529" i="12"/>
  <c r="M528" i="12"/>
  <c r="M527" i="12"/>
  <c r="M526" i="12"/>
  <c r="M525" i="12"/>
  <c r="M524" i="12"/>
  <c r="M523" i="12"/>
  <c r="M522" i="12"/>
  <c r="M521" i="12"/>
  <c r="M520" i="12"/>
  <c r="M519" i="12"/>
  <c r="M518" i="12"/>
  <c r="M517" i="12"/>
  <c r="M516" i="12"/>
  <c r="M515" i="12"/>
  <c r="M514" i="12"/>
  <c r="M513" i="12"/>
  <c r="M512" i="12"/>
  <c r="M511" i="12"/>
  <c r="M510" i="12"/>
  <c r="M509" i="12"/>
  <c r="M508" i="12"/>
  <c r="M507" i="12"/>
  <c r="M506" i="12"/>
  <c r="M505" i="12"/>
  <c r="M504" i="12"/>
  <c r="M503" i="12"/>
  <c r="M502" i="12"/>
  <c r="M501" i="12"/>
  <c r="M500" i="12"/>
  <c r="M499" i="12"/>
  <c r="M498" i="12"/>
  <c r="M497" i="12"/>
  <c r="M496" i="12"/>
  <c r="M495" i="12"/>
  <c r="M494" i="12"/>
  <c r="M493" i="12"/>
  <c r="M492" i="12"/>
  <c r="M491" i="12"/>
  <c r="M490" i="12"/>
  <c r="M489" i="12"/>
  <c r="M488" i="12"/>
  <c r="M487" i="12"/>
  <c r="M486" i="12"/>
  <c r="M485" i="12"/>
  <c r="M484" i="12"/>
  <c r="M483" i="12"/>
  <c r="M482" i="12"/>
  <c r="M481" i="12"/>
  <c r="M480" i="12"/>
  <c r="M479" i="12"/>
  <c r="M478" i="12"/>
  <c r="M477" i="12"/>
  <c r="M476" i="12"/>
  <c r="M475" i="12"/>
  <c r="M474" i="12"/>
  <c r="M473" i="12"/>
  <c r="M472" i="12"/>
  <c r="M471" i="12"/>
  <c r="M470" i="12"/>
  <c r="M469" i="12"/>
  <c r="M468" i="12"/>
  <c r="M467" i="12"/>
  <c r="M466" i="12"/>
  <c r="M465" i="12"/>
  <c r="M464" i="12"/>
  <c r="M463" i="12"/>
  <c r="M462" i="12"/>
  <c r="M461" i="12"/>
  <c r="M460" i="12"/>
  <c r="M459" i="12"/>
  <c r="M458" i="12"/>
  <c r="M457" i="12"/>
  <c r="M456" i="12"/>
  <c r="M455" i="12"/>
  <c r="M454" i="12"/>
  <c r="M453" i="12"/>
  <c r="M452" i="12"/>
  <c r="M451" i="12"/>
  <c r="M450" i="12"/>
  <c r="M449" i="12"/>
  <c r="M448" i="12"/>
  <c r="M447" i="12"/>
  <c r="M446" i="12"/>
  <c r="M445" i="12"/>
  <c r="M444" i="12"/>
  <c r="M443" i="12"/>
  <c r="M442" i="12"/>
  <c r="M441" i="12"/>
  <c r="M440" i="12"/>
  <c r="M439" i="12"/>
  <c r="M438" i="12"/>
  <c r="M437" i="12"/>
  <c r="M436" i="12"/>
  <c r="M435" i="12"/>
  <c r="M434" i="12"/>
  <c r="M433" i="12"/>
  <c r="M432" i="12"/>
  <c r="M431" i="12"/>
  <c r="M430" i="12"/>
  <c r="M429" i="12"/>
  <c r="M428" i="12"/>
  <c r="M427" i="12"/>
  <c r="M426" i="12"/>
  <c r="M425" i="12"/>
  <c r="M424" i="12"/>
  <c r="M423" i="12"/>
  <c r="M422" i="12"/>
  <c r="M421" i="12"/>
  <c r="M420" i="12"/>
  <c r="M419" i="12"/>
  <c r="M418" i="12"/>
  <c r="M417" i="12"/>
  <c r="M416" i="12"/>
  <c r="M415" i="12"/>
  <c r="M414" i="12"/>
  <c r="M413" i="12"/>
  <c r="M412" i="12"/>
  <c r="M411" i="12"/>
  <c r="M410" i="12"/>
  <c r="M409" i="12"/>
  <c r="M408" i="12"/>
  <c r="M407" i="12"/>
  <c r="M406" i="12"/>
  <c r="M405" i="12"/>
  <c r="M404" i="12"/>
  <c r="M403" i="12"/>
  <c r="M402" i="12"/>
  <c r="M401" i="12"/>
  <c r="M400" i="12"/>
  <c r="M399" i="12"/>
  <c r="M398" i="12"/>
  <c r="M397" i="12"/>
  <c r="M396" i="12"/>
  <c r="M395" i="12"/>
  <c r="M394" i="12"/>
  <c r="M393" i="12"/>
  <c r="M392" i="12"/>
  <c r="M391" i="12"/>
  <c r="M390" i="12"/>
  <c r="M389" i="12"/>
  <c r="M388" i="12"/>
  <c r="M387" i="12"/>
  <c r="M386" i="12"/>
  <c r="M385" i="12"/>
  <c r="M384" i="12"/>
  <c r="M383" i="12"/>
  <c r="M382" i="12"/>
  <c r="M381" i="12"/>
  <c r="M380" i="12"/>
  <c r="M379" i="12"/>
  <c r="M378" i="12"/>
  <c r="M377" i="12"/>
  <c r="M376" i="12"/>
  <c r="M375" i="12"/>
  <c r="M374" i="12"/>
  <c r="M373" i="12"/>
  <c r="M372" i="12"/>
  <c r="M371" i="12"/>
  <c r="M370" i="12"/>
  <c r="M369" i="12"/>
  <c r="M368" i="12"/>
  <c r="M367" i="12"/>
  <c r="M366" i="12"/>
  <c r="M365" i="12"/>
  <c r="M364" i="12"/>
  <c r="M363" i="12"/>
  <c r="M362" i="12"/>
  <c r="M361" i="12"/>
  <c r="M360" i="12"/>
  <c r="M359" i="12"/>
  <c r="M358" i="12"/>
  <c r="M357" i="12"/>
  <c r="M356" i="12"/>
  <c r="M355" i="12"/>
  <c r="M354" i="12"/>
  <c r="M353" i="12"/>
  <c r="M352" i="12"/>
  <c r="M351" i="12"/>
  <c r="M350" i="12"/>
  <c r="M349" i="12"/>
  <c r="M348" i="12"/>
  <c r="M347" i="12"/>
  <c r="M346" i="12"/>
  <c r="M345" i="12"/>
  <c r="M344" i="12"/>
  <c r="M343" i="12"/>
  <c r="M342" i="12"/>
  <c r="M341" i="12"/>
  <c r="M340" i="12"/>
  <c r="M339" i="12"/>
  <c r="M338" i="12"/>
  <c r="M337" i="12"/>
  <c r="M336" i="12"/>
  <c r="M335" i="12"/>
  <c r="M334" i="12"/>
  <c r="M333" i="12"/>
  <c r="M332" i="12"/>
  <c r="M331" i="12"/>
  <c r="M330" i="12"/>
  <c r="M329" i="12"/>
  <c r="M328" i="12"/>
  <c r="M327" i="12"/>
  <c r="M326" i="12"/>
  <c r="M325" i="12"/>
  <c r="M324" i="12"/>
  <c r="M323" i="12"/>
  <c r="M322" i="12"/>
  <c r="M321" i="12"/>
  <c r="M320" i="12"/>
  <c r="M319" i="12"/>
  <c r="M318" i="12"/>
  <c r="M317" i="12"/>
  <c r="M316" i="12"/>
  <c r="M315" i="12"/>
  <c r="M314" i="12"/>
  <c r="M313" i="12"/>
  <c r="M312" i="12"/>
  <c r="M311" i="12"/>
  <c r="M310" i="12"/>
  <c r="M309" i="12"/>
  <c r="M308" i="12"/>
  <c r="M307" i="12"/>
  <c r="M306" i="12"/>
  <c r="M305" i="12"/>
  <c r="M304" i="12"/>
  <c r="M303" i="12"/>
  <c r="M302" i="12"/>
  <c r="M301" i="12"/>
  <c r="M300" i="12"/>
  <c r="M299" i="12"/>
  <c r="M298" i="12"/>
  <c r="M297" i="12"/>
  <c r="M296" i="12"/>
  <c r="M295" i="12"/>
  <c r="M294" i="12"/>
  <c r="M293" i="12"/>
  <c r="M292" i="12"/>
  <c r="M291" i="12"/>
  <c r="M290" i="12"/>
  <c r="M289" i="12"/>
  <c r="M288" i="12"/>
  <c r="M287" i="12"/>
  <c r="M286" i="12"/>
  <c r="M285" i="12"/>
  <c r="M284" i="12"/>
  <c r="M283" i="12"/>
  <c r="M282" i="12"/>
  <c r="M281" i="12"/>
  <c r="M280" i="12"/>
  <c r="M279" i="12"/>
  <c r="M278" i="12"/>
  <c r="M277" i="12"/>
  <c r="M276" i="12"/>
  <c r="M275" i="12"/>
  <c r="M274" i="12"/>
  <c r="M273" i="12"/>
  <c r="M272" i="12"/>
  <c r="M271" i="12"/>
  <c r="M270" i="12"/>
  <c r="M269" i="12"/>
  <c r="M268" i="12"/>
  <c r="M267" i="12"/>
  <c r="M266" i="12"/>
  <c r="M265" i="12"/>
  <c r="M264" i="12"/>
  <c r="M263" i="12"/>
  <c r="M262" i="12"/>
  <c r="M261" i="12"/>
  <c r="M260" i="12"/>
  <c r="M259" i="12"/>
  <c r="M258" i="12"/>
  <c r="M257" i="12"/>
  <c r="M256" i="12"/>
  <c r="M255" i="12"/>
  <c r="M254" i="12"/>
  <c r="M253" i="12"/>
  <c r="M252" i="12"/>
  <c r="M251" i="12"/>
  <c r="M250" i="12"/>
  <c r="M249" i="12"/>
  <c r="M248" i="12"/>
  <c r="M247" i="12"/>
  <c r="M246" i="12"/>
  <c r="M245" i="12"/>
  <c r="M244" i="12"/>
  <c r="M243" i="12"/>
  <c r="M242" i="12"/>
  <c r="M241" i="12"/>
  <c r="M240" i="12"/>
  <c r="M239" i="12"/>
  <c r="M238" i="12"/>
  <c r="M237" i="12"/>
  <c r="M236" i="12"/>
  <c r="M235" i="12"/>
  <c r="M234" i="12"/>
  <c r="M233" i="12"/>
  <c r="M232" i="12"/>
  <c r="M231" i="12"/>
  <c r="M230" i="12"/>
  <c r="M229" i="12"/>
  <c r="M228" i="12"/>
  <c r="M227" i="12"/>
  <c r="M226" i="12"/>
  <c r="M225" i="12"/>
  <c r="M224" i="12"/>
  <c r="M223" i="12"/>
  <c r="M222" i="12"/>
  <c r="M221" i="12"/>
  <c r="M220" i="12"/>
  <c r="M219" i="12"/>
  <c r="M218" i="12"/>
  <c r="M217" i="12"/>
  <c r="M216" i="12"/>
  <c r="M215" i="12"/>
  <c r="M214" i="12"/>
  <c r="M213" i="12"/>
  <c r="M212" i="12"/>
  <c r="M211" i="12"/>
  <c r="M210" i="12"/>
  <c r="M209" i="12"/>
  <c r="M208" i="12"/>
  <c r="M207" i="12"/>
  <c r="M206" i="12"/>
  <c r="M205" i="12"/>
  <c r="M204" i="12"/>
  <c r="M203" i="12"/>
  <c r="M202" i="12"/>
  <c r="M201" i="12"/>
  <c r="M200" i="12"/>
  <c r="M199" i="12"/>
  <c r="M198" i="12"/>
  <c r="M197" i="12"/>
  <c r="M196" i="12"/>
  <c r="M195" i="12"/>
  <c r="M194" i="12"/>
  <c r="M193" i="12"/>
  <c r="M192" i="12"/>
  <c r="M191" i="12"/>
  <c r="M190" i="12"/>
  <c r="M189" i="12"/>
  <c r="M188" i="12"/>
  <c r="M187" i="12"/>
  <c r="M186" i="12"/>
  <c r="M185" i="12"/>
  <c r="M184" i="12"/>
  <c r="M183" i="12"/>
  <c r="M182" i="12"/>
  <c r="M181" i="12"/>
  <c r="M180" i="12"/>
  <c r="M179" i="12"/>
  <c r="M178" i="12"/>
  <c r="M177" i="12"/>
  <c r="M176" i="12"/>
  <c r="M175" i="12"/>
  <c r="M174" i="12"/>
  <c r="M173" i="12"/>
  <c r="M172" i="12"/>
  <c r="M171" i="12"/>
  <c r="M170" i="12"/>
  <c r="M169" i="12"/>
  <c r="M168" i="12"/>
  <c r="M167" i="12"/>
  <c r="M166" i="12"/>
  <c r="M165" i="12"/>
  <c r="M164" i="12"/>
  <c r="M163" i="12"/>
  <c r="M162" i="12"/>
  <c r="M161" i="12"/>
  <c r="M160" i="12"/>
  <c r="M159" i="12"/>
  <c r="M158" i="12"/>
  <c r="M157" i="12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1" i="12"/>
  <c r="M130" i="12"/>
  <c r="M129" i="12"/>
  <c r="M128" i="12"/>
  <c r="M127" i="12"/>
  <c r="M126" i="12"/>
  <c r="M125" i="12"/>
  <c r="M124" i="12"/>
  <c r="M123" i="12"/>
  <c r="M122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M10" i="12"/>
  <c r="M9" i="12"/>
  <c r="M8" i="12"/>
  <c r="M7" i="12"/>
  <c r="M6" i="12"/>
  <c r="CQ8" i="9"/>
  <c r="CP7" i="9" s="1"/>
  <c r="L4" i="12" l="1"/>
  <c r="EF23" i="9"/>
  <c r="EF20" i="9"/>
  <c r="EF19" i="9"/>
  <c r="EF18" i="9"/>
  <c r="EF22" i="9"/>
  <c r="EF21" i="9"/>
  <c r="EF17" i="9"/>
  <c r="CU49" i="9"/>
  <c r="CT49" i="9"/>
  <c r="CP4" i="9"/>
  <c r="CP6" i="9"/>
  <c r="CP8" i="9"/>
  <c r="CP3" i="9"/>
  <c r="CP5" i="9"/>
  <c r="M1438" i="12"/>
  <c r="CN6" i="9"/>
  <c r="L95" i="9"/>
  <c r="L94" i="9"/>
  <c r="L83" i="9"/>
  <c r="L82" i="9"/>
  <c r="L71" i="9"/>
  <c r="L70" i="9"/>
  <c r="L59" i="9"/>
  <c r="L58" i="9"/>
  <c r="L46" i="9"/>
  <c r="L45" i="9"/>
  <c r="K1437" i="12"/>
  <c r="K1436" i="12"/>
  <c r="K1435" i="12"/>
  <c r="K1434" i="12"/>
  <c r="K1433" i="12"/>
  <c r="K1432" i="12"/>
  <c r="K1431" i="12"/>
  <c r="K1430" i="12"/>
  <c r="K1429" i="12"/>
  <c r="K1428" i="12"/>
  <c r="K1427" i="12"/>
  <c r="K1426" i="12"/>
  <c r="K1425" i="12"/>
  <c r="K1424" i="12"/>
  <c r="K1423" i="12"/>
  <c r="K1422" i="12"/>
  <c r="K1421" i="12"/>
  <c r="K1420" i="12"/>
  <c r="K1419" i="12"/>
  <c r="K1418" i="12"/>
  <c r="K1417" i="12"/>
  <c r="K1416" i="12"/>
  <c r="K1415" i="12"/>
  <c r="K1414" i="12"/>
  <c r="K1413" i="12"/>
  <c r="K1412" i="12"/>
  <c r="K1411" i="12"/>
  <c r="K1410" i="12"/>
  <c r="K1409" i="12"/>
  <c r="K1408" i="12"/>
  <c r="K1407" i="12"/>
  <c r="K1406" i="12"/>
  <c r="K1405" i="12"/>
  <c r="K1404" i="12"/>
  <c r="K1403" i="12"/>
  <c r="K1402" i="12"/>
  <c r="K1401" i="12"/>
  <c r="K1400" i="12"/>
  <c r="K1399" i="12"/>
  <c r="K1398" i="12"/>
  <c r="K1397" i="12"/>
  <c r="K1396" i="12"/>
  <c r="K1395" i="12"/>
  <c r="K1394" i="12"/>
  <c r="K1393" i="12"/>
  <c r="K1392" i="12"/>
  <c r="K1391" i="12"/>
  <c r="K1390" i="12"/>
  <c r="K1389" i="12"/>
  <c r="K1388" i="12"/>
  <c r="K1387" i="12"/>
  <c r="K1386" i="12"/>
  <c r="K1385" i="12"/>
  <c r="K1384" i="12"/>
  <c r="K1383" i="12"/>
  <c r="K1382" i="12"/>
  <c r="K1381" i="12"/>
  <c r="K1380" i="12"/>
  <c r="K1379" i="12"/>
  <c r="K1378" i="12"/>
  <c r="K1377" i="12"/>
  <c r="K1376" i="12"/>
  <c r="K1375" i="12"/>
  <c r="K1374" i="12"/>
  <c r="K1373" i="12"/>
  <c r="K1372" i="12"/>
  <c r="K1371" i="12"/>
  <c r="K1370" i="12"/>
  <c r="K1369" i="12"/>
  <c r="K1368" i="12"/>
  <c r="K1367" i="12"/>
  <c r="K1366" i="12"/>
  <c r="K1365" i="12"/>
  <c r="K1364" i="12"/>
  <c r="K1363" i="12"/>
  <c r="K1362" i="12"/>
  <c r="K1361" i="12"/>
  <c r="K1360" i="12"/>
  <c r="K1359" i="12"/>
  <c r="K1358" i="12"/>
  <c r="K1357" i="12"/>
  <c r="K1356" i="12"/>
  <c r="K1355" i="12"/>
  <c r="K1354" i="12"/>
  <c r="K1353" i="12"/>
  <c r="K1352" i="12"/>
  <c r="K1351" i="12"/>
  <c r="K1350" i="12"/>
  <c r="K1349" i="12"/>
  <c r="K1348" i="12"/>
  <c r="K1347" i="12"/>
  <c r="K1346" i="12"/>
  <c r="K1345" i="12"/>
  <c r="K1344" i="12"/>
  <c r="K1343" i="12"/>
  <c r="K1342" i="12"/>
  <c r="K1341" i="12"/>
  <c r="K1340" i="12"/>
  <c r="K1339" i="12"/>
  <c r="K1338" i="12"/>
  <c r="K1337" i="12"/>
  <c r="K1336" i="12"/>
  <c r="K1335" i="12"/>
  <c r="K1334" i="12"/>
  <c r="K1333" i="12"/>
  <c r="K1332" i="12"/>
  <c r="K1331" i="12"/>
  <c r="K1330" i="12"/>
  <c r="K1329" i="12"/>
  <c r="K1328" i="12"/>
  <c r="K1327" i="12"/>
  <c r="K1326" i="12"/>
  <c r="K1325" i="12"/>
  <c r="K1324" i="12"/>
  <c r="K1323" i="12"/>
  <c r="K1322" i="12"/>
  <c r="K1321" i="12"/>
  <c r="K1320" i="12"/>
  <c r="K1319" i="12"/>
  <c r="K1318" i="12"/>
  <c r="K1317" i="12"/>
  <c r="K1316" i="12"/>
  <c r="K1315" i="12"/>
  <c r="K1314" i="12"/>
  <c r="K1313" i="12"/>
  <c r="K1312" i="12"/>
  <c r="K1311" i="12"/>
  <c r="K1310" i="12"/>
  <c r="K1309" i="12"/>
  <c r="K1308" i="12"/>
  <c r="K1307" i="12"/>
  <c r="K1306" i="12"/>
  <c r="K1305" i="12"/>
  <c r="K1304" i="12"/>
  <c r="K1303" i="12"/>
  <c r="K1302" i="12"/>
  <c r="K1301" i="12"/>
  <c r="K1300" i="12"/>
  <c r="K1299" i="12"/>
  <c r="K1298" i="12"/>
  <c r="K1297" i="12"/>
  <c r="K1296" i="12"/>
  <c r="K1295" i="12"/>
  <c r="K1294" i="12"/>
  <c r="K1293" i="12"/>
  <c r="K1292" i="12"/>
  <c r="K1291" i="12"/>
  <c r="K1290" i="12"/>
  <c r="K1289" i="12"/>
  <c r="K1288" i="12"/>
  <c r="K1287" i="12"/>
  <c r="K1286" i="12"/>
  <c r="K1285" i="12"/>
  <c r="K1284" i="12"/>
  <c r="K1283" i="12"/>
  <c r="K1282" i="12"/>
  <c r="K1281" i="12"/>
  <c r="K1280" i="12"/>
  <c r="K1279" i="12"/>
  <c r="K1278" i="12"/>
  <c r="K1277" i="12"/>
  <c r="K1276" i="12"/>
  <c r="K1275" i="12"/>
  <c r="K1274" i="12"/>
  <c r="K1273" i="12"/>
  <c r="K1272" i="12"/>
  <c r="K1271" i="12"/>
  <c r="K1270" i="12"/>
  <c r="K1269" i="12"/>
  <c r="K1268" i="12"/>
  <c r="K1267" i="12"/>
  <c r="K1266" i="12"/>
  <c r="K1265" i="12"/>
  <c r="K1264" i="12"/>
  <c r="K1263" i="12"/>
  <c r="K1262" i="12"/>
  <c r="K1261" i="12"/>
  <c r="K1260" i="12"/>
  <c r="K1259" i="12"/>
  <c r="K1258" i="12"/>
  <c r="K1257" i="12"/>
  <c r="K1256" i="12"/>
  <c r="K1255" i="12"/>
  <c r="K1254" i="12"/>
  <c r="K1253" i="12"/>
  <c r="K1252" i="12"/>
  <c r="K1251" i="12"/>
  <c r="K1250" i="12"/>
  <c r="K1249" i="12"/>
  <c r="K1248" i="12"/>
  <c r="K1247" i="12"/>
  <c r="K1246" i="12"/>
  <c r="K1245" i="12"/>
  <c r="K1244" i="12"/>
  <c r="K1243" i="12"/>
  <c r="K1242" i="12"/>
  <c r="K1241" i="12"/>
  <c r="K1240" i="12"/>
  <c r="K1239" i="12"/>
  <c r="K1238" i="12"/>
  <c r="K1237" i="12"/>
  <c r="K1236" i="12"/>
  <c r="K1235" i="12"/>
  <c r="K1234" i="12"/>
  <c r="K1233" i="12"/>
  <c r="K1232" i="12"/>
  <c r="K1231" i="12"/>
  <c r="K1230" i="12"/>
  <c r="K1229" i="12"/>
  <c r="K1228" i="12"/>
  <c r="K1227" i="12"/>
  <c r="K1226" i="12"/>
  <c r="K1225" i="12"/>
  <c r="K1224" i="12"/>
  <c r="K1223" i="12"/>
  <c r="K1222" i="12"/>
  <c r="K1221" i="12"/>
  <c r="K1220" i="12"/>
  <c r="K1219" i="12"/>
  <c r="K1218" i="12"/>
  <c r="K1217" i="12"/>
  <c r="K1216" i="12"/>
  <c r="K1215" i="12"/>
  <c r="K1214" i="12"/>
  <c r="K1213" i="12"/>
  <c r="K1212" i="12"/>
  <c r="K1211" i="12"/>
  <c r="K1210" i="12"/>
  <c r="K1209" i="12"/>
  <c r="K1208" i="12"/>
  <c r="K1207" i="12"/>
  <c r="K1206" i="12"/>
  <c r="K1205" i="12"/>
  <c r="K1204" i="12"/>
  <c r="K1203" i="12"/>
  <c r="K1202" i="12"/>
  <c r="K1201" i="12"/>
  <c r="K1200" i="12"/>
  <c r="K1199" i="12"/>
  <c r="K1198" i="12"/>
  <c r="K1197" i="12"/>
  <c r="K1196" i="12"/>
  <c r="K1195" i="12"/>
  <c r="K1194" i="12"/>
  <c r="K1193" i="12"/>
  <c r="K1192" i="12"/>
  <c r="K1191" i="12"/>
  <c r="K1190" i="12"/>
  <c r="K1189" i="12"/>
  <c r="K1188" i="12"/>
  <c r="K1187" i="12"/>
  <c r="K1186" i="12"/>
  <c r="K1185" i="12"/>
  <c r="K1184" i="12"/>
  <c r="K1183" i="12"/>
  <c r="K1182" i="12"/>
  <c r="K1181" i="12"/>
  <c r="K1180" i="12"/>
  <c r="K1179" i="12"/>
  <c r="K1178" i="12"/>
  <c r="K1177" i="12"/>
  <c r="K1176" i="12"/>
  <c r="K1175" i="12"/>
  <c r="K1174" i="12"/>
  <c r="K1173" i="12"/>
  <c r="K1172" i="12"/>
  <c r="K1171" i="12"/>
  <c r="K1170" i="12"/>
  <c r="K1169" i="12"/>
  <c r="K1168" i="12"/>
  <c r="K1167" i="12"/>
  <c r="K1166" i="12"/>
  <c r="K1165" i="12"/>
  <c r="K1164" i="12"/>
  <c r="K1163" i="12"/>
  <c r="K1162" i="12"/>
  <c r="K1161" i="12"/>
  <c r="K1160" i="12"/>
  <c r="K1159" i="12"/>
  <c r="K1158" i="12"/>
  <c r="K1157" i="12"/>
  <c r="K1156" i="12"/>
  <c r="K1155" i="12"/>
  <c r="K1154" i="12"/>
  <c r="K1153" i="12"/>
  <c r="K1152" i="12"/>
  <c r="K1151" i="12"/>
  <c r="K1150" i="12"/>
  <c r="K1149" i="12"/>
  <c r="K1148" i="12"/>
  <c r="K1147" i="12"/>
  <c r="K1146" i="12"/>
  <c r="K1145" i="12"/>
  <c r="K1144" i="12"/>
  <c r="K1143" i="12"/>
  <c r="K1142" i="12"/>
  <c r="K1141" i="12"/>
  <c r="K1140" i="12"/>
  <c r="K1139" i="12"/>
  <c r="K1138" i="12"/>
  <c r="K1137" i="12"/>
  <c r="K1136" i="12"/>
  <c r="K1135" i="12"/>
  <c r="K1134" i="12"/>
  <c r="K1133" i="12"/>
  <c r="K1132" i="12"/>
  <c r="K1131" i="12"/>
  <c r="K1130" i="12"/>
  <c r="K1129" i="12"/>
  <c r="K1128" i="12"/>
  <c r="K1127" i="12"/>
  <c r="K1126" i="12"/>
  <c r="K1125" i="12"/>
  <c r="K1124" i="12"/>
  <c r="K1123" i="12"/>
  <c r="K1122" i="12"/>
  <c r="K1121" i="12"/>
  <c r="K1120" i="12"/>
  <c r="K1119" i="12"/>
  <c r="K1118" i="12"/>
  <c r="K1117" i="12"/>
  <c r="K1116" i="12"/>
  <c r="K1115" i="12"/>
  <c r="K1114" i="12"/>
  <c r="K1113" i="12"/>
  <c r="K1112" i="12"/>
  <c r="K1111" i="12"/>
  <c r="K1110" i="12"/>
  <c r="K1109" i="12"/>
  <c r="K1108" i="12"/>
  <c r="K1107" i="12"/>
  <c r="K1106" i="12"/>
  <c r="K1105" i="12"/>
  <c r="K1104" i="12"/>
  <c r="K1103" i="12"/>
  <c r="K1102" i="12"/>
  <c r="K1101" i="12"/>
  <c r="K1100" i="12"/>
  <c r="K1099" i="12"/>
  <c r="K1098" i="12"/>
  <c r="K1097" i="12"/>
  <c r="K1096" i="12"/>
  <c r="K1095" i="12"/>
  <c r="K1094" i="12"/>
  <c r="K1093" i="12"/>
  <c r="K1092" i="12"/>
  <c r="K1091" i="12"/>
  <c r="K1090" i="12"/>
  <c r="K1089" i="12"/>
  <c r="K1088" i="12"/>
  <c r="K1087" i="12"/>
  <c r="K1086" i="12"/>
  <c r="K1085" i="12"/>
  <c r="K1084" i="12"/>
  <c r="K1083" i="12"/>
  <c r="K1082" i="12"/>
  <c r="K1081" i="12"/>
  <c r="K1080" i="12"/>
  <c r="K1079" i="12"/>
  <c r="K1078" i="12"/>
  <c r="K1077" i="12"/>
  <c r="K1076" i="12"/>
  <c r="K1075" i="12"/>
  <c r="K1074" i="12"/>
  <c r="K1073" i="12"/>
  <c r="K1072" i="12"/>
  <c r="K1071" i="12"/>
  <c r="K1070" i="12"/>
  <c r="K1069" i="12"/>
  <c r="K1068" i="12"/>
  <c r="K1067" i="12"/>
  <c r="K1066" i="12"/>
  <c r="K1065" i="12"/>
  <c r="K1064" i="12"/>
  <c r="K1063" i="12"/>
  <c r="K1062" i="12"/>
  <c r="K1061" i="12"/>
  <c r="K1060" i="12"/>
  <c r="K1059" i="12"/>
  <c r="K1058" i="12"/>
  <c r="K1057" i="12"/>
  <c r="K1056" i="12"/>
  <c r="K1055" i="12"/>
  <c r="K1054" i="12"/>
  <c r="K1053" i="12"/>
  <c r="K1052" i="12"/>
  <c r="K1051" i="12"/>
  <c r="K1050" i="12"/>
  <c r="K1049" i="12"/>
  <c r="K1048" i="12"/>
  <c r="K1047" i="12"/>
  <c r="K1046" i="12"/>
  <c r="K1045" i="12"/>
  <c r="K1044" i="12"/>
  <c r="K1043" i="12"/>
  <c r="K1042" i="12"/>
  <c r="K1041" i="12"/>
  <c r="K1040" i="12"/>
  <c r="K1039" i="12"/>
  <c r="K1038" i="12"/>
  <c r="K1037" i="12"/>
  <c r="K1036" i="12"/>
  <c r="K1035" i="12"/>
  <c r="K1034" i="12"/>
  <c r="K1033" i="12"/>
  <c r="K1032" i="12"/>
  <c r="K1031" i="12"/>
  <c r="K1030" i="12"/>
  <c r="K1029" i="12"/>
  <c r="K1028" i="12"/>
  <c r="K1027" i="12"/>
  <c r="K1026" i="12"/>
  <c r="K1025" i="12"/>
  <c r="K1024" i="12"/>
  <c r="K1023" i="12"/>
  <c r="K1022" i="12"/>
  <c r="K1021" i="12"/>
  <c r="K1020" i="12"/>
  <c r="K1019" i="12"/>
  <c r="K1018" i="12"/>
  <c r="K1017" i="12"/>
  <c r="K1016" i="12"/>
  <c r="K1015" i="12"/>
  <c r="K1014" i="12"/>
  <c r="K1013" i="12"/>
  <c r="K1012" i="12"/>
  <c r="K1011" i="12"/>
  <c r="K1010" i="12"/>
  <c r="K1009" i="12"/>
  <c r="K1008" i="12"/>
  <c r="K1007" i="12"/>
  <c r="K1006" i="12"/>
  <c r="K1005" i="12"/>
  <c r="K1004" i="12"/>
  <c r="K1003" i="12"/>
  <c r="K1002" i="12"/>
  <c r="K1001" i="12"/>
  <c r="K1000" i="12"/>
  <c r="K999" i="12"/>
  <c r="K998" i="12"/>
  <c r="K997" i="12"/>
  <c r="K996" i="12"/>
  <c r="K995" i="12"/>
  <c r="K994" i="12"/>
  <c r="K993" i="12"/>
  <c r="K992" i="12"/>
  <c r="K991" i="12"/>
  <c r="K990" i="12"/>
  <c r="K989" i="12"/>
  <c r="K988" i="12"/>
  <c r="K987" i="12"/>
  <c r="K986" i="12"/>
  <c r="L38" i="9" s="1"/>
  <c r="L39" i="9" s="1"/>
  <c r="K985" i="12"/>
  <c r="L34" i="9"/>
  <c r="L33" i="9"/>
  <c r="L22" i="9"/>
  <c r="L21" i="9"/>
  <c r="L19" i="9"/>
  <c r="L14" i="9"/>
  <c r="L43" i="9" l="1"/>
  <c r="L10" i="12"/>
  <c r="L9" i="12"/>
  <c r="L11" i="12" s="1"/>
  <c r="L6" i="12"/>
  <c r="L5" i="12"/>
  <c r="L7" i="12" s="1"/>
  <c r="EM4" i="9"/>
  <c r="EM8" i="9"/>
  <c r="EL8" i="9"/>
  <c r="EL4" i="9"/>
  <c r="DH51" i="9"/>
  <c r="DH49" i="9"/>
  <c r="DH47" i="9"/>
  <c r="DH45" i="9"/>
  <c r="DH43" i="9"/>
  <c r="DH41" i="9"/>
  <c r="DH39" i="9"/>
  <c r="DH37" i="9"/>
  <c r="DH35" i="9"/>
  <c r="DH33" i="9"/>
  <c r="DH31" i="9"/>
  <c r="DH29" i="9"/>
  <c r="DH27" i="9"/>
  <c r="DH25" i="9"/>
  <c r="DH23" i="9"/>
  <c r="DH21" i="9"/>
  <c r="DH19" i="9"/>
  <c r="DH17" i="9"/>
  <c r="DH12" i="9"/>
  <c r="DH10" i="9"/>
  <c r="DH8" i="9"/>
  <c r="DH6" i="9"/>
  <c r="DH4" i="9"/>
  <c r="DG51" i="9"/>
  <c r="DG49" i="9"/>
  <c r="DG47" i="9"/>
  <c r="DG45" i="9"/>
  <c r="DG43" i="9"/>
  <c r="DG41" i="9"/>
  <c r="DG39" i="9"/>
  <c r="DG37" i="9"/>
  <c r="DG35" i="9"/>
  <c r="DG33" i="9"/>
  <c r="DG31" i="9"/>
  <c r="DG29" i="9"/>
  <c r="DG27" i="9"/>
  <c r="DG25" i="9"/>
  <c r="DG23" i="9"/>
  <c r="DG21" i="9"/>
  <c r="DG19" i="9"/>
  <c r="DG17" i="9"/>
  <c r="DG12" i="9"/>
  <c r="DG10" i="9"/>
  <c r="DG8" i="9"/>
  <c r="DG6" i="9"/>
  <c r="DG4" i="9"/>
  <c r="DG5" i="9"/>
  <c r="DH50" i="9"/>
  <c r="DH48" i="9"/>
  <c r="DH46" i="9"/>
  <c r="DH44" i="9"/>
  <c r="DH42" i="9"/>
  <c r="DH40" i="9"/>
  <c r="DH38" i="9"/>
  <c r="DH36" i="9"/>
  <c r="DH34" i="9"/>
  <c r="DH32" i="9"/>
  <c r="DH30" i="9"/>
  <c r="DH28" i="9"/>
  <c r="DH26" i="9"/>
  <c r="DH24" i="9"/>
  <c r="DH22" i="9"/>
  <c r="DH20" i="9"/>
  <c r="DH18" i="9"/>
  <c r="DH13" i="9"/>
  <c r="DH11" i="9"/>
  <c r="DH9" i="9"/>
  <c r="DH7" i="9"/>
  <c r="DH5" i="9"/>
  <c r="DH3" i="9"/>
  <c r="DG50" i="9"/>
  <c r="DG48" i="9"/>
  <c r="DG46" i="9"/>
  <c r="DG44" i="9"/>
  <c r="DG42" i="9"/>
  <c r="DG40" i="9"/>
  <c r="DG38" i="9"/>
  <c r="DG36" i="9"/>
  <c r="DG34" i="9"/>
  <c r="DG32" i="9"/>
  <c r="DG30" i="9"/>
  <c r="DG28" i="9"/>
  <c r="DG26" i="9"/>
  <c r="DG24" i="9"/>
  <c r="DG22" i="9"/>
  <c r="DG20" i="9"/>
  <c r="DG18" i="9"/>
  <c r="DG13" i="9"/>
  <c r="DG11" i="9"/>
  <c r="DG9" i="9"/>
  <c r="DG7" i="9"/>
  <c r="DG3" i="9"/>
  <c r="L26" i="9"/>
  <c r="L27" i="9" s="1"/>
  <c r="L28" i="9" s="1"/>
  <c r="L29" i="9" s="1"/>
  <c r="EF24" i="9"/>
  <c r="L31" i="9"/>
  <c r="CN7" i="9"/>
  <c r="CN8" i="9" s="1"/>
  <c r="L40" i="9"/>
  <c r="L15" i="9"/>
  <c r="I1437" i="12"/>
  <c r="I1436" i="12"/>
  <c r="I1435" i="12"/>
  <c r="I1434" i="12"/>
  <c r="I1433" i="12"/>
  <c r="I1432" i="12"/>
  <c r="I1431" i="12"/>
  <c r="I1430" i="12"/>
  <c r="I1429" i="12"/>
  <c r="I1428" i="12"/>
  <c r="I1427" i="12"/>
  <c r="I1426" i="12"/>
  <c r="I1425" i="12"/>
  <c r="I1424" i="12"/>
  <c r="I1423" i="12"/>
  <c r="I1422" i="12"/>
  <c r="I1421" i="12"/>
  <c r="I1420" i="12"/>
  <c r="I1419" i="12"/>
  <c r="I1418" i="12"/>
  <c r="I1417" i="12"/>
  <c r="I1416" i="12"/>
  <c r="I1415" i="12"/>
  <c r="I1414" i="12"/>
  <c r="I1413" i="12"/>
  <c r="I1412" i="12"/>
  <c r="I1411" i="12"/>
  <c r="I1410" i="12"/>
  <c r="I1409" i="12"/>
  <c r="I1408" i="12"/>
  <c r="I1407" i="12"/>
  <c r="I1406" i="12"/>
  <c r="I1405" i="12"/>
  <c r="I1404" i="12"/>
  <c r="I1403" i="12"/>
  <c r="I1402" i="12"/>
  <c r="I1401" i="12"/>
  <c r="I1400" i="12"/>
  <c r="I1399" i="12"/>
  <c r="I1398" i="12"/>
  <c r="I1397" i="12"/>
  <c r="I1396" i="12"/>
  <c r="I1395" i="12"/>
  <c r="I1394" i="12"/>
  <c r="I1393" i="12"/>
  <c r="I1392" i="12"/>
  <c r="I1391" i="12"/>
  <c r="I1390" i="12"/>
  <c r="I1389" i="12"/>
  <c r="I1388" i="12"/>
  <c r="I1387" i="12"/>
  <c r="I1386" i="12"/>
  <c r="I1385" i="12"/>
  <c r="I1384" i="12"/>
  <c r="I1383" i="12"/>
  <c r="I1382" i="12"/>
  <c r="I1381" i="12"/>
  <c r="I1380" i="12"/>
  <c r="I1379" i="12"/>
  <c r="I1378" i="12"/>
  <c r="I1377" i="12"/>
  <c r="I1376" i="12"/>
  <c r="I1375" i="12"/>
  <c r="I1374" i="12"/>
  <c r="I1373" i="12"/>
  <c r="I1372" i="12"/>
  <c r="I1371" i="12"/>
  <c r="I1370" i="12"/>
  <c r="I1369" i="12"/>
  <c r="I1368" i="12"/>
  <c r="I1367" i="12"/>
  <c r="I1366" i="12"/>
  <c r="I1365" i="12"/>
  <c r="I1364" i="12"/>
  <c r="I1363" i="12"/>
  <c r="I1362" i="12"/>
  <c r="I1361" i="12"/>
  <c r="I1360" i="12"/>
  <c r="I1359" i="12"/>
  <c r="I1358" i="12"/>
  <c r="I1357" i="12"/>
  <c r="I1356" i="12"/>
  <c r="I1355" i="12"/>
  <c r="I1354" i="12"/>
  <c r="I1353" i="12"/>
  <c r="I1352" i="12"/>
  <c r="I1351" i="12"/>
  <c r="I1350" i="12"/>
  <c r="I1349" i="12"/>
  <c r="I1348" i="12"/>
  <c r="I1347" i="12"/>
  <c r="I1346" i="12"/>
  <c r="I1345" i="12"/>
  <c r="I1344" i="12"/>
  <c r="I1343" i="12"/>
  <c r="I1342" i="12"/>
  <c r="I1341" i="12"/>
  <c r="I1340" i="12"/>
  <c r="I1339" i="12"/>
  <c r="I1338" i="12"/>
  <c r="I1337" i="12"/>
  <c r="I1336" i="12"/>
  <c r="I1335" i="12"/>
  <c r="I1334" i="12"/>
  <c r="I1333" i="12"/>
  <c r="I1332" i="12"/>
  <c r="I1331" i="12"/>
  <c r="I1330" i="12"/>
  <c r="I1329" i="12"/>
  <c r="I1328" i="12"/>
  <c r="I1327" i="12"/>
  <c r="I1326" i="12"/>
  <c r="I1325" i="12"/>
  <c r="I1324" i="12"/>
  <c r="I1323" i="12"/>
  <c r="I1322" i="12"/>
  <c r="I1321" i="12"/>
  <c r="I1320" i="12"/>
  <c r="I1319" i="12"/>
  <c r="I1318" i="12"/>
  <c r="I1317" i="12"/>
  <c r="I1316" i="12"/>
  <c r="I1315" i="12"/>
  <c r="I1314" i="12"/>
  <c r="I1313" i="12"/>
  <c r="I1312" i="12"/>
  <c r="I1311" i="12"/>
  <c r="I1310" i="12"/>
  <c r="I1309" i="12"/>
  <c r="I1308" i="12"/>
  <c r="I1307" i="12"/>
  <c r="I1306" i="12"/>
  <c r="I1305" i="12"/>
  <c r="I1304" i="12"/>
  <c r="I1303" i="12"/>
  <c r="I1302" i="12"/>
  <c r="I1301" i="12"/>
  <c r="I1300" i="12"/>
  <c r="I1299" i="12"/>
  <c r="I1298" i="12"/>
  <c r="I1297" i="12"/>
  <c r="I1296" i="12"/>
  <c r="I1295" i="12"/>
  <c r="I1294" i="12"/>
  <c r="I1293" i="12"/>
  <c r="I1292" i="12"/>
  <c r="I1291" i="12"/>
  <c r="I1290" i="12"/>
  <c r="I1289" i="12"/>
  <c r="I1288" i="12"/>
  <c r="I1287" i="12"/>
  <c r="I1286" i="12"/>
  <c r="I1285" i="12"/>
  <c r="I1284" i="12"/>
  <c r="I1283" i="12"/>
  <c r="I1282" i="12"/>
  <c r="I1281" i="12"/>
  <c r="I1280" i="12"/>
  <c r="I1279" i="12"/>
  <c r="I1278" i="12"/>
  <c r="I1277" i="12"/>
  <c r="I1276" i="12"/>
  <c r="I1275" i="12"/>
  <c r="I1274" i="12"/>
  <c r="I1273" i="12"/>
  <c r="I1272" i="12"/>
  <c r="I1271" i="12"/>
  <c r="I1270" i="12"/>
  <c r="I1269" i="12"/>
  <c r="I1268" i="12"/>
  <c r="I1267" i="12"/>
  <c r="I1266" i="12"/>
  <c r="I1265" i="12"/>
  <c r="I1264" i="12"/>
  <c r="I1263" i="12"/>
  <c r="I1262" i="12"/>
  <c r="I1261" i="12"/>
  <c r="I1260" i="12"/>
  <c r="I1259" i="12"/>
  <c r="I1258" i="12"/>
  <c r="I1257" i="12"/>
  <c r="I1256" i="12"/>
  <c r="I1255" i="12"/>
  <c r="I1254" i="12"/>
  <c r="I1253" i="12"/>
  <c r="I1252" i="12"/>
  <c r="I1251" i="12"/>
  <c r="I1250" i="12"/>
  <c r="I1249" i="12"/>
  <c r="I1248" i="12"/>
  <c r="I1247" i="12"/>
  <c r="I1246" i="12"/>
  <c r="I1245" i="12"/>
  <c r="I1244" i="12"/>
  <c r="I1243" i="12"/>
  <c r="I1242" i="12"/>
  <c r="I1241" i="12"/>
  <c r="I1240" i="12"/>
  <c r="I1239" i="12"/>
  <c r="I1238" i="12"/>
  <c r="I1237" i="12"/>
  <c r="I1236" i="12"/>
  <c r="I1235" i="12"/>
  <c r="I1234" i="12"/>
  <c r="I1233" i="12"/>
  <c r="I1232" i="12"/>
  <c r="I1231" i="12"/>
  <c r="I1230" i="12"/>
  <c r="I1229" i="12"/>
  <c r="I1228" i="12"/>
  <c r="I1227" i="12"/>
  <c r="I1226" i="12"/>
  <c r="I1225" i="12"/>
  <c r="I1224" i="12"/>
  <c r="I1223" i="12"/>
  <c r="I1222" i="12"/>
  <c r="I1221" i="12"/>
  <c r="I1220" i="12"/>
  <c r="I1219" i="12"/>
  <c r="I1218" i="12"/>
  <c r="I1217" i="12"/>
  <c r="I1216" i="12"/>
  <c r="I1215" i="12"/>
  <c r="I1214" i="12"/>
  <c r="I1213" i="12"/>
  <c r="I1212" i="12"/>
  <c r="I1211" i="12"/>
  <c r="I1210" i="12"/>
  <c r="I1209" i="12"/>
  <c r="I1208" i="12"/>
  <c r="I1207" i="12"/>
  <c r="I1206" i="12"/>
  <c r="I1205" i="12"/>
  <c r="I1204" i="12"/>
  <c r="I1203" i="12"/>
  <c r="I1202" i="12"/>
  <c r="I1201" i="12"/>
  <c r="I1200" i="12"/>
  <c r="I1199" i="12"/>
  <c r="I1198" i="12"/>
  <c r="I1197" i="12"/>
  <c r="I1196" i="12"/>
  <c r="I1195" i="12"/>
  <c r="I1194" i="12"/>
  <c r="I1193" i="12"/>
  <c r="I1192" i="12"/>
  <c r="I1191" i="12"/>
  <c r="I1190" i="12"/>
  <c r="I1189" i="12"/>
  <c r="I1188" i="12"/>
  <c r="I1187" i="12"/>
  <c r="I1186" i="12"/>
  <c r="I1185" i="12"/>
  <c r="I1184" i="12"/>
  <c r="I1183" i="12"/>
  <c r="I1182" i="12"/>
  <c r="I1181" i="12"/>
  <c r="I1180" i="12"/>
  <c r="I1179" i="12"/>
  <c r="I1178" i="12"/>
  <c r="I1177" i="12"/>
  <c r="I1176" i="12"/>
  <c r="I1175" i="12"/>
  <c r="I1174" i="12"/>
  <c r="I1173" i="12"/>
  <c r="I1172" i="12"/>
  <c r="I1171" i="12"/>
  <c r="I1170" i="12"/>
  <c r="I1169" i="12"/>
  <c r="I1168" i="12"/>
  <c r="I1167" i="12"/>
  <c r="I1166" i="12"/>
  <c r="I1165" i="12"/>
  <c r="I1164" i="12"/>
  <c r="I1163" i="12"/>
  <c r="I1162" i="12"/>
  <c r="I1161" i="12"/>
  <c r="I1160" i="12"/>
  <c r="I1159" i="12"/>
  <c r="I1158" i="12"/>
  <c r="I1157" i="12"/>
  <c r="I1156" i="12"/>
  <c r="I1155" i="12"/>
  <c r="I1154" i="12"/>
  <c r="I1153" i="12"/>
  <c r="I1152" i="12"/>
  <c r="I1151" i="12"/>
  <c r="I1150" i="12"/>
  <c r="I1149" i="12"/>
  <c r="I1148" i="12"/>
  <c r="I1147" i="12"/>
  <c r="I1146" i="12"/>
  <c r="I1145" i="12"/>
  <c r="I1144" i="12"/>
  <c r="I1143" i="12"/>
  <c r="I1142" i="12"/>
  <c r="I1141" i="12"/>
  <c r="I1140" i="12"/>
  <c r="I1139" i="12"/>
  <c r="I1138" i="12"/>
  <c r="I1137" i="12"/>
  <c r="I1136" i="12"/>
  <c r="I1135" i="12"/>
  <c r="I1134" i="12"/>
  <c r="I1133" i="12"/>
  <c r="I1132" i="12"/>
  <c r="I1131" i="12"/>
  <c r="I1130" i="12"/>
  <c r="I1129" i="12"/>
  <c r="I1128" i="12"/>
  <c r="I1127" i="12"/>
  <c r="I1126" i="12"/>
  <c r="I1125" i="12"/>
  <c r="I1124" i="12"/>
  <c r="I1123" i="12"/>
  <c r="I1122" i="12"/>
  <c r="I1121" i="12"/>
  <c r="I1120" i="12"/>
  <c r="I1119" i="12"/>
  <c r="I1118" i="12"/>
  <c r="I1117" i="12"/>
  <c r="I1116" i="12"/>
  <c r="I1115" i="12"/>
  <c r="I1114" i="12"/>
  <c r="I1113" i="12"/>
  <c r="I1112" i="12"/>
  <c r="I1111" i="12"/>
  <c r="I1110" i="12"/>
  <c r="I1109" i="12"/>
  <c r="I1108" i="12"/>
  <c r="I1107" i="12"/>
  <c r="I1106" i="12"/>
  <c r="I1105" i="12"/>
  <c r="I1104" i="12"/>
  <c r="I1103" i="12"/>
  <c r="I1102" i="12"/>
  <c r="I1101" i="12"/>
  <c r="I1100" i="12"/>
  <c r="I1099" i="12"/>
  <c r="I1098" i="12"/>
  <c r="I1097" i="12"/>
  <c r="I1096" i="12"/>
  <c r="I1095" i="12"/>
  <c r="I1094" i="12"/>
  <c r="I1093" i="12"/>
  <c r="I1092" i="12"/>
  <c r="I1091" i="12"/>
  <c r="I1090" i="12"/>
  <c r="I1089" i="12"/>
  <c r="I1088" i="12"/>
  <c r="I1087" i="12"/>
  <c r="I1086" i="12"/>
  <c r="I1085" i="12"/>
  <c r="I1084" i="12"/>
  <c r="I1083" i="12"/>
  <c r="I1082" i="12"/>
  <c r="I1081" i="12"/>
  <c r="I1080" i="12"/>
  <c r="I1079" i="12"/>
  <c r="I1078" i="12"/>
  <c r="I1077" i="12"/>
  <c r="I1076" i="12"/>
  <c r="I1075" i="12"/>
  <c r="I1074" i="12"/>
  <c r="I1073" i="12"/>
  <c r="I1072" i="12"/>
  <c r="I1071" i="12"/>
  <c r="I1070" i="12"/>
  <c r="I1069" i="12"/>
  <c r="I1068" i="12"/>
  <c r="I1067" i="12"/>
  <c r="I1066" i="12"/>
  <c r="I1065" i="12"/>
  <c r="I1064" i="12"/>
  <c r="I1063" i="12"/>
  <c r="I1062" i="12"/>
  <c r="I1061" i="12"/>
  <c r="I1060" i="12"/>
  <c r="I1059" i="12"/>
  <c r="I1058" i="12"/>
  <c r="I1057" i="12"/>
  <c r="I1056" i="12"/>
  <c r="I1055" i="12"/>
  <c r="I1054" i="12"/>
  <c r="I1053" i="12"/>
  <c r="I1052" i="12"/>
  <c r="I1051" i="12"/>
  <c r="I1050" i="12"/>
  <c r="I1049" i="12"/>
  <c r="I1048" i="12"/>
  <c r="I1047" i="12"/>
  <c r="I1046" i="12"/>
  <c r="I1045" i="12"/>
  <c r="I1044" i="12"/>
  <c r="I1043" i="12"/>
  <c r="I1042" i="12"/>
  <c r="I1041" i="12"/>
  <c r="I1040" i="12"/>
  <c r="I1039" i="12"/>
  <c r="I1038" i="12"/>
  <c r="I1037" i="12"/>
  <c r="I1036" i="12"/>
  <c r="I1035" i="12"/>
  <c r="I1034" i="12"/>
  <c r="I1033" i="12"/>
  <c r="I1032" i="12"/>
  <c r="I1031" i="12"/>
  <c r="I1030" i="12"/>
  <c r="I1029" i="12"/>
  <c r="I1028" i="12"/>
  <c r="I1027" i="12"/>
  <c r="I1026" i="12"/>
  <c r="I1025" i="12"/>
  <c r="I1024" i="12"/>
  <c r="I1023" i="12"/>
  <c r="I1022" i="12"/>
  <c r="I1021" i="12"/>
  <c r="I1020" i="12"/>
  <c r="I1019" i="12"/>
  <c r="I1018" i="12"/>
  <c r="I1017" i="12"/>
  <c r="I1016" i="12"/>
  <c r="I1015" i="12"/>
  <c r="I1014" i="12"/>
  <c r="I1013" i="12"/>
  <c r="I1012" i="12"/>
  <c r="I1011" i="12"/>
  <c r="I1010" i="12"/>
  <c r="I1009" i="12"/>
  <c r="I1008" i="12"/>
  <c r="I1007" i="12"/>
  <c r="I1006" i="12"/>
  <c r="I1005" i="12"/>
  <c r="I1004" i="12"/>
  <c r="I1003" i="12"/>
  <c r="I1002" i="12"/>
  <c r="I1001" i="12"/>
  <c r="I1000" i="12"/>
  <c r="I999" i="12"/>
  <c r="I998" i="12"/>
  <c r="I997" i="12"/>
  <c r="I996" i="12"/>
  <c r="I995" i="12"/>
  <c r="I994" i="12"/>
  <c r="I993" i="12"/>
  <c r="I992" i="12"/>
  <c r="I991" i="12"/>
  <c r="I990" i="12"/>
  <c r="I989" i="12"/>
  <c r="I988" i="12"/>
  <c r="I987" i="12"/>
  <c r="I986" i="12"/>
  <c r="I985" i="12"/>
  <c r="I984" i="12"/>
  <c r="I983" i="12"/>
  <c r="I982" i="12"/>
  <c r="I981" i="12"/>
  <c r="I980" i="12"/>
  <c r="I979" i="12"/>
  <c r="I978" i="12"/>
  <c r="I977" i="12"/>
  <c r="I976" i="12"/>
  <c r="I975" i="12"/>
  <c r="I974" i="12"/>
  <c r="I973" i="12"/>
  <c r="I972" i="12"/>
  <c r="I971" i="12"/>
  <c r="I970" i="12"/>
  <c r="I969" i="12"/>
  <c r="I968" i="12"/>
  <c r="I967" i="12"/>
  <c r="I966" i="12"/>
  <c r="I965" i="12"/>
  <c r="I964" i="12"/>
  <c r="I963" i="12"/>
  <c r="I962" i="12"/>
  <c r="I961" i="12"/>
  <c r="I960" i="12"/>
  <c r="I959" i="12"/>
  <c r="I958" i="12"/>
  <c r="I957" i="12"/>
  <c r="I956" i="12"/>
  <c r="I955" i="12"/>
  <c r="I954" i="12"/>
  <c r="I953" i="12"/>
  <c r="I952" i="12"/>
  <c r="I951" i="12"/>
  <c r="I950" i="12"/>
  <c r="I949" i="12"/>
  <c r="I948" i="12"/>
  <c r="I947" i="12"/>
  <c r="I946" i="12"/>
  <c r="I945" i="12"/>
  <c r="I944" i="12"/>
  <c r="I943" i="12"/>
  <c r="I942" i="12"/>
  <c r="I941" i="12"/>
  <c r="I940" i="12"/>
  <c r="I939" i="12"/>
  <c r="I938" i="12"/>
  <c r="I937" i="12"/>
  <c r="I936" i="12"/>
  <c r="I935" i="12"/>
  <c r="I934" i="12"/>
  <c r="I933" i="12"/>
  <c r="I932" i="12"/>
  <c r="I931" i="12"/>
  <c r="I930" i="12"/>
  <c r="I929" i="12"/>
  <c r="I928" i="12"/>
  <c r="I927" i="12"/>
  <c r="I926" i="12"/>
  <c r="I925" i="12"/>
  <c r="I924" i="12"/>
  <c r="I923" i="12"/>
  <c r="I922" i="12"/>
  <c r="I921" i="12"/>
  <c r="I920" i="12"/>
  <c r="I919" i="12"/>
  <c r="I918" i="12"/>
  <c r="I917" i="12"/>
  <c r="I916" i="12"/>
  <c r="I915" i="12"/>
  <c r="I914" i="12"/>
  <c r="I913" i="12"/>
  <c r="I912" i="12"/>
  <c r="I911" i="12"/>
  <c r="I910" i="12"/>
  <c r="I909" i="12"/>
  <c r="I908" i="12"/>
  <c r="I907" i="12"/>
  <c r="I906" i="12"/>
  <c r="I905" i="12"/>
  <c r="I904" i="12"/>
  <c r="I903" i="12"/>
  <c r="I902" i="12"/>
  <c r="I901" i="12"/>
  <c r="I900" i="12"/>
  <c r="I899" i="12"/>
  <c r="I898" i="12"/>
  <c r="I897" i="12"/>
  <c r="I896" i="12"/>
  <c r="I895" i="12"/>
  <c r="I894" i="12"/>
  <c r="I893" i="12"/>
  <c r="I892" i="12"/>
  <c r="I891" i="12"/>
  <c r="I890" i="12"/>
  <c r="I889" i="12"/>
  <c r="I888" i="12"/>
  <c r="I887" i="12"/>
  <c r="I886" i="12"/>
  <c r="I885" i="12"/>
  <c r="I884" i="12"/>
  <c r="I883" i="12"/>
  <c r="I882" i="12"/>
  <c r="I881" i="12"/>
  <c r="I880" i="12"/>
  <c r="I879" i="12"/>
  <c r="I878" i="12"/>
  <c r="I877" i="12"/>
  <c r="I876" i="12"/>
  <c r="I875" i="12"/>
  <c r="I874" i="12"/>
  <c r="I873" i="12"/>
  <c r="I872" i="12"/>
  <c r="I871" i="12"/>
  <c r="I870" i="12"/>
  <c r="I869" i="12"/>
  <c r="I868" i="12"/>
  <c r="I867" i="12"/>
  <c r="I866" i="12"/>
  <c r="I865" i="12"/>
  <c r="I864" i="12"/>
  <c r="I863" i="12"/>
  <c r="I862" i="12"/>
  <c r="I861" i="12"/>
  <c r="I860" i="12"/>
  <c r="I859" i="12"/>
  <c r="I858" i="12"/>
  <c r="I857" i="12"/>
  <c r="I856" i="12"/>
  <c r="I855" i="12"/>
  <c r="I854" i="12"/>
  <c r="I853" i="12"/>
  <c r="I852" i="12"/>
  <c r="I851" i="12"/>
  <c r="I850" i="12"/>
  <c r="I849" i="12"/>
  <c r="I848" i="12"/>
  <c r="I847" i="12"/>
  <c r="I846" i="12"/>
  <c r="I845" i="12"/>
  <c r="I844" i="12"/>
  <c r="I843" i="12"/>
  <c r="I842" i="12"/>
  <c r="I841" i="12"/>
  <c r="I840" i="12"/>
  <c r="I839" i="12"/>
  <c r="I838" i="12"/>
  <c r="I837" i="12"/>
  <c r="I836" i="12"/>
  <c r="I835" i="12"/>
  <c r="I834" i="12"/>
  <c r="I833" i="12"/>
  <c r="I832" i="12"/>
  <c r="I831" i="12"/>
  <c r="I830" i="12"/>
  <c r="I829" i="12"/>
  <c r="I828" i="12"/>
  <c r="I827" i="12"/>
  <c r="I826" i="12"/>
  <c r="I825" i="12"/>
  <c r="I824" i="12"/>
  <c r="I823" i="12"/>
  <c r="I822" i="12"/>
  <c r="I821" i="12"/>
  <c r="I820" i="12"/>
  <c r="I819" i="12"/>
  <c r="I818" i="12"/>
  <c r="I817" i="12"/>
  <c r="I816" i="12"/>
  <c r="I815" i="12"/>
  <c r="I814" i="12"/>
  <c r="I813" i="12"/>
  <c r="I812" i="12"/>
  <c r="I811" i="12"/>
  <c r="I810" i="12"/>
  <c r="I809" i="12"/>
  <c r="I808" i="12"/>
  <c r="I807" i="12"/>
  <c r="I806" i="12"/>
  <c r="I805" i="12"/>
  <c r="I804" i="12"/>
  <c r="I803" i="12"/>
  <c r="I802" i="12"/>
  <c r="I801" i="12"/>
  <c r="I800" i="12"/>
  <c r="I799" i="12"/>
  <c r="I798" i="12"/>
  <c r="I797" i="12"/>
  <c r="I796" i="12"/>
  <c r="I795" i="12"/>
  <c r="I794" i="12"/>
  <c r="I793" i="12"/>
  <c r="I792" i="12"/>
  <c r="I791" i="12"/>
  <c r="I790" i="12"/>
  <c r="I789" i="12"/>
  <c r="I788" i="12"/>
  <c r="I787" i="12"/>
  <c r="I786" i="12"/>
  <c r="I785" i="12"/>
  <c r="I784" i="12"/>
  <c r="I783" i="12"/>
  <c r="I782" i="12"/>
  <c r="I781" i="12"/>
  <c r="I780" i="12"/>
  <c r="I779" i="12"/>
  <c r="I778" i="12"/>
  <c r="I777" i="12"/>
  <c r="I776" i="12"/>
  <c r="I775" i="12"/>
  <c r="I774" i="12"/>
  <c r="I773" i="12"/>
  <c r="I772" i="12"/>
  <c r="I771" i="12"/>
  <c r="I770" i="12"/>
  <c r="I769" i="12"/>
  <c r="I768" i="12"/>
  <c r="I767" i="12"/>
  <c r="I766" i="12"/>
  <c r="I765" i="12"/>
  <c r="I764" i="12"/>
  <c r="I763" i="12"/>
  <c r="I762" i="12"/>
  <c r="I761" i="12"/>
  <c r="I760" i="12"/>
  <c r="I759" i="12"/>
  <c r="I758" i="12"/>
  <c r="I757" i="12"/>
  <c r="I756" i="12"/>
  <c r="I755" i="12"/>
  <c r="I754" i="12"/>
  <c r="I753" i="12"/>
  <c r="I752" i="12"/>
  <c r="I751" i="12"/>
  <c r="I750" i="12"/>
  <c r="I749" i="12"/>
  <c r="I748" i="12"/>
  <c r="I747" i="12"/>
  <c r="I746" i="12"/>
  <c r="I745" i="12"/>
  <c r="I744" i="12"/>
  <c r="I743" i="12"/>
  <c r="I742" i="12"/>
  <c r="I741" i="12"/>
  <c r="I740" i="12"/>
  <c r="I739" i="12"/>
  <c r="I738" i="12"/>
  <c r="I737" i="12"/>
  <c r="I736" i="12"/>
  <c r="I735" i="12"/>
  <c r="I734" i="12"/>
  <c r="I733" i="12"/>
  <c r="I732" i="12"/>
  <c r="I731" i="12"/>
  <c r="I730" i="12"/>
  <c r="I729" i="12"/>
  <c r="I728" i="12"/>
  <c r="I727" i="12"/>
  <c r="I726" i="12"/>
  <c r="I725" i="12"/>
  <c r="I724" i="12"/>
  <c r="I723" i="12"/>
  <c r="I722" i="12"/>
  <c r="I721" i="12"/>
  <c r="I720" i="12"/>
  <c r="I719" i="12"/>
  <c r="I718" i="12"/>
  <c r="I717" i="12"/>
  <c r="I716" i="12"/>
  <c r="I715" i="12"/>
  <c r="I714" i="12"/>
  <c r="I713" i="12"/>
  <c r="I712" i="12"/>
  <c r="I711" i="12"/>
  <c r="I710" i="12"/>
  <c r="I709" i="12"/>
  <c r="I708" i="12"/>
  <c r="I707" i="12"/>
  <c r="I706" i="12"/>
  <c r="I705" i="12"/>
  <c r="I704" i="12"/>
  <c r="I703" i="12"/>
  <c r="I702" i="12"/>
  <c r="I701" i="12"/>
  <c r="I700" i="12"/>
  <c r="I699" i="12"/>
  <c r="I698" i="12"/>
  <c r="I697" i="12"/>
  <c r="I696" i="12"/>
  <c r="I695" i="12"/>
  <c r="I694" i="12"/>
  <c r="I693" i="12"/>
  <c r="I692" i="12"/>
  <c r="I691" i="12"/>
  <c r="I690" i="12"/>
  <c r="I689" i="12"/>
  <c r="I688" i="12"/>
  <c r="I687" i="12"/>
  <c r="I686" i="12"/>
  <c r="I685" i="12"/>
  <c r="I684" i="12"/>
  <c r="I683" i="12"/>
  <c r="I682" i="12"/>
  <c r="I681" i="12"/>
  <c r="I680" i="12"/>
  <c r="I679" i="12"/>
  <c r="I678" i="12"/>
  <c r="I677" i="12"/>
  <c r="I676" i="12"/>
  <c r="I675" i="12"/>
  <c r="I674" i="12"/>
  <c r="I673" i="12"/>
  <c r="I672" i="12"/>
  <c r="I671" i="12"/>
  <c r="I670" i="12"/>
  <c r="I669" i="12"/>
  <c r="I668" i="12"/>
  <c r="I667" i="12"/>
  <c r="I666" i="12"/>
  <c r="I665" i="12"/>
  <c r="I664" i="12"/>
  <c r="I663" i="12"/>
  <c r="I662" i="12"/>
  <c r="I661" i="12"/>
  <c r="I660" i="12"/>
  <c r="I659" i="12"/>
  <c r="I658" i="12"/>
  <c r="I657" i="12"/>
  <c r="I656" i="12"/>
  <c r="I655" i="12"/>
  <c r="I654" i="12"/>
  <c r="I653" i="12"/>
  <c r="I652" i="12"/>
  <c r="I651" i="12"/>
  <c r="I650" i="12"/>
  <c r="I649" i="12"/>
  <c r="I648" i="12"/>
  <c r="I647" i="12"/>
  <c r="I646" i="12"/>
  <c r="I645" i="12"/>
  <c r="I644" i="12"/>
  <c r="I643" i="12"/>
  <c r="I642" i="12"/>
  <c r="I641" i="12"/>
  <c r="I640" i="12"/>
  <c r="I639" i="12"/>
  <c r="I638" i="12"/>
  <c r="I637" i="12"/>
  <c r="I636" i="12"/>
  <c r="I635" i="12"/>
  <c r="I634" i="12"/>
  <c r="I633" i="12"/>
  <c r="I632" i="12"/>
  <c r="I631" i="12"/>
  <c r="I630" i="12"/>
  <c r="I629" i="12"/>
  <c r="I628" i="12"/>
  <c r="I627" i="12"/>
  <c r="I626" i="12"/>
  <c r="I625" i="12"/>
  <c r="I624" i="12"/>
  <c r="I623" i="12"/>
  <c r="I622" i="12"/>
  <c r="I621" i="12"/>
  <c r="I620" i="12"/>
  <c r="I619" i="12"/>
  <c r="I618" i="12"/>
  <c r="I617" i="12"/>
  <c r="I616" i="12"/>
  <c r="I615" i="12"/>
  <c r="I614" i="12"/>
  <c r="I613" i="12"/>
  <c r="I612" i="12"/>
  <c r="I611" i="12"/>
  <c r="I610" i="12"/>
  <c r="I609" i="12"/>
  <c r="I608" i="12"/>
  <c r="I607" i="12"/>
  <c r="I606" i="12"/>
  <c r="I605" i="12"/>
  <c r="I604" i="12"/>
  <c r="I603" i="12"/>
  <c r="I602" i="12"/>
  <c r="I601" i="12"/>
  <c r="I600" i="12"/>
  <c r="I599" i="12"/>
  <c r="I598" i="12"/>
  <c r="I597" i="12"/>
  <c r="I596" i="12"/>
  <c r="I595" i="12"/>
  <c r="I594" i="12"/>
  <c r="I593" i="12"/>
  <c r="I592" i="12"/>
  <c r="I591" i="12"/>
  <c r="I590" i="12"/>
  <c r="I589" i="12"/>
  <c r="I588" i="12"/>
  <c r="I587" i="12"/>
  <c r="I586" i="12"/>
  <c r="I585" i="12"/>
  <c r="I584" i="12"/>
  <c r="I583" i="12"/>
  <c r="I582" i="12"/>
  <c r="I581" i="12"/>
  <c r="I580" i="12"/>
  <c r="I579" i="12"/>
  <c r="I578" i="12"/>
  <c r="I577" i="12"/>
  <c r="I576" i="12"/>
  <c r="I575" i="12"/>
  <c r="I574" i="12"/>
  <c r="I573" i="12"/>
  <c r="I572" i="12"/>
  <c r="I571" i="12"/>
  <c r="I570" i="12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" i="12"/>
  <c r="I8" i="12"/>
  <c r="I7" i="12"/>
  <c r="I6" i="12"/>
  <c r="I5" i="12"/>
  <c r="H1437" i="12"/>
  <c r="H1436" i="12"/>
  <c r="H1435" i="12"/>
  <c r="H1434" i="12"/>
  <c r="H1433" i="12"/>
  <c r="H1432" i="12"/>
  <c r="H1431" i="12"/>
  <c r="H1430" i="12"/>
  <c r="H1429" i="12"/>
  <c r="H1428" i="12"/>
  <c r="H1427" i="12"/>
  <c r="H1426" i="12"/>
  <c r="H1425" i="12"/>
  <c r="H1424" i="12"/>
  <c r="H1423" i="12"/>
  <c r="H1422" i="12"/>
  <c r="H1421" i="12"/>
  <c r="H1420" i="12"/>
  <c r="H1419" i="12"/>
  <c r="H1418" i="12"/>
  <c r="H1417" i="12"/>
  <c r="H1416" i="12"/>
  <c r="H1415" i="12"/>
  <c r="H1414" i="12"/>
  <c r="H1413" i="12"/>
  <c r="H1412" i="12"/>
  <c r="H1411" i="12"/>
  <c r="H1410" i="12"/>
  <c r="H1409" i="12"/>
  <c r="H1408" i="12"/>
  <c r="H1407" i="12"/>
  <c r="H1406" i="12"/>
  <c r="H1405" i="12"/>
  <c r="H1404" i="12"/>
  <c r="H1403" i="12"/>
  <c r="H1402" i="12"/>
  <c r="H1401" i="12"/>
  <c r="H1400" i="12"/>
  <c r="H1399" i="12"/>
  <c r="H1398" i="12"/>
  <c r="H1397" i="12"/>
  <c r="H1396" i="12"/>
  <c r="H1395" i="12"/>
  <c r="H1394" i="12"/>
  <c r="H1393" i="12"/>
  <c r="H1392" i="12"/>
  <c r="H1391" i="12"/>
  <c r="H1390" i="12"/>
  <c r="H1389" i="12"/>
  <c r="H1388" i="12"/>
  <c r="H1387" i="12"/>
  <c r="H1386" i="12"/>
  <c r="H1385" i="12"/>
  <c r="H1384" i="12"/>
  <c r="H1383" i="12"/>
  <c r="H1382" i="12"/>
  <c r="H1381" i="12"/>
  <c r="H1380" i="12"/>
  <c r="H1379" i="12"/>
  <c r="H1378" i="12"/>
  <c r="H1377" i="12"/>
  <c r="H1376" i="12"/>
  <c r="H1375" i="12"/>
  <c r="H1374" i="12"/>
  <c r="H1373" i="12"/>
  <c r="H1372" i="12"/>
  <c r="H1371" i="12"/>
  <c r="H1370" i="12"/>
  <c r="H1369" i="12"/>
  <c r="H1368" i="12"/>
  <c r="H1367" i="12"/>
  <c r="H1366" i="12"/>
  <c r="H1365" i="12"/>
  <c r="H1364" i="12"/>
  <c r="H1363" i="12"/>
  <c r="H1362" i="12"/>
  <c r="H1361" i="12"/>
  <c r="H1360" i="12"/>
  <c r="H1359" i="12"/>
  <c r="H1358" i="12"/>
  <c r="H1357" i="12"/>
  <c r="H1356" i="12"/>
  <c r="H1355" i="12"/>
  <c r="H1354" i="12"/>
  <c r="H1353" i="12"/>
  <c r="H1352" i="12"/>
  <c r="H1351" i="12"/>
  <c r="H1350" i="12"/>
  <c r="H1349" i="12"/>
  <c r="H1348" i="12"/>
  <c r="H1347" i="12"/>
  <c r="H1346" i="12"/>
  <c r="H1345" i="12"/>
  <c r="H1344" i="12"/>
  <c r="H1343" i="12"/>
  <c r="H1342" i="12"/>
  <c r="H1341" i="12"/>
  <c r="H1340" i="12"/>
  <c r="H1339" i="12"/>
  <c r="H1338" i="12"/>
  <c r="H1337" i="12"/>
  <c r="H1336" i="12"/>
  <c r="H1335" i="12"/>
  <c r="H1334" i="12"/>
  <c r="H1333" i="12"/>
  <c r="H1332" i="12"/>
  <c r="H1331" i="12"/>
  <c r="H1330" i="12"/>
  <c r="H1329" i="12"/>
  <c r="H1328" i="12"/>
  <c r="H1327" i="12"/>
  <c r="H1326" i="12"/>
  <c r="H1325" i="12"/>
  <c r="H1324" i="12"/>
  <c r="H1323" i="12"/>
  <c r="H1322" i="12"/>
  <c r="H1321" i="12"/>
  <c r="H1320" i="12"/>
  <c r="H1319" i="12"/>
  <c r="H1318" i="12"/>
  <c r="H1317" i="12"/>
  <c r="H1316" i="12"/>
  <c r="H1315" i="12"/>
  <c r="H1314" i="12"/>
  <c r="H1313" i="12"/>
  <c r="H1312" i="12"/>
  <c r="H1311" i="12"/>
  <c r="H1310" i="12"/>
  <c r="H1309" i="12"/>
  <c r="H1308" i="12"/>
  <c r="H1307" i="12"/>
  <c r="H1306" i="12"/>
  <c r="H1305" i="12"/>
  <c r="H1304" i="12"/>
  <c r="H1303" i="12"/>
  <c r="H1302" i="12"/>
  <c r="H1301" i="12"/>
  <c r="H1300" i="12"/>
  <c r="H1299" i="12"/>
  <c r="H1298" i="12"/>
  <c r="H1297" i="12"/>
  <c r="H1296" i="12"/>
  <c r="H1295" i="12"/>
  <c r="H1294" i="12"/>
  <c r="H1293" i="12"/>
  <c r="H1292" i="12"/>
  <c r="H1291" i="12"/>
  <c r="H1290" i="12"/>
  <c r="H1289" i="12"/>
  <c r="H1288" i="12"/>
  <c r="H1287" i="12"/>
  <c r="H1286" i="12"/>
  <c r="H1285" i="12"/>
  <c r="H1284" i="12"/>
  <c r="H1283" i="12"/>
  <c r="H1282" i="12"/>
  <c r="H1281" i="12"/>
  <c r="H1280" i="12"/>
  <c r="H1279" i="12"/>
  <c r="H1278" i="12"/>
  <c r="H1277" i="12"/>
  <c r="H1276" i="12"/>
  <c r="H1275" i="12"/>
  <c r="H1274" i="12"/>
  <c r="H1273" i="12"/>
  <c r="H1272" i="12"/>
  <c r="H1271" i="12"/>
  <c r="H1270" i="12"/>
  <c r="H1269" i="12"/>
  <c r="H1268" i="12"/>
  <c r="H1267" i="12"/>
  <c r="H1266" i="12"/>
  <c r="H1265" i="12"/>
  <c r="H1264" i="12"/>
  <c r="H1263" i="12"/>
  <c r="H1262" i="12"/>
  <c r="H1261" i="12"/>
  <c r="H1260" i="12"/>
  <c r="H1259" i="12"/>
  <c r="H1258" i="12"/>
  <c r="H1257" i="12"/>
  <c r="H1256" i="12"/>
  <c r="H1255" i="12"/>
  <c r="H1254" i="12"/>
  <c r="H1253" i="12"/>
  <c r="H1252" i="12"/>
  <c r="H1251" i="12"/>
  <c r="H1250" i="12"/>
  <c r="H1249" i="12"/>
  <c r="H1248" i="12"/>
  <c r="H1247" i="12"/>
  <c r="H1246" i="12"/>
  <c r="H1245" i="12"/>
  <c r="H1244" i="12"/>
  <c r="H1243" i="12"/>
  <c r="H1242" i="12"/>
  <c r="H1241" i="12"/>
  <c r="H1240" i="12"/>
  <c r="H1239" i="12"/>
  <c r="H1238" i="12"/>
  <c r="H1237" i="12"/>
  <c r="H1236" i="12"/>
  <c r="H1235" i="12"/>
  <c r="H1234" i="12"/>
  <c r="H1233" i="12"/>
  <c r="H1232" i="12"/>
  <c r="H1231" i="12"/>
  <c r="H1230" i="12"/>
  <c r="H1229" i="12"/>
  <c r="H1228" i="12"/>
  <c r="H1227" i="12"/>
  <c r="H1226" i="12"/>
  <c r="H1225" i="12"/>
  <c r="H1224" i="12"/>
  <c r="H1223" i="12"/>
  <c r="H1222" i="12"/>
  <c r="H1221" i="12"/>
  <c r="H1220" i="12"/>
  <c r="H1219" i="12"/>
  <c r="H1218" i="12"/>
  <c r="H1217" i="12"/>
  <c r="H1216" i="12"/>
  <c r="H1215" i="12"/>
  <c r="H1214" i="12"/>
  <c r="H1213" i="12"/>
  <c r="H1212" i="12"/>
  <c r="H1211" i="12"/>
  <c r="H1210" i="12"/>
  <c r="H1209" i="12"/>
  <c r="H1208" i="12"/>
  <c r="H1207" i="12"/>
  <c r="H1206" i="12"/>
  <c r="H1205" i="12"/>
  <c r="H1204" i="12"/>
  <c r="H1203" i="12"/>
  <c r="H1202" i="12"/>
  <c r="H1201" i="12"/>
  <c r="H1200" i="12"/>
  <c r="H1199" i="12"/>
  <c r="H1198" i="12"/>
  <c r="H1197" i="12"/>
  <c r="H1196" i="12"/>
  <c r="H1195" i="12"/>
  <c r="H1194" i="12"/>
  <c r="H1193" i="12"/>
  <c r="H1192" i="12"/>
  <c r="H1191" i="12"/>
  <c r="H1190" i="12"/>
  <c r="H1189" i="12"/>
  <c r="H1188" i="12"/>
  <c r="H1187" i="12"/>
  <c r="H1186" i="12"/>
  <c r="H1185" i="12"/>
  <c r="H1184" i="12"/>
  <c r="H1183" i="12"/>
  <c r="H1182" i="12"/>
  <c r="H1181" i="12"/>
  <c r="H1180" i="12"/>
  <c r="H1179" i="12"/>
  <c r="H1178" i="12"/>
  <c r="H1177" i="12"/>
  <c r="H1176" i="12"/>
  <c r="H1175" i="12"/>
  <c r="H1174" i="12"/>
  <c r="H1173" i="12"/>
  <c r="H1172" i="12"/>
  <c r="H1171" i="12"/>
  <c r="H1170" i="12"/>
  <c r="H1169" i="12"/>
  <c r="H1168" i="12"/>
  <c r="H1167" i="12"/>
  <c r="H1166" i="12"/>
  <c r="H1165" i="12"/>
  <c r="H1164" i="12"/>
  <c r="H1163" i="12"/>
  <c r="H1162" i="12"/>
  <c r="H1161" i="12"/>
  <c r="H1160" i="12"/>
  <c r="H1159" i="12"/>
  <c r="H1158" i="12"/>
  <c r="H1157" i="12"/>
  <c r="H1156" i="12"/>
  <c r="H1155" i="12"/>
  <c r="H1154" i="12"/>
  <c r="H1153" i="12"/>
  <c r="H1152" i="12"/>
  <c r="H1151" i="12"/>
  <c r="H1150" i="12"/>
  <c r="H1149" i="12"/>
  <c r="H1148" i="12"/>
  <c r="H1147" i="12"/>
  <c r="H1146" i="12"/>
  <c r="H1145" i="12"/>
  <c r="H1144" i="12"/>
  <c r="H1143" i="12"/>
  <c r="H1142" i="12"/>
  <c r="H1141" i="12"/>
  <c r="H1140" i="12"/>
  <c r="H1139" i="12"/>
  <c r="H1138" i="12"/>
  <c r="H1137" i="12"/>
  <c r="H1136" i="12"/>
  <c r="H1135" i="12"/>
  <c r="H1134" i="12"/>
  <c r="H1133" i="12"/>
  <c r="H1132" i="12"/>
  <c r="H1131" i="12"/>
  <c r="H1130" i="12"/>
  <c r="H1129" i="12"/>
  <c r="H1128" i="12"/>
  <c r="H1127" i="12"/>
  <c r="H1126" i="12"/>
  <c r="H1125" i="12"/>
  <c r="H1124" i="12"/>
  <c r="H1123" i="12"/>
  <c r="H1122" i="12"/>
  <c r="H1121" i="12"/>
  <c r="H1120" i="12"/>
  <c r="H1119" i="12"/>
  <c r="H1118" i="12"/>
  <c r="H1117" i="12"/>
  <c r="H1116" i="12"/>
  <c r="H1115" i="12"/>
  <c r="H1114" i="12"/>
  <c r="H1113" i="12"/>
  <c r="H1112" i="12"/>
  <c r="H1111" i="12"/>
  <c r="H1110" i="12"/>
  <c r="H1109" i="12"/>
  <c r="H1108" i="12"/>
  <c r="H1107" i="12"/>
  <c r="H1106" i="12"/>
  <c r="H1105" i="12"/>
  <c r="H1104" i="12"/>
  <c r="H1103" i="12"/>
  <c r="H1102" i="12"/>
  <c r="H1101" i="12"/>
  <c r="H1100" i="12"/>
  <c r="H1099" i="12"/>
  <c r="H1098" i="12"/>
  <c r="H1097" i="12"/>
  <c r="H1096" i="12"/>
  <c r="H1095" i="12"/>
  <c r="H1094" i="12"/>
  <c r="H1093" i="12"/>
  <c r="H1092" i="12"/>
  <c r="H1091" i="12"/>
  <c r="H1090" i="12"/>
  <c r="H1089" i="12"/>
  <c r="H1088" i="12"/>
  <c r="H1087" i="12"/>
  <c r="H1086" i="12"/>
  <c r="H1085" i="12"/>
  <c r="H1084" i="12"/>
  <c r="H1083" i="12"/>
  <c r="H1082" i="12"/>
  <c r="H1081" i="12"/>
  <c r="H1080" i="12"/>
  <c r="H1079" i="12"/>
  <c r="H1078" i="12"/>
  <c r="H1077" i="12"/>
  <c r="H1076" i="12"/>
  <c r="H1075" i="12"/>
  <c r="H1074" i="12"/>
  <c r="H1073" i="12"/>
  <c r="H1072" i="12"/>
  <c r="H1071" i="12"/>
  <c r="H1070" i="12"/>
  <c r="H1069" i="12"/>
  <c r="H1068" i="12"/>
  <c r="H1067" i="12"/>
  <c r="H1066" i="12"/>
  <c r="H1065" i="12"/>
  <c r="H1064" i="12"/>
  <c r="H1063" i="12"/>
  <c r="H1062" i="12"/>
  <c r="H1061" i="12"/>
  <c r="H1060" i="12"/>
  <c r="H1059" i="12"/>
  <c r="H1058" i="12"/>
  <c r="H1057" i="12"/>
  <c r="H1056" i="12"/>
  <c r="H1055" i="12"/>
  <c r="H1054" i="12"/>
  <c r="H1053" i="12"/>
  <c r="H1052" i="12"/>
  <c r="H1051" i="12"/>
  <c r="H1050" i="12"/>
  <c r="H1049" i="12"/>
  <c r="H1048" i="12"/>
  <c r="H1047" i="12"/>
  <c r="H1046" i="12"/>
  <c r="H1045" i="12"/>
  <c r="H1044" i="12"/>
  <c r="H1043" i="12"/>
  <c r="H1042" i="12"/>
  <c r="H1041" i="12"/>
  <c r="H1040" i="12"/>
  <c r="H1039" i="12"/>
  <c r="H1038" i="12"/>
  <c r="H1037" i="12"/>
  <c r="H1036" i="12"/>
  <c r="H1035" i="12"/>
  <c r="H1034" i="12"/>
  <c r="H1033" i="12"/>
  <c r="H1032" i="12"/>
  <c r="H1031" i="12"/>
  <c r="H1030" i="12"/>
  <c r="H1029" i="12"/>
  <c r="H1028" i="12"/>
  <c r="H1027" i="12"/>
  <c r="H1026" i="12"/>
  <c r="H1025" i="12"/>
  <c r="H1024" i="12"/>
  <c r="H1023" i="12"/>
  <c r="H1022" i="12"/>
  <c r="H1021" i="12"/>
  <c r="H1020" i="12"/>
  <c r="H1019" i="12"/>
  <c r="H1018" i="12"/>
  <c r="H1017" i="12"/>
  <c r="H1016" i="12"/>
  <c r="H1015" i="12"/>
  <c r="H1014" i="12"/>
  <c r="H1013" i="12"/>
  <c r="H1012" i="12"/>
  <c r="H1011" i="12"/>
  <c r="H1010" i="12"/>
  <c r="H1009" i="12"/>
  <c r="H1008" i="12"/>
  <c r="H1007" i="12"/>
  <c r="H1006" i="12"/>
  <c r="H1005" i="12"/>
  <c r="H1004" i="12"/>
  <c r="H1003" i="12"/>
  <c r="H1002" i="12"/>
  <c r="H1001" i="12"/>
  <c r="H1000" i="12"/>
  <c r="H999" i="12"/>
  <c r="H998" i="12"/>
  <c r="H997" i="12"/>
  <c r="H996" i="12"/>
  <c r="H995" i="12"/>
  <c r="H994" i="12"/>
  <c r="H993" i="12"/>
  <c r="H992" i="12"/>
  <c r="H991" i="12"/>
  <c r="H990" i="12"/>
  <c r="H989" i="12"/>
  <c r="H988" i="12"/>
  <c r="H987" i="12"/>
  <c r="H986" i="12"/>
  <c r="H985" i="12"/>
  <c r="CB37" i="9"/>
  <c r="CB36" i="9"/>
  <c r="CB35" i="9"/>
  <c r="CB34" i="9"/>
  <c r="CB33" i="9"/>
  <c r="CB32" i="9"/>
  <c r="CB31" i="9"/>
  <c r="CB30" i="9"/>
  <c r="CB29" i="9"/>
  <c r="CB28" i="9"/>
  <c r="CB27" i="9"/>
  <c r="CB26" i="9"/>
  <c r="CB25" i="9"/>
  <c r="CB24" i="9"/>
  <c r="CB23" i="9"/>
  <c r="CB22" i="9"/>
  <c r="CB21" i="9"/>
  <c r="CB20" i="9"/>
  <c r="CB19" i="9"/>
  <c r="CB18" i="9"/>
  <c r="CB17" i="9"/>
  <c r="CB16" i="9"/>
  <c r="CB15" i="9"/>
  <c r="CB14" i="9"/>
  <c r="CB13" i="9"/>
  <c r="CB12" i="9"/>
  <c r="CB11" i="9"/>
  <c r="CB10" i="9"/>
  <c r="CB9" i="9"/>
  <c r="CB8" i="9"/>
  <c r="CB7" i="9"/>
  <c r="CB6" i="9"/>
  <c r="CB5" i="9"/>
  <c r="CB4" i="9"/>
  <c r="CB3" i="9"/>
  <c r="DG16" i="9" l="1"/>
  <c r="DG53" i="9" s="1"/>
  <c r="DD19" i="9" s="1"/>
  <c r="DF9" i="9"/>
  <c r="DF13" i="9"/>
  <c r="DF20" i="9"/>
  <c r="DF24" i="9"/>
  <c r="DF28" i="9"/>
  <c r="DF32" i="9"/>
  <c r="DF36" i="9"/>
  <c r="DF40" i="9"/>
  <c r="DF44" i="9"/>
  <c r="DF48" i="9"/>
  <c r="DF4" i="9"/>
  <c r="DF8" i="9"/>
  <c r="DF12" i="9"/>
  <c r="DF19" i="9"/>
  <c r="DF23" i="9"/>
  <c r="DF27" i="9"/>
  <c r="DG57" i="9"/>
  <c r="DF31" i="9"/>
  <c r="DF35" i="9"/>
  <c r="DF39" i="9"/>
  <c r="DF43" i="9"/>
  <c r="DF47" i="9"/>
  <c r="DF51" i="9"/>
  <c r="EL5" i="9"/>
  <c r="DF7" i="9"/>
  <c r="DD7" i="9"/>
  <c r="DF11" i="9"/>
  <c r="DD11" i="9"/>
  <c r="DF18" i="9"/>
  <c r="DD18" i="9"/>
  <c r="DF22" i="9"/>
  <c r="DD22" i="9"/>
  <c r="DF26" i="9"/>
  <c r="DD26" i="9"/>
  <c r="DF30" i="9"/>
  <c r="DD30" i="9"/>
  <c r="DF34" i="9"/>
  <c r="DD34" i="9"/>
  <c r="DF38" i="9"/>
  <c r="DD38" i="9"/>
  <c r="DF42" i="9"/>
  <c r="DD42" i="9"/>
  <c r="DF46" i="9"/>
  <c r="DD46" i="9"/>
  <c r="DF50" i="9"/>
  <c r="DD50" i="9"/>
  <c r="DF5" i="9"/>
  <c r="DD5" i="9"/>
  <c r="DF6" i="9"/>
  <c r="DD6" i="9"/>
  <c r="DF10" i="9"/>
  <c r="DD10" i="9"/>
  <c r="DF17" i="9"/>
  <c r="DF55" i="9"/>
  <c r="DF21" i="9"/>
  <c r="DF25" i="9"/>
  <c r="DF29" i="9"/>
  <c r="DF33" i="9"/>
  <c r="DF37" i="9"/>
  <c r="DF41" i="9"/>
  <c r="DF45" i="9"/>
  <c r="DF49" i="9"/>
  <c r="EM5" i="9"/>
  <c r="DG60" i="9"/>
  <c r="CM3" i="9"/>
  <c r="CM8" i="9"/>
  <c r="CM5" i="9"/>
  <c r="CM4" i="9"/>
  <c r="CM6" i="9"/>
  <c r="CM7" i="9"/>
  <c r="L41" i="9"/>
  <c r="L30" i="9"/>
  <c r="L16" i="9"/>
  <c r="CC37" i="9"/>
  <c r="CC36" i="9"/>
  <c r="CC35" i="9"/>
  <c r="CC34" i="9"/>
  <c r="CC33" i="9"/>
  <c r="CC32" i="9"/>
  <c r="CC31" i="9"/>
  <c r="CC30" i="9"/>
  <c r="CC29" i="9"/>
  <c r="CC28" i="9"/>
  <c r="CC27" i="9"/>
  <c r="CC26" i="9"/>
  <c r="CC25" i="9"/>
  <c r="CC24" i="9"/>
  <c r="CC23" i="9"/>
  <c r="CC22" i="9"/>
  <c r="CC21" i="9"/>
  <c r="CC20" i="9"/>
  <c r="CC19" i="9"/>
  <c r="CC18" i="9"/>
  <c r="CC17" i="9"/>
  <c r="CC16" i="9"/>
  <c r="CC15" i="9"/>
  <c r="CC14" i="9"/>
  <c r="CC13" i="9"/>
  <c r="CC12" i="9"/>
  <c r="CC11" i="9"/>
  <c r="CC10" i="9"/>
  <c r="CC9" i="9"/>
  <c r="CC8" i="9"/>
  <c r="CC7" i="9"/>
  <c r="CC6" i="9"/>
  <c r="CC5" i="9"/>
  <c r="CC4" i="9"/>
  <c r="CC3" i="9"/>
  <c r="CD37" i="9"/>
  <c r="CD36" i="9"/>
  <c r="CD35" i="9"/>
  <c r="CD34" i="9"/>
  <c r="CD33" i="9"/>
  <c r="CD32" i="9"/>
  <c r="CD31" i="9"/>
  <c r="CD30" i="9"/>
  <c r="CD29" i="9"/>
  <c r="CD28" i="9"/>
  <c r="CD27" i="9"/>
  <c r="CD26" i="9"/>
  <c r="CD25" i="9"/>
  <c r="CD24" i="9"/>
  <c r="CD23" i="9"/>
  <c r="CD22" i="9"/>
  <c r="CD21" i="9"/>
  <c r="CD20" i="9"/>
  <c r="CD19" i="9"/>
  <c r="CD18" i="9"/>
  <c r="CD17" i="9"/>
  <c r="CD16" i="9"/>
  <c r="CD15" i="9"/>
  <c r="CD14" i="9"/>
  <c r="CD13" i="9"/>
  <c r="CD12" i="9"/>
  <c r="CD11" i="9"/>
  <c r="CD10" i="9"/>
  <c r="CD9" i="9"/>
  <c r="CD8" i="9"/>
  <c r="CD7" i="9"/>
  <c r="CD6" i="9"/>
  <c r="CD5" i="9"/>
  <c r="CD4" i="9"/>
  <c r="CD3" i="9"/>
  <c r="C1437" i="12"/>
  <c r="C1436" i="12"/>
  <c r="C1435" i="12"/>
  <c r="C1434" i="12"/>
  <c r="C1433" i="12"/>
  <c r="C1432" i="12"/>
  <c r="C1431" i="12"/>
  <c r="C1430" i="12"/>
  <c r="C1429" i="12"/>
  <c r="C1428" i="12"/>
  <c r="C1427" i="12"/>
  <c r="C1426" i="12"/>
  <c r="C1425" i="12"/>
  <c r="C1424" i="12"/>
  <c r="C1423" i="12"/>
  <c r="C1422" i="12"/>
  <c r="C1421" i="12"/>
  <c r="C1420" i="12"/>
  <c r="C1419" i="12"/>
  <c r="C1418" i="12"/>
  <c r="C1417" i="12"/>
  <c r="C1416" i="12"/>
  <c r="C1415" i="12"/>
  <c r="C1414" i="12"/>
  <c r="C1413" i="12"/>
  <c r="C1412" i="12"/>
  <c r="C1411" i="12"/>
  <c r="C1410" i="12"/>
  <c r="C1409" i="12"/>
  <c r="C1408" i="12"/>
  <c r="C1407" i="12"/>
  <c r="C1406" i="12"/>
  <c r="C1405" i="12"/>
  <c r="C1404" i="12"/>
  <c r="C1403" i="12"/>
  <c r="C1402" i="12"/>
  <c r="C1401" i="12"/>
  <c r="C1400" i="12"/>
  <c r="C1399" i="12"/>
  <c r="C1398" i="12"/>
  <c r="C1397" i="12"/>
  <c r="C1396" i="12"/>
  <c r="C1395" i="12"/>
  <c r="C1394" i="12"/>
  <c r="C1393" i="12"/>
  <c r="C1392" i="12"/>
  <c r="C1391" i="12"/>
  <c r="C1390" i="12"/>
  <c r="C1389" i="12"/>
  <c r="C1388" i="12"/>
  <c r="C1387" i="12"/>
  <c r="C1386" i="12"/>
  <c r="C1385" i="12"/>
  <c r="C1384" i="12"/>
  <c r="C1383" i="12"/>
  <c r="C1382" i="12"/>
  <c r="C1381" i="12"/>
  <c r="C1380" i="12"/>
  <c r="C1379" i="12"/>
  <c r="C1378" i="12"/>
  <c r="C1377" i="12"/>
  <c r="C1376" i="12"/>
  <c r="C1375" i="12"/>
  <c r="C1374" i="12"/>
  <c r="C1373" i="12"/>
  <c r="C1372" i="12"/>
  <c r="C1371" i="12"/>
  <c r="C1370" i="12"/>
  <c r="C1369" i="12"/>
  <c r="C1368" i="12"/>
  <c r="C1367" i="12"/>
  <c r="C1366" i="12"/>
  <c r="C1365" i="12"/>
  <c r="C1364" i="12"/>
  <c r="C1363" i="12"/>
  <c r="C1362" i="12"/>
  <c r="C1361" i="12"/>
  <c r="C1360" i="12"/>
  <c r="C1359" i="12"/>
  <c r="C1358" i="12"/>
  <c r="C1357" i="12"/>
  <c r="C1356" i="12"/>
  <c r="C1355" i="12"/>
  <c r="C1354" i="12"/>
  <c r="C1353" i="12"/>
  <c r="C1352" i="12"/>
  <c r="C1351" i="12"/>
  <c r="C1350" i="12"/>
  <c r="C1349" i="12"/>
  <c r="C1348" i="12"/>
  <c r="C1347" i="12"/>
  <c r="C1346" i="12"/>
  <c r="C1345" i="12"/>
  <c r="C1344" i="12"/>
  <c r="C1343" i="12"/>
  <c r="C1342" i="12"/>
  <c r="C1341" i="12"/>
  <c r="C1340" i="12"/>
  <c r="C1339" i="12"/>
  <c r="C1338" i="12"/>
  <c r="C1337" i="12"/>
  <c r="C1336" i="12"/>
  <c r="C1335" i="12"/>
  <c r="C1334" i="12"/>
  <c r="C1333" i="12"/>
  <c r="C1332" i="12"/>
  <c r="C1331" i="12"/>
  <c r="C1330" i="12"/>
  <c r="C1329" i="12"/>
  <c r="C1328" i="12"/>
  <c r="C1327" i="12"/>
  <c r="C1326" i="12"/>
  <c r="C1325" i="12"/>
  <c r="C1324" i="12"/>
  <c r="C1323" i="12"/>
  <c r="C1322" i="12"/>
  <c r="C1321" i="12"/>
  <c r="C1320" i="12"/>
  <c r="C1319" i="12"/>
  <c r="C1318" i="12"/>
  <c r="C1317" i="12"/>
  <c r="C1316" i="12"/>
  <c r="C1315" i="12"/>
  <c r="C1314" i="12"/>
  <c r="C1313" i="12"/>
  <c r="C1312" i="12"/>
  <c r="C1311" i="12"/>
  <c r="C1310" i="12"/>
  <c r="C1309" i="12"/>
  <c r="C1308" i="12"/>
  <c r="C1307" i="12"/>
  <c r="C1306" i="12"/>
  <c r="C1305" i="12"/>
  <c r="C1304" i="12"/>
  <c r="C1303" i="12"/>
  <c r="C1302" i="12"/>
  <c r="C1301" i="12"/>
  <c r="C1300" i="12"/>
  <c r="C1299" i="12"/>
  <c r="C1298" i="12"/>
  <c r="C1297" i="12"/>
  <c r="C1296" i="12"/>
  <c r="C1295" i="12"/>
  <c r="C1294" i="12"/>
  <c r="C1293" i="12"/>
  <c r="C1292" i="12"/>
  <c r="C1291" i="12"/>
  <c r="C1290" i="12"/>
  <c r="C1289" i="12"/>
  <c r="C1288" i="12"/>
  <c r="C1287" i="12"/>
  <c r="C1286" i="12"/>
  <c r="C1285" i="12"/>
  <c r="C1284" i="12"/>
  <c r="C1283" i="12"/>
  <c r="C1282" i="12"/>
  <c r="C1281" i="12"/>
  <c r="C1280" i="12"/>
  <c r="C1279" i="12"/>
  <c r="C1278" i="12"/>
  <c r="C1277" i="12"/>
  <c r="C1276" i="12"/>
  <c r="C1275" i="12"/>
  <c r="C1274" i="12"/>
  <c r="C1273" i="12"/>
  <c r="C1272" i="12"/>
  <c r="C1271" i="12"/>
  <c r="C1270" i="12"/>
  <c r="C1269" i="12"/>
  <c r="C1268" i="12"/>
  <c r="C1267" i="12"/>
  <c r="C1266" i="12"/>
  <c r="C1265" i="12"/>
  <c r="C1264" i="12"/>
  <c r="C1263" i="12"/>
  <c r="C1262" i="12"/>
  <c r="C1261" i="12"/>
  <c r="C1260" i="12"/>
  <c r="C1259" i="12"/>
  <c r="C1258" i="12"/>
  <c r="C1257" i="12"/>
  <c r="C1256" i="12"/>
  <c r="C1255" i="12"/>
  <c r="C1254" i="12"/>
  <c r="C1253" i="12"/>
  <c r="C1252" i="12"/>
  <c r="C1251" i="12"/>
  <c r="C1250" i="12"/>
  <c r="C1249" i="12"/>
  <c r="C1248" i="12"/>
  <c r="C1247" i="12"/>
  <c r="C1246" i="12"/>
  <c r="C1245" i="12"/>
  <c r="C1244" i="12"/>
  <c r="C1243" i="12"/>
  <c r="C1242" i="12"/>
  <c r="C1241" i="12"/>
  <c r="C1240" i="12"/>
  <c r="C1239" i="12"/>
  <c r="C1238" i="12"/>
  <c r="C1237" i="12"/>
  <c r="C1236" i="12"/>
  <c r="C1235" i="12"/>
  <c r="C1234" i="12"/>
  <c r="C1233" i="12"/>
  <c r="C1232" i="12"/>
  <c r="C1231" i="12"/>
  <c r="C1230" i="12"/>
  <c r="C1229" i="12"/>
  <c r="C1228" i="12"/>
  <c r="C1227" i="12"/>
  <c r="C1226" i="12"/>
  <c r="C1225" i="12"/>
  <c r="C1224" i="12"/>
  <c r="C1223" i="12"/>
  <c r="C1222" i="12"/>
  <c r="C1221" i="12"/>
  <c r="C1220" i="12"/>
  <c r="C1219" i="12"/>
  <c r="C1218" i="12"/>
  <c r="C1217" i="12"/>
  <c r="C1216" i="12"/>
  <c r="C1215" i="12"/>
  <c r="C1214" i="12"/>
  <c r="C1213" i="12"/>
  <c r="C1212" i="12"/>
  <c r="C1211" i="12"/>
  <c r="C1210" i="12"/>
  <c r="C1209" i="12"/>
  <c r="C1208" i="12"/>
  <c r="C1207" i="12"/>
  <c r="C1206" i="12"/>
  <c r="C1205" i="12"/>
  <c r="C1204" i="12"/>
  <c r="C1203" i="12"/>
  <c r="C1202" i="12"/>
  <c r="C1201" i="12"/>
  <c r="C1200" i="12"/>
  <c r="C1199" i="12"/>
  <c r="C1198" i="12"/>
  <c r="C1197" i="12"/>
  <c r="C1196" i="12"/>
  <c r="C1195" i="12"/>
  <c r="C1194" i="12"/>
  <c r="C1193" i="12"/>
  <c r="C1192" i="12"/>
  <c r="C1191" i="12"/>
  <c r="C1190" i="12"/>
  <c r="C1189" i="12"/>
  <c r="C1188" i="12"/>
  <c r="C1187" i="12"/>
  <c r="C1186" i="12"/>
  <c r="C1185" i="12"/>
  <c r="C1184" i="12"/>
  <c r="C1183" i="12"/>
  <c r="C1182" i="12"/>
  <c r="C1181" i="12"/>
  <c r="C1180" i="12"/>
  <c r="C1179" i="12"/>
  <c r="C1178" i="12"/>
  <c r="C1177" i="12"/>
  <c r="C1176" i="12"/>
  <c r="C1175" i="12"/>
  <c r="C1174" i="12"/>
  <c r="C1173" i="12"/>
  <c r="C1172" i="12"/>
  <c r="C1171" i="12"/>
  <c r="C1170" i="12"/>
  <c r="C1169" i="12"/>
  <c r="C1168" i="12"/>
  <c r="C1167" i="12"/>
  <c r="C1166" i="12"/>
  <c r="C1165" i="12"/>
  <c r="C1164" i="12"/>
  <c r="C1163" i="12"/>
  <c r="C1162" i="12"/>
  <c r="C1161" i="12"/>
  <c r="C1160" i="12"/>
  <c r="C1159" i="12"/>
  <c r="C1158" i="12"/>
  <c r="C1157" i="12"/>
  <c r="C1156" i="12"/>
  <c r="C1155" i="12"/>
  <c r="C1154" i="12"/>
  <c r="C1153" i="12"/>
  <c r="C1152" i="12"/>
  <c r="C1151" i="12"/>
  <c r="C1150" i="12"/>
  <c r="C1149" i="12"/>
  <c r="C1148" i="12"/>
  <c r="C1147" i="12"/>
  <c r="C1146" i="12"/>
  <c r="C1145" i="12"/>
  <c r="C1144" i="12"/>
  <c r="C1143" i="12"/>
  <c r="C1142" i="12"/>
  <c r="C1141" i="12"/>
  <c r="C1140" i="12"/>
  <c r="C1139" i="12"/>
  <c r="C1138" i="12"/>
  <c r="C1137" i="12"/>
  <c r="C1136" i="12"/>
  <c r="C1135" i="12"/>
  <c r="C1134" i="12"/>
  <c r="C1133" i="12"/>
  <c r="C1132" i="12"/>
  <c r="C1131" i="12"/>
  <c r="C1130" i="12"/>
  <c r="C1129" i="12"/>
  <c r="C1128" i="12"/>
  <c r="C1127" i="12"/>
  <c r="C1126" i="12"/>
  <c r="C1125" i="12"/>
  <c r="C1124" i="12"/>
  <c r="C1123" i="12"/>
  <c r="C1122" i="12"/>
  <c r="C1121" i="12"/>
  <c r="C1120" i="12"/>
  <c r="C1119" i="12"/>
  <c r="C1118" i="12"/>
  <c r="C1117" i="12"/>
  <c r="C1116" i="12"/>
  <c r="C1115" i="12"/>
  <c r="C1114" i="12"/>
  <c r="C1113" i="12"/>
  <c r="C1112" i="12"/>
  <c r="C1111" i="12"/>
  <c r="C1110" i="12"/>
  <c r="C1109" i="12"/>
  <c r="C1108" i="12"/>
  <c r="C1107" i="12"/>
  <c r="C1106" i="12"/>
  <c r="C1105" i="12"/>
  <c r="C1104" i="12"/>
  <c r="C1103" i="12"/>
  <c r="C1102" i="12"/>
  <c r="C1101" i="12"/>
  <c r="C1100" i="12"/>
  <c r="C1099" i="12"/>
  <c r="C1098" i="12"/>
  <c r="C1097" i="12"/>
  <c r="C1096" i="12"/>
  <c r="C1095" i="12"/>
  <c r="C1094" i="12"/>
  <c r="C1093" i="12"/>
  <c r="C1092" i="12"/>
  <c r="C1091" i="12"/>
  <c r="C1090" i="12"/>
  <c r="C1089" i="12"/>
  <c r="C1088" i="12"/>
  <c r="C1087" i="12"/>
  <c r="C1086" i="12"/>
  <c r="C1085" i="12"/>
  <c r="C1084" i="12"/>
  <c r="C1083" i="12"/>
  <c r="C1082" i="12"/>
  <c r="C1081" i="12"/>
  <c r="C1080" i="12"/>
  <c r="C1079" i="12"/>
  <c r="C1078" i="12"/>
  <c r="C1077" i="12"/>
  <c r="C1076" i="12"/>
  <c r="C1075" i="12"/>
  <c r="C1074" i="12"/>
  <c r="C1073" i="12"/>
  <c r="C1072" i="12"/>
  <c r="C1071" i="12"/>
  <c r="C1070" i="12"/>
  <c r="C1069" i="12"/>
  <c r="C1068" i="12"/>
  <c r="C1067" i="12"/>
  <c r="C1066" i="12"/>
  <c r="C1065" i="12"/>
  <c r="C1064" i="12"/>
  <c r="C1063" i="12"/>
  <c r="C1062" i="12"/>
  <c r="C1061" i="12"/>
  <c r="C1060" i="12"/>
  <c r="C1059" i="12"/>
  <c r="C1058" i="12"/>
  <c r="C1057" i="12"/>
  <c r="C1056" i="12"/>
  <c r="C1055" i="12"/>
  <c r="C1054" i="12"/>
  <c r="C1053" i="12"/>
  <c r="C1052" i="12"/>
  <c r="C1051" i="12"/>
  <c r="C1050" i="12"/>
  <c r="C1049" i="12"/>
  <c r="C1048" i="12"/>
  <c r="C1047" i="12"/>
  <c r="C1046" i="12"/>
  <c r="C1045" i="12"/>
  <c r="C1044" i="12"/>
  <c r="C1043" i="12"/>
  <c r="C1042" i="12"/>
  <c r="C1041" i="12"/>
  <c r="C1040" i="12"/>
  <c r="C1039" i="12"/>
  <c r="C1038" i="12"/>
  <c r="C1037" i="12"/>
  <c r="C1036" i="12"/>
  <c r="C1035" i="12"/>
  <c r="C1034" i="12"/>
  <c r="C1033" i="12"/>
  <c r="C1032" i="12"/>
  <c r="C1031" i="12"/>
  <c r="C1030" i="12"/>
  <c r="C1029" i="12"/>
  <c r="C1028" i="12"/>
  <c r="C1027" i="12"/>
  <c r="C1026" i="12"/>
  <c r="C1025" i="12"/>
  <c r="C1024" i="12"/>
  <c r="C1023" i="12"/>
  <c r="C1022" i="12"/>
  <c r="C1021" i="12"/>
  <c r="C1020" i="12"/>
  <c r="C1019" i="12"/>
  <c r="C1018" i="12"/>
  <c r="C1017" i="12"/>
  <c r="C1016" i="12"/>
  <c r="C1015" i="12"/>
  <c r="C1014" i="12"/>
  <c r="C1013" i="12"/>
  <c r="C1012" i="12"/>
  <c r="C1011" i="12"/>
  <c r="C1010" i="12"/>
  <c r="C1009" i="12"/>
  <c r="C1008" i="12"/>
  <c r="C1007" i="12"/>
  <c r="C1006" i="12"/>
  <c r="C1005" i="12"/>
  <c r="C1004" i="12"/>
  <c r="C1003" i="12"/>
  <c r="C1002" i="12"/>
  <c r="C1001" i="12"/>
  <c r="C1000" i="12"/>
  <c r="C999" i="12"/>
  <c r="C998" i="12"/>
  <c r="C997" i="12"/>
  <c r="C996" i="12"/>
  <c r="C995" i="12"/>
  <c r="C994" i="12"/>
  <c r="C993" i="12"/>
  <c r="C992" i="12"/>
  <c r="C991" i="12"/>
  <c r="C990" i="12"/>
  <c r="C989" i="12"/>
  <c r="C988" i="12"/>
  <c r="C987" i="12"/>
  <c r="C986" i="12"/>
  <c r="C985" i="12"/>
  <c r="BX11" i="9"/>
  <c r="BX40" i="9" s="1"/>
  <c r="BQ11" i="9"/>
  <c r="BR11" i="9" s="1"/>
  <c r="BS11" i="9" s="1"/>
  <c r="BT11" i="9" s="1"/>
  <c r="BU11" i="9" s="1"/>
  <c r="BV11" i="9" s="1"/>
  <c r="BW11" i="9" s="1"/>
  <c r="BL11" i="9"/>
  <c r="BE11" i="9"/>
  <c r="BF11" i="9" s="1"/>
  <c r="BG11" i="9" s="1"/>
  <c r="BH11" i="9" s="1"/>
  <c r="BI11" i="9" s="1"/>
  <c r="BJ11" i="9" s="1"/>
  <c r="BK11" i="9" s="1"/>
  <c r="AZ11" i="9"/>
  <c r="AZ40" i="9" s="1"/>
  <c r="AS11" i="9"/>
  <c r="AT11" i="9" s="1"/>
  <c r="AU11" i="9" s="1"/>
  <c r="AV11" i="9" s="1"/>
  <c r="AW11" i="9" s="1"/>
  <c r="AX11" i="9" s="1"/>
  <c r="AY11" i="9" s="1"/>
  <c r="AN11" i="9"/>
  <c r="AG11" i="9"/>
  <c r="AH11" i="9" s="1"/>
  <c r="BX3" i="9"/>
  <c r="BX4" i="9" s="1"/>
  <c r="BX5" i="9" s="1"/>
  <c r="BX6" i="9" s="1"/>
  <c r="BX7" i="9" s="1"/>
  <c r="BX8" i="9" s="1"/>
  <c r="BX9" i="9" s="1"/>
  <c r="BX10" i="9" s="1"/>
  <c r="BQ3" i="9"/>
  <c r="BL3" i="9"/>
  <c r="BL4" i="9" s="1"/>
  <c r="BL5" i="9" s="1"/>
  <c r="BL6" i="9" s="1"/>
  <c r="BL7" i="9" s="1"/>
  <c r="BL8" i="9" s="1"/>
  <c r="BL9" i="9" s="1"/>
  <c r="BL10" i="9" s="1"/>
  <c r="BE3" i="9"/>
  <c r="BF3" i="9" s="1"/>
  <c r="BG3" i="9" s="1"/>
  <c r="BH3" i="9" s="1"/>
  <c r="BI3" i="9" s="1"/>
  <c r="BJ3" i="9" s="1"/>
  <c r="BK3" i="9" s="1"/>
  <c r="AZ3" i="9"/>
  <c r="AZ4" i="9" s="1"/>
  <c r="AZ5" i="9" s="1"/>
  <c r="AZ6" i="9" s="1"/>
  <c r="AZ7" i="9" s="1"/>
  <c r="AZ8" i="9" s="1"/>
  <c r="AZ9" i="9" s="1"/>
  <c r="AZ10" i="9" s="1"/>
  <c r="AS3" i="9"/>
  <c r="AT3" i="9" s="1"/>
  <c r="AU3" i="9" s="1"/>
  <c r="AV3" i="9" s="1"/>
  <c r="AW3" i="9" s="1"/>
  <c r="AX3" i="9" s="1"/>
  <c r="AY3" i="9" s="1"/>
  <c r="AN3" i="9"/>
  <c r="AN4" i="9" s="1"/>
  <c r="AG3" i="9"/>
  <c r="BL40" i="9"/>
  <c r="BQ40" i="9"/>
  <c r="AN40" i="9"/>
  <c r="AC27" i="9"/>
  <c r="AB28" i="9"/>
  <c r="T11" i="9"/>
  <c r="U11" i="9" s="1"/>
  <c r="V11" i="9" s="1"/>
  <c r="W11" i="9" s="1"/>
  <c r="X11" i="9" s="1"/>
  <c r="Y11" i="9" s="1"/>
  <c r="Z11" i="9" s="1"/>
  <c r="AA11" i="9"/>
  <c r="AA5" i="9"/>
  <c r="AA6" i="9" s="1"/>
  <c r="AA7" i="9" s="1"/>
  <c r="AA8" i="9" s="1"/>
  <c r="AA9" i="9" s="1"/>
  <c r="AA10" i="9" s="1"/>
  <c r="DD49" i="9" l="1"/>
  <c r="DD45" i="9"/>
  <c r="DD41" i="9"/>
  <c r="DD37" i="9"/>
  <c r="DD33" i="9"/>
  <c r="DD29" i="9"/>
  <c r="DD25" i="9"/>
  <c r="DD21" i="9"/>
  <c r="DD17" i="9"/>
  <c r="DD51" i="9"/>
  <c r="DD47" i="9"/>
  <c r="DD43" i="9"/>
  <c r="DD39" i="9"/>
  <c r="DD35" i="9"/>
  <c r="DD31" i="9"/>
  <c r="DH57" i="9"/>
  <c r="DD27" i="9"/>
  <c r="DD23" i="9"/>
  <c r="AL44" i="13"/>
  <c r="AL42" i="13"/>
  <c r="AL43" i="13"/>
  <c r="AL41" i="13"/>
  <c r="AM44" i="13"/>
  <c r="AM42" i="13"/>
  <c r="AN44" i="13"/>
  <c r="AN42" i="13"/>
  <c r="AN43" i="13"/>
  <c r="AN41" i="13"/>
  <c r="EM6" i="9"/>
  <c r="DD16" i="9"/>
  <c r="DD52" i="9"/>
  <c r="DG58" i="9"/>
  <c r="DH58" i="9" s="1"/>
  <c r="DD53" i="9"/>
  <c r="EL6" i="9"/>
  <c r="DD12" i="9"/>
  <c r="DD8" i="9"/>
  <c r="DD4" i="9"/>
  <c r="DD48" i="9"/>
  <c r="DD44" i="9"/>
  <c r="DD40" i="9"/>
  <c r="DD36" i="9"/>
  <c r="DD32" i="9"/>
  <c r="DD28" i="9"/>
  <c r="DD24" i="9"/>
  <c r="DD20" i="9"/>
  <c r="DD13" i="9"/>
  <c r="DD9" i="9"/>
  <c r="DD3" i="9"/>
  <c r="L92" i="9"/>
  <c r="L87" i="9"/>
  <c r="L88" i="9" s="1"/>
  <c r="L89" i="9" s="1"/>
  <c r="L90" i="9" s="1"/>
  <c r="L75" i="9"/>
  <c r="L76" i="9" s="1"/>
  <c r="L77" i="9" s="1"/>
  <c r="L56" i="9"/>
  <c r="L80" i="9"/>
  <c r="L68" i="9"/>
  <c r="L63" i="9"/>
  <c r="L64" i="9" s="1"/>
  <c r="L65" i="9" s="1"/>
  <c r="L66" i="9" s="1"/>
  <c r="L51" i="9"/>
  <c r="L52" i="9" s="1"/>
  <c r="L53" i="9" s="1"/>
  <c r="L54" i="9" s="1"/>
  <c r="AN32" i="9"/>
  <c r="BL32" i="9"/>
  <c r="L67" i="9"/>
  <c r="L91" i="9"/>
  <c r="L78" i="9"/>
  <c r="L42" i="9"/>
  <c r="L32" i="9"/>
  <c r="L17" i="9"/>
  <c r="T41" i="9"/>
  <c r="CH40" i="9"/>
  <c r="CH39" i="9"/>
  <c r="CH38" i="9"/>
  <c r="CH37" i="9"/>
  <c r="CH36" i="9"/>
  <c r="CH35" i="9"/>
  <c r="CH34" i="9"/>
  <c r="CH33" i="9"/>
  <c r="CH30" i="9"/>
  <c r="CH29" i="9"/>
  <c r="CH28" i="9"/>
  <c r="CH27" i="9"/>
  <c r="CH26" i="9"/>
  <c r="CH25" i="9"/>
  <c r="CH24" i="9"/>
  <c r="CH20" i="9"/>
  <c r="CH19" i="9"/>
  <c r="CH18" i="9"/>
  <c r="CH17" i="9"/>
  <c r="CH16" i="9"/>
  <c r="CH15" i="9"/>
  <c r="CH14" i="9"/>
  <c r="CH13" i="9"/>
  <c r="CH10" i="9"/>
  <c r="CH8" i="9"/>
  <c r="CH5" i="9"/>
  <c r="CH3" i="9"/>
  <c r="CG9" i="9"/>
  <c r="CG7" i="9"/>
  <c r="CG5" i="9"/>
  <c r="CG3" i="9"/>
  <c r="CH7" i="9"/>
  <c r="CG40" i="9"/>
  <c r="CG39" i="9"/>
  <c r="CG38" i="9"/>
  <c r="CG37" i="9"/>
  <c r="CG36" i="9"/>
  <c r="CG35" i="9"/>
  <c r="CG34" i="9"/>
  <c r="CG33" i="9"/>
  <c r="CG30" i="9"/>
  <c r="CG29" i="9"/>
  <c r="CG28" i="9"/>
  <c r="CG27" i="9"/>
  <c r="CG26" i="9"/>
  <c r="CG25" i="9"/>
  <c r="CG24" i="9"/>
  <c r="CG20" i="9"/>
  <c r="CG19" i="9"/>
  <c r="CG18" i="9"/>
  <c r="CG17" i="9"/>
  <c r="CG16" i="9"/>
  <c r="CG15" i="9"/>
  <c r="CG14" i="9"/>
  <c r="CG13" i="9"/>
  <c r="CH9" i="9"/>
  <c r="CH6" i="9"/>
  <c r="CH4" i="9"/>
  <c r="CG10" i="9"/>
  <c r="CG8" i="9"/>
  <c r="CG6" i="9"/>
  <c r="CG4" i="9"/>
  <c r="AG40" i="9"/>
  <c r="AA35" i="9"/>
  <c r="AI11" i="9"/>
  <c r="AH40" i="9"/>
  <c r="AA41" i="9"/>
  <c r="BE40" i="9"/>
  <c r="BR40" i="9"/>
  <c r="AN33" i="9"/>
  <c r="BQ4" i="9"/>
  <c r="BR3" i="9"/>
  <c r="BS3" i="9" s="1"/>
  <c r="BT3" i="9" s="1"/>
  <c r="BU3" i="9" s="1"/>
  <c r="BV3" i="9" s="1"/>
  <c r="BW3" i="9" s="1"/>
  <c r="AN5" i="9"/>
  <c r="AH3" i="9"/>
  <c r="AI3" i="9" s="1"/>
  <c r="AJ3" i="9" s="1"/>
  <c r="AK3" i="9" s="1"/>
  <c r="AL3" i="9" s="1"/>
  <c r="AM3" i="9" s="1"/>
  <c r="AG32" i="9"/>
  <c r="AG4" i="9"/>
  <c r="AS4" i="9"/>
  <c r="BE4" i="9"/>
  <c r="BQ33" i="9"/>
  <c r="BY26" i="9"/>
  <c r="BQ32" i="9"/>
  <c r="BX32" i="9"/>
  <c r="BE32" i="9"/>
  <c r="BM26" i="9"/>
  <c r="AS32" i="9"/>
  <c r="AZ32" i="9"/>
  <c r="AT40" i="9"/>
  <c r="AZ27" i="9"/>
  <c r="BA26" i="9"/>
  <c r="AS40" i="9"/>
  <c r="T5" i="9"/>
  <c r="T35" i="9" s="1"/>
  <c r="AA4" i="9"/>
  <c r="AA34" i="9" s="1"/>
  <c r="T4" i="9"/>
  <c r="U4" i="9" s="1"/>
  <c r="V4" i="9" s="1"/>
  <c r="W4" i="9" s="1"/>
  <c r="X4" i="9" s="1"/>
  <c r="Y4" i="9" s="1"/>
  <c r="Z4" i="9" s="1"/>
  <c r="AA3" i="9"/>
  <c r="AA12" i="9" s="1"/>
  <c r="T3" i="9"/>
  <c r="U3" i="9" s="1"/>
  <c r="V3" i="9" s="1"/>
  <c r="W3" i="9" s="1"/>
  <c r="X3" i="9" s="1"/>
  <c r="Y3" i="9" s="1"/>
  <c r="Z3" i="9" s="1"/>
  <c r="I31" i="9"/>
  <c r="H31" i="9"/>
  <c r="G31" i="9"/>
  <c r="F31" i="9"/>
  <c r="I30" i="9"/>
  <c r="H30" i="9"/>
  <c r="G30" i="9"/>
  <c r="F30" i="9"/>
  <c r="I29" i="9"/>
  <c r="H29" i="9"/>
  <c r="G29" i="9"/>
  <c r="F29" i="9"/>
  <c r="I28" i="9"/>
  <c r="H28" i="9"/>
  <c r="G28" i="9"/>
  <c r="F28" i="9"/>
  <c r="I27" i="9"/>
  <c r="H27" i="9"/>
  <c r="G27" i="9"/>
  <c r="F27" i="9"/>
  <c r="I26" i="9"/>
  <c r="H26" i="9"/>
  <c r="G26" i="9"/>
  <c r="F26" i="9"/>
  <c r="D31" i="9"/>
  <c r="D30" i="9"/>
  <c r="C31" i="9"/>
  <c r="C30" i="9"/>
  <c r="D29" i="9"/>
  <c r="C29" i="9"/>
  <c r="D28" i="9"/>
  <c r="D27" i="9"/>
  <c r="D26" i="9"/>
  <c r="C26" i="9"/>
  <c r="C28" i="9"/>
  <c r="C27" i="9"/>
  <c r="N9" i="9"/>
  <c r="M9" i="9"/>
  <c r="N3" i="9"/>
  <c r="N4" i="9" s="1"/>
  <c r="N5" i="9" s="1"/>
  <c r="N6" i="9" s="1"/>
  <c r="N7" i="9" s="1"/>
  <c r="N8" i="9" s="1"/>
  <c r="M3" i="9"/>
  <c r="M4" i="9" s="1"/>
  <c r="M5" i="9" s="1"/>
  <c r="M6" i="9" s="1"/>
  <c r="M7" i="9" s="1"/>
  <c r="M8" i="9" s="1"/>
  <c r="F20" i="9"/>
  <c r="F19" i="9"/>
  <c r="F18" i="9"/>
  <c r="F17" i="9"/>
  <c r="F16" i="9"/>
  <c r="F15" i="9"/>
  <c r="E20" i="9"/>
  <c r="E19" i="9"/>
  <c r="E18" i="9"/>
  <c r="E17" i="9"/>
  <c r="E16" i="9"/>
  <c r="E15" i="9"/>
  <c r="AN45" i="13" l="1"/>
  <c r="AK45" i="13" s="1"/>
  <c r="AM41" i="13"/>
  <c r="AL45" i="13"/>
  <c r="AK42" i="13"/>
  <c r="AI42" i="13"/>
  <c r="EL7" i="9"/>
  <c r="EM7" i="9"/>
  <c r="EM9" i="9" s="1"/>
  <c r="AM43" i="13"/>
  <c r="AI43" i="13"/>
  <c r="AK43" i="13"/>
  <c r="AK44" i="13"/>
  <c r="AI44" i="13"/>
  <c r="L79" i="9"/>
  <c r="L55" i="9"/>
  <c r="AO3" i="9"/>
  <c r="K31" i="9"/>
  <c r="K32" i="9"/>
  <c r="K26" i="9"/>
  <c r="K28" i="9"/>
  <c r="K27" i="9"/>
  <c r="K29" i="9"/>
  <c r="K30" i="9"/>
  <c r="L18" i="9"/>
  <c r="L20" i="9" s="1"/>
  <c r="AA33" i="9"/>
  <c r="V34" i="9"/>
  <c r="AA36" i="9"/>
  <c r="AJ11" i="9"/>
  <c r="AI40" i="9"/>
  <c r="U34" i="9"/>
  <c r="BR32" i="9"/>
  <c r="U41" i="9"/>
  <c r="U33" i="9"/>
  <c r="T34" i="9"/>
  <c r="T33" i="9"/>
  <c r="AS5" i="9"/>
  <c r="AT4" i="9"/>
  <c r="AU4" i="9" s="1"/>
  <c r="AV4" i="9" s="1"/>
  <c r="AW4" i="9" s="1"/>
  <c r="AX4" i="9" s="1"/>
  <c r="AY4" i="9" s="1"/>
  <c r="BE5" i="9"/>
  <c r="BF4" i="9"/>
  <c r="BG4" i="9" s="1"/>
  <c r="BH4" i="9" s="1"/>
  <c r="BI4" i="9" s="1"/>
  <c r="BJ4" i="9" s="1"/>
  <c r="BK4" i="9" s="1"/>
  <c r="AG5" i="9"/>
  <c r="AH4" i="9"/>
  <c r="AN34" i="9"/>
  <c r="AN6" i="9"/>
  <c r="BQ5" i="9"/>
  <c r="BR4" i="9"/>
  <c r="BS4" i="9" s="1"/>
  <c r="BT4" i="9" s="1"/>
  <c r="BU4" i="9" s="1"/>
  <c r="BV4" i="9" s="1"/>
  <c r="BW4" i="9" s="1"/>
  <c r="BS40" i="9"/>
  <c r="BX33" i="9"/>
  <c r="BS32" i="9"/>
  <c r="BX27" i="9"/>
  <c r="BQ34" i="9"/>
  <c r="BL33" i="9"/>
  <c r="BF32" i="9"/>
  <c r="BF40" i="9"/>
  <c r="BL27" i="9"/>
  <c r="BE33" i="9"/>
  <c r="AG33" i="9"/>
  <c r="AH32" i="9"/>
  <c r="AU40" i="9"/>
  <c r="AS33" i="9"/>
  <c r="AZ34" i="9"/>
  <c r="AT32" i="9"/>
  <c r="AZ33" i="9"/>
  <c r="AO26" i="9"/>
  <c r="AN27" i="9"/>
  <c r="U5" i="9"/>
  <c r="T6" i="9"/>
  <c r="T36" i="9" s="1"/>
  <c r="AB3" i="9"/>
  <c r="AB4" i="9"/>
  <c r="AB11" i="9"/>
  <c r="AD11" i="9" s="1"/>
  <c r="F32" i="9"/>
  <c r="D32" i="9"/>
  <c r="C32" i="9"/>
  <c r="F21" i="9"/>
  <c r="D21" i="9" s="1"/>
  <c r="E21" i="9"/>
  <c r="C21" i="9" s="1"/>
  <c r="F9" i="9"/>
  <c r="F3" i="9"/>
  <c r="E3" i="9"/>
  <c r="E4" i="9" s="1"/>
  <c r="E5" i="9" s="1"/>
  <c r="E6" i="9" s="1"/>
  <c r="E7" i="9" s="1"/>
  <c r="E8" i="9" s="1"/>
  <c r="E9" i="9"/>
  <c r="AK41" i="13" l="1"/>
  <c r="EK9" i="9"/>
  <c r="EK8" i="9"/>
  <c r="EK4" i="9"/>
  <c r="EK5" i="9"/>
  <c r="EK6" i="9"/>
  <c r="AM45" i="13"/>
  <c r="AJ43" i="13" s="1"/>
  <c r="AI41" i="13"/>
  <c r="AI45" i="13"/>
  <c r="EK7" i="9"/>
  <c r="EL9" i="9"/>
  <c r="EM10" i="9" s="1"/>
  <c r="L93" i="9"/>
  <c r="L81" i="9"/>
  <c r="L69" i="9"/>
  <c r="L57" i="9"/>
  <c r="L44" i="9"/>
  <c r="K20" i="9"/>
  <c r="K19" i="9"/>
  <c r="K14" i="9"/>
  <c r="L23" i="9"/>
  <c r="K15" i="9"/>
  <c r="K16" i="9"/>
  <c r="K17" i="9"/>
  <c r="K18" i="9"/>
  <c r="V33" i="9"/>
  <c r="V41" i="9"/>
  <c r="AK11" i="9"/>
  <c r="AJ40" i="9"/>
  <c r="AA37" i="9"/>
  <c r="V5" i="9"/>
  <c r="U35" i="9"/>
  <c r="W34" i="9"/>
  <c r="AN7" i="9"/>
  <c r="AN35" i="9"/>
  <c r="BR33" i="9"/>
  <c r="BQ6" i="9"/>
  <c r="BR5" i="9"/>
  <c r="BS5" i="9" s="1"/>
  <c r="BT5" i="9" s="1"/>
  <c r="BU5" i="9" s="1"/>
  <c r="BV5" i="9" s="1"/>
  <c r="BW5" i="9" s="1"/>
  <c r="AI4" i="9"/>
  <c r="AG6" i="9"/>
  <c r="AH5" i="9"/>
  <c r="BE6" i="9"/>
  <c r="BF5" i="9"/>
  <c r="BG5" i="9" s="1"/>
  <c r="BH5" i="9" s="1"/>
  <c r="BI5" i="9" s="1"/>
  <c r="BJ5" i="9" s="1"/>
  <c r="BK5" i="9" s="1"/>
  <c r="AS6" i="9"/>
  <c r="AT5" i="9"/>
  <c r="AU5" i="9" s="1"/>
  <c r="AV5" i="9" s="1"/>
  <c r="AW5" i="9" s="1"/>
  <c r="AX5" i="9" s="1"/>
  <c r="AY5" i="9" s="1"/>
  <c r="BR34" i="9"/>
  <c r="BX34" i="9"/>
  <c r="BT40" i="9"/>
  <c r="BS33" i="9"/>
  <c r="BT32" i="9"/>
  <c r="BQ35" i="9"/>
  <c r="BG40" i="9"/>
  <c r="BL34" i="9"/>
  <c r="BF33" i="9"/>
  <c r="BE34" i="9"/>
  <c r="BG32" i="9"/>
  <c r="AI32" i="9"/>
  <c r="AH33" i="9"/>
  <c r="AG34" i="9"/>
  <c r="AU32" i="9"/>
  <c r="AT33" i="9"/>
  <c r="AV40" i="9"/>
  <c r="AZ35" i="9"/>
  <c r="AS34" i="9"/>
  <c r="T7" i="9"/>
  <c r="T37" i="9" s="1"/>
  <c r="U6" i="9"/>
  <c r="D33" i="9"/>
  <c r="G32" i="9"/>
  <c r="I32" i="9"/>
  <c r="H32" i="9"/>
  <c r="D20" i="9"/>
  <c r="D16" i="9"/>
  <c r="D17" i="9"/>
  <c r="D18" i="9"/>
  <c r="D19" i="9"/>
  <c r="D15" i="9"/>
  <c r="F4" i="9"/>
  <c r="C20" i="9"/>
  <c r="C17" i="9"/>
  <c r="C18" i="9"/>
  <c r="C19" i="9"/>
  <c r="C15" i="9"/>
  <c r="C16" i="9"/>
  <c r="AL46" i="13" l="1"/>
  <c r="EJ14" i="9"/>
  <c r="EJ18" i="9"/>
  <c r="EJ15" i="9"/>
  <c r="EJ16" i="9"/>
  <c r="EJ17" i="9"/>
  <c r="AJ45" i="13"/>
  <c r="AJ42" i="13"/>
  <c r="AJ44" i="13"/>
  <c r="EJ19" i="9"/>
  <c r="EJ9" i="9"/>
  <c r="EJ4" i="9"/>
  <c r="EJ8" i="9"/>
  <c r="EJ5" i="9"/>
  <c r="EJ6" i="9"/>
  <c r="AJ41" i="13"/>
  <c r="EJ7" i="9"/>
  <c r="V6" i="9"/>
  <c r="V36" i="9" s="1"/>
  <c r="K57" i="9"/>
  <c r="K56" i="9"/>
  <c r="K51" i="9"/>
  <c r="K52" i="9"/>
  <c r="K53" i="9"/>
  <c r="K54" i="9"/>
  <c r="K81" i="9"/>
  <c r="K75" i="9"/>
  <c r="K80" i="9"/>
  <c r="K76" i="9"/>
  <c r="K77" i="9"/>
  <c r="K78" i="9"/>
  <c r="K55" i="9"/>
  <c r="K39" i="9"/>
  <c r="K44" i="9"/>
  <c r="K43" i="9"/>
  <c r="K40" i="9"/>
  <c r="K41" i="9"/>
  <c r="K42" i="9"/>
  <c r="K69" i="9"/>
  <c r="K68" i="9"/>
  <c r="K64" i="9"/>
  <c r="K63" i="9"/>
  <c r="K65" i="9"/>
  <c r="K66" i="9"/>
  <c r="K67" i="9"/>
  <c r="K93" i="9"/>
  <c r="K92" i="9"/>
  <c r="K88" i="9"/>
  <c r="K87" i="9"/>
  <c r="K89" i="9"/>
  <c r="K90" i="9"/>
  <c r="K91" i="9"/>
  <c r="K79" i="9"/>
  <c r="L96" i="9"/>
  <c r="L84" i="9"/>
  <c r="L72" i="9"/>
  <c r="L60" i="9"/>
  <c r="K38" i="9"/>
  <c r="L47" i="9"/>
  <c r="L35" i="9"/>
  <c r="K35" i="9" s="1"/>
  <c r="X34" i="9"/>
  <c r="AA38" i="9"/>
  <c r="AL11" i="9"/>
  <c r="AK40" i="9"/>
  <c r="W33" i="9"/>
  <c r="U36" i="9"/>
  <c r="W5" i="9"/>
  <c r="W6" i="9" s="1"/>
  <c r="V35" i="9"/>
  <c r="AB20" i="9"/>
  <c r="W41" i="9"/>
  <c r="AJ4" i="9"/>
  <c r="AS7" i="9"/>
  <c r="AT6" i="9"/>
  <c r="AU6" i="9" s="1"/>
  <c r="AV6" i="9" s="1"/>
  <c r="AW6" i="9" s="1"/>
  <c r="AX6" i="9" s="1"/>
  <c r="AY6" i="9" s="1"/>
  <c r="BE7" i="9"/>
  <c r="BF6" i="9"/>
  <c r="BG6" i="9" s="1"/>
  <c r="BH6" i="9" s="1"/>
  <c r="BI6" i="9" s="1"/>
  <c r="BJ6" i="9" s="1"/>
  <c r="BK6" i="9" s="1"/>
  <c r="AI5" i="9"/>
  <c r="BQ7" i="9"/>
  <c r="BQ36" i="9" s="1"/>
  <c r="BR6" i="9"/>
  <c r="BS6" i="9" s="1"/>
  <c r="BT6" i="9" s="1"/>
  <c r="BU6" i="9" s="1"/>
  <c r="BV6" i="9" s="1"/>
  <c r="BW6" i="9" s="1"/>
  <c r="AG7" i="9"/>
  <c r="AH6" i="9"/>
  <c r="AI6" i="9" s="1"/>
  <c r="AN36" i="9"/>
  <c r="AN8" i="9"/>
  <c r="BU40" i="9"/>
  <c r="BU32" i="9"/>
  <c r="BT33" i="9"/>
  <c r="BX35" i="9"/>
  <c r="BS34" i="9"/>
  <c r="BF34" i="9"/>
  <c r="BL35" i="9"/>
  <c r="BH40" i="9"/>
  <c r="BH32" i="9"/>
  <c r="BE35" i="9"/>
  <c r="BG33" i="9"/>
  <c r="AH34" i="9"/>
  <c r="AG35" i="9"/>
  <c r="AI33" i="9"/>
  <c r="AJ32" i="9"/>
  <c r="AT34" i="9"/>
  <c r="AW40" i="9"/>
  <c r="AV32" i="9"/>
  <c r="AS35" i="9"/>
  <c r="AZ36" i="9"/>
  <c r="AU33" i="9"/>
  <c r="U7" i="9"/>
  <c r="T8" i="9"/>
  <c r="T38" i="9" s="1"/>
  <c r="C38" i="9"/>
  <c r="D38" i="9"/>
  <c r="D41" i="9"/>
  <c r="C39" i="9"/>
  <c r="D39" i="9"/>
  <c r="C42" i="9"/>
  <c r="C40" i="9"/>
  <c r="C37" i="9"/>
  <c r="C41" i="9"/>
  <c r="D37" i="9"/>
  <c r="D40" i="9"/>
  <c r="D42" i="9"/>
  <c r="C43" i="9"/>
  <c r="I33" i="9"/>
  <c r="D43" i="9"/>
  <c r="F5" i="9"/>
  <c r="AM66" i="7"/>
  <c r="AM65" i="7"/>
  <c r="AM64" i="7"/>
  <c r="AM63" i="7"/>
  <c r="D429" i="1"/>
  <c r="AQ14" i="7" s="1"/>
  <c r="D428" i="1"/>
  <c r="AQ13" i="7" s="1"/>
  <c r="D427" i="1"/>
  <c r="AQ12" i="7" s="1"/>
  <c r="D426" i="1"/>
  <c r="AQ11" i="7" s="1"/>
  <c r="D425" i="1"/>
  <c r="AQ10" i="7" s="1"/>
  <c r="D424" i="1"/>
  <c r="AQ7" i="7" s="1"/>
  <c r="D423" i="1"/>
  <c r="AQ6" i="7" s="1"/>
  <c r="D422" i="1"/>
  <c r="AQ5" i="7" s="1"/>
  <c r="D421" i="1"/>
  <c r="D431" i="1" s="1"/>
  <c r="B998" i="2"/>
  <c r="AQ35" i="7" s="1"/>
  <c r="B997" i="2"/>
  <c r="AQ34" i="7" s="1"/>
  <c r="B996" i="2"/>
  <c r="AQ33" i="7" s="1"/>
  <c r="B995" i="2"/>
  <c r="AQ32" i="7" s="1"/>
  <c r="B994" i="2"/>
  <c r="AQ31" i="7" s="1"/>
  <c r="B993" i="2"/>
  <c r="AQ28" i="7" s="1"/>
  <c r="B992" i="2"/>
  <c r="AQ27" i="7" s="1"/>
  <c r="B991" i="2"/>
  <c r="AQ26" i="7" s="1"/>
  <c r="B990" i="2"/>
  <c r="AQ25" i="7" s="1"/>
  <c r="V7" i="9" l="1"/>
  <c r="AQ40" i="7"/>
  <c r="B1000" i="2"/>
  <c r="K47" i="9"/>
  <c r="W7" i="9"/>
  <c r="X41" i="9"/>
  <c r="X5" i="9"/>
  <c r="X6" i="9" s="1"/>
  <c r="W35" i="9"/>
  <c r="V37" i="9"/>
  <c r="AM11" i="9"/>
  <c r="AM40" i="9" s="1"/>
  <c r="AL40" i="9"/>
  <c r="AO11" i="9"/>
  <c r="AO40" i="9" s="1"/>
  <c r="AA39" i="9"/>
  <c r="W36" i="9"/>
  <c r="Y34" i="9"/>
  <c r="X33" i="9"/>
  <c r="Y33" i="9"/>
  <c r="U37" i="9"/>
  <c r="AN9" i="9"/>
  <c r="AN37" i="9"/>
  <c r="AG8" i="9"/>
  <c r="AH7" i="9"/>
  <c r="BR35" i="9"/>
  <c r="BQ8" i="9"/>
  <c r="BR7" i="9"/>
  <c r="BS7" i="9" s="1"/>
  <c r="BT7" i="9" s="1"/>
  <c r="BU7" i="9" s="1"/>
  <c r="BV7" i="9" s="1"/>
  <c r="BW7" i="9" s="1"/>
  <c r="AJ5" i="9"/>
  <c r="BE8" i="9"/>
  <c r="BF7" i="9"/>
  <c r="BG7" i="9" s="1"/>
  <c r="BH7" i="9" s="1"/>
  <c r="BI7" i="9" s="1"/>
  <c r="BJ7" i="9" s="1"/>
  <c r="BK7" i="9" s="1"/>
  <c r="AS8" i="9"/>
  <c r="AT7" i="9"/>
  <c r="AU7" i="9" s="1"/>
  <c r="AV7" i="9" s="1"/>
  <c r="AW7" i="9" s="1"/>
  <c r="AX7" i="9" s="1"/>
  <c r="AY7" i="9" s="1"/>
  <c r="AK4" i="9"/>
  <c r="BV32" i="9"/>
  <c r="BS35" i="9"/>
  <c r="BV40" i="9"/>
  <c r="BW40" i="9"/>
  <c r="BQ37" i="9"/>
  <c r="BT34" i="9"/>
  <c r="BY3" i="9"/>
  <c r="BX36" i="9"/>
  <c r="BU33" i="9"/>
  <c r="BY18" i="9"/>
  <c r="BY11" i="9"/>
  <c r="BY40" i="9" s="1"/>
  <c r="BR36" i="9"/>
  <c r="BH33" i="9"/>
  <c r="BI40" i="9"/>
  <c r="BL36" i="9"/>
  <c r="BG34" i="9"/>
  <c r="BF35" i="9"/>
  <c r="BE36" i="9"/>
  <c r="BI32" i="9"/>
  <c r="AH35" i="9"/>
  <c r="AK32" i="9"/>
  <c r="AJ33" i="9"/>
  <c r="AG36" i="9"/>
  <c r="AI34" i="9"/>
  <c r="AS27" i="9"/>
  <c r="AZ37" i="9"/>
  <c r="AT35" i="9"/>
  <c r="AU34" i="9"/>
  <c r="AV33" i="9"/>
  <c r="AS36" i="9"/>
  <c r="AW32" i="9"/>
  <c r="AX40" i="9"/>
  <c r="U8" i="9"/>
  <c r="U38" i="9" s="1"/>
  <c r="T9" i="9"/>
  <c r="T39" i="9" s="1"/>
  <c r="F37" i="9"/>
  <c r="H39" i="9"/>
  <c r="H40" i="9"/>
  <c r="H41" i="9"/>
  <c r="H42" i="9"/>
  <c r="F38" i="9"/>
  <c r="G37" i="9"/>
  <c r="G38" i="9"/>
  <c r="G39" i="9"/>
  <c r="G40" i="9"/>
  <c r="G41" i="9"/>
  <c r="G42" i="9"/>
  <c r="H38" i="9"/>
  <c r="F40" i="9"/>
  <c r="F41" i="9"/>
  <c r="F42" i="9"/>
  <c r="H37" i="9"/>
  <c r="F39" i="9"/>
  <c r="I37" i="9"/>
  <c r="I38" i="9"/>
  <c r="I39" i="9"/>
  <c r="I40" i="9"/>
  <c r="I41" i="9"/>
  <c r="I42" i="9"/>
  <c r="F43" i="9"/>
  <c r="G43" i="9"/>
  <c r="H43" i="9"/>
  <c r="I43" i="9"/>
  <c r="D434" i="1"/>
  <c r="F6" i="9"/>
  <c r="AQ4" i="7"/>
  <c r="B1002" i="2"/>
  <c r="B1001" i="2"/>
  <c r="B1003" i="2"/>
  <c r="D433" i="1"/>
  <c r="D432" i="1"/>
  <c r="AL63" i="7"/>
  <c r="AL64" i="7"/>
  <c r="AL65" i="7"/>
  <c r="AL66" i="7"/>
  <c r="AQ19" i="7"/>
  <c r="AQ20" i="7"/>
  <c r="AQ21" i="7"/>
  <c r="AQ42" i="7"/>
  <c r="AQ36" i="7"/>
  <c r="AQ39" i="7"/>
  <c r="AQ41" i="7"/>
  <c r="AQ15" i="7" l="1"/>
  <c r="D435" i="1"/>
  <c r="B1004" i="2"/>
  <c r="AQ18" i="7"/>
  <c r="X7" i="9"/>
  <c r="AA40" i="9"/>
  <c r="AA43" i="9" s="1"/>
  <c r="AA27" i="9"/>
  <c r="W37" i="9"/>
  <c r="Z33" i="9"/>
  <c r="Z34" i="9"/>
  <c r="AB19" i="9"/>
  <c r="AB34" i="9" s="1"/>
  <c r="X36" i="9"/>
  <c r="Y5" i="9"/>
  <c r="Y6" i="9" s="1"/>
  <c r="X35" i="9"/>
  <c r="Y41" i="9"/>
  <c r="Z41" i="9"/>
  <c r="T27" i="9"/>
  <c r="AL4" i="9"/>
  <c r="AS9" i="9"/>
  <c r="AT8" i="9"/>
  <c r="AU8" i="9" s="1"/>
  <c r="AV8" i="9" s="1"/>
  <c r="AW8" i="9" s="1"/>
  <c r="AX8" i="9" s="1"/>
  <c r="AY8" i="9" s="1"/>
  <c r="BE9" i="9"/>
  <c r="BF8" i="9"/>
  <c r="BG8" i="9" s="1"/>
  <c r="BH8" i="9" s="1"/>
  <c r="BI8" i="9" s="1"/>
  <c r="BJ8" i="9" s="1"/>
  <c r="BK8" i="9" s="1"/>
  <c r="AK5" i="9"/>
  <c r="BQ9" i="9"/>
  <c r="BR8" i="9"/>
  <c r="BS8" i="9" s="1"/>
  <c r="BT8" i="9" s="1"/>
  <c r="BU8" i="9" s="1"/>
  <c r="BV8" i="9" s="1"/>
  <c r="BW8" i="9" s="1"/>
  <c r="AG9" i="9"/>
  <c r="AH8" i="9"/>
  <c r="AJ6" i="9"/>
  <c r="AI7" i="9"/>
  <c r="AN10" i="9"/>
  <c r="AN38" i="9"/>
  <c r="BS36" i="9"/>
  <c r="BX37" i="9"/>
  <c r="BR37" i="9"/>
  <c r="BT35" i="9"/>
  <c r="BW32" i="9"/>
  <c r="BV33" i="9"/>
  <c r="BY32" i="9"/>
  <c r="BU34" i="9"/>
  <c r="BQ38" i="9"/>
  <c r="BY19" i="9"/>
  <c r="BG35" i="9"/>
  <c r="BL37" i="9"/>
  <c r="BJ40" i="9"/>
  <c r="BI33" i="9"/>
  <c r="BE37" i="9"/>
  <c r="BH34" i="9"/>
  <c r="BJ32" i="9"/>
  <c r="BF36" i="9"/>
  <c r="AH36" i="9"/>
  <c r="AJ34" i="9"/>
  <c r="AG37" i="9"/>
  <c r="AI35" i="9"/>
  <c r="AK33" i="9"/>
  <c r="AM32" i="9"/>
  <c r="AL32" i="9"/>
  <c r="BA19" i="9"/>
  <c r="AX32" i="9"/>
  <c r="BA3" i="9"/>
  <c r="AT36" i="9"/>
  <c r="BA18" i="9"/>
  <c r="AW33" i="9"/>
  <c r="AV34" i="9"/>
  <c r="AY40" i="9"/>
  <c r="BA11" i="9"/>
  <c r="BA40" i="9" s="1"/>
  <c r="AS37" i="9"/>
  <c r="AU35" i="9"/>
  <c r="AZ38" i="9"/>
  <c r="U27" i="9"/>
  <c r="T10" i="9"/>
  <c r="T12" i="9" s="1"/>
  <c r="U9" i="9"/>
  <c r="U39" i="9" s="1"/>
  <c r="V8" i="9"/>
  <c r="W8" i="9" s="1"/>
  <c r="X8" i="9" s="1"/>
  <c r="AB18" i="9"/>
  <c r="AB33" i="9" s="1"/>
  <c r="N10" i="9"/>
  <c r="L8" i="9" s="1"/>
  <c r="M10" i="9"/>
  <c r="K8" i="9" s="1"/>
  <c r="F7" i="9"/>
  <c r="AQ22" i="7"/>
  <c r="AQ43" i="7"/>
  <c r="V38" i="9" l="1"/>
  <c r="X37" i="9"/>
  <c r="AA29" i="9"/>
  <c r="AA42" i="9"/>
  <c r="AO18" i="9"/>
  <c r="AO32" i="9" s="1"/>
  <c r="U10" i="9"/>
  <c r="U40" i="9" s="1"/>
  <c r="T42" i="9"/>
  <c r="T29" i="9"/>
  <c r="T40" i="9"/>
  <c r="Z5" i="9"/>
  <c r="Z35" i="9" s="1"/>
  <c r="Y35" i="9"/>
  <c r="AB5" i="9"/>
  <c r="Y36" i="9"/>
  <c r="AB21" i="9"/>
  <c r="W38" i="9"/>
  <c r="Y7" i="9"/>
  <c r="Y8" i="9" s="1"/>
  <c r="AB26" i="9"/>
  <c r="AB41" i="9" s="1"/>
  <c r="AI8" i="9"/>
  <c r="BQ10" i="9"/>
  <c r="BQ39" i="9" s="1"/>
  <c r="BR9" i="9"/>
  <c r="BS9" i="9" s="1"/>
  <c r="BT9" i="9" s="1"/>
  <c r="BU9" i="9" s="1"/>
  <c r="BV9" i="9" s="1"/>
  <c r="BW9" i="9" s="1"/>
  <c r="AM4" i="9"/>
  <c r="AO4" i="9" s="1"/>
  <c r="AN39" i="9"/>
  <c r="AN12" i="9"/>
  <c r="AN41" i="9" s="1"/>
  <c r="AJ7" i="9"/>
  <c r="AK6" i="9"/>
  <c r="AG10" i="9"/>
  <c r="AH9" i="9"/>
  <c r="AG12" i="9"/>
  <c r="AL5" i="9"/>
  <c r="AM5" i="9" s="1"/>
  <c r="BE10" i="9"/>
  <c r="BF9" i="9"/>
  <c r="BG9" i="9" s="1"/>
  <c r="BH9" i="9" s="1"/>
  <c r="BI9" i="9" s="1"/>
  <c r="BJ9" i="9" s="1"/>
  <c r="BK9" i="9" s="1"/>
  <c r="AS10" i="9"/>
  <c r="AT9" i="9"/>
  <c r="AU9" i="9" s="1"/>
  <c r="AV9" i="9" s="1"/>
  <c r="AW9" i="9" s="1"/>
  <c r="AX9" i="9" s="1"/>
  <c r="AY9" i="9" s="1"/>
  <c r="BQ27" i="9"/>
  <c r="BQ12" i="9"/>
  <c r="BW33" i="9"/>
  <c r="BY4" i="9"/>
  <c r="BR38" i="9"/>
  <c r="BY20" i="9"/>
  <c r="BX38" i="9"/>
  <c r="BV34" i="9"/>
  <c r="BU35" i="9"/>
  <c r="BS37" i="9"/>
  <c r="BT36" i="9"/>
  <c r="BI34" i="9"/>
  <c r="BM19" i="9"/>
  <c r="BG36" i="9"/>
  <c r="BM18" i="9"/>
  <c r="BE38" i="9"/>
  <c r="BK40" i="9"/>
  <c r="BM11" i="9"/>
  <c r="BM40" i="9" s="1"/>
  <c r="BK32" i="9"/>
  <c r="BM3" i="9"/>
  <c r="BF37" i="9"/>
  <c r="BJ33" i="9"/>
  <c r="BL38" i="9"/>
  <c r="BL39" i="9"/>
  <c r="BH35" i="9"/>
  <c r="AM33" i="9"/>
  <c r="AL33" i="9"/>
  <c r="AJ35" i="9"/>
  <c r="AH37" i="9"/>
  <c r="AK34" i="9"/>
  <c r="AG38" i="9"/>
  <c r="AI36" i="9"/>
  <c r="BA20" i="9"/>
  <c r="AT27" i="9"/>
  <c r="AT37" i="9"/>
  <c r="AS38" i="9"/>
  <c r="BA32" i="9"/>
  <c r="AU36" i="9"/>
  <c r="AY32" i="9"/>
  <c r="AZ39" i="9"/>
  <c r="AZ12" i="9"/>
  <c r="AZ41" i="9" s="1"/>
  <c r="AV35" i="9"/>
  <c r="AW34" i="9"/>
  <c r="AX33" i="9"/>
  <c r="AY33" i="9"/>
  <c r="V27" i="9"/>
  <c r="V9" i="9"/>
  <c r="W9" i="9" s="1"/>
  <c r="X9" i="9" s="1"/>
  <c r="U29" i="9"/>
  <c r="L7" i="9"/>
  <c r="L5" i="9"/>
  <c r="L3" i="9"/>
  <c r="L9" i="9"/>
  <c r="L6" i="9"/>
  <c r="L4" i="9"/>
  <c r="K9" i="9"/>
  <c r="K3" i="9"/>
  <c r="K4" i="9"/>
  <c r="K5" i="9"/>
  <c r="K6" i="9"/>
  <c r="K7" i="9"/>
  <c r="F8" i="9"/>
  <c r="AM76" i="7"/>
  <c r="AC14" i="7"/>
  <c r="AC13" i="7"/>
  <c r="AC12" i="7"/>
  <c r="AC11" i="7"/>
  <c r="AC10" i="7"/>
  <c r="AC9" i="7"/>
  <c r="AC8" i="7"/>
  <c r="AC7" i="7"/>
  <c r="AC6" i="7"/>
  <c r="AC5" i="7"/>
  <c r="AC4" i="7"/>
  <c r="V10" i="9" l="1"/>
  <c r="W10" i="9" s="1"/>
  <c r="X10" i="9" s="1"/>
  <c r="AT10" i="9"/>
  <c r="AU10" i="9" s="1"/>
  <c r="AV10" i="9" s="1"/>
  <c r="AW10" i="9" s="1"/>
  <c r="AX10" i="9" s="1"/>
  <c r="AY10" i="9" s="1"/>
  <c r="BF10" i="9"/>
  <c r="BG10" i="9" s="1"/>
  <c r="BH10" i="9" s="1"/>
  <c r="BI10" i="9" s="1"/>
  <c r="BJ10" i="9" s="1"/>
  <c r="BK10" i="9" s="1"/>
  <c r="V12" i="9"/>
  <c r="Y9" i="9"/>
  <c r="Y10" i="9" s="1"/>
  <c r="U43" i="9"/>
  <c r="V29" i="9"/>
  <c r="V42" i="9"/>
  <c r="U12" i="9"/>
  <c r="Y37" i="9"/>
  <c r="V39" i="9"/>
  <c r="X38" i="9"/>
  <c r="AD5" i="9"/>
  <c r="AB35" i="9"/>
  <c r="T43" i="9"/>
  <c r="W39" i="9"/>
  <c r="V40" i="9"/>
  <c r="Z6" i="9"/>
  <c r="AB6" i="9" s="1"/>
  <c r="AD6" i="9" s="1"/>
  <c r="AI9" i="9"/>
  <c r="AL6" i="9"/>
  <c r="AM6" i="9" s="1"/>
  <c r="AK7" i="9"/>
  <c r="AJ8" i="9"/>
  <c r="AS12" i="9"/>
  <c r="AS41" i="9" s="1"/>
  <c r="AO5" i="9"/>
  <c r="AH10" i="9"/>
  <c r="AI10" i="9" s="1"/>
  <c r="BR10" i="9"/>
  <c r="BS10" i="9" s="1"/>
  <c r="BT10" i="9" s="1"/>
  <c r="BU10" i="9" s="1"/>
  <c r="BV10" i="9" s="1"/>
  <c r="BW10" i="9" s="1"/>
  <c r="BQ41" i="9"/>
  <c r="BR27" i="9"/>
  <c r="BT37" i="9"/>
  <c r="BX39" i="9"/>
  <c r="BX12" i="9"/>
  <c r="BX41" i="9" s="1"/>
  <c r="BY21" i="9"/>
  <c r="BY33" i="9"/>
  <c r="BU36" i="9"/>
  <c r="BV35" i="9"/>
  <c r="BW34" i="9"/>
  <c r="BY5" i="9"/>
  <c r="BY34" i="9" s="1"/>
  <c r="BS38" i="9"/>
  <c r="BI35" i="9"/>
  <c r="BK33" i="9"/>
  <c r="BM4" i="9"/>
  <c r="BM33" i="9" s="1"/>
  <c r="BF38" i="9"/>
  <c r="BJ34" i="9"/>
  <c r="BL12" i="9"/>
  <c r="BL41" i="9" s="1"/>
  <c r="BM20" i="9"/>
  <c r="BE27" i="9"/>
  <c r="BG37" i="9"/>
  <c r="BM32" i="9"/>
  <c r="BF27" i="9"/>
  <c r="BE39" i="9"/>
  <c r="BE12" i="9"/>
  <c r="BM5" i="9"/>
  <c r="BH36" i="9"/>
  <c r="AH38" i="9"/>
  <c r="AK35" i="9"/>
  <c r="AJ36" i="9"/>
  <c r="AH27" i="9"/>
  <c r="AG39" i="9"/>
  <c r="AG27" i="9"/>
  <c r="AL34" i="9"/>
  <c r="AI37" i="9"/>
  <c r="AO19" i="9"/>
  <c r="AO33" i="9" s="1"/>
  <c r="BA4" i="9"/>
  <c r="BA33" i="9" s="1"/>
  <c r="AX34" i="9"/>
  <c r="AT38" i="9"/>
  <c r="AW35" i="9"/>
  <c r="AV36" i="9"/>
  <c r="AS39" i="9"/>
  <c r="AU37" i="9"/>
  <c r="W27" i="9"/>
  <c r="W12" i="9"/>
  <c r="L10" i="9"/>
  <c r="K10" i="9"/>
  <c r="F10" i="9"/>
  <c r="E10" i="9"/>
  <c r="AL76" i="7"/>
  <c r="AM74" i="7"/>
  <c r="AM73" i="7"/>
  <c r="AM72" i="7"/>
  <c r="AM71" i="7"/>
  <c r="AM70" i="7"/>
  <c r="AM69" i="7"/>
  <c r="AM68" i="7"/>
  <c r="AM67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D67" i="7"/>
  <c r="AD29" i="7"/>
  <c r="AD18" i="7"/>
  <c r="AU27" i="9" l="1"/>
  <c r="BR39" i="9"/>
  <c r="BR12" i="9"/>
  <c r="BR41" i="9" s="1"/>
  <c r="V43" i="9"/>
  <c r="AN59" i="7"/>
  <c r="BM34" i="9"/>
  <c r="W42" i="9"/>
  <c r="BS12" i="9"/>
  <c r="X39" i="9"/>
  <c r="Y38" i="9"/>
  <c r="Z36" i="9"/>
  <c r="W40" i="9"/>
  <c r="AB36" i="9"/>
  <c r="AB22" i="9"/>
  <c r="U42" i="9"/>
  <c r="W43" i="9"/>
  <c r="Z7" i="9"/>
  <c r="Z37" i="9" s="1"/>
  <c r="AB23" i="9"/>
  <c r="AO6" i="9"/>
  <c r="AK8" i="9"/>
  <c r="AL7" i="9"/>
  <c r="AH12" i="9"/>
  <c r="AH41" i="9" s="1"/>
  <c r="AJ9" i="9"/>
  <c r="AI12" i="9"/>
  <c r="BE41" i="9"/>
  <c r="BS27" i="9"/>
  <c r="BS41" i="9" s="1"/>
  <c r="BW35" i="9"/>
  <c r="BY6" i="9"/>
  <c r="BY35" i="9" s="1"/>
  <c r="BY22" i="9"/>
  <c r="BV36" i="9"/>
  <c r="BU27" i="9"/>
  <c r="BT27" i="9"/>
  <c r="BT38" i="9"/>
  <c r="BS39" i="9"/>
  <c r="BU37" i="9"/>
  <c r="BI36" i="9"/>
  <c r="BH27" i="9"/>
  <c r="BK34" i="9"/>
  <c r="BF39" i="9"/>
  <c r="BF12" i="9"/>
  <c r="BF41" i="9" s="1"/>
  <c r="BH37" i="9"/>
  <c r="BM21" i="9"/>
  <c r="BG38" i="9"/>
  <c r="BG27" i="9"/>
  <c r="BJ35" i="9"/>
  <c r="BK35" i="9"/>
  <c r="AM34" i="9"/>
  <c r="AO20" i="9"/>
  <c r="AO34" i="9" s="1"/>
  <c r="AL35" i="9"/>
  <c r="AI38" i="9"/>
  <c r="AJ37" i="9"/>
  <c r="AG41" i="9"/>
  <c r="AH39" i="9"/>
  <c r="AK36" i="9"/>
  <c r="AT39" i="9"/>
  <c r="AX35" i="9"/>
  <c r="BA21" i="9"/>
  <c r="AY34" i="9"/>
  <c r="BA5" i="9"/>
  <c r="AW36" i="9"/>
  <c r="AV37" i="9"/>
  <c r="BA22" i="9"/>
  <c r="AT12" i="9"/>
  <c r="AT41" i="9" s="1"/>
  <c r="AU38" i="9"/>
  <c r="AI27" i="9"/>
  <c r="W29" i="9"/>
  <c r="X27" i="9"/>
  <c r="X12" i="9"/>
  <c r="D9" i="9"/>
  <c r="D3" i="9"/>
  <c r="D4" i="9"/>
  <c r="D5" i="9"/>
  <c r="D6" i="9"/>
  <c r="D7" i="9"/>
  <c r="D8" i="9"/>
  <c r="C8" i="9"/>
  <c r="C6" i="9"/>
  <c r="C4" i="9"/>
  <c r="C7" i="9"/>
  <c r="C5" i="9"/>
  <c r="C3" i="9"/>
  <c r="C9" i="9"/>
  <c r="AO59" i="7"/>
  <c r="AL67" i="7"/>
  <c r="AL69" i="7"/>
  <c r="AL71" i="7"/>
  <c r="AL73" i="7"/>
  <c r="AL68" i="7"/>
  <c r="AL70" i="7"/>
  <c r="AL72" i="7"/>
  <c r="AL74" i="7"/>
  <c r="AN61" i="7"/>
  <c r="AM77" i="7" s="1"/>
  <c r="AK58" i="7" l="1"/>
  <c r="AK54" i="7"/>
  <c r="AK50" i="7"/>
  <c r="AK57" i="7"/>
  <c r="AK53" i="7"/>
  <c r="AK49" i="7"/>
  <c r="AM59" i="7"/>
  <c r="AK59" i="7"/>
  <c r="AK56" i="7"/>
  <c r="AK52" i="7"/>
  <c r="AK48" i="7"/>
  <c r="AK55" i="7"/>
  <c r="AK51" i="7"/>
  <c r="AK47" i="7"/>
  <c r="AI41" i="9"/>
  <c r="AK9" i="9"/>
  <c r="AV27" i="9"/>
  <c r="X40" i="9"/>
  <c r="Y27" i="9"/>
  <c r="Y39" i="9"/>
  <c r="X29" i="9"/>
  <c r="X42" i="9"/>
  <c r="AB7" i="9"/>
  <c r="AD7" i="9" s="1"/>
  <c r="Z8" i="9"/>
  <c r="Z38" i="9" s="1"/>
  <c r="AB37" i="9"/>
  <c r="X43" i="9"/>
  <c r="AM7" i="9"/>
  <c r="AO7" i="9" s="1"/>
  <c r="AJ10" i="9"/>
  <c r="AJ12" i="9" s="1"/>
  <c r="AL8" i="9"/>
  <c r="AM8" i="9" s="1"/>
  <c r="BU38" i="9"/>
  <c r="BY23" i="9"/>
  <c r="BW36" i="9"/>
  <c r="BY7" i="9"/>
  <c r="BV37" i="9"/>
  <c r="BT39" i="9"/>
  <c r="BT12" i="9"/>
  <c r="BT41" i="9" s="1"/>
  <c r="BH38" i="9"/>
  <c r="BI37" i="9"/>
  <c r="BM6" i="9"/>
  <c r="BM22" i="9"/>
  <c r="BG39" i="9"/>
  <c r="BG12" i="9"/>
  <c r="BG41" i="9" s="1"/>
  <c r="BJ36" i="9"/>
  <c r="BK36" i="9"/>
  <c r="AK37" i="9"/>
  <c r="AL36" i="9"/>
  <c r="AI39" i="9"/>
  <c r="AJ38" i="9"/>
  <c r="AM35" i="9"/>
  <c r="AO21" i="9"/>
  <c r="AO35" i="9" s="1"/>
  <c r="AW37" i="9"/>
  <c r="BA34" i="9"/>
  <c r="BA23" i="9"/>
  <c r="AY35" i="9"/>
  <c r="BA6" i="9"/>
  <c r="BA35" i="9" s="1"/>
  <c r="AV38" i="9"/>
  <c r="AX36" i="9"/>
  <c r="AU39" i="9"/>
  <c r="AU12" i="9"/>
  <c r="AU41" i="9" s="1"/>
  <c r="Y12" i="9"/>
  <c r="D10" i="9"/>
  <c r="C10" i="9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AD73" i="7"/>
  <c r="R73" i="7"/>
  <c r="R72" i="7"/>
  <c r="R71" i="7"/>
  <c r="R70" i="7"/>
  <c r="R69" i="7"/>
  <c r="R68" i="7"/>
  <c r="AD68" i="7"/>
  <c r="AD69" i="7" s="1"/>
  <c r="AD70" i="7" s="1"/>
  <c r="AD71" i="7" s="1"/>
  <c r="AD72" i="7" s="1"/>
  <c r="R67" i="7"/>
  <c r="R66" i="7"/>
  <c r="R65" i="7"/>
  <c r="R64" i="7"/>
  <c r="R63" i="7"/>
  <c r="R62" i="7"/>
  <c r="R61" i="7"/>
  <c r="AD60" i="7"/>
  <c r="R60" i="7"/>
  <c r="R59" i="7"/>
  <c r="R58" i="7"/>
  <c r="R57" i="7"/>
  <c r="R56" i="7"/>
  <c r="R55" i="7"/>
  <c r="R54" i="7"/>
  <c r="AD53" i="7"/>
  <c r="AD54" i="7" s="1"/>
  <c r="R53" i="7"/>
  <c r="R52" i="7"/>
  <c r="R48" i="7"/>
  <c r="AD47" i="7"/>
  <c r="R47" i="7"/>
  <c r="R46" i="7"/>
  <c r="R45" i="7"/>
  <c r="R44" i="7"/>
  <c r="R43" i="7"/>
  <c r="R42" i="7"/>
  <c r="AD41" i="7"/>
  <c r="AD42" i="7" s="1"/>
  <c r="AD43" i="7" s="1"/>
  <c r="AD44" i="7" s="1"/>
  <c r="AD45" i="7" s="1"/>
  <c r="AD46" i="7" s="1"/>
  <c r="X41" i="7"/>
  <c r="R41" i="7"/>
  <c r="R40" i="7"/>
  <c r="R39" i="7"/>
  <c r="R38" i="7"/>
  <c r="AD35" i="7"/>
  <c r="X33" i="7"/>
  <c r="X34" i="7" s="1"/>
  <c r="X35" i="7" s="1"/>
  <c r="X36" i="7" s="1"/>
  <c r="X37" i="7" s="1"/>
  <c r="X38" i="7" s="1"/>
  <c r="X39" i="7" s="1"/>
  <c r="X40" i="7" s="1"/>
  <c r="AD30" i="7"/>
  <c r="AD31" i="7" s="1"/>
  <c r="AD32" i="7" s="1"/>
  <c r="AD33" i="7" s="1"/>
  <c r="AD34" i="7" s="1"/>
  <c r="X25" i="7"/>
  <c r="AD24" i="7"/>
  <c r="AD19" i="7"/>
  <c r="AD20" i="7" s="1"/>
  <c r="AD21" i="7" s="1"/>
  <c r="AD22" i="7" s="1"/>
  <c r="AD23" i="7" s="1"/>
  <c r="X17" i="7"/>
  <c r="X18" i="7" s="1"/>
  <c r="X19" i="7" s="1"/>
  <c r="X20" i="7" s="1"/>
  <c r="X21" i="7" s="1"/>
  <c r="X22" i="7" s="1"/>
  <c r="X23" i="7" s="1"/>
  <c r="X24" i="7" s="1"/>
  <c r="R17" i="7"/>
  <c r="R16" i="7"/>
  <c r="R15" i="7"/>
  <c r="X12" i="7"/>
  <c r="R7" i="7"/>
  <c r="X6" i="7"/>
  <c r="X7" i="7" s="1"/>
  <c r="X8" i="7" s="1"/>
  <c r="R6" i="7"/>
  <c r="X5" i="7"/>
  <c r="R5" i="7"/>
  <c r="X4" i="7"/>
  <c r="R4" i="7"/>
  <c r="BM42" i="3"/>
  <c r="BM31" i="3"/>
  <c r="BM3" i="3"/>
  <c r="BH58" i="3"/>
  <c r="BH59" i="3"/>
  <c r="BH57" i="3"/>
  <c r="BH32" i="3"/>
  <c r="AS40" i="3"/>
  <c r="AS25" i="3"/>
  <c r="AS95" i="3"/>
  <c r="AS84" i="3"/>
  <c r="AS85" i="3" s="1"/>
  <c r="AS86" i="3" s="1"/>
  <c r="AS87" i="3" s="1"/>
  <c r="AS88" i="3" s="1"/>
  <c r="AS89" i="3" s="1"/>
  <c r="AS90" i="3" s="1"/>
  <c r="AS91" i="3" s="1"/>
  <c r="AS92" i="3" s="1"/>
  <c r="AS93" i="3" s="1"/>
  <c r="AS94" i="3" s="1"/>
  <c r="L84" i="3"/>
  <c r="AS83" i="3"/>
  <c r="L83" i="3"/>
  <c r="L82" i="3"/>
  <c r="L81" i="3"/>
  <c r="L80" i="3"/>
  <c r="AS79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AS66" i="3"/>
  <c r="AS67" i="3" s="1"/>
  <c r="AS68" i="3" s="1"/>
  <c r="AS69" i="3" s="1"/>
  <c r="AS70" i="3" s="1"/>
  <c r="AS71" i="3" s="1"/>
  <c r="AS72" i="3" s="1"/>
  <c r="AS73" i="3" s="1"/>
  <c r="AS74" i="3" s="1"/>
  <c r="AS75" i="3" s="1"/>
  <c r="AS76" i="3" s="1"/>
  <c r="AS77" i="3" s="1"/>
  <c r="AS78" i="3" s="1"/>
  <c r="L66" i="3"/>
  <c r="AS65" i="3"/>
  <c r="L65" i="3"/>
  <c r="L64" i="3"/>
  <c r="L63" i="3"/>
  <c r="BM62" i="3"/>
  <c r="L62" i="3"/>
  <c r="L61" i="3"/>
  <c r="AS60" i="3"/>
  <c r="L60" i="3"/>
  <c r="AS59" i="3"/>
  <c r="O59" i="3"/>
  <c r="L59" i="3"/>
  <c r="AS58" i="3"/>
  <c r="O58" i="3"/>
  <c r="L58" i="3"/>
  <c r="AS57" i="3"/>
  <c r="O57" i="3"/>
  <c r="L57" i="3"/>
  <c r="BM56" i="3"/>
  <c r="BM57" i="3" s="1"/>
  <c r="BM58" i="3" s="1"/>
  <c r="BM59" i="3" s="1"/>
  <c r="BM60" i="3" s="1"/>
  <c r="BM61" i="3" s="1"/>
  <c r="AS56" i="3"/>
  <c r="O56" i="3"/>
  <c r="L56" i="3"/>
  <c r="O55" i="3"/>
  <c r="L55" i="3"/>
  <c r="O54" i="3"/>
  <c r="L54" i="3"/>
  <c r="O53" i="3"/>
  <c r="L53" i="3"/>
  <c r="O52" i="3"/>
  <c r="L52" i="3"/>
  <c r="BM51" i="3"/>
  <c r="BH51" i="3"/>
  <c r="BH52" i="3" s="1"/>
  <c r="BH53" i="3" s="1"/>
  <c r="BH54" i="3" s="1"/>
  <c r="BH55" i="3" s="1"/>
  <c r="BH56" i="3" s="1"/>
  <c r="AS51" i="3"/>
  <c r="O51" i="3"/>
  <c r="L51" i="3"/>
  <c r="AS50" i="3"/>
  <c r="O50" i="3"/>
  <c r="L50" i="3"/>
  <c r="AS49" i="3"/>
  <c r="O49" i="3"/>
  <c r="L49" i="3"/>
  <c r="AW48" i="3"/>
  <c r="AS48" i="3"/>
  <c r="O48" i="3"/>
  <c r="L48" i="3"/>
  <c r="AS47" i="3"/>
  <c r="O47" i="3"/>
  <c r="L47" i="3"/>
  <c r="BH46" i="3"/>
  <c r="AS46" i="3"/>
  <c r="O46" i="3"/>
  <c r="L46" i="3"/>
  <c r="BM45" i="3"/>
  <c r="BM46" i="3" s="1"/>
  <c r="BM47" i="3" s="1"/>
  <c r="BM48" i="3" s="1"/>
  <c r="BM49" i="3" s="1"/>
  <c r="BM50" i="3" s="1"/>
  <c r="BH45" i="3"/>
  <c r="AS45" i="3"/>
  <c r="O45" i="3"/>
  <c r="L45" i="3"/>
  <c r="BH44" i="3"/>
  <c r="AS44" i="3"/>
  <c r="O44" i="3"/>
  <c r="L44" i="3"/>
  <c r="AS43" i="3"/>
  <c r="O43" i="3"/>
  <c r="L43" i="3"/>
  <c r="AS42" i="3"/>
  <c r="O42" i="3"/>
  <c r="L42" i="3"/>
  <c r="AS41" i="3"/>
  <c r="O41" i="3"/>
  <c r="L41" i="3"/>
  <c r="BM40" i="3"/>
  <c r="AW40" i="3"/>
  <c r="AW41" i="3" s="1"/>
  <c r="AW42" i="3" s="1"/>
  <c r="AW43" i="3" s="1"/>
  <c r="AW44" i="3" s="1"/>
  <c r="AW45" i="3" s="1"/>
  <c r="AW46" i="3" s="1"/>
  <c r="AW47" i="3" s="1"/>
  <c r="O40" i="3"/>
  <c r="L40" i="3"/>
  <c r="AW39" i="3"/>
  <c r="O39" i="3"/>
  <c r="L39" i="3"/>
  <c r="BH38" i="3"/>
  <c r="BH39" i="3" s="1"/>
  <c r="BH40" i="3" s="1"/>
  <c r="BH41" i="3" s="1"/>
  <c r="BH42" i="3" s="1"/>
  <c r="BH43" i="3" s="1"/>
  <c r="AS35" i="3"/>
  <c r="BM34" i="3"/>
  <c r="BM35" i="3" s="1"/>
  <c r="BH33" i="3"/>
  <c r="BH31" i="3"/>
  <c r="BM29" i="3"/>
  <c r="AS26" i="3"/>
  <c r="AS27" i="3" s="1"/>
  <c r="AS28" i="3" s="1"/>
  <c r="AS29" i="3" s="1"/>
  <c r="AS30" i="3" s="1"/>
  <c r="AS31" i="3" s="1"/>
  <c r="AS32" i="3" s="1"/>
  <c r="AS33" i="3" s="1"/>
  <c r="AS34" i="3" s="1"/>
  <c r="BH25" i="3"/>
  <c r="BH26" i="3" s="1"/>
  <c r="BH27" i="3" s="1"/>
  <c r="BH28" i="3" s="1"/>
  <c r="BH29" i="3" s="1"/>
  <c r="BH30" i="3" s="1"/>
  <c r="BM24" i="3"/>
  <c r="BM25" i="3" s="1"/>
  <c r="BM26" i="3" s="1"/>
  <c r="BM27" i="3" s="1"/>
  <c r="BM28" i="3" s="1"/>
  <c r="BC22" i="3"/>
  <c r="BC21" i="3"/>
  <c r="BH20" i="3"/>
  <c r="BC20" i="3"/>
  <c r="AS20" i="3"/>
  <c r="BM19" i="3"/>
  <c r="BH19" i="3"/>
  <c r="BC19" i="3"/>
  <c r="AS19" i="3"/>
  <c r="BH18" i="3"/>
  <c r="BC18" i="3"/>
  <c r="AS18" i="3"/>
  <c r="K18" i="3"/>
  <c r="BH17" i="3"/>
  <c r="BC17" i="3"/>
  <c r="K17" i="3"/>
  <c r="BC16" i="3"/>
  <c r="K16" i="3"/>
  <c r="BC15" i="3"/>
  <c r="K15" i="3"/>
  <c r="BM14" i="3"/>
  <c r="BM15" i="3" s="1"/>
  <c r="BM16" i="3" s="1"/>
  <c r="BM17" i="3" s="1"/>
  <c r="BM18" i="3" s="1"/>
  <c r="BC14" i="3"/>
  <c r="AS14" i="3"/>
  <c r="BH13" i="3"/>
  <c r="BH14" i="3" s="1"/>
  <c r="BH15" i="3" s="1"/>
  <c r="BH16" i="3" s="1"/>
  <c r="BC13" i="3"/>
  <c r="BC12" i="3"/>
  <c r="BM9" i="3"/>
  <c r="BH9" i="3"/>
  <c r="BD8" i="3"/>
  <c r="BD7" i="3"/>
  <c r="AW7" i="3"/>
  <c r="BD6" i="3"/>
  <c r="AW6" i="3"/>
  <c r="BD5" i="3"/>
  <c r="AW5" i="3"/>
  <c r="AS5" i="3"/>
  <c r="AS6" i="3" s="1"/>
  <c r="AS7" i="3" s="1"/>
  <c r="AS8" i="3" s="1"/>
  <c r="AS9" i="3" s="1"/>
  <c r="AS10" i="3" s="1"/>
  <c r="AS11" i="3" s="1"/>
  <c r="AS12" i="3" s="1"/>
  <c r="AS13" i="3" s="1"/>
  <c r="BD4" i="3"/>
  <c r="AW4" i="3"/>
  <c r="AS4" i="3"/>
  <c r="BM4" i="3"/>
  <c r="BH3" i="3"/>
  <c r="BH4" i="3" s="1"/>
  <c r="BH5" i="3" s="1"/>
  <c r="BH6" i="3" s="1"/>
  <c r="BH7" i="3" s="1"/>
  <c r="BH8" i="3" s="1"/>
  <c r="BD3" i="3"/>
  <c r="AW3" i="3"/>
  <c r="AS3" i="3"/>
  <c r="R31" i="7"/>
  <c r="E11" i="7"/>
  <c r="AM41" i="7"/>
  <c r="AM40" i="7"/>
  <c r="AM39" i="7"/>
  <c r="AM38" i="7"/>
  <c r="L38" i="7"/>
  <c r="AM37" i="7"/>
  <c r="L37" i="7"/>
  <c r="AM36" i="7"/>
  <c r="L36" i="7"/>
  <c r="AM35" i="7"/>
  <c r="L35" i="7"/>
  <c r="AM34" i="7"/>
  <c r="AM33" i="7"/>
  <c r="AM32" i="7"/>
  <c r="AM31" i="7"/>
  <c r="AM30" i="7"/>
  <c r="R30" i="7"/>
  <c r="AM29" i="7"/>
  <c r="R29" i="7"/>
  <c r="AM28" i="7"/>
  <c r="R28" i="7"/>
  <c r="L28" i="7"/>
  <c r="AM27" i="7"/>
  <c r="R27" i="7"/>
  <c r="L27" i="7"/>
  <c r="AM26" i="7"/>
  <c r="R26" i="7"/>
  <c r="L26" i="7"/>
  <c r="AM25" i="7"/>
  <c r="R25" i="7"/>
  <c r="L25" i="7"/>
  <c r="AM24" i="7"/>
  <c r="AM23" i="7"/>
  <c r="AM22" i="7"/>
  <c r="E22" i="7"/>
  <c r="AM21" i="7"/>
  <c r="E21" i="7"/>
  <c r="AM20" i="7"/>
  <c r="E20" i="7"/>
  <c r="AM19" i="7"/>
  <c r="E19" i="7"/>
  <c r="AM18" i="7"/>
  <c r="L18" i="7"/>
  <c r="AM17" i="7"/>
  <c r="L17" i="7"/>
  <c r="AM16" i="7"/>
  <c r="L16" i="7"/>
  <c r="AM15" i="7"/>
  <c r="L15" i="7"/>
  <c r="AM14" i="7"/>
  <c r="AM13" i="7"/>
  <c r="AM12" i="7"/>
  <c r="AM11" i="7"/>
  <c r="AM10" i="7"/>
  <c r="E10" i="7"/>
  <c r="E9" i="7"/>
  <c r="L8" i="7"/>
  <c r="E8" i="7"/>
  <c r="L7" i="7"/>
  <c r="E7" i="7"/>
  <c r="L6" i="7"/>
  <c r="E6" i="7"/>
  <c r="L5" i="7"/>
  <c r="E5" i="7"/>
  <c r="AM4" i="7"/>
  <c r="AM5" i="7" s="1"/>
  <c r="AM6" i="7" s="1"/>
  <c r="E4" i="7"/>
  <c r="AK61" i="7" l="1"/>
  <c r="M70" i="3"/>
  <c r="X13" i="9" s="1"/>
  <c r="X14" i="9" s="1"/>
  <c r="M49" i="3"/>
  <c r="T13" i="9" s="1"/>
  <c r="T14" i="9" s="1"/>
  <c r="M75" i="3"/>
  <c r="Y13" i="9" s="1"/>
  <c r="Y14" i="9" s="1"/>
  <c r="M60" i="3"/>
  <c r="V13" i="9" s="1"/>
  <c r="V14" i="9" s="1"/>
  <c r="M65" i="3"/>
  <c r="W13" i="9" s="1"/>
  <c r="W14" i="9" s="1"/>
  <c r="AM36" i="9"/>
  <c r="M80" i="3"/>
  <c r="Z13" i="9" s="1"/>
  <c r="M85" i="3"/>
  <c r="AA13" i="9" s="1"/>
  <c r="AA14" i="9" s="1"/>
  <c r="X9" i="7"/>
  <c r="X10" i="7" s="1"/>
  <c r="X11" i="7" s="1"/>
  <c r="M55" i="3"/>
  <c r="U13" i="9" s="1"/>
  <c r="U14" i="9" s="1"/>
  <c r="AO22" i="9"/>
  <c r="AO36" i="9" s="1"/>
  <c r="Y29" i="9"/>
  <c r="Y42" i="9"/>
  <c r="AB8" i="9"/>
  <c r="Z9" i="9"/>
  <c r="AB24" i="9"/>
  <c r="Y40" i="9"/>
  <c r="Z27" i="9"/>
  <c r="AO8" i="9"/>
  <c r="AK10" i="9"/>
  <c r="AL9" i="9"/>
  <c r="BW37" i="9"/>
  <c r="BY8" i="9"/>
  <c r="BY37" i="9" s="1"/>
  <c r="BV38" i="9"/>
  <c r="BU39" i="9"/>
  <c r="BU12" i="9"/>
  <c r="BU41" i="9" s="1"/>
  <c r="BV12" i="9"/>
  <c r="BY36" i="9"/>
  <c r="BV27" i="9"/>
  <c r="BM23" i="9"/>
  <c r="BJ37" i="9"/>
  <c r="BM7" i="9"/>
  <c r="BM36" i="9" s="1"/>
  <c r="BH39" i="9"/>
  <c r="BH12" i="9"/>
  <c r="BH41" i="9" s="1"/>
  <c r="BM35" i="9"/>
  <c r="BI38" i="9"/>
  <c r="AJ39" i="9"/>
  <c r="AJ27" i="9"/>
  <c r="AK38" i="9"/>
  <c r="AL37" i="9"/>
  <c r="AW38" i="9"/>
  <c r="AW27" i="9"/>
  <c r="AX37" i="9"/>
  <c r="AY37" i="9"/>
  <c r="AY36" i="9"/>
  <c r="BA7" i="9"/>
  <c r="BA36" i="9" s="1"/>
  <c r="AV39" i="9"/>
  <c r="AV12" i="9"/>
  <c r="AV41" i="9" s="1"/>
  <c r="AX27" i="9"/>
  <c r="AB25" i="9"/>
  <c r="AD55" i="7"/>
  <c r="AD56" i="7" s="1"/>
  <c r="AD57" i="7" s="1"/>
  <c r="AD58" i="7" s="1"/>
  <c r="AD59" i="7" s="1"/>
  <c r="BM5" i="3"/>
  <c r="BM6" i="3" s="1"/>
  <c r="BM7" i="3" s="1"/>
  <c r="BM8" i="3" s="1"/>
  <c r="BM36" i="3"/>
  <c r="BM37" i="3" s="1"/>
  <c r="BM38" i="3" s="1"/>
  <c r="BM39" i="3" s="1"/>
  <c r="D55" i="5"/>
  <c r="P35" i="3"/>
  <c r="D75" i="5"/>
  <c r="D74" i="5"/>
  <c r="D73" i="5"/>
  <c r="D72" i="5"/>
  <c r="D71" i="5"/>
  <c r="D70" i="5"/>
  <c r="D69" i="5"/>
  <c r="D64" i="5"/>
  <c r="D62" i="5"/>
  <c r="D61" i="5"/>
  <c r="D60" i="5"/>
  <c r="D54" i="5"/>
  <c r="D53" i="5"/>
  <c r="D52" i="5"/>
  <c r="D51" i="5"/>
  <c r="G38" i="5"/>
  <c r="D39" i="5"/>
  <c r="D38" i="5"/>
  <c r="G37" i="5"/>
  <c r="D37" i="5"/>
  <c r="G36" i="5"/>
  <c r="D36" i="5"/>
  <c r="G35" i="5"/>
  <c r="D35" i="5"/>
  <c r="G34" i="5"/>
  <c r="D34" i="5"/>
  <c r="G33" i="5"/>
  <c r="D33" i="5"/>
  <c r="G32" i="5"/>
  <c r="D32" i="5"/>
  <c r="G31" i="5"/>
  <c r="D31" i="5"/>
  <c r="G30" i="5"/>
  <c r="D30" i="5"/>
  <c r="G29" i="5"/>
  <c r="D29" i="5"/>
  <c r="G28" i="5"/>
  <c r="D28" i="5"/>
  <c r="G27" i="5"/>
  <c r="D27" i="5"/>
  <c r="D22" i="5"/>
  <c r="D21" i="5"/>
  <c r="D20" i="5"/>
  <c r="N19" i="5"/>
  <c r="J19" i="5"/>
  <c r="D19" i="5"/>
  <c r="N18" i="5"/>
  <c r="J18" i="5"/>
  <c r="D18" i="5"/>
  <c r="N17" i="5"/>
  <c r="J17" i="5"/>
  <c r="D17" i="5"/>
  <c r="N16" i="5"/>
  <c r="J16" i="5"/>
  <c r="D16" i="5"/>
  <c r="D15" i="5"/>
  <c r="D14" i="5"/>
  <c r="N8" i="5"/>
  <c r="J8" i="5"/>
  <c r="C8" i="5"/>
  <c r="N7" i="5"/>
  <c r="J7" i="5"/>
  <c r="N6" i="5"/>
  <c r="J6" i="5"/>
  <c r="N5" i="5"/>
  <c r="J5" i="5"/>
  <c r="C4" i="5"/>
  <c r="C5" i="5" s="1"/>
  <c r="C6" i="5" s="1"/>
  <c r="C7" i="5" s="1"/>
  <c r="AN34" i="3"/>
  <c r="AN32" i="3"/>
  <c r="AN17" i="3"/>
  <c r="AN15" i="3"/>
  <c r="AJ40" i="3"/>
  <c r="AJ43" i="3"/>
  <c r="AJ41" i="3"/>
  <c r="AI31" i="3"/>
  <c r="AJ23" i="3"/>
  <c r="AJ16" i="3"/>
  <c r="AJ15" i="3"/>
  <c r="AJ18" i="3"/>
  <c r="AB73" i="3"/>
  <c r="AB47" i="3"/>
  <c r="AB51" i="3"/>
  <c r="AB52" i="3"/>
  <c r="AB33" i="3"/>
  <c r="W38" i="3"/>
  <c r="W37" i="3"/>
  <c r="W19" i="3"/>
  <c r="L34" i="3"/>
  <c r="H14" i="3"/>
  <c r="AB76" i="3"/>
  <c r="AB75" i="3"/>
  <c r="AB74" i="3"/>
  <c r="AB72" i="3"/>
  <c r="AB66" i="3"/>
  <c r="AB65" i="3"/>
  <c r="AB64" i="3"/>
  <c r="AB63" i="3"/>
  <c r="AB62" i="3"/>
  <c r="AB61" i="3"/>
  <c r="AB60" i="3"/>
  <c r="AB59" i="3"/>
  <c r="AB58" i="3"/>
  <c r="AB57" i="3"/>
  <c r="H54" i="3"/>
  <c r="H53" i="3"/>
  <c r="H52" i="3"/>
  <c r="AB50" i="3"/>
  <c r="H51" i="3"/>
  <c r="AB49" i="3"/>
  <c r="H50" i="3"/>
  <c r="AB48" i="3"/>
  <c r="H49" i="3"/>
  <c r="H48" i="3"/>
  <c r="AN45" i="3"/>
  <c r="W46" i="3"/>
  <c r="H47" i="3"/>
  <c r="AN44" i="3"/>
  <c r="W45" i="3"/>
  <c r="H46" i="3"/>
  <c r="AN43" i="3"/>
  <c r="W44" i="3"/>
  <c r="H45" i="3"/>
  <c r="AN42" i="3"/>
  <c r="AB43" i="3"/>
  <c r="W43" i="3"/>
  <c r="H44" i="3"/>
  <c r="AN41" i="3"/>
  <c r="AJ42" i="3"/>
  <c r="AB42" i="3"/>
  <c r="W42" i="3"/>
  <c r="H43" i="3"/>
  <c r="H42" i="3"/>
  <c r="H41" i="3"/>
  <c r="AJ39" i="3"/>
  <c r="H40" i="3"/>
  <c r="AB38" i="3"/>
  <c r="AB37" i="3"/>
  <c r="AN35" i="3"/>
  <c r="W36" i="3"/>
  <c r="W35" i="3"/>
  <c r="L35" i="3"/>
  <c r="K35" i="3"/>
  <c r="AN33" i="3"/>
  <c r="W34" i="3"/>
  <c r="P34" i="3"/>
  <c r="K34" i="3"/>
  <c r="AI33" i="3"/>
  <c r="W33" i="3"/>
  <c r="P33" i="3"/>
  <c r="L33" i="3"/>
  <c r="K33" i="3"/>
  <c r="AN31" i="3"/>
  <c r="AI32" i="3"/>
  <c r="AB32" i="3"/>
  <c r="W32" i="3"/>
  <c r="P32" i="3"/>
  <c r="L32" i="3"/>
  <c r="K32" i="3"/>
  <c r="AN30" i="3"/>
  <c r="AB31" i="3"/>
  <c r="W31" i="3"/>
  <c r="P31" i="3"/>
  <c r="L31" i="3"/>
  <c r="K31" i="3"/>
  <c r="G31" i="3"/>
  <c r="AN29" i="3"/>
  <c r="AI30" i="3"/>
  <c r="AB30" i="3"/>
  <c r="W30" i="3"/>
  <c r="P30" i="3"/>
  <c r="L30" i="3"/>
  <c r="K30" i="3"/>
  <c r="G30" i="3"/>
  <c r="AI29" i="3"/>
  <c r="AB29" i="3"/>
  <c r="P29" i="3"/>
  <c r="L29" i="3"/>
  <c r="K29" i="3"/>
  <c r="G29" i="3"/>
  <c r="C29" i="3"/>
  <c r="AI28" i="3"/>
  <c r="AB28" i="3"/>
  <c r="P28" i="3"/>
  <c r="L28" i="3"/>
  <c r="K28" i="3"/>
  <c r="G28" i="3"/>
  <c r="C28" i="3"/>
  <c r="AB27" i="3"/>
  <c r="P27" i="3"/>
  <c r="L27" i="3"/>
  <c r="K27" i="3"/>
  <c r="G27" i="3"/>
  <c r="C27" i="3"/>
  <c r="AB26" i="3"/>
  <c r="P26" i="3"/>
  <c r="L26" i="3"/>
  <c r="K26" i="3"/>
  <c r="G26" i="3"/>
  <c r="C26" i="3"/>
  <c r="L25" i="3"/>
  <c r="K25" i="3"/>
  <c r="G25" i="3"/>
  <c r="C25" i="3"/>
  <c r="L24" i="3"/>
  <c r="K24" i="3"/>
  <c r="G24" i="3"/>
  <c r="C24" i="3"/>
  <c r="L23" i="3"/>
  <c r="K23" i="3"/>
  <c r="G23" i="3"/>
  <c r="AJ22" i="3"/>
  <c r="P22" i="3"/>
  <c r="G22" i="3"/>
  <c r="P21" i="3"/>
  <c r="G21" i="3"/>
  <c r="AN19" i="3"/>
  <c r="AB20" i="3"/>
  <c r="AB21" i="3" s="1"/>
  <c r="G20" i="3"/>
  <c r="C20" i="3"/>
  <c r="AB19" i="3"/>
  <c r="G19" i="3"/>
  <c r="C19" i="3"/>
  <c r="AN18" i="3"/>
  <c r="AB18" i="3"/>
  <c r="W18" i="3"/>
  <c r="AJ17" i="3"/>
  <c r="AB17" i="3"/>
  <c r="W17" i="3"/>
  <c r="AN16" i="3"/>
  <c r="AB16" i="3"/>
  <c r="W16" i="3"/>
  <c r="R16" i="3"/>
  <c r="Q16" i="3"/>
  <c r="P16" i="3"/>
  <c r="AB15" i="3"/>
  <c r="W15" i="3"/>
  <c r="R15" i="3"/>
  <c r="Q15" i="3"/>
  <c r="P15" i="3"/>
  <c r="AB14" i="3"/>
  <c r="W14" i="3"/>
  <c r="R14" i="3"/>
  <c r="Q14" i="3"/>
  <c r="P14" i="3"/>
  <c r="W13" i="3"/>
  <c r="S13" i="3"/>
  <c r="S17" i="3" s="1"/>
  <c r="R13" i="3"/>
  <c r="R17" i="3" s="1"/>
  <c r="Q13" i="3"/>
  <c r="P13" i="3"/>
  <c r="P17" i="3" s="1"/>
  <c r="H13" i="3"/>
  <c r="L12" i="3"/>
  <c r="H12" i="3"/>
  <c r="AF11" i="3"/>
  <c r="AE11" i="3"/>
  <c r="AD11" i="3"/>
  <c r="AC11" i="3"/>
  <c r="AB11" i="3"/>
  <c r="AA11" i="3"/>
  <c r="L11" i="3"/>
  <c r="H11" i="3"/>
  <c r="AN10" i="3"/>
  <c r="AJ10" i="3"/>
  <c r="L10" i="3"/>
  <c r="AN9" i="3"/>
  <c r="AJ9" i="3"/>
  <c r="AF9" i="3"/>
  <c r="AE9" i="3"/>
  <c r="AD9" i="3"/>
  <c r="AC9" i="3"/>
  <c r="AB9" i="3"/>
  <c r="AA9" i="3"/>
  <c r="L9" i="3"/>
  <c r="AF8" i="3"/>
  <c r="AE8" i="3"/>
  <c r="AD8" i="3"/>
  <c r="AC8" i="3"/>
  <c r="AB8" i="3"/>
  <c r="AA8" i="3"/>
  <c r="H8" i="3"/>
  <c r="AF7" i="3"/>
  <c r="AE7" i="3"/>
  <c r="AD7" i="3"/>
  <c r="AC7" i="3"/>
  <c r="AB7" i="3"/>
  <c r="AA7" i="3"/>
  <c r="AF6" i="3"/>
  <c r="AE6" i="3"/>
  <c r="AD6" i="3"/>
  <c r="AC6" i="3"/>
  <c r="AB6" i="3"/>
  <c r="AA6" i="3"/>
  <c r="W6" i="3"/>
  <c r="V6" i="3"/>
  <c r="P6" i="3"/>
  <c r="AF5" i="3"/>
  <c r="AE5" i="3"/>
  <c r="AD5" i="3"/>
  <c r="AC5" i="3"/>
  <c r="AB5" i="3"/>
  <c r="AA5" i="3"/>
  <c r="W5" i="3"/>
  <c r="V5" i="3"/>
  <c r="P5" i="3"/>
  <c r="AN4" i="3"/>
  <c r="AJ4" i="3"/>
  <c r="AF4" i="3"/>
  <c r="AE4" i="3"/>
  <c r="AD4" i="3"/>
  <c r="AC4" i="3"/>
  <c r="AB4" i="3"/>
  <c r="AA4" i="3"/>
  <c r="W4" i="3"/>
  <c r="V4" i="3"/>
  <c r="P4" i="3"/>
  <c r="L4" i="3"/>
  <c r="C4" i="3"/>
  <c r="AN3" i="3"/>
  <c r="AJ3" i="3"/>
  <c r="P3" i="3"/>
  <c r="L3" i="3"/>
  <c r="H3" i="3"/>
  <c r="H4" i="3" s="1"/>
  <c r="H5" i="3" s="1"/>
  <c r="H6" i="3" s="1"/>
  <c r="H7" i="3" s="1"/>
  <c r="C3" i="3"/>
  <c r="AB13" i="9" l="1"/>
  <c r="Z10" i="9"/>
  <c r="AB9" i="9"/>
  <c r="AD9" i="9" s="1"/>
  <c r="Z29" i="9"/>
  <c r="AB29" i="9" s="1"/>
  <c r="Y43" i="9"/>
  <c r="AB39" i="9"/>
  <c r="AD8" i="9"/>
  <c r="AB38" i="9"/>
  <c r="Z39" i="9"/>
  <c r="AL10" i="9"/>
  <c r="AK12" i="9"/>
  <c r="AM9" i="9"/>
  <c r="AO9" i="9" s="1"/>
  <c r="BW27" i="9"/>
  <c r="BZ27" i="9" s="1"/>
  <c r="BY25" i="9"/>
  <c r="BV41" i="9"/>
  <c r="BV39" i="9"/>
  <c r="BY10" i="9"/>
  <c r="BY24" i="9"/>
  <c r="BW38" i="9"/>
  <c r="BY9" i="9"/>
  <c r="BK37" i="9"/>
  <c r="BM8" i="9"/>
  <c r="BM37" i="9" s="1"/>
  <c r="BI39" i="9"/>
  <c r="BJ38" i="9"/>
  <c r="BI12" i="9"/>
  <c r="BI27" i="9"/>
  <c r="BM24" i="9"/>
  <c r="AM37" i="9"/>
  <c r="AO23" i="9"/>
  <c r="AO37" i="9" s="1"/>
  <c r="AL38" i="9"/>
  <c r="AJ41" i="9"/>
  <c r="AL27" i="9"/>
  <c r="AK39" i="9"/>
  <c r="AK27" i="9"/>
  <c r="BA8" i="9"/>
  <c r="BA37" i="9" s="1"/>
  <c r="AY27" i="9"/>
  <c r="BB27" i="9" s="1"/>
  <c r="BA25" i="9"/>
  <c r="AW39" i="9"/>
  <c r="AW12" i="9"/>
  <c r="AW41" i="9" s="1"/>
  <c r="BA24" i="9"/>
  <c r="AX38" i="9"/>
  <c r="AB27" i="9"/>
  <c r="Q17" i="3"/>
  <c r="AM55" i="7"/>
  <c r="AM48" i="7"/>
  <c r="AM52" i="7"/>
  <c r="AM51" i="7"/>
  <c r="AM54" i="7"/>
  <c r="AM58" i="7"/>
  <c r="AM53" i="7"/>
  <c r="AM56" i="7"/>
  <c r="AM49" i="7"/>
  <c r="AM50" i="7"/>
  <c r="AL28" i="7"/>
  <c r="AL38" i="7"/>
  <c r="AL36" i="7"/>
  <c r="AL34" i="7"/>
  <c r="AL30" i="7"/>
  <c r="AL27" i="7"/>
  <c r="AL26" i="7"/>
  <c r="AL25" i="7"/>
  <c r="AL23" i="7"/>
  <c r="AL22" i="7"/>
  <c r="AL21" i="7"/>
  <c r="AL19" i="7"/>
  <c r="AL18" i="7"/>
  <c r="AL17" i="7"/>
  <c r="AL16" i="7"/>
  <c r="AL15" i="7"/>
  <c r="AL14" i="7"/>
  <c r="AL13" i="7"/>
  <c r="AL12" i="7"/>
  <c r="AL11" i="7"/>
  <c r="AL10" i="7"/>
  <c r="AL40" i="7"/>
  <c r="AL32" i="7"/>
  <c r="AL24" i="7"/>
  <c r="AL20" i="7"/>
  <c r="AK41" i="9" l="1"/>
  <c r="AM10" i="9"/>
  <c r="AM12" i="9" s="1"/>
  <c r="AB10" i="9"/>
  <c r="Z12" i="9"/>
  <c r="Z40" i="9"/>
  <c r="AL12" i="9"/>
  <c r="AL41" i="9" s="1"/>
  <c r="BY39" i="9"/>
  <c r="BY38" i="9"/>
  <c r="BY12" i="9"/>
  <c r="BY27" i="9"/>
  <c r="BW39" i="9"/>
  <c r="BW12" i="9"/>
  <c r="BW41" i="9" s="1"/>
  <c r="BI41" i="9"/>
  <c r="BJ39" i="9"/>
  <c r="BJ12" i="9"/>
  <c r="BK38" i="9"/>
  <c r="BM9" i="9"/>
  <c r="BK27" i="9"/>
  <c r="BJ27" i="9"/>
  <c r="AL39" i="9"/>
  <c r="AM38" i="9"/>
  <c r="AO24" i="9"/>
  <c r="AO38" i="9" s="1"/>
  <c r="AX39" i="9"/>
  <c r="AX12" i="9"/>
  <c r="AX41" i="9" s="1"/>
  <c r="BA27" i="9"/>
  <c r="AY38" i="9"/>
  <c r="BA9" i="9"/>
  <c r="BA38" i="9" s="1"/>
  <c r="AM47" i="7"/>
  <c r="AO61" i="7"/>
  <c r="AM57" i="7"/>
  <c r="AL29" i="7"/>
  <c r="AL31" i="7"/>
  <c r="AL33" i="7"/>
  <c r="AL35" i="7"/>
  <c r="AL37" i="7"/>
  <c r="AL39" i="7"/>
  <c r="AL41" i="7"/>
  <c r="BM20" i="3"/>
  <c r="BL20" i="3" s="1"/>
  <c r="AL4" i="7"/>
  <c r="AL5" i="7"/>
  <c r="AN42" i="7"/>
  <c r="AM42" i="7"/>
  <c r="AN7" i="7"/>
  <c r="AC73" i="7"/>
  <c r="AC67" i="7"/>
  <c r="AL48" i="7" l="1"/>
  <c r="AL52" i="7"/>
  <c r="AL56" i="7"/>
  <c r="AL47" i="7"/>
  <c r="AL51" i="7"/>
  <c r="AL55" i="7"/>
  <c r="AL50" i="7"/>
  <c r="AL54" i="7"/>
  <c r="AL58" i="7"/>
  <c r="AL49" i="7"/>
  <c r="AL53" i="7"/>
  <c r="AL57" i="7"/>
  <c r="AL59" i="7"/>
  <c r="AO10" i="9"/>
  <c r="AO12" i="9" s="1"/>
  <c r="Z14" i="9"/>
  <c r="AB14" i="9" s="1"/>
  <c r="AB12" i="9"/>
  <c r="Z42" i="9"/>
  <c r="AB40" i="9"/>
  <c r="AD10" i="9"/>
  <c r="Z43" i="9"/>
  <c r="BN27" i="9"/>
  <c r="BY41" i="9"/>
  <c r="BW54" i="9" s="1"/>
  <c r="BM38" i="9"/>
  <c r="BJ41" i="9"/>
  <c r="BK39" i="9"/>
  <c r="BK12" i="9"/>
  <c r="BK41" i="9" s="1"/>
  <c r="BM10" i="9"/>
  <c r="BM25" i="9"/>
  <c r="BM27" i="9" s="1"/>
  <c r="AM39" i="9"/>
  <c r="AO25" i="9"/>
  <c r="AM27" i="9"/>
  <c r="AY39" i="9"/>
  <c r="AY12" i="9"/>
  <c r="AY41" i="9" s="1"/>
  <c r="BA10" i="9"/>
  <c r="AM61" i="7"/>
  <c r="AN77" i="7"/>
  <c r="AL42" i="7"/>
  <c r="AK42" i="7" s="1"/>
  <c r="BL18" i="3"/>
  <c r="BL16" i="3"/>
  <c r="BL15" i="3"/>
  <c r="BL14" i="3"/>
  <c r="BL17" i="3"/>
  <c r="BL19" i="3"/>
  <c r="AL6" i="7"/>
  <c r="AL7" i="7" s="1"/>
  <c r="AK32" i="7"/>
  <c r="AC68" i="7"/>
  <c r="AE74" i="7"/>
  <c r="AE76" i="7" s="1"/>
  <c r="AL61" i="7" l="1"/>
  <c r="AK27" i="7"/>
  <c r="AK5" i="7"/>
  <c r="AB43" i="9"/>
  <c r="AB54" i="9" s="1"/>
  <c r="AD12" i="9"/>
  <c r="AB42" i="9"/>
  <c r="BX55" i="9"/>
  <c r="BR55" i="9"/>
  <c r="BQ55" i="9"/>
  <c r="BQ47" i="9"/>
  <c r="BQ48" i="9"/>
  <c r="BR47" i="9"/>
  <c r="BX47" i="9"/>
  <c r="BQ49" i="9"/>
  <c r="BS55" i="9"/>
  <c r="BS47" i="9"/>
  <c r="BX48" i="9"/>
  <c r="BS48" i="9"/>
  <c r="BT55" i="9"/>
  <c r="BT47" i="9"/>
  <c r="BR49" i="9"/>
  <c r="BR48" i="9"/>
  <c r="BQ50" i="9"/>
  <c r="BX49" i="9"/>
  <c r="BX50" i="9"/>
  <c r="BU55" i="9"/>
  <c r="BT48" i="9"/>
  <c r="BQ51" i="9"/>
  <c r="BU47" i="9"/>
  <c r="BS49" i="9"/>
  <c r="BQ52" i="9"/>
  <c r="BV47" i="9"/>
  <c r="BR51" i="9"/>
  <c r="BT49" i="9"/>
  <c r="BS50" i="9"/>
  <c r="BU48" i="9"/>
  <c r="BV55" i="9"/>
  <c r="BR50" i="9"/>
  <c r="BX51" i="9"/>
  <c r="BW55" i="9"/>
  <c r="BU49" i="9"/>
  <c r="BT50" i="9"/>
  <c r="BQ53" i="9"/>
  <c r="BR52" i="9"/>
  <c r="BV48" i="9"/>
  <c r="BX52" i="9"/>
  <c r="BW47" i="9"/>
  <c r="BS51" i="9"/>
  <c r="BS52" i="9"/>
  <c r="BU50" i="9"/>
  <c r="BR53" i="9"/>
  <c r="BQ54" i="9"/>
  <c r="BV49" i="9"/>
  <c r="BT51" i="9"/>
  <c r="BX53" i="9"/>
  <c r="BW48" i="9"/>
  <c r="BW49" i="9"/>
  <c r="BR54" i="9"/>
  <c r="BR56" i="9"/>
  <c r="BX56" i="9"/>
  <c r="BQ56" i="9"/>
  <c r="BS53" i="9"/>
  <c r="BU51" i="9"/>
  <c r="BX54" i="9"/>
  <c r="BV50" i="9"/>
  <c r="BT52" i="9"/>
  <c r="BU52" i="9"/>
  <c r="BW50" i="9"/>
  <c r="BV51" i="9"/>
  <c r="BT53" i="9"/>
  <c r="BS54" i="9"/>
  <c r="BS56" i="9"/>
  <c r="BT54" i="9"/>
  <c r="BV52" i="9"/>
  <c r="BU53" i="9"/>
  <c r="BT56" i="9"/>
  <c r="BW51" i="9"/>
  <c r="BU56" i="9"/>
  <c r="BW52" i="9"/>
  <c r="BV53" i="9"/>
  <c r="BU54" i="9"/>
  <c r="BW53" i="9"/>
  <c r="BV54" i="9"/>
  <c r="BV56" i="9"/>
  <c r="BW56" i="9"/>
  <c r="BM39" i="9"/>
  <c r="BM12" i="9"/>
  <c r="BM41" i="9" s="1"/>
  <c r="AO27" i="9"/>
  <c r="AO41" i="9" s="1"/>
  <c r="AM54" i="9" s="1"/>
  <c r="AO39" i="9"/>
  <c r="AM41" i="9"/>
  <c r="AP27" i="9"/>
  <c r="BA39" i="9"/>
  <c r="BA12" i="9"/>
  <c r="BA41" i="9" s="1"/>
  <c r="AY54" i="9" s="1"/>
  <c r="AK11" i="7"/>
  <c r="AK10" i="7"/>
  <c r="AK30" i="7"/>
  <c r="AK33" i="7"/>
  <c r="AK19" i="7"/>
  <c r="AK35" i="7"/>
  <c r="AK18" i="7"/>
  <c r="AK17" i="7"/>
  <c r="AK16" i="7"/>
  <c r="AK15" i="7"/>
  <c r="AK23" i="7"/>
  <c r="AK31" i="7"/>
  <c r="AK39" i="7"/>
  <c r="AK14" i="7"/>
  <c r="AK22" i="7"/>
  <c r="AK38" i="7"/>
  <c r="AK25" i="7"/>
  <c r="AK41" i="7"/>
  <c r="AK24" i="7"/>
  <c r="AK40" i="7"/>
  <c r="AK26" i="7"/>
  <c r="AK34" i="7"/>
  <c r="AK13" i="7"/>
  <c r="AK21" i="7"/>
  <c r="AK29" i="7"/>
  <c r="AK37" i="7"/>
  <c r="AK12" i="7"/>
  <c r="AK20" i="7"/>
  <c r="AK28" i="7"/>
  <c r="AK36" i="7"/>
  <c r="AL77" i="7"/>
  <c r="AM7" i="7"/>
  <c r="AK7" i="7"/>
  <c r="AK4" i="7"/>
  <c r="AK6" i="7"/>
  <c r="AC69" i="7"/>
  <c r="AM56" i="9" l="1"/>
  <c r="AB56" i="9"/>
  <c r="T55" i="9"/>
  <c r="AA55" i="9"/>
  <c r="AA49" i="9"/>
  <c r="T49" i="9"/>
  <c r="T50" i="9"/>
  <c r="U55" i="9"/>
  <c r="AA50" i="9"/>
  <c r="T51" i="9"/>
  <c r="U49" i="9"/>
  <c r="V55" i="9"/>
  <c r="AA51" i="9"/>
  <c r="T52" i="9"/>
  <c r="W55" i="9"/>
  <c r="V49" i="9"/>
  <c r="AA52" i="9"/>
  <c r="V50" i="9"/>
  <c r="U50" i="9"/>
  <c r="W49" i="9"/>
  <c r="U52" i="9"/>
  <c r="T53" i="9"/>
  <c r="U51" i="9"/>
  <c r="W50" i="9"/>
  <c r="X55" i="9"/>
  <c r="AA53" i="9"/>
  <c r="V51" i="9"/>
  <c r="U53" i="9"/>
  <c r="X50" i="9"/>
  <c r="AA54" i="9"/>
  <c r="Z55" i="9"/>
  <c r="X49" i="9"/>
  <c r="Y55" i="9"/>
  <c r="AA56" i="9"/>
  <c r="W51" i="9"/>
  <c r="U54" i="9"/>
  <c r="T54" i="9"/>
  <c r="X51" i="9"/>
  <c r="AB55" i="9"/>
  <c r="W52" i="9"/>
  <c r="Y49" i="9"/>
  <c r="V52" i="9"/>
  <c r="Y50" i="9"/>
  <c r="Z49" i="9"/>
  <c r="T56" i="9"/>
  <c r="AB49" i="9"/>
  <c r="Y51" i="9"/>
  <c r="U56" i="9"/>
  <c r="V56" i="9"/>
  <c r="V54" i="9"/>
  <c r="V53" i="9"/>
  <c r="W53" i="9"/>
  <c r="X52" i="9"/>
  <c r="Z51" i="9"/>
  <c r="W56" i="9"/>
  <c r="AB50" i="9"/>
  <c r="Y52" i="9"/>
  <c r="X53" i="9"/>
  <c r="Z50" i="9"/>
  <c r="W54" i="9"/>
  <c r="Z52" i="9"/>
  <c r="AB51" i="9"/>
  <c r="X56" i="9"/>
  <c r="X54" i="9"/>
  <c r="Y53" i="9"/>
  <c r="Y54" i="9"/>
  <c r="AB52" i="9"/>
  <c r="AB53" i="9"/>
  <c r="Z53" i="9"/>
  <c r="Y56" i="9"/>
  <c r="Z54" i="9"/>
  <c r="Z56" i="9"/>
  <c r="AZ55" i="9"/>
  <c r="AS55" i="9"/>
  <c r="AS47" i="9"/>
  <c r="AZ47" i="9"/>
  <c r="AT55" i="9"/>
  <c r="AZ49" i="9"/>
  <c r="AT47" i="9"/>
  <c r="AZ48" i="9"/>
  <c r="AU55" i="9"/>
  <c r="AS48" i="9"/>
  <c r="AT48" i="9"/>
  <c r="AS49" i="9"/>
  <c r="AU47" i="9"/>
  <c r="AV55" i="9"/>
  <c r="AZ50" i="9"/>
  <c r="AS50" i="9"/>
  <c r="AZ51" i="9"/>
  <c r="AT49" i="9"/>
  <c r="AU48" i="9"/>
  <c r="AW55" i="9"/>
  <c r="AV47" i="9"/>
  <c r="AW47" i="9"/>
  <c r="AT50" i="9"/>
  <c r="AX55" i="9"/>
  <c r="AU49" i="9"/>
  <c r="AV48" i="9"/>
  <c r="AS51" i="9"/>
  <c r="AZ52" i="9"/>
  <c r="AZ53" i="9"/>
  <c r="AY55" i="9"/>
  <c r="AT51" i="9"/>
  <c r="AU50" i="9"/>
  <c r="AS52" i="9"/>
  <c r="AW48" i="9"/>
  <c r="AX47" i="9"/>
  <c r="AV49" i="9"/>
  <c r="AV50" i="9"/>
  <c r="AU51" i="9"/>
  <c r="AW49" i="9"/>
  <c r="AY47" i="9"/>
  <c r="AT52" i="9"/>
  <c r="AX48" i="9"/>
  <c r="AZ54" i="9"/>
  <c r="AS53" i="9"/>
  <c r="AY48" i="9"/>
  <c r="AZ56" i="9"/>
  <c r="AS56" i="9"/>
  <c r="AU52" i="9"/>
  <c r="AT53" i="9"/>
  <c r="AS54" i="9"/>
  <c r="AX49" i="9"/>
  <c r="AV51" i="9"/>
  <c r="AW50" i="9"/>
  <c r="AV52" i="9"/>
  <c r="AW51" i="9"/>
  <c r="AT54" i="9"/>
  <c r="AT56" i="9"/>
  <c r="AX50" i="9"/>
  <c r="AU53" i="9"/>
  <c r="AY49" i="9"/>
  <c r="AX51" i="9"/>
  <c r="AU54" i="9"/>
  <c r="AY50" i="9"/>
  <c r="AU56" i="9"/>
  <c r="AW52" i="9"/>
  <c r="AV53" i="9"/>
  <c r="AY52" i="9"/>
  <c r="AV54" i="9"/>
  <c r="AX52" i="9"/>
  <c r="AV56" i="9"/>
  <c r="AY51" i="9"/>
  <c r="AW53" i="9"/>
  <c r="AX53" i="9"/>
  <c r="AW54" i="9"/>
  <c r="AW56" i="9"/>
  <c r="AY53" i="9"/>
  <c r="AX56" i="9"/>
  <c r="AX54" i="9"/>
  <c r="AY56" i="9"/>
  <c r="BE55" i="9"/>
  <c r="BL55" i="9"/>
  <c r="BL47" i="9"/>
  <c r="BE47" i="9"/>
  <c r="BE48" i="9"/>
  <c r="BL48" i="9"/>
  <c r="BF47" i="9"/>
  <c r="BF55" i="9"/>
  <c r="BG47" i="9"/>
  <c r="BG55" i="9"/>
  <c r="BE49" i="9"/>
  <c r="BF48" i="9"/>
  <c r="BL49" i="9"/>
  <c r="BG48" i="9"/>
  <c r="BL50" i="9"/>
  <c r="BH55" i="9"/>
  <c r="BH47" i="9"/>
  <c r="BE50" i="9"/>
  <c r="BF49" i="9"/>
  <c r="BE51" i="9"/>
  <c r="BI55" i="9"/>
  <c r="BI47" i="9"/>
  <c r="BL51" i="9"/>
  <c r="BG49" i="9"/>
  <c r="BF50" i="9"/>
  <c r="BH48" i="9"/>
  <c r="BH49" i="9"/>
  <c r="BL52" i="9"/>
  <c r="BE52" i="9"/>
  <c r="BG50" i="9"/>
  <c r="BF51" i="9"/>
  <c r="BI48" i="9"/>
  <c r="BJ47" i="9"/>
  <c r="BJ55" i="9"/>
  <c r="BL54" i="9"/>
  <c r="BE53" i="9"/>
  <c r="BI49" i="9"/>
  <c r="BJ48" i="9"/>
  <c r="BG51" i="9"/>
  <c r="BL53" i="9"/>
  <c r="BK47" i="9"/>
  <c r="BH50" i="9"/>
  <c r="BF52" i="9"/>
  <c r="BK55" i="9"/>
  <c r="BE54" i="9"/>
  <c r="BF53" i="9"/>
  <c r="BJ49" i="9"/>
  <c r="BL56" i="9"/>
  <c r="BK48" i="9"/>
  <c r="BH51" i="9"/>
  <c r="BG52" i="9"/>
  <c r="BI50" i="9"/>
  <c r="BJ50" i="9"/>
  <c r="BH52" i="9"/>
  <c r="BF56" i="9"/>
  <c r="BI51" i="9"/>
  <c r="BG53" i="9"/>
  <c r="BF54" i="9"/>
  <c r="BK50" i="9"/>
  <c r="BK49" i="9"/>
  <c r="BE56" i="9"/>
  <c r="BJ51" i="9"/>
  <c r="BH53" i="9"/>
  <c r="BK51" i="9"/>
  <c r="BI52" i="9"/>
  <c r="BG54" i="9"/>
  <c r="BG56" i="9"/>
  <c r="BI53" i="9"/>
  <c r="BJ52" i="9"/>
  <c r="BH56" i="9"/>
  <c r="BH54" i="9"/>
  <c r="BJ53" i="9"/>
  <c r="BI54" i="9"/>
  <c r="BK52" i="9"/>
  <c r="BJ54" i="9"/>
  <c r="BI56" i="9"/>
  <c r="BK53" i="9"/>
  <c r="BY56" i="9"/>
  <c r="BJ56" i="9"/>
  <c r="BK56" i="9"/>
  <c r="BK54" i="9"/>
  <c r="AM55" i="9"/>
  <c r="AI55" i="9"/>
  <c r="AN48" i="9"/>
  <c r="AN47" i="9"/>
  <c r="AG47" i="9"/>
  <c r="AG55" i="9"/>
  <c r="AN54" i="9"/>
  <c r="AH55" i="9"/>
  <c r="AL55" i="9"/>
  <c r="AN53" i="9"/>
  <c r="AJ55" i="9"/>
  <c r="AN55" i="9"/>
  <c r="AN49" i="9"/>
  <c r="AN51" i="9"/>
  <c r="AK55" i="9"/>
  <c r="AN50" i="9"/>
  <c r="AN52" i="9"/>
  <c r="AN56" i="9"/>
  <c r="AH47" i="9"/>
  <c r="AG48" i="9"/>
  <c r="AH48" i="9"/>
  <c r="AG49" i="9"/>
  <c r="AI47" i="9"/>
  <c r="AG50" i="9"/>
  <c r="AI48" i="9"/>
  <c r="AH49" i="9"/>
  <c r="AJ47" i="9"/>
  <c r="AI49" i="9"/>
  <c r="AG51" i="9"/>
  <c r="AJ48" i="9"/>
  <c r="AH50" i="9"/>
  <c r="AK47" i="9"/>
  <c r="AL47" i="9"/>
  <c r="AK48" i="9"/>
  <c r="AH51" i="9"/>
  <c r="AJ49" i="9"/>
  <c r="AI50" i="9"/>
  <c r="AM47" i="9"/>
  <c r="AG52" i="9"/>
  <c r="AH52" i="9"/>
  <c r="AG53" i="9"/>
  <c r="AK49" i="9"/>
  <c r="AM48" i="9"/>
  <c r="AI51" i="9"/>
  <c r="AJ50" i="9"/>
  <c r="AL48" i="9"/>
  <c r="AH56" i="9"/>
  <c r="AG54" i="9"/>
  <c r="AL49" i="9"/>
  <c r="AH53" i="9"/>
  <c r="AJ51" i="9"/>
  <c r="AI52" i="9"/>
  <c r="AK50" i="9"/>
  <c r="AG56" i="9"/>
  <c r="AI53" i="9"/>
  <c r="AI56" i="9"/>
  <c r="AK51" i="9"/>
  <c r="AJ52" i="9"/>
  <c r="AL50" i="9"/>
  <c r="AH54" i="9"/>
  <c r="AM49" i="9"/>
  <c r="AM50" i="9"/>
  <c r="AL51" i="9"/>
  <c r="AM51" i="9"/>
  <c r="AI54" i="9"/>
  <c r="AK52" i="9"/>
  <c r="AJ53" i="9"/>
  <c r="AL52" i="9"/>
  <c r="AJ54" i="9"/>
  <c r="AK53" i="9"/>
  <c r="AL56" i="9"/>
  <c r="AK56" i="9"/>
  <c r="AL53" i="9"/>
  <c r="AJ56" i="9"/>
  <c r="AM52" i="9"/>
  <c r="AK54" i="9"/>
  <c r="AM53" i="9"/>
  <c r="AL54" i="9"/>
  <c r="AC70" i="7"/>
  <c r="AC56" i="9" l="1"/>
  <c r="Y57" i="9"/>
  <c r="U57" i="9"/>
  <c r="AA57" i="9"/>
  <c r="AB57" i="9"/>
  <c r="Z57" i="9"/>
  <c r="X57" i="9"/>
  <c r="W57" i="9"/>
  <c r="V57" i="9"/>
  <c r="T57" i="9"/>
  <c r="BM56" i="9"/>
  <c r="BA56" i="9"/>
  <c r="AO56" i="9"/>
  <c r="BM52" i="3"/>
  <c r="BM41" i="3"/>
  <c r="BM30" i="3"/>
  <c r="BM10" i="3"/>
  <c r="AC71" i="7"/>
  <c r="BM63" i="3" l="1"/>
  <c r="BL52" i="3"/>
  <c r="BL46" i="3"/>
  <c r="BL50" i="3"/>
  <c r="BL47" i="3"/>
  <c r="BL51" i="3"/>
  <c r="BL48" i="3"/>
  <c r="BL45" i="3"/>
  <c r="BL49" i="3"/>
  <c r="BL41" i="3"/>
  <c r="BL34" i="3"/>
  <c r="BL35" i="3"/>
  <c r="BL40" i="3"/>
  <c r="BL36" i="3"/>
  <c r="BL37" i="3"/>
  <c r="BL38" i="3"/>
  <c r="BL39" i="3"/>
  <c r="BL30" i="3"/>
  <c r="BL26" i="3"/>
  <c r="BL24" i="3"/>
  <c r="BL29" i="3"/>
  <c r="BL27" i="3"/>
  <c r="BL25" i="3"/>
  <c r="BL28" i="3"/>
  <c r="BL10" i="3"/>
  <c r="BL3" i="3"/>
  <c r="BL9" i="3"/>
  <c r="BL4" i="3"/>
  <c r="BL5" i="3"/>
  <c r="BL6" i="3"/>
  <c r="BL7" i="3"/>
  <c r="BL8" i="3"/>
  <c r="AC72" i="7"/>
  <c r="AD74" i="7"/>
  <c r="AC74" i="7" s="1"/>
  <c r="AD61" i="7"/>
  <c r="BL63" i="3" l="1"/>
  <c r="BL62" i="3"/>
  <c r="BL56" i="3"/>
  <c r="BL57" i="3"/>
  <c r="BL58" i="3"/>
  <c r="BL59" i="3"/>
  <c r="BL60" i="3"/>
  <c r="BL61" i="3"/>
  <c r="AB72" i="7"/>
  <c r="AB74" i="7"/>
  <c r="AB73" i="7"/>
  <c r="AB67" i="7"/>
  <c r="AB68" i="7"/>
  <c r="AB69" i="7"/>
  <c r="AB70" i="7"/>
  <c r="AB71" i="7"/>
  <c r="D22" i="7" l="1"/>
  <c r="AC15" i="7" l="1"/>
  <c r="AB5" i="7"/>
  <c r="R51" i="7"/>
  <c r="R88" i="7" s="1"/>
  <c r="E25" i="7"/>
  <c r="R19" i="7"/>
  <c r="R33" i="7"/>
  <c r="R9" i="7"/>
  <c r="L40" i="7"/>
  <c r="L30" i="7"/>
  <c r="L20" i="7"/>
  <c r="L10" i="7"/>
  <c r="E13" i="7"/>
  <c r="X42" i="7" l="1"/>
  <c r="AD25" i="7" l="1"/>
  <c r="AD36" i="7"/>
  <c r="AD48" i="7"/>
  <c r="X13" i="7" l="1"/>
  <c r="X26" i="7" l="1"/>
  <c r="J10" i="5" l="1"/>
  <c r="N21" i="5"/>
  <c r="J21" i="5"/>
  <c r="N10" i="5"/>
  <c r="D76" i="5" l="1"/>
  <c r="D65" i="5"/>
  <c r="C61" i="5" s="1"/>
  <c r="G39" i="5"/>
  <c r="D40" i="5"/>
  <c r="D56" i="5"/>
  <c r="C53" i="5" s="1"/>
  <c r="F39" i="5" l="1"/>
  <c r="F38" i="5"/>
  <c r="F28" i="5"/>
  <c r="F30" i="5"/>
  <c r="F32" i="5"/>
  <c r="F34" i="5"/>
  <c r="F36" i="5"/>
  <c r="F37" i="5"/>
  <c r="F27" i="5"/>
  <c r="F29" i="5"/>
  <c r="F31" i="5"/>
  <c r="F33" i="5"/>
  <c r="F35" i="5"/>
  <c r="C40" i="5"/>
  <c r="C27" i="5"/>
  <c r="C29" i="5"/>
  <c r="C31" i="5"/>
  <c r="C33" i="5"/>
  <c r="C35" i="5"/>
  <c r="C37" i="5"/>
  <c r="C39" i="5"/>
  <c r="C28" i="5"/>
  <c r="C30" i="5"/>
  <c r="C32" i="5"/>
  <c r="C34" i="5"/>
  <c r="C36" i="5"/>
  <c r="C38" i="5"/>
  <c r="C69" i="5"/>
  <c r="C75" i="5"/>
  <c r="C73" i="5"/>
  <c r="C72" i="5"/>
  <c r="C74" i="5"/>
  <c r="C70" i="5"/>
  <c r="C71" i="5"/>
  <c r="C63" i="5"/>
  <c r="C62" i="5"/>
  <c r="C60" i="5"/>
  <c r="C64" i="5"/>
  <c r="C55" i="5"/>
  <c r="C52" i="5"/>
  <c r="C54" i="5"/>
  <c r="C51" i="5"/>
  <c r="C76" i="5" l="1"/>
  <c r="C65" i="5"/>
  <c r="C56" i="5"/>
  <c r="C9" i="5"/>
  <c r="D8" i="5" s="1"/>
  <c r="D7" i="5" l="1"/>
  <c r="D6" i="5"/>
  <c r="D9" i="5" l="1"/>
  <c r="D4" i="5"/>
  <c r="D5" i="5"/>
  <c r="BC23" i="3"/>
  <c r="BD9" i="3"/>
  <c r="BC9" i="3" s="1"/>
  <c r="AW8" i="3"/>
  <c r="AV8" i="3" s="1"/>
  <c r="AS61" i="3"/>
  <c r="AR61" i="3" s="1"/>
  <c r="AS52" i="3"/>
  <c r="AR41" i="3" s="1"/>
  <c r="AS15" i="3"/>
  <c r="AR15" i="3" s="1"/>
  <c r="AJ44" i="3"/>
  <c r="AN36" i="3"/>
  <c r="AN20" i="3"/>
  <c r="AN11" i="3"/>
  <c r="AN5" i="3"/>
  <c r="AN46" i="3"/>
  <c r="AI34" i="3"/>
  <c r="AJ24" i="3"/>
  <c r="AI23" i="3" s="1"/>
  <c r="AJ5" i="3"/>
  <c r="AJ11" i="3"/>
  <c r="AB67" i="3"/>
  <c r="AB77" i="3"/>
  <c r="AA73" i="3" s="1"/>
  <c r="AB53" i="3"/>
  <c r="AB44" i="3"/>
  <c r="AB39" i="3"/>
  <c r="AA42" i="3" s="1"/>
  <c r="AM46" i="3" l="1"/>
  <c r="AM42" i="3"/>
  <c r="AM43" i="3"/>
  <c r="AM41" i="3"/>
  <c r="AM44" i="3"/>
  <c r="AM45" i="3"/>
  <c r="AM20" i="3"/>
  <c r="AM18" i="3"/>
  <c r="AM15" i="3"/>
  <c r="AM17" i="3"/>
  <c r="AM16" i="3"/>
  <c r="AM19" i="3"/>
  <c r="AI3" i="3"/>
  <c r="AI10" i="3"/>
  <c r="AI9" i="3"/>
  <c r="AM9" i="3"/>
  <c r="AI11" i="3"/>
  <c r="AI5" i="3"/>
  <c r="AA10" i="3"/>
  <c r="AI44" i="3"/>
  <c r="AA65" i="3"/>
  <c r="AA66" i="3"/>
  <c r="AA57" i="3"/>
  <c r="AA53" i="3"/>
  <c r="AA51" i="3"/>
  <c r="AR9" i="3"/>
  <c r="AR5" i="3"/>
  <c r="AR12" i="3"/>
  <c r="AR8" i="3"/>
  <c r="AR13" i="3"/>
  <c r="AR14" i="3"/>
  <c r="AR11" i="3"/>
  <c r="AR7" i="3"/>
  <c r="AR10" i="3"/>
  <c r="AR6" i="3"/>
  <c r="AR3" i="3"/>
  <c r="AR4" i="3"/>
  <c r="BC8" i="3"/>
  <c r="BC4" i="3"/>
  <c r="BC5" i="3"/>
  <c r="BC6" i="3"/>
  <c r="BC7" i="3"/>
  <c r="BC3" i="3"/>
  <c r="AV6" i="3"/>
  <c r="AV7" i="3"/>
  <c r="AV3" i="3"/>
  <c r="AV4" i="3"/>
  <c r="AV5" i="3"/>
  <c r="AR56" i="3"/>
  <c r="AR60" i="3"/>
  <c r="AR59" i="3"/>
  <c r="AR58" i="3"/>
  <c r="AR57" i="3"/>
  <c r="AR50" i="3"/>
  <c r="AR42" i="3"/>
  <c r="AR46" i="3"/>
  <c r="AR49" i="3"/>
  <c r="AR45" i="3"/>
  <c r="AR52" i="3"/>
  <c r="AR51" i="3"/>
  <c r="AR48" i="3"/>
  <c r="AR44" i="3"/>
  <c r="AR40" i="3"/>
  <c r="AR47" i="3"/>
  <c r="AR43" i="3"/>
  <c r="AF10" i="3"/>
  <c r="AM36" i="3"/>
  <c r="AM30" i="3"/>
  <c r="AM34" i="3"/>
  <c r="AM31" i="3"/>
  <c r="AM35" i="3"/>
  <c r="AM33" i="3"/>
  <c r="AM29" i="3"/>
  <c r="AM32" i="3"/>
  <c r="AB10" i="3"/>
  <c r="AI43" i="3"/>
  <c r="AE10" i="3"/>
  <c r="AI41" i="3"/>
  <c r="AI40" i="3"/>
  <c r="AI39" i="3"/>
  <c r="AI42" i="3"/>
  <c r="AM3" i="3"/>
  <c r="AM4" i="3"/>
  <c r="AM5" i="3"/>
  <c r="AM11" i="3"/>
  <c r="AM10" i="3"/>
  <c r="AI24" i="3"/>
  <c r="AI22" i="3"/>
  <c r="AI4" i="3"/>
  <c r="AA67" i="3"/>
  <c r="AA62" i="3"/>
  <c r="AA60" i="3"/>
  <c r="AA64" i="3"/>
  <c r="AA59" i="3"/>
  <c r="AA63" i="3"/>
  <c r="AA61" i="3"/>
  <c r="AA58" i="3"/>
  <c r="AA77" i="3"/>
  <c r="AA74" i="3"/>
  <c r="AA76" i="3"/>
  <c r="AA75" i="3"/>
  <c r="AA72" i="3"/>
  <c r="AD10" i="3"/>
  <c r="AA52" i="3"/>
  <c r="AA49" i="3"/>
  <c r="AA50" i="3"/>
  <c r="AA48" i="3"/>
  <c r="AA47" i="3"/>
  <c r="AC10" i="3"/>
  <c r="AA44" i="3"/>
  <c r="V7" i="3"/>
  <c r="AA38" i="3"/>
  <c r="AA39" i="3"/>
  <c r="AA37" i="3"/>
  <c r="AA43" i="3"/>
  <c r="W39" i="3"/>
  <c r="V39" i="3" s="1"/>
  <c r="AB34" i="3"/>
  <c r="W47" i="3"/>
  <c r="W20" i="3"/>
  <c r="W7" i="3"/>
  <c r="V31" i="3" l="1"/>
  <c r="V20" i="3"/>
  <c r="V38" i="3"/>
  <c r="V30" i="3"/>
  <c r="V34" i="3"/>
  <c r="V35" i="3"/>
  <c r="V47" i="3"/>
  <c r="V45" i="3"/>
  <c r="V43" i="3"/>
  <c r="AA34" i="3"/>
  <c r="AA31" i="3"/>
  <c r="AA32" i="3"/>
  <c r="AA26" i="3"/>
  <c r="AA30" i="3"/>
  <c r="AA29" i="3"/>
  <c r="AA27" i="3"/>
  <c r="AA28" i="3"/>
  <c r="AB22" i="3"/>
  <c r="V46" i="3"/>
  <c r="V42" i="3"/>
  <c r="V36" i="3"/>
  <c r="V32" i="3"/>
  <c r="V37" i="3"/>
  <c r="V33" i="3"/>
  <c r="AA33" i="3"/>
  <c r="V44" i="3"/>
  <c r="P36" i="3"/>
  <c r="O36" i="3" s="1"/>
  <c r="V19" i="3"/>
  <c r="V18" i="3"/>
  <c r="V15" i="3"/>
  <c r="V17" i="3"/>
  <c r="V16" i="3"/>
  <c r="V13" i="3"/>
  <c r="V14" i="3"/>
  <c r="AA21" i="3" l="1"/>
  <c r="O35" i="3"/>
  <c r="O33" i="3"/>
  <c r="O30" i="3"/>
  <c r="AA22" i="3"/>
  <c r="AA14" i="3"/>
  <c r="AA19" i="3"/>
  <c r="AA16" i="3"/>
  <c r="AA15" i="3"/>
  <c r="AA20" i="3"/>
  <c r="AA17" i="3"/>
  <c r="AA18" i="3"/>
  <c r="O34" i="3"/>
  <c r="O26" i="3"/>
  <c r="O31" i="3"/>
  <c r="O32" i="3"/>
  <c r="O28" i="3"/>
  <c r="O29" i="3"/>
  <c r="O27" i="3"/>
  <c r="P23" i="3"/>
  <c r="O23" i="3" l="1"/>
  <c r="L13" i="3"/>
  <c r="K12" i="3" s="1"/>
  <c r="L5" i="3"/>
  <c r="K4" i="3" s="1"/>
  <c r="L36" i="3"/>
  <c r="O22" i="3"/>
  <c r="K36" i="3"/>
  <c r="P8" i="3"/>
  <c r="O8" i="3" s="1"/>
  <c r="L86" i="3" l="1"/>
  <c r="K3" i="3"/>
  <c r="K11" i="3"/>
  <c r="K10" i="3"/>
  <c r="O6" i="3"/>
  <c r="K13" i="3"/>
  <c r="O3" i="3"/>
  <c r="O5" i="3"/>
  <c r="K9" i="3"/>
  <c r="O4" i="3"/>
  <c r="O61" i="3"/>
  <c r="H55" i="3"/>
  <c r="G55" i="3" s="1"/>
  <c r="K20" i="3"/>
  <c r="L20" i="3" s="1"/>
  <c r="G32" i="3"/>
  <c r="H15" i="3"/>
  <c r="G12" i="3" s="1"/>
  <c r="D37" i="3"/>
  <c r="C21" i="3"/>
  <c r="C30" i="3"/>
  <c r="K86" i="3" l="1"/>
  <c r="K88" i="3"/>
  <c r="K56" i="3"/>
  <c r="K72" i="3"/>
  <c r="K69" i="3"/>
  <c r="K80" i="3"/>
  <c r="K64" i="3"/>
  <c r="K40" i="3"/>
  <c r="K53" i="3"/>
  <c r="K48" i="3"/>
  <c r="K77" i="3"/>
  <c r="K61" i="3"/>
  <c r="K45" i="3"/>
  <c r="K84" i="3"/>
  <c r="K76" i="3"/>
  <c r="K68" i="3"/>
  <c r="K60" i="3"/>
  <c r="K52" i="3"/>
  <c r="K44" i="3"/>
  <c r="K81" i="3"/>
  <c r="K73" i="3"/>
  <c r="K65" i="3"/>
  <c r="K57" i="3"/>
  <c r="K49" i="3"/>
  <c r="K41" i="3"/>
  <c r="K82" i="3"/>
  <c r="K78" i="3"/>
  <c r="K74" i="3"/>
  <c r="K70" i="3"/>
  <c r="K66" i="3"/>
  <c r="K62" i="3"/>
  <c r="K58" i="3"/>
  <c r="K54" i="3"/>
  <c r="K50" i="3"/>
  <c r="K46" i="3"/>
  <c r="K42" i="3"/>
  <c r="K83" i="3"/>
  <c r="K79" i="3"/>
  <c r="K75" i="3"/>
  <c r="K71" i="3"/>
  <c r="K67" i="3"/>
  <c r="K63" i="3"/>
  <c r="K59" i="3"/>
  <c r="K55" i="3"/>
  <c r="K51" i="3"/>
  <c r="K47" i="3"/>
  <c r="K43" i="3"/>
  <c r="K39" i="3"/>
  <c r="D29" i="3"/>
  <c r="G41" i="3"/>
  <c r="D30" i="3"/>
  <c r="D21" i="3"/>
  <c r="D20" i="3"/>
  <c r="G50" i="3"/>
  <c r="G54" i="3"/>
  <c r="G46" i="3"/>
  <c r="G42" i="3"/>
  <c r="G40" i="3"/>
  <c r="G52" i="3"/>
  <c r="G48" i="3"/>
  <c r="G44" i="3"/>
  <c r="G51" i="3"/>
  <c r="G53" i="3"/>
  <c r="G49" i="3"/>
  <c r="G45" i="3"/>
  <c r="G47" i="3"/>
  <c r="G43" i="3"/>
  <c r="L18" i="3"/>
  <c r="L15" i="3"/>
  <c r="L16" i="3"/>
  <c r="L17" i="3"/>
  <c r="G15" i="3"/>
  <c r="G13" i="3"/>
  <c r="G14" i="3"/>
  <c r="G11" i="3"/>
  <c r="D24" i="3"/>
  <c r="D27" i="3"/>
  <c r="D28" i="3"/>
  <c r="D19" i="3"/>
  <c r="D25" i="3"/>
  <c r="D26" i="3"/>
  <c r="H2" i="3" l="1"/>
  <c r="G8" i="3" l="1"/>
  <c r="G3" i="3"/>
  <c r="G5" i="3"/>
  <c r="G4" i="3"/>
  <c r="G6" i="3"/>
  <c r="G7" i="3"/>
  <c r="G2" i="3" l="1"/>
  <c r="C5" i="3" l="1"/>
  <c r="W27" i="3" l="1"/>
  <c r="V26" i="3" s="1"/>
  <c r="D5" i="3"/>
  <c r="D3" i="3"/>
  <c r="D4" i="3"/>
  <c r="V27" i="3" l="1"/>
  <c r="V25" i="3"/>
  <c r="V24" i="3"/>
  <c r="BI20" i="3"/>
  <c r="BH10" i="3"/>
  <c r="BH47" i="3"/>
  <c r="BH21" i="3" l="1"/>
  <c r="AS80" i="3" l="1"/>
  <c r="AS96" i="3"/>
  <c r="AR96" i="3" l="1"/>
  <c r="AR66" i="3"/>
  <c r="AR80" i="3"/>
  <c r="AR79" i="3"/>
  <c r="AR65" i="3"/>
  <c r="AR67" i="3"/>
  <c r="AR95" i="3"/>
  <c r="AR68" i="3"/>
  <c r="AR83" i="3"/>
  <c r="AR84" i="3"/>
  <c r="AR69" i="3"/>
  <c r="AR85" i="3"/>
  <c r="AR70" i="3"/>
  <c r="AR86" i="3"/>
  <c r="AR87" i="3"/>
  <c r="AR71" i="3"/>
  <c r="AR72" i="3"/>
  <c r="AR88" i="3"/>
  <c r="AR73" i="3"/>
  <c r="AR89" i="3"/>
  <c r="AR90" i="3"/>
  <c r="AR74" i="3"/>
  <c r="AR75" i="3"/>
  <c r="AR91" i="3"/>
  <c r="AR76" i="3"/>
  <c r="AR92" i="3"/>
  <c r="AR93" i="3"/>
  <c r="AR77" i="3"/>
  <c r="AR94" i="3"/>
  <c r="AR78" i="3"/>
  <c r="O21" i="3"/>
  <c r="BH34" i="3" l="1"/>
  <c r="BH60" i="3" l="1"/>
  <c r="AW49" i="3" l="1"/>
  <c r="AV47" i="3" l="1"/>
  <c r="AV49" i="3"/>
  <c r="AV40" i="3"/>
  <c r="AV48" i="3"/>
  <c r="AV39" i="3"/>
  <c r="AV41" i="3"/>
  <c r="AV42" i="3"/>
  <c r="AV43" i="3"/>
  <c r="AV44" i="3"/>
  <c r="AV45" i="3"/>
  <c r="AS36" i="3"/>
  <c r="AR33" i="3" s="1"/>
  <c r="AV46" i="3"/>
  <c r="AR34" i="3" l="1"/>
  <c r="AR36" i="3"/>
  <c r="AR35" i="3"/>
  <c r="AR25" i="3"/>
  <c r="AR26" i="3"/>
  <c r="AR27" i="3"/>
  <c r="AR28" i="3"/>
  <c r="AR29" i="3"/>
  <c r="AR30" i="3"/>
  <c r="AR31" i="3"/>
  <c r="AR32" i="3"/>
  <c r="D23" i="5"/>
  <c r="C23" i="5" l="1"/>
  <c r="C21" i="5"/>
  <c r="C19" i="5"/>
  <c r="C17" i="5"/>
  <c r="C14" i="5"/>
  <c r="C20" i="5"/>
  <c r="C18" i="5"/>
  <c r="C16" i="5"/>
  <c r="C15" i="5"/>
  <c r="C22" i="5"/>
  <c r="AJ19" i="3"/>
  <c r="AI16" i="3" l="1"/>
  <c r="AI15" i="3"/>
  <c r="AI17" i="3"/>
  <c r="AI19" i="3"/>
  <c r="AI18" i="3"/>
  <c r="DH16" i="9" l="1"/>
  <c r="DF3" i="9"/>
  <c r="DF16" i="9" s="1"/>
  <c r="DH53" i="9" l="1"/>
  <c r="DE16" i="9" s="1"/>
  <c r="DF53" i="9"/>
  <c r="DE55" i="9" s="1"/>
  <c r="AS21" i="3"/>
  <c r="AV12" i="3"/>
  <c r="AY12" i="3"/>
  <c r="AR21" i="3" l="1"/>
  <c r="AR19" i="3"/>
  <c r="AR18" i="3"/>
  <c r="AR20" i="3"/>
  <c r="DG61" i="9"/>
  <c r="DH61" i="9" s="1"/>
  <c r="DE53" i="9"/>
  <c r="DE52" i="9"/>
  <c r="DE6" i="9"/>
  <c r="DE12" i="9"/>
  <c r="DE21" i="9"/>
  <c r="DE27" i="9"/>
  <c r="DE33" i="9"/>
  <c r="DE39" i="9"/>
  <c r="DE43" i="9"/>
  <c r="DE47" i="9"/>
  <c r="DE5" i="9"/>
  <c r="DE9" i="9"/>
  <c r="DE13" i="9"/>
  <c r="DE20" i="9"/>
  <c r="DE24" i="9"/>
  <c r="DE28" i="9"/>
  <c r="DE32" i="9"/>
  <c r="DE36" i="9"/>
  <c r="DE40" i="9"/>
  <c r="DE44" i="9"/>
  <c r="DE48" i="9"/>
  <c r="DE23" i="9"/>
  <c r="DE51" i="9"/>
  <c r="DG55" i="9"/>
  <c r="DE31" i="9"/>
  <c r="DE4" i="9"/>
  <c r="DE10" i="9"/>
  <c r="DE19" i="9"/>
  <c r="DE25" i="9"/>
  <c r="DE29" i="9"/>
  <c r="DE37" i="9"/>
  <c r="DE41" i="9"/>
  <c r="DE45" i="9"/>
  <c r="DE49" i="9"/>
  <c r="DE3" i="9"/>
  <c r="DE7" i="9"/>
  <c r="DE11" i="9"/>
  <c r="DE18" i="9"/>
  <c r="DE22" i="9"/>
  <c r="DE26" i="9"/>
  <c r="DE30" i="9"/>
  <c r="DE34" i="9"/>
  <c r="DE38" i="9"/>
  <c r="DE42" i="9"/>
  <c r="DE46" i="9"/>
  <c r="DE50" i="9"/>
  <c r="DE8" i="9"/>
  <c r="DE35" i="9"/>
  <c r="DE17" i="9"/>
  <c r="DH60" i="9"/>
  <c r="K51" i="13" l="1"/>
  <c r="K49" i="13"/>
  <c r="K50" i="13"/>
  <c r="L50" i="13"/>
  <c r="L51" i="13"/>
  <c r="L49" i="13"/>
  <c r="N52" i="13"/>
  <c r="M51" i="13"/>
  <c r="M49" i="13"/>
  <c r="M50" i="13"/>
  <c r="AA8" i="13"/>
  <c r="W33" i="13"/>
  <c r="W34" i="13"/>
  <c r="W32" i="13"/>
  <c r="W35" i="13"/>
  <c r="Y33" i="13"/>
  <c r="Y34" i="13"/>
  <c r="Y32" i="13"/>
  <c r="Y35" i="13"/>
  <c r="X35" i="13"/>
  <c r="X32" i="13"/>
  <c r="X33" i="13"/>
  <c r="X34" i="13"/>
  <c r="Z36" i="13"/>
  <c r="Z9" i="13" l="1"/>
  <c r="Z10" i="13" s="1"/>
  <c r="X7" i="13"/>
  <c r="X3" i="13"/>
  <c r="X5" i="13"/>
  <c r="X6" i="13"/>
  <c r="X4" i="13"/>
  <c r="X8" i="13" l="1"/>
  <c r="S28" i="7" l="1"/>
  <c r="Q28" i="7" s="1"/>
  <c r="S29" i="7" l="1"/>
  <c r="Q29" i="7" s="1"/>
  <c r="F11" i="7" l="1"/>
  <c r="D11" i="7" s="1"/>
  <c r="AQ71" i="13" l="1"/>
  <c r="AQ69" i="13"/>
  <c r="AO67" i="13"/>
  <c r="AO65" i="13"/>
  <c r="AO70" i="13"/>
  <c r="AQ68" i="13"/>
  <c r="AQ66" i="13"/>
  <c r="AP65" i="13"/>
  <c r="AO56" i="13"/>
  <c r="AO54" i="13"/>
  <c r="AO52" i="13"/>
  <c r="AQ57" i="13"/>
  <c r="AQ55" i="13"/>
  <c r="AQ53" i="13"/>
  <c r="AQ51" i="13"/>
  <c r="AQ70" i="13"/>
  <c r="AO68" i="13"/>
  <c r="AO66" i="13"/>
  <c r="AP66" i="13" s="1"/>
  <c r="AO71" i="13"/>
  <c r="AO69" i="13"/>
  <c r="AQ67" i="13"/>
  <c r="AQ65" i="13"/>
  <c r="AO57" i="13"/>
  <c r="AO55" i="13"/>
  <c r="AP55" i="13" s="1"/>
  <c r="AO53" i="13"/>
  <c r="AO51" i="13"/>
  <c r="AP51" i="13" s="1"/>
  <c r="AQ56" i="13"/>
  <c r="AQ54" i="13"/>
  <c r="AQ52" i="13"/>
  <c r="AP54" i="13"/>
  <c r="AP70" i="13"/>
  <c r="AP67" i="13"/>
  <c r="AP53" i="13"/>
  <c r="AP57" i="13"/>
  <c r="AP68" i="13"/>
  <c r="AP52" i="13"/>
  <c r="AP56" i="13"/>
  <c r="AP69" i="13"/>
  <c r="AP71" i="13"/>
  <c r="Y41" i="7"/>
  <c r="W41" i="7" s="1"/>
  <c r="AO58" i="13" l="1"/>
  <c r="AI51" i="13" s="1"/>
  <c r="AQ72" i="13"/>
  <c r="AI66" i="13"/>
  <c r="AP72" i="13"/>
  <c r="AO72" i="13"/>
  <c r="AI72" i="13" s="1"/>
  <c r="AP58" i="13"/>
  <c r="AJ65" i="13" s="1"/>
  <c r="AI57" i="13"/>
  <c r="AI68" i="13"/>
  <c r="AQ58" i="13"/>
  <c r="AK58" i="13" s="1"/>
  <c r="AI52" i="13"/>
  <c r="AI70" i="13"/>
  <c r="AI67" i="13" l="1"/>
  <c r="AI56" i="13"/>
  <c r="AI71" i="13"/>
  <c r="AI53" i="13"/>
  <c r="AI65" i="13"/>
  <c r="AK71" i="13"/>
  <c r="AK55" i="13"/>
  <c r="AJ70" i="13"/>
  <c r="AJ51" i="13"/>
  <c r="AJ57" i="13"/>
  <c r="AI54" i="13"/>
  <c r="AK52" i="13"/>
  <c r="AK69" i="13"/>
  <c r="AI55" i="13"/>
  <c r="AK66" i="13"/>
  <c r="AK51" i="13"/>
  <c r="AK67" i="13"/>
  <c r="AJ55" i="13"/>
  <c r="AR6" i="7"/>
  <c r="AS6" i="7" s="1"/>
  <c r="AR27" i="7"/>
  <c r="AS27" i="7" s="1"/>
  <c r="AR5" i="7"/>
  <c r="AR26" i="7"/>
  <c r="AR7" i="7"/>
  <c r="AS7" i="7" s="1"/>
  <c r="AR28" i="7"/>
  <c r="AS28" i="7" s="1"/>
  <c r="AR11" i="7"/>
  <c r="AR32" i="7"/>
  <c r="AR13" i="7"/>
  <c r="AS13" i="7" s="1"/>
  <c r="AR34" i="7"/>
  <c r="AS34" i="7" s="1"/>
  <c r="AR8" i="7"/>
  <c r="AS8" i="7" s="1"/>
  <c r="AR29" i="7"/>
  <c r="AS29" i="7" s="1"/>
  <c r="AK56" i="13"/>
  <c r="AJ68" i="13"/>
  <c r="AJ58" i="13"/>
  <c r="AJ52" i="13"/>
  <c r="AJ66" i="13"/>
  <c r="AK68" i="13"/>
  <c r="AO73" i="13"/>
  <c r="AL74" i="13" s="1"/>
  <c r="AJ72" i="13"/>
  <c r="AK57" i="13"/>
  <c r="AK70" i="13"/>
  <c r="AI69" i="13"/>
  <c r="AK65" i="13"/>
  <c r="AK54" i="13"/>
  <c r="AJ67" i="13"/>
  <c r="AJ56" i="13"/>
  <c r="AJ71" i="13"/>
  <c r="AR4" i="7"/>
  <c r="AR25" i="7"/>
  <c r="AR10" i="7"/>
  <c r="AR31" i="7"/>
  <c r="AR12" i="7"/>
  <c r="AS12" i="7" s="1"/>
  <c r="AR33" i="7"/>
  <c r="AS33" i="7" s="1"/>
  <c r="AR14" i="7"/>
  <c r="AS14" i="7" s="1"/>
  <c r="AR35" i="7"/>
  <c r="AS35" i="7" s="1"/>
  <c r="AR9" i="7"/>
  <c r="AS9" i="7" s="1"/>
  <c r="AR30" i="7"/>
  <c r="AS30" i="7" s="1"/>
  <c r="AK53" i="13"/>
  <c r="AK72" i="13"/>
  <c r="AI58" i="13"/>
  <c r="AO59" i="13"/>
  <c r="AL60" i="13" s="1"/>
  <c r="AJ54" i="13"/>
  <c r="AJ53" i="13"/>
  <c r="AJ69" i="13"/>
  <c r="AS31" i="7" l="1"/>
  <c r="AR41" i="7"/>
  <c r="AS41" i="7" s="1"/>
  <c r="AR36" i="7"/>
  <c r="AS36" i="7" s="1"/>
  <c r="AR39" i="7"/>
  <c r="AS25" i="7"/>
  <c r="AR42" i="7"/>
  <c r="AS42" i="7" s="1"/>
  <c r="AS32" i="7"/>
  <c r="AS26" i="7"/>
  <c r="AR40" i="7"/>
  <c r="AS40" i="7" s="1"/>
  <c r="AR20" i="7"/>
  <c r="AS20" i="7" s="1"/>
  <c r="AS10" i="7"/>
  <c r="AR18" i="7"/>
  <c r="AS4" i="7"/>
  <c r="AR15" i="7"/>
  <c r="AS15" i="7" s="1"/>
  <c r="AS11" i="7"/>
  <c r="AR21" i="7"/>
  <c r="AS21" i="7" s="1"/>
  <c r="AS5" i="7"/>
  <c r="AR19" i="7"/>
  <c r="AS19" i="7" s="1"/>
  <c r="Y33" i="7"/>
  <c r="Y25" i="7"/>
  <c r="W25" i="7" s="1"/>
  <c r="Y17" i="7"/>
  <c r="S43" i="7"/>
  <c r="Q43" i="7" s="1"/>
  <c r="S42" i="7"/>
  <c r="Q42" i="7" s="1"/>
  <c r="S41" i="7"/>
  <c r="Q41" i="7" s="1"/>
  <c r="S40" i="7"/>
  <c r="Q40" i="7" s="1"/>
  <c r="S39" i="7"/>
  <c r="Q39" i="7" s="1"/>
  <c r="S38" i="7"/>
  <c r="S15" i="7"/>
  <c r="S17" i="7"/>
  <c r="Q17" i="7" s="1"/>
  <c r="S16" i="7"/>
  <c r="Q16" i="7" s="1"/>
  <c r="S7" i="7"/>
  <c r="Q7" i="7" s="1"/>
  <c r="S6" i="7"/>
  <c r="Q6" i="7" s="1"/>
  <c r="S5" i="7"/>
  <c r="Q5" i="7" s="1"/>
  <c r="S4" i="7"/>
  <c r="F23" i="7"/>
  <c r="D23" i="7" s="1"/>
  <c r="F21" i="7"/>
  <c r="D21" i="7" s="1"/>
  <c r="F20" i="7"/>
  <c r="D20" i="7" s="1"/>
  <c r="F19" i="7"/>
  <c r="F25" i="7" l="1"/>
  <c r="D19" i="7"/>
  <c r="F39" i="7"/>
  <c r="M15" i="7"/>
  <c r="F57" i="7"/>
  <c r="M35" i="7"/>
  <c r="F32" i="7"/>
  <c r="M7" i="7"/>
  <c r="K7" i="7" s="1"/>
  <c r="F41" i="7"/>
  <c r="M17" i="7"/>
  <c r="K17" i="7" s="1"/>
  <c r="F50" i="7"/>
  <c r="M27" i="7"/>
  <c r="K27" i="7" s="1"/>
  <c r="F58" i="7"/>
  <c r="M36" i="7"/>
  <c r="K36" i="7" s="1"/>
  <c r="F60" i="7"/>
  <c r="M38" i="7"/>
  <c r="K38" i="7" s="1"/>
  <c r="F42" i="7"/>
  <c r="M18" i="7"/>
  <c r="K18" i="7" s="1"/>
  <c r="S19" i="7"/>
  <c r="Q19" i="7" s="1"/>
  <c r="P19" i="7" s="1"/>
  <c r="Q15" i="7"/>
  <c r="GA19" i="17"/>
  <c r="GC5" i="17"/>
  <c r="GC19" i="17"/>
  <c r="S26" i="7"/>
  <c r="Q26" i="7" s="1"/>
  <c r="Q38" i="7"/>
  <c r="W17" i="7"/>
  <c r="W33" i="7"/>
  <c r="AD12" i="7"/>
  <c r="AB12" i="7" s="1"/>
  <c r="AX8" i="7"/>
  <c r="AV8" i="7" s="1"/>
  <c r="AS18" i="7"/>
  <c r="AR22" i="7"/>
  <c r="AS22" i="7" s="1"/>
  <c r="AR43" i="7"/>
  <c r="AS43" i="7" s="1"/>
  <c r="AS39" i="7"/>
  <c r="F30" i="7"/>
  <c r="M5" i="7"/>
  <c r="F48" i="7"/>
  <c r="M25" i="7"/>
  <c r="F31" i="7"/>
  <c r="M6" i="7"/>
  <c r="K6" i="7" s="1"/>
  <c r="F40" i="7"/>
  <c r="M16" i="7"/>
  <c r="K16" i="7" s="1"/>
  <c r="F49" i="7"/>
  <c r="M26" i="7"/>
  <c r="K26" i="7" s="1"/>
  <c r="F51" i="7"/>
  <c r="M28" i="7"/>
  <c r="K28" i="7" s="1"/>
  <c r="F59" i="7"/>
  <c r="M37" i="7"/>
  <c r="K37" i="7" s="1"/>
  <c r="F33" i="7"/>
  <c r="M8" i="7"/>
  <c r="K8" i="7" s="1"/>
  <c r="S9" i="7"/>
  <c r="Q4" i="7"/>
  <c r="GA18" i="17"/>
  <c r="GC4" i="17"/>
  <c r="GC18" i="17"/>
  <c r="S25" i="7"/>
  <c r="GC24" i="17"/>
  <c r="GC10" i="17"/>
  <c r="GA24" i="17"/>
  <c r="S31" i="7"/>
  <c r="Q31" i="7" s="1"/>
  <c r="GA20" i="17"/>
  <c r="GC6" i="17"/>
  <c r="GC20" i="17"/>
  <c r="S27" i="7"/>
  <c r="Q27" i="7" s="1"/>
  <c r="GA23" i="17"/>
  <c r="GC9" i="17"/>
  <c r="GC23" i="17"/>
  <c r="S30" i="7"/>
  <c r="Q30" i="7" s="1"/>
  <c r="AX4" i="7"/>
  <c r="AD4" i="7"/>
  <c r="AX9" i="7"/>
  <c r="AV9" i="7" s="1"/>
  <c r="AD13" i="7"/>
  <c r="AB13" i="7" s="1"/>
  <c r="Y18" i="7"/>
  <c r="W18" i="7" s="1"/>
  <c r="Y34" i="7"/>
  <c r="W34" i="7" s="1"/>
  <c r="F10" i="7"/>
  <c r="D10" i="7" s="1"/>
  <c r="F9" i="7"/>
  <c r="D9" i="7" s="1"/>
  <c r="F8" i="7"/>
  <c r="D8" i="7" s="1"/>
  <c r="F7" i="7"/>
  <c r="D7" i="7" s="1"/>
  <c r="F6" i="7"/>
  <c r="D6" i="7" s="1"/>
  <c r="F5" i="7"/>
  <c r="D5" i="7" s="1"/>
  <c r="F4" i="7"/>
  <c r="GC12" i="17" l="1"/>
  <c r="P17" i="7"/>
  <c r="D4" i="7"/>
  <c r="D13" i="7" s="1"/>
  <c r="C7" i="7" s="1"/>
  <c r="F13" i="7"/>
  <c r="C5" i="7"/>
  <c r="AB4" i="7"/>
  <c r="Q25" i="7"/>
  <c r="S33" i="7"/>
  <c r="Q33" i="7" s="1"/>
  <c r="P27" i="7" s="1"/>
  <c r="Q9" i="7"/>
  <c r="P4" i="7" s="1"/>
  <c r="K25" i="7"/>
  <c r="M30" i="7"/>
  <c r="M10" i="7"/>
  <c r="K5" i="7"/>
  <c r="M40" i="7"/>
  <c r="K35" i="7"/>
  <c r="K15" i="7"/>
  <c r="M20" i="7"/>
  <c r="D25" i="7"/>
  <c r="C19" i="7" s="1"/>
  <c r="C6" i="7"/>
  <c r="AV4" i="7"/>
  <c r="GC26" i="17"/>
  <c r="GA26" i="17"/>
  <c r="FZ18" i="17" s="1"/>
  <c r="D33" i="7"/>
  <c r="D59" i="7"/>
  <c r="D51" i="7"/>
  <c r="D49" i="7"/>
  <c r="D40" i="7"/>
  <c r="D31" i="7"/>
  <c r="D48" i="7"/>
  <c r="F53" i="7"/>
  <c r="C53" i="7" s="1"/>
  <c r="F35" i="7"/>
  <c r="C35" i="7" s="1"/>
  <c r="D30" i="7"/>
  <c r="P26" i="7"/>
  <c r="P15" i="7"/>
  <c r="P16" i="7"/>
  <c r="D42" i="7"/>
  <c r="D60" i="7"/>
  <c r="D58" i="7"/>
  <c r="D50" i="7"/>
  <c r="C50" i="7"/>
  <c r="D41" i="7"/>
  <c r="D32" i="7"/>
  <c r="D57" i="7"/>
  <c r="F62" i="7"/>
  <c r="C62" i="7" s="1"/>
  <c r="D39" i="7"/>
  <c r="F44" i="7"/>
  <c r="C44" i="7" s="1"/>
  <c r="Y19" i="7"/>
  <c r="W19" i="7" s="1"/>
  <c r="Y35" i="7"/>
  <c r="W35" i="7" s="1"/>
  <c r="Y12" i="7"/>
  <c r="W12" i="7" s="1"/>
  <c r="Y6" i="7"/>
  <c r="W6" i="7" s="1"/>
  <c r="AY9" i="7" l="1"/>
  <c r="D62" i="7"/>
  <c r="C32" i="7"/>
  <c r="AY4" i="7"/>
  <c r="C8" i="7"/>
  <c r="AE12" i="7"/>
  <c r="C57" i="7"/>
  <c r="C9" i="7"/>
  <c r="C10" i="7"/>
  <c r="C39" i="7"/>
  <c r="D44" i="7"/>
  <c r="C41" i="7"/>
  <c r="C58" i="7"/>
  <c r="C60" i="7"/>
  <c r="C42" i="7"/>
  <c r="C30" i="7"/>
  <c r="C48" i="7"/>
  <c r="D53" i="7"/>
  <c r="FZ26" i="17"/>
  <c r="FZ21" i="17"/>
  <c r="FZ22" i="17"/>
  <c r="FZ24" i="17"/>
  <c r="FZ23" i="17"/>
  <c r="C25" i="7"/>
  <c r="C22" i="7"/>
  <c r="C20" i="7"/>
  <c r="C23" i="7"/>
  <c r="C21" i="7"/>
  <c r="K20" i="7"/>
  <c r="K30" i="7"/>
  <c r="AY8" i="7"/>
  <c r="AE5" i="7"/>
  <c r="P9" i="7"/>
  <c r="P5" i="7"/>
  <c r="P6" i="7"/>
  <c r="P7" i="7"/>
  <c r="P25" i="7"/>
  <c r="AE13" i="7"/>
  <c r="D35" i="7"/>
  <c r="C31" i="7"/>
  <c r="C40" i="7"/>
  <c r="C49" i="7"/>
  <c r="C51" i="7"/>
  <c r="C59" i="7"/>
  <c r="C33" i="7"/>
  <c r="FZ20" i="17"/>
  <c r="K40" i="7"/>
  <c r="FZ19" i="17"/>
  <c r="K10" i="7"/>
  <c r="P29" i="7"/>
  <c r="P28" i="7"/>
  <c r="P33" i="7"/>
  <c r="P31" i="7"/>
  <c r="P30" i="7"/>
  <c r="AE4" i="7"/>
  <c r="C4" i="7"/>
  <c r="C13" i="7"/>
  <c r="C11" i="7"/>
  <c r="Y20" i="7"/>
  <c r="W20" i="7" s="1"/>
  <c r="Y36" i="7"/>
  <c r="W36" i="7" s="1"/>
  <c r="Y7" i="7"/>
  <c r="W7" i="7" s="1"/>
  <c r="AE47" i="7" l="1"/>
  <c r="AC47" i="7" s="1"/>
  <c r="AE41" i="7"/>
  <c r="AE49" i="7"/>
  <c r="AE42" i="7"/>
  <c r="AC42" i="7" s="1"/>
  <c r="K42" i="7"/>
  <c r="J40" i="7" s="1"/>
  <c r="J30" i="7"/>
  <c r="Y21" i="7"/>
  <c r="W21" i="7" s="1"/>
  <c r="Y37" i="7"/>
  <c r="W37" i="7" s="1"/>
  <c r="Y8" i="7"/>
  <c r="W8" i="7" s="1"/>
  <c r="AE43" i="7" l="1"/>
  <c r="AC43" i="7" s="1"/>
  <c r="J20" i="7"/>
  <c r="AC41" i="7"/>
  <c r="J10" i="7"/>
  <c r="J37" i="7"/>
  <c r="J26" i="7"/>
  <c r="J6" i="7"/>
  <c r="J38" i="7"/>
  <c r="J27" i="7"/>
  <c r="J7" i="7"/>
  <c r="J8" i="7"/>
  <c r="J28" i="7"/>
  <c r="J16" i="7"/>
  <c r="J18" i="7"/>
  <c r="J36" i="7"/>
  <c r="J17" i="7"/>
  <c r="J35" i="7"/>
  <c r="J15" i="7"/>
  <c r="J25" i="7"/>
  <c r="J5" i="7"/>
  <c r="Y22" i="7"/>
  <c r="W22" i="7" s="1"/>
  <c r="Y38" i="7"/>
  <c r="W38" i="7" s="1"/>
  <c r="Y9" i="7"/>
  <c r="W9" i="7" s="1"/>
  <c r="Y23" i="7"/>
  <c r="W23" i="7" s="1"/>
  <c r="AE44" i="7" l="1"/>
  <c r="AC44" i="7" s="1"/>
  <c r="Y39" i="7"/>
  <c r="W39" i="7" s="1"/>
  <c r="Y24" i="7"/>
  <c r="Y10" i="7"/>
  <c r="W10" i="7" s="1"/>
  <c r="S86" i="7"/>
  <c r="Q86" i="7" s="1"/>
  <c r="S85" i="7"/>
  <c r="Q85" i="7" s="1"/>
  <c r="S84" i="7"/>
  <c r="Q84" i="7" s="1"/>
  <c r="S83" i="7"/>
  <c r="S82" i="7"/>
  <c r="Q82" i="7" s="1"/>
  <c r="S81" i="7"/>
  <c r="Q81" i="7" s="1"/>
  <c r="S80" i="7"/>
  <c r="Q80" i="7" s="1"/>
  <c r="S79" i="7"/>
  <c r="Q79" i="7" s="1"/>
  <c r="S78" i="7"/>
  <c r="S77" i="7"/>
  <c r="Q77" i="7" s="1"/>
  <c r="S76" i="7"/>
  <c r="Q76" i="7" s="1"/>
  <c r="S75" i="7"/>
  <c r="Q75" i="7" s="1"/>
  <c r="S74" i="7"/>
  <c r="Q74" i="7" s="1"/>
  <c r="S73" i="7"/>
  <c r="S72" i="7"/>
  <c r="Q72" i="7" s="1"/>
  <c r="S71" i="7"/>
  <c r="Q71" i="7" s="1"/>
  <c r="S70" i="7"/>
  <c r="Q70" i="7" s="1"/>
  <c r="S69" i="7"/>
  <c r="Q69" i="7" s="1"/>
  <c r="S68" i="7"/>
  <c r="S67" i="7"/>
  <c r="Q67" i="7" s="1"/>
  <c r="S66" i="7"/>
  <c r="Q66" i="7" s="1"/>
  <c r="S65" i="7"/>
  <c r="Q65" i="7" s="1"/>
  <c r="S64" i="7"/>
  <c r="Q64" i="7" s="1"/>
  <c r="S63" i="7"/>
  <c r="S62" i="7"/>
  <c r="Q62" i="7" s="1"/>
  <c r="S61" i="7"/>
  <c r="Q61" i="7" s="1"/>
  <c r="S60" i="7"/>
  <c r="Q60" i="7" s="1"/>
  <c r="S59" i="7"/>
  <c r="Q59" i="7" s="1"/>
  <c r="S58" i="7"/>
  <c r="S57" i="7"/>
  <c r="Q57" i="7" s="1"/>
  <c r="S56" i="7"/>
  <c r="Q56" i="7" s="1"/>
  <c r="S55" i="7"/>
  <c r="Q55" i="7" s="1"/>
  <c r="S54" i="7"/>
  <c r="Q54" i="7" s="1"/>
  <c r="S53" i="7"/>
  <c r="Q53" i="7" s="1"/>
  <c r="S52" i="7"/>
  <c r="S48" i="7"/>
  <c r="Q48" i="7" s="1"/>
  <c r="S47" i="7"/>
  <c r="Q47" i="7" s="1"/>
  <c r="S46" i="7"/>
  <c r="Q46" i="7" s="1"/>
  <c r="S45" i="7"/>
  <c r="Q45" i="7" s="1"/>
  <c r="AE45" i="7" l="1"/>
  <c r="AC45" i="7" s="1"/>
  <c r="Q63" i="7"/>
  <c r="T67" i="7"/>
  <c r="Q73" i="7"/>
  <c r="T77" i="7"/>
  <c r="Q83" i="7"/>
  <c r="T86" i="7"/>
  <c r="T57" i="7"/>
  <c r="Q52" i="7"/>
  <c r="T62" i="7"/>
  <c r="Q58" i="7"/>
  <c r="T72" i="7"/>
  <c r="Q68" i="7"/>
  <c r="T82" i="7"/>
  <c r="Q78" i="7"/>
  <c r="W24" i="7"/>
  <c r="Y26" i="7"/>
  <c r="W26" i="7" s="1"/>
  <c r="Y40" i="7"/>
  <c r="Y11" i="7"/>
  <c r="W11" i="7" s="1"/>
  <c r="AD7" i="7"/>
  <c r="AB7" i="7" s="1"/>
  <c r="AE7" i="7" s="1"/>
  <c r="AE46" i="7" l="1"/>
  <c r="AC46" i="7" s="1"/>
  <c r="Q93" i="7"/>
  <c r="V24" i="7"/>
  <c r="AX24" i="7"/>
  <c r="AV24" i="7" s="1"/>
  <c r="AY24" i="7" s="1"/>
  <c r="BB24" i="7"/>
  <c r="AZ24" i="7" s="1"/>
  <c r="BC24" i="7" s="1"/>
  <c r="AX10" i="7"/>
  <c r="AV10" i="7" s="1"/>
  <c r="AY10" i="7" s="1"/>
  <c r="AD14" i="7"/>
  <c r="AB14" i="7" s="1"/>
  <c r="AE14" i="7" s="1"/>
  <c r="AX22" i="7"/>
  <c r="AD8" i="7"/>
  <c r="AB8" i="7" s="1"/>
  <c r="AE8" i="7" s="1"/>
  <c r="BB22" i="7"/>
  <c r="AX23" i="7"/>
  <c r="AV23" i="7" s="1"/>
  <c r="AY23" i="7" s="1"/>
  <c r="BB23" i="7"/>
  <c r="AZ23" i="7" s="1"/>
  <c r="BC23" i="7" s="1"/>
  <c r="AD11" i="7"/>
  <c r="AB11" i="7" s="1"/>
  <c r="AE11" i="7" s="1"/>
  <c r="AE62" i="7"/>
  <c r="AE60" i="7"/>
  <c r="AC60" i="7" s="1"/>
  <c r="AE53" i="7"/>
  <c r="AE54" i="7" s="1"/>
  <c r="W40" i="7"/>
  <c r="Y42" i="7"/>
  <c r="W42" i="7" s="1"/>
  <c r="V26" i="7"/>
  <c r="V25" i="7"/>
  <c r="V17" i="7"/>
  <c r="V18" i="7"/>
  <c r="V19" i="7"/>
  <c r="V20" i="7"/>
  <c r="V21" i="7"/>
  <c r="V23" i="7"/>
  <c r="V22" i="7"/>
  <c r="Q90" i="7"/>
  <c r="AD6" i="7"/>
  <c r="AX5" i="7"/>
  <c r="AX7" i="7"/>
  <c r="AV7" i="7" s="1"/>
  <c r="AY7" i="7" s="1"/>
  <c r="AD10" i="7"/>
  <c r="AB10" i="7" s="1"/>
  <c r="AE10" i="7" s="1"/>
  <c r="AX6" i="7"/>
  <c r="AV6" i="7" s="1"/>
  <c r="AY6" i="7" s="1"/>
  <c r="AD9" i="7"/>
  <c r="AB9" i="7" s="1"/>
  <c r="AE9" i="7" s="1"/>
  <c r="AE48" i="7" l="1"/>
  <c r="AC48" i="7" s="1"/>
  <c r="AB46" i="7" s="1"/>
  <c r="AB45" i="7"/>
  <c r="AC54" i="7"/>
  <c r="AE55" i="7"/>
  <c r="AB6" i="7"/>
  <c r="AE6" i="7" s="1"/>
  <c r="AD15" i="7"/>
  <c r="AB15" i="7" s="1"/>
  <c r="AE15" i="7" s="1"/>
  <c r="V40" i="7"/>
  <c r="AE29" i="7"/>
  <c r="AE30" i="7" s="1"/>
  <c r="AC30" i="7" s="1"/>
  <c r="AE37" i="7"/>
  <c r="AE35" i="7"/>
  <c r="AC35" i="7" s="1"/>
  <c r="AE18" i="7"/>
  <c r="AE24" i="7"/>
  <c r="AC24" i="7" s="1"/>
  <c r="AE19" i="7"/>
  <c r="AC19" i="7" s="1"/>
  <c r="AV5" i="7"/>
  <c r="AY5" i="7" s="1"/>
  <c r="AX11" i="7"/>
  <c r="AV11" i="7" s="1"/>
  <c r="V42" i="7"/>
  <c r="V41" i="7"/>
  <c r="V34" i="7"/>
  <c r="V33" i="7"/>
  <c r="V35" i="7"/>
  <c r="V36" i="7"/>
  <c r="V37" i="7"/>
  <c r="V38" i="7"/>
  <c r="V39" i="7"/>
  <c r="AC53" i="7"/>
  <c r="AZ22" i="7"/>
  <c r="BB25" i="7"/>
  <c r="AV22" i="7"/>
  <c r="AX25" i="7"/>
  <c r="S44" i="7"/>
  <c r="AB42" i="7" l="1"/>
  <c r="AB44" i="7"/>
  <c r="AB41" i="7"/>
  <c r="AB47" i="7"/>
  <c r="AB43" i="7"/>
  <c r="AB48" i="7"/>
  <c r="AE50" i="7"/>
  <c r="AE20" i="7"/>
  <c r="AC20" i="7" s="1"/>
  <c r="Q44" i="7"/>
  <c r="S51" i="7"/>
  <c r="AC55" i="7"/>
  <c r="AE56" i="7"/>
  <c r="AV25" i="7"/>
  <c r="AY22" i="7"/>
  <c r="AZ25" i="7"/>
  <c r="BC22" i="7"/>
  <c r="AC18" i="7"/>
  <c r="AE31" i="7"/>
  <c r="AC29" i="7"/>
  <c r="AE21" i="7" l="1"/>
  <c r="AC21" i="7" s="1"/>
  <c r="AC56" i="7"/>
  <c r="AE57" i="7"/>
  <c r="S88" i="7"/>
  <c r="T51" i="7"/>
  <c r="T88" i="7" s="1"/>
  <c r="AC31" i="7"/>
  <c r="AE32" i="7"/>
  <c r="Q51" i="7"/>
  <c r="Q88" i="7" s="1"/>
  <c r="P44" i="7" s="1"/>
  <c r="Y5" i="7"/>
  <c r="W5" i="7" s="1"/>
  <c r="Y4" i="7"/>
  <c r="AE22" i="7" l="1"/>
  <c r="AE23" i="7" s="1"/>
  <c r="AC23" i="7" s="1"/>
  <c r="P90" i="7"/>
  <c r="AC22" i="7"/>
  <c r="W4" i="7"/>
  <c r="W13" i="7" s="1"/>
  <c r="V5" i="7" s="1"/>
  <c r="Y13" i="7"/>
  <c r="P51" i="7"/>
  <c r="Q94" i="7"/>
  <c r="R94" i="7" s="1"/>
  <c r="P88" i="7"/>
  <c r="Q91" i="7"/>
  <c r="R91" i="7" s="1"/>
  <c r="P42" i="7"/>
  <c r="P39" i="7"/>
  <c r="P43" i="7"/>
  <c r="P40" i="7"/>
  <c r="P41" i="7"/>
  <c r="P38" i="7"/>
  <c r="P45" i="7"/>
  <c r="P48" i="7"/>
  <c r="P55" i="7"/>
  <c r="P59" i="7"/>
  <c r="P65" i="7"/>
  <c r="P69" i="7"/>
  <c r="P71" i="7"/>
  <c r="P77" i="7"/>
  <c r="P81" i="7"/>
  <c r="P47" i="7"/>
  <c r="P56" i="7"/>
  <c r="P62" i="7"/>
  <c r="P70" i="7"/>
  <c r="P74" i="7"/>
  <c r="P80" i="7"/>
  <c r="P84" i="7"/>
  <c r="P46" i="7"/>
  <c r="P53" i="7"/>
  <c r="P57" i="7"/>
  <c r="P61" i="7"/>
  <c r="P67" i="7"/>
  <c r="P75" i="7"/>
  <c r="P79" i="7"/>
  <c r="P85" i="7"/>
  <c r="P54" i="7"/>
  <c r="P60" i="7"/>
  <c r="P64" i="7"/>
  <c r="P66" i="7"/>
  <c r="P72" i="7"/>
  <c r="P76" i="7"/>
  <c r="P82" i="7"/>
  <c r="P86" i="7"/>
  <c r="P78" i="7"/>
  <c r="P83" i="7"/>
  <c r="R93" i="7"/>
  <c r="P52" i="7"/>
  <c r="P63" i="7"/>
  <c r="P68" i="7"/>
  <c r="P73" i="7"/>
  <c r="P58" i="7"/>
  <c r="R90" i="7"/>
  <c r="AC32" i="7"/>
  <c r="AE33" i="7"/>
  <c r="AC57" i="7"/>
  <c r="AE58" i="7"/>
  <c r="AE25" i="7" l="1"/>
  <c r="AC25" i="7" s="1"/>
  <c r="AB22" i="7" s="1"/>
  <c r="AC58" i="7"/>
  <c r="AE59" i="7"/>
  <c r="AC59" i="7" s="1"/>
  <c r="AC33" i="7"/>
  <c r="AE34" i="7"/>
  <c r="AC34" i="7" s="1"/>
  <c r="V4" i="7"/>
  <c r="V13" i="7"/>
  <c r="V6" i="7"/>
  <c r="V12" i="7"/>
  <c r="V7" i="7"/>
  <c r="V8" i="7"/>
  <c r="V9" i="7"/>
  <c r="V10" i="7"/>
  <c r="V11" i="7"/>
  <c r="AB23" i="7"/>
  <c r="AE61" i="7" l="1"/>
  <c r="AB21" i="7"/>
  <c r="AB25" i="7"/>
  <c r="AB24" i="7"/>
  <c r="AB20" i="7"/>
  <c r="AB19" i="7"/>
  <c r="AB18" i="7"/>
  <c r="AE36" i="7"/>
  <c r="AE38" i="7" l="1"/>
  <c r="AC36" i="7"/>
  <c r="AC61" i="7"/>
  <c r="AE63" i="7"/>
  <c r="AB36" i="7" l="1"/>
  <c r="AB30" i="7"/>
  <c r="AB35" i="7"/>
  <c r="AB29" i="7"/>
  <c r="AB31" i="7"/>
  <c r="AB32" i="7"/>
  <c r="AB33" i="7"/>
  <c r="AB34" i="7"/>
  <c r="AB61" i="7"/>
  <c r="AB60" i="7"/>
  <c r="AB53" i="7"/>
  <c r="AB54" i="7"/>
  <c r="AB55" i="7"/>
  <c r="AB56" i="7"/>
  <c r="AB57" i="7"/>
  <c r="AB58" i="7"/>
  <c r="AB59" i="7"/>
</calcChain>
</file>

<file path=xl/sharedStrings.xml><?xml version="1.0" encoding="utf-8"?>
<sst xmlns="http://schemas.openxmlformats.org/spreadsheetml/2006/main" count="52245" uniqueCount="2774">
  <si>
    <t>Folio</t>
  </si>
  <si>
    <t>Flota</t>
  </si>
  <si>
    <t>Edad (años)</t>
  </si>
  <si>
    <t>Género</t>
  </si>
  <si>
    <t>Escolaridad (Grado máximo de estudios)</t>
  </si>
  <si>
    <t>Lugar de residencia (Población y Estado)</t>
  </si>
  <si>
    <t>¿Cuántos años de experiencia tiene manejando un vehículo de carga?</t>
  </si>
  <si>
    <t>Hombre Camión (1 a 5 unidades)</t>
  </si>
  <si>
    <t>Pequeño Transportista (6 a 30 unidades)</t>
  </si>
  <si>
    <t>¿Con cuantas unidades motrices cuenta? (unidades)</t>
  </si>
  <si>
    <t>¿Con cuántas unidades de arrastre cuenta?</t>
  </si>
  <si>
    <t>Caja seca</t>
  </si>
  <si>
    <t>Caja seca refrigerada</t>
  </si>
  <si>
    <t>Remolque</t>
  </si>
  <si>
    <t>Refrigeradas</t>
  </si>
  <si>
    <t>Tanque</t>
  </si>
  <si>
    <t>Hazmat</t>
  </si>
  <si>
    <t>Otra(s) (especificar)</t>
  </si>
  <si>
    <t>¿Qué tipo de productos mueve en general? (seleccionar todas las opciones que apliquen)</t>
  </si>
  <si>
    <t>Productos perecederos</t>
  </si>
  <si>
    <t>Alimentos no perecederos</t>
  </si>
  <si>
    <t xml:space="preserve">Químicos </t>
  </si>
  <si>
    <t>Materiales para construcción</t>
  </si>
  <si>
    <t>Materias primas para producción</t>
  </si>
  <si>
    <t>Granos</t>
  </si>
  <si>
    <t>Materias primas para ensamble</t>
  </si>
  <si>
    <t>Productos refrigerados</t>
  </si>
  <si>
    <t>Materiales peligrosos</t>
  </si>
  <si>
    <t>Otros (especificar)</t>
  </si>
  <si>
    <t>Usualmente, ¿cómo y con quién se contrata?</t>
  </si>
  <si>
    <t>Mediante contrato firmado</t>
  </si>
  <si>
    <t>De palabra</t>
  </si>
  <si>
    <t>Con empresa logística/freight forewarder</t>
  </si>
  <si>
    <t>Con un intermediario</t>
  </si>
  <si>
    <t>Con un embarcador</t>
  </si>
  <si>
    <t>Viajes</t>
  </si>
  <si>
    <t>Cantidad de clientes regulares</t>
  </si>
  <si>
    <t>¿De cada 10 viajes, cuántos son contratados por clientes regulares?</t>
  </si>
  <si>
    <t>¿Quién fija las rutas?</t>
  </si>
  <si>
    <t>El Conductor</t>
  </si>
  <si>
    <t>Usted</t>
  </si>
  <si>
    <t>El Cliente</t>
  </si>
  <si>
    <t>Por orden de importancia (del 1 al 3), ¿cuál es el factor que determina la ruta?</t>
  </si>
  <si>
    <t>Tiempo</t>
  </si>
  <si>
    <t>Cuota</t>
  </si>
  <si>
    <t>Distancia</t>
  </si>
  <si>
    <t>Otro (especificar)</t>
  </si>
  <si>
    <t>¿Cuenta con un personal dedicado exclusivamente a la administración del negocio?</t>
  </si>
  <si>
    <t xml:space="preserve">No </t>
  </si>
  <si>
    <t>Sí</t>
  </si>
  <si>
    <t>Contra entrega</t>
  </si>
  <si>
    <t>¿Cuándo le pagan?</t>
  </si>
  <si>
    <t>Semanalmente</t>
  </si>
  <si>
    <t>Por mes</t>
  </si>
  <si>
    <t>A 30 días</t>
  </si>
  <si>
    <t>A 60 días</t>
  </si>
  <si>
    <t>¿Acostumbra reservar una cantidad mensual adicional para comprar una unidad nueva o modernizar las existentes?</t>
  </si>
  <si>
    <t>No</t>
  </si>
  <si>
    <t>¿En qué circunstancias cambia o adquiere otra unidad?</t>
  </si>
  <si>
    <t>Unidad vieja</t>
  </si>
  <si>
    <t>Acceso a crédito</t>
  </si>
  <si>
    <t>Oferta</t>
  </si>
  <si>
    <t>Estímulo Fiscal</t>
  </si>
  <si>
    <t>Porque el cliente lo pide</t>
  </si>
  <si>
    <t>Capital disponible</t>
  </si>
  <si>
    <t>Otras (explicar)</t>
  </si>
  <si>
    <t>¿Ha contado en los últimos 12 meses con algún tipo de crédito para? (Seleccionar las opciones que apliquen)</t>
  </si>
  <si>
    <t>¿Capital de trabajo?</t>
  </si>
  <si>
    <t>¿Factoraje?</t>
  </si>
  <si>
    <t>¿Crédito Automotriz?</t>
  </si>
  <si>
    <t>¿Tarjeta de Crédito?</t>
  </si>
  <si>
    <t>¿Empeño?</t>
  </si>
  <si>
    <t>¿Un prestamista?</t>
  </si>
  <si>
    <t>¿Amigo o familiar?</t>
  </si>
  <si>
    <t>Otro (Explicar)</t>
  </si>
  <si>
    <t>¿Compra de Unidades Nuevas?</t>
  </si>
  <si>
    <t>¿Compra de Unidades Usadas?</t>
  </si>
  <si>
    <t>¿Mejora de unidades?</t>
  </si>
  <si>
    <t>¿Operación del negocio?</t>
  </si>
  <si>
    <t>Plazo</t>
  </si>
  <si>
    <t>Enganche</t>
  </si>
  <si>
    <t>Pago mensual</t>
  </si>
  <si>
    <t>Requisitos</t>
  </si>
  <si>
    <t>Garantías</t>
  </si>
  <si>
    <t>Tasa de interés</t>
  </si>
  <si>
    <t>En caso de tener la posibilidad de utilizar un crédito para adquirir una unidad nueva o usada, marcar del 1 al 6 el orden de importancia que tendrían para usted los siguientes conceptos:</t>
  </si>
  <si>
    <t>Manejo eficiente</t>
  </si>
  <si>
    <t>Administrativos y/o contables</t>
  </si>
  <si>
    <t>Legales Básicos</t>
  </si>
  <si>
    <t>Fiscales</t>
  </si>
  <si>
    <t>Mecánica</t>
  </si>
  <si>
    <t>Financieros</t>
  </si>
  <si>
    <t>No me interesa</t>
  </si>
  <si>
    <t>¿Por qué?</t>
  </si>
  <si>
    <r>
      <t xml:space="preserve">¿Qué cursos (gratuitos) para capacitación de usted y/o sus conductores le pueden ser de utilidad? </t>
    </r>
    <r>
      <rPr>
        <sz val="11"/>
        <color theme="1"/>
        <rFont val="Calibri"/>
        <family val="2"/>
        <scheme val="minor"/>
      </rPr>
      <t>En caso de seleccionar varios indicar el orden de importancia (1 el más importante, etc.)</t>
    </r>
  </si>
  <si>
    <t>¿Sabía usted que el Programa de Transporte Limpio ofrece opciones para reducir el consumo de combustible y emisiones?</t>
  </si>
  <si>
    <t>¿Participa o ha participado en el Programa?</t>
  </si>
  <si>
    <t>¿Cuál es su opinión del programa?</t>
  </si>
  <si>
    <t>¿Qué sugiere para que el programa le pudiera interesar?</t>
  </si>
  <si>
    <t>¿Sabe que con el Programa de Chatarrización puede pagar el 15% del enganche de una unidad nueva o seminueva?</t>
  </si>
  <si>
    <t>¿Sabe que con el Programa de Modernización del Autotransporte de NAFIN puede obtener créditos atractivos para comprar unidades nuevas o seminuevas?</t>
  </si>
  <si>
    <t>¿Cuál es su opinión del Programa?</t>
  </si>
  <si>
    <t>Tipo de Unidad</t>
  </si>
  <si>
    <t>¿Cuál es la marca del motor?</t>
  </si>
  <si>
    <t>¿Ha cambiado o reconfigurado el motor de la unidad?</t>
  </si>
  <si>
    <t>¿Es nuevo?</t>
  </si>
  <si>
    <t>Marca</t>
  </si>
  <si>
    <t>Año Modelo</t>
  </si>
  <si>
    <t>¿Es reconfigurado?</t>
  </si>
  <si>
    <t>Cuando compró la unidad era:</t>
  </si>
  <si>
    <t>Nueva</t>
  </si>
  <si>
    <t>Seminueva</t>
  </si>
  <si>
    <t>1 a 5 años</t>
  </si>
  <si>
    <t>Más de 5 años</t>
  </si>
  <si>
    <t>Kms que recorre por semana, mes o año</t>
  </si>
  <si>
    <t>Porcentaje de kms que recorre vacío (%)</t>
  </si>
  <si>
    <t>¿Cuántos tanques de combustible tiene la unidad?</t>
  </si>
  <si>
    <t>¿Cuál es la capacidad de los tanques de combustible?</t>
  </si>
  <si>
    <t>Combustible</t>
  </si>
  <si>
    <t>Diesel (D), Gasolina (GA), Gas (GAS), Huachicol (H)</t>
  </si>
  <si>
    <t>Rendimiento (km/lt)</t>
  </si>
  <si>
    <t>Con carga</t>
  </si>
  <si>
    <t>Vacío</t>
  </si>
  <si>
    <t>¿Cuánto gasta al mes en combustible? (litros o $)</t>
  </si>
  <si>
    <t>Herencia</t>
  </si>
  <si>
    <t>Contado</t>
  </si>
  <si>
    <t>En renta</t>
  </si>
  <si>
    <t>Prestada</t>
  </si>
  <si>
    <t>Crédito</t>
  </si>
  <si>
    <t>Pagada</t>
  </si>
  <si>
    <t>En proceso de pago</t>
  </si>
  <si>
    <t>Forma como adquirió la unidad</t>
  </si>
  <si>
    <t>La unidad cuenta con o hace uso de:</t>
  </si>
  <si>
    <t>Enfriamiento de cabina</t>
  </si>
  <si>
    <t>Filtro de partículas</t>
  </si>
  <si>
    <t>Inflado automático de llantas</t>
  </si>
  <si>
    <t>Catalizadores</t>
  </si>
  <si>
    <t>Lubricante de baja fricción</t>
  </si>
  <si>
    <t>Faldones traseros</t>
  </si>
  <si>
    <t>Reducción de peso muerto</t>
  </si>
  <si>
    <t>Conducción eficiente</t>
  </si>
  <si>
    <t>GPS para rastreo</t>
  </si>
  <si>
    <t>GPS para ruta</t>
  </si>
  <si>
    <t>¿Con qué frecuencia promedio (en kms recorridos)?</t>
  </si>
  <si>
    <t>Hace afinación de motor</t>
  </si>
  <si>
    <t>Operador</t>
  </si>
  <si>
    <t>Ayudantes</t>
  </si>
  <si>
    <t>Llantas</t>
  </si>
  <si>
    <t>Reparaciones</t>
  </si>
  <si>
    <t>Seguros</t>
  </si>
  <si>
    <t>Accidentes</t>
  </si>
  <si>
    <t>¿A cuánto ascienden sus gastos? (en miles de pesos, por mes o por año)</t>
  </si>
  <si>
    <t>Marca de motor nuevo sin cambio</t>
  </si>
  <si>
    <t>Tipo de unidad</t>
  </si>
  <si>
    <t>Año modelo  de motor con cambio a motor nuevo</t>
  </si>
  <si>
    <t>Año modelo de motor reconfigurado</t>
  </si>
  <si>
    <t>Marca de motor reconfigurado</t>
  </si>
  <si>
    <t>Kms actuales de la unidad</t>
  </si>
  <si>
    <t>Marca de motor con cambio a motor nuevo</t>
  </si>
  <si>
    <t>Porcentaje de kms en vacío</t>
  </si>
  <si>
    <t>Capacidad de los tanques de combustible</t>
  </si>
  <si>
    <t>Rendimiento con carga</t>
  </si>
  <si>
    <t>Rendimiento en vacío</t>
  </si>
  <si>
    <t>Unidad adquirida de contado</t>
  </si>
  <si>
    <t>Unidad en renta</t>
  </si>
  <si>
    <t>Unidad prestada</t>
  </si>
  <si>
    <t>Unidad adquirida por crédito y pagada</t>
  </si>
  <si>
    <t>Unidad adquirida por crédito y en proceso de pago</t>
  </si>
  <si>
    <t>Cuenta con enfriamiento de cabina</t>
  </si>
  <si>
    <t>Cuenta con filtro de partículas</t>
  </si>
  <si>
    <t>Cuenta con inflado automático de llantas</t>
  </si>
  <si>
    <t>Usa lubricante de baja fricción</t>
  </si>
  <si>
    <t>Cuenta con faldones traseros</t>
  </si>
  <si>
    <t>Usa reducción de peso muerto</t>
  </si>
  <si>
    <t>Usa conducción eficiente</t>
  </si>
  <si>
    <t>Cuenta con GPS para rastreo</t>
  </si>
  <si>
    <t>Cuenta con GPS para ruta</t>
  </si>
  <si>
    <t xml:space="preserve">Edad </t>
  </si>
  <si>
    <t>Escolaridad</t>
  </si>
  <si>
    <t>Lugar de residencia</t>
  </si>
  <si>
    <t>Número de unidades motrices</t>
  </si>
  <si>
    <t>Unidades de arrastre tipo Caja seca</t>
  </si>
  <si>
    <t>Unidades de arrastre tipo Caja seca refrigerada</t>
  </si>
  <si>
    <t>Unidades de arrastre tipo Remolque</t>
  </si>
  <si>
    <t>Unidades de arrastre tipo Refrigeradas</t>
  </si>
  <si>
    <t>Unidades de arrastre tipo Tanque</t>
  </si>
  <si>
    <t>Unidades de arrastre tipo Hazmat</t>
  </si>
  <si>
    <t>Otro tipo de unidades de arrastre</t>
  </si>
  <si>
    <t>Transporta Productos perecederos</t>
  </si>
  <si>
    <t>Transporta Alimentos no perecederos</t>
  </si>
  <si>
    <t>Transporta Químicos</t>
  </si>
  <si>
    <t>Transporta Materiales para construcción</t>
  </si>
  <si>
    <t>Transporta Materias primas para producción</t>
  </si>
  <si>
    <t>Transporta Granos</t>
  </si>
  <si>
    <t>Transporta Materias primas para ensamble</t>
  </si>
  <si>
    <t>Transporta Productos refrigerados</t>
  </si>
  <si>
    <t>Transporta Materiales peligrosos</t>
  </si>
  <si>
    <t>Transporta Otros</t>
  </si>
  <si>
    <t>Se contrata mediante Contrato firmado</t>
  </si>
  <si>
    <t>Se contrata De palabra</t>
  </si>
  <si>
    <t>Se contrata con empresa logística</t>
  </si>
  <si>
    <t>Se contrata con un intermediario</t>
  </si>
  <si>
    <t>El conductor fija la ruta</t>
  </si>
  <si>
    <t>Usted fija la ruta</t>
  </si>
  <si>
    <t>El cliente fija la ruta</t>
  </si>
  <si>
    <t>Ambos fijan la ruta</t>
  </si>
  <si>
    <t>No tiene personal para administración del negocio</t>
  </si>
  <si>
    <t>Sí tiene personal para administración del negocio</t>
  </si>
  <si>
    <t>Pagan a Contra entrega</t>
  </si>
  <si>
    <t>Pagan semanalmente</t>
  </si>
  <si>
    <t>Pagan por mes</t>
  </si>
  <si>
    <t>Pagan cada 30 días</t>
  </si>
  <si>
    <t>Pagan cada 60 días</t>
  </si>
  <si>
    <t>Pagan en Otro periodo</t>
  </si>
  <si>
    <t>Sí reserva para comprar o modernizar las unidades</t>
  </si>
  <si>
    <t>No reserva para comprar o modernizar las unidades</t>
  </si>
  <si>
    <t>Sí ahorra</t>
  </si>
  <si>
    <t>No ahorra</t>
  </si>
  <si>
    <t>¿Compras a plazos?</t>
  </si>
  <si>
    <t>Ha tenido crédito para Capital de trabajo</t>
  </si>
  <si>
    <t>Ha tenido crédito por Factoraje</t>
  </si>
  <si>
    <t>Ha tenido Crédito Automotriz</t>
  </si>
  <si>
    <t>Ha tenido crédito por Tarjeta de crédito</t>
  </si>
  <si>
    <t>Ha tenido crédito para Compras a plazos</t>
  </si>
  <si>
    <t>Ha tenido crédito mediante Empeño</t>
  </si>
  <si>
    <t>Ha tenido crédito por Un prestamista</t>
  </si>
  <si>
    <t>Ha tenido crédito por Otro medio</t>
  </si>
  <si>
    <t>Importancia del Plazo en un crédito</t>
  </si>
  <si>
    <t>Importancia del Enganche en un crédito</t>
  </si>
  <si>
    <t>Importancia del Pago mensual en un crédito</t>
  </si>
  <si>
    <t>Importancia de los Requisitos en un crédito</t>
  </si>
  <si>
    <t>Importancia de las Garantías en un crédito</t>
  </si>
  <si>
    <t>Importancia de la Tasa de interés en un crédito</t>
  </si>
  <si>
    <t>Se ha capacitado en Manejo eficiente</t>
  </si>
  <si>
    <t>Se ha capacitado en Finanzas</t>
  </si>
  <si>
    <t xml:space="preserve">Ha tenido otra capacitación </t>
  </si>
  <si>
    <t>¿Por qué no le interesa?</t>
  </si>
  <si>
    <t>Le interesan cursos de Manejo eficiente</t>
  </si>
  <si>
    <t>Le interesan cursos Administrativos y/o contables</t>
  </si>
  <si>
    <t>Le interesan cursos Legales básicos</t>
  </si>
  <si>
    <t>Le interesan cursos Fiscales</t>
  </si>
  <si>
    <t>Le interesan cursos de Mecánica</t>
  </si>
  <si>
    <t>Le interesan cursos Financieros</t>
  </si>
  <si>
    <t>Le interesan otros cursos</t>
  </si>
  <si>
    <t>No le interesan los cursos de capacitación</t>
  </si>
  <si>
    <t>No conoce el Programa de Transporte Limpio</t>
  </si>
  <si>
    <t>Sí conoce el Programa de Transporte Limpio</t>
  </si>
  <si>
    <t>No participa en el Programa de Transporte Limpio</t>
  </si>
  <si>
    <t>Sí participa en el Programa de Transporte Limpio</t>
  </si>
  <si>
    <t>Opinión del Programa de Transporte Limpio</t>
  </si>
  <si>
    <t>Sugerencias al Programa de Transporte Limpio</t>
  </si>
  <si>
    <t>No conoce el Programa de Chatarrización</t>
  </si>
  <si>
    <t>Sí conoce el Programa de Chatarrización</t>
  </si>
  <si>
    <t>No participa en el Programa de Chatarrización</t>
  </si>
  <si>
    <t>Sí participa en el Programa de Chatarrización</t>
  </si>
  <si>
    <t>Opinión del programa de Chatarrización</t>
  </si>
  <si>
    <t>Sugerencias al Programa de Chatarrización</t>
  </si>
  <si>
    <t>No conoce el Programa de Modernización</t>
  </si>
  <si>
    <t>Sí conoce el Programa de Modernización</t>
  </si>
  <si>
    <t>No participa en el Programa de Modernización</t>
  </si>
  <si>
    <t>Sí participa en el programa de Modernización</t>
  </si>
  <si>
    <t>Opinión del Programa de Modernización</t>
  </si>
  <si>
    <t>Sugerencias al Programa de Modernización</t>
  </si>
  <si>
    <t>Con el Cliente</t>
  </si>
  <si>
    <t>Se contrata con el cliente</t>
  </si>
  <si>
    <t>Cantidad de viajes de cada 10, con clientes regulares</t>
  </si>
  <si>
    <t>¿Reserva una parte de sus ingresos para ahorro, para otro tipo de gastos?</t>
  </si>
  <si>
    <t>¿Auto financiamiento de una Unidad?</t>
  </si>
  <si>
    <t>¿Contrataría Usted créditos para:</t>
  </si>
  <si>
    <t>¿Qué cursos de capacitación ha tomado usted y/o sus conductores?</t>
  </si>
  <si>
    <t>¿Por Qué?</t>
  </si>
  <si>
    <t>Razón por la que no participa en el programa</t>
  </si>
  <si>
    <t>¿Por qué no participa en el Programa de Chatarrización?</t>
  </si>
  <si>
    <t>¿Por qué no participa en el Programa de Modernización?</t>
  </si>
  <si>
    <t>Compró la unidad nueva</t>
  </si>
  <si>
    <t>Compró la unidad seminueva 1- 5 años</t>
  </si>
  <si>
    <t>Compró la unidad seminueva de más de 5 años</t>
  </si>
  <si>
    <t>Cantidad de tanques de combustible de la unidad</t>
  </si>
  <si>
    <t>¿Cuántos km recorre con los tanques llenos?</t>
  </si>
  <si>
    <t>Km que recorre con tanques llenos</t>
  </si>
  <si>
    <t>Usa catalizadores</t>
  </si>
  <si>
    <t>Frecuencia con la que afina el motor</t>
  </si>
  <si>
    <t>Frecuencia con la que cambia filtro de partículas</t>
  </si>
  <si>
    <t>Cambia filtro de partículas</t>
  </si>
  <si>
    <t>Observaciones del encuestador</t>
  </si>
  <si>
    <t>Años de experiencia en vehículos de carga</t>
  </si>
  <si>
    <t>Importancia del Tiempo en la ruta</t>
  </si>
  <si>
    <t>Importancia de la Cuota en la ruta</t>
  </si>
  <si>
    <t>Importancia de la Distancia en la ruta</t>
  </si>
  <si>
    <t>Importancia de otros factores en la ruta</t>
  </si>
  <si>
    <t>Adquiere unidades cuando están viejas</t>
  </si>
  <si>
    <t>Adquiere unidades por Acceso a crédito</t>
  </si>
  <si>
    <t>Adquiere unidades cuando están en Oferta</t>
  </si>
  <si>
    <t>Adquiere unidades por Estímulo fiscal</t>
  </si>
  <si>
    <t>Adquiere unidades cuando el cliente lo pide</t>
  </si>
  <si>
    <t>Adquiere unidades cuando tiene Capital disponible</t>
  </si>
  <si>
    <t>Adquiere unidades por otras razones</t>
  </si>
  <si>
    <t>Ha tenido crédito para Auto financiamiento de una unidad</t>
  </si>
  <si>
    <t>Ha tenido crédito de Un amigo o familiar</t>
  </si>
  <si>
    <t>Contrataría créditos para compra de Unidades nuevas</t>
  </si>
  <si>
    <t>Contrataría créditos para compra de Unidades usadas</t>
  </si>
  <si>
    <t>Contrataría créditos para Mejora de unidades</t>
  </si>
  <si>
    <t>Contrataría créditos para Operación del negocio</t>
  </si>
  <si>
    <t>Se ha capacitado con cursos de Administración y/o contables</t>
  </si>
  <si>
    <t>Se ha capacitado en aspectos Legales básicos</t>
  </si>
  <si>
    <t>Se ha capacitado en aspectos Fiscales</t>
  </si>
  <si>
    <t>Se ha capacitado en Mecánica automotriz</t>
  </si>
  <si>
    <t>Unidad obtenida por herencia</t>
  </si>
  <si>
    <t>P-001</t>
  </si>
  <si>
    <t>P-002</t>
  </si>
  <si>
    <t>P-003</t>
  </si>
  <si>
    <t>P-005</t>
  </si>
  <si>
    <t>P-006</t>
  </si>
  <si>
    <t>P-007</t>
  </si>
  <si>
    <t>P-008</t>
  </si>
  <si>
    <t>P-009</t>
  </si>
  <si>
    <t>P-011</t>
  </si>
  <si>
    <t>P-012</t>
  </si>
  <si>
    <t>P-013</t>
  </si>
  <si>
    <t>P-014</t>
  </si>
  <si>
    <t>P-015</t>
  </si>
  <si>
    <t>P-016</t>
  </si>
  <si>
    <t>P-017</t>
  </si>
  <si>
    <t>P-018</t>
  </si>
  <si>
    <t>P-020</t>
  </si>
  <si>
    <t>P-021</t>
  </si>
  <si>
    <t>P-022</t>
  </si>
  <si>
    <t>P-023</t>
  </si>
  <si>
    <t>X</t>
  </si>
  <si>
    <t>M</t>
  </si>
  <si>
    <t>SECUNDARIA</t>
  </si>
  <si>
    <t>SALINA CRUZ, OAX.</t>
  </si>
  <si>
    <t>NINGUNO</t>
  </si>
  <si>
    <t>DARLO A CONOCER</t>
  </si>
  <si>
    <t>LO SOLICITO EL CLIENTE</t>
  </si>
  <si>
    <t>BAJOS ESTÍMULOS</t>
  </si>
  <si>
    <t>MEJORAR CONDICIONES Y FACILIDADES</t>
  </si>
  <si>
    <t>T3</t>
  </si>
  <si>
    <t>KENWORTH</t>
  </si>
  <si>
    <t>Kms recorridos por MES</t>
  </si>
  <si>
    <t>D</t>
  </si>
  <si>
    <t>Realiza Cambio de frenos</t>
  </si>
  <si>
    <t>Frecuencia de cambio de frenos</t>
  </si>
  <si>
    <t>Cambia llantas</t>
  </si>
  <si>
    <t>Frecuencia de cambio de llantas</t>
  </si>
  <si>
    <t>OAXACA, OAX.</t>
  </si>
  <si>
    <t>SEGURIDAD</t>
  </si>
  <si>
    <t>PERDIDA DE TIEMPO</t>
  </si>
  <si>
    <t>C2</t>
  </si>
  <si>
    <t>INTERNATIONAL</t>
  </si>
  <si>
    <t>Gasto mensual en combustible LITROS</t>
  </si>
  <si>
    <t>C3</t>
  </si>
  <si>
    <t>NO SABE</t>
  </si>
  <si>
    <t>PRIMARIA</t>
  </si>
  <si>
    <t>NO CONVIENE</t>
  </si>
  <si>
    <t>BACHILLERATO</t>
  </si>
  <si>
    <t>QUERÉTARO, QRO.</t>
  </si>
  <si>
    <t>PREPARATORIA</t>
  </si>
  <si>
    <t>ZINACATEPEC, PUE.</t>
  </si>
  <si>
    <t>T2</t>
  </si>
  <si>
    <t>FORD</t>
  </si>
  <si>
    <t>Gastos en operador POR AÑO</t>
  </si>
  <si>
    <t>Gastos en ayudantes POR AÑO</t>
  </si>
  <si>
    <t>Gastos en llantas POR AÑO</t>
  </si>
  <si>
    <t>Gastos en reparaciones POR AÑO</t>
  </si>
  <si>
    <t>Gastos en seguros POR AÑO</t>
  </si>
  <si>
    <t>Gastos en accidentes POR AÑO</t>
  </si>
  <si>
    <t>KODIAK</t>
  </si>
  <si>
    <t>UNIDADES PARA USO PROPIO DE RANCHO PARTICULAR</t>
  </si>
  <si>
    <t>ETLA, OAX.</t>
  </si>
  <si>
    <t>GMC</t>
  </si>
  <si>
    <t>G</t>
  </si>
  <si>
    <t>SAN JACINTO AMILPAS, OAX</t>
  </si>
  <si>
    <t>SE NECESITA CAPITAL</t>
  </si>
  <si>
    <t>DINA</t>
  </si>
  <si>
    <t>NO SIRVE EL ODÓMETRO DE LA UNIDAD 1982</t>
  </si>
  <si>
    <t>F</t>
  </si>
  <si>
    <t>MANEJA OCASIONALMENTE, CUNDO FALTA UN OPERADOR. LOS CRÉDITOS LOS CONTRTARÍA SI HAY BUENAS CONDICIONES DE PAGO</t>
  </si>
  <si>
    <t>PRIMARIA NO TERMINADA</t>
  </si>
  <si>
    <t>NO FUNCIONA</t>
  </si>
  <si>
    <t>PUEBLA, PUE</t>
  </si>
  <si>
    <t>NAVISTAR</t>
  </si>
  <si>
    <t>NO ESTABA SEGURO DE LA CAPACIDAD DE TANQUE. TUVO ACCIDENTE EL AÑO PASADO</t>
  </si>
  <si>
    <t>CARRERA TRUNCA 3 AÑOS DISTRIBUYE ABARROTES EN OAXACA Y POBLADOS +/- CERCANOS ALGUNOS CONDUCTORES TIENE CURSOS DE MECANICA</t>
  </si>
  <si>
    <t>NISSAN</t>
  </si>
  <si>
    <t>NO USA</t>
  </si>
  <si>
    <t>CÓRDOBA, VER.</t>
  </si>
  <si>
    <t>NO HAY INCENTIVOS</t>
  </si>
  <si>
    <t>MALA</t>
  </si>
  <si>
    <t>DAR INCENTIVOS ECONÓMICOS</t>
  </si>
  <si>
    <t>P-025</t>
  </si>
  <si>
    <t>P-026</t>
  </si>
  <si>
    <t>P-028</t>
  </si>
  <si>
    <t>P-029</t>
  </si>
  <si>
    <t>P-040</t>
  </si>
  <si>
    <t>DISTRIBUCIÓN DE GAS LP</t>
  </si>
  <si>
    <t>NO CONTESTA</t>
  </si>
  <si>
    <t>NO LO NECESITA</t>
  </si>
  <si>
    <t>BAJO INCENTIVO</t>
  </si>
  <si>
    <t>LICENCIATURA</t>
  </si>
  <si>
    <t>Realiza cambio de aceite</t>
  </si>
  <si>
    <t>Frecuencia de cambio de aceite</t>
  </si>
  <si>
    <t>Zona</t>
  </si>
  <si>
    <t>P-041</t>
  </si>
  <si>
    <t>FALTA DE TIEMPO</t>
  </si>
  <si>
    <t>NO LE INTERESA</t>
  </si>
  <si>
    <t>NO LE CONVIENE</t>
  </si>
  <si>
    <t>CUMMINS</t>
  </si>
  <si>
    <t>P-042</t>
  </si>
  <si>
    <t>NO HA CAMBIADO</t>
  </si>
  <si>
    <t>PAGAN POCO</t>
  </si>
  <si>
    <t>DAR MEJORES INCENTIVOS</t>
  </si>
  <si>
    <t>NO ES COSTEABLE</t>
  </si>
  <si>
    <t>P-043</t>
  </si>
  <si>
    <t>T3-S3</t>
  </si>
  <si>
    <t>SON NUEVAS</t>
  </si>
  <si>
    <t>P-044</t>
  </si>
  <si>
    <t>P-045</t>
  </si>
  <si>
    <t>GENERAL</t>
  </si>
  <si>
    <t>ARRENDAMIENTO</t>
  </si>
  <si>
    <t>UNIDADES NUEVAS</t>
  </si>
  <si>
    <t>T3-S2</t>
  </si>
  <si>
    <t>P-046</t>
  </si>
  <si>
    <t>MAQUINARIA</t>
  </si>
  <si>
    <t>PROTECCION CIVIL</t>
  </si>
  <si>
    <t>NO INTERESA</t>
  </si>
  <si>
    <t>NO HAY INFORMACION</t>
  </si>
  <si>
    <t>EVITA CONTAMINAR</t>
  </si>
  <si>
    <t>ES BUEN PROGRAMA</t>
  </si>
  <si>
    <t>CHEVROLET</t>
  </si>
  <si>
    <t>GAS</t>
  </si>
  <si>
    <t>P-047</t>
  </si>
  <si>
    <t>ES BUENO</t>
  </si>
  <si>
    <t>FACILIDAD DE CREDITO</t>
  </si>
  <si>
    <t>P-048</t>
  </si>
  <si>
    <t>BUEN PROGRAMA</t>
  </si>
  <si>
    <t>P-049</t>
  </si>
  <si>
    <t>DAN MUY POCO</t>
  </si>
  <si>
    <t>MEJORES CREDITOS</t>
  </si>
  <si>
    <t>P-050</t>
  </si>
  <si>
    <t>PAQUETERIA</t>
  </si>
  <si>
    <t>P-051</t>
  </si>
  <si>
    <t>P-052</t>
  </si>
  <si>
    <t>FERTILIZANTE</t>
  </si>
  <si>
    <t>VOLVO</t>
  </si>
  <si>
    <t>P-053</t>
  </si>
  <si>
    <t>P-054</t>
  </si>
  <si>
    <t>P-055</t>
  </si>
  <si>
    <t>FALTA INFORMACION</t>
  </si>
  <si>
    <t>MEJORES SOLUCIONES</t>
  </si>
  <si>
    <t>MAS OPORTUNIDADES</t>
  </si>
  <si>
    <t>CHRYSLER</t>
  </si>
  <si>
    <t>P-056</t>
  </si>
  <si>
    <t>DEBE MEJORAR</t>
  </si>
  <si>
    <t>P-057</t>
  </si>
  <si>
    <t>P-058</t>
  </si>
  <si>
    <t>FREIGHTLINER</t>
  </si>
  <si>
    <t>NO ES BUENO</t>
  </si>
  <si>
    <t>P-066</t>
  </si>
  <si>
    <t>P-068</t>
  </si>
  <si>
    <t>P-069</t>
  </si>
  <si>
    <t>P-070</t>
  </si>
  <si>
    <t>P-071</t>
  </si>
  <si>
    <t>P-072</t>
  </si>
  <si>
    <t>P-059</t>
  </si>
  <si>
    <t>P-060</t>
  </si>
  <si>
    <t>P-061</t>
  </si>
  <si>
    <t>P-062</t>
  </si>
  <si>
    <t>P-063</t>
  </si>
  <si>
    <t>P-064</t>
  </si>
  <si>
    <t>P-065</t>
  </si>
  <si>
    <t>P-067</t>
  </si>
  <si>
    <t>ESTIMULOS FISCALES</t>
  </si>
  <si>
    <t>MUCHOS REQUISITOS</t>
  </si>
  <si>
    <t>DAR MEJORES CREDITOS</t>
  </si>
  <si>
    <t>DETROIT</t>
  </si>
  <si>
    <t>DODGE</t>
  </si>
  <si>
    <t>CATERPILLAR</t>
  </si>
  <si>
    <t>NO HA SIDO NECESARIO</t>
  </si>
  <si>
    <t>PERCANCE</t>
  </si>
  <si>
    <t>VARIABLE</t>
  </si>
  <si>
    <t>P-073</t>
  </si>
  <si>
    <t>P-074</t>
  </si>
  <si>
    <t>SI FUNCIONA</t>
  </si>
  <si>
    <t>P-075</t>
  </si>
  <si>
    <t>PRIMEROS AUXILIOS</t>
  </si>
  <si>
    <t>NO ES NECESARIO</t>
  </si>
  <si>
    <t>P-076</t>
  </si>
  <si>
    <t>P-077</t>
  </si>
  <si>
    <t>ES UN ROBO</t>
  </si>
  <si>
    <t>P-078</t>
  </si>
  <si>
    <t>DEBERIAN DAR MAS</t>
  </si>
  <si>
    <t>NO SIRVE</t>
  </si>
  <si>
    <t>P-079</t>
  </si>
  <si>
    <t>DEBERIA SER OBLIGATORIO</t>
  </si>
  <si>
    <t>DAR EN ESPECIE Y NO UN PAPEL</t>
  </si>
  <si>
    <t>P-080</t>
  </si>
  <si>
    <t>MEJORES INCENTIVOS</t>
  </si>
  <si>
    <t>NUEVAS</t>
  </si>
  <si>
    <t>P-081</t>
  </si>
  <si>
    <t>P-082</t>
  </si>
  <si>
    <t>P-083</t>
  </si>
  <si>
    <t>P-084</t>
  </si>
  <si>
    <t>P-085</t>
  </si>
  <si>
    <t>UNIDADES SEMINUEVAS</t>
  </si>
  <si>
    <t>P-086</t>
  </si>
  <si>
    <t>P-087</t>
  </si>
  <si>
    <t>P-088</t>
  </si>
  <si>
    <t>P-089</t>
  </si>
  <si>
    <t>P-090</t>
  </si>
  <si>
    <t>P-091</t>
  </si>
  <si>
    <t>P-092</t>
  </si>
  <si>
    <t>P-093</t>
  </si>
  <si>
    <t>P-094</t>
  </si>
  <si>
    <t>P-095</t>
  </si>
  <si>
    <t>P-096</t>
  </si>
  <si>
    <t>LA GENTE NECESITA SUS UNIDADES, NO PAPEL</t>
  </si>
  <si>
    <t>P-097</t>
  </si>
  <si>
    <t>P-098</t>
  </si>
  <si>
    <t>P-099</t>
  </si>
  <si>
    <t>P-100</t>
  </si>
  <si>
    <t>P-101</t>
  </si>
  <si>
    <t>P-102</t>
  </si>
  <si>
    <t>P-103</t>
  </si>
  <si>
    <t>P-104</t>
  </si>
  <si>
    <t>P-105</t>
  </si>
  <si>
    <t>P-106</t>
  </si>
  <si>
    <t>P-107</t>
  </si>
  <si>
    <t>P-108</t>
  </si>
  <si>
    <t>P-109</t>
  </si>
  <si>
    <t>P-110</t>
  </si>
  <si>
    <t>P-111</t>
  </si>
  <si>
    <t>P-112</t>
  </si>
  <si>
    <t>P-113</t>
  </si>
  <si>
    <t>P-114</t>
  </si>
  <si>
    <t>P-115</t>
  </si>
  <si>
    <t>P-116</t>
  </si>
  <si>
    <t>P-117</t>
  </si>
  <si>
    <t>P-118</t>
  </si>
  <si>
    <t>P-119</t>
  </si>
  <si>
    <t>P-120</t>
  </si>
  <si>
    <t>P-121</t>
  </si>
  <si>
    <t>P-122</t>
  </si>
  <si>
    <t>P-123</t>
  </si>
  <si>
    <t>P-124</t>
  </si>
  <si>
    <t>P-125</t>
  </si>
  <si>
    <t>P-126</t>
  </si>
  <si>
    <t>P-127</t>
  </si>
  <si>
    <t>P-128</t>
  </si>
  <si>
    <t>P-129</t>
  </si>
  <si>
    <t>P-130</t>
  </si>
  <si>
    <t>P-131</t>
  </si>
  <si>
    <t>P-132</t>
  </si>
  <si>
    <t>P-133</t>
  </si>
  <si>
    <t>P-134</t>
  </si>
  <si>
    <t>P-135</t>
  </si>
  <si>
    <t>P-141</t>
  </si>
  <si>
    <t>P-142</t>
  </si>
  <si>
    <t>MAYOR ESTIMULO Y APOYO</t>
  </si>
  <si>
    <t>INSUFICIENTE</t>
  </si>
  <si>
    <t>MAS ACCESIBLE PARA TODOS</t>
  </si>
  <si>
    <t>T3 S3</t>
  </si>
  <si>
    <t>T3 S2</t>
  </si>
  <si>
    <t>AGUA</t>
  </si>
  <si>
    <t>NO SE NECESITA</t>
  </si>
  <si>
    <t>ELECTRODOMESTICOS</t>
  </si>
  <si>
    <t>800 LTS</t>
  </si>
  <si>
    <t>ABASOLO, GTO.</t>
  </si>
  <si>
    <t>APASEO EL ALTO, GTO.</t>
  </si>
  <si>
    <t>CELAYA, GTO.</t>
  </si>
  <si>
    <t>DEBERIA AMPLIARSE</t>
  </si>
  <si>
    <t>LA AYUDA ES POCA PERO LOS PAGOS MUY ALTOS</t>
  </si>
  <si>
    <t>CORTAZAR, GTO.</t>
  </si>
  <si>
    <t>SALAMANCA, GTO.</t>
  </si>
  <si>
    <t>ISX</t>
  </si>
  <si>
    <t>C35</t>
  </si>
  <si>
    <t>N14</t>
  </si>
  <si>
    <t>C15</t>
  </si>
  <si>
    <t>IRAPUATO, GTO.</t>
  </si>
  <si>
    <t>CREDITO HIPOTECARIO</t>
  </si>
  <si>
    <t>3000 LTS</t>
  </si>
  <si>
    <t>PERKINS</t>
  </si>
  <si>
    <t>APOYO EN LOS PAGOS NO SOLO AL PRINCIPIO</t>
  </si>
  <si>
    <t>M11</t>
  </si>
  <si>
    <t>SIN ESTUDIOS</t>
  </si>
  <si>
    <t>S60</t>
  </si>
  <si>
    <t>PUEBLO NUEVO, GTO.</t>
  </si>
  <si>
    <t>LOS CREDITOS NO SON ATRACTIVOS</t>
  </si>
  <si>
    <t>P-143</t>
  </si>
  <si>
    <t>P-144</t>
  </si>
  <si>
    <t>QUE SEA EN ESPECIE/ EFECTIVO</t>
  </si>
  <si>
    <t>P-145</t>
  </si>
  <si>
    <t>NO ES CIERTO SU PROGRAMA</t>
  </si>
  <si>
    <t>QUE SEA HONESTO</t>
  </si>
  <si>
    <t>P-146</t>
  </si>
  <si>
    <t>P-147</t>
  </si>
  <si>
    <t>P-148</t>
  </si>
  <si>
    <t>P-149</t>
  </si>
  <si>
    <t>MAS PORCENTAJE</t>
  </si>
  <si>
    <t>P-150</t>
  </si>
  <si>
    <t>QUE DEN LO JUSTO</t>
  </si>
  <si>
    <t>P-151</t>
  </si>
  <si>
    <t>MEJORES OPORTUNIDADES</t>
  </si>
  <si>
    <t>P-152</t>
  </si>
  <si>
    <t>TODOS DEBERIAN CUMPLIR</t>
  </si>
  <si>
    <t>TIENEN QUE DAR MAS PORCENTAJE</t>
  </si>
  <si>
    <t>P-153</t>
  </si>
  <si>
    <t>NO ES JUSTO</t>
  </si>
  <si>
    <t>QUE SEA HONESTO Y PRACTICO</t>
  </si>
  <si>
    <t>P-154</t>
  </si>
  <si>
    <t>TENDRIA QUE SER OBLIGATORIO PARA TODOS</t>
  </si>
  <si>
    <t>T2 S1</t>
  </si>
  <si>
    <t>ARRENDAMINETO</t>
  </si>
  <si>
    <t>ES CARO</t>
  </si>
  <si>
    <t>P-155</t>
  </si>
  <si>
    <t>P-156</t>
  </si>
  <si>
    <t>UNA MEJOR PROPUESTA</t>
  </si>
  <si>
    <t>P-157</t>
  </si>
  <si>
    <t>UNIDADES EN BUEN ESTADO</t>
  </si>
  <si>
    <t>MEJORES CREDITOS/ MAS FLEXIBLES</t>
  </si>
  <si>
    <t>UNIDADES EN BUENAS CONDICIONES</t>
  </si>
  <si>
    <t>ESTA BIEN, PERO NO TODOS ESTAN DE ACUERDO</t>
  </si>
  <si>
    <t>P-158</t>
  </si>
  <si>
    <t>P-159</t>
  </si>
  <si>
    <t>QUE SEA OBLIGATORIO</t>
  </si>
  <si>
    <t>DAR MAS PORCENTAJE</t>
  </si>
  <si>
    <t>ES BUENA IDEA</t>
  </si>
  <si>
    <t>P-160</t>
  </si>
  <si>
    <t>T2 S3</t>
  </si>
  <si>
    <t>T2 S2</t>
  </si>
  <si>
    <t>P-161</t>
  </si>
  <si>
    <t>P-162</t>
  </si>
  <si>
    <t>P-163</t>
  </si>
  <si>
    <t>P-164</t>
  </si>
  <si>
    <t>P-165</t>
  </si>
  <si>
    <t>P-166</t>
  </si>
  <si>
    <t>P-167</t>
  </si>
  <si>
    <t>P-168</t>
  </si>
  <si>
    <t>P-169</t>
  </si>
  <si>
    <t>P-170</t>
  </si>
  <si>
    <t>P-171</t>
  </si>
  <si>
    <t>P-172</t>
  </si>
  <si>
    <t>P-173</t>
  </si>
  <si>
    <t>P-174</t>
  </si>
  <si>
    <t>P-175</t>
  </si>
  <si>
    <t>P-176</t>
  </si>
  <si>
    <t>P-177</t>
  </si>
  <si>
    <t>P-178</t>
  </si>
  <si>
    <t>P-179</t>
  </si>
  <si>
    <t>P-180</t>
  </si>
  <si>
    <t>P-181</t>
  </si>
  <si>
    <t>P-182</t>
  </si>
  <si>
    <t>P-183</t>
  </si>
  <si>
    <t>P-184</t>
  </si>
  <si>
    <t>P-185</t>
  </si>
  <si>
    <t>P-186</t>
  </si>
  <si>
    <t>P-187</t>
  </si>
  <si>
    <t>P-188</t>
  </si>
  <si>
    <t>P-189</t>
  </si>
  <si>
    <t>P-190</t>
  </si>
  <si>
    <t>P-191</t>
  </si>
  <si>
    <t>P-192</t>
  </si>
  <si>
    <t>P-193</t>
  </si>
  <si>
    <t>P-194</t>
  </si>
  <si>
    <t>P-195</t>
  </si>
  <si>
    <t>P-196</t>
  </si>
  <si>
    <t>P-197</t>
  </si>
  <si>
    <t>P-198</t>
  </si>
  <si>
    <t>P-199</t>
  </si>
  <si>
    <t>P-200</t>
  </si>
  <si>
    <t>P-201</t>
  </si>
  <si>
    <t>P-202</t>
  </si>
  <si>
    <t>P-203</t>
  </si>
  <si>
    <t>P-204</t>
  </si>
  <si>
    <t>P-205</t>
  </si>
  <si>
    <t>P-206</t>
  </si>
  <si>
    <t>P-207</t>
  </si>
  <si>
    <t>P-208</t>
  </si>
  <si>
    <t>P-209</t>
  </si>
  <si>
    <t>P-210</t>
  </si>
  <si>
    <t>CAMBIO DE UNIDAD</t>
  </si>
  <si>
    <t>MAS APOYO, MENOS CARO EL CREDITO Y MAS RAPIDO</t>
  </si>
  <si>
    <t>MAS APOYO PARA RENOVAR SUS UNIDADES</t>
  </si>
  <si>
    <t>QUE SEPAN LO QUE REALMENTE SE NECESITA</t>
  </si>
  <si>
    <t>LOS REQUISITOS SON COMPLICADOS Y NO SE PUEDEN CUMPLIR</t>
  </si>
  <si>
    <t>LES FALTA</t>
  </si>
  <si>
    <t>MAS ACCESO AL PEQUEÑO TRANSPORTISTA</t>
  </si>
  <si>
    <t>C 8500</t>
  </si>
  <si>
    <t>ISM</t>
  </si>
  <si>
    <t>C350</t>
  </si>
  <si>
    <t>MERCEDES BENZ</t>
  </si>
  <si>
    <t>EL PROVEEDOR TIENE FINANCIERA Y HAN TRABAJADO BIEN</t>
  </si>
  <si>
    <t>GANADO EN PIE</t>
  </si>
  <si>
    <t>T3 S2 R4</t>
  </si>
  <si>
    <t>C 350</t>
  </si>
  <si>
    <t>D-466</t>
  </si>
  <si>
    <t xml:space="preserve"> </t>
  </si>
  <si>
    <t>NO HAY APOYO AL SECTOR PEQUEÑO</t>
  </si>
  <si>
    <t>MAYOR APERTURA A UNA REALIDAD DEL PEQUEÑO TRANSPORTISTA</t>
  </si>
  <si>
    <t>P-211</t>
  </si>
  <si>
    <t>NO SIRVEN</t>
  </si>
  <si>
    <t>DT 466</t>
  </si>
  <si>
    <t>CAT C12</t>
  </si>
  <si>
    <t>ISB</t>
  </si>
  <si>
    <t>C 7500</t>
  </si>
  <si>
    <t>F 8500</t>
  </si>
  <si>
    <t>C 3126</t>
  </si>
  <si>
    <t>F 350</t>
  </si>
  <si>
    <t>N 14</t>
  </si>
  <si>
    <t>C 3406</t>
  </si>
  <si>
    <t>F 8600</t>
  </si>
  <si>
    <t>OTROS</t>
  </si>
  <si>
    <t>FLOTA</t>
  </si>
  <si>
    <t>HOMBRE - CAMIÓN</t>
  </si>
  <si>
    <t>PEQUEÑO TRANSPORTISTA</t>
  </si>
  <si>
    <t>TOTAL</t>
  </si>
  <si>
    <t>EDAD</t>
  </si>
  <si>
    <t>CANTIDAD</t>
  </si>
  <si>
    <t>PORCENTAJE</t>
  </si>
  <si>
    <t>GÉNERO</t>
  </si>
  <si>
    <t>MASCULINO</t>
  </si>
  <si>
    <t>FEMENINO</t>
  </si>
  <si>
    <t>ESCOLARIDAD</t>
  </si>
  <si>
    <t>PREPARATORIA / BACHILLERATO</t>
  </si>
  <si>
    <t>POSGRADO</t>
  </si>
  <si>
    <t>ÁLVARO OBREGÓN, D.F.</t>
  </si>
  <si>
    <t>AZCAPOTZALCO, D.F.</t>
  </si>
  <si>
    <t>BENITO JUÁREZ, D.F.</t>
  </si>
  <si>
    <t>CHALCO, EDO. MEX.</t>
  </si>
  <si>
    <t>CHICOLOAPAN, EDO. MEX.</t>
  </si>
  <si>
    <t>CHIMALHUACÁN, EDO. MEX.</t>
  </si>
  <si>
    <t>COACALCO, EDO. MEX</t>
  </si>
  <si>
    <t>CORREGIDORA, QRO.</t>
  </si>
  <si>
    <t>COYOACÁN, D.F.</t>
  </si>
  <si>
    <t>CUAUHTÉMOC, D.F.</t>
  </si>
  <si>
    <t>CUAUTITLÁN, EDO. MEX.</t>
  </si>
  <si>
    <t>CUERNAVACA, MOR.</t>
  </si>
  <si>
    <t>ECATEPEC, EDO. MEX.</t>
  </si>
  <si>
    <t>GUSTAVO A. MADERO, D.F.</t>
  </si>
  <si>
    <t>HUIXQUILUCAN, EDO. MEX.</t>
  </si>
  <si>
    <t>IXTAPAN, EDO. MEX</t>
  </si>
  <si>
    <t>IZTAPALAPA, D.F.</t>
  </si>
  <si>
    <t>LOS REYES LA PAZ, EDO. DE MEX.</t>
  </si>
  <si>
    <t>MAGDALENA CONTRERAS, D.F.</t>
  </si>
  <si>
    <t>MIGUEL HIDALGO, D.F.</t>
  </si>
  <si>
    <t>MILPA ALTA, D.F.</t>
  </si>
  <si>
    <t>MOCHIS, SIN.</t>
  </si>
  <si>
    <t>NAUCALPAN, EDO. MEX.</t>
  </si>
  <si>
    <t>NEZAHUALCÓYOTL, EDO. MEX.</t>
  </si>
  <si>
    <t>PACHUCA, HGO.</t>
  </si>
  <si>
    <t>ROMITA, GTO.</t>
  </si>
  <si>
    <t>SAN JUAN DEL RÍO, QRO.</t>
  </si>
  <si>
    <t>TLÁHUAC, D.F.</t>
  </si>
  <si>
    <t>TLALNEPANTLA, EDO. MEX.</t>
  </si>
  <si>
    <t>TLALPAN, D.F.</t>
  </si>
  <si>
    <t>TOLUCA, EDO. MEX.</t>
  </si>
  <si>
    <t>TULTEPEC, EDO. MEX.</t>
  </si>
  <si>
    <t>TULTITLÁN, EDO. MEX.</t>
  </si>
  <si>
    <t>V. CARRANZA, D.F.</t>
  </si>
  <si>
    <t>VALLE DE SANTIAGO, GTO.</t>
  </si>
  <si>
    <t>VERACRUZ, VER.</t>
  </si>
  <si>
    <t>VILLAGRÁN, GTO.</t>
  </si>
  <si>
    <t>XOCHIMILCO, D.F.</t>
  </si>
  <si>
    <t>ZUMPANGO, EDO. MEX</t>
  </si>
  <si>
    <t>GUASAVE, SIN.</t>
  </si>
  <si>
    <t>TOPOLOBAMPO, SIN.</t>
  </si>
  <si>
    <t>ATOYAC, GRO.</t>
  </si>
  <si>
    <t>HUAMANTLA, TLAX.</t>
  </si>
  <si>
    <t>VILLA DE LAS FLORES EDO. MEX.</t>
  </si>
  <si>
    <t>TEQUISQUIAPAN, QRO.</t>
  </si>
  <si>
    <t>VALLE DE BRAVO, EDO. MEX.</t>
  </si>
  <si>
    <t>SALVATIERRA, GTO.</t>
  </si>
  <si>
    <t>JERÉCUARO, GTO.</t>
  </si>
  <si>
    <t>ACÁMBARO, GTO.</t>
  </si>
  <si>
    <t>JUVENTINO ROSAS, GTO.</t>
  </si>
  <si>
    <t>MORELIA, MICH.</t>
  </si>
  <si>
    <t>PÉNJAMO, GTO.</t>
  </si>
  <si>
    <t>VICTORIA, GTO.</t>
  </si>
  <si>
    <t>TECÁMAC, EDO. MEX.</t>
  </si>
  <si>
    <t>CUAUTLALCINGO, PUE.</t>
  </si>
  <si>
    <t>SANTA MARTA ACATITLA, EDO. MEX.</t>
  </si>
  <si>
    <t>CADEREYTA, QRO.</t>
  </si>
  <si>
    <t>ISLA, OAX.</t>
  </si>
  <si>
    <t>PEDRO ESCOBEDO, QRO.</t>
  </si>
  <si>
    <t>LEON, GTO.</t>
  </si>
  <si>
    <t>SILAO, GTO.</t>
  </si>
  <si>
    <t>ACAYUCAN, VER.</t>
  </si>
  <si>
    <t>JEREZ, ZAC.</t>
  </si>
  <si>
    <t>URUAPAN, MICH.</t>
  </si>
  <si>
    <t>ACAPONETA, NAY.</t>
  </si>
  <si>
    <t>APODACA, N.L.</t>
  </si>
  <si>
    <t>TORREÓN, COAH.</t>
  </si>
  <si>
    <t>SOLEDAD DE GRACIANO SANCHEZ, S.L.P.</t>
  </si>
  <si>
    <t>ACAJETE, PUE.</t>
  </si>
  <si>
    <t>TEMIXCO, MOR.</t>
  </si>
  <si>
    <t>ZAPOPAN, JAL.</t>
  </si>
  <si>
    <t>SAN LUIS DE LA PAZ, GTO.</t>
  </si>
  <si>
    <t>HUIMILPAN, QRO.</t>
  </si>
  <si>
    <t>APASEO EL GRANDE, GTO.</t>
  </si>
  <si>
    <t>CIUDAD GUZMÁN, JAL.</t>
  </si>
  <si>
    <t>HUETAMO, MICH.</t>
  </si>
  <si>
    <t>FRESNILLO, ZAC.</t>
  </si>
  <si>
    <t>ARMERÍA, COL.</t>
  </si>
  <si>
    <t>ZACUALPAN, EDO. MEX.</t>
  </si>
  <si>
    <t>MÉRIDA, YUC.</t>
  </si>
  <si>
    <t>IXTAPALUCA, EDO. MEX.</t>
  </si>
  <si>
    <t>AÑOS MANEJANDO</t>
  </si>
  <si>
    <t>0 A 5</t>
  </si>
  <si>
    <t>6 A 10</t>
  </si>
  <si>
    <t>11 A 15</t>
  </si>
  <si>
    <t>16 A 20</t>
  </si>
  <si>
    <t>21 A 25</t>
  </si>
  <si>
    <t>&gt;25</t>
  </si>
  <si>
    <t>CANTIDAD DE UNIDADES</t>
  </si>
  <si>
    <t>UNA UNIDAD</t>
  </si>
  <si>
    <t>DOS UNIDADES</t>
  </si>
  <si>
    <t>ENTRE 3 Y CINCO UNIDADES</t>
  </si>
  <si>
    <t>ENTRE 6 Y 30 UNIDADES</t>
  </si>
  <si>
    <t>Unidades de arrastre volteo</t>
  </si>
  <si>
    <t>Unidades de arrastre Plataforma</t>
  </si>
  <si>
    <t>Unidades de arrastre Góndola</t>
  </si>
  <si>
    <t>Unidades de arrastre Jaula</t>
  </si>
  <si>
    <t>Unidades de arrastre Tolva</t>
  </si>
  <si>
    <t>Volteo</t>
  </si>
  <si>
    <t>Plataforma</t>
  </si>
  <si>
    <t>Góndola</t>
  </si>
  <si>
    <t>Jaula</t>
  </si>
  <si>
    <t>Tolva</t>
  </si>
  <si>
    <t>Otro tipo</t>
  </si>
  <si>
    <t>PRODUCTOS QUE MUEVE</t>
  </si>
  <si>
    <t>Químicos</t>
  </si>
  <si>
    <t>Maquinaria</t>
  </si>
  <si>
    <t>CARTÓN Y PAPEL</t>
  </si>
  <si>
    <t>Ganado en pié</t>
  </si>
  <si>
    <t>Agua</t>
  </si>
  <si>
    <t>Cartón y papel</t>
  </si>
  <si>
    <t>Electrodomésticos</t>
  </si>
  <si>
    <t>TIPO DE UNIDAD</t>
  </si>
  <si>
    <t>AÑO MODELO</t>
  </si>
  <si>
    <t>MARCA DE MOTOR</t>
  </si>
  <si>
    <t>CON QUIÉN SE CONTRATA</t>
  </si>
  <si>
    <t>Contrato firmado</t>
  </si>
  <si>
    <t>Embarcador</t>
  </si>
  <si>
    <t>Empresa logística</t>
  </si>
  <si>
    <t>Intermediario</t>
  </si>
  <si>
    <t>CLIENTES REGULARES</t>
  </si>
  <si>
    <t>VIAJES DE CADA 10</t>
  </si>
  <si>
    <t>&gt;10</t>
  </si>
  <si>
    <t>QUIÉN FIJA LA RUTA</t>
  </si>
  <si>
    <t>OTRO</t>
  </si>
  <si>
    <t>GRADO DE IMPORTANCIA DEL FACTOR QUE FIJA LA RUTA</t>
  </si>
  <si>
    <t>TIEMPO</t>
  </si>
  <si>
    <t>CUOTA</t>
  </si>
  <si>
    <t>DISTANCIA</t>
  </si>
  <si>
    <t>MAYOR IMPORTANCIA</t>
  </si>
  <si>
    <t>IMPORTANCIA INTERMEDIA</t>
  </si>
  <si>
    <t>POCO IMPORTANTE</t>
  </si>
  <si>
    <t>MENOR IMPORTANCIA</t>
  </si>
  <si>
    <t>CUENTA CON PERSONAL PARA ADMINISTRACIÓN</t>
  </si>
  <si>
    <t>SI</t>
  </si>
  <si>
    <t>NO</t>
  </si>
  <si>
    <t>A 21 dÍas</t>
  </si>
  <si>
    <t>A 45 días</t>
  </si>
  <si>
    <t>Pagan a 21 días</t>
  </si>
  <si>
    <t>Pagan a 45 días</t>
  </si>
  <si>
    <t>CUÁNDO LE PAGAN</t>
  </si>
  <si>
    <t>A 10 días</t>
  </si>
  <si>
    <t>Quincenalmente</t>
  </si>
  <si>
    <t>Otro</t>
  </si>
  <si>
    <t>PARA COMPRA O MODERNIZACIÓN DE UNIDAD</t>
  </si>
  <si>
    <t xml:space="preserve"> PARA AHORRO</t>
  </si>
  <si>
    <t>No Contesta</t>
  </si>
  <si>
    <t>SÍ</t>
  </si>
  <si>
    <t>RESERVA PARTE DE SUS INGRESOS</t>
  </si>
  <si>
    <t>NO LA PODRIA PAGAR</t>
  </si>
  <si>
    <t>NO NECESITA</t>
  </si>
  <si>
    <t>CIRCUNSTANCIAS PARA COMPRA O CAMBIO DE UNIDAD</t>
  </si>
  <si>
    <t>Cuando están viejas</t>
  </si>
  <si>
    <t>Cuando el cliente lo pide</t>
  </si>
  <si>
    <t>Cuando tiene Capital disponible</t>
  </si>
  <si>
    <t>Por otras razones</t>
  </si>
  <si>
    <t>CRÉDITOS EN LOS ÚLTIMOS 12 MESES</t>
  </si>
  <si>
    <t>Para Capital de trabajo</t>
  </si>
  <si>
    <t>Para Auto financiamiento de una unidad</t>
  </si>
  <si>
    <t>Por Factoraje</t>
  </si>
  <si>
    <t>Crédito Automotriz</t>
  </si>
  <si>
    <t>Tarjeta de crédito</t>
  </si>
  <si>
    <t>Compras a plazos</t>
  </si>
  <si>
    <t>Empeño</t>
  </si>
  <si>
    <t>Un prestamista</t>
  </si>
  <si>
    <t>Un amigo o familiar</t>
  </si>
  <si>
    <t>Crédito Hipotecario</t>
  </si>
  <si>
    <t>Ninguno</t>
  </si>
  <si>
    <t>MEDIO DE OBTENCIÓN DEL CRÉDITO</t>
  </si>
  <si>
    <t>Arrendamiento Financiero</t>
  </si>
  <si>
    <t xml:space="preserve">CONTRATARÍA CRÉDITO </t>
  </si>
  <si>
    <t>Para compra de Unidades nuevas</t>
  </si>
  <si>
    <t>Para compra de Unidades usadas</t>
  </si>
  <si>
    <t>Para Mejora de unidades</t>
  </si>
  <si>
    <t>Para Operación del negocio</t>
  </si>
  <si>
    <t>NIGUNO</t>
  </si>
  <si>
    <t>GRADO DE IMPORTANCIA DE LOS FACTORES PARA CONTRATAR CRÉDITO</t>
  </si>
  <si>
    <t>MUY IMPORTANTE</t>
  </si>
  <si>
    <t>IMPORTANTE</t>
  </si>
  <si>
    <t>NO TAN IMPORTANTE</t>
  </si>
  <si>
    <t>MANEJO A LA DEFENSIVA</t>
  </si>
  <si>
    <t>Otros</t>
  </si>
  <si>
    <t>CURSOS QUE HA TOMADO ÉL O SU PERSONAL</t>
  </si>
  <si>
    <t>DAÑADO</t>
  </si>
  <si>
    <t>CURSOS QUE LE PODRÍAN INTERESAR</t>
  </si>
  <si>
    <t>No le interesan</t>
  </si>
  <si>
    <t>CONOCE EL PROGRAMA DE TRANSPORTE LIMPIO</t>
  </si>
  <si>
    <t>SÍ CONOCE EL PROGRAMA TRANSPORTE LIMPIO</t>
  </si>
  <si>
    <t>PARTICIPA</t>
  </si>
  <si>
    <t>NO PARTICIPA</t>
  </si>
  <si>
    <t>RAZÓN POR LA QUE NO PARTICIPA EN EL PROGRAMA TRANSPORTE LIMPIO</t>
  </si>
  <si>
    <t>MEJORA EL AMBIENTE</t>
  </si>
  <si>
    <t>DEBIO IMPLEMENTARSE ANTES</t>
  </si>
  <si>
    <t>HONESTIDAD EN SU APLICACIÓN</t>
  </si>
  <si>
    <t>SUGERENCIAS PARA EL PROGRAMA LIMPIO</t>
  </si>
  <si>
    <t>OPINIÓN DEL PROGRAMA TRANSPORTE LIMPIO</t>
  </si>
  <si>
    <t>AHORRA GASTOS</t>
  </si>
  <si>
    <t>CONOCE EL PROGRAMA DE CHATARRIZACIÓN</t>
  </si>
  <si>
    <t>UNIDADES NO SON CHATARRA</t>
  </si>
  <si>
    <t>VENDEMOS SEMINUEVOS</t>
  </si>
  <si>
    <t>OPINIÓN SOBRE EL PROGRAMA DE CHATARRIZACIÓN</t>
  </si>
  <si>
    <t>LAS UNIDADES ESTAN MUY CARAS</t>
  </si>
  <si>
    <t>VENTA DE UNIDAD VIEJA EN MENOR TIEMPO</t>
  </si>
  <si>
    <t>SUGERENCIAS PARA MEJORA DEL PROGRAMA DE CHATARRIZACIÓN</t>
  </si>
  <si>
    <t>QUE LOS PAGOS SEAN MAS BAJOS</t>
  </si>
  <si>
    <t>MÁS CRÉDITOS</t>
  </si>
  <si>
    <t>CONOCE EL PROGRAMA DE MODERNIZACIÓN DEL TRANSPORTE DE NAFIN</t>
  </si>
  <si>
    <t>RAZÓN POR LA QUE NO PARTICIPA EN EL PROGRAMA DE MODERNIZACIÓN DEL TRANSPORTE DE NAFIN</t>
  </si>
  <si>
    <t>OPINIÓN DEL PROGRAMA DE MODERNIZACIÓN DEL TRANSPORTE DE NAFIN</t>
  </si>
  <si>
    <t>MENOS INTERESES</t>
  </si>
  <si>
    <t>NO CONTESTA/NO SABE</t>
  </si>
  <si>
    <t>&lt;100,000</t>
  </si>
  <si>
    <t>101,000 A 200,000</t>
  </si>
  <si>
    <t>201,000 A 300,000</t>
  </si>
  <si>
    <t>301,000 A 400,000</t>
  </si>
  <si>
    <t>401,000 A 500,000</t>
  </si>
  <si>
    <t>501,000 A 750,000</t>
  </si>
  <si>
    <t>750,000 A 1'000,000</t>
  </si>
  <si>
    <t>1'000,001 A 1'500,000</t>
  </si>
  <si>
    <t>1'500,001 A 2'000,000</t>
  </si>
  <si>
    <t>KILOMETRAJE ACTUAL DE LA UNIDAD</t>
  </si>
  <si>
    <t>NUEVA</t>
  </si>
  <si>
    <t>KILOMETRAJE QUE RECORRE POR MES</t>
  </si>
  <si>
    <t>&lt;1,000</t>
  </si>
  <si>
    <t>2,001 A 2,500</t>
  </si>
  <si>
    <t>2,501 A 3,000</t>
  </si>
  <si>
    <t>3,001 A 5,000</t>
  </si>
  <si>
    <t>5,001 A 7,500</t>
  </si>
  <si>
    <t>7,501 A 10,000</t>
  </si>
  <si>
    <t>10,001 A 15,000</t>
  </si>
  <si>
    <t>&gt;2'000,000</t>
  </si>
  <si>
    <t>&gt;15,001</t>
  </si>
  <si>
    <t>1,001 A 1,500</t>
  </si>
  <si>
    <t>1,501 A 2,000</t>
  </si>
  <si>
    <t>PORCENTAJE QUE RECORRE DE VACÍO</t>
  </si>
  <si>
    <t>NOSABE/NO CONTESTA</t>
  </si>
  <si>
    <t>VACÍO 0%</t>
  </si>
  <si>
    <t>VACÍO 2%</t>
  </si>
  <si>
    <t>VACÍO 5%</t>
  </si>
  <si>
    <t>VACÍO 10%</t>
  </si>
  <si>
    <t>VACÍO 20%</t>
  </si>
  <si>
    <t>VACÍO 25%</t>
  </si>
  <si>
    <t>VACÍO 30%</t>
  </si>
  <si>
    <t>VACÍO 35%</t>
  </si>
  <si>
    <t>VACÍO 40%</t>
  </si>
  <si>
    <t>VACÍO 50%</t>
  </si>
  <si>
    <t>VACÍO 60%</t>
  </si>
  <si>
    <t>CANTIDAD DE TANQUES DE COMBUSTIBLE</t>
  </si>
  <si>
    <t>&gt;3</t>
  </si>
  <si>
    <t>CAPACIDAD TOTAL DE LOS TANQUES DE COMBUSTIBLE</t>
  </si>
  <si>
    <t>&lt;61</t>
  </si>
  <si>
    <t>61 A 100</t>
  </si>
  <si>
    <t>101 A 150</t>
  </si>
  <si>
    <t>151 A 200</t>
  </si>
  <si>
    <t>201 A 250</t>
  </si>
  <si>
    <t>251 A 300</t>
  </si>
  <si>
    <t>301 A 350</t>
  </si>
  <si>
    <t>351 A 400</t>
  </si>
  <si>
    <t>401 A 450</t>
  </si>
  <si>
    <t>451 A 500</t>
  </si>
  <si>
    <t>501 A 550</t>
  </si>
  <si>
    <t>551 A 750</t>
  </si>
  <si>
    <t>751 A 1,000</t>
  </si>
  <si>
    <t>&gt;1,000</t>
  </si>
  <si>
    <t>KILÓMETROS QUE RECORRE CON TANQUES LLENOS</t>
  </si>
  <si>
    <t>&lt;250</t>
  </si>
  <si>
    <t>401 A 500</t>
  </si>
  <si>
    <t>501 A 750</t>
  </si>
  <si>
    <t>1001 A 1500</t>
  </si>
  <si>
    <t>1501 A 2000</t>
  </si>
  <si>
    <t>2000 A 2500</t>
  </si>
  <si>
    <t>2501 A 3000</t>
  </si>
  <si>
    <t>3001 A 4000</t>
  </si>
  <si>
    <t>&gt;4,000</t>
  </si>
  <si>
    <t>301 A 400</t>
  </si>
  <si>
    <t>NO SABE/NO CONTESTA</t>
  </si>
  <si>
    <t>COMBUSTIBLE QUE UTILIZA LA UNIDAD</t>
  </si>
  <si>
    <t>DIESEL</t>
  </si>
  <si>
    <t>HUACHICOL</t>
  </si>
  <si>
    <t>GASOLINA</t>
  </si>
  <si>
    <t>CARGADA</t>
  </si>
  <si>
    <t>DE VACÍO</t>
  </si>
  <si>
    <t>2.61 A 2.8</t>
  </si>
  <si>
    <t>Gasto mensual en combustible LITROS O PESOS</t>
  </si>
  <si>
    <t>1001 A 2000</t>
  </si>
  <si>
    <t>2001 A 3000</t>
  </si>
  <si>
    <t>3000 A 5000</t>
  </si>
  <si>
    <t>5000 A 7500</t>
  </si>
  <si>
    <t>NO SABE / NO CONTESTA</t>
  </si>
  <si>
    <t>CONSUMO MENSUAL DE GASOLINA EN LITROS</t>
  </si>
  <si>
    <t>FORMA COMO ADQUIRIÓ LA UNIDAD</t>
  </si>
  <si>
    <t>Por crédito y pagada</t>
  </si>
  <si>
    <t>Por crédito y en proceso de pago</t>
  </si>
  <si>
    <t>Ninguna</t>
  </si>
  <si>
    <t>UNIDADES DE ARRASTRE</t>
  </si>
  <si>
    <t>COMO SE CONTRATA</t>
  </si>
  <si>
    <t>Se contrata con un embarcador</t>
  </si>
  <si>
    <t>CANTIDAD DE CLIENTES REGULARES</t>
  </si>
  <si>
    <t>El Propietario</t>
  </si>
  <si>
    <t>SÍ CONOCE EL PROGRAMA DE CHATARRIZACIÓN</t>
  </si>
  <si>
    <t>RAZÓN POR LA QUE NO PARTICIPA EN EL PROGRAMA DE CHATARRIZACIÓN</t>
  </si>
  <si>
    <t>RAZÓN POR LA QUE SÍ PARTICIPA EN EL PROGRAMA DE CHATARRIZACIÓN</t>
  </si>
  <si>
    <t>SÍ CONOCE EL PROGRAMA DE MODERNIZACIÓN DEL TRANSPORTE DE NAFIN</t>
  </si>
  <si>
    <t>ODÓMETRO DAÑADO</t>
  </si>
  <si>
    <t>ADQUIERE LA UNIDAD</t>
  </si>
  <si>
    <t>P-212</t>
  </si>
  <si>
    <t>PACHUCA, HIDALGO</t>
  </si>
  <si>
    <t>P-213</t>
  </si>
  <si>
    <t>P-214</t>
  </si>
  <si>
    <t>QUE DE MAS PORCENTAJE</t>
  </si>
  <si>
    <t>P-215</t>
  </si>
  <si>
    <t>TEZIUTLAN, PUEBLA</t>
  </si>
  <si>
    <t>P-216</t>
  </si>
  <si>
    <t>P-217</t>
  </si>
  <si>
    <t>P-218</t>
  </si>
  <si>
    <t>CHALCO, EDO MEX</t>
  </si>
  <si>
    <t>P-219</t>
  </si>
  <si>
    <t>TLALNEPANTLA, EDO MEX</t>
  </si>
  <si>
    <t>P-220</t>
  </si>
  <si>
    <t>P-221</t>
  </si>
  <si>
    <t>TLAJOMULCO DE ZUÑIGA, JAL</t>
  </si>
  <si>
    <t>P-222</t>
  </si>
  <si>
    <t>TECOMAN, COLIMA</t>
  </si>
  <si>
    <t>P-223</t>
  </si>
  <si>
    <t>OCOTLAN, JALISCO</t>
  </si>
  <si>
    <t>P-224</t>
  </si>
  <si>
    <t>MOCHIS, SINALOA</t>
  </si>
  <si>
    <t>P-225</t>
  </si>
  <si>
    <t>CD OBREGON, SONORA</t>
  </si>
  <si>
    <t>P-226</t>
  </si>
  <si>
    <t>P-227</t>
  </si>
  <si>
    <t>URUAPAN, MICHOACAN</t>
  </si>
  <si>
    <t>P-228</t>
  </si>
  <si>
    <t>PONCITLAN, JALISCO</t>
  </si>
  <si>
    <t>P-229</t>
  </si>
  <si>
    <t>JILOTEPEC, EDO MEX</t>
  </si>
  <si>
    <t>DIERON POCO/ CREDITO CARO</t>
  </si>
  <si>
    <t>APOYO EN EL CREDITO, FUE DIFICIL PAGARLO</t>
  </si>
  <si>
    <t>P-230</t>
  </si>
  <si>
    <t>ZAPOPAN, JALISCO</t>
  </si>
  <si>
    <t>P-231</t>
  </si>
  <si>
    <t>SABINAS, COAHUILA</t>
  </si>
  <si>
    <t>P-232</t>
  </si>
  <si>
    <t>GUADALAJARA, JALISCO</t>
  </si>
  <si>
    <t>P-233</t>
  </si>
  <si>
    <t>TUXPAN, VERACRUZ</t>
  </si>
  <si>
    <t>P-234</t>
  </si>
  <si>
    <t>SAN JUAN DEL RIO COLORADO, SON</t>
  </si>
  <si>
    <t>P-235</t>
  </si>
  <si>
    <t>TEZOYUCA, MORELOS</t>
  </si>
  <si>
    <t>NO HAY DINERO PARA CAMBIAR</t>
  </si>
  <si>
    <t>P-236</t>
  </si>
  <si>
    <t>ACAMBARO, GUANAJUATO</t>
  </si>
  <si>
    <t>P-237</t>
  </si>
  <si>
    <t>P-238</t>
  </si>
  <si>
    <t>CD GUZMAN, JALISCO</t>
  </si>
  <si>
    <t>P-239</t>
  </si>
  <si>
    <t>AGUASCALIENTES, AGS</t>
  </si>
  <si>
    <t>P-240</t>
  </si>
  <si>
    <t>P-241</t>
  </si>
  <si>
    <t>GUAYMAS, SONORA</t>
  </si>
  <si>
    <t>P-242</t>
  </si>
  <si>
    <t>FRESNILLO, ZACATECAS</t>
  </si>
  <si>
    <t>P-243</t>
  </si>
  <si>
    <t>P-244</t>
  </si>
  <si>
    <t>P-245</t>
  </si>
  <si>
    <t>SAN FELIPE, GUANAJUATO</t>
  </si>
  <si>
    <t>P-246</t>
  </si>
  <si>
    <t>CD DELICIAS, CHIHUAHUA</t>
  </si>
  <si>
    <t>P-247</t>
  </si>
  <si>
    <t>CALVILLO, AGUASCALIENTES</t>
  </si>
  <si>
    <t>P-248</t>
  </si>
  <si>
    <t>RIO VERDE, SAN LUIS POTOSI</t>
  </si>
  <si>
    <t>P-249</t>
  </si>
  <si>
    <t>TULANCINGO, HIDALGO</t>
  </si>
  <si>
    <t>P-250</t>
  </si>
  <si>
    <t>P-251</t>
  </si>
  <si>
    <t>TEPIC, NAYARIT</t>
  </si>
  <si>
    <t>P-252</t>
  </si>
  <si>
    <t>P-253</t>
  </si>
  <si>
    <t>ORIZABA, VERACRUZ</t>
  </si>
  <si>
    <t>P-254</t>
  </si>
  <si>
    <t>CULIACAN, SINALOA</t>
  </si>
  <si>
    <t>P-255</t>
  </si>
  <si>
    <t>P-256</t>
  </si>
  <si>
    <t>ARANDAS, JALISCO</t>
  </si>
  <si>
    <t>P-257</t>
  </si>
  <si>
    <t>HUEJOTZINGO, PUEBLA</t>
  </si>
  <si>
    <t>P-258</t>
  </si>
  <si>
    <t>TAMAZULA, JALISCO</t>
  </si>
  <si>
    <t>BANCARIO</t>
  </si>
  <si>
    <t>ME LO OFRECIO MERCEDES BENZ</t>
  </si>
  <si>
    <t>SI LE INTERESA</t>
  </si>
  <si>
    <t>P-259</t>
  </si>
  <si>
    <t>CHIHUAHUA, CHIHUAHUA</t>
  </si>
  <si>
    <t>P-260</t>
  </si>
  <si>
    <t>P-261</t>
  </si>
  <si>
    <t>ACAPONETA, NAYARIT</t>
  </si>
  <si>
    <t>P-262</t>
  </si>
  <si>
    <t>GARCIA, NUEVO LEON</t>
  </si>
  <si>
    <t>P-263</t>
  </si>
  <si>
    <t>TEHUACAN, PUEBLA</t>
  </si>
  <si>
    <t>P-264</t>
  </si>
  <si>
    <t>P-265</t>
  </si>
  <si>
    <t>C 12</t>
  </si>
  <si>
    <t>C 5500</t>
  </si>
  <si>
    <t>C8500</t>
  </si>
  <si>
    <t xml:space="preserve">C 35 </t>
  </si>
  <si>
    <t>F 750</t>
  </si>
  <si>
    <t>C 220</t>
  </si>
  <si>
    <t>F 7500</t>
  </si>
  <si>
    <t>ISC</t>
  </si>
  <si>
    <t>P-266</t>
  </si>
  <si>
    <t>P-267</t>
  </si>
  <si>
    <t>P-268</t>
  </si>
  <si>
    <t>P-269</t>
  </si>
  <si>
    <t>P-270</t>
  </si>
  <si>
    <t>P-271</t>
  </si>
  <si>
    <t>P-272</t>
  </si>
  <si>
    <t>CONOCERLO BIEN</t>
  </si>
  <si>
    <t>MAYOR DIFUSION</t>
  </si>
  <si>
    <t>MAYOR INFORMACION</t>
  </si>
  <si>
    <t>M 11</t>
  </si>
  <si>
    <t>MEJOR INFORMACION</t>
  </si>
  <si>
    <t>CONOCER MAS</t>
  </si>
  <si>
    <t>DT 4400</t>
  </si>
  <si>
    <t>C 35</t>
  </si>
  <si>
    <t>MAS INFORMACION</t>
  </si>
  <si>
    <t>DIFUSION DEL PROGRAMA</t>
  </si>
  <si>
    <t>CAT 7</t>
  </si>
  <si>
    <t>CONOCERLO MEJOR</t>
  </si>
  <si>
    <t>APOYO EN LTODOS LOS PAGOS</t>
  </si>
  <si>
    <t>DAR UN PORCENTAJE MAYOR</t>
  </si>
  <si>
    <t>ES UN BUEN PROGRAMA</t>
  </si>
  <si>
    <t>COMPLEMENTARLO MAS</t>
  </si>
  <si>
    <t>CREDITOS MAS ACCESIBLES</t>
  </si>
  <si>
    <t>MAYORES INCENTIVOS</t>
  </si>
  <si>
    <t>FACILIDADES FINANCIERAS</t>
  </si>
  <si>
    <t xml:space="preserve">DAN MUY POCO </t>
  </si>
  <si>
    <t>VOLKSWAGEN</t>
  </si>
  <si>
    <t>CONTENEDORES</t>
  </si>
  <si>
    <t>SANTA CLARA, EDO. MEX.</t>
  </si>
  <si>
    <t>PODRIA MEJORAR</t>
  </si>
  <si>
    <t>MEJOR FINANCIAMIENTO</t>
  </si>
  <si>
    <t>DEBEN COMPLEMENTARLO</t>
  </si>
  <si>
    <t>NICOLAS ROMERO, EDO. MEX.</t>
  </si>
  <si>
    <t>HAY QUE MEJORAR EL PROGRAMA</t>
  </si>
  <si>
    <t>FAMSA</t>
  </si>
  <si>
    <t>PETERBILT</t>
  </si>
  <si>
    <t>CREDITOS MAS ATRACTIVOS</t>
  </si>
  <si>
    <t>AYUDA A CONTAMINAR MENOS</t>
  </si>
  <si>
    <t>TEZIUTLÁN, PUE.</t>
  </si>
  <si>
    <t>MEJORARLO</t>
  </si>
  <si>
    <t>IZTACALCO, D.F.</t>
  </si>
  <si>
    <t>CONOCERLO MAS</t>
  </si>
  <si>
    <t>POBLACION</t>
  </si>
  <si>
    <t>SALINA CRUZ</t>
  </si>
  <si>
    <t>OAXACA</t>
  </si>
  <si>
    <t>QUERÉTARO</t>
  </si>
  <si>
    <t>ZINACATEPEC</t>
  </si>
  <si>
    <t>ETLA</t>
  </si>
  <si>
    <t>SAN JACINTO AMILPAS</t>
  </si>
  <si>
    <t>ZACUALPAN</t>
  </si>
  <si>
    <t>PUEBLA</t>
  </si>
  <si>
    <t>CÓRDOBA</t>
  </si>
  <si>
    <t>TLALNEPANTLA</t>
  </si>
  <si>
    <t>GUASAVE</t>
  </si>
  <si>
    <t>TOPOLOBAMPO</t>
  </si>
  <si>
    <t>MÉRIDA</t>
  </si>
  <si>
    <t>CUAUTITLÁN</t>
  </si>
  <si>
    <t>MILPA ALTA</t>
  </si>
  <si>
    <t>HUIXQUILUCAN</t>
  </si>
  <si>
    <t>V. CARRANZA</t>
  </si>
  <si>
    <t>ZUMPANGO</t>
  </si>
  <si>
    <t>MOCHIS</t>
  </si>
  <si>
    <t>TOLUCA</t>
  </si>
  <si>
    <t>TULTEPEC</t>
  </si>
  <si>
    <t>TULTITLÁN</t>
  </si>
  <si>
    <t>PACHUCA</t>
  </si>
  <si>
    <t>IXTAPAN</t>
  </si>
  <si>
    <t>MIGUEL HIDALGO</t>
  </si>
  <si>
    <t>IXTAPALUCA</t>
  </si>
  <si>
    <t>ATOYAC</t>
  </si>
  <si>
    <t>HUAMANTLA</t>
  </si>
  <si>
    <t>TLALPAN</t>
  </si>
  <si>
    <t>VILLA DE LAS FLORES</t>
  </si>
  <si>
    <t>ECATEPEC</t>
  </si>
  <si>
    <t>IZTAPALAPA</t>
  </si>
  <si>
    <t>COYOACÁN</t>
  </si>
  <si>
    <t>SAN CLARA</t>
  </si>
  <si>
    <t>NICOLAS ROMERO</t>
  </si>
  <si>
    <t>NAUCALPAN</t>
  </si>
  <si>
    <t>CHICOLOAPAN</t>
  </si>
  <si>
    <t>MAGDALENA CONTRERAS</t>
  </si>
  <si>
    <t>TEQUISQUIAPAN</t>
  </si>
  <si>
    <t>CUERNAVACA</t>
  </si>
  <si>
    <t>NEZAHUALCÓYOTL</t>
  </si>
  <si>
    <t>TLÁHUAC</t>
  </si>
  <si>
    <t>LOS REYES LA PAZ</t>
  </si>
  <si>
    <t>TEZUITLÁN</t>
  </si>
  <si>
    <t>CHIMALHUACÁN</t>
  </si>
  <si>
    <t>ÁLVARO OBREGÓN</t>
  </si>
  <si>
    <t>SAN JUAN DEL RÍO</t>
  </si>
  <si>
    <t>VALLE DE BRAVO</t>
  </si>
  <si>
    <t>CUAUHTÉMOC</t>
  </si>
  <si>
    <t>COACALCO</t>
  </si>
  <si>
    <t>AZCAPOTZALCO</t>
  </si>
  <si>
    <t>SALVATIERRA</t>
  </si>
  <si>
    <t>CORTAZAR</t>
  </si>
  <si>
    <t>PÉNJAMO</t>
  </si>
  <si>
    <t>CORREGIDORA</t>
  </si>
  <si>
    <t>JERÉCUARO</t>
  </si>
  <si>
    <t>ABASOLO</t>
  </si>
  <si>
    <t>APASEO EL ALTO</t>
  </si>
  <si>
    <t>CELAYA</t>
  </si>
  <si>
    <t>ACÁMBARO</t>
  </si>
  <si>
    <t>CARTAZAR</t>
  </si>
  <si>
    <t>VILLAGRÁN</t>
  </si>
  <si>
    <t>SALAMANCA</t>
  </si>
  <si>
    <t>VALLE DE SANTIAGO</t>
  </si>
  <si>
    <t>JUVENTINO ROSAS</t>
  </si>
  <si>
    <t>MORELIA</t>
  </si>
  <si>
    <t>IRAPUATO</t>
  </si>
  <si>
    <t>PUEBLO NUEVO</t>
  </si>
  <si>
    <t>VICTORIA</t>
  </si>
  <si>
    <t>BENITO JUÁREZ</t>
  </si>
  <si>
    <t>GUSTAVO A MADERO</t>
  </si>
  <si>
    <t>XOCHIMILCO</t>
  </si>
  <si>
    <t>TECÁMAC</t>
  </si>
  <si>
    <t>CHALCO</t>
  </si>
  <si>
    <t>CUAUTLALCINGO</t>
  </si>
  <si>
    <t>VERACRUZ</t>
  </si>
  <si>
    <t>SANTA MARTA ACATITLA</t>
  </si>
  <si>
    <t>CADEREYTA</t>
  </si>
  <si>
    <t>ISLA</t>
  </si>
  <si>
    <t>LEON</t>
  </si>
  <si>
    <t>ROMITA</t>
  </si>
  <si>
    <t>SILAO</t>
  </si>
  <si>
    <t>ARMERÍA</t>
  </si>
  <si>
    <t>ACAYUCAN</t>
  </si>
  <si>
    <t>JEREZ</t>
  </si>
  <si>
    <t>URUAPAN</t>
  </si>
  <si>
    <t>ACAPONETA</t>
  </si>
  <si>
    <t>APODACA</t>
  </si>
  <si>
    <t>TORREÓN</t>
  </si>
  <si>
    <t>SOLEDAD DE GRACIANO SANCHEZ</t>
  </si>
  <si>
    <t>ACAJETE</t>
  </si>
  <si>
    <t>TEMIXCO</t>
  </si>
  <si>
    <t>ZAPOPAN</t>
  </si>
  <si>
    <t>SAN LUIS DE LA PAZ</t>
  </si>
  <si>
    <t>HUIMILPAN</t>
  </si>
  <si>
    <t>APASEO EL GRANDE</t>
  </si>
  <si>
    <t>CIUDAD GUZMÁN</t>
  </si>
  <si>
    <t>HUETAMO</t>
  </si>
  <si>
    <t>FRESNILLO</t>
  </si>
  <si>
    <t>EDO. MEX.</t>
  </si>
  <si>
    <t>SINALOA</t>
  </si>
  <si>
    <t>YUCATÁN</t>
  </si>
  <si>
    <t>D.F.</t>
  </si>
  <si>
    <t>HIDALGO</t>
  </si>
  <si>
    <t>GUERRERO</t>
  </si>
  <si>
    <t>TLAXCALA</t>
  </si>
  <si>
    <t>MORELOS</t>
  </si>
  <si>
    <t>GUANAJUATO</t>
  </si>
  <si>
    <t>COLIMA</t>
  </si>
  <si>
    <t>ZACATECAS</t>
  </si>
  <si>
    <t>NAYARIT</t>
  </si>
  <si>
    <t>COAHUILA</t>
  </si>
  <si>
    <t>JALISCO</t>
  </si>
  <si>
    <t>DAR MAS INFORMACION</t>
  </si>
  <si>
    <t>IZTACALCO</t>
  </si>
  <si>
    <t>TEZIUTLAN</t>
  </si>
  <si>
    <t>TLAJOMULCO DE ZUÑIGA</t>
  </si>
  <si>
    <t>TECOMAN</t>
  </si>
  <si>
    <t>OCOTLAN</t>
  </si>
  <si>
    <t>CD OBREGON</t>
  </si>
  <si>
    <t>SONORA</t>
  </si>
  <si>
    <t>PONCITLAN</t>
  </si>
  <si>
    <t>JILOTEPEC</t>
  </si>
  <si>
    <t>SABINAS</t>
  </si>
  <si>
    <t>GUADALAJARA</t>
  </si>
  <si>
    <t>TUXPAN</t>
  </si>
  <si>
    <t>SAN JUAN DEL RIO COLORADO</t>
  </si>
  <si>
    <t>TEZOYUCA</t>
  </si>
  <si>
    <t>ACAMBARO</t>
  </si>
  <si>
    <t>CD GUZMAN</t>
  </si>
  <si>
    <t>AGUASCALIENTES</t>
  </si>
  <si>
    <t>GUAYMAS</t>
  </si>
  <si>
    <t>SAN FELIPE</t>
  </si>
  <si>
    <t>CD DELICIAS</t>
  </si>
  <si>
    <t>CHIHUAHUA</t>
  </si>
  <si>
    <t>CALVILLO</t>
  </si>
  <si>
    <t>RIO VERDE</t>
  </si>
  <si>
    <t>TULANCINGO</t>
  </si>
  <si>
    <t>TEPIC</t>
  </si>
  <si>
    <t>ORIZABA</t>
  </si>
  <si>
    <t>CULIACAN</t>
  </si>
  <si>
    <t>ARANDAS</t>
  </si>
  <si>
    <t>HUEJOTZINGO</t>
  </si>
  <si>
    <t>TAMAZULA</t>
  </si>
  <si>
    <t>GARCIA</t>
  </si>
  <si>
    <t>TEHUACAN</t>
  </si>
  <si>
    <t>MAYORES ESTIMULOS FINANCIEROS</t>
  </si>
  <si>
    <t>ESTADO</t>
  </si>
  <si>
    <t>TECNICA</t>
  </si>
  <si>
    <t>B. CALIFORNIA</t>
  </si>
  <si>
    <t>B. CALIFORNIA SUR</t>
  </si>
  <si>
    <t>CAMPECHE</t>
  </si>
  <si>
    <t>CHIAPAS</t>
  </si>
  <si>
    <t>DURANGO</t>
  </si>
  <si>
    <t>MICHOACAN</t>
  </si>
  <si>
    <t>QUINTANA ROO</t>
  </si>
  <si>
    <t>SAN LUIS POTOSI</t>
  </si>
  <si>
    <t>TABASCO</t>
  </si>
  <si>
    <t>TAMAULIPAS</t>
  </si>
  <si>
    <t>ES UNA BUENA IDEA</t>
  </si>
  <si>
    <t>250 A 500</t>
  </si>
  <si>
    <t>Unidades de arrastre Redilas</t>
  </si>
  <si>
    <t>Redilas</t>
  </si>
  <si>
    <t>Ambos (Cliente y Propietario)</t>
  </si>
  <si>
    <t>Quincenal</t>
  </si>
  <si>
    <t>INGENIERIA</t>
  </si>
  <si>
    <t>NO CALIFICAMOS</t>
  </si>
  <si>
    <t>PARA CAMBIAR UN CAMION MUY VIEJO</t>
  </si>
  <si>
    <t>MAESTRIA</t>
  </si>
  <si>
    <t>DAN MUY POCO, MALO</t>
  </si>
  <si>
    <t>P-273</t>
  </si>
  <si>
    <t>P-274</t>
  </si>
  <si>
    <t>P-275</t>
  </si>
  <si>
    <t>P-276</t>
  </si>
  <si>
    <t>P-277</t>
  </si>
  <si>
    <t>P-278</t>
  </si>
  <si>
    <t>P-279</t>
  </si>
  <si>
    <t>P-280</t>
  </si>
  <si>
    <t>P-281</t>
  </si>
  <si>
    <t>P-282</t>
  </si>
  <si>
    <t>P-283</t>
  </si>
  <si>
    <t>P-284</t>
  </si>
  <si>
    <t>P-285</t>
  </si>
  <si>
    <t>P-286</t>
  </si>
  <si>
    <t>P-287</t>
  </si>
  <si>
    <t>P-288</t>
  </si>
  <si>
    <t>P-289</t>
  </si>
  <si>
    <t>P-290</t>
  </si>
  <si>
    <t>P-291</t>
  </si>
  <si>
    <t>P-292</t>
  </si>
  <si>
    <t>P-293</t>
  </si>
  <si>
    <t>P-294</t>
  </si>
  <si>
    <t>P-295</t>
  </si>
  <si>
    <t>P-296</t>
  </si>
  <si>
    <t>P-297</t>
  </si>
  <si>
    <t>P-298</t>
  </si>
  <si>
    <t>P-299</t>
  </si>
  <si>
    <t>NO SINALOA</t>
  </si>
  <si>
    <t>NO LO  CONOCE</t>
  </si>
  <si>
    <t>DIFUSION</t>
  </si>
  <si>
    <t>NO LO CONOCE</t>
  </si>
  <si>
    <t>MEJORAR EQUIPO DE TRANSPORTE</t>
  </si>
  <si>
    <t>MEJORAR CONDICIONES PARA RECIBIR CHATARRRA</t>
  </si>
  <si>
    <t>BUENO</t>
  </si>
  <si>
    <t>HACER LA GESTION MAS PRACTICA</t>
  </si>
  <si>
    <t>PIDEN GARANTIAS</t>
  </si>
  <si>
    <t>QUE NO PIDAN GARANTIAS</t>
  </si>
  <si>
    <t>QUE FUERA UN APOYO PARA COMPRAR DONDE MAS CONVENGA</t>
  </si>
  <si>
    <t>POR LA GRAN CORRUPCION Y TRABAS EXISTENTES</t>
  </si>
  <si>
    <t>SITUARSE EN LA REALIDAD FINANCIERA DEL PAIS</t>
  </si>
  <si>
    <t>NO ESTA DIRIGIDO AL HOMBRE CAMION</t>
  </si>
  <si>
    <t>ESTA FUERA DE CONTEXTO</t>
  </si>
  <si>
    <t>ES ABERRANTE YA QUE EL DIESEL ES UNA PORQUERIA</t>
  </si>
  <si>
    <t>GUAMUCHIL, SINALOA</t>
  </si>
  <si>
    <t>GUAMUCHIL</t>
  </si>
  <si>
    <t>SALVADOR ALVARADO, SINALOA</t>
  </si>
  <si>
    <t>SALVADOR ALVARADO</t>
  </si>
  <si>
    <t>NO NOS INTERESA</t>
  </si>
  <si>
    <t>NO TENGO DINERO</t>
  </si>
  <si>
    <t>C1</t>
  </si>
  <si>
    <t>C7</t>
  </si>
  <si>
    <t>EL POZO, SINALOA</t>
  </si>
  <si>
    <t>EL POZO</t>
  </si>
  <si>
    <t>C D.F.</t>
  </si>
  <si>
    <t>AHOME</t>
  </si>
  <si>
    <t>AHOME, SINALOA</t>
  </si>
  <si>
    <t>CHOIX</t>
  </si>
  <si>
    <t>CHOIX, SINALOA</t>
  </si>
  <si>
    <t>POR LA BUROCRACIA</t>
  </si>
  <si>
    <t>MOCORITO, SINALOA</t>
  </si>
  <si>
    <t>MOCORITO</t>
  </si>
  <si>
    <t>MAZATLAN, SINALOA</t>
  </si>
  <si>
    <t>MAZATLAN</t>
  </si>
  <si>
    <t>REGULAR TRAMITE RECIBO DE UNIDAD CHATARRA ENGORROSO</t>
  </si>
  <si>
    <t>GUASAVE, SINALOA</t>
  </si>
  <si>
    <t>ELOTA, SINALOA</t>
  </si>
  <si>
    <t>ELOTA</t>
  </si>
  <si>
    <t>BADIRAGUATO, SINALOA</t>
  </si>
  <si>
    <t>BADIRAGUATO</t>
  </si>
  <si>
    <t>AHOME,SINALOA</t>
  </si>
  <si>
    <t>CASASOLA, SINALOA</t>
  </si>
  <si>
    <t>CASASOLA</t>
  </si>
  <si>
    <t>SAN IGNACIO, SINALOA</t>
  </si>
  <si>
    <t>SAN IGNACIO</t>
  </si>
  <si>
    <t>P-300</t>
  </si>
  <si>
    <t>P-301</t>
  </si>
  <si>
    <t>P-302</t>
  </si>
  <si>
    <t>P-303</t>
  </si>
  <si>
    <t>P-304</t>
  </si>
  <si>
    <t>P-305</t>
  </si>
  <si>
    <t>P-306</t>
  </si>
  <si>
    <t>P-307</t>
  </si>
  <si>
    <t>P-308</t>
  </si>
  <si>
    <t>P-309</t>
  </si>
  <si>
    <t>P-310</t>
  </si>
  <si>
    <t>P-311</t>
  </si>
  <si>
    <t>P-312</t>
  </si>
  <si>
    <t>P-313</t>
  </si>
  <si>
    <t>EL FUERTE, SINALOA</t>
  </si>
  <si>
    <t>EL FUERTE</t>
  </si>
  <si>
    <t>PLATAFORMA CON GRUA</t>
  </si>
  <si>
    <t>NE NUEVO LEON</t>
  </si>
  <si>
    <t>P-314</t>
  </si>
  <si>
    <t>GENERAL ZUAZUA, NUEVO LEON</t>
  </si>
  <si>
    <t>GENERAL ZUAZUA</t>
  </si>
  <si>
    <t>NUEVO LEON</t>
  </si>
  <si>
    <t>P-315</t>
  </si>
  <si>
    <t>APODACA, NUEVO LEON</t>
  </si>
  <si>
    <t>P-316</t>
  </si>
  <si>
    <t>SAN NICOLAS, NUEVO LEON</t>
  </si>
  <si>
    <t>SAN NICOLAS</t>
  </si>
  <si>
    <t>P-317</t>
  </si>
  <si>
    <t>P-318</t>
  </si>
  <si>
    <t>GUADALUPE, NUEVO LEON</t>
  </si>
  <si>
    <t>GUADALUPE</t>
  </si>
  <si>
    <t>NO HA CAMBIADO UNIDAD</t>
  </si>
  <si>
    <t>P-319</t>
  </si>
  <si>
    <t>MONCLOVA, COAHUILA</t>
  </si>
  <si>
    <t>MONCLOVA</t>
  </si>
  <si>
    <t>P-320</t>
  </si>
  <si>
    <t>P-321</t>
  </si>
  <si>
    <t>P-322</t>
  </si>
  <si>
    <t>ANAHUAC, TAMAULIPAS</t>
  </si>
  <si>
    <t>ANAHUAC</t>
  </si>
  <si>
    <t>P-323</t>
  </si>
  <si>
    <t>P-324</t>
  </si>
  <si>
    <t>SAN PEDRO, NUEVO LEON</t>
  </si>
  <si>
    <t>SAN PEDRO</t>
  </si>
  <si>
    <t>LOW BOY</t>
  </si>
  <si>
    <t>P-325</t>
  </si>
  <si>
    <t>P-326</t>
  </si>
  <si>
    <t>P-327</t>
  </si>
  <si>
    <t>SALTILLO, COAHUILA</t>
  </si>
  <si>
    <t>SALTILLO</t>
  </si>
  <si>
    <t>NO SON UTILES</t>
  </si>
  <si>
    <t>P-328</t>
  </si>
  <si>
    <t>P-329</t>
  </si>
  <si>
    <t>CABORCA, SONORA</t>
  </si>
  <si>
    <t>CABORCA</t>
  </si>
  <si>
    <t>P-330</t>
  </si>
  <si>
    <t>LORETO, ZACATECAS</t>
  </si>
  <si>
    <t>LORETO</t>
  </si>
  <si>
    <t>P-331</t>
  </si>
  <si>
    <t>NEZAHUALCOYOTL, EDO MEX</t>
  </si>
  <si>
    <t>NEZAHUALCOYOTL</t>
  </si>
  <si>
    <t>P-332</t>
  </si>
  <si>
    <t>P-333</t>
  </si>
  <si>
    <t>ZACAPOAXTLA, PUEBLA</t>
  </si>
  <si>
    <t>ZACAPOAXTLA</t>
  </si>
  <si>
    <t>P-334</t>
  </si>
  <si>
    <t>P-335</t>
  </si>
  <si>
    <t>SANTA CATARINA, NUEVO LEON</t>
  </si>
  <si>
    <t>SANTA CATARINA</t>
  </si>
  <si>
    <t>P-336</t>
  </si>
  <si>
    <t>P-337</t>
  </si>
  <si>
    <t>SAN FERNANDO, TAMAULIPAS</t>
  </si>
  <si>
    <t>SAN FERNANDO</t>
  </si>
  <si>
    <t>P-338</t>
  </si>
  <si>
    <t>MONTEMORELOS, NUEVO LEON</t>
  </si>
  <si>
    <t>MONTEMORELOS</t>
  </si>
  <si>
    <t>P-339</t>
  </si>
  <si>
    <t>SOMBRERETE, ZACATECAS</t>
  </si>
  <si>
    <t>SOMBRERETE</t>
  </si>
  <si>
    <t>P-340</t>
  </si>
  <si>
    <t>P-341</t>
  </si>
  <si>
    <t>NUEVO LAREDO, TAMAULIPAS</t>
  </si>
  <si>
    <t>NUEVO LAREDO</t>
  </si>
  <si>
    <t>NE TAMAULIPAS</t>
  </si>
  <si>
    <t>P-342</t>
  </si>
  <si>
    <t>REYNOSA, TAMAULIPAS</t>
  </si>
  <si>
    <t>REYNOSA</t>
  </si>
  <si>
    <t>P-343</t>
  </si>
  <si>
    <t>P-344</t>
  </si>
  <si>
    <t>P-345</t>
  </si>
  <si>
    <t>MATAMOROS, TAMAULIPAS</t>
  </si>
  <si>
    <t>MATAMOROS</t>
  </si>
  <si>
    <t>P-346</t>
  </si>
  <si>
    <t>P-347</t>
  </si>
  <si>
    <t>TAMPICO, TAMAULIPAS</t>
  </si>
  <si>
    <t>TAMPICO</t>
  </si>
  <si>
    <t>P-348</t>
  </si>
  <si>
    <t>ALTAMIRA, TAMAULIPAS</t>
  </si>
  <si>
    <t>ALTAMIRA</t>
  </si>
  <si>
    <t>P-349</t>
  </si>
  <si>
    <t>P-350</t>
  </si>
  <si>
    <t>MADERO, TAMAULIPAS</t>
  </si>
  <si>
    <t>MADERO</t>
  </si>
  <si>
    <t>P-351</t>
  </si>
  <si>
    <t>P-352</t>
  </si>
  <si>
    <t>P-353</t>
  </si>
  <si>
    <t>S 60</t>
  </si>
  <si>
    <t>C270</t>
  </si>
  <si>
    <t>C12</t>
  </si>
  <si>
    <t>Menor de 7,500 km</t>
  </si>
  <si>
    <t>Entre 15,001 y 20,000 km</t>
  </si>
  <si>
    <t>Entre 20,001 y 25,000 km</t>
  </si>
  <si>
    <t>Entre 25,001 y 30,000 km</t>
  </si>
  <si>
    <t>Entre 30,001 y 40,000 km</t>
  </si>
  <si>
    <t>&lt;7500</t>
  </si>
  <si>
    <t>Entre 7,500 y 15,000 km</t>
  </si>
  <si>
    <t>&lt;15001</t>
  </si>
  <si>
    <t>&lt;25001</t>
  </si>
  <si>
    <t>&lt;30001</t>
  </si>
  <si>
    <t>&lt;40001</t>
  </si>
  <si>
    <t>&gt;40000</t>
  </si>
  <si>
    <t>&lt;20001</t>
  </si>
  <si>
    <t>Unidades Nuevas</t>
  </si>
  <si>
    <t>Variable</t>
  </si>
  <si>
    <t>Menor de 70,000 km</t>
  </si>
  <si>
    <t>&lt;70000</t>
  </si>
  <si>
    <t>Entre 70,001 y 75,000 km</t>
  </si>
  <si>
    <t>&lt;75001</t>
  </si>
  <si>
    <t>Entre 75,001 y 100,000 km</t>
  </si>
  <si>
    <t>Entre 100,001 y 125,000 km</t>
  </si>
  <si>
    <t>&lt;125001</t>
  </si>
  <si>
    <t>&gt;125000</t>
  </si>
  <si>
    <t>FRECUENCIA DE CAMBIO DE ACEITE</t>
  </si>
  <si>
    <t>FRECUENCIA DE CAMBIO DE LLANTAS</t>
  </si>
  <si>
    <t>FRECUENCIA CON QUE SE AFINA MOTOR</t>
  </si>
  <si>
    <t>Menor de 10,000 km</t>
  </si>
  <si>
    <t>&lt;10000</t>
  </si>
  <si>
    <t>&lt;50001</t>
  </si>
  <si>
    <t>Entre 50,001 y 100,000 km</t>
  </si>
  <si>
    <t>Entre 10,001 y 15,000 km</t>
  </si>
  <si>
    <t>Entre 25,001 y 50,000 km</t>
  </si>
  <si>
    <t>FRECUENCIA DE CAMBIO DE FRENOS</t>
  </si>
  <si>
    <t>FRECUENCIA DE CAMBIO FILTRO DE PARTICULAS</t>
  </si>
  <si>
    <t>Mayor a 40,000 km</t>
  </si>
  <si>
    <t>Mayor a 125,000 km</t>
  </si>
  <si>
    <t>&lt;35</t>
  </si>
  <si>
    <t>46 A 55</t>
  </si>
  <si>
    <t>NO CHIHUAHUA</t>
  </si>
  <si>
    <t>P-354</t>
  </si>
  <si>
    <t>CD. JUAREZ, CHIHUAHUA</t>
  </si>
  <si>
    <t>CD. JUAREZ</t>
  </si>
  <si>
    <t>P-355</t>
  </si>
  <si>
    <t>MUY INTERESANTE</t>
  </si>
  <si>
    <t>P-356</t>
  </si>
  <si>
    <t>P-357</t>
  </si>
  <si>
    <t>P-358</t>
  </si>
  <si>
    <t>P-359</t>
  </si>
  <si>
    <t>P-360</t>
  </si>
  <si>
    <t>P-361</t>
  </si>
  <si>
    <t>P-362</t>
  </si>
  <si>
    <t>P-363</t>
  </si>
  <si>
    <t>P-364</t>
  </si>
  <si>
    <t>P-365</t>
  </si>
  <si>
    <t>P-366</t>
  </si>
  <si>
    <t>P-367</t>
  </si>
  <si>
    <t>P-368</t>
  </si>
  <si>
    <t>P-369</t>
  </si>
  <si>
    <t>P-370</t>
  </si>
  <si>
    <t>P-371</t>
  </si>
  <si>
    <t>P-372</t>
  </si>
  <si>
    <t>P-373</t>
  </si>
  <si>
    <t>ANGOSTURA, SINALOA</t>
  </si>
  <si>
    <t>ANGOSTURA</t>
  </si>
  <si>
    <t>P-374</t>
  </si>
  <si>
    <t>P-375</t>
  </si>
  <si>
    <t>P-376</t>
  </si>
  <si>
    <t>P-377</t>
  </si>
  <si>
    <t>P-378</t>
  </si>
  <si>
    <t>P-379</t>
  </si>
  <si>
    <t>P-380</t>
  </si>
  <si>
    <t>P-381</t>
  </si>
  <si>
    <t>TIERRA BLANCA, VERACRUZ</t>
  </si>
  <si>
    <t>TIERRA BLANCA</t>
  </si>
  <si>
    <t>P-382</t>
  </si>
  <si>
    <t>PEROTE, VERACRUZ</t>
  </si>
  <si>
    <t>PEROTE</t>
  </si>
  <si>
    <t>P-383</t>
  </si>
  <si>
    <t>XAPALA, VERACRUZ</t>
  </si>
  <si>
    <t>P-384</t>
  </si>
  <si>
    <t>MINATITLAN, VERACRUZ</t>
  </si>
  <si>
    <t>MINATITLAN</t>
  </si>
  <si>
    <t>P-385</t>
  </si>
  <si>
    <t>ACAYUCAN, VERACRUZ</t>
  </si>
  <si>
    <t>P-386</t>
  </si>
  <si>
    <t>COATEPEC, VERACRUZ</t>
  </si>
  <si>
    <t>COATEPEC</t>
  </si>
  <si>
    <t>P-387</t>
  </si>
  <si>
    <t>IGNACIO DE LA LLAVE, VERACRUZ</t>
  </si>
  <si>
    <t>IGNACIO DE LA LLAVE</t>
  </si>
  <si>
    <t>P-388</t>
  </si>
  <si>
    <t>MARTINEZ DE LA TORRE, VERACRUZ</t>
  </si>
  <si>
    <t>MARTINEZ DE LA TORRE</t>
  </si>
  <si>
    <t>P-389</t>
  </si>
  <si>
    <t>P-390</t>
  </si>
  <si>
    <t>BOCA DE RÍO, VERACRUZ</t>
  </si>
  <si>
    <t>BOCA DE RÍO</t>
  </si>
  <si>
    <t>XALAPA, VERACRUZ</t>
  </si>
  <si>
    <t>XALAPA</t>
  </si>
  <si>
    <t>P-391</t>
  </si>
  <si>
    <t>P-392</t>
  </si>
  <si>
    <t>ALTO LUCERO, VERACRUZ</t>
  </si>
  <si>
    <t>ALTO LUCERO</t>
  </si>
  <si>
    <t>P-393</t>
  </si>
  <si>
    <t>P-394</t>
  </si>
  <si>
    <t>P-395</t>
  </si>
  <si>
    <t>P-396</t>
  </si>
  <si>
    <t>NOGALES, VERACRUZ</t>
  </si>
  <si>
    <t>NOGALES</t>
  </si>
  <si>
    <t>P-397</t>
  </si>
  <si>
    <t>P-398</t>
  </si>
  <si>
    <t>P-399</t>
  </si>
  <si>
    <t>P-400</t>
  </si>
  <si>
    <t>P-401</t>
  </si>
  <si>
    <t>P-402</t>
  </si>
  <si>
    <t>P-403</t>
  </si>
  <si>
    <t>P-404</t>
  </si>
  <si>
    <t>P-405</t>
  </si>
  <si>
    <t>P-406</t>
  </si>
  <si>
    <t>P-407</t>
  </si>
  <si>
    <t>P-408</t>
  </si>
  <si>
    <t>P-409</t>
  </si>
  <si>
    <t>35 A 45</t>
  </si>
  <si>
    <t>56 A 60</t>
  </si>
  <si>
    <t>&gt;60</t>
  </si>
  <si>
    <t>Materiales peligrosos y Químicos</t>
  </si>
  <si>
    <t>VIAJES DE CADA 10 CON CLIENTES REGULARES</t>
  </si>
  <si>
    <t>IMPORTANCIA DEL TIEMPO PARA FIJAR LA RUTA</t>
  </si>
  <si>
    <t>SUMA</t>
  </si>
  <si>
    <t>IMPORTANCIA DE LA CUOTA DE PEAJE PARA FIJAR LA RUTA</t>
  </si>
  <si>
    <t>IMPORTANCIA DE LA DISTANCIA PARA FIJAR LA RUTA</t>
  </si>
  <si>
    <t>IMPORTANCIA DE LA SEGURIDAD DEL CAMINO PARA FIJAR LA RUTA</t>
  </si>
  <si>
    <t>IMPORTANCIA REGULAR</t>
  </si>
  <si>
    <t>Por mes o a 30 días</t>
  </si>
  <si>
    <t>Mas de 30 días</t>
  </si>
  <si>
    <t>Semanalmente o a 10 días</t>
  </si>
  <si>
    <t>Del Sistema Financiero</t>
  </si>
  <si>
    <t>Empeño o prestamista</t>
  </si>
  <si>
    <t>Remolque, plataforma o góndola</t>
  </si>
  <si>
    <t>Volteo o tolva</t>
  </si>
  <si>
    <t>Redilas o jaula</t>
  </si>
  <si>
    <t>Cantidad</t>
  </si>
  <si>
    <t>Porcentaje</t>
  </si>
  <si>
    <t>RENDIMIENTO DE LA UNIDAD CARGADA</t>
  </si>
  <si>
    <t>RENDIMIENTO DE LA UNIDAD DE VACÍO</t>
  </si>
  <si>
    <t>EQUIPAMIENTO DE LA UNIDAD</t>
  </si>
  <si>
    <t>SEMINUEVA 1 - 5 AÑOS</t>
  </si>
  <si>
    <t>USADA MÁS DE 5 AÑOS</t>
  </si>
  <si>
    <t>CAMBIO DE UNIDAD VIEJA</t>
  </si>
  <si>
    <t>MALA/NO SIRVE</t>
  </si>
  <si>
    <t>PRODUCTOS QUE TRANSPORTA</t>
  </si>
  <si>
    <t>Propietarios</t>
  </si>
  <si>
    <t>Conductores</t>
  </si>
  <si>
    <t>P+C</t>
  </si>
  <si>
    <t>Materias primas para producción / ensamble</t>
  </si>
  <si>
    <t>Químicos y Peligrosos</t>
  </si>
  <si>
    <t>El Cliente y el propietario</t>
  </si>
  <si>
    <t>El conductor</t>
  </si>
  <si>
    <t>El propietario</t>
  </si>
  <si>
    <t>El cliente</t>
  </si>
  <si>
    <t>El propietario y el conductor</t>
  </si>
  <si>
    <t>FACTOR DE MAYOR IMPORTANCIA PARA FIJAR LA RUTA</t>
  </si>
  <si>
    <t>Seguridad</t>
  </si>
  <si>
    <t>FACTOR DE IMPORTANCIA MEDIA - BAJA PARA FIJAR LA RUTA</t>
  </si>
  <si>
    <t>FACTOR DE IMPORTANCIA MEDIA - ALTA PARA FIJAR LA RUTA</t>
  </si>
  <si>
    <t>FACTOR DE MÁS BAJA IMPORTANCIA PARA FIJAR LA RUTA</t>
  </si>
  <si>
    <t>TIPO DE UNIDAD MOTRIZ</t>
  </si>
  <si>
    <t>Diesel</t>
  </si>
  <si>
    <t>Gasolina</t>
  </si>
  <si>
    <t>Gas</t>
  </si>
  <si>
    <t>Suma</t>
  </si>
  <si>
    <t>TIPOS DE UNIDADES DE ARRASTRE</t>
  </si>
  <si>
    <t>Tanque / Hazmat</t>
  </si>
  <si>
    <t>Redilas / Jaula</t>
  </si>
  <si>
    <t>Remolque Otro tipo</t>
  </si>
  <si>
    <t>Tolva / Volteo / Góndola</t>
  </si>
  <si>
    <t>Anteriores a 1980</t>
  </si>
  <si>
    <t>AÑO MODELO DE LA UNIDAD</t>
  </si>
  <si>
    <t>&lt;250,000</t>
  </si>
  <si>
    <t>500,001 A 1'000,000</t>
  </si>
  <si>
    <t>2'000,001 A 2'500,000</t>
  </si>
  <si>
    <t>&gt;2'500,000</t>
  </si>
  <si>
    <t>250,000 A 500,000</t>
  </si>
  <si>
    <t>PROPIETARIOS</t>
  </si>
  <si>
    <t>CONDUCTORES</t>
  </si>
  <si>
    <t>&lt; 1.6</t>
  </si>
  <si>
    <t>1.6 A 1.9</t>
  </si>
  <si>
    <t>1.91 A 2.0</t>
  </si>
  <si>
    <t>2.01 A 2.2</t>
  </si>
  <si>
    <t>2.21 A 2.5</t>
  </si>
  <si>
    <t>2.51 A 3.0</t>
  </si>
  <si>
    <t>3.01 A 4.0</t>
  </si>
  <si>
    <t>4.01 A 5.0</t>
  </si>
  <si>
    <t>&gt;5.0</t>
  </si>
  <si>
    <t>UNO NO SABE</t>
  </si>
  <si>
    <t>RENDIMIENTO DE LA UNIDAD EN VACÍO</t>
  </si>
  <si>
    <t>&lt;1.9</t>
  </si>
  <si>
    <t>1.91 A 2.2</t>
  </si>
  <si>
    <t>2.21 A 2.4</t>
  </si>
  <si>
    <t>2.81 A 3.2</t>
  </si>
  <si>
    <t>3.21 A 4.0</t>
  </si>
  <si>
    <t>4.01 A 6.0</t>
  </si>
  <si>
    <t>&gt;6.0</t>
  </si>
  <si>
    <t>2.41 A 2.6</t>
  </si>
  <si>
    <t>propietarios</t>
  </si>
  <si>
    <t>conductores</t>
  </si>
  <si>
    <t>Frecuencia de afinación de motor</t>
  </si>
  <si>
    <t>Frecuencia de cambio de filtro de partículas</t>
  </si>
  <si>
    <t>MANTENIMIENTO. FRECUENCIA DE CAMBIO DE ACEITE</t>
  </si>
  <si>
    <t>&lt;10,000</t>
  </si>
  <si>
    <t>15,001 A 20,000</t>
  </si>
  <si>
    <t>20,001 A 25,000</t>
  </si>
  <si>
    <t>25,001 A 30,000</t>
  </si>
  <si>
    <t>30,0001 A 40,000</t>
  </si>
  <si>
    <t>5 NS</t>
  </si>
  <si>
    <t>MANTENIMIENTO. FRECUENCIA DE CAMBIO DE FRENOS (km)</t>
  </si>
  <si>
    <t>4 NC</t>
  </si>
  <si>
    <t>25,001 A 35,000</t>
  </si>
  <si>
    <t>35,0001 A 60,000</t>
  </si>
  <si>
    <t>MANTENIMIENTO. FRECUENCIA DE AFINACIÓN DE MOTOR (km)</t>
  </si>
  <si>
    <t>34 NC</t>
  </si>
  <si>
    <t>&lt;15,000</t>
  </si>
  <si>
    <t>15,001 A 25,000</t>
  </si>
  <si>
    <t>35,001 A 60,000</t>
  </si>
  <si>
    <t>60,0001 A 80,000</t>
  </si>
  <si>
    <t>80,001 A 110,000</t>
  </si>
  <si>
    <t>MANTENIMIENTO. FRECUENCIA DE CAMBIO DE LLANTAS (km)</t>
  </si>
  <si>
    <t>&lt;50,000</t>
  </si>
  <si>
    <t>50,001 A 75,000</t>
  </si>
  <si>
    <t>75,001 A 100,000</t>
  </si>
  <si>
    <t>100,001 A 115,000</t>
  </si>
  <si>
    <t>115,0001 A 125,000</t>
  </si>
  <si>
    <t>125,001 A 150,000</t>
  </si>
  <si>
    <t>150,001 A 175,000</t>
  </si>
  <si>
    <t>&gt;175,000</t>
  </si>
  <si>
    <t>45 NC</t>
  </si>
  <si>
    <t>MANTENIMIENTO. FRECUENCIA DE CAMBIO DE FILTRO DE PARTÍCULAS(km)</t>
  </si>
  <si>
    <t>No necesita / No ha cambiado</t>
  </si>
  <si>
    <t>Cuando es buena oferta</t>
  </si>
  <si>
    <t>VENDE LAS UNIDADES USADAS</t>
  </si>
  <si>
    <t>CREDITO CARO</t>
  </si>
  <si>
    <t>MÁS Y MEJORES CREDITOS</t>
  </si>
  <si>
    <t>MEJORAR CONDICIONES</t>
  </si>
  <si>
    <t>QUE SEA EN EFECTIVO</t>
  </si>
  <si>
    <t>SUGERENCIAS PARA MEJORA DEL PROGRAMA DE MODERNIZACIÓN DEL TRANSPORTE DE NAFIN</t>
  </si>
  <si>
    <t>TAMAÑO DE FLOTA</t>
  </si>
  <si>
    <t>TRES A CINCO UNIDADES</t>
  </si>
  <si>
    <t>SEIS A TREINTA UNIDADES</t>
  </si>
  <si>
    <t>ESTADO DE RESIDENCIA</t>
  </si>
  <si>
    <t>LUGAR DE RESIDENCIA</t>
  </si>
  <si>
    <t>OTRAS MARCAS</t>
  </si>
  <si>
    <t>GASTOS ANUALES POR OPERADOR POR UNIDAD</t>
  </si>
  <si>
    <t>&lt;$50,000</t>
  </si>
  <si>
    <t>$50,001 A $75,000</t>
  </si>
  <si>
    <t>$75,001 A $100,000</t>
  </si>
  <si>
    <t>$100,001 A $125,000</t>
  </si>
  <si>
    <t>$125,001 A $150,000</t>
  </si>
  <si>
    <t>&gt;$150,000</t>
  </si>
  <si>
    <t>$150,001 A $175,000</t>
  </si>
  <si>
    <t>&gt;$175,000</t>
  </si>
  <si>
    <t>GASTOS ANUALES POR AYUDANTES POR UNIDAD</t>
  </si>
  <si>
    <t>GASTOS ANUALES EN LLANTAS POR UNIDAD</t>
  </si>
  <si>
    <t>&gt;$125,000</t>
  </si>
  <si>
    <t>$125,000 A $175,000</t>
  </si>
  <si>
    <t>GASTOS ANUALES EN REPARACIONES POR UNIDAD</t>
  </si>
  <si>
    <t>&lt;$25,000</t>
  </si>
  <si>
    <t>$25001 A $50,000</t>
  </si>
  <si>
    <t>GASTOS ANUALES EN SEGUROS POR UNIDAD</t>
  </si>
  <si>
    <t>&lt;$5,000</t>
  </si>
  <si>
    <t>$20,001 A $30,000</t>
  </si>
  <si>
    <t>$30,001 A $50,000</t>
  </si>
  <si>
    <t>$50,001 A $150,000</t>
  </si>
  <si>
    <t>$5,001 A $10,000</t>
  </si>
  <si>
    <t>$10,001 A $20,000</t>
  </si>
  <si>
    <t>GASTOS ANUALES EN ACCIDENTES POR UNIDAD</t>
  </si>
  <si>
    <t>P-410</t>
  </si>
  <si>
    <t>P-411</t>
  </si>
  <si>
    <t>P-412</t>
  </si>
  <si>
    <t>P-413</t>
  </si>
  <si>
    <t>P-414</t>
  </si>
  <si>
    <t>P-415</t>
  </si>
  <si>
    <t>P-416</t>
  </si>
  <si>
    <t>P-417</t>
  </si>
  <si>
    <t>P-418</t>
  </si>
  <si>
    <t>P-419</t>
  </si>
  <si>
    <t>P-420</t>
  </si>
  <si>
    <t>P-421</t>
  </si>
  <si>
    <t>P-422</t>
  </si>
  <si>
    <t>P-423</t>
  </si>
  <si>
    <t>P-424</t>
  </si>
  <si>
    <t>ATLIXCO, PUEBLA</t>
  </si>
  <si>
    <t>ATLIXCO,</t>
  </si>
  <si>
    <t>P-425</t>
  </si>
  <si>
    <t>MACUPANA, TABASCO</t>
  </si>
  <si>
    <t>MACUPANA,</t>
  </si>
  <si>
    <t>P-426</t>
  </si>
  <si>
    <t>P-427</t>
  </si>
  <si>
    <t>P-428</t>
  </si>
  <si>
    <t>P-429</t>
  </si>
  <si>
    <t>P-430</t>
  </si>
  <si>
    <t>EL BOSQUE, CHIAPAS</t>
  </si>
  <si>
    <t>EL BOSQUE</t>
  </si>
  <si>
    <t>P-431</t>
  </si>
  <si>
    <t>PRESTAMO GOBIERNO ESTATAL</t>
  </si>
  <si>
    <t>&lt;98701</t>
  </si>
  <si>
    <t>501 A 987</t>
  </si>
  <si>
    <t>7501 A 9870</t>
  </si>
  <si>
    <t>&gt;9870</t>
  </si>
  <si>
    <t>&lt;125000</t>
  </si>
  <si>
    <t>Entre 50,001 y 125,000 km</t>
  </si>
  <si>
    <t>&gt;124999</t>
  </si>
  <si>
    <t>No Contesta / No usa</t>
  </si>
  <si>
    <t>Variable/No ha cambiado</t>
  </si>
  <si>
    <t>VARIABLE/SON NUEVAS</t>
  </si>
  <si>
    <t>&gt;110,000</t>
  </si>
  <si>
    <t>&gt;60,000</t>
  </si>
  <si>
    <t>BICAM</t>
  </si>
  <si>
    <t>ISUZU</t>
  </si>
  <si>
    <t>PACCAR</t>
  </si>
  <si>
    <t>&gt;40,000</t>
  </si>
  <si>
    <t>SSE OAXACA</t>
  </si>
  <si>
    <t>C QUERETARO</t>
  </si>
  <si>
    <t>C JALISCO</t>
  </si>
  <si>
    <t>C VERACRUZ</t>
  </si>
  <si>
    <t>SUR-SURESTE</t>
  </si>
  <si>
    <t>CENTRO</t>
  </si>
  <si>
    <t>NOROESTE</t>
  </si>
  <si>
    <t>NORESTE</t>
  </si>
  <si>
    <t>UNIDADES</t>
  </si>
  <si>
    <t>ENCUESTAS</t>
  </si>
  <si>
    <t>C GUANAJUATO</t>
  </si>
  <si>
    <t>C SAN LUIS POTOSI</t>
  </si>
  <si>
    <t>%</t>
  </si>
  <si>
    <t>Ambos (El Cliente y el Propietario)</t>
  </si>
  <si>
    <t>36 A 40</t>
  </si>
  <si>
    <t>41 A 45</t>
  </si>
  <si>
    <t>46 A 50</t>
  </si>
  <si>
    <t>51 A 55</t>
  </si>
  <si>
    <t>Pequeño Trasportista (6 a 30 unidades)</t>
  </si>
  <si>
    <t>EDAD DEL HOMBRE CAMIÓN</t>
  </si>
  <si>
    <t>&lt; DE 36</t>
  </si>
  <si>
    <t>26 A 30</t>
  </si>
  <si>
    <t>&gt;30</t>
  </si>
  <si>
    <t>HOMBRE CAMIÓN</t>
  </si>
  <si>
    <t>KILOMETRAJE</t>
  </si>
  <si>
    <t>1986 a 1990</t>
  </si>
  <si>
    <t>1991 a 1995</t>
  </si>
  <si>
    <t>1996 a 2000</t>
  </si>
  <si>
    <t>2001 a 2005</t>
  </si>
  <si>
    <t>2006 a 2010</t>
  </si>
  <si>
    <t>&gt; 2010</t>
  </si>
  <si>
    <t>1980 a 1985</t>
  </si>
  <si>
    <t>PROPIETARIOS + CONDUCTORES</t>
  </si>
  <si>
    <t>RENDIMIENTO CARGADA</t>
  </si>
  <si>
    <t>C2 PROPIETARIOS</t>
  </si>
  <si>
    <t>C2 CONDUCTORES</t>
  </si>
  <si>
    <t>C2 PROPIETARIOS + CONDUCTORES</t>
  </si>
  <si>
    <t>C3 PROPIETARIOS</t>
  </si>
  <si>
    <t>C3 CONDUCTORES</t>
  </si>
  <si>
    <t>C3 PROPIETARIOS + CONDUCTORES</t>
  </si>
  <si>
    <t>T2 PROPIETARIOS</t>
  </si>
  <si>
    <t>T2 CONDUCTORES</t>
  </si>
  <si>
    <t>T2 PROPIETARIOS + CONDUCTORES</t>
  </si>
  <si>
    <t>T3 PROPIETARIOS</t>
  </si>
  <si>
    <t>T3 CONDUCTORES</t>
  </si>
  <si>
    <t>T3 PROPIETARIOS + CONDUCTORES</t>
  </si>
  <si>
    <t>FOLIO</t>
  </si>
  <si>
    <t>C-001</t>
  </si>
  <si>
    <t>C-002</t>
  </si>
  <si>
    <t>C-005</t>
  </si>
  <si>
    <t>C-006</t>
  </si>
  <si>
    <t>C-007</t>
  </si>
  <si>
    <t>C-008</t>
  </si>
  <si>
    <t>C-010</t>
  </si>
  <si>
    <t>C-011</t>
  </si>
  <si>
    <t>C-012</t>
  </si>
  <si>
    <t>C-014</t>
  </si>
  <si>
    <t>C-015</t>
  </si>
  <si>
    <t>C-016</t>
  </si>
  <si>
    <t>C-017</t>
  </si>
  <si>
    <t>C-019</t>
  </si>
  <si>
    <t>C-020</t>
  </si>
  <si>
    <t>C-021</t>
  </si>
  <si>
    <t>C-022</t>
  </si>
  <si>
    <t>C-024</t>
  </si>
  <si>
    <t>C-025</t>
  </si>
  <si>
    <t>C-026</t>
  </si>
  <si>
    <t>C-029</t>
  </si>
  <si>
    <t>C-030</t>
  </si>
  <si>
    <t>C-031</t>
  </si>
  <si>
    <t>C-034</t>
  </si>
  <si>
    <t>C-035</t>
  </si>
  <si>
    <t>C-036</t>
  </si>
  <si>
    <t>C-038</t>
  </si>
  <si>
    <t>C-040</t>
  </si>
  <si>
    <t>C-041</t>
  </si>
  <si>
    <t>C-042</t>
  </si>
  <si>
    <t>C-043</t>
  </si>
  <si>
    <t>C-044</t>
  </si>
  <si>
    <t>C-045</t>
  </si>
  <si>
    <t>C-046</t>
  </si>
  <si>
    <t>C-047</t>
  </si>
  <si>
    <t>C-048</t>
  </si>
  <si>
    <t>C-049</t>
  </si>
  <si>
    <t>C-050</t>
  </si>
  <si>
    <t>C-051</t>
  </si>
  <si>
    <t>C-052</t>
  </si>
  <si>
    <t>C-053</t>
  </si>
  <si>
    <t>C-054</t>
  </si>
  <si>
    <t>C-055</t>
  </si>
  <si>
    <t>C-056</t>
  </si>
  <si>
    <t>C-057</t>
  </si>
  <si>
    <t>C-058</t>
  </si>
  <si>
    <t>C-059</t>
  </si>
  <si>
    <t>C-060</t>
  </si>
  <si>
    <t>C-061</t>
  </si>
  <si>
    <t>C-062</t>
  </si>
  <si>
    <t>C-063</t>
  </si>
  <si>
    <t>C-064</t>
  </si>
  <si>
    <t>C-065</t>
  </si>
  <si>
    <t>C-066</t>
  </si>
  <si>
    <t>C-067</t>
  </si>
  <si>
    <t>C-068</t>
  </si>
  <si>
    <t>C-069</t>
  </si>
  <si>
    <t>C-070</t>
  </si>
  <si>
    <t>C-071</t>
  </si>
  <si>
    <t>C-072</t>
  </si>
  <si>
    <t>C-073</t>
  </si>
  <si>
    <t>C-074</t>
  </si>
  <si>
    <t>C-075</t>
  </si>
  <si>
    <t>C-076</t>
  </si>
  <si>
    <t>C-077</t>
  </si>
  <si>
    <t>C-078</t>
  </si>
  <si>
    <t>C-079</t>
  </si>
  <si>
    <t>C-080</t>
  </si>
  <si>
    <t>C-081</t>
  </si>
  <si>
    <t>C-082</t>
  </si>
  <si>
    <t>C-083</t>
  </si>
  <si>
    <t>C-084</t>
  </si>
  <si>
    <t>C-085</t>
  </si>
  <si>
    <t>C-086</t>
  </si>
  <si>
    <t>C-087</t>
  </si>
  <si>
    <t>C-088</t>
  </si>
  <si>
    <t>C-089</t>
  </si>
  <si>
    <t>C-090</t>
  </si>
  <si>
    <t>C-091</t>
  </si>
  <si>
    <t>C-092</t>
  </si>
  <si>
    <t>C-093</t>
  </si>
  <si>
    <t>C-094</t>
  </si>
  <si>
    <t>C-095</t>
  </si>
  <si>
    <t>C-096</t>
  </si>
  <si>
    <t>C-097</t>
  </si>
  <si>
    <t>C-098</t>
  </si>
  <si>
    <t>C-099</t>
  </si>
  <si>
    <t>C-100</t>
  </si>
  <si>
    <t>C-101</t>
  </si>
  <si>
    <t>C-102</t>
  </si>
  <si>
    <t>C-103</t>
  </si>
  <si>
    <t>C-104</t>
  </si>
  <si>
    <t>C-105</t>
  </si>
  <si>
    <t>C-106</t>
  </si>
  <si>
    <t>C-107</t>
  </si>
  <si>
    <t>C-108</t>
  </si>
  <si>
    <t>C-109</t>
  </si>
  <si>
    <t>C-110</t>
  </si>
  <si>
    <t>C-111</t>
  </si>
  <si>
    <t>C-112</t>
  </si>
  <si>
    <t>C-113</t>
  </si>
  <si>
    <t>C-114</t>
  </si>
  <si>
    <t>C-115</t>
  </si>
  <si>
    <t>C-116</t>
  </si>
  <si>
    <t>C-117</t>
  </si>
  <si>
    <t>C-118</t>
  </si>
  <si>
    <t>C-119</t>
  </si>
  <si>
    <t>C-120</t>
  </si>
  <si>
    <t>C-121</t>
  </si>
  <si>
    <t>C-122</t>
  </si>
  <si>
    <t>C-123</t>
  </si>
  <si>
    <t>C-124</t>
  </si>
  <si>
    <t>C-125</t>
  </si>
  <si>
    <t>C-126</t>
  </si>
  <si>
    <t>C-127</t>
  </si>
  <si>
    <t>C-128</t>
  </si>
  <si>
    <t>C-129</t>
  </si>
  <si>
    <t>C-130</t>
  </si>
  <si>
    <t>C-131</t>
  </si>
  <si>
    <t>C-132</t>
  </si>
  <si>
    <t>C-133</t>
  </si>
  <si>
    <t>C-134</t>
  </si>
  <si>
    <t>C-135</t>
  </si>
  <si>
    <t>C-136</t>
  </si>
  <si>
    <t>C-137</t>
  </si>
  <si>
    <t>C-138</t>
  </si>
  <si>
    <t>C-139</t>
  </si>
  <si>
    <t>C-140</t>
  </si>
  <si>
    <t>C-141</t>
  </si>
  <si>
    <t>C-142</t>
  </si>
  <si>
    <t>C-143</t>
  </si>
  <si>
    <t>C-144</t>
  </si>
  <si>
    <t>C-145</t>
  </si>
  <si>
    <t>C-146</t>
  </si>
  <si>
    <t>C-147</t>
  </si>
  <si>
    <t>C-148</t>
  </si>
  <si>
    <t>C-149</t>
  </si>
  <si>
    <t>C-150</t>
  </si>
  <si>
    <t>C-151</t>
  </si>
  <si>
    <t>C-152</t>
  </si>
  <si>
    <t>C-153</t>
  </si>
  <si>
    <t>C-154</t>
  </si>
  <si>
    <t>C-155</t>
  </si>
  <si>
    <t>C-156</t>
  </si>
  <si>
    <t>C-157</t>
  </si>
  <si>
    <t>C-158</t>
  </si>
  <si>
    <t>C-159</t>
  </si>
  <si>
    <t>C-160</t>
  </si>
  <si>
    <t>C-161</t>
  </si>
  <si>
    <t>C-162</t>
  </si>
  <si>
    <t>C-163</t>
  </si>
  <si>
    <t>C-164</t>
  </si>
  <si>
    <t>C-165</t>
  </si>
  <si>
    <t>C-166</t>
  </si>
  <si>
    <t>C-167</t>
  </si>
  <si>
    <t>C-168</t>
  </si>
  <si>
    <t>C-169</t>
  </si>
  <si>
    <t>C-170</t>
  </si>
  <si>
    <t>C-171</t>
  </si>
  <si>
    <t>C-172</t>
  </si>
  <si>
    <t>C-173</t>
  </si>
  <si>
    <t>C-174</t>
  </si>
  <si>
    <t>C-175</t>
  </si>
  <si>
    <t>C-176</t>
  </si>
  <si>
    <t>C-177</t>
  </si>
  <si>
    <t>C-178</t>
  </si>
  <si>
    <t>C-179</t>
  </si>
  <si>
    <t>C-180</t>
  </si>
  <si>
    <t>C-181</t>
  </si>
  <si>
    <t>C-182</t>
  </si>
  <si>
    <t>C-183</t>
  </si>
  <si>
    <t>C-184</t>
  </si>
  <si>
    <t>C-185</t>
  </si>
  <si>
    <t>C-186</t>
  </si>
  <si>
    <t>C-187</t>
  </si>
  <si>
    <t>C-188</t>
  </si>
  <si>
    <t>C-189</t>
  </si>
  <si>
    <t>C-190</t>
  </si>
  <si>
    <t>C-191</t>
  </si>
  <si>
    <t>C-192</t>
  </si>
  <si>
    <t>C-193</t>
  </si>
  <si>
    <t>C-194</t>
  </si>
  <si>
    <t>C-195</t>
  </si>
  <si>
    <t>C-196</t>
  </si>
  <si>
    <t>C-197</t>
  </si>
  <si>
    <t>C-198</t>
  </si>
  <si>
    <t>C-199</t>
  </si>
  <si>
    <t>C-200</t>
  </si>
  <si>
    <t>C-201</t>
  </si>
  <si>
    <t>C-202</t>
  </si>
  <si>
    <t>C-203</t>
  </si>
  <si>
    <t>C-204</t>
  </si>
  <si>
    <t>C-205</t>
  </si>
  <si>
    <t>C-211</t>
  </si>
  <si>
    <t>C-212</t>
  </si>
  <si>
    <t>C-213</t>
  </si>
  <si>
    <t>C-214</t>
  </si>
  <si>
    <t>C-215</t>
  </si>
  <si>
    <t>C-216</t>
  </si>
  <si>
    <t>C-217</t>
  </si>
  <si>
    <t>C-218</t>
  </si>
  <si>
    <t>C-219</t>
  </si>
  <si>
    <t>C-220</t>
  </si>
  <si>
    <t>C-221</t>
  </si>
  <si>
    <t>C-222</t>
  </si>
  <si>
    <t>C-223</t>
  </si>
  <si>
    <t>C-224</t>
  </si>
  <si>
    <t>C-225</t>
  </si>
  <si>
    <t>C-226</t>
  </si>
  <si>
    <t>C-227</t>
  </si>
  <si>
    <t>C-228</t>
  </si>
  <si>
    <t>C-229</t>
  </si>
  <si>
    <t>C-230</t>
  </si>
  <si>
    <t>C-231</t>
  </si>
  <si>
    <t>C-232</t>
  </si>
  <si>
    <t>C-233</t>
  </si>
  <si>
    <t>C-234</t>
  </si>
  <si>
    <t>C-235</t>
  </si>
  <si>
    <t>C-236</t>
  </si>
  <si>
    <t>C-237</t>
  </si>
  <si>
    <t>C-238</t>
  </si>
  <si>
    <t>C-239</t>
  </si>
  <si>
    <t>C-240</t>
  </si>
  <si>
    <t>C-241</t>
  </si>
  <si>
    <t>C-242</t>
  </si>
  <si>
    <t>C-243</t>
  </si>
  <si>
    <t>C-244</t>
  </si>
  <si>
    <t>C-245</t>
  </si>
  <si>
    <t>C-246</t>
  </si>
  <si>
    <t>C-247</t>
  </si>
  <si>
    <t>C-248</t>
  </si>
  <si>
    <t>C-249</t>
  </si>
  <si>
    <t>C-250</t>
  </si>
  <si>
    <t>C-251</t>
  </si>
  <si>
    <t>C-252</t>
  </si>
  <si>
    <t>C-253</t>
  </si>
  <si>
    <t>C-254</t>
  </si>
  <si>
    <t>C-255</t>
  </si>
  <si>
    <t>C-256</t>
  </si>
  <si>
    <t>C-257</t>
  </si>
  <si>
    <t>C-258</t>
  </si>
  <si>
    <t>C-259</t>
  </si>
  <si>
    <t>C-260</t>
  </si>
  <si>
    <t>C-261</t>
  </si>
  <si>
    <t>C-262</t>
  </si>
  <si>
    <t>C-263</t>
  </si>
  <si>
    <t>C-264</t>
  </si>
  <si>
    <t>C-265</t>
  </si>
  <si>
    <t>C-266</t>
  </si>
  <si>
    <t>C-267</t>
  </si>
  <si>
    <t>C-268</t>
  </si>
  <si>
    <t>C-269</t>
  </si>
  <si>
    <t>C-270</t>
  </si>
  <si>
    <t>C-271</t>
  </si>
  <si>
    <t>C-272</t>
  </si>
  <si>
    <t>C-273</t>
  </si>
  <si>
    <t>C-274</t>
  </si>
  <si>
    <t>C-275</t>
  </si>
  <si>
    <t>C-276</t>
  </si>
  <si>
    <t>C-277</t>
  </si>
  <si>
    <t>C-278</t>
  </si>
  <si>
    <t>C-279</t>
  </si>
  <si>
    <t>C-280</t>
  </si>
  <si>
    <t>C-281</t>
  </si>
  <si>
    <t>C-282</t>
  </si>
  <si>
    <t>C-283</t>
  </si>
  <si>
    <t>C-284</t>
  </si>
  <si>
    <t>C-285</t>
  </si>
  <si>
    <t>C-286</t>
  </si>
  <si>
    <t>C-287</t>
  </si>
  <si>
    <t>C-288</t>
  </si>
  <si>
    <t>C-289</t>
  </si>
  <si>
    <t>C-290</t>
  </si>
  <si>
    <t>C-291</t>
  </si>
  <si>
    <t>C-292</t>
  </si>
  <si>
    <t>C-293</t>
  </si>
  <si>
    <t>C-294</t>
  </si>
  <si>
    <t>C-295</t>
  </si>
  <si>
    <t>C-296</t>
  </si>
  <si>
    <t>C-297</t>
  </si>
  <si>
    <t>C-298</t>
  </si>
  <si>
    <t>C-299</t>
  </si>
  <si>
    <t>C-300</t>
  </si>
  <si>
    <t>C-301</t>
  </si>
  <si>
    <t>C-302</t>
  </si>
  <si>
    <t>C-303</t>
  </si>
  <si>
    <t>C-304</t>
  </si>
  <si>
    <t>C-305</t>
  </si>
  <si>
    <t>C-306</t>
  </si>
  <si>
    <t>C-307</t>
  </si>
  <si>
    <t>C-308</t>
  </si>
  <si>
    <t>C-309</t>
  </si>
  <si>
    <t>C-310</t>
  </si>
  <si>
    <t>C-311</t>
  </si>
  <si>
    <t>C-312</t>
  </si>
  <si>
    <t>C-313</t>
  </si>
  <si>
    <t>C-314</t>
  </si>
  <si>
    <t>C-315</t>
  </si>
  <si>
    <t>C-316</t>
  </si>
  <si>
    <t>C-317</t>
  </si>
  <si>
    <t>C-318</t>
  </si>
  <si>
    <t>C-319</t>
  </si>
  <si>
    <t>C-320</t>
  </si>
  <si>
    <t>C-321</t>
  </si>
  <si>
    <t>C-322</t>
  </si>
  <si>
    <t>C-323</t>
  </si>
  <si>
    <t>C-324</t>
  </si>
  <si>
    <t>C-325</t>
  </si>
  <si>
    <t>C-326</t>
  </si>
  <si>
    <t>C-327</t>
  </si>
  <si>
    <t>C-328</t>
  </si>
  <si>
    <t>C-329</t>
  </si>
  <si>
    <t>C-330</t>
  </si>
  <si>
    <t>C-331</t>
  </si>
  <si>
    <t>C-332</t>
  </si>
  <si>
    <t>C-333</t>
  </si>
  <si>
    <t>C-334</t>
  </si>
  <si>
    <t>C-335</t>
  </si>
  <si>
    <t>C-336</t>
  </si>
  <si>
    <t>C-337</t>
  </si>
  <si>
    <t>C-338</t>
  </si>
  <si>
    <t>C-339</t>
  </si>
  <si>
    <t>C-340</t>
  </si>
  <si>
    <t>C-341</t>
  </si>
  <si>
    <t>C-342</t>
  </si>
  <si>
    <t>C-343</t>
  </si>
  <si>
    <t>C-344</t>
  </si>
  <si>
    <t>C-345</t>
  </si>
  <si>
    <t>C-346</t>
  </si>
  <si>
    <t>C-347</t>
  </si>
  <si>
    <t>C-348</t>
  </si>
  <si>
    <t>C-349</t>
  </si>
  <si>
    <t>C-350</t>
  </si>
  <si>
    <t>C-351</t>
  </si>
  <si>
    <t>C-352</t>
  </si>
  <si>
    <t>C-353</t>
  </si>
  <si>
    <t>C-354</t>
  </si>
  <si>
    <t>C-355</t>
  </si>
  <si>
    <t>C-356</t>
  </si>
  <si>
    <t>C-357</t>
  </si>
  <si>
    <t>C-358</t>
  </si>
  <si>
    <t>C-359</t>
  </si>
  <si>
    <t>C-360</t>
  </si>
  <si>
    <t>C-361</t>
  </si>
  <si>
    <t>C-362</t>
  </si>
  <si>
    <t>C-363</t>
  </si>
  <si>
    <t>C-364</t>
  </si>
  <si>
    <t>C-365</t>
  </si>
  <si>
    <t>C-366</t>
  </si>
  <si>
    <t>C-367</t>
  </si>
  <si>
    <t>C-368</t>
  </si>
  <si>
    <t>C-369</t>
  </si>
  <si>
    <t>C-370</t>
  </si>
  <si>
    <t>C-371</t>
  </si>
  <si>
    <t>C-372</t>
  </si>
  <si>
    <t>C-373</t>
  </si>
  <si>
    <t>C-374</t>
  </si>
  <si>
    <t>C-375</t>
  </si>
  <si>
    <t>C-376</t>
  </si>
  <si>
    <t>C-377</t>
  </si>
  <si>
    <t>C-378</t>
  </si>
  <si>
    <t>C-379</t>
  </si>
  <si>
    <t>C-380</t>
  </si>
  <si>
    <t>C-381</t>
  </si>
  <si>
    <t>C-382</t>
  </si>
  <si>
    <t>C-383</t>
  </si>
  <si>
    <t>C-384</t>
  </si>
  <si>
    <t>C-385</t>
  </si>
  <si>
    <t>C-386</t>
  </si>
  <si>
    <t>C-387</t>
  </si>
  <si>
    <t>C-388</t>
  </si>
  <si>
    <t>C-389</t>
  </si>
  <si>
    <t>C-390</t>
  </si>
  <si>
    <t>C-391</t>
  </si>
  <si>
    <t>C-392</t>
  </si>
  <si>
    <t>C-393</t>
  </si>
  <si>
    <t>C-394</t>
  </si>
  <si>
    <t>C-395</t>
  </si>
  <si>
    <t>C-396</t>
  </si>
  <si>
    <t>C-397</t>
  </si>
  <si>
    <t>C-398</t>
  </si>
  <si>
    <t>C-399</t>
  </si>
  <si>
    <t>C-400</t>
  </si>
  <si>
    <t>C-401</t>
  </si>
  <si>
    <t>C-402</t>
  </si>
  <si>
    <t>C-403</t>
  </si>
  <si>
    <t>C-404</t>
  </si>
  <si>
    <t>C-405</t>
  </si>
  <si>
    <t>C-406</t>
  </si>
  <si>
    <t>C-407</t>
  </si>
  <si>
    <t>C-408</t>
  </si>
  <si>
    <t>C-409</t>
  </si>
  <si>
    <t>C-410</t>
  </si>
  <si>
    <t>C-411</t>
  </si>
  <si>
    <t>C-412</t>
  </si>
  <si>
    <t>C-413</t>
  </si>
  <si>
    <t>C-414</t>
  </si>
  <si>
    <t>C-415</t>
  </si>
  <si>
    <t>C-416</t>
  </si>
  <si>
    <t>C-417</t>
  </si>
  <si>
    <t>C-418</t>
  </si>
  <si>
    <t>C-419</t>
  </si>
  <si>
    <t>C-420</t>
  </si>
  <si>
    <t>C-421</t>
  </si>
  <si>
    <t>C-422</t>
  </si>
  <si>
    <t>C-423</t>
  </si>
  <si>
    <t>C-424</t>
  </si>
  <si>
    <t>C-425</t>
  </si>
  <si>
    <t>C-426</t>
  </si>
  <si>
    <t>C-427</t>
  </si>
  <si>
    <t>C-428</t>
  </si>
  <si>
    <t>C-429</t>
  </si>
  <si>
    <t>C-430</t>
  </si>
  <si>
    <t>C-431</t>
  </si>
  <si>
    <t>C-432</t>
  </si>
  <si>
    <t>C-433</t>
  </si>
  <si>
    <t>C-434</t>
  </si>
  <si>
    <t>C-435</t>
  </si>
  <si>
    <t>C-436</t>
  </si>
  <si>
    <t>C-437</t>
  </si>
  <si>
    <t>C-438</t>
  </si>
  <si>
    <t>C-439</t>
  </si>
  <si>
    <t>C-440</t>
  </si>
  <si>
    <t>C-441</t>
  </si>
  <si>
    <t>C-442</t>
  </si>
  <si>
    <t>C-443</t>
  </si>
  <si>
    <t>C-444</t>
  </si>
  <si>
    <t>C-445</t>
  </si>
  <si>
    <t>C-446</t>
  </si>
  <si>
    <t>C-447</t>
  </si>
  <si>
    <t>C-448</t>
  </si>
  <si>
    <t>C-449</t>
  </si>
  <si>
    <t>C-450</t>
  </si>
  <si>
    <t>C-451</t>
  </si>
  <si>
    <t>C-452</t>
  </si>
  <si>
    <t>C-453</t>
  </si>
  <si>
    <t>C-454</t>
  </si>
  <si>
    <t>C-455</t>
  </si>
  <si>
    <t>C-456</t>
  </si>
  <si>
    <t>C-457</t>
  </si>
  <si>
    <t>C-458</t>
  </si>
  <si>
    <t>C-459</t>
  </si>
  <si>
    <t>C-460</t>
  </si>
  <si>
    <t>C-461</t>
  </si>
  <si>
    <t>C-462</t>
  </si>
  <si>
    <t>C-463</t>
  </si>
  <si>
    <t>C-464</t>
  </si>
  <si>
    <t>C-465</t>
  </si>
  <si>
    <t>C-466</t>
  </si>
  <si>
    <t>C-467</t>
  </si>
  <si>
    <t>C-468</t>
  </si>
  <si>
    <t>C-469</t>
  </si>
  <si>
    <t>C-470</t>
  </si>
  <si>
    <t>Conduce unidad C2</t>
  </si>
  <si>
    <t>Conduce unidad C3</t>
  </si>
  <si>
    <t>Conduce unidad T2</t>
  </si>
  <si>
    <t>Conduce unidad T3</t>
  </si>
  <si>
    <t>PROMEDIOS POR UNIDAD</t>
  </si>
  <si>
    <t>KM RECORRIDOS</t>
  </si>
  <si>
    <t>RENDIMIENTO CARGADA [km/lt]</t>
  </si>
  <si>
    <t>RENDIMIENTO DE VACÍO [km/lt]</t>
  </si>
  <si>
    <t>RENDIMIENTO UNIDAD CARGADA [km/lt]</t>
  </si>
  <si>
    <t>RENDIMIENTO UNIDAD EN VACÍO [km/lt]</t>
  </si>
  <si>
    <t>Utiliza Gasolina</t>
  </si>
  <si>
    <t>Utiliza Gas</t>
  </si>
  <si>
    <t>Utiliza Diesel</t>
  </si>
  <si>
    <t>C2 PROMEDIOS POR UNIDAD [SOLO DIESEL]</t>
  </si>
  <si>
    <t>C3 PROMEDIOS POR UNIDAD [SOLO DIESEL]}</t>
  </si>
  <si>
    <t>T2 PROMEDIOS POR UNIDAD [SOLO DIESEL]}</t>
  </si>
  <si>
    <t>T3 PROMEDIOS POR UNIDAD [SOLO DIESEL]}</t>
  </si>
  <si>
    <t>Sin Datos</t>
  </si>
  <si>
    <t>KILÓMETROS QUE RECORRE POR MES</t>
  </si>
  <si>
    <t>KM/MES</t>
  </si>
  <si>
    <t>&lt;2,500</t>
  </si>
  <si>
    <t>2,500 A 5,000</t>
  </si>
  <si>
    <t>10,001 A 12,500</t>
  </si>
  <si>
    <t>&gt;12,500</t>
  </si>
  <si>
    <t>HC</t>
  </si>
  <si>
    <t>PT</t>
  </si>
  <si>
    <t>Una Unidad</t>
  </si>
  <si>
    <t>2 Unidades</t>
  </si>
  <si>
    <t>Entre 3 y 5 unidades</t>
  </si>
  <si>
    <t>Entre 6 y 30 unidades</t>
  </si>
  <si>
    <t>KILÓMETROS QUE RECORRE POR MES EL H-C</t>
  </si>
  <si>
    <t>KILÓMETROS QUE RECORRE POR MES EL PT</t>
  </si>
  <si>
    <t>KILÓMETROS QUE RECORREN POR MES UNIDADES TIPO C2</t>
  </si>
  <si>
    <t>KILÓMETROS QUE RECORREN POR MES UNIDADES TIPO C3</t>
  </si>
  <si>
    <t>KILÓMETROS QUE RECORREN POR MES UNIDADES TIPO T2</t>
  </si>
  <si>
    <t>KILÓMETROS QUE RECORREN POR MES UNIDADES TIPO T3</t>
  </si>
  <si>
    <t>ANTIGÜEDAD DE LA FLOTA</t>
  </si>
  <si>
    <t>1 A 10 AÑOS</t>
  </si>
  <si>
    <t>11 A 20 AÑOS</t>
  </si>
  <si>
    <t>21 A 30 AÑOS</t>
  </si>
  <si>
    <t>31 A 40 AÑOS</t>
  </si>
  <si>
    <t>41 A 50 AÑOS</t>
  </si>
  <si>
    <t>SEGÚN PRESENTACIÓN SCT</t>
  </si>
  <si>
    <t>ANTIGÜEDAD (2014=1)</t>
  </si>
  <si>
    <t>OTRAS MEDIDAS PARA REDUCIR EL CONSUMO DE COMBUSTIBLE</t>
  </si>
  <si>
    <t>PORCIENTO</t>
  </si>
  <si>
    <t>CANTIDAD DE VIAJES CON CLIENTES REGULARES (DE CADA 10 VIAJES)</t>
  </si>
  <si>
    <t>Hasta 5 viajes de cada 10 con Clientes regulares</t>
  </si>
  <si>
    <t>Más de cinco viajes de cada 10 con Clientes regulares</t>
  </si>
  <si>
    <t>RANGO DE VIAJES</t>
  </si>
  <si>
    <t>MOTIVACIÓN PARA COMPRA O CAMBIO DE UNIDAD</t>
  </si>
  <si>
    <t>PROMEDIO DE EDAD</t>
  </si>
  <si>
    <t>EXPERIENCIA PT</t>
  </si>
  <si>
    <t>EXPERIENCIA HC</t>
  </si>
  <si>
    <t>Otros productos</t>
  </si>
  <si>
    <t>Químicos y peligrosos</t>
  </si>
  <si>
    <t>Materias primas para producción/ensamble</t>
  </si>
  <si>
    <t>suma</t>
  </si>
  <si>
    <t>MECANISMOS DE CONTRATACIÓN</t>
  </si>
  <si>
    <t>&lt; 1.9</t>
  </si>
  <si>
    <t>&gt; 5.0</t>
  </si>
  <si>
    <t>RENDIMIENTO DE COMBUSTIBLE POR DISTANCIA DE RECORRIDO CON CARGA</t>
  </si>
  <si>
    <t>30% A 49%</t>
  </si>
  <si>
    <t>20% A 29%</t>
  </si>
  <si>
    <t>10% A 19%</t>
  </si>
  <si>
    <t>&lt; 10%</t>
  </si>
  <si>
    <t>total</t>
  </si>
  <si>
    <t>ENTRE 2 Y 5 UNIDADES</t>
  </si>
  <si>
    <t>PROPIETARIOS CANTIDAD DE UNIDADES</t>
  </si>
  <si>
    <t>EDAD PROPIETARIOS CON UNA UNIDAD</t>
  </si>
  <si>
    <t>EDAD PROPIETARIOS CON 2 A 5 UNIDADES</t>
  </si>
  <si>
    <t>46 a 50 Años</t>
  </si>
  <si>
    <t>51 a 55 Años</t>
  </si>
  <si>
    <t>56 a 60 Años</t>
  </si>
  <si>
    <t>Mayor de 60 Años</t>
  </si>
  <si>
    <t>Menor de 36 Años</t>
  </si>
  <si>
    <t>36 a 40 Años</t>
  </si>
  <si>
    <t>41 a 45 Años</t>
  </si>
  <si>
    <t>EDAD DEL PROPIETARIO DEL SEGMENTO</t>
  </si>
  <si>
    <t>HOMBRE CAMIÓN CON UNA UNIDAD</t>
  </si>
  <si>
    <t>HOMBRE CAMIÓN CON 2 A 5 UNIDADES</t>
  </si>
  <si>
    <t>CON UNA UNIDAD</t>
  </si>
  <si>
    <t>CON 2 A 5 UNIDADES</t>
  </si>
  <si>
    <t>CURSOS QUE PODRÍAN INTERESARLE AL PROPIETARIO</t>
  </si>
  <si>
    <t>TOTALES</t>
  </si>
  <si>
    <t>EXPERIENCIA DE LOS PROPIETARIOS MANEJANDO TRANSPORTE DE CARGA [AÑOS]</t>
  </si>
  <si>
    <t>EXPERIENCIA DE LOS CONDUCTORES MANEJANDO TRANSPORTE DE CARGA [AÑOS]</t>
  </si>
  <si>
    <t>PROPIETARIOS + CONDUCTORES PRODUCTOS QUE TRANSPORTAN LAS UNIDADES</t>
  </si>
  <si>
    <t>CON QUIÉN SE CONTRATAN LOS PROPIETARIOS</t>
  </si>
  <si>
    <t>0 a 5 Viajes</t>
  </si>
  <si>
    <t>6 a 10 Viajes</t>
  </si>
  <si>
    <t>PORCENTAJE QUE RECORRE LA UNIDAD DE VACÍO</t>
  </si>
  <si>
    <t>&gt;$75,000</t>
  </si>
  <si>
    <t>$100,001 A $150,000</t>
  </si>
  <si>
    <t>&lt;$25000</t>
  </si>
  <si>
    <t>$25,001 A $50,000</t>
  </si>
  <si>
    <t>&gt;$50,000</t>
  </si>
  <si>
    <t>&lt;$10,000</t>
  </si>
  <si>
    <t>$20,001 A $50,000</t>
  </si>
  <si>
    <t>GASTOS ANUALES EN ACCIDENTES POR UNIDAD [EN EL ÚLTIMO AÑO]</t>
  </si>
  <si>
    <t>&lt;$5000</t>
  </si>
  <si>
    <t>$5,001 A $25,000</t>
  </si>
  <si>
    <t>&gt;$25,000</t>
  </si>
  <si>
    <t>RESERVA PARTE DE SUS INGRESOS PARA COMPRA O MODERNIZACIÓN DE UNIDAD</t>
  </si>
  <si>
    <t>RESERVA PARTE DE SUS INGRESOS PARA AHORRO</t>
  </si>
  <si>
    <t>PROPIETARIOS CON UNA UNIDAD AÑO MODELO DE LA UNIDAD</t>
  </si>
  <si>
    <t>PROPIETARIOS CON 2 A 5 UNIDADES AÑO MODELO DE LA UNIDAD</t>
  </si>
  <si>
    <t>KILÓMETROS QUE RECORRE POR MES LA UNIDAD</t>
  </si>
  <si>
    <t>NO APLICA</t>
  </si>
  <si>
    <t>NO CONTESTO</t>
  </si>
  <si>
    <t xml:space="preserve">NO SABE </t>
  </si>
  <si>
    <t>NO  SABE</t>
  </si>
  <si>
    <t>NOSABE</t>
  </si>
  <si>
    <t>MANTENIMIENTO. FRECUENCIA DE CAMBIO DE ACEITE (km)</t>
  </si>
  <si>
    <t>ANTIGÜEDAD AL ADQUIRIR LA UNIDAD</t>
  </si>
  <si>
    <t>GRADO DE IMPORTANCIA DEL PLAZO PARA CONTRATAR CRÉDITO</t>
  </si>
  <si>
    <t>GRADO DE IMPORTANCIA DEL ENGANCHE PARA CONTRATAR CRÉDITO</t>
  </si>
  <si>
    <t>GRADO DE IMPORTANCIA DEL PAGO MENSUAL PARA CONTRATAR CRÉDITO</t>
  </si>
  <si>
    <t>GRADO DE IMPORTANCIA DE LOS REQUISITOS PARA CONTRATAR CRÉDITO</t>
  </si>
  <si>
    <t>GRADO DE IMPORTANCIA DE LAS GARANTÍAS PARA CONTRATAR CRÉDITO</t>
  </si>
  <si>
    <t>GRADO DE IMPORTANCIA DE LA TASA DE INTERÉS PARA CONTRATAR CRÉDITO</t>
  </si>
  <si>
    <t>CONOCE EL PROGRAMA TRANSPORTE LIMPIO</t>
  </si>
  <si>
    <t>ANTIGÜEDAD (2014=0)</t>
  </si>
  <si>
    <t>COMENTARIO GDET 10</t>
  </si>
  <si>
    <t>ENCUESTAS REALIZADAS POR REGIÓN</t>
  </si>
  <si>
    <t>COMENTARIO GDET 13</t>
  </si>
  <si>
    <t>COMENTARIO GDET 14</t>
  </si>
  <si>
    <t>COMENTARIO GDET 15</t>
  </si>
  <si>
    <t>ZONA SUR - SURESTE</t>
  </si>
  <si>
    <t>ZONA CENTRO</t>
  </si>
  <si>
    <t>ZONA NOROESTE</t>
  </si>
  <si>
    <t>ZONA NORESTE</t>
  </si>
  <si>
    <t>RELACIÓN DEL LUGAR DE RESIDENCIA CON LA ZONA DE ENCUESTA</t>
  </si>
  <si>
    <t>COMENTARIO GDET 18</t>
  </si>
  <si>
    <t>PRODUCTOS QUE TRANSPORTAN LAS UNIDADES. PROPIETARIOS</t>
  </si>
  <si>
    <t>COMENTARIO GDET 19</t>
  </si>
  <si>
    <t>ELIMINAR LA GRÁFICA DE PIE.</t>
  </si>
  <si>
    <t>DEJAR SOLAMENTE LAS OTRAS DOS GRÁFICAS</t>
  </si>
  <si>
    <t>COMENTARIO GDET 20</t>
  </si>
  <si>
    <t>COMENTARIO GDET 24 Y GDET 25</t>
  </si>
  <si>
    <t>GDET 26</t>
  </si>
  <si>
    <t>DOS A CINCO UNIDADES</t>
  </si>
  <si>
    <t>TIPO DE UNIDAD MOTRIZ SEGÚN TAMAÑO DE LA FLOTA</t>
  </si>
  <si>
    <t>TIPO DE UNIDAD MOTRIZ. PROPIETARIOS CON UNA UNIDAD</t>
  </si>
  <si>
    <t>TIPO DE UNIDAD MOTRIZ. PROPIETARIOS CON DOS UNIDADES</t>
  </si>
  <si>
    <t>TIPO DE UNIDAD MOTRIZ. PROPIETARIOS CON TRES A CINCO UNIDADES</t>
  </si>
  <si>
    <t>TIPO DE UNIDAD MOTRIZ. PROPIETARIOS CON SEIS A TREINTA UNIDADES</t>
  </si>
  <si>
    <t>CARGA QUE TRANSPORTA. PROPIETARIOS CON UNA UNIDAD</t>
  </si>
  <si>
    <t>CARGA QUE TRANSPORTA. PROPIETARIOS CON DOS UNIDADES</t>
  </si>
  <si>
    <t>CARGA QUE TRANSPORTA. PROPIETARIOS CON TRES A CINCO UNIDADES</t>
  </si>
  <si>
    <t>CARGA QUE TRANSPORTA. PROPIETARIOS CON SEIS A TREINTA UNIDADES</t>
  </si>
  <si>
    <t>COMBUSTIBLE POR TIPO DE UNIDAD MOTRIZ</t>
  </si>
  <si>
    <t>COMBUSTIBLE QUE UTILIZAN LAS UNIDADES C2</t>
  </si>
  <si>
    <t>COMBUSTIBLE QUE UTILIZAN LAS UNIDADES C3</t>
  </si>
  <si>
    <t>COMBUSTIBLE QUE UTILIZAN LAS UNIDADES T2</t>
  </si>
  <si>
    <t>RENDIMIENTO DE COMBUSTIBLE (SOLO DIESEL). UNIDAD CARGADA</t>
  </si>
  <si>
    <t>&gt;4.0</t>
  </si>
  <si>
    <t>RENDIMIENTO DE COMBUSTIBLE (SOLO DIESEL). UNIDAD DE VACÍO</t>
  </si>
  <si>
    <t>COMPARACIÓN DE RENDIMIENTO DE COMBUSTIBLE (SOLO DIESEL). UNIDAD CARGADA</t>
  </si>
  <si>
    <t>COMPARACIÓN DE RENDIMIENTO DE COMBUSTIBLE (SOLO DIESEL). UNIDAD DE VACÍO</t>
  </si>
  <si>
    <t>RENDIMIENTO DE COMBUSTIBLE (SOLO DIESEL) POR TIPO DE UNIDAD MOTRIZ. UNIDAD CARGADA</t>
  </si>
  <si>
    <t>RENDIMIENTO DE COMBUSTIBLE (SOLO DIESEL) UNIDADES C2. UNIDAD CARGADA</t>
  </si>
  <si>
    <t>RENDIMIENTO DE COMBUSTIBLE (SOLO DIESEL) UNIDADES C3. UNIDAD CARGADA</t>
  </si>
  <si>
    <t>RENDIMIENTO DE COMBUSTIBLE (SOLO DIESEL) UNIDADES T2. UNIDAD CARGADA</t>
  </si>
  <si>
    <t>RENDIMIENTO DE COMBUSTIBLE (SOLO DIESEL) UNIDADES T3. UNIDAD CARGADA</t>
  </si>
  <si>
    <t>RENDIMIENTO DE COMBUSTIBLE (SOLO DIESEL) POR TIPO DE UNIDAD MOTRIZ. UNIDAD DE VACÍO</t>
  </si>
  <si>
    <t>RENDIMIENTO DE COMBUSTIBLE (SOLO DIESEL) UNIDADES C2 UNIDAD DE VACÍO</t>
  </si>
  <si>
    <t>RENDIMIENTO DE COMBUSTIBLE (SOLO DIESEL) UNIDADES C3 UNIDAD DE VACÍO</t>
  </si>
  <si>
    <t>RENDIMIENTO DE COMBUSTIBLE (SOLO DIESEL) UNIDADES T2 UNIDAD DE VACÍO</t>
  </si>
  <si>
    <t>RENDIMIENTO DE COMBUSTIBLE (SOLO DIESEL) UNIDADES T3 UNIDAD DE VACÍO</t>
  </si>
  <si>
    <t>RENDIMIENTO DE COMBUSTIBLE (GASOLINA) POR TIPO DE UNIDAD MOTRIZ. UNIDAD CARGADA</t>
  </si>
  <si>
    <t>&lt;2.0</t>
  </si>
  <si>
    <t>2.01 A 2.5</t>
  </si>
  <si>
    <t>2.51 A 3.5</t>
  </si>
  <si>
    <t>3.51 A 4.0</t>
  </si>
  <si>
    <t>5.01 A 7.0</t>
  </si>
  <si>
    <t>&gt;7.0</t>
  </si>
  <si>
    <t>RENDIMIENTO DE COMBUSTIBLE (GASOLINA) POR TIPO DE UNIDAD MOTRIZ. UNIDAD DE VACÍO</t>
  </si>
  <si>
    <t>AÑO MODELO DE MOTOR, SEGÚN TIPO DE UNIDAD MOTRIZ</t>
  </si>
  <si>
    <t>AÑO MODELO DE MOTOR</t>
  </si>
  <si>
    <t>Anterior a 1991</t>
  </si>
  <si>
    <t>1991 a 1993</t>
  </si>
  <si>
    <t>1994 a 1997</t>
  </si>
  <si>
    <t>1998 a 2003</t>
  </si>
  <si>
    <t>2004 a 2006</t>
  </si>
  <si>
    <t>2007 a 2010</t>
  </si>
  <si>
    <t>2011 en adelante</t>
  </si>
  <si>
    <t>AÑO MODELO DE MOTOR, UNIDAD TIPO C2</t>
  </si>
  <si>
    <t>AÑO MODELO DE MOTOR, UNIDAD TIPO C3</t>
  </si>
  <si>
    <t>AÑO MODELO DE MOTOR, UNIDAD TIPO T2</t>
  </si>
  <si>
    <t>AÑO MODELO DE MOTOR, UNIDAD TIPO T3</t>
  </si>
  <si>
    <t>AÑO MODELO DE MOTOR, SEGÚN TAMAÑO DE LA FLOTA</t>
  </si>
  <si>
    <t>AÑO MODELO DE MOTOR. PROPIETARIOS CON UNA UNIDAD</t>
  </si>
  <si>
    <t>AÑO MODELO DE MOTOR. PROPIETARIOS CON DOS UNIDADES</t>
  </si>
  <si>
    <t>AÑO MODELO DE MOTOR. PROPIETARIOS CON TRES A CINCO UNIDADES</t>
  </si>
  <si>
    <t>AÑO MODELO DE MOTOR. PROPIETARIOS CON SEIS A TREINTA UNIDADES</t>
  </si>
  <si>
    <t>RENDIMIENTO DE COMBUSTIBLE (SOLO DIESEL) SEGÚN AÑO MODELO DEL MOTOR. UNIDAD CARGADA</t>
  </si>
  <si>
    <t>RENDIMIENTO DE COMBUSTIBLE (SOLO DIESEL) MOTOR ANTERIOR A 1991. UNIDAD CARGADA</t>
  </si>
  <si>
    <t>RENDIMIENTO DE COMBUSTIBLE (SOLO DIESEL) MOTOR ENTRE 1991 Y 1993. UNIDAD CARGADA</t>
  </si>
  <si>
    <t>RENDIMIENTO DE COMBUSTIBLE (SOLO DIESEL) MOTOR ENTRE 1994 Y 1997. UNIDAD CARGADA</t>
  </si>
  <si>
    <t>RENDIMIENTO DE COMBUSTIBLE (SOLO DIESEL) MOTOR ENTRE 2004 Y 2006. UNIDAD CARGADA</t>
  </si>
  <si>
    <t>RENDIMIENTO DE COMBUSTIBLE (SOLO DIESEL) MOTOR ENTRE 2007 Y 2010. UNIDAD CARGADA</t>
  </si>
  <si>
    <t>RENDIMIENTO DE COMBUSTIBLE (SOLO DIESEL) MOTOR 2011 EN ADELANTE. UNIDAD CARGADA</t>
  </si>
  <si>
    <t>RENDIMIENTO DE COMBUSTIBLE (SOLO DIESEL) MOTOR ENTRE 1998 Y 2003. UNIDAD CARGADA</t>
  </si>
  <si>
    <t>RENDIMIENTO DE COMBUSTIBLE (SOLO DIESEL) SEGÚN AÑO MODELO DEL MOTOR. UNIDAD DE VACÍO</t>
  </si>
  <si>
    <t>RENDIMIENTO DE COMBUSTIBLE (SOLO DIESEL) MOTOR ANTERIOR A 1991. UNIDAD DE VACÍO</t>
  </si>
  <si>
    <t>RENDIMIENTO DE COMBUSTIBLE (SOLO DIESEL) MOTOR ENTRE 1991 Y 1993. UNIDAD DE VACÍO</t>
  </si>
  <si>
    <t>RENDIMIENTO DE COMBUSTIBLE (SOLO DIESEL) MOTOR ENTRE 1994 Y 1997. UNIDAD DE VACÍO</t>
  </si>
  <si>
    <t>RENDIMIENTO DE COMBUSTIBLE (SOLO DIESEL) MOTOR ENTRE 1998 Y 2003. UNIDAD DE VACÍO</t>
  </si>
  <si>
    <t>RENDIMIENTO DE COMBUSTIBLE (SOLO DIESEL) MOTOR ENTRE 2004 Y 2006. UNIDAD DE VACÍO</t>
  </si>
  <si>
    <t>RENDIMIENTO DE COMBUSTIBLE (SOLO DIESEL) MOTOR ENTRE 2007 Y 2010. UNIDAD DE VACÍO</t>
  </si>
  <si>
    <t>RENDIMIENTO DE COMBUSTIBLE (SOLO DIESEL) MOTOR 2011 EN ADELANTE. UNIDAD DE VACÍO</t>
  </si>
  <si>
    <t>KILÓMETROS RECORRIDOS SEGÚN AÑO MODELO DE LA UNIDAD</t>
  </si>
  <si>
    <t>NO SABE/DAÑADO/NOCONTESTA</t>
  </si>
  <si>
    <t>KILÓMETROS RECORRIDOS SEGÚN AÑO MODELO DE LA UNIDAD. UNIDAD ANTERIOR A 1991</t>
  </si>
  <si>
    <t>KILÓMETROS RECORRIDOS SEGÚN AÑO MODELO DE LA UNIDAD. UNIDAD ENTRE 1991 Y 1993</t>
  </si>
  <si>
    <t>1991 A 1993</t>
  </si>
  <si>
    <t>KILÓMETROS RECORRIDOS SEGÚN AÑO MODELO DE LA UNIDAD. UNIDAD ENTRE 1994 Y 1997</t>
  </si>
  <si>
    <t>1994 A 1997</t>
  </si>
  <si>
    <t>KILÓMETROS RECORRIDOS SEGÚN AÑO MODELO DE LA UNIDAD. UNIDAD ENTRE 1998 Y 2003</t>
  </si>
  <si>
    <t>1998 A 2003</t>
  </si>
  <si>
    <t>KILÓMETROS RECORRIDOS SEGÚN AÑO MODELO DE LA UNIDAD. UNIDAD ENTRE 2004 Y 2006</t>
  </si>
  <si>
    <t>2004 A 2006</t>
  </si>
  <si>
    <t>KILÓMETROS RECORRIDOS SEGÚN AÑO MODELO DE LA UNIDAD. UNIDAD ENTRE 2007 Y 2010</t>
  </si>
  <si>
    <t>2007 A 2010</t>
  </si>
  <si>
    <t>KILÓMETROS RECORRIDOS SEGÚN AÑO MODELO DE LA UNIDAD. UNIDAD 2011 EN ADELANTE</t>
  </si>
  <si>
    <t>2011 EN ADELANTE</t>
  </si>
  <si>
    <t>KILÓMETROS QUE RECORRE LA UNIDAD POR MES SEGÚN AÑO MODELO DEL MOTOR.</t>
  </si>
  <si>
    <t>KILÓMETROS POR MES QUE RECORRE LA UNIDAD. AÑO MODELO DEL MOTOR ANTERIOR A 1991</t>
  </si>
  <si>
    <t>KILÓMETROS POR MES QUE RECORRE LA UNIDAD. AÑO MODELO DEL MOTOR ENTRE 1991 Y 1993</t>
  </si>
  <si>
    <t>KILÓMETROS POR MES QUE RECORRE LA UNIDAD. AÑO MODELO DEL MOTOR ENTRE 1994 Y 1997</t>
  </si>
  <si>
    <t>KILÓMETROS POR MES QUE RECORRE LA UNIDAD. AÑO MODELO DEL MOTOR ENTRE 1998 Y 2003</t>
  </si>
  <si>
    <t>KILÓMETROS POR MES QUE RECORRE LA UNIDAD. AÑO MODELO DEL MOTOR ENTRE 2004 Y 2006</t>
  </si>
  <si>
    <t>KILÓMETROS POR MES QUE RECORRE LA UNIDAD. AÑO MODELO DEL MOTOR ENTRE 2007 Y 2010</t>
  </si>
  <si>
    <t>KILÓMETROS POR MES QUE RECORRE LA UNIDAD. AÑO MODELO DEL MOTOR 2011 EN ADELANTE</t>
  </si>
  <si>
    <t>&lt; DE 35 AÑOS</t>
  </si>
  <si>
    <t>DE 35 A 45 AÑOS</t>
  </si>
  <si>
    <t>DE 46 A 55 AÑOS</t>
  </si>
  <si>
    <t>DE 56 A 60 AÑOS</t>
  </si>
  <si>
    <t>&gt; DE 60 AÑOS</t>
  </si>
  <si>
    <t>EDAD DE PROPIETARIOS SEGÚN TAMAÑO DE LA FLOTA</t>
  </si>
  <si>
    <t>EDAD DE PROPIETARIOS POR TAMAÑO DE LA FLOTA SEGÚN SEGMENTO DE EDAD</t>
  </si>
  <si>
    <t>ESCOLARIDAD DE LOS PROPIETARIOS SEGÚN TAMAÑO DE LA FLOTA</t>
  </si>
  <si>
    <t>PREPARATORIA/BACHILLERATO</t>
  </si>
  <si>
    <t>MECANISMOS DE CONTRATACIÓN SEGÚN TAMAÑO DE FLOTA</t>
  </si>
  <si>
    <t>Con empresa logística</t>
  </si>
  <si>
    <t>Con el cliente</t>
  </si>
  <si>
    <t>Con contrato firmado</t>
  </si>
  <si>
    <t>El Dueño</t>
  </si>
  <si>
    <t>Ambos (Cliente y Dueño)</t>
  </si>
  <si>
    <t>PORCENTAJE QUE RECORREN DE VACÍO LAS UNIDADES</t>
  </si>
  <si>
    <t>50% DE VACÍO</t>
  </si>
  <si>
    <t>30% A 49% DE VACÍO</t>
  </si>
  <si>
    <t>20% A 29% DE VACÍO</t>
  </si>
  <si>
    <t>10% A 19% DE VACÍO</t>
  </si>
  <si>
    <t>&lt;10% DE VACÍO</t>
  </si>
  <si>
    <t>PORCENTAJE QUE RECORREN DE VACÍO LAS UNIDADES. PROPIETARIOS CON UNA UNIDAD</t>
  </si>
  <si>
    <t>PORCENTAJE QUE RECORREN DE VACÍO LAS UNIDADES. PROPIETARIOS CON DOS UNIDADES</t>
  </si>
  <si>
    <t>PORCENTAJE QUE RECORREN DE VACÍO LAS UNIDADES. PROPIETARIOS CON TRES A CINCO UNIDADES</t>
  </si>
  <si>
    <t>PORCENTAJE QUE RECORREN DE VACÍO LAS UNIDADES. PROPIETARIOS CON SEIS A TREINTA UNIDADES</t>
  </si>
  <si>
    <t>CUENTA CON PERSONAL PARA ADMINISTRACIÓN SEGÚN TAMAÑO DE LA FLOTA</t>
  </si>
  <si>
    <t>GASTOS ANUALES POR OPERADOR SEGÚN TAMAÑO DE LA FLOTA</t>
  </si>
  <si>
    <t>&lt; DE $50,000</t>
  </si>
  <si>
    <t>ENTRE $75,001 Y $100,000</t>
  </si>
  <si>
    <t>ENTRE $50,001 Y $75,000</t>
  </si>
  <si>
    <t>ENTRE $100,001 Y $125,000</t>
  </si>
  <si>
    <t>ENTRE $125,001 Y $150,000</t>
  </si>
  <si>
    <t>ENTRE $150,001 Y $175,000</t>
  </si>
  <si>
    <t>&gt; DE $175,000</t>
  </si>
  <si>
    <t xml:space="preserve">GASTOS ANUALES POR UNIDAD SEGÚN TAMAÑO DE LA FLOTA GASTOS POR AYUDANTES </t>
  </si>
  <si>
    <t>&gt; DE $75,000</t>
  </si>
  <si>
    <t>GASTOS ANUALES POR UNIDAD SEGÚN TAMAÑO DE LA FLOTA GASTOS EN LLANTAS</t>
  </si>
  <si>
    <t>GASTOS ANUALES POR UNIDAD SEGÚN TAMAÑO DE LA FLOTA GASTOS EN LLANTAS UNIDADES C2</t>
  </si>
  <si>
    <t>GASTOS ANUALES POR UNIDAD SEGÚN TAMAÑO DE LA FLOTA GASTOS EN LLANTAS UNIDADES C3</t>
  </si>
  <si>
    <t>GASTOS ANUALES POR UNIDAD SEGÚN TAMAÑO DE LA FLOTA GASTOS EN LLANTAS UNIDADES T2</t>
  </si>
  <si>
    <t>GASTOS ANUALES POR UNIDAD SEGÚN TAMAÑO DE LA FLOTA GASTOS EN LLANTAS UNIDADES T3</t>
  </si>
  <si>
    <t>GASTOS ANUALES POR REPARACIONES SEGÚN TAMAÑO DE LA FLOTA</t>
  </si>
  <si>
    <t>ENTRE $25,001 Y $50,000</t>
  </si>
  <si>
    <t>&lt; $25,000</t>
  </si>
  <si>
    <t>&gt; $75,000</t>
  </si>
  <si>
    <t>GASTOS ANUALES POR SEGUROS SEGÚN TAMAÑO DE LA FLOTA</t>
  </si>
  <si>
    <t>&lt; $5,000</t>
  </si>
  <si>
    <t>ENTRE $5,001 Y $10,000</t>
  </si>
  <si>
    <t>ENTRE $10,001 Y $20,000</t>
  </si>
  <si>
    <t>ENTRE $20,001 Y $30,000</t>
  </si>
  <si>
    <t>ENTRE $30,001 Y $50,000</t>
  </si>
  <si>
    <t>&gt; $50,000</t>
  </si>
  <si>
    <t>GASTOS ANUALES POR ACCIDENTES SEGÚN TAMAÑO DE LA FLOTA</t>
  </si>
  <si>
    <t>FRECUENCIA DE PAGO DEL SERVICIO SEGÚN TAMAÑO DE FLOTA</t>
  </si>
  <si>
    <t>Quincenalmente o 21 días</t>
  </si>
  <si>
    <t>MEDIO DE OBTENCIÓN DEL CRÉDITO SEGÚN TAMAÑO DE LA FLOTA</t>
  </si>
  <si>
    <t>Crédito automotriz</t>
  </si>
  <si>
    <t>Empeño o Prestamista</t>
  </si>
  <si>
    <t>Un amigo o Familiar</t>
  </si>
  <si>
    <t>CRÉDITOS EN LOS ÚLTIMOS 12 MESES SEGÚN TAMAÑO DE LA FLOTA</t>
  </si>
  <si>
    <t>Para Autofinancimiento de una unidad</t>
  </si>
  <si>
    <r>
      <t xml:space="preserve">EQUIPAMIENTO SEGÚN AÑO MODELO </t>
    </r>
    <r>
      <rPr>
        <b/>
        <i/>
        <u/>
        <sz val="11"/>
        <color theme="1"/>
        <rFont val="Calibri"/>
        <family val="2"/>
        <scheme val="minor"/>
      </rPr>
      <t>DE LA UNIDAD</t>
    </r>
  </si>
  <si>
    <t>ENFRIAMIENTO DE CABINA</t>
  </si>
  <si>
    <t>INFLADO AUTOMÁTICO DE LLANTAS</t>
  </si>
  <si>
    <t>REDUCCIÓN DE PESO MUERTO</t>
  </si>
  <si>
    <t>GPS PARA RASTREO</t>
  </si>
  <si>
    <t>GPS PARA RUTA</t>
  </si>
  <si>
    <t>FALDONES TRASEROS</t>
  </si>
  <si>
    <t>EQUIPAMIENTO SEGÚN TIPO DE UNIDAD</t>
  </si>
  <si>
    <t>&lt;10,000 KM</t>
  </si>
  <si>
    <t>ENTRE 10,001 Y 15,000 KM</t>
  </si>
  <si>
    <t>ENTRE 15,001 Y 20,000 KM</t>
  </si>
  <si>
    <t>ENTRE 20,001 Y 25,000 KM</t>
  </si>
  <si>
    <t>ENTRE 25,001 Y 30,000 KM</t>
  </si>
  <si>
    <t>ENTRE 30,001 Y 40,000 KM</t>
  </si>
  <si>
    <t>&gt; 40,000 KM</t>
  </si>
  <si>
    <t xml:space="preserve">MANTENIMIENTO DE LAS UNIDADES SEGÚN AÑO MODELO DEL MOTOR. FRECUENCIA DE CAMBIO DE ACEITE </t>
  </si>
  <si>
    <t>MANTENIMIENTO DE LAS UNIDADES SEGÚN AÑO MODELO DEL MOTOR. FRECUENCIA DE AFINACIÓN DE MOTOR</t>
  </si>
  <si>
    <t>MANTENIMIENTO DE LAS UNIDADES SEGÚN AÑO MODELO DEL MOTOR. FRECUENCIA DE CAMBIO DE FRENOS</t>
  </si>
  <si>
    <t>MANTENIMIENTO DE LAS UNIDADES SEGÚN AÑO MODELO DEL MOTOR. FRECUENCIA DE CAMBIO DE LLANTAS</t>
  </si>
  <si>
    <t>&lt;50,000 KM</t>
  </si>
  <si>
    <t>ENTRE 50,001 Y 75,000 KM</t>
  </si>
  <si>
    <t>ENTRE 75,001 Y 100,000 KM</t>
  </si>
  <si>
    <t>ENTRE 100,001 Y 115,000 KM</t>
  </si>
  <si>
    <t>ENTRE 115,001 Y 125,000 KM</t>
  </si>
  <si>
    <t>ENTRE 125,001 Y 150,000 KM</t>
  </si>
  <si>
    <t>&gt; 150,000 KM</t>
  </si>
  <si>
    <t xml:space="preserve">MANTENIMIENTO DE LAS UNIDADES SEGÚN TIPO DE UNIDAD. FRECUENCIA DE CAMBIO DE ACEITE </t>
  </si>
  <si>
    <t>MANTENIMIENTO DE LAS UNIDADES SEGÚN TIPO DE UNIDAD. FRECUENCIA DE AFINACIÓN DE MOTOR</t>
  </si>
  <si>
    <t>MANTENIMIENTO DE LAS UNIDADES SEGÚN TIPO DE UNIDAD. FRECUENCIA DE CAMBIO DE FRENOS</t>
  </si>
  <si>
    <t>MANTENIMIENTO DE LAS UNIDADES SEGÚN TIPO DE UNIDAD. FRECUENCIA DE CAMBIO DE LLANTAS</t>
  </si>
  <si>
    <t>Tiene Capital disponible</t>
  </si>
  <si>
    <t>Otras razones</t>
  </si>
  <si>
    <t>No necesita/No ha cambiado</t>
  </si>
  <si>
    <t>Cuando es buena Oferta</t>
  </si>
  <si>
    <t>MOTIVACIÓN PARA COMPRA O CAMBIO DE UNIDAD SEGÚN TAMAÑO DE LA FLOTA</t>
  </si>
  <si>
    <t>Para compra de unidades nuevas</t>
  </si>
  <si>
    <t>Para compra de unidades usadas</t>
  </si>
  <si>
    <t>Para mejora de unidades</t>
  </si>
  <si>
    <t>DISPOSICIÓN A LA CONTRATACIÓN DE CRÉDITOS SEGÚN TAMAÑO DE LA FLOTA</t>
  </si>
  <si>
    <t>CRÉDITO CARO</t>
  </si>
  <si>
    <t>GENERACIÓN DE RESERVAS FINANCIERAS SEGÚN NIVEL EDUCATIVO</t>
  </si>
  <si>
    <t>RESERVA PARA COMPRA DE UNIDAD</t>
  </si>
  <si>
    <t>RESERVA PARA AHORRO</t>
  </si>
  <si>
    <t>NO RESERVA PARA COMPRA DE UNIDAD</t>
  </si>
  <si>
    <t>NO RESERVA PARA AHORRO</t>
  </si>
  <si>
    <t>CONTRATACIÓN DE CRÉDITO SEGÚN NIVEL DE ESCOLARIDAD</t>
  </si>
  <si>
    <r>
      <t xml:space="preserve">FORMA DE ADQUISICIÓN SEGÚN AÑO MODELO </t>
    </r>
    <r>
      <rPr>
        <b/>
        <i/>
        <u/>
        <sz val="11"/>
        <color theme="1"/>
        <rFont val="Calibri"/>
        <family val="2"/>
        <scheme val="minor"/>
      </rPr>
      <t>DE LA UNIDAD</t>
    </r>
  </si>
  <si>
    <t>HERENCIA</t>
  </si>
  <si>
    <t>CONTADO</t>
  </si>
  <si>
    <t>EN RENTA</t>
  </si>
  <si>
    <t>PRESTADA</t>
  </si>
  <si>
    <t>POR CRÉDITO Y PAGADA</t>
  </si>
  <si>
    <t>EN PROCESO DE PAGO</t>
  </si>
  <si>
    <t>PARTICIPACIÓN EN EL PROGRAMA DE CHATARRIZACIÓN SEGÚN CARGA QUE TRANSPORTA</t>
  </si>
  <si>
    <t>PARTICIPACIÓN EN EL PROGRAMA DE CHATARRIZACIÓN SEGÚN TAMAÑO DE LA FLOTA</t>
  </si>
  <si>
    <t>AÑO MODELO DE MOTOR POR TIPO DE UNIDAD</t>
  </si>
  <si>
    <t>AÑO MODELO DE MOTOR UNIDADES TIPO C2</t>
  </si>
  <si>
    <t>AÑO MODELO DE MOTOR UNIDADES TIPO C3</t>
  </si>
  <si>
    <t>AÑO MODELO DE MOTOR UNIDADES TIPO T2</t>
  </si>
  <si>
    <t>AÑO MODELO DE MOTOR UNIDADES TIPO T3</t>
  </si>
  <si>
    <t>KILÓMETROS RECORRIDOS POR TAMAÑO DE LA FLOTA</t>
  </si>
  <si>
    <t>&gt;2'500,000 KM</t>
  </si>
  <si>
    <t>KILÓMETROS RECORRIDOS PROPIETARIOS CON UNA UNIDAD</t>
  </si>
  <si>
    <t>KILÓMETROS RECORRIDOS PROPIETARIOS CON DOS UNIDADES</t>
  </si>
  <si>
    <t>KILÓMETROS RECORRIDOS PROPIETARIOS CON TRES A CINCO UNIDADES</t>
  </si>
  <si>
    <t>KILÓMETROS RECORRIDOS PROPIETARIOS CON SEIS A TREINTA UNIDADES</t>
  </si>
  <si>
    <t>SEIS A TREINTA</t>
  </si>
  <si>
    <r>
      <t xml:space="preserve">KILÓMETROS RECORRIDOS SEGÚN AÑO MODELO </t>
    </r>
    <r>
      <rPr>
        <b/>
        <i/>
        <u/>
        <sz val="11"/>
        <color theme="1"/>
        <rFont val="Calibri"/>
        <family val="2"/>
        <scheme val="minor"/>
      </rPr>
      <t>DE LA UNIDAD</t>
    </r>
  </si>
  <si>
    <t>CONDUCTORES FACTORES PARA FIJAR LAS RUTAS</t>
  </si>
  <si>
    <t>TIPOS DE UNIDADES DE ARRASTRE ENCUESTA A PROPIETARIOS</t>
  </si>
  <si>
    <t>KILÓMETROS QUE RECORREN POR MES UNIDADES TIPO C2 ENCUESTA A PROPIETARIOS</t>
  </si>
  <si>
    <t>KILÓMETROS QUE RECORREN POR MES UNIDADES TIPO C3 ENCUESTA A PROPIETARIOS</t>
  </si>
  <si>
    <t>KILÓMETROS QUE RECORREN POR MES UNIDADES TIPO T2 ENCUESTA A PROPIETARIOS</t>
  </si>
  <si>
    <t>KILÓMETROS QUE RECORREN POR MES UNIDADES TIPO T3 ENCUESTA A PROPIETARIOS</t>
  </si>
  <si>
    <t>&gt;12,500  KM</t>
  </si>
  <si>
    <t>&gt;12,500 KM</t>
  </si>
  <si>
    <t>CARGA QUE TRANSPORTA SEGÚN TAMAÑO DE LA FLOTA PRODUCTOS PERECEDEROS. ENCUESTA A PROPIETARIOS</t>
  </si>
  <si>
    <t>CARGA QUE TRANSPORTA SEGÚN TAMAÑO DE FLOTA ENCUESTA A PROPIETARIOS</t>
  </si>
  <si>
    <t>CARGA QUE TRANSPORTA SEGÚN TAMAÑO DE LA FLOTA ALIMENTOS NO PERECEDEROS. ENCUESTA A PROPIETARIOS</t>
  </si>
  <si>
    <t>CARGA QUE TRANSPORTA SEGÚN TAMAÑO DE LA FLOTA QUÍMICOS Y PELIGROSOS. ENCUESTA A PROPIETARIOS</t>
  </si>
  <si>
    <t>CARGA QUE TRANSPORTA SEGÚN TAMAÑO DE LA FLOTA MATERIALES PARA CONSTRUCCIÓN. ENCUESTA A PROPIETARIOS</t>
  </si>
  <si>
    <t>CARGA QUE TRANSPORTA SEGÚN TAMAÑO DE LA FLOTA MATERIAS PRIMAS PARA PRODUCCIÓN/ENSAMBLE. ENCUESTA A PROPIETARIOS</t>
  </si>
  <si>
    <t>CARGA QUE TRANSPORTA SEGÚN TAMAÑO DE LA FLOTA GRANOS. ENCUESTA A PROPIETARIOS</t>
  </si>
  <si>
    <t>CARGA QUE TRANSPORTA SEGÚN TAMAÑO DE LA FLOTA PRODUCTOS REFRIGERADOS. ENCUESTA A PROPIETARIOS</t>
  </si>
  <si>
    <t>CARGA QUE TRANSPORTA SEGÚN TAMAÑO DE LA FLOTA OTROS PRODUCTOS. ENCUESTA A PROPIETARIOS</t>
  </si>
  <si>
    <t>FACTOR DE MAYOR IMPORTANCIA PARA FIJAR LA RUTA SEGÚN TAMAÑO DE LA FLOTA. ENCUESTA A PROPIETARIOS</t>
  </si>
  <si>
    <t>FACTOR DE IMPORTANCIA MEDIA - ALTA PARA FIJAR LA RUTA SEGÚN TAMAÑO DE LA FLOTA. ENCUESTA A PROPIETARIOS</t>
  </si>
  <si>
    <t>FACTOR DE IMPORTANCIA MEDIA - BAJA PARA FIJAR LA RUTA SEGÚN TAMAÑO DE LA FLOTA. ENCUESTA A PROPIETARIOS</t>
  </si>
  <si>
    <t>FACTOR DE MENOR IMPORTANCIA PARA FIJAR LA RUTA SEGÚN TAMAÑO DE LA FLOTA. ENCUESTA A PROPIETARIOS</t>
  </si>
  <si>
    <t>UNA A TREINTA UNIDADES</t>
  </si>
  <si>
    <t>Fecha</t>
  </si>
  <si>
    <t>Lugar</t>
  </si>
  <si>
    <t>Oaxaca Oax.</t>
  </si>
  <si>
    <t>Salvatierra, Gto.</t>
  </si>
  <si>
    <t>Cortazar, Gto.</t>
  </si>
  <si>
    <t>Corregidora Qro.</t>
  </si>
  <si>
    <t>Celaya, Gto.</t>
  </si>
  <si>
    <t>Salamanca, Gto.</t>
  </si>
  <si>
    <t>Irapuato, Gto.</t>
  </si>
  <si>
    <t>San Juan del Río, Qro.</t>
  </si>
  <si>
    <t>Silao, Gto.</t>
  </si>
  <si>
    <t>León, Gto.</t>
  </si>
  <si>
    <t>Guadalajara, Jal.</t>
  </si>
  <si>
    <t>Apodaca, N. L.</t>
  </si>
  <si>
    <t>Guadalupe, N. L.</t>
  </si>
  <si>
    <t>Reynosa, Tam.</t>
  </si>
  <si>
    <t>Rio Bravo, Tam.</t>
  </si>
  <si>
    <t>Matamoros, Tam.</t>
  </si>
  <si>
    <t>Tampico, Tam.</t>
  </si>
  <si>
    <t>Altamira Tam.</t>
  </si>
  <si>
    <t>Boca del Río, Ver.</t>
  </si>
  <si>
    <t>Cd. Juárez, Chih.</t>
  </si>
  <si>
    <t>Guamúchil, Sin.</t>
  </si>
  <si>
    <t>Culicán, Sin.</t>
  </si>
  <si>
    <t>Iztapalapa D.F.</t>
  </si>
  <si>
    <t>Terminal Central de Carga de Oriente  D.F.</t>
  </si>
  <si>
    <t>Querétaro, Qro.</t>
  </si>
  <si>
    <t>Centro SCT Las Bombas</t>
  </si>
  <si>
    <t>Apaseo el Alto, Gto.</t>
  </si>
  <si>
    <t>Antigüedad</t>
  </si>
  <si>
    <t>TRES A CINCO</t>
  </si>
  <si>
    <t>DOS A TREINTA</t>
  </si>
  <si>
    <t>TODAS</t>
  </si>
  <si>
    <t>ANTIGÜEDAD PROMEDIO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</si>
</sst>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5" formatCode="&quot;$&quot;#,##0;\-&quot;$&quot;#,##0"/>
    <numFmt numFmtId="8" formatCode="&quot;$&quot;#,##0.00;[Red]\-&quot;$&quot;#,##0.00"/>
    <numFmt numFmtId="164" formatCode="&quot;$&quot;#,##0"/>
    <numFmt numFmtId="165" formatCode="0.0%"/>
    <numFmt numFmtId="166" formatCode="#,##0.0"/>
    <numFmt numFmtId="167" formatCode="0.000"/>
    <numFmt numFmtId="168" formatCode="0.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 style="medium">
        <color auto="1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375">
    <xf numFmtId="0" fontId="0" fillId="0" borderId="0" xfId="0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47" xfId="0" applyFont="1" applyFill="1" applyBorder="1" applyAlignment="1">
      <alignment horizontal="center" vertical="center" wrapText="1"/>
    </xf>
    <xf numFmtId="165" fontId="0" fillId="0" borderId="0" xfId="1" applyNumberFormat="1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0" fillId="0" borderId="21" xfId="0" quotePrefix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quotePrefix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21" xfId="0" applyFill="1" applyBorder="1"/>
    <xf numFmtId="3" fontId="0" fillId="0" borderId="21" xfId="0" applyNumberFormat="1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21" xfId="0" applyFill="1" applyBorder="1" applyAlignment="1">
      <alignment horizontal="center"/>
    </xf>
    <xf numFmtId="3" fontId="0" fillId="0" borderId="21" xfId="0" applyNumberFormat="1" applyFill="1" applyBorder="1" applyAlignment="1">
      <alignment horizontal="center"/>
    </xf>
    <xf numFmtId="0" fontId="0" fillId="0" borderId="0" xfId="0" applyFill="1"/>
    <xf numFmtId="0" fontId="0" fillId="0" borderId="21" xfId="0" quotePrefix="1" applyFill="1" applyBorder="1" applyAlignment="1">
      <alignment horizontal="center"/>
    </xf>
    <xf numFmtId="0" fontId="0" fillId="0" borderId="0" xfId="0" applyFill="1" applyBorder="1" applyAlignment="1">
      <alignment horizontal="left" vertical="center"/>
    </xf>
    <xf numFmtId="5" fontId="0" fillId="0" borderId="21" xfId="0" applyNumberFormat="1" applyFill="1" applyBorder="1" applyAlignment="1">
      <alignment horizontal="center"/>
    </xf>
    <xf numFmtId="9" fontId="0" fillId="0" borderId="21" xfId="1" applyFont="1" applyFill="1" applyBorder="1" applyAlignment="1">
      <alignment horizontal="center"/>
    </xf>
    <xf numFmtId="164" fontId="0" fillId="0" borderId="21" xfId="0" applyNumberFormat="1" applyFill="1" applyBorder="1" applyAlignment="1">
      <alignment horizontal="center"/>
    </xf>
    <xf numFmtId="0" fontId="0" fillId="0" borderId="42" xfId="0" applyFill="1" applyBorder="1" applyAlignment="1">
      <alignment horizontal="center"/>
    </xf>
    <xf numFmtId="9" fontId="0" fillId="0" borderId="21" xfId="1" applyFont="1" applyFill="1" applyBorder="1" applyAlignment="1">
      <alignment horizontal="center" vertical="center"/>
    </xf>
    <xf numFmtId="166" fontId="0" fillId="0" borderId="21" xfId="0" applyNumberFormat="1" applyFill="1" applyBorder="1" applyAlignment="1">
      <alignment horizontal="center" vertical="center"/>
    </xf>
    <xf numFmtId="164" fontId="0" fillId="0" borderId="21" xfId="0" applyNumberFormat="1" applyFill="1" applyBorder="1" applyAlignment="1">
      <alignment horizontal="center" vertical="center"/>
    </xf>
    <xf numFmtId="166" fontId="0" fillId="0" borderId="21" xfId="0" applyNumberFormat="1" applyFill="1" applyBorder="1" applyAlignment="1">
      <alignment horizontal="center"/>
    </xf>
    <xf numFmtId="3" fontId="0" fillId="0" borderId="0" xfId="0" applyNumberFormat="1" applyFill="1"/>
    <xf numFmtId="9" fontId="0" fillId="0" borderId="0" xfId="1" applyFont="1" applyFill="1"/>
    <xf numFmtId="166" fontId="0" fillId="0" borderId="0" xfId="0" applyNumberFormat="1" applyFill="1"/>
    <xf numFmtId="3" fontId="5" fillId="0" borderId="0" xfId="0" applyNumberFormat="1" applyFont="1" applyFill="1"/>
    <xf numFmtId="164" fontId="0" fillId="0" borderId="0" xfId="0" applyNumberFormat="1" applyFill="1"/>
    <xf numFmtId="0" fontId="2" fillId="0" borderId="1" xfId="0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/>
    </xf>
    <xf numFmtId="9" fontId="1" fillId="0" borderId="16" xfId="1" applyFont="1" applyFill="1" applyBorder="1" applyAlignment="1">
      <alignment horizontal="center" vertical="center" wrapText="1"/>
    </xf>
    <xf numFmtId="166" fontId="1" fillId="0" borderId="16" xfId="0" applyNumberFormat="1" applyFont="1" applyFill="1" applyBorder="1" applyAlignment="1">
      <alignment horizontal="center" vertical="center" wrapText="1"/>
    </xf>
    <xf numFmtId="3" fontId="1" fillId="0" borderId="47" xfId="0" applyNumberFormat="1" applyFont="1" applyFill="1" applyBorder="1" applyAlignment="1">
      <alignment horizontal="center" vertical="center" wrapText="1"/>
    </xf>
    <xf numFmtId="3" fontId="1" fillId="0" borderId="51" xfId="0" applyNumberFormat="1" applyFont="1" applyFill="1" applyBorder="1" applyAlignment="1">
      <alignment horizontal="center" vertical="center" wrapText="1"/>
    </xf>
    <xf numFmtId="3" fontId="1" fillId="0" borderId="48" xfId="0" applyNumberFormat="1" applyFont="1" applyFill="1" applyBorder="1" applyAlignment="1">
      <alignment horizontal="center" vertical="center" wrapText="1"/>
    </xf>
    <xf numFmtId="3" fontId="1" fillId="0" borderId="50" xfId="0" applyNumberFormat="1" applyFont="1" applyFill="1" applyBorder="1" applyAlignment="1">
      <alignment horizontal="center" vertical="center" wrapText="1"/>
    </xf>
    <xf numFmtId="164" fontId="1" fillId="0" borderId="16" xfId="0" applyNumberFormat="1" applyFont="1" applyFill="1" applyBorder="1" applyAlignment="1">
      <alignment horizontal="center" vertical="center" wrapText="1"/>
    </xf>
    <xf numFmtId="164" fontId="0" fillId="0" borderId="0" xfId="0" applyNumberFormat="1" applyFill="1" applyAlignment="1">
      <alignment horizontal="center" vertical="center"/>
    </xf>
    <xf numFmtId="5" fontId="0" fillId="0" borderId="21" xfId="0" quotePrefix="1" applyNumberFormat="1" applyFill="1" applyBorder="1" applyAlignment="1">
      <alignment horizontal="center"/>
    </xf>
    <xf numFmtId="3" fontId="0" fillId="0" borderId="21" xfId="0" quotePrefix="1" applyNumberFormat="1" applyFill="1" applyBorder="1" applyAlignment="1">
      <alignment horizontal="center" vertical="center"/>
    </xf>
    <xf numFmtId="0" fontId="0" fillId="0" borderId="21" xfId="0" applyNumberFormat="1" applyFill="1" applyBorder="1" applyAlignment="1">
      <alignment horizontal="center"/>
    </xf>
    <xf numFmtId="1" fontId="0" fillId="0" borderId="21" xfId="0" applyNumberFormat="1" applyFill="1" applyBorder="1" applyAlignment="1">
      <alignment horizontal="center"/>
    </xf>
    <xf numFmtId="3" fontId="0" fillId="0" borderId="21" xfId="0" quotePrefix="1" applyNumberFormat="1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1" fillId="0" borderId="1" xfId="0" applyFont="1" applyFill="1" applyBorder="1" applyAlignment="1">
      <alignment horizontal="left" vertical="top"/>
    </xf>
    <xf numFmtId="0" fontId="1" fillId="0" borderId="5" xfId="0" applyFont="1" applyFill="1" applyBorder="1" applyAlignment="1">
      <alignment horizontal="left" vertical="top"/>
    </xf>
    <xf numFmtId="0" fontId="1" fillId="0" borderId="5" xfId="0" applyFont="1" applyFill="1" applyBorder="1"/>
    <xf numFmtId="0" fontId="1" fillId="0" borderId="5" xfId="0" quotePrefix="1" applyFont="1" applyFill="1" applyBorder="1" applyAlignment="1">
      <alignment horizontal="left" vertical="top"/>
    </xf>
    <xf numFmtId="0" fontId="1" fillId="0" borderId="10" xfId="0" quotePrefix="1" applyFont="1" applyFill="1" applyBorder="1" applyAlignment="1">
      <alignment horizontal="left" vertical="top"/>
    </xf>
    <xf numFmtId="0" fontId="0" fillId="0" borderId="17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3" fontId="0" fillId="0" borderId="18" xfId="0" applyNumberFormat="1" applyFill="1" applyBorder="1" applyAlignment="1">
      <alignment horizontal="center" vertical="center"/>
    </xf>
    <xf numFmtId="9" fontId="0" fillId="0" borderId="18" xfId="1" applyFont="1" applyFill="1" applyBorder="1" applyAlignment="1">
      <alignment horizontal="center" vertical="center"/>
    </xf>
    <xf numFmtId="166" fontId="0" fillId="0" borderId="18" xfId="0" applyNumberFormat="1" applyFill="1" applyBorder="1" applyAlignment="1">
      <alignment horizontal="center" vertical="center"/>
    </xf>
    <xf numFmtId="164" fontId="0" fillId="0" borderId="18" xfId="0" applyNumberFormat="1" applyFill="1" applyBorder="1" applyAlignment="1">
      <alignment horizontal="center" vertical="center"/>
    </xf>
    <xf numFmtId="164" fontId="0" fillId="0" borderId="19" xfId="0" applyNumberFormat="1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164" fontId="0" fillId="0" borderId="22" xfId="0" applyNumberFormat="1" applyFill="1" applyBorder="1" applyAlignment="1">
      <alignment horizontal="center" vertical="center"/>
    </xf>
    <xf numFmtId="0" fontId="0" fillId="0" borderId="20" xfId="0" applyFill="1" applyBorder="1" applyAlignment="1">
      <alignment horizontal="center"/>
    </xf>
    <xf numFmtId="5" fontId="0" fillId="0" borderId="22" xfId="0" applyNumberFormat="1" applyFill="1" applyBorder="1" applyAlignment="1">
      <alignment horizontal="center"/>
    </xf>
    <xf numFmtId="0" fontId="0" fillId="0" borderId="20" xfId="0" quotePrefix="1" applyFill="1" applyBorder="1" applyAlignment="1">
      <alignment horizontal="center"/>
    </xf>
    <xf numFmtId="164" fontId="0" fillId="0" borderId="22" xfId="0" applyNumberFormat="1" applyFill="1" applyBorder="1" applyAlignment="1">
      <alignment horizontal="center"/>
    </xf>
    <xf numFmtId="0" fontId="0" fillId="0" borderId="11" xfId="0" quotePrefix="1" applyFill="1" applyBorder="1" applyAlignment="1">
      <alignment horizontal="center"/>
    </xf>
    <xf numFmtId="0" fontId="0" fillId="0" borderId="23" xfId="0" applyFill="1" applyBorder="1" applyAlignment="1">
      <alignment horizontal="center" vertical="center"/>
    </xf>
    <xf numFmtId="3" fontId="0" fillId="0" borderId="23" xfId="0" applyNumberFormat="1" applyFill="1" applyBorder="1" applyAlignment="1">
      <alignment horizontal="center"/>
    </xf>
    <xf numFmtId="3" fontId="0" fillId="0" borderId="23" xfId="0" applyNumberFormat="1" applyFill="1" applyBorder="1" applyAlignment="1">
      <alignment horizontal="center" vertical="center"/>
    </xf>
    <xf numFmtId="9" fontId="0" fillId="0" borderId="23" xfId="1" applyFont="1" applyFill="1" applyBorder="1" applyAlignment="1">
      <alignment horizontal="center" vertical="center"/>
    </xf>
    <xf numFmtId="166" fontId="0" fillId="0" borderId="23" xfId="0" applyNumberFormat="1" applyFill="1" applyBorder="1" applyAlignment="1">
      <alignment horizontal="center" vertical="center"/>
    </xf>
    <xf numFmtId="164" fontId="0" fillId="0" borderId="23" xfId="0" applyNumberFormat="1" applyFill="1" applyBorder="1" applyAlignment="1">
      <alignment horizontal="center"/>
    </xf>
    <xf numFmtId="164" fontId="0" fillId="0" borderId="23" xfId="0" applyNumberFormat="1" applyFill="1" applyBorder="1" applyAlignment="1">
      <alignment horizontal="center" vertical="center"/>
    </xf>
    <xf numFmtId="164" fontId="0" fillId="0" borderId="12" xfId="0" applyNumberFormat="1" applyFill="1" applyBorder="1" applyAlignment="1">
      <alignment horizontal="center" vertical="center"/>
    </xf>
    <xf numFmtId="0" fontId="1" fillId="0" borderId="0" xfId="0" applyFont="1" applyFill="1"/>
    <xf numFmtId="0" fontId="1" fillId="0" borderId="20" xfId="0" applyFont="1" applyFill="1" applyBorder="1" applyAlignment="1">
      <alignment horizontal="left" vertical="top"/>
    </xf>
    <xf numFmtId="0" fontId="1" fillId="0" borderId="20" xfId="0" applyFont="1" applyFill="1" applyBorder="1"/>
    <xf numFmtId="0" fontId="1" fillId="0" borderId="20" xfId="0" quotePrefix="1" applyFont="1" applyFill="1" applyBorder="1" applyAlignment="1">
      <alignment horizontal="left" vertical="top"/>
    </xf>
    <xf numFmtId="0" fontId="0" fillId="0" borderId="22" xfId="0" applyFill="1" applyBorder="1"/>
    <xf numFmtId="0" fontId="1" fillId="0" borderId="11" xfId="0" applyFont="1" applyFill="1" applyBorder="1"/>
    <xf numFmtId="0" fontId="0" fillId="0" borderId="54" xfId="0" applyFill="1" applyBorder="1"/>
    <xf numFmtId="0" fontId="0" fillId="0" borderId="55" xfId="0" applyFill="1" applyBorder="1"/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/>
    </xf>
    <xf numFmtId="0" fontId="0" fillId="0" borderId="16" xfId="0" applyFill="1" applyBorder="1"/>
    <xf numFmtId="0" fontId="0" fillId="0" borderId="8" xfId="0" applyFill="1" applyBorder="1"/>
    <xf numFmtId="0" fontId="1" fillId="0" borderId="1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2" fillId="0" borderId="48" xfId="0" applyFont="1" applyFill="1" applyBorder="1" applyAlignment="1">
      <alignment horizontal="center" vertical="center" wrapText="1"/>
    </xf>
    <xf numFmtId="0" fontId="2" fillId="0" borderId="49" xfId="0" applyFont="1" applyFill="1" applyBorder="1" applyAlignment="1">
      <alignment horizontal="center" vertical="center" wrapText="1"/>
    </xf>
    <xf numFmtId="0" fontId="2" fillId="0" borderId="50" xfId="0" applyFont="1" applyFill="1" applyBorder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center" wrapText="1"/>
    </xf>
    <xf numFmtId="0" fontId="2" fillId="0" borderId="51" xfId="0" applyFont="1" applyFill="1" applyBorder="1" applyAlignment="1">
      <alignment horizontal="center" vertical="center" wrapText="1"/>
    </xf>
    <xf numFmtId="0" fontId="0" fillId="0" borderId="21" xfId="0" applyFill="1" applyBorder="1" applyAlignment="1">
      <alignment horizontal="left"/>
    </xf>
    <xf numFmtId="0" fontId="0" fillId="0" borderId="55" xfId="0" applyFill="1" applyBorder="1" applyAlignment="1">
      <alignment horizontal="center"/>
    </xf>
    <xf numFmtId="0" fontId="0" fillId="0" borderId="19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/>
    </xf>
    <xf numFmtId="0" fontId="6" fillId="0" borderId="20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0" fillId="0" borderId="23" xfId="0" applyFill="1" applyBorder="1" applyAlignment="1">
      <alignment horizontal="center"/>
    </xf>
    <xf numFmtId="0" fontId="0" fillId="0" borderId="12" xfId="0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quotePrefix="1" applyNumberFormat="1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0" fontId="1" fillId="0" borderId="0" xfId="0" quotePrefix="1" applyFont="1" applyFill="1" applyBorder="1" applyAlignment="1">
      <alignment horizontal="left" vertical="center"/>
    </xf>
    <xf numFmtId="0" fontId="0" fillId="0" borderId="45" xfId="0" applyFill="1" applyBorder="1"/>
    <xf numFmtId="0" fontId="0" fillId="0" borderId="0" xfId="0" applyFill="1" applyAlignment="1">
      <alignment horizontal="left" vertical="center"/>
    </xf>
    <xf numFmtId="0" fontId="0" fillId="0" borderId="6" xfId="0" applyFill="1" applyBorder="1" applyAlignment="1">
      <alignment horizontal="center" vertical="center"/>
    </xf>
    <xf numFmtId="0" fontId="0" fillId="0" borderId="20" xfId="0" applyFont="1" applyFill="1" applyBorder="1" applyAlignment="1">
      <alignment horizontal="center" vertical="center"/>
    </xf>
    <xf numFmtId="0" fontId="0" fillId="0" borderId="20" xfId="0" applyNumberForma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/>
    </xf>
    <xf numFmtId="3" fontId="0" fillId="0" borderId="26" xfId="0" applyNumberFormat="1" applyFill="1" applyBorder="1" applyAlignment="1">
      <alignment horizontal="center" vertical="center"/>
    </xf>
    <xf numFmtId="0" fontId="0" fillId="0" borderId="21" xfId="0" applyNumberForma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 wrapText="1"/>
    </xf>
    <xf numFmtId="165" fontId="0" fillId="0" borderId="0" xfId="1" applyNumberFormat="1" applyFont="1" applyFill="1" applyAlignment="1">
      <alignment vertical="center"/>
    </xf>
    <xf numFmtId="168" fontId="0" fillId="0" borderId="0" xfId="0" applyNumberForma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9" fontId="9" fillId="0" borderId="16" xfId="1" applyFont="1" applyFill="1" applyBorder="1" applyAlignment="1">
      <alignment horizontal="center" vertical="center" wrapText="1"/>
    </xf>
    <xf numFmtId="9" fontId="8" fillId="0" borderId="18" xfId="1" applyFont="1" applyFill="1" applyBorder="1" applyAlignment="1">
      <alignment horizontal="center" vertical="center"/>
    </xf>
    <xf numFmtId="9" fontId="8" fillId="0" borderId="21" xfId="1" applyFont="1" applyFill="1" applyBorder="1" applyAlignment="1">
      <alignment horizontal="center" vertical="center"/>
    </xf>
    <xf numFmtId="9" fontId="8" fillId="0" borderId="21" xfId="1" applyFont="1" applyFill="1" applyBorder="1" applyAlignment="1">
      <alignment horizontal="center"/>
    </xf>
    <xf numFmtId="9" fontId="8" fillId="0" borderId="23" xfId="1" applyFont="1" applyFill="1" applyBorder="1" applyAlignment="1">
      <alignment horizontal="center" vertical="center"/>
    </xf>
    <xf numFmtId="9" fontId="0" fillId="0" borderId="18" xfId="0" applyNumberFormat="1" applyFill="1" applyBorder="1" applyAlignment="1">
      <alignment horizontal="center" vertical="center"/>
    </xf>
    <xf numFmtId="9" fontId="0" fillId="0" borderId="21" xfId="0" applyNumberFormat="1" applyFill="1" applyBorder="1" applyAlignment="1">
      <alignment horizontal="center" vertical="center"/>
    </xf>
    <xf numFmtId="9" fontId="0" fillId="0" borderId="26" xfId="0" applyNumberFormat="1" applyFill="1" applyBorder="1" applyAlignment="1">
      <alignment horizontal="center" vertical="center"/>
    </xf>
    <xf numFmtId="4" fontId="2" fillId="0" borderId="29" xfId="0" applyNumberFormat="1" applyFont="1" applyFill="1" applyBorder="1" applyAlignment="1">
      <alignment horizontal="center" vertical="center" wrapText="1"/>
    </xf>
    <xf numFmtId="4" fontId="0" fillId="0" borderId="18" xfId="0" applyNumberFormat="1" applyFill="1" applyBorder="1" applyAlignment="1">
      <alignment horizontal="center" vertical="center"/>
    </xf>
    <xf numFmtId="4" fontId="0" fillId="0" borderId="21" xfId="0" applyNumberFormat="1" applyFill="1" applyBorder="1" applyAlignment="1">
      <alignment horizontal="center" vertical="center"/>
    </xf>
    <xf numFmtId="4" fontId="0" fillId="0" borderId="26" xfId="0" applyNumberForma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3" fontId="0" fillId="0" borderId="0" xfId="0" applyNumberFormat="1" applyFill="1" applyAlignment="1">
      <alignment horizontal="center" vertical="center"/>
    </xf>
    <xf numFmtId="165" fontId="0" fillId="0" borderId="0" xfId="1" applyNumberFormat="1" applyFont="1" applyFill="1"/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1" fillId="0" borderId="12" xfId="0" applyFont="1" applyFill="1" applyBorder="1" applyAlignment="1">
      <alignment horizontal="center"/>
    </xf>
    <xf numFmtId="3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 vertical="center"/>
    </xf>
    <xf numFmtId="0" fontId="8" fillId="0" borderId="0" xfId="0" applyFont="1" applyFill="1"/>
    <xf numFmtId="0" fontId="0" fillId="0" borderId="0" xfId="0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9" fontId="0" fillId="0" borderId="0" xfId="0" applyNumberForma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3" fontId="0" fillId="0" borderId="0" xfId="1" applyNumberFormat="1" applyFont="1" applyFill="1" applyAlignment="1">
      <alignment horizontal="center" vertical="center"/>
    </xf>
    <xf numFmtId="3" fontId="0" fillId="0" borderId="0" xfId="0" applyNumberFormat="1" applyFill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165" fontId="4" fillId="0" borderId="0" xfId="1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 wrapText="1"/>
    </xf>
    <xf numFmtId="0" fontId="4" fillId="0" borderId="0" xfId="0" applyFont="1" applyFill="1" applyAlignment="1">
      <alignment horizontal="center" vertical="center"/>
    </xf>
    <xf numFmtId="9" fontId="0" fillId="0" borderId="0" xfId="1" applyFont="1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165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1" fillId="0" borderId="11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0" fillId="0" borderId="6" xfId="0" applyFill="1" applyBorder="1" applyAlignment="1">
      <alignment vertical="center"/>
    </xf>
    <xf numFmtId="165" fontId="0" fillId="0" borderId="26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0" fontId="0" fillId="0" borderId="46" xfId="0" applyFill="1" applyBorder="1" applyAlignment="1">
      <alignment vertical="center"/>
    </xf>
    <xf numFmtId="165" fontId="0" fillId="0" borderId="42" xfId="0" applyNumberFormat="1" applyFill="1" applyBorder="1" applyAlignment="1">
      <alignment horizontal="center" vertical="center"/>
    </xf>
    <xf numFmtId="165" fontId="0" fillId="0" borderId="56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7" fontId="0" fillId="0" borderId="0" xfId="0" applyNumberForma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0" fontId="0" fillId="0" borderId="0" xfId="0" applyFill="1" applyBorder="1"/>
    <xf numFmtId="0" fontId="1" fillId="0" borderId="0" xfId="0" applyFont="1" applyFill="1" applyBorder="1" applyAlignment="1">
      <alignment horizontal="center" vertical="center"/>
    </xf>
    <xf numFmtId="0" fontId="1" fillId="0" borderId="0" xfId="0" quotePrefix="1" applyFont="1" applyFill="1" applyBorder="1" applyAlignment="1">
      <alignment horizontal="center" vertical="center"/>
    </xf>
    <xf numFmtId="165" fontId="0" fillId="0" borderId="0" xfId="0" applyNumberFormat="1" applyFill="1" applyBorder="1"/>
    <xf numFmtId="0" fontId="0" fillId="0" borderId="0" xfId="0" quotePrefix="1" applyFill="1" applyBorder="1" applyAlignment="1">
      <alignment horizontal="left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quotePrefix="1" applyFont="1" applyFill="1" applyBorder="1" applyAlignment="1">
      <alignment horizontal="center" vertical="center" wrapText="1"/>
    </xf>
    <xf numFmtId="0" fontId="0" fillId="0" borderId="0" xfId="0" quotePrefix="1" applyFill="1" applyAlignment="1">
      <alignment horizontal="left" vertical="center"/>
    </xf>
    <xf numFmtId="168" fontId="0" fillId="0" borderId="0" xfId="0" applyNumberFormat="1" applyFill="1"/>
    <xf numFmtId="165" fontId="0" fillId="0" borderId="0" xfId="0" applyNumberFormat="1" applyFill="1" applyAlignment="1">
      <alignment vertical="center"/>
    </xf>
    <xf numFmtId="165" fontId="0" fillId="0" borderId="0" xfId="1" applyNumberFormat="1" applyFont="1" applyFill="1" applyAlignment="1">
      <alignment horizontal="center"/>
    </xf>
    <xf numFmtId="165" fontId="0" fillId="0" borderId="0" xfId="0" applyNumberFormat="1" applyFill="1"/>
    <xf numFmtId="0" fontId="4" fillId="0" borderId="0" xfId="0" applyFont="1" applyFill="1" applyBorder="1" applyAlignment="1">
      <alignment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9" fontId="0" fillId="0" borderId="0" xfId="1" applyNumberFormat="1" applyFont="1" applyFill="1" applyAlignment="1">
      <alignment horizontal="center" vertical="center"/>
    </xf>
    <xf numFmtId="10" fontId="0" fillId="0" borderId="0" xfId="1" applyNumberFormat="1" applyFont="1" applyFill="1" applyAlignment="1">
      <alignment horizontal="center" vertical="center"/>
    </xf>
    <xf numFmtId="8" fontId="0" fillId="0" borderId="0" xfId="0" applyNumberFormat="1" applyFill="1" applyAlignment="1">
      <alignment horizontal="left" vertical="center"/>
    </xf>
    <xf numFmtId="0" fontId="0" fillId="0" borderId="0" xfId="0" applyFill="1" applyBorder="1" applyAlignment="1">
      <alignment horizontal="left" wrapText="1"/>
    </xf>
    <xf numFmtId="9" fontId="0" fillId="0" borderId="0" xfId="1" applyFont="1" applyFill="1" applyBorder="1" applyAlignment="1">
      <alignment horizontal="center"/>
    </xf>
    <xf numFmtId="9" fontId="0" fillId="0" borderId="0" xfId="1" applyFont="1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/>
    </xf>
    <xf numFmtId="0" fontId="1" fillId="0" borderId="58" xfId="0" applyFont="1" applyFill="1" applyBorder="1" applyAlignment="1">
      <alignment horizontal="left" vertical="top"/>
    </xf>
    <xf numFmtId="0" fontId="1" fillId="0" borderId="58" xfId="0" applyFont="1" applyFill="1" applyBorder="1"/>
    <xf numFmtId="0" fontId="1" fillId="0" borderId="58" xfId="0" quotePrefix="1" applyFont="1" applyFill="1" applyBorder="1" applyAlignment="1">
      <alignment horizontal="left" vertical="top"/>
    </xf>
    <xf numFmtId="0" fontId="0" fillId="0" borderId="58" xfId="0" applyFill="1" applyBorder="1"/>
    <xf numFmtId="0" fontId="1" fillId="0" borderId="31" xfId="0" applyFont="1" applyFill="1" applyBorder="1"/>
    <xf numFmtId="15" fontId="1" fillId="0" borderId="32" xfId="0" applyNumberFormat="1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top"/>
    </xf>
    <xf numFmtId="15" fontId="1" fillId="0" borderId="54" xfId="0" applyNumberFormat="1" applyFont="1" applyFill="1" applyBorder="1" applyAlignment="1">
      <alignment horizontal="center" vertical="top"/>
    </xf>
    <xf numFmtId="0" fontId="1" fillId="0" borderId="5" xfId="0" applyFont="1" applyFill="1" applyBorder="1" applyAlignment="1">
      <alignment horizontal="center" vertical="top"/>
    </xf>
    <xf numFmtId="0" fontId="1" fillId="0" borderId="5" xfId="0" quotePrefix="1" applyFont="1" applyFill="1" applyBorder="1" applyAlignment="1">
      <alignment horizontal="center" vertical="top"/>
    </xf>
    <xf numFmtId="15" fontId="1" fillId="0" borderId="54" xfId="0" quotePrefix="1" applyNumberFormat="1" applyFont="1" applyFill="1" applyBorder="1" applyAlignment="1">
      <alignment horizontal="center"/>
    </xf>
    <xf numFmtId="0" fontId="1" fillId="0" borderId="54" xfId="0" applyNumberFormat="1" applyFont="1" applyFill="1" applyBorder="1" applyAlignment="1">
      <alignment horizontal="center"/>
    </xf>
    <xf numFmtId="0" fontId="1" fillId="0" borderId="54" xfId="0" quotePrefix="1" applyNumberFormat="1" applyFont="1" applyFill="1" applyBorder="1" applyAlignment="1">
      <alignment horizontal="center"/>
    </xf>
    <xf numFmtId="15" fontId="1" fillId="0" borderId="57" xfId="0" quotePrefix="1" applyNumberFormat="1" applyFont="1" applyFill="1" applyBorder="1" applyAlignment="1">
      <alignment horizontal="center"/>
    </xf>
    <xf numFmtId="0" fontId="1" fillId="0" borderId="17" xfId="0" applyFont="1" applyFill="1" applyBorder="1" applyAlignment="1">
      <alignment horizontal="left" vertical="top"/>
    </xf>
    <xf numFmtId="0" fontId="1" fillId="0" borderId="21" xfId="0" applyNumberFormat="1" applyFont="1" applyFill="1" applyBorder="1" applyAlignment="1">
      <alignment horizontal="center"/>
    </xf>
    <xf numFmtId="0" fontId="1" fillId="0" borderId="21" xfId="0" quotePrefix="1" applyNumberFormat="1" applyFont="1" applyFill="1" applyBorder="1" applyAlignment="1">
      <alignment horizontal="center"/>
    </xf>
    <xf numFmtId="0" fontId="1" fillId="0" borderId="21" xfId="0" quotePrefix="1" applyFont="1" applyFill="1" applyBorder="1" applyAlignment="1">
      <alignment horizontal="center" vertical="top"/>
    </xf>
    <xf numFmtId="0" fontId="1" fillId="0" borderId="21" xfId="0" applyFont="1" applyFill="1" applyBorder="1" applyAlignment="1">
      <alignment horizontal="center" vertical="top"/>
    </xf>
    <xf numFmtId="0" fontId="1" fillId="0" borderId="11" xfId="0" applyFont="1" applyFill="1" applyBorder="1" applyAlignment="1">
      <alignment horizontal="left" vertical="top"/>
    </xf>
    <xf numFmtId="0" fontId="1" fillId="0" borderId="18" xfId="0" quotePrefix="1" applyNumberFormat="1" applyFont="1" applyFill="1" applyBorder="1" applyAlignment="1">
      <alignment horizontal="center"/>
    </xf>
    <xf numFmtId="0" fontId="1" fillId="0" borderId="23" xfId="0" applyFont="1" applyFill="1" applyBorder="1" applyAlignment="1">
      <alignment horizontal="center" vertical="top"/>
    </xf>
    <xf numFmtId="0" fontId="1" fillId="0" borderId="36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1" fillId="0" borderId="12" xfId="0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horizontal="center" vertical="center" wrapText="1"/>
    </xf>
    <xf numFmtId="0" fontId="1" fillId="0" borderId="36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3" fontId="1" fillId="0" borderId="16" xfId="0" applyNumberFormat="1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1" fillId="0" borderId="10" xfId="0" applyNumberFormat="1" applyFont="1" applyFill="1" applyBorder="1" applyAlignment="1">
      <alignment horizontal="center"/>
    </xf>
    <xf numFmtId="165" fontId="0" fillId="0" borderId="0" xfId="1" applyNumberFormat="1" applyFont="1" applyFill="1" applyBorder="1" applyAlignment="1">
      <alignment horizontal="center"/>
    </xf>
    <xf numFmtId="3" fontId="0" fillId="0" borderId="0" xfId="1" applyNumberFormat="1" applyFont="1" applyFill="1" applyBorder="1" applyAlignment="1">
      <alignment horizontal="center"/>
    </xf>
    <xf numFmtId="165" fontId="0" fillId="0" borderId="0" xfId="1" applyNumberFormat="1" applyFont="1" applyFill="1" applyBorder="1" applyAlignment="1">
      <alignment horizontal="center" vertical="center"/>
    </xf>
    <xf numFmtId="166" fontId="11" fillId="0" borderId="0" xfId="0" applyNumberFormat="1" applyFont="1" applyFill="1" applyAlignment="1">
      <alignment horizontal="center" vertical="center"/>
    </xf>
    <xf numFmtId="0" fontId="0" fillId="0" borderId="59" xfId="0" applyFill="1" applyBorder="1" applyAlignment="1">
      <alignment horizontal="center" vertical="center"/>
    </xf>
    <xf numFmtId="0" fontId="1" fillId="0" borderId="36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horizontal="center" vertical="center" wrapText="1"/>
    </xf>
    <xf numFmtId="0" fontId="1" fillId="0" borderId="53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6" xfId="0" applyFont="1" applyFill="1" applyBorder="1" applyAlignment="1">
      <alignment horizontal="center" vertical="center"/>
    </xf>
    <xf numFmtId="0" fontId="1" fillId="0" borderId="26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/>
    </xf>
    <xf numFmtId="0" fontId="1" fillId="0" borderId="28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1" fillId="0" borderId="5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/>
    </xf>
    <xf numFmtId="0" fontId="1" fillId="0" borderId="33" xfId="0" applyFont="1" applyFill="1" applyBorder="1" applyAlignment="1">
      <alignment horizontal="center" vertical="center"/>
    </xf>
    <xf numFmtId="0" fontId="1" fillId="0" borderId="34" xfId="0" applyFont="1" applyFill="1" applyBorder="1" applyAlignment="1">
      <alignment horizontal="center" vertical="center"/>
    </xf>
    <xf numFmtId="0" fontId="1" fillId="0" borderId="27" xfId="0" applyFont="1" applyFill="1" applyBorder="1" applyAlignment="1">
      <alignment horizontal="center"/>
    </xf>
    <xf numFmtId="0" fontId="1" fillId="0" borderId="30" xfId="0" applyFont="1" applyFill="1" applyBorder="1" applyAlignment="1">
      <alignment horizontal="center"/>
    </xf>
    <xf numFmtId="0" fontId="1" fillId="0" borderId="28" xfId="0" applyFont="1" applyFill="1" applyBorder="1" applyAlignment="1">
      <alignment horizontal="center"/>
    </xf>
    <xf numFmtId="0" fontId="1" fillId="0" borderId="35" xfId="0" applyFont="1" applyFill="1" applyBorder="1" applyAlignment="1">
      <alignment horizontal="center" vertical="center" wrapText="1"/>
    </xf>
    <xf numFmtId="0" fontId="1" fillId="0" borderId="52" xfId="0" applyFont="1" applyFill="1" applyBorder="1" applyAlignment="1">
      <alignment horizontal="center"/>
    </xf>
    <xf numFmtId="0" fontId="1" fillId="0" borderId="35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top"/>
    </xf>
    <xf numFmtId="0" fontId="1" fillId="0" borderId="33" xfId="0" applyFont="1" applyFill="1" applyBorder="1" applyAlignment="1">
      <alignment horizontal="center" vertical="top"/>
    </xf>
    <xf numFmtId="0" fontId="1" fillId="0" borderId="19" xfId="0" applyFont="1" applyFill="1" applyBorder="1" applyAlignment="1">
      <alignment horizontal="center" vertical="top"/>
    </xf>
    <xf numFmtId="0" fontId="1" fillId="0" borderId="12" xfId="0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horizontal="center" vertical="center" wrapText="1"/>
    </xf>
    <xf numFmtId="0" fontId="1" fillId="0" borderId="37" xfId="0" applyFont="1" applyFill="1" applyBorder="1" applyAlignment="1">
      <alignment horizontal="center" vertical="center" wrapText="1"/>
    </xf>
    <xf numFmtId="0" fontId="1" fillId="0" borderId="38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39" xfId="0" applyFont="1" applyFill="1" applyBorder="1" applyAlignment="1">
      <alignment horizontal="center" vertical="center" wrapText="1"/>
    </xf>
    <xf numFmtId="0" fontId="1" fillId="0" borderId="40" xfId="0" applyFont="1" applyFill="1" applyBorder="1" applyAlignment="1">
      <alignment horizontal="center" vertical="center" wrapText="1"/>
    </xf>
    <xf numFmtId="0" fontId="1" fillId="0" borderId="41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/>
    </xf>
    <xf numFmtId="0" fontId="1" fillId="0" borderId="18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/>
    </xf>
    <xf numFmtId="3" fontId="2" fillId="0" borderId="16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Fill="1" applyBorder="1" applyAlignment="1">
      <alignment horizontal="center" vertical="center" wrapText="1"/>
    </xf>
    <xf numFmtId="3" fontId="2" fillId="0" borderId="13" xfId="0" applyNumberFormat="1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/>
    </xf>
    <xf numFmtId="0" fontId="1" fillId="0" borderId="22" xfId="0" applyFont="1" applyFill="1" applyBorder="1" applyAlignment="1">
      <alignment horizontal="center"/>
    </xf>
    <xf numFmtId="0" fontId="2" fillId="0" borderId="21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3" fontId="1" fillId="0" borderId="16" xfId="0" applyNumberFormat="1" applyFont="1" applyFill="1" applyBorder="1" applyAlignment="1">
      <alignment horizontal="center" vertical="center" wrapText="1"/>
    </xf>
    <xf numFmtId="3" fontId="1" fillId="0" borderId="8" xfId="0" applyNumberFormat="1" applyFont="1" applyFill="1" applyBorder="1" applyAlignment="1">
      <alignment horizontal="center" vertical="center" wrapText="1"/>
    </xf>
    <xf numFmtId="3" fontId="1" fillId="0" borderId="13" xfId="0" applyNumberFormat="1" applyFont="1" applyFill="1" applyBorder="1" applyAlignment="1">
      <alignment horizontal="center" vertical="center" wrapText="1"/>
    </xf>
    <xf numFmtId="9" fontId="2" fillId="0" borderId="16" xfId="1" applyFont="1" applyFill="1" applyBorder="1" applyAlignment="1">
      <alignment horizontal="center" vertical="center" wrapText="1"/>
    </xf>
    <xf numFmtId="9" fontId="2" fillId="0" borderId="8" xfId="1" applyFont="1" applyFill="1" applyBorder="1" applyAlignment="1">
      <alignment horizontal="center" vertical="center" wrapText="1"/>
    </xf>
    <xf numFmtId="9" fontId="2" fillId="0" borderId="13" xfId="1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3" fontId="2" fillId="0" borderId="22" xfId="0" applyNumberFormat="1" applyFont="1" applyFill="1" applyBorder="1" applyAlignment="1">
      <alignment horizontal="center" vertical="center" wrapText="1"/>
    </xf>
    <xf numFmtId="3" fontId="2" fillId="0" borderId="12" xfId="0" applyNumberFormat="1" applyFont="1" applyFill="1" applyBorder="1" applyAlignment="1">
      <alignment horizontal="center" vertical="center" wrapText="1"/>
    </xf>
    <xf numFmtId="3" fontId="1" fillId="0" borderId="42" xfId="0" applyNumberFormat="1" applyFont="1" applyFill="1" applyBorder="1" applyAlignment="1">
      <alignment horizontal="center" vertical="center" wrapText="1"/>
    </xf>
    <xf numFmtId="3" fontId="1" fillId="0" borderId="43" xfId="0" applyNumberFormat="1" applyFont="1" applyFill="1" applyBorder="1" applyAlignment="1">
      <alignment horizontal="center" vertical="center" wrapText="1"/>
    </xf>
    <xf numFmtId="3" fontId="1" fillId="0" borderId="44" xfId="0" applyNumberFormat="1" applyFont="1" applyFill="1" applyBorder="1" applyAlignment="1">
      <alignment horizontal="center" vertical="center" wrapText="1"/>
    </xf>
    <xf numFmtId="3" fontId="2" fillId="0" borderId="46" xfId="0" applyNumberFormat="1" applyFont="1" applyFill="1" applyBorder="1" applyAlignment="1">
      <alignment horizontal="center" vertical="center" wrapText="1"/>
    </xf>
    <xf numFmtId="3" fontId="2" fillId="0" borderId="24" xfId="0" applyNumberFormat="1" applyFont="1" applyFill="1" applyBorder="1" applyAlignment="1">
      <alignment horizontal="center" vertical="center" wrapText="1"/>
    </xf>
    <xf numFmtId="3" fontId="2" fillId="0" borderId="14" xfId="0" applyNumberFormat="1" applyFont="1" applyFill="1" applyBorder="1" applyAlignment="1">
      <alignment horizontal="center" vertical="center" wrapText="1"/>
    </xf>
    <xf numFmtId="164" fontId="2" fillId="0" borderId="17" xfId="0" applyNumberFormat="1" applyFont="1" applyFill="1" applyBorder="1" applyAlignment="1">
      <alignment horizontal="center" vertical="center" wrapText="1"/>
    </xf>
    <xf numFmtId="164" fontId="2" fillId="0" borderId="18" xfId="0" applyNumberFormat="1" applyFont="1" applyFill="1" applyBorder="1" applyAlignment="1">
      <alignment horizontal="center" vertical="center" wrapText="1"/>
    </xf>
    <xf numFmtId="164" fontId="2" fillId="0" borderId="19" xfId="0" applyNumberFormat="1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164" fontId="2" fillId="0" borderId="20" xfId="0" applyNumberFormat="1" applyFont="1" applyFill="1" applyBorder="1" applyAlignment="1">
      <alignment horizontal="center" vertical="center" wrapText="1"/>
    </xf>
    <xf numFmtId="164" fontId="2" fillId="0" borderId="11" xfId="0" applyNumberFormat="1" applyFont="1" applyFill="1" applyBorder="1" applyAlignment="1">
      <alignment horizontal="center" vertical="center" wrapText="1"/>
    </xf>
    <xf numFmtId="164" fontId="2" fillId="0" borderId="21" xfId="0" applyNumberFormat="1" applyFont="1" applyFill="1" applyBorder="1" applyAlignment="1">
      <alignment horizontal="center" vertical="center" wrapText="1"/>
    </xf>
    <xf numFmtId="164" fontId="2" fillId="0" borderId="23" xfId="0" applyNumberFormat="1" applyFont="1" applyFill="1" applyBorder="1" applyAlignment="1">
      <alignment horizontal="center" vertical="center" wrapText="1"/>
    </xf>
    <xf numFmtId="164" fontId="2" fillId="0" borderId="22" xfId="0" applyNumberFormat="1" applyFont="1" applyFill="1" applyBorder="1" applyAlignment="1">
      <alignment horizontal="center" vertical="center" wrapText="1"/>
    </xf>
    <xf numFmtId="164" fontId="2" fillId="0" borderId="12" xfId="0" applyNumberFormat="1" applyFont="1" applyFill="1" applyBorder="1" applyAlignment="1">
      <alignment horizontal="center" vertical="center" wrapText="1"/>
    </xf>
    <xf numFmtId="3" fontId="1" fillId="0" borderId="45" xfId="0" applyNumberFormat="1" applyFont="1" applyFill="1" applyBorder="1" applyAlignment="1">
      <alignment horizontal="center" vertical="center" wrapText="1"/>
    </xf>
    <xf numFmtId="3" fontId="1" fillId="0" borderId="38" xfId="0" applyNumberFormat="1" applyFont="1" applyFill="1" applyBorder="1" applyAlignment="1">
      <alignment horizontal="center" vertical="center" wrapText="1"/>
    </xf>
    <xf numFmtId="3" fontId="2" fillId="0" borderId="32" xfId="0" applyNumberFormat="1" applyFont="1" applyFill="1" applyBorder="1" applyAlignment="1">
      <alignment horizontal="center" vertical="center" wrapText="1"/>
    </xf>
    <xf numFmtId="3" fontId="2" fillId="0" borderId="33" xfId="0" applyNumberFormat="1" applyFont="1" applyFill="1" applyBorder="1" applyAlignment="1">
      <alignment horizontal="center" vertical="center" wrapText="1"/>
    </xf>
    <xf numFmtId="3" fontId="2" fillId="0" borderId="34" xfId="0" applyNumberFormat="1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" fillId="0" borderId="0" xfId="0" quotePrefix="1" applyFont="1" applyFill="1" applyBorder="1" applyAlignment="1">
      <alignment horizontal="center"/>
    </xf>
    <xf numFmtId="0" fontId="1" fillId="0" borderId="0" xfId="0" quotePrefix="1" applyFont="1" applyFill="1" applyBorder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</cellXfs>
  <cellStyles count="2">
    <cellStyle name="Normal" xfId="0" builtinId="0"/>
    <cellStyle name="Porcentaje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3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3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3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FLOTA</a:t>
            </a:r>
            <a:endParaRPr lang="en-US" sz="11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FORMULAS!$B$2</c:f>
              <c:strCache>
                <c:ptCount val="1"/>
                <c:pt idx="0">
                  <c:v>FLOTA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8.3333333333333367E-3"/>
                  <c:y val="0.14322250639386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6666666666666701E-2"/>
                  <c:y val="4.77408354646206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FORMULAS!$B$3:$B$4</c:f>
              <c:strCache>
                <c:ptCount val="2"/>
                <c:pt idx="0">
                  <c:v>HOMBRE - CAMIÓN</c:v>
                </c:pt>
                <c:pt idx="1">
                  <c:v>PEQUEÑO TRANSPORTISTA</c:v>
                </c:pt>
              </c:strCache>
            </c:strRef>
          </c:cat>
          <c:val>
            <c:numRef>
              <c:f>FORMULAS!$C$3:$C$4</c:f>
              <c:numCache>
                <c:formatCode>General</c:formatCode>
                <c:ptCount val="2"/>
                <c:pt idx="0">
                  <c:v>378</c:v>
                </c:pt>
                <c:pt idx="1">
                  <c:v>33</c:v>
                </c:pt>
              </c:numCache>
            </c:numRef>
          </c:val>
          <c:shape val="cylinder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3609216"/>
        <c:axId val="144053376"/>
        <c:axId val="0"/>
      </c:bar3DChart>
      <c:catAx>
        <c:axId val="143609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4053376"/>
        <c:crosses val="autoZero"/>
        <c:auto val="1"/>
        <c:lblAlgn val="ctr"/>
        <c:lblOffset val="100"/>
        <c:noMultiLvlLbl val="0"/>
      </c:catAx>
      <c:valAx>
        <c:axId val="1440533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36092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TIPO DE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FORMULAS!$J$14</c:f>
              <c:strCache>
                <c:ptCount val="1"/>
                <c:pt idx="0">
                  <c:v>TIPO DE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1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FORMULAS!$J$15:$J$18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FORMULAS!$K$15:$K$18</c:f>
              <c:numCache>
                <c:formatCode>General</c:formatCode>
                <c:ptCount val="4"/>
                <c:pt idx="0">
                  <c:v>210</c:v>
                </c:pt>
                <c:pt idx="1">
                  <c:v>196</c:v>
                </c:pt>
                <c:pt idx="2">
                  <c:v>43</c:v>
                </c:pt>
                <c:pt idx="3">
                  <c:v>531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62515200"/>
        <c:axId val="162516992"/>
        <c:axId val="0"/>
      </c:bar3DChart>
      <c:catAx>
        <c:axId val="1625152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1" baseline="0"/>
            </a:pPr>
            <a:endParaRPr lang="es-MX"/>
          </a:p>
        </c:txPr>
        <c:crossAx val="162516992"/>
        <c:crosses val="autoZero"/>
        <c:auto val="1"/>
        <c:lblAlgn val="ctr"/>
        <c:lblOffset val="100"/>
        <c:noMultiLvlLbl val="0"/>
      </c:catAx>
      <c:valAx>
        <c:axId val="162516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62515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21111532181471E-2"/>
          <c:y val="0.13634642725842591"/>
          <c:w val="0.89905914167146239"/>
          <c:h val="0.742635974801160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PLUS'!$K$2</c:f>
              <c:strCache>
                <c:ptCount val="1"/>
                <c:pt idx="0">
                  <c:v>HOMBRE CAMIÓN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PLUS'!$J$3:$J$9</c:f>
              <c:strCache>
                <c:ptCount val="7"/>
                <c:pt idx="0">
                  <c:v>0 A 5</c:v>
                </c:pt>
                <c:pt idx="1">
                  <c:v>6 A 10</c:v>
                </c:pt>
                <c:pt idx="2">
                  <c:v>11 A 15</c:v>
                </c:pt>
                <c:pt idx="3">
                  <c:v>16 A 20</c:v>
                </c:pt>
                <c:pt idx="4">
                  <c:v>21 A 25</c:v>
                </c:pt>
                <c:pt idx="5">
                  <c:v>26 A 30</c:v>
                </c:pt>
                <c:pt idx="6">
                  <c:v>&gt;30</c:v>
                </c:pt>
              </c:strCache>
            </c:strRef>
          </c:cat>
          <c:val>
            <c:numRef>
              <c:f>'FORMULAS PLUS'!$K$3:$K$9</c:f>
              <c:numCache>
                <c:formatCode>0%</c:formatCode>
                <c:ptCount val="7"/>
                <c:pt idx="0">
                  <c:v>0.17771883289124668</c:v>
                </c:pt>
                <c:pt idx="1">
                  <c:v>0.129973474801061</c:v>
                </c:pt>
                <c:pt idx="2">
                  <c:v>0.10875331564986737</c:v>
                </c:pt>
                <c:pt idx="3">
                  <c:v>0.1830238726790451</c:v>
                </c:pt>
                <c:pt idx="4">
                  <c:v>9.0185676392572939E-2</c:v>
                </c:pt>
                <c:pt idx="5">
                  <c:v>0.16445623342175067</c:v>
                </c:pt>
                <c:pt idx="6">
                  <c:v>0.14588859416445624</c:v>
                </c:pt>
              </c:numCache>
            </c:numRef>
          </c:val>
        </c:ser>
        <c:ser>
          <c:idx val="1"/>
          <c:order val="1"/>
          <c:tx>
            <c:strRef>
              <c:f>'FORMULAS PLUS'!$L$2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42602495543671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1883541295306096E-2"/>
                  <c:y val="-9.48991578135632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90136660724896E-2"/>
                  <c:y val="-3.1633052604521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1883541295306096E-2"/>
                  <c:y val="-6.32661052090421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PLUS'!$J$3:$J$9</c:f>
              <c:strCache>
                <c:ptCount val="7"/>
                <c:pt idx="0">
                  <c:v>0 A 5</c:v>
                </c:pt>
                <c:pt idx="1">
                  <c:v>6 A 10</c:v>
                </c:pt>
                <c:pt idx="2">
                  <c:v>11 A 15</c:v>
                </c:pt>
                <c:pt idx="3">
                  <c:v>16 A 20</c:v>
                </c:pt>
                <c:pt idx="4">
                  <c:v>21 A 25</c:v>
                </c:pt>
                <c:pt idx="5">
                  <c:v>26 A 30</c:v>
                </c:pt>
                <c:pt idx="6">
                  <c:v>&gt;30</c:v>
                </c:pt>
              </c:strCache>
            </c:strRef>
          </c:cat>
          <c:val>
            <c:numRef>
              <c:f>'FORMULAS PLUS'!$L$3:$L$9</c:f>
              <c:numCache>
                <c:formatCode>0%</c:formatCode>
                <c:ptCount val="7"/>
                <c:pt idx="0">
                  <c:v>0.17647058823529413</c:v>
                </c:pt>
                <c:pt idx="1">
                  <c:v>2.9411764705882353E-2</c:v>
                </c:pt>
                <c:pt idx="2">
                  <c:v>0.17647058823529413</c:v>
                </c:pt>
                <c:pt idx="3">
                  <c:v>8.8235294117647065E-2</c:v>
                </c:pt>
                <c:pt idx="4">
                  <c:v>0.11764705882352941</c:v>
                </c:pt>
                <c:pt idx="5">
                  <c:v>0.20588235294117646</c:v>
                </c:pt>
                <c:pt idx="6">
                  <c:v>0.20588235294117646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9663488"/>
        <c:axId val="189665280"/>
        <c:axId val="0"/>
      </c:bar3DChart>
      <c:catAx>
        <c:axId val="1896634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9665280"/>
        <c:crosses val="autoZero"/>
        <c:auto val="1"/>
        <c:lblAlgn val="ctr"/>
        <c:lblOffset val="100"/>
        <c:noMultiLvlLbl val="0"/>
      </c:catAx>
      <c:valAx>
        <c:axId val="18966528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9663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5.7860868995653583E-2"/>
          <c:y val="0.9457637613741996"/>
          <c:w val="0.93263229796810165"/>
          <c:h val="5.1137444866329172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100304008761482E-2"/>
          <c:y val="0.16187532817225642"/>
          <c:w val="0.88136482939632377"/>
          <c:h val="0.6972303250664521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PLUS'!$C$2</c:f>
              <c:strCache>
                <c:ptCount val="1"/>
                <c:pt idx="0">
                  <c:v>HOMBRE CAMIÓN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PLUS'!$B$3:$B$9</c:f>
              <c:strCache>
                <c:ptCount val="7"/>
                <c:pt idx="0">
                  <c:v>&lt; DE 36</c:v>
                </c:pt>
                <c:pt idx="1">
                  <c:v>36 A 40</c:v>
                </c:pt>
                <c:pt idx="2">
                  <c:v>41 A 45</c:v>
                </c:pt>
                <c:pt idx="3">
                  <c:v>46 A 50</c:v>
                </c:pt>
                <c:pt idx="4">
                  <c:v>51 A 55</c:v>
                </c:pt>
                <c:pt idx="5">
                  <c:v>56 A 60</c:v>
                </c:pt>
                <c:pt idx="6">
                  <c:v>&gt;60</c:v>
                </c:pt>
              </c:strCache>
            </c:strRef>
          </c:cat>
          <c:val>
            <c:numRef>
              <c:f>'FORMULAS PLUS'!$C$3:$C$9</c:f>
              <c:numCache>
                <c:formatCode>0%</c:formatCode>
                <c:ptCount val="7"/>
                <c:pt idx="0">
                  <c:v>0.13262599469496023</c:v>
                </c:pt>
                <c:pt idx="1">
                  <c:v>0.15384615384615385</c:v>
                </c:pt>
                <c:pt idx="2">
                  <c:v>0.14323607427055704</c:v>
                </c:pt>
                <c:pt idx="3">
                  <c:v>0.1856763925729443</c:v>
                </c:pt>
                <c:pt idx="4">
                  <c:v>0.1856763925729443</c:v>
                </c:pt>
                <c:pt idx="5">
                  <c:v>9.5490716180371346E-2</c:v>
                </c:pt>
                <c:pt idx="6">
                  <c:v>0.10344827586206896</c:v>
                </c:pt>
              </c:numCache>
            </c:numRef>
          </c:val>
        </c:ser>
        <c:ser>
          <c:idx val="1"/>
          <c:order val="1"/>
          <c:tx>
            <c:strRef>
              <c:f>'FORMULAS PLUS'!$D$2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9184652278177519E-2"/>
                  <c:y val="-2.8260258897883892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4388489208633164E-2"/>
                  <c:y val="-6.579854269019380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4388489208633164E-2"/>
                  <c:y val="-6.579854269019380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158273381294964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158273381294964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678657074340539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2.158273381294964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PLUS'!$B$3:$B$9</c:f>
              <c:strCache>
                <c:ptCount val="7"/>
                <c:pt idx="0">
                  <c:v>&lt; DE 36</c:v>
                </c:pt>
                <c:pt idx="1">
                  <c:v>36 A 40</c:v>
                </c:pt>
                <c:pt idx="2">
                  <c:v>41 A 45</c:v>
                </c:pt>
                <c:pt idx="3">
                  <c:v>46 A 50</c:v>
                </c:pt>
                <c:pt idx="4">
                  <c:v>51 A 55</c:v>
                </c:pt>
                <c:pt idx="5">
                  <c:v>56 A 60</c:v>
                </c:pt>
                <c:pt idx="6">
                  <c:v>&gt;60</c:v>
                </c:pt>
              </c:strCache>
            </c:strRef>
          </c:cat>
          <c:val>
            <c:numRef>
              <c:f>'FORMULAS PLUS'!$D$3:$D$9</c:f>
              <c:numCache>
                <c:formatCode>0%</c:formatCode>
                <c:ptCount val="7"/>
                <c:pt idx="0">
                  <c:v>8.8235294117647065E-2</c:v>
                </c:pt>
                <c:pt idx="1">
                  <c:v>8.8235294117647065E-2</c:v>
                </c:pt>
                <c:pt idx="2">
                  <c:v>8.8235294117647065E-2</c:v>
                </c:pt>
                <c:pt idx="3">
                  <c:v>0.17647058823529413</c:v>
                </c:pt>
                <c:pt idx="4">
                  <c:v>0.23529411764705882</c:v>
                </c:pt>
                <c:pt idx="5">
                  <c:v>0.17647058823529413</c:v>
                </c:pt>
                <c:pt idx="6">
                  <c:v>0.14705882352941177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7185024"/>
        <c:axId val="187186560"/>
        <c:axId val="0"/>
      </c:bar3DChart>
      <c:catAx>
        <c:axId val="1871850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7186560"/>
        <c:crosses val="autoZero"/>
        <c:auto val="1"/>
        <c:lblAlgn val="ctr"/>
        <c:lblOffset val="100"/>
        <c:noMultiLvlLbl val="0"/>
      </c:catAx>
      <c:valAx>
        <c:axId val="1871865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7185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767291678468532E-2"/>
          <c:y val="0.94833402947771051"/>
          <c:w val="0.87147491455654591"/>
          <c:h val="5.0841901372826882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920292611008628E-2"/>
          <c:y val="7.1227487443496412E-2"/>
          <c:w val="0.87928237056235559"/>
          <c:h val="0.6287116630255101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PLUS'!$C$14</c:f>
              <c:strCache>
                <c:ptCount val="1"/>
                <c:pt idx="0">
                  <c:v>HOMBRE CAMIÓN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PLUS'!$B$15:$B$20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PLUS'!$C$15:$C$20</c:f>
              <c:numCache>
                <c:formatCode>0.0%</c:formatCode>
                <c:ptCount val="6"/>
                <c:pt idx="0">
                  <c:v>4.2440318302387266E-2</c:v>
                </c:pt>
                <c:pt idx="1">
                  <c:v>0.19098143236074269</c:v>
                </c:pt>
                <c:pt idx="2">
                  <c:v>0.29708222811671087</c:v>
                </c:pt>
                <c:pt idx="3">
                  <c:v>0.26790450928381965</c:v>
                </c:pt>
                <c:pt idx="4">
                  <c:v>0.19363395225464192</c:v>
                </c:pt>
                <c:pt idx="5">
                  <c:v>7.9575596816976128E-3</c:v>
                </c:pt>
              </c:numCache>
            </c:numRef>
          </c:val>
        </c:ser>
        <c:ser>
          <c:idx val="1"/>
          <c:order val="1"/>
          <c:tx>
            <c:strRef>
              <c:f>'FORMULAS PLUS'!$D$14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1926058437686406E-2"/>
                  <c:y val="-4.73232727284923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4669051878354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10077519379844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623732856291015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6696481812760948E-2"/>
                  <c:y val="-2.3661636364246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PLUS'!$B$15:$B$20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PLUS'!$D$15:$D$20</c:f>
              <c:numCache>
                <c:formatCode>0.0%</c:formatCode>
                <c:ptCount val="6"/>
                <c:pt idx="0">
                  <c:v>0</c:v>
                </c:pt>
                <c:pt idx="1">
                  <c:v>5.8823529411764705E-2</c:v>
                </c:pt>
                <c:pt idx="2">
                  <c:v>0.14705882352941177</c:v>
                </c:pt>
                <c:pt idx="3">
                  <c:v>0.26470588235294118</c:v>
                </c:pt>
                <c:pt idx="4">
                  <c:v>0.47058823529411764</c:v>
                </c:pt>
                <c:pt idx="5">
                  <c:v>5.8823529411764705E-2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9724160"/>
        <c:axId val="189725696"/>
        <c:axId val="0"/>
      </c:bar3DChart>
      <c:catAx>
        <c:axId val="1897241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1" baseline="0"/>
            </a:pPr>
            <a:endParaRPr lang="es-MX"/>
          </a:p>
        </c:txPr>
        <c:crossAx val="189725696"/>
        <c:crosses val="autoZero"/>
        <c:auto val="1"/>
        <c:lblAlgn val="ctr"/>
        <c:lblOffset val="100"/>
        <c:noMultiLvlLbl val="0"/>
      </c:catAx>
      <c:valAx>
        <c:axId val="18972569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9724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218237478812482"/>
          <c:y val="0.9470087406457357"/>
          <c:w val="0.60442466158635355"/>
          <c:h val="5.0081809641949117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3664333624964046E-2"/>
          <c:y val="0.1002614557388697"/>
          <c:w val="0.87909286802112763"/>
          <c:h val="0.6990378148458578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PLUS'!$C$25</c:f>
              <c:strCache>
                <c:ptCount val="1"/>
                <c:pt idx="0">
                  <c:v>Mediante contrato firmado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4.11522633744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230452674897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11522633744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PLUS'!$B$26:$B$31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PLUS'!$C$26:$C$31</c:f>
              <c:numCache>
                <c:formatCode>General</c:formatCode>
                <c:ptCount val="6"/>
                <c:pt idx="0">
                  <c:v>1</c:v>
                </c:pt>
                <c:pt idx="1">
                  <c:v>16</c:v>
                </c:pt>
                <c:pt idx="2">
                  <c:v>37</c:v>
                </c:pt>
                <c:pt idx="3">
                  <c:v>57</c:v>
                </c:pt>
                <c:pt idx="4">
                  <c:v>61</c:v>
                </c:pt>
                <c:pt idx="5">
                  <c:v>4</c:v>
                </c:pt>
              </c:numCache>
            </c:numRef>
          </c:val>
        </c:ser>
        <c:ser>
          <c:idx val="1"/>
          <c:order val="1"/>
          <c:tx>
            <c:strRef>
              <c:f>'FORMULAS PLUS'!$D$25</c:f>
              <c:strCache>
                <c:ptCount val="1"/>
                <c:pt idx="0">
                  <c:v>De palabra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3"/>
              <c:layout>
                <c:manualLayout>
                  <c:x val="1.8518518518518576E-2"/>
                  <c:y val="2.27337250694275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4691358024691412E-2"/>
                  <c:y val="-6.82011752082820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0576131687242802E-2"/>
                  <c:y val="-9.0934900277709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PLUS'!$B$26:$B$31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PLUS'!$D$26:$D$31</c:f>
              <c:numCache>
                <c:formatCode>General</c:formatCode>
                <c:ptCount val="6"/>
                <c:pt idx="0">
                  <c:v>15</c:v>
                </c:pt>
                <c:pt idx="1">
                  <c:v>59</c:v>
                </c:pt>
                <c:pt idx="2">
                  <c:v>78</c:v>
                </c:pt>
                <c:pt idx="3">
                  <c:v>53</c:v>
                </c:pt>
                <c:pt idx="4">
                  <c:v>37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9904000"/>
        <c:axId val="189905536"/>
        <c:axId val="0"/>
      </c:bar3DChart>
      <c:catAx>
        <c:axId val="1899040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 b="1" i="0" baseline="0"/>
            </a:pPr>
            <a:endParaRPr lang="es-MX"/>
          </a:p>
        </c:txPr>
        <c:crossAx val="189905536"/>
        <c:crosses val="autoZero"/>
        <c:auto val="1"/>
        <c:lblAlgn val="ctr"/>
        <c:lblOffset val="100"/>
        <c:noMultiLvlLbl val="0"/>
      </c:catAx>
      <c:valAx>
        <c:axId val="18990553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9904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4.0946502057613174E-2"/>
          <c:y val="0.95246706843689199"/>
          <c:w val="0.88909465020576162"/>
          <c:h val="3.165092819656329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2644036873439727E-2"/>
          <c:y val="0.12796454174309821"/>
          <c:w val="0.88917482875616149"/>
          <c:h val="0.7478989852280686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PLUS'!$F$25</c:f>
              <c:strCache>
                <c:ptCount val="1"/>
                <c:pt idx="0">
                  <c:v>Con empresa logística/freight forewarder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PLUS'!$E$26:$E$31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PLUS'!$F$26:$F$31</c:f>
              <c:numCache>
                <c:formatCode>General</c:formatCode>
                <c:ptCount val="6"/>
                <c:pt idx="0">
                  <c:v>0</c:v>
                </c:pt>
                <c:pt idx="1">
                  <c:v>3</c:v>
                </c:pt>
                <c:pt idx="2">
                  <c:v>14</c:v>
                </c:pt>
                <c:pt idx="3">
                  <c:v>16</c:v>
                </c:pt>
                <c:pt idx="4">
                  <c:v>22</c:v>
                </c:pt>
                <c:pt idx="5">
                  <c:v>2</c:v>
                </c:pt>
              </c:numCache>
            </c:numRef>
          </c:val>
        </c:ser>
        <c:ser>
          <c:idx val="1"/>
          <c:order val="1"/>
          <c:tx>
            <c:strRef>
              <c:f>'FORMULAS PLUS'!$G$25</c:f>
              <c:strCache>
                <c:ptCount val="1"/>
                <c:pt idx="0">
                  <c:v>Con un intermediario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txPr>
              <a:bodyPr rot="-5400000" vert="horz" anchor="ctr" anchorCtr="0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PLUS'!$E$26:$E$31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PLUS'!$G$26:$G$31</c:f>
              <c:numCache>
                <c:formatCode>General</c:formatCode>
                <c:ptCount val="6"/>
                <c:pt idx="0">
                  <c:v>13</c:v>
                </c:pt>
                <c:pt idx="1">
                  <c:v>30</c:v>
                </c:pt>
                <c:pt idx="2">
                  <c:v>49</c:v>
                </c:pt>
                <c:pt idx="3">
                  <c:v>33</c:v>
                </c:pt>
                <c:pt idx="4">
                  <c:v>20</c:v>
                </c:pt>
                <c:pt idx="5">
                  <c:v>1</c:v>
                </c:pt>
              </c:numCache>
            </c:numRef>
          </c:val>
        </c:ser>
        <c:ser>
          <c:idx val="2"/>
          <c:order val="2"/>
          <c:tx>
            <c:strRef>
              <c:f>'FORMULAS PLUS'!$H$25</c:f>
              <c:strCache>
                <c:ptCount val="1"/>
                <c:pt idx="0">
                  <c:v>Con un embarcador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PLUS'!$E$26:$E$31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PLUS'!$H$26:$H$31</c:f>
              <c:numCache>
                <c:formatCode>General</c:formatCode>
                <c:ptCount val="6"/>
                <c:pt idx="0">
                  <c:v>2</c:v>
                </c:pt>
                <c:pt idx="1">
                  <c:v>13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</c:v>
                </c:pt>
              </c:numCache>
            </c:numRef>
          </c:val>
        </c:ser>
        <c:ser>
          <c:idx val="3"/>
          <c:order val="3"/>
          <c:tx>
            <c:strRef>
              <c:f>'FORMULAS PLUS'!$I$25</c:f>
              <c:strCache>
                <c:ptCount val="1"/>
                <c:pt idx="0">
                  <c:v>Con el Cliente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</c:spPr>
          <c:invertIfNegative val="0"/>
          <c:dLbls>
            <c:txPr>
              <a:bodyPr rot="-5400000" vert="horz" anchor="ctr" anchorCtr="0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PLUS'!$E$26:$E$31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PLUS'!$I$26:$I$31</c:f>
              <c:numCache>
                <c:formatCode>General</c:formatCode>
                <c:ptCount val="6"/>
                <c:pt idx="0">
                  <c:v>4</c:v>
                </c:pt>
                <c:pt idx="1">
                  <c:v>39</c:v>
                </c:pt>
                <c:pt idx="2">
                  <c:v>53</c:v>
                </c:pt>
                <c:pt idx="3">
                  <c:v>58</c:v>
                </c:pt>
                <c:pt idx="4">
                  <c:v>40</c:v>
                </c:pt>
                <c:pt idx="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9971456"/>
        <c:axId val="189981440"/>
        <c:axId val="0"/>
      </c:bar3DChart>
      <c:catAx>
        <c:axId val="1899714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 b="1" i="0" baseline="0"/>
            </a:pPr>
            <a:endParaRPr lang="es-MX"/>
          </a:p>
        </c:txPr>
        <c:crossAx val="189981440"/>
        <c:crosses val="autoZero"/>
        <c:auto val="1"/>
        <c:lblAlgn val="ctr"/>
        <c:lblOffset val="100"/>
        <c:noMultiLvlLbl val="0"/>
      </c:catAx>
      <c:valAx>
        <c:axId val="1899814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9971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2631873759682623E-2"/>
          <c:y val="0.94748964023115967"/>
          <c:w val="0.97736812624031755"/>
          <c:h val="5.2042190190537983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2548332882102462E-2"/>
          <c:y val="8.6035189270961446E-2"/>
          <c:w val="0.93044214715547224"/>
          <c:h val="0.7965821755380405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PLUS'!$S$35</c:f>
              <c:strCache>
                <c:ptCount val="1"/>
                <c:pt idx="0">
                  <c:v>&lt;250,000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PLUS'!$T$32:$AA$32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PLUS'!$T$35:$AA$35</c:f>
              <c:numCache>
                <c:formatCode>General</c:formatCode>
                <c:ptCount val="8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6</c:v>
                </c:pt>
                <c:pt idx="4">
                  <c:v>5</c:v>
                </c:pt>
                <c:pt idx="5">
                  <c:v>19</c:v>
                </c:pt>
                <c:pt idx="6">
                  <c:v>59</c:v>
                </c:pt>
                <c:pt idx="7">
                  <c:v>111</c:v>
                </c:pt>
              </c:numCache>
            </c:numRef>
          </c:val>
        </c:ser>
        <c:ser>
          <c:idx val="1"/>
          <c:order val="1"/>
          <c:tx>
            <c:strRef>
              <c:f>'FORMULAS PLUS'!$S$36</c:f>
              <c:strCache>
                <c:ptCount val="1"/>
                <c:pt idx="0">
                  <c:v>250,000 A 500,000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PLUS'!$T$32:$AA$32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PLUS'!$T$36:$AA$36</c:f>
              <c:numCache>
                <c:formatCode>General</c:formatCode>
                <c:ptCount val="8"/>
                <c:pt idx="0">
                  <c:v>0</c:v>
                </c:pt>
                <c:pt idx="1">
                  <c:v>4</c:v>
                </c:pt>
                <c:pt idx="2">
                  <c:v>2</c:v>
                </c:pt>
                <c:pt idx="3">
                  <c:v>14</c:v>
                </c:pt>
                <c:pt idx="4">
                  <c:v>12</c:v>
                </c:pt>
                <c:pt idx="5">
                  <c:v>40</c:v>
                </c:pt>
                <c:pt idx="6">
                  <c:v>123</c:v>
                </c:pt>
                <c:pt idx="7">
                  <c:v>25</c:v>
                </c:pt>
              </c:numCache>
            </c:numRef>
          </c:val>
        </c:ser>
        <c:ser>
          <c:idx val="2"/>
          <c:order val="2"/>
          <c:tx>
            <c:strRef>
              <c:f>'FORMULAS PLUS'!$S$37</c:f>
              <c:strCache>
                <c:ptCount val="1"/>
                <c:pt idx="0">
                  <c:v>500,001 A 1'000,000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PLUS'!$T$32:$AA$32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PLUS'!$T$37:$AA$37</c:f>
              <c:numCache>
                <c:formatCode>General</c:formatCode>
                <c:ptCount val="8"/>
                <c:pt idx="0">
                  <c:v>4</c:v>
                </c:pt>
                <c:pt idx="1">
                  <c:v>10</c:v>
                </c:pt>
                <c:pt idx="2">
                  <c:v>26</c:v>
                </c:pt>
                <c:pt idx="3">
                  <c:v>40</c:v>
                </c:pt>
                <c:pt idx="4">
                  <c:v>100</c:v>
                </c:pt>
                <c:pt idx="5">
                  <c:v>190</c:v>
                </c:pt>
                <c:pt idx="6">
                  <c:v>171</c:v>
                </c:pt>
                <c:pt idx="7">
                  <c:v>6</c:v>
                </c:pt>
              </c:numCache>
            </c:numRef>
          </c:val>
        </c:ser>
        <c:ser>
          <c:idx val="3"/>
          <c:order val="3"/>
          <c:tx>
            <c:strRef>
              <c:f>'FORMULAS PLUS'!$S$38</c:f>
              <c:strCache>
                <c:ptCount val="1"/>
                <c:pt idx="0">
                  <c:v>1'000,001 A 1'500,000</c:v>
                </c:pt>
              </c:strCache>
            </c:strRef>
          </c:tx>
          <c:invertIfNegative val="0"/>
          <c:cat>
            <c:strRef>
              <c:f>'FORMULAS PLUS'!$T$32:$AA$32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PLUS'!$T$38:$AA$38</c:f>
              <c:numCache>
                <c:formatCode>General</c:formatCode>
                <c:ptCount val="8"/>
                <c:pt idx="0">
                  <c:v>13</c:v>
                </c:pt>
                <c:pt idx="1">
                  <c:v>13</c:v>
                </c:pt>
                <c:pt idx="2">
                  <c:v>17</c:v>
                </c:pt>
                <c:pt idx="3">
                  <c:v>31</c:v>
                </c:pt>
                <c:pt idx="4">
                  <c:v>55</c:v>
                </c:pt>
                <c:pt idx="5">
                  <c:v>44</c:v>
                </c:pt>
                <c:pt idx="6">
                  <c:v>9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'FORMULAS PLUS'!$S$39</c:f>
              <c:strCache>
                <c:ptCount val="1"/>
                <c:pt idx="0">
                  <c:v>1'500,001 A 2'000,000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1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PLUS'!$T$32:$AA$32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PLUS'!$T$39:$AA$39</c:f>
              <c:numCache>
                <c:formatCode>General</c:formatCode>
                <c:ptCount val="8"/>
                <c:pt idx="0">
                  <c:v>2</c:v>
                </c:pt>
                <c:pt idx="1">
                  <c:v>37</c:v>
                </c:pt>
                <c:pt idx="2">
                  <c:v>28</c:v>
                </c:pt>
                <c:pt idx="3">
                  <c:v>30</c:v>
                </c:pt>
                <c:pt idx="4">
                  <c:v>23</c:v>
                </c:pt>
                <c:pt idx="5">
                  <c:v>8</c:v>
                </c:pt>
                <c:pt idx="6">
                  <c:v>2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'FORMULAS PLUS'!$S$40</c:f>
              <c:strCache>
                <c:ptCount val="1"/>
                <c:pt idx="0">
                  <c:v>2'000,001 A 2'500,000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0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PLUS'!$T$32:$AA$32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PLUS'!$T$40:$AA$40</c:f>
              <c:numCache>
                <c:formatCode>General</c:formatCode>
                <c:ptCount val="8"/>
                <c:pt idx="0">
                  <c:v>10</c:v>
                </c:pt>
                <c:pt idx="1">
                  <c:v>23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'FORMULAS PLUS'!$S$41</c:f>
              <c:strCache>
                <c:ptCount val="1"/>
                <c:pt idx="0">
                  <c:v>&gt;2'500,000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PLUS'!$T$32:$AA$32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PLUS'!$T$41:$AA$41</c:f>
              <c:numCache>
                <c:formatCode>General</c:formatCode>
                <c:ptCount val="8"/>
                <c:pt idx="0">
                  <c:v>4</c:v>
                </c:pt>
                <c:pt idx="1">
                  <c:v>18</c:v>
                </c:pt>
                <c:pt idx="2">
                  <c:v>4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1107456"/>
        <c:axId val="191108992"/>
        <c:axId val="0"/>
      </c:bar3DChart>
      <c:catAx>
        <c:axId val="1911074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1108992"/>
        <c:crosses val="autoZero"/>
        <c:auto val="1"/>
        <c:lblAlgn val="ctr"/>
        <c:lblOffset val="100"/>
        <c:noMultiLvlLbl val="0"/>
      </c:catAx>
      <c:valAx>
        <c:axId val="191108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1107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8260063818174436E-2"/>
          <c:y val="0.95624082003840694"/>
          <c:w val="0.94702315203655063"/>
          <c:h val="4.3051975347816324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5948904219789861E-2"/>
          <c:y val="0.11473825084301935"/>
          <c:w val="0.9197378036723759"/>
          <c:h val="0.7441061397753135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PLUS'!$S$49</c:f>
              <c:strCache>
                <c:ptCount val="1"/>
                <c:pt idx="0">
                  <c:v>&lt;250,000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PLUS'!$T$46:$AA$46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PLUS'!$T$49:$AA$49</c:f>
              <c:numCache>
                <c:formatCode>0.0%</c:formatCode>
                <c:ptCount val="8"/>
                <c:pt idx="0">
                  <c:v>0</c:v>
                </c:pt>
                <c:pt idx="1">
                  <c:v>2.9282576866764276E-3</c:v>
                </c:pt>
                <c:pt idx="2">
                  <c:v>7.320644216691069E-4</c:v>
                </c:pt>
                <c:pt idx="3">
                  <c:v>4.3923865300146414E-3</c:v>
                </c:pt>
                <c:pt idx="4">
                  <c:v>3.6603221083455345E-3</c:v>
                </c:pt>
                <c:pt idx="5">
                  <c:v>1.3909224011713031E-2</c:v>
                </c:pt>
                <c:pt idx="6">
                  <c:v>4.3191800878477307E-2</c:v>
                </c:pt>
                <c:pt idx="7">
                  <c:v>8.1259150805270866E-2</c:v>
                </c:pt>
              </c:numCache>
            </c:numRef>
          </c:val>
        </c:ser>
        <c:ser>
          <c:idx val="1"/>
          <c:order val="1"/>
          <c:tx>
            <c:strRef>
              <c:f>'FORMULAS PLUS'!$S$50</c:f>
              <c:strCache>
                <c:ptCount val="1"/>
                <c:pt idx="0">
                  <c:v>250,000 A 500,000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PLUS'!$T$46:$AA$46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PLUS'!$T$50:$AA$50</c:f>
              <c:numCache>
                <c:formatCode>0.0%</c:formatCode>
                <c:ptCount val="8"/>
                <c:pt idx="0">
                  <c:v>0</c:v>
                </c:pt>
                <c:pt idx="1">
                  <c:v>2.9282576866764276E-3</c:v>
                </c:pt>
                <c:pt idx="2">
                  <c:v>1.4641288433382138E-3</c:v>
                </c:pt>
                <c:pt idx="3">
                  <c:v>1.0248901903367497E-2</c:v>
                </c:pt>
                <c:pt idx="4">
                  <c:v>8.7847730600292828E-3</c:v>
                </c:pt>
                <c:pt idx="5">
                  <c:v>2.9282576866764276E-2</c:v>
                </c:pt>
                <c:pt idx="6">
                  <c:v>9.0043923865300149E-2</c:v>
                </c:pt>
                <c:pt idx="7">
                  <c:v>1.8301610541727673E-2</c:v>
                </c:pt>
              </c:numCache>
            </c:numRef>
          </c:val>
        </c:ser>
        <c:ser>
          <c:idx val="2"/>
          <c:order val="2"/>
          <c:tx>
            <c:strRef>
              <c:f>'FORMULAS PLUS'!$S$51</c:f>
              <c:strCache>
                <c:ptCount val="1"/>
                <c:pt idx="0">
                  <c:v>500,001 A 1'000,000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PLUS'!$T$46:$AA$46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PLUS'!$T$51:$AA$51</c:f>
              <c:numCache>
                <c:formatCode>0.0%</c:formatCode>
                <c:ptCount val="8"/>
                <c:pt idx="0">
                  <c:v>2.9282576866764276E-3</c:v>
                </c:pt>
                <c:pt idx="1">
                  <c:v>7.320644216691069E-3</c:v>
                </c:pt>
                <c:pt idx="2">
                  <c:v>1.9033674963396779E-2</c:v>
                </c:pt>
                <c:pt idx="3">
                  <c:v>2.9282576866764276E-2</c:v>
                </c:pt>
                <c:pt idx="4">
                  <c:v>7.320644216691069E-2</c:v>
                </c:pt>
                <c:pt idx="5">
                  <c:v>0.13909224011713031</c:v>
                </c:pt>
                <c:pt idx="6">
                  <c:v>0.12518301610541727</c:v>
                </c:pt>
                <c:pt idx="7">
                  <c:v>4.3923865300146414E-3</c:v>
                </c:pt>
              </c:numCache>
            </c:numRef>
          </c:val>
        </c:ser>
        <c:ser>
          <c:idx val="3"/>
          <c:order val="3"/>
          <c:tx>
            <c:strRef>
              <c:f>'FORMULAS PLUS'!$S$52</c:f>
              <c:strCache>
                <c:ptCount val="1"/>
                <c:pt idx="0">
                  <c:v>1'000,001 A 1'500,000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PLUS'!$T$46:$AA$46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PLUS'!$T$52:$AA$52</c:f>
              <c:numCache>
                <c:formatCode>0.0%</c:formatCode>
                <c:ptCount val="8"/>
                <c:pt idx="0">
                  <c:v>9.5168374816983897E-3</c:v>
                </c:pt>
                <c:pt idx="1">
                  <c:v>9.5168374816983897E-3</c:v>
                </c:pt>
                <c:pt idx="2">
                  <c:v>1.2445095168374817E-2</c:v>
                </c:pt>
                <c:pt idx="3">
                  <c:v>2.2693997071742314E-2</c:v>
                </c:pt>
                <c:pt idx="4">
                  <c:v>4.026354319180088E-2</c:v>
                </c:pt>
                <c:pt idx="5">
                  <c:v>3.2210834553440704E-2</c:v>
                </c:pt>
                <c:pt idx="6">
                  <c:v>6.5885797950219621E-3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'FORMULAS PLUS'!$S$53</c:f>
              <c:strCache>
                <c:ptCount val="1"/>
                <c:pt idx="0">
                  <c:v>1'500,001 A 2'000,000</c:v>
                </c:pt>
              </c:strCache>
            </c:strRef>
          </c:tx>
          <c:invertIfNegative val="0"/>
          <c:dLbls>
            <c:txPr>
              <a:bodyPr rot="-5400000" vert="horz" anchor="b" anchorCtr="0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PLUS'!$T$46:$AA$46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PLUS'!$T$53:$AA$53</c:f>
              <c:numCache>
                <c:formatCode>0.0%</c:formatCode>
                <c:ptCount val="8"/>
                <c:pt idx="0">
                  <c:v>1.4641288433382138E-3</c:v>
                </c:pt>
                <c:pt idx="1">
                  <c:v>2.7086383601756955E-2</c:v>
                </c:pt>
                <c:pt idx="2">
                  <c:v>2.0497803806734993E-2</c:v>
                </c:pt>
                <c:pt idx="3">
                  <c:v>2.1961932650073207E-2</c:v>
                </c:pt>
                <c:pt idx="4">
                  <c:v>1.6837481698389459E-2</c:v>
                </c:pt>
                <c:pt idx="5">
                  <c:v>5.8565153733528552E-3</c:v>
                </c:pt>
                <c:pt idx="6">
                  <c:v>1.4641288433382138E-3</c:v>
                </c:pt>
                <c:pt idx="7">
                  <c:v>0</c:v>
                </c:pt>
              </c:numCache>
            </c:numRef>
          </c:val>
        </c:ser>
        <c:ser>
          <c:idx val="5"/>
          <c:order val="5"/>
          <c:tx>
            <c:strRef>
              <c:f>'FORMULAS PLUS'!$S$54</c:f>
              <c:strCache>
                <c:ptCount val="1"/>
                <c:pt idx="0">
                  <c:v>2'000,001 A 2'500,000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PLUS'!$T$46:$AA$46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PLUS'!$T$54:$AA$54</c:f>
              <c:numCache>
                <c:formatCode>0.0%</c:formatCode>
                <c:ptCount val="8"/>
                <c:pt idx="0">
                  <c:v>7.320644216691069E-3</c:v>
                </c:pt>
                <c:pt idx="1">
                  <c:v>1.6837481698389459E-2</c:v>
                </c:pt>
                <c:pt idx="2">
                  <c:v>2.9282576866764276E-3</c:v>
                </c:pt>
                <c:pt idx="3">
                  <c:v>1.4641288433382138E-3</c:v>
                </c:pt>
                <c:pt idx="4">
                  <c:v>4.3923865300146414E-3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6"/>
          <c:order val="6"/>
          <c:tx>
            <c:strRef>
              <c:f>'FORMULAS PLUS'!$S$55</c:f>
              <c:strCache>
                <c:ptCount val="1"/>
                <c:pt idx="0">
                  <c:v>&gt;2'500,000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1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PLUS'!$T$46:$AA$46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PLUS'!$T$55:$AA$55</c:f>
              <c:numCache>
                <c:formatCode>0.0%</c:formatCode>
                <c:ptCount val="8"/>
                <c:pt idx="0">
                  <c:v>2.9282576866764276E-3</c:v>
                </c:pt>
                <c:pt idx="1">
                  <c:v>1.3177159590043924E-2</c:v>
                </c:pt>
                <c:pt idx="2">
                  <c:v>2.9282576866764276E-3</c:v>
                </c:pt>
                <c:pt idx="3">
                  <c:v>2.9282576866764276E-3</c:v>
                </c:pt>
                <c:pt idx="4">
                  <c:v>1.4641288433382138E-3</c:v>
                </c:pt>
                <c:pt idx="5">
                  <c:v>3.6603221083455345E-3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1240448"/>
        <c:axId val="191258624"/>
        <c:axId val="0"/>
      </c:bar3DChart>
      <c:catAx>
        <c:axId val="1912404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1258624"/>
        <c:crosses val="autoZero"/>
        <c:auto val="1"/>
        <c:lblAlgn val="ctr"/>
        <c:lblOffset val="100"/>
        <c:noMultiLvlLbl val="0"/>
      </c:catAx>
      <c:valAx>
        <c:axId val="19125862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1240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1758259319752208E-2"/>
          <c:y val="0.94412301961482692"/>
          <c:w val="0.9599858067277196"/>
          <c:h val="4.3135979193549272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59088624103332E-2"/>
          <c:y val="0.1062485740519188"/>
          <c:w val="0.92897487257461286"/>
          <c:h val="0.7986922959032549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PLUS'!$AF$32</c:f>
              <c:strCache>
                <c:ptCount val="1"/>
                <c:pt idx="0">
                  <c:v>&lt; 1.6</c:v>
                </c:pt>
              </c:strCache>
            </c:strRef>
          </c:tx>
          <c:invertIfNegative val="0"/>
          <c:dLbls>
            <c:txPr>
              <a:bodyPr rot="-5400000" vert="horz" anchor="t" anchorCtr="0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PLUS'!$AG$31:$AN$31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PLUS'!$AG$32:$AN$32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'FORMULAS PLUS'!$AF$33</c:f>
              <c:strCache>
                <c:ptCount val="1"/>
                <c:pt idx="0">
                  <c:v>1.6 A 1.9</c:v>
                </c:pt>
              </c:strCache>
            </c:strRef>
          </c:tx>
          <c:invertIfNegative val="0"/>
          <c:dLbls>
            <c:txPr>
              <a:bodyPr rot="-5400000" vert="horz" anchor="t" anchorCtr="0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PLUS'!$AG$31:$AN$31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PLUS'!$AG$33:$AN$33</c:f>
              <c:numCache>
                <c:formatCode>General</c:formatCode>
                <c:ptCount val="8"/>
                <c:pt idx="0">
                  <c:v>6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PLUS'!$AF$34</c:f>
              <c:strCache>
                <c:ptCount val="1"/>
                <c:pt idx="0">
                  <c:v>1.91 A 2.0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PLUS'!$AG$31:$AN$31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PLUS'!$AG$34:$AN$34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</c:numCache>
            </c:numRef>
          </c:val>
        </c:ser>
        <c:ser>
          <c:idx val="3"/>
          <c:order val="3"/>
          <c:tx>
            <c:strRef>
              <c:f>'FORMULAS PLUS'!$AF$35</c:f>
              <c:strCache>
                <c:ptCount val="1"/>
                <c:pt idx="0">
                  <c:v>2.01 A 2.2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PLUS'!$AG$31:$AN$31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PLUS'!$AG$35:$AN$35</c:f>
              <c:numCache>
                <c:formatCode>General</c:formatCode>
                <c:ptCount val="8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6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'FORMULAS PLUS'!$AF$36</c:f>
              <c:strCache>
                <c:ptCount val="1"/>
                <c:pt idx="0">
                  <c:v>2.21 A 2.5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PLUS'!$AG$31:$AN$31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PLUS'!$AG$36:$AN$36</c:f>
              <c:numCache>
                <c:formatCode>General</c:formatCode>
                <c:ptCount val="8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13</c:v>
                </c:pt>
                <c:pt idx="4">
                  <c:v>0</c:v>
                </c:pt>
                <c:pt idx="5">
                  <c:v>7</c:v>
                </c:pt>
                <c:pt idx="6">
                  <c:v>9</c:v>
                </c:pt>
                <c:pt idx="7">
                  <c:v>7</c:v>
                </c:pt>
              </c:numCache>
            </c:numRef>
          </c:val>
        </c:ser>
        <c:ser>
          <c:idx val="5"/>
          <c:order val="5"/>
          <c:tx>
            <c:strRef>
              <c:f>'FORMULAS PLUS'!$AF$37</c:f>
              <c:strCache>
                <c:ptCount val="1"/>
                <c:pt idx="0">
                  <c:v>2.51 A 3.0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PLUS'!$AG$31:$AN$31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PLUS'!$AG$37:$AN$37</c:f>
              <c:numCache>
                <c:formatCode>General</c:formatCode>
                <c:ptCount val="8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11</c:v>
                </c:pt>
                <c:pt idx="5">
                  <c:v>12</c:v>
                </c:pt>
                <c:pt idx="6">
                  <c:v>12</c:v>
                </c:pt>
                <c:pt idx="7">
                  <c:v>4</c:v>
                </c:pt>
              </c:numCache>
            </c:numRef>
          </c:val>
        </c:ser>
        <c:ser>
          <c:idx val="6"/>
          <c:order val="6"/>
          <c:tx>
            <c:strRef>
              <c:f>'FORMULAS PLUS'!$AF$38</c:f>
              <c:strCache>
                <c:ptCount val="1"/>
                <c:pt idx="0">
                  <c:v>3.01 A 4.0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0" baseline="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PLUS'!$AG$31:$AN$31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PLUS'!$AG$38:$AN$38</c:f>
              <c:numCache>
                <c:formatCode>General</c:formatCode>
                <c:ptCount val="8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7</c:v>
                </c:pt>
                <c:pt idx="7">
                  <c:v>0</c:v>
                </c:pt>
              </c:numCache>
            </c:numRef>
          </c:val>
        </c:ser>
        <c:ser>
          <c:idx val="7"/>
          <c:order val="7"/>
          <c:tx>
            <c:strRef>
              <c:f>'FORMULAS PLUS'!$AF$39</c:f>
              <c:strCache>
                <c:ptCount val="1"/>
                <c:pt idx="0">
                  <c:v>4.01 A 5.0</c:v>
                </c:pt>
              </c:strCache>
            </c:strRef>
          </c:tx>
          <c:invertIfNegative val="0"/>
          <c:dLbls>
            <c:txPr>
              <a:bodyPr rot="-5400000" vert="horz" anchor="ctr" anchorCtr="0"/>
              <a:lstStyle/>
              <a:p>
                <a:pPr>
                  <a:defRPr b="1" i="1" baseline="0">
                    <a:solidFill>
                      <a:srgbClr val="FF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PLUS'!$AG$31:$AN$31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PLUS'!$AG$39:$AN$39</c:f>
              <c:numCache>
                <c:formatCode>General</c:formatCode>
                <c:ptCount val="8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7</c:v>
                </c:pt>
                <c:pt idx="5">
                  <c:v>33</c:v>
                </c:pt>
                <c:pt idx="6">
                  <c:v>11</c:v>
                </c:pt>
                <c:pt idx="7">
                  <c:v>1</c:v>
                </c:pt>
              </c:numCache>
            </c:numRef>
          </c:val>
        </c:ser>
        <c:ser>
          <c:idx val="8"/>
          <c:order val="8"/>
          <c:tx>
            <c:strRef>
              <c:f>'FORMULAS PLUS'!$AF$40</c:f>
              <c:strCache>
                <c:ptCount val="1"/>
                <c:pt idx="0">
                  <c:v>&gt;5.0</c:v>
                </c:pt>
              </c:strCache>
            </c:strRef>
          </c:tx>
          <c:invertIfNegative val="0"/>
          <c:dLbls>
            <c:txPr>
              <a:bodyPr rot="-5400000" vert="horz" anchor="b" anchorCtr="0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PLUS'!$AG$31:$AN$31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PLUS'!$AG$40:$AN$40</c:f>
              <c:numCache>
                <c:formatCode>General</c:formatCode>
                <c:ptCount val="8"/>
                <c:pt idx="0">
                  <c:v>0</c:v>
                </c:pt>
                <c:pt idx="1">
                  <c:v>6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16</c:v>
                </c:pt>
                <c:pt idx="6">
                  <c:v>22</c:v>
                </c:pt>
                <c:pt idx="7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1342848"/>
        <c:axId val="191365120"/>
        <c:axId val="0"/>
      </c:bar3DChart>
      <c:catAx>
        <c:axId val="1913428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1365120"/>
        <c:crosses val="autoZero"/>
        <c:auto val="1"/>
        <c:lblAlgn val="ctr"/>
        <c:lblOffset val="100"/>
        <c:noMultiLvlLbl val="0"/>
      </c:catAx>
      <c:valAx>
        <c:axId val="1913651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1342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3390605322316772E-2"/>
          <c:y val="0.93946214730730226"/>
          <c:w val="0.96943450678530652"/>
          <c:h val="3.5554538578799859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KM RECORRIDOS PROMEDIO POR UNIDAD</a:t>
            </a:r>
          </a:p>
          <a:p>
            <a:pPr>
              <a:defRPr sz="1400"/>
            </a:pPr>
            <a:r>
              <a:rPr lang="en-US" sz="1200"/>
              <a:t>SEGÚN AÑO MODELO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1146981627296583E-2"/>
          <c:y val="0.12956579714845046"/>
          <c:w val="0.90635301837270343"/>
          <c:h val="0.68664775656743771"/>
        </c:manualLayout>
      </c:layout>
      <c:lineChart>
        <c:grouping val="standard"/>
        <c:varyColors val="0"/>
        <c:ser>
          <c:idx val="1"/>
          <c:order val="0"/>
          <c:tx>
            <c:strRef>
              <c:f>'FORMULAS PLUS'!$CD$2</c:f>
              <c:strCache>
                <c:ptCount val="1"/>
                <c:pt idx="0">
                  <c:v>KM RECORRIDOS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975721784777E-2"/>
                  <c:y val="0.21391383953205276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4031277340332465E-2"/>
                  <c:y val="0.11400196159153399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5420166229221349E-2"/>
                  <c:y val="0.1115027428433789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680905511811033E-2"/>
                  <c:y val="9.6507430354448268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5420166229221349E-2"/>
                  <c:y val="0.10650430534706865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2364610673665852E-2"/>
                  <c:y val="0.10650430534706865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8197944006999124E-2"/>
                  <c:y val="0.13649493032493051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4031277340332465E-2"/>
                  <c:y val="0.10900352409522379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4031277340332465E-2"/>
                  <c:y val="8.607309368646178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1.8197944006999124E-2"/>
                  <c:y val="8.607309368646178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-2.0975721784777E-2"/>
                  <c:y val="0.10150586785075845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2.0975721784777E-2"/>
                  <c:y val="8.607309368646178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5"/>
              <c:layout>
                <c:manualLayout>
                  <c:x val="-1.8197944006999024E-2"/>
                  <c:y val="7.8575437441996521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1.8197944006999124E-2"/>
                  <c:y val="8.8572312434617245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 rot="-5400000" vert="horz" anchor="ctr" anchorCtr="0"/>
              <a:lstStyle/>
              <a:p>
                <a:pPr>
                  <a:defRPr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cat>
            <c:strRef>
              <c:f>'FORMULAS PLUS'!$CA$3:$CA$37</c:f>
              <c:strCache>
                <c:ptCount val="35"/>
                <c:pt idx="0">
                  <c:v>Anteriores a 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</c:strCache>
            </c:strRef>
          </c:cat>
          <c:val>
            <c:numRef>
              <c:f>'FORMULAS PLUS'!$CD$3:$CD$37</c:f>
              <c:numCache>
                <c:formatCode>#,##0</c:formatCode>
                <c:ptCount val="35"/>
                <c:pt idx="0">
                  <c:v>1737045.9090909092</c:v>
                </c:pt>
                <c:pt idx="1">
                  <c:v>1460250</c:v>
                </c:pt>
                <c:pt idx="2">
                  <c:v>1707278.4615384615</c:v>
                </c:pt>
                <c:pt idx="3">
                  <c:v>1708857.142857143</c:v>
                </c:pt>
                <c:pt idx="4">
                  <c:v>1616793.8461538462</c:v>
                </c:pt>
                <c:pt idx="5">
                  <c:v>1719209.1153846155</c:v>
                </c:pt>
                <c:pt idx="6">
                  <c:v>1556573</c:v>
                </c:pt>
                <c:pt idx="7">
                  <c:v>1511246.4</c:v>
                </c:pt>
                <c:pt idx="8">
                  <c:v>1413333.3333333333</c:v>
                </c:pt>
                <c:pt idx="9">
                  <c:v>1405093.3636363635</c:v>
                </c:pt>
                <c:pt idx="10">
                  <c:v>1411972.6470588236</c:v>
                </c:pt>
                <c:pt idx="11">
                  <c:v>1190223.5714285714</c:v>
                </c:pt>
                <c:pt idx="12">
                  <c:v>1368423.8181818181</c:v>
                </c:pt>
                <c:pt idx="13">
                  <c:v>1212281.8181818181</c:v>
                </c:pt>
                <c:pt idx="14">
                  <c:v>881772.52</c:v>
                </c:pt>
                <c:pt idx="15">
                  <c:v>1017711.8181818182</c:v>
                </c:pt>
                <c:pt idx="16">
                  <c:v>997716.5882352941</c:v>
                </c:pt>
                <c:pt idx="17">
                  <c:v>949324.59459459456</c:v>
                </c:pt>
                <c:pt idx="18">
                  <c:v>1111254.9333333333</c:v>
                </c:pt>
                <c:pt idx="19">
                  <c:v>845738.57142857148</c:v>
                </c:pt>
                <c:pt idx="20">
                  <c:v>1110803.373493976</c:v>
                </c:pt>
                <c:pt idx="21">
                  <c:v>1042496.2</c:v>
                </c:pt>
                <c:pt idx="22">
                  <c:v>826705.5384615385</c:v>
                </c:pt>
                <c:pt idx="23">
                  <c:v>850309.84615384613</c:v>
                </c:pt>
                <c:pt idx="24">
                  <c:v>646899.07462686568</c:v>
                </c:pt>
                <c:pt idx="25">
                  <c:v>666637.84090909094</c:v>
                </c:pt>
                <c:pt idx="26">
                  <c:v>589097</c:v>
                </c:pt>
                <c:pt idx="27">
                  <c:v>622662.90526315791</c:v>
                </c:pt>
                <c:pt idx="28">
                  <c:v>501746.92307692306</c:v>
                </c:pt>
                <c:pt idx="29">
                  <c:v>450033.55932203389</c:v>
                </c:pt>
                <c:pt idx="30">
                  <c:v>334234.67164179106</c:v>
                </c:pt>
                <c:pt idx="31">
                  <c:v>268264.30769230769</c:v>
                </c:pt>
                <c:pt idx="32">
                  <c:v>159338.57142857142</c:v>
                </c:pt>
                <c:pt idx="33">
                  <c:v>158500</c:v>
                </c:pt>
                <c:pt idx="34">
                  <c:v>94925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385600"/>
        <c:axId val="191387136"/>
      </c:lineChart>
      <c:catAx>
        <c:axId val="1913856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1387136"/>
        <c:crosses val="autoZero"/>
        <c:auto val="1"/>
        <c:lblAlgn val="ctr"/>
        <c:lblOffset val="100"/>
        <c:noMultiLvlLbl val="0"/>
      </c:catAx>
      <c:valAx>
        <c:axId val="19138713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13856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499123294235532E-2"/>
          <c:y val="0.15066133267134244"/>
          <c:w val="0.92376025092299152"/>
          <c:h val="0.63389208618946125"/>
        </c:manualLayout>
      </c:layout>
      <c:lineChart>
        <c:grouping val="standard"/>
        <c:varyColors val="0"/>
        <c:ser>
          <c:idx val="1"/>
          <c:order val="0"/>
          <c:tx>
            <c:strRef>
              <c:f>'FORMULAS PLUS'!$CB$2</c:f>
              <c:strCache>
                <c:ptCount val="1"/>
                <c:pt idx="0">
                  <c:v>RENDIMIENTO CARGADA [km/lt]</c:v>
                </c:pt>
              </c:strCache>
            </c:strRef>
          </c:tx>
          <c:marker>
            <c:symbol val="none"/>
          </c:marker>
          <c:dLbls>
            <c:txPr>
              <a:bodyPr rot="-5400000" vert="horz" anchor="b" anchorCtr="0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PLUS'!$CA$3:$CA$37</c:f>
              <c:strCache>
                <c:ptCount val="35"/>
                <c:pt idx="0">
                  <c:v>Anteriores a 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</c:strCache>
            </c:strRef>
          </c:cat>
          <c:val>
            <c:numRef>
              <c:f>'FORMULAS PLUS'!$CB$3:$CB$37</c:f>
              <c:numCache>
                <c:formatCode>#,##0.00</c:formatCode>
                <c:ptCount val="35"/>
                <c:pt idx="0">
                  <c:v>2.083783783783784</c:v>
                </c:pt>
                <c:pt idx="1">
                  <c:v>1.911111111111111</c:v>
                </c:pt>
                <c:pt idx="2">
                  <c:v>2.4</c:v>
                </c:pt>
                <c:pt idx="3">
                  <c:v>2.15</c:v>
                </c:pt>
                <c:pt idx="4">
                  <c:v>2.2769230769230768</c:v>
                </c:pt>
                <c:pt idx="5">
                  <c:v>2.4</c:v>
                </c:pt>
                <c:pt idx="6">
                  <c:v>1.8333333333333333</c:v>
                </c:pt>
                <c:pt idx="7">
                  <c:v>2.7785714285714285</c:v>
                </c:pt>
                <c:pt idx="8">
                  <c:v>2.4999999999999996</c:v>
                </c:pt>
                <c:pt idx="9">
                  <c:v>2.3266666666666667</c:v>
                </c:pt>
                <c:pt idx="10">
                  <c:v>2.4457142857142857</c:v>
                </c:pt>
                <c:pt idx="11">
                  <c:v>1.98125</c:v>
                </c:pt>
                <c:pt idx="12">
                  <c:v>2.1124999999999998</c:v>
                </c:pt>
                <c:pt idx="13">
                  <c:v>2.4304347826086956</c:v>
                </c:pt>
                <c:pt idx="14">
                  <c:v>1.9933333333333332</c:v>
                </c:pt>
                <c:pt idx="15">
                  <c:v>2.6104166666666666</c:v>
                </c:pt>
                <c:pt idx="16">
                  <c:v>2.2833333333333332</c:v>
                </c:pt>
                <c:pt idx="17">
                  <c:v>2.770731707317073</c:v>
                </c:pt>
                <c:pt idx="18">
                  <c:v>2.4163265306122446</c:v>
                </c:pt>
                <c:pt idx="19">
                  <c:v>2.3583333333333334</c:v>
                </c:pt>
                <c:pt idx="20">
                  <c:v>2.3302325581395356</c:v>
                </c:pt>
                <c:pt idx="21">
                  <c:v>2.603968253968254</c:v>
                </c:pt>
                <c:pt idx="22">
                  <c:v>2.69</c:v>
                </c:pt>
                <c:pt idx="23">
                  <c:v>2.5444444444444452</c:v>
                </c:pt>
                <c:pt idx="24">
                  <c:v>2.8216417910447769</c:v>
                </c:pt>
                <c:pt idx="25">
                  <c:v>2.7560439560439574</c:v>
                </c:pt>
                <c:pt idx="26">
                  <c:v>2.5207547169811324</c:v>
                </c:pt>
                <c:pt idx="27">
                  <c:v>2.4447368421052649</c:v>
                </c:pt>
                <c:pt idx="28">
                  <c:v>2.8065217391304351</c:v>
                </c:pt>
                <c:pt idx="29">
                  <c:v>2.6883333333333335</c:v>
                </c:pt>
                <c:pt idx="30">
                  <c:v>2.8350746268656715</c:v>
                </c:pt>
                <c:pt idx="31">
                  <c:v>2.8269230769230775</c:v>
                </c:pt>
                <c:pt idx="32">
                  <c:v>2.2257142857142864</c:v>
                </c:pt>
                <c:pt idx="33">
                  <c:v>2.4807692307692308</c:v>
                </c:pt>
                <c:pt idx="34">
                  <c:v>2.2049999999999996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'FORMULAS PLUS'!$CC$2</c:f>
              <c:strCache>
                <c:ptCount val="1"/>
                <c:pt idx="0">
                  <c:v>RENDIMIENTO DE VACÍO [km/lt]</c:v>
                </c:pt>
              </c:strCache>
            </c:strRef>
          </c:tx>
          <c:marker>
            <c:symbol val="none"/>
          </c:marker>
          <c:dLbls>
            <c:spPr>
              <a:noFill/>
            </c:spPr>
            <c:txPr>
              <a:bodyPr rot="-5400000" vert="horz" anchor="b" anchorCtr="0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PLUS'!$CA$3:$CA$37</c:f>
              <c:strCache>
                <c:ptCount val="35"/>
                <c:pt idx="0">
                  <c:v>Anteriores a 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</c:strCache>
            </c:strRef>
          </c:cat>
          <c:val>
            <c:numRef>
              <c:f>'FORMULAS PLUS'!$CC$3:$CC$37</c:f>
              <c:numCache>
                <c:formatCode>#,##0.00</c:formatCode>
                <c:ptCount val="35"/>
                <c:pt idx="0">
                  <c:v>2.4513513513513514</c:v>
                </c:pt>
                <c:pt idx="1">
                  <c:v>2.2555555555555551</c:v>
                </c:pt>
                <c:pt idx="2">
                  <c:v>3.0428571428571431</c:v>
                </c:pt>
                <c:pt idx="3">
                  <c:v>2.5785714285714287</c:v>
                </c:pt>
                <c:pt idx="4">
                  <c:v>2.7230769230769232</c:v>
                </c:pt>
                <c:pt idx="5">
                  <c:v>2.8593750000000004</c:v>
                </c:pt>
                <c:pt idx="6">
                  <c:v>2.1083333333333334</c:v>
                </c:pt>
                <c:pt idx="7">
                  <c:v>3.2928571428571423</c:v>
                </c:pt>
                <c:pt idx="8">
                  <c:v>2.8812500000000001</c:v>
                </c:pt>
                <c:pt idx="9">
                  <c:v>2.8133333333333335</c:v>
                </c:pt>
                <c:pt idx="10">
                  <c:v>2.891428571428571</c:v>
                </c:pt>
                <c:pt idx="11">
                  <c:v>2.3312500000000003</c:v>
                </c:pt>
                <c:pt idx="12">
                  <c:v>2.5374999999999992</c:v>
                </c:pt>
                <c:pt idx="13">
                  <c:v>2.7260869565217387</c:v>
                </c:pt>
                <c:pt idx="14">
                  <c:v>2.5233333333333339</c:v>
                </c:pt>
                <c:pt idx="15">
                  <c:v>3.006250000000001</c:v>
                </c:pt>
                <c:pt idx="16">
                  <c:v>2.6611111111111114</c:v>
                </c:pt>
                <c:pt idx="17">
                  <c:v>3.2512195121951217</c:v>
                </c:pt>
                <c:pt idx="18">
                  <c:v>2.8489795918367347</c:v>
                </c:pt>
                <c:pt idx="19">
                  <c:v>2.8062499999999999</c:v>
                </c:pt>
                <c:pt idx="20">
                  <c:v>2.738953488372093</c:v>
                </c:pt>
                <c:pt idx="21">
                  <c:v>3.0873015873015865</c:v>
                </c:pt>
                <c:pt idx="22">
                  <c:v>3.2324999999999995</c:v>
                </c:pt>
                <c:pt idx="23">
                  <c:v>3.0611111111111104</c:v>
                </c:pt>
                <c:pt idx="24">
                  <c:v>3.4119402985074609</c:v>
                </c:pt>
                <c:pt idx="25">
                  <c:v>3.1604395604395608</c:v>
                </c:pt>
                <c:pt idx="26">
                  <c:v>3.0226415094339627</c:v>
                </c:pt>
                <c:pt idx="27">
                  <c:v>2.8426315789473668</c:v>
                </c:pt>
                <c:pt idx="28">
                  <c:v>3.3184782608695649</c:v>
                </c:pt>
                <c:pt idx="29">
                  <c:v>3.1649999999999991</c:v>
                </c:pt>
                <c:pt idx="30">
                  <c:v>3.4514925373134324</c:v>
                </c:pt>
                <c:pt idx="31">
                  <c:v>3.3615384615384616</c:v>
                </c:pt>
                <c:pt idx="32">
                  <c:v>2.6914285714285717</c:v>
                </c:pt>
                <c:pt idx="33">
                  <c:v>2.9230769230769225</c:v>
                </c:pt>
                <c:pt idx="34">
                  <c:v>2.5150000000000001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425152"/>
        <c:axId val="191500672"/>
      </c:lineChart>
      <c:catAx>
        <c:axId val="1914251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1500672"/>
        <c:crosses val="autoZero"/>
        <c:auto val="1"/>
        <c:lblAlgn val="ctr"/>
        <c:lblOffset val="100"/>
        <c:noMultiLvlLbl val="0"/>
      </c:catAx>
      <c:valAx>
        <c:axId val="191500672"/>
        <c:scaling>
          <c:orientation val="minMax"/>
          <c:min val="1.5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1425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2100902843576077"/>
          <c:y val="0.95899168626668474"/>
          <c:w val="0.56515971291970468"/>
          <c:h val="3.2670897577436193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TIPO DE UNIDAD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FORMULAS!$J$14</c:f>
              <c:strCache>
                <c:ptCount val="1"/>
                <c:pt idx="0">
                  <c:v>TIPO DE UNIDAD</c:v>
                </c:pt>
              </c:strCache>
            </c:strRef>
          </c:tx>
          <c:explosion val="25"/>
          <c:dLbls>
            <c:dLbl>
              <c:idx val="0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FORMULAS!$J$15:$J$18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FORMULAS!$L$15:$L$18</c:f>
              <c:numCache>
                <c:formatCode>0.0%</c:formatCode>
                <c:ptCount val="4"/>
                <c:pt idx="0">
                  <c:v>0.21428571428571427</c:v>
                </c:pt>
                <c:pt idx="1">
                  <c:v>0.2</c:v>
                </c:pt>
                <c:pt idx="2">
                  <c:v>4.3877551020408162E-2</c:v>
                </c:pt>
                <c:pt idx="3">
                  <c:v>0.5418367346938775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37541971842049"/>
          <c:y val="0.15242154513294587"/>
          <c:w val="0.85180369286756863"/>
          <c:h val="0.73246433869679362"/>
        </c:manualLayout>
      </c:layout>
      <c:lineChart>
        <c:grouping val="standard"/>
        <c:varyColors val="0"/>
        <c:ser>
          <c:idx val="0"/>
          <c:order val="0"/>
          <c:tx>
            <c:strRef>
              <c:f>'FORMULAS PLUS'!$CG$2</c:f>
              <c:strCache>
                <c:ptCount val="1"/>
                <c:pt idx="0">
                  <c:v>RENDIMIENTO UNIDAD CARGADA [km/lt]</c:v>
                </c:pt>
              </c:strCache>
            </c:strRef>
          </c:tx>
          <c:marker>
            <c:symbol val="none"/>
          </c:marker>
          <c:dLbls>
            <c:txPr>
              <a:bodyPr rot="-5400000" vert="horz" anchor="ctr" anchorCtr="0"/>
              <a:lstStyle/>
              <a:p>
                <a:pPr>
                  <a:defRPr b="1" i="0" baseline="0"/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PLUS'!$CF$3:$CF$10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PLUS'!$CG$3:$CG$10</c:f>
              <c:numCache>
                <c:formatCode>0.00</c:formatCode>
                <c:ptCount val="8"/>
                <c:pt idx="0">
                  <c:v>2.0000000000000004</c:v>
                </c:pt>
                <c:pt idx="1">
                  <c:v>2.5333333333333337</c:v>
                </c:pt>
                <c:pt idx="2">
                  <c:v>2.5333333333333337</c:v>
                </c:pt>
                <c:pt idx="3">
                  <c:v>2.6657142857142859</c:v>
                </c:pt>
                <c:pt idx="4">
                  <c:v>2.7583333333333329</c:v>
                </c:pt>
                <c:pt idx="5">
                  <c:v>3.2258064516129048</c:v>
                </c:pt>
                <c:pt idx="6">
                  <c:v>2.7953488372093025</c:v>
                </c:pt>
                <c:pt idx="7">
                  <c:v>2.3549999999999995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'FORMULAS PLUS'!$CH$2</c:f>
              <c:strCache>
                <c:ptCount val="1"/>
                <c:pt idx="0">
                  <c:v>RENDIMIENTO UNIDAD EN VACÍO [km/lt]</c:v>
                </c:pt>
              </c:strCache>
            </c:strRef>
          </c:tx>
          <c:marker>
            <c:symbol val="none"/>
          </c:marker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PLUS'!$CF$3:$CF$10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PLUS'!$CH$3:$CH$10</c:f>
              <c:numCache>
                <c:formatCode>0.00</c:formatCode>
                <c:ptCount val="8"/>
                <c:pt idx="0">
                  <c:v>2.4</c:v>
                </c:pt>
                <c:pt idx="1">
                  <c:v>2.9750000000000001</c:v>
                </c:pt>
                <c:pt idx="2">
                  <c:v>2.9750000000000001</c:v>
                </c:pt>
                <c:pt idx="3">
                  <c:v>3.0914285714285707</c:v>
                </c:pt>
                <c:pt idx="4">
                  <c:v>3.436363636363637</c:v>
                </c:pt>
                <c:pt idx="5">
                  <c:v>3.7241935483870985</c:v>
                </c:pt>
                <c:pt idx="6">
                  <c:v>3.2744186046511619</c:v>
                </c:pt>
                <c:pt idx="7">
                  <c:v>2.8200000000000003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42784"/>
        <c:axId val="191544320"/>
      </c:lineChart>
      <c:catAx>
        <c:axId val="1915427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1544320"/>
        <c:crosses val="autoZero"/>
        <c:auto val="1"/>
        <c:lblAlgn val="ctr"/>
        <c:lblOffset val="100"/>
        <c:noMultiLvlLbl val="0"/>
      </c:catAx>
      <c:valAx>
        <c:axId val="191544320"/>
        <c:scaling>
          <c:orientation val="minMax"/>
          <c:min val="1.5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1542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5.2598643919510309E-2"/>
          <c:y val="0.94750123625851512"/>
          <c:w val="0.9224013560804919"/>
          <c:h val="4.8636882346228483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775343157011802E-2"/>
          <c:y val="0.14652882418474669"/>
          <c:w val="0.92366903575255355"/>
          <c:h val="0.73774788043581174"/>
        </c:manualLayout>
      </c:layout>
      <c:lineChart>
        <c:grouping val="standard"/>
        <c:varyColors val="0"/>
        <c:ser>
          <c:idx val="0"/>
          <c:order val="0"/>
          <c:tx>
            <c:strRef>
              <c:f>'FORMULAS PLUS'!$CG$12</c:f>
              <c:strCache>
                <c:ptCount val="1"/>
                <c:pt idx="0">
                  <c:v>RENDIMIENTO UNIDAD CARGADA [km/lt]</c:v>
                </c:pt>
              </c:strCache>
            </c:strRef>
          </c:tx>
          <c:marker>
            <c:symbol val="none"/>
          </c:marker>
          <c:dLbls>
            <c:txPr>
              <a:bodyPr rot="-5400000" vert="horz"/>
              <a:lstStyle/>
              <a:p>
                <a:pPr>
                  <a:defRPr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PLUS'!$CF$13:$CF$20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PLUS'!$CG$13:$CG$20</c:f>
              <c:numCache>
                <c:formatCode>0.00</c:formatCode>
                <c:ptCount val="8"/>
                <c:pt idx="0">
                  <c:v>2.2562499999999996</c:v>
                </c:pt>
                <c:pt idx="1">
                  <c:v>2.5911764705882359</c:v>
                </c:pt>
                <c:pt idx="2">
                  <c:v>2.5911764705882359</c:v>
                </c:pt>
                <c:pt idx="3">
                  <c:v>2.2588235294117651</c:v>
                </c:pt>
                <c:pt idx="4">
                  <c:v>2.9461538461538463</c:v>
                </c:pt>
                <c:pt idx="5">
                  <c:v>2.9023809523809527</c:v>
                </c:pt>
                <c:pt idx="6">
                  <c:v>3.153658536585366</c:v>
                </c:pt>
                <c:pt idx="7">
                  <c:v>2.3272727272727272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'FORMULAS PLUS'!$CH$12</c:f>
              <c:strCache>
                <c:ptCount val="1"/>
                <c:pt idx="0">
                  <c:v>RENDIMIENTO UNIDAD EN VACÍO [km/lt]</c:v>
                </c:pt>
              </c:strCache>
            </c:strRef>
          </c:tx>
          <c:marker>
            <c:symbol val="none"/>
          </c:marker>
          <c:dLbls>
            <c:txPr>
              <a:bodyPr rot="-5400000" vert="horz"/>
              <a:lstStyle/>
              <a:p>
                <a:pPr>
                  <a:defRPr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PLUS'!$CF$13:$CF$20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PLUS'!$CH$13:$CH$20</c:f>
              <c:numCache>
                <c:formatCode>0.00</c:formatCode>
                <c:ptCount val="8"/>
                <c:pt idx="0">
                  <c:v>2.5749999999999997</c:v>
                </c:pt>
                <c:pt idx="1">
                  <c:v>3.0470588235294116</c:v>
                </c:pt>
                <c:pt idx="2">
                  <c:v>3.0470588235294116</c:v>
                </c:pt>
                <c:pt idx="3">
                  <c:v>2.8617647058823525</c:v>
                </c:pt>
                <c:pt idx="4">
                  <c:v>3.4980769230769231</c:v>
                </c:pt>
                <c:pt idx="5">
                  <c:v>3.3952380952380952</c:v>
                </c:pt>
                <c:pt idx="6">
                  <c:v>3.6658536585365855</c:v>
                </c:pt>
                <c:pt idx="7">
                  <c:v>2.6999999999999997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78880"/>
        <c:axId val="191580416"/>
      </c:lineChart>
      <c:catAx>
        <c:axId val="191578880"/>
        <c:scaling>
          <c:orientation val="minMax"/>
        </c:scaling>
        <c:delete val="0"/>
        <c:axPos val="b"/>
        <c:majorTickMark val="out"/>
        <c:minorTickMark val="none"/>
        <c:tickLblPos val="nextTo"/>
        <c:crossAx val="191580416"/>
        <c:crosses val="autoZero"/>
        <c:auto val="1"/>
        <c:lblAlgn val="ctr"/>
        <c:lblOffset val="100"/>
        <c:noMultiLvlLbl val="0"/>
      </c:catAx>
      <c:valAx>
        <c:axId val="191580416"/>
        <c:scaling>
          <c:orientation val="minMax"/>
          <c:min val="2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crossAx val="191578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048682585088849"/>
          <c:y val="0.94824241394286168"/>
          <c:w val="0.80789852579289012"/>
          <c:h val="5.0757378349289083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b="1" i="0" baseline="0"/>
      </a:pPr>
      <a:endParaRPr lang="es-MX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712163161649814E-2"/>
          <c:y val="0.16034054882924581"/>
          <c:w val="0.90048893514245687"/>
          <c:h val="0.71479298958597903"/>
        </c:manualLayout>
      </c:layout>
      <c:lineChart>
        <c:grouping val="standard"/>
        <c:varyColors val="0"/>
        <c:ser>
          <c:idx val="0"/>
          <c:order val="0"/>
          <c:tx>
            <c:strRef>
              <c:f>'FORMULAS PLUS'!$CG$22</c:f>
              <c:strCache>
                <c:ptCount val="1"/>
                <c:pt idx="0">
                  <c:v>RENDIMIENTO UNIDAD CARGADA [km/lt]</c:v>
                </c:pt>
              </c:strCache>
            </c:strRef>
          </c:tx>
          <c:marker>
            <c:symbol val="none"/>
          </c:marker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PLUS'!$CF$24:$CF$30</c:f>
              <c:strCache>
                <c:ptCount val="7"/>
                <c:pt idx="0">
                  <c:v>1980 a 1985</c:v>
                </c:pt>
                <c:pt idx="1">
                  <c:v>1986 a 1990</c:v>
                </c:pt>
                <c:pt idx="2">
                  <c:v>1991 a 1995</c:v>
                </c:pt>
                <c:pt idx="3">
                  <c:v>1996 a 2000</c:v>
                </c:pt>
                <c:pt idx="4">
                  <c:v>2001 a 2005</c:v>
                </c:pt>
                <c:pt idx="5">
                  <c:v>2006 a 2010</c:v>
                </c:pt>
                <c:pt idx="6">
                  <c:v>&gt; 2010</c:v>
                </c:pt>
              </c:strCache>
            </c:strRef>
          </c:cat>
          <c:val>
            <c:numRef>
              <c:f>'FORMULAS PLUS'!$CG$24:$CG$30</c:f>
              <c:numCache>
                <c:formatCode>0.00</c:formatCode>
                <c:ptCount val="7"/>
                <c:pt idx="0">
                  <c:v>2.2999999999999998</c:v>
                </c:pt>
                <c:pt idx="1">
                  <c:v>2.2999999999999998</c:v>
                </c:pt>
                <c:pt idx="2">
                  <c:v>2.2333333333333329</c:v>
                </c:pt>
                <c:pt idx="3">
                  <c:v>2.1714285714285713</c:v>
                </c:pt>
                <c:pt idx="4">
                  <c:v>1.8833333333333335</c:v>
                </c:pt>
                <c:pt idx="5">
                  <c:v>2.3620689655172415</c:v>
                </c:pt>
                <c:pt idx="6">
                  <c:v>2.333333333333333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'FORMULAS PLUS'!$CH$22</c:f>
              <c:strCache>
                <c:ptCount val="1"/>
                <c:pt idx="0">
                  <c:v>RENDIMIENTO UNIDAD EN VACÍO [km/lt]</c:v>
                </c:pt>
              </c:strCache>
            </c:strRef>
          </c:tx>
          <c:marker>
            <c:symbol val="none"/>
          </c:marker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PLUS'!$CF$24:$CF$30</c:f>
              <c:strCache>
                <c:ptCount val="7"/>
                <c:pt idx="0">
                  <c:v>1980 a 1985</c:v>
                </c:pt>
                <c:pt idx="1">
                  <c:v>1986 a 1990</c:v>
                </c:pt>
                <c:pt idx="2">
                  <c:v>1991 a 1995</c:v>
                </c:pt>
                <c:pt idx="3">
                  <c:v>1996 a 2000</c:v>
                </c:pt>
                <c:pt idx="4">
                  <c:v>2001 a 2005</c:v>
                </c:pt>
                <c:pt idx="5">
                  <c:v>2006 a 2010</c:v>
                </c:pt>
                <c:pt idx="6">
                  <c:v>&gt; 2010</c:v>
                </c:pt>
              </c:strCache>
            </c:strRef>
          </c:cat>
          <c:val>
            <c:numRef>
              <c:f>'FORMULAS PLUS'!$CH$24:$CH$30</c:f>
              <c:numCache>
                <c:formatCode>0.00</c:formatCode>
                <c:ptCount val="7"/>
                <c:pt idx="0">
                  <c:v>2.8</c:v>
                </c:pt>
                <c:pt idx="1">
                  <c:v>2.8</c:v>
                </c:pt>
                <c:pt idx="2">
                  <c:v>2.4666666666666668</c:v>
                </c:pt>
                <c:pt idx="3">
                  <c:v>2.4428571428571431</c:v>
                </c:pt>
                <c:pt idx="4">
                  <c:v>2.25</c:v>
                </c:pt>
                <c:pt idx="5">
                  <c:v>2.8965517241379315</c:v>
                </c:pt>
                <c:pt idx="6">
                  <c:v>2.8666666666666667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893888"/>
        <c:axId val="191895424"/>
      </c:lineChart>
      <c:catAx>
        <c:axId val="1918938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1895424"/>
        <c:crosses val="autoZero"/>
        <c:auto val="1"/>
        <c:lblAlgn val="ctr"/>
        <c:lblOffset val="100"/>
        <c:noMultiLvlLbl val="0"/>
      </c:catAx>
      <c:valAx>
        <c:axId val="191895424"/>
        <c:scaling>
          <c:orientation val="minMax"/>
          <c:min val="1.5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1893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474640171225564"/>
          <c:y val="0.95141478282956549"/>
          <c:w val="0.74704079695773762"/>
          <c:h val="3.6238534699291614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504409774865086E-2"/>
          <c:y val="0.14111115891934273"/>
          <c:w val="0.91576674654798551"/>
          <c:h val="0.71497478115781954"/>
        </c:manualLayout>
      </c:layout>
      <c:lineChart>
        <c:grouping val="standard"/>
        <c:varyColors val="0"/>
        <c:ser>
          <c:idx val="0"/>
          <c:order val="0"/>
          <c:tx>
            <c:strRef>
              <c:f>'FORMULAS PLUS'!$CG$32</c:f>
              <c:strCache>
                <c:ptCount val="1"/>
                <c:pt idx="0">
                  <c:v>RENDIMIENTO UNIDAD CARGADA [km/lt]</c:v>
                </c:pt>
              </c:strCache>
            </c:strRef>
          </c:tx>
          <c:marker>
            <c:symbol val="none"/>
          </c:marker>
          <c:dLbls>
            <c:txPr>
              <a:bodyPr rot="-5400000" vert="horz"/>
              <a:lstStyle/>
              <a:p>
                <a:pPr>
                  <a:defRPr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PLUS'!$CF$33:$CF$40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PLUS'!$CG$33:$CG$40</c:f>
              <c:numCache>
                <c:formatCode>0.00</c:formatCode>
                <c:ptCount val="8"/>
                <c:pt idx="0">
                  <c:v>1.9153846153846155</c:v>
                </c:pt>
                <c:pt idx="1">
                  <c:v>2.066666666666666</c:v>
                </c:pt>
                <c:pt idx="2">
                  <c:v>2.066666666666666</c:v>
                </c:pt>
                <c:pt idx="3">
                  <c:v>2.0787878787878795</c:v>
                </c:pt>
                <c:pt idx="4">
                  <c:v>2.1095238095238096</c:v>
                </c:pt>
                <c:pt idx="5">
                  <c:v>2.2840909090909061</c:v>
                </c:pt>
                <c:pt idx="6">
                  <c:v>2.2738738738738724</c:v>
                </c:pt>
                <c:pt idx="7">
                  <c:v>2.1142857142857143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'FORMULAS PLUS'!$CH$32</c:f>
              <c:strCache>
                <c:ptCount val="1"/>
                <c:pt idx="0">
                  <c:v>RENDIMIENTO UNIDAD EN VACÍO [km/lt]</c:v>
                </c:pt>
              </c:strCache>
            </c:strRef>
          </c:tx>
          <c:marker>
            <c:symbol val="none"/>
          </c:marker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PLUS'!$CF$33:$CF$40</c:f>
              <c:strCache>
                <c:ptCount val="8"/>
                <c:pt idx="0">
                  <c:v>Anteriores a 1980</c:v>
                </c:pt>
                <c:pt idx="1">
                  <c:v>1980 a 1985</c:v>
                </c:pt>
                <c:pt idx="2">
                  <c:v>1986 a 1990</c:v>
                </c:pt>
                <c:pt idx="3">
                  <c:v>1991 a 1995</c:v>
                </c:pt>
                <c:pt idx="4">
                  <c:v>1996 a 2000</c:v>
                </c:pt>
                <c:pt idx="5">
                  <c:v>2001 a 2005</c:v>
                </c:pt>
                <c:pt idx="6">
                  <c:v>2006 a 2010</c:v>
                </c:pt>
                <c:pt idx="7">
                  <c:v>&gt; 2010</c:v>
                </c:pt>
              </c:strCache>
            </c:strRef>
          </c:cat>
          <c:val>
            <c:numRef>
              <c:f>'FORMULAS PLUS'!$CH$33:$CH$40</c:f>
              <c:numCache>
                <c:formatCode>0.00</c:formatCode>
                <c:ptCount val="8"/>
                <c:pt idx="0">
                  <c:v>2.2846153846153849</c:v>
                </c:pt>
                <c:pt idx="1">
                  <c:v>2.4205128205128208</c:v>
                </c:pt>
                <c:pt idx="2">
                  <c:v>2.4205128205128208</c:v>
                </c:pt>
                <c:pt idx="3">
                  <c:v>2.3712121212121198</c:v>
                </c:pt>
                <c:pt idx="4">
                  <c:v>2.4706349206349212</c:v>
                </c:pt>
                <c:pt idx="5">
                  <c:v>2.7130681818181803</c:v>
                </c:pt>
                <c:pt idx="6">
                  <c:v>2.6711711711711716</c:v>
                </c:pt>
                <c:pt idx="7">
                  <c:v>2.5208791208791217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925632"/>
        <c:axId val="191935616"/>
      </c:lineChart>
      <c:catAx>
        <c:axId val="191925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91935616"/>
        <c:crosses val="autoZero"/>
        <c:auto val="1"/>
        <c:lblAlgn val="ctr"/>
        <c:lblOffset val="100"/>
        <c:noMultiLvlLbl val="0"/>
      </c:catAx>
      <c:valAx>
        <c:axId val="191935616"/>
        <c:scaling>
          <c:orientation val="minMax"/>
          <c:min val="1.5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crossAx val="191925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802063872450725"/>
          <c:y val="0.95395761322184691"/>
          <c:w val="0.81216569667922156"/>
          <c:h val="3.6832609038624398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b="1"/>
      </a:pPr>
      <a:endParaRPr lang="es-MX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QUE RECORRE POR MES</a:t>
            </a:r>
          </a:p>
          <a:p>
            <a:pPr>
              <a:defRPr sz="1400"/>
            </a:pPr>
            <a:r>
              <a:rPr lang="en-US" sz="1200"/>
              <a:t>[RANGO km</a:t>
            </a:r>
            <a:r>
              <a:rPr lang="en-US" sz="1200" baseline="0"/>
              <a:t>, %]</a:t>
            </a:r>
            <a:endParaRPr lang="en-US" sz="1200"/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PLUS'!$J$13</c:f>
              <c:strCache>
                <c:ptCount val="1"/>
                <c:pt idx="0">
                  <c:v>KILÓMETROS QUE RECORRE POR MES</c:v>
                </c:pt>
              </c:strCache>
            </c:strRef>
          </c:tx>
          <c:explosion val="25"/>
          <c:dPt>
            <c:idx val="2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5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110847388095627E-2"/>
                  <c:y val="1.80309237932142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PLUS'!$J$14:$J$19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PLUS'!$K$14:$K$19</c:f>
              <c:numCache>
                <c:formatCode>0.0%</c:formatCode>
                <c:ptCount val="6"/>
                <c:pt idx="0">
                  <c:v>9.0077410274454608E-2</c:v>
                </c:pt>
                <c:pt idx="1">
                  <c:v>0.330752990851513</c:v>
                </c:pt>
                <c:pt idx="2">
                  <c:v>0.18930330752990851</c:v>
                </c:pt>
                <c:pt idx="3">
                  <c:v>0.28993666432090076</c:v>
                </c:pt>
                <c:pt idx="4">
                  <c:v>2.8852920478536243E-2</c:v>
                </c:pt>
                <c:pt idx="5">
                  <c:v>7.1076706544686841E-2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MX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PLUS'!$J$25</c:f>
              <c:strCache>
                <c:ptCount val="1"/>
                <c:pt idx="0">
                  <c:v>KILÓMETROS QUE RECORRE POR MES EL H-C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PLUS'!$J$26:$J$31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PLUS'!$K$26:$K$31</c:f>
              <c:numCache>
                <c:formatCode>0.0%</c:formatCode>
                <c:ptCount val="6"/>
                <c:pt idx="0">
                  <c:v>7.8354554358472092E-2</c:v>
                </c:pt>
                <c:pt idx="1">
                  <c:v>0.36924583741429973</c:v>
                </c:pt>
                <c:pt idx="2">
                  <c:v>0.19392752203721841</c:v>
                </c:pt>
                <c:pt idx="3">
                  <c:v>0.28697355533790403</c:v>
                </c:pt>
                <c:pt idx="4">
                  <c:v>2.5465230166503428E-2</c:v>
                </c:pt>
                <c:pt idx="5">
                  <c:v>4.6033300685602352E-2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059648"/>
        <c:axId val="192069632"/>
        <c:axId val="0"/>
      </c:bar3DChart>
      <c:catAx>
        <c:axId val="1920596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2069632"/>
        <c:crosses val="autoZero"/>
        <c:auto val="1"/>
        <c:lblAlgn val="ctr"/>
        <c:lblOffset val="100"/>
        <c:noMultiLvlLbl val="0"/>
      </c:catAx>
      <c:valAx>
        <c:axId val="19206963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2059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MX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PLUS'!$J$37</c:f>
              <c:strCache>
                <c:ptCount val="1"/>
                <c:pt idx="0">
                  <c:v>KILÓMETROS QUE RECORRE POR MES EL PT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PLUS'!$J$38:$J$43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PLUS'!$K$38:$K$43</c:f>
              <c:numCache>
                <c:formatCode>0.0%</c:formatCode>
                <c:ptCount val="6"/>
                <c:pt idx="0">
                  <c:v>0.12</c:v>
                </c:pt>
                <c:pt idx="1">
                  <c:v>0.23250000000000001</c:v>
                </c:pt>
                <c:pt idx="2">
                  <c:v>0.17749999999999999</c:v>
                </c:pt>
                <c:pt idx="3">
                  <c:v>0.29749999999999999</c:v>
                </c:pt>
                <c:pt idx="4">
                  <c:v>3.7499999999999999E-2</c:v>
                </c:pt>
                <c:pt idx="5">
                  <c:v>0.13500000000000001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111360"/>
        <c:axId val="192112896"/>
        <c:axId val="0"/>
      </c:bar3DChart>
      <c:catAx>
        <c:axId val="1921113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2112896"/>
        <c:crosses val="autoZero"/>
        <c:auto val="1"/>
        <c:lblAlgn val="ctr"/>
        <c:lblOffset val="100"/>
        <c:noMultiLvlLbl val="0"/>
      </c:catAx>
      <c:valAx>
        <c:axId val="192112896"/>
        <c:scaling>
          <c:orientation val="minMax"/>
          <c:max val="0.4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21113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QUE RECORREN POR MES</a:t>
            </a:r>
          </a:p>
          <a:p>
            <a:pPr>
              <a:defRPr sz="1400"/>
            </a:pPr>
            <a:r>
              <a:rPr lang="en-US" sz="1200"/>
              <a:t>UNIDADES TIPO C2</a:t>
            </a:r>
          </a:p>
        </c:rich>
      </c:tx>
      <c:layout>
        <c:manualLayout>
          <c:xMode val="edge"/>
          <c:yMode val="edge"/>
          <c:x val="0.2598874176097774"/>
          <c:y val="2.075226695367615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PLUS'!$J$50</c:f>
              <c:strCache>
                <c:ptCount val="1"/>
                <c:pt idx="0">
                  <c:v>KILÓMETROS QUE RECORREN POR MES UNIDADES TIPO C2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PLUS'!$J$51:$J$56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PLUS'!$K$51:$K$56</c:f>
              <c:numCache>
                <c:formatCode>0.0%</c:formatCode>
                <c:ptCount val="6"/>
                <c:pt idx="0">
                  <c:v>0.21337579617834396</c:v>
                </c:pt>
                <c:pt idx="1">
                  <c:v>0.46815286624203822</c:v>
                </c:pt>
                <c:pt idx="2">
                  <c:v>0.13057324840764331</c:v>
                </c:pt>
                <c:pt idx="3">
                  <c:v>0.1178343949044586</c:v>
                </c:pt>
                <c:pt idx="4">
                  <c:v>9.5541401273885346E-3</c:v>
                </c:pt>
                <c:pt idx="5">
                  <c:v>6.0509554140127389E-2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141952"/>
        <c:axId val="192217472"/>
        <c:axId val="0"/>
      </c:bar3DChart>
      <c:catAx>
        <c:axId val="192141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2217472"/>
        <c:crosses val="autoZero"/>
        <c:auto val="1"/>
        <c:lblAlgn val="ctr"/>
        <c:lblOffset val="100"/>
        <c:noMultiLvlLbl val="0"/>
      </c:catAx>
      <c:valAx>
        <c:axId val="192217472"/>
        <c:scaling>
          <c:orientation val="minMax"/>
          <c:max val="0.55000000000000004"/>
          <c:min val="0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2141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QUE RECORREN POR MES </a:t>
            </a:r>
          </a:p>
          <a:p>
            <a:pPr>
              <a:defRPr sz="1400"/>
            </a:pPr>
            <a:r>
              <a:rPr lang="en-US" sz="1200"/>
              <a:t>UNIDADES TIPO C3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PLUS'!$J$62</c:f>
              <c:strCache>
                <c:ptCount val="1"/>
                <c:pt idx="0">
                  <c:v>KILÓMETROS QUE RECORREN POR MES UNIDADES TIPO C3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PLUS'!$J$63:$J$68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PLUS'!$K$63:$K$68</c:f>
              <c:numCache>
                <c:formatCode>0.0%</c:formatCode>
                <c:ptCount val="6"/>
                <c:pt idx="0">
                  <c:v>8.6330935251798566E-2</c:v>
                </c:pt>
                <c:pt idx="1">
                  <c:v>0.45323741007194246</c:v>
                </c:pt>
                <c:pt idx="2">
                  <c:v>0.21942446043165467</c:v>
                </c:pt>
                <c:pt idx="3">
                  <c:v>0.16546762589928057</c:v>
                </c:pt>
                <c:pt idx="4">
                  <c:v>1.4388489208633094E-2</c:v>
                </c:pt>
                <c:pt idx="5">
                  <c:v>6.1151079136690649E-2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250624"/>
        <c:axId val="192252160"/>
        <c:axId val="0"/>
      </c:bar3DChart>
      <c:catAx>
        <c:axId val="1922506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2252160"/>
        <c:crosses val="autoZero"/>
        <c:auto val="1"/>
        <c:lblAlgn val="ctr"/>
        <c:lblOffset val="100"/>
        <c:noMultiLvlLbl val="0"/>
      </c:catAx>
      <c:valAx>
        <c:axId val="192252160"/>
        <c:scaling>
          <c:orientation val="minMax"/>
          <c:max val="0.55000000000000004"/>
          <c:min val="0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22506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QUE RECORREN POR MES </a:t>
            </a:r>
          </a:p>
          <a:p>
            <a:pPr>
              <a:defRPr sz="1400"/>
            </a:pPr>
            <a:r>
              <a:rPr lang="en-US" sz="1200"/>
              <a:t>UNIDADES TIPO T2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PLUS'!$J$74</c:f>
              <c:strCache>
                <c:ptCount val="1"/>
                <c:pt idx="0">
                  <c:v>KILÓMETROS QUE RECORREN POR MES UNIDADES TIPO T2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PLUS'!$J$75:$J$80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PLUS'!$K$75:$K$80</c:f>
              <c:numCache>
                <c:formatCode>0.0%</c:formatCode>
                <c:ptCount val="6"/>
                <c:pt idx="0">
                  <c:v>3.6363636363636362E-2</c:v>
                </c:pt>
                <c:pt idx="1">
                  <c:v>0.50909090909090904</c:v>
                </c:pt>
                <c:pt idx="2">
                  <c:v>0.29090909090909089</c:v>
                </c:pt>
                <c:pt idx="3">
                  <c:v>0.12727272727272726</c:v>
                </c:pt>
                <c:pt idx="4">
                  <c:v>1.8181818181818181E-2</c:v>
                </c:pt>
                <c:pt idx="5">
                  <c:v>1.8181818181818181E-2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260736"/>
        <c:axId val="192274816"/>
        <c:axId val="0"/>
      </c:bar3DChart>
      <c:catAx>
        <c:axId val="1922607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2274816"/>
        <c:crosses val="autoZero"/>
        <c:auto val="1"/>
        <c:lblAlgn val="ctr"/>
        <c:lblOffset val="100"/>
        <c:noMultiLvlLbl val="0"/>
      </c:catAx>
      <c:valAx>
        <c:axId val="192274816"/>
        <c:scaling>
          <c:orientation val="minMax"/>
          <c:max val="0.55000000000000004"/>
          <c:min val="0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2260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AÑO MODELO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1"/>
          <c:order val="0"/>
          <c:tx>
            <c:strRef>
              <c:f>FORMULAS!$J$38</c:f>
              <c:strCache>
                <c:ptCount val="1"/>
                <c:pt idx="0">
                  <c:v>AÑO MODELO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FORMULAS!$J$39:$J$84</c:f>
              <c:numCache>
                <c:formatCode>General</c:formatCode>
                <c:ptCount val="46"/>
                <c:pt idx="0">
                  <c:v>1969</c:v>
                </c:pt>
                <c:pt idx="1">
                  <c:v>1970</c:v>
                </c:pt>
                <c:pt idx="2">
                  <c:v>1971</c:v>
                </c:pt>
                <c:pt idx="3">
                  <c:v>1972</c:v>
                </c:pt>
                <c:pt idx="4">
                  <c:v>1973</c:v>
                </c:pt>
                <c:pt idx="5">
                  <c:v>1974</c:v>
                </c:pt>
                <c:pt idx="6">
                  <c:v>1975</c:v>
                </c:pt>
                <c:pt idx="7">
                  <c:v>1976</c:v>
                </c:pt>
                <c:pt idx="8">
                  <c:v>1977</c:v>
                </c:pt>
                <c:pt idx="9">
                  <c:v>1978</c:v>
                </c:pt>
                <c:pt idx="10">
                  <c:v>1979</c:v>
                </c:pt>
                <c:pt idx="11">
                  <c:v>1980</c:v>
                </c:pt>
                <c:pt idx="12">
                  <c:v>1981</c:v>
                </c:pt>
                <c:pt idx="13">
                  <c:v>1982</c:v>
                </c:pt>
                <c:pt idx="14">
                  <c:v>1983</c:v>
                </c:pt>
                <c:pt idx="15">
                  <c:v>1984</c:v>
                </c:pt>
                <c:pt idx="16">
                  <c:v>1985</c:v>
                </c:pt>
                <c:pt idx="17">
                  <c:v>1986</c:v>
                </c:pt>
                <c:pt idx="18">
                  <c:v>1987</c:v>
                </c:pt>
                <c:pt idx="19">
                  <c:v>1988</c:v>
                </c:pt>
                <c:pt idx="20">
                  <c:v>1989</c:v>
                </c:pt>
                <c:pt idx="21">
                  <c:v>1990</c:v>
                </c:pt>
                <c:pt idx="22">
                  <c:v>1991</c:v>
                </c:pt>
                <c:pt idx="23">
                  <c:v>1992</c:v>
                </c:pt>
                <c:pt idx="24">
                  <c:v>1993</c:v>
                </c:pt>
                <c:pt idx="25">
                  <c:v>1994</c:v>
                </c:pt>
                <c:pt idx="26">
                  <c:v>1995</c:v>
                </c:pt>
                <c:pt idx="27">
                  <c:v>1996</c:v>
                </c:pt>
                <c:pt idx="28">
                  <c:v>1997</c:v>
                </c:pt>
                <c:pt idx="29">
                  <c:v>1998</c:v>
                </c:pt>
                <c:pt idx="30">
                  <c:v>1999</c:v>
                </c:pt>
                <c:pt idx="31">
                  <c:v>2000</c:v>
                </c:pt>
                <c:pt idx="32">
                  <c:v>2001</c:v>
                </c:pt>
                <c:pt idx="33">
                  <c:v>2002</c:v>
                </c:pt>
                <c:pt idx="34">
                  <c:v>2003</c:v>
                </c:pt>
                <c:pt idx="35">
                  <c:v>2004</c:v>
                </c:pt>
                <c:pt idx="36">
                  <c:v>2005</c:v>
                </c:pt>
                <c:pt idx="37">
                  <c:v>2006</c:v>
                </c:pt>
                <c:pt idx="38">
                  <c:v>2007</c:v>
                </c:pt>
                <c:pt idx="39">
                  <c:v>2008</c:v>
                </c:pt>
                <c:pt idx="40">
                  <c:v>2009</c:v>
                </c:pt>
                <c:pt idx="41">
                  <c:v>2010</c:v>
                </c:pt>
                <c:pt idx="42">
                  <c:v>2011</c:v>
                </c:pt>
                <c:pt idx="43">
                  <c:v>2012</c:v>
                </c:pt>
                <c:pt idx="44">
                  <c:v>2013</c:v>
                </c:pt>
                <c:pt idx="45">
                  <c:v>2014</c:v>
                </c:pt>
              </c:numCache>
            </c:numRef>
          </c:cat>
          <c:val>
            <c:numRef>
              <c:f>FORMULAS!$K$39:$K$84</c:f>
              <c:numCache>
                <c:formatCode>0.0%</c:formatCode>
                <c:ptCount val="46"/>
                <c:pt idx="0">
                  <c:v>1.0204081632653062E-3</c:v>
                </c:pt>
                <c:pt idx="1">
                  <c:v>1.0204081632653062E-3</c:v>
                </c:pt>
                <c:pt idx="2">
                  <c:v>0</c:v>
                </c:pt>
                <c:pt idx="3">
                  <c:v>0</c:v>
                </c:pt>
                <c:pt idx="4">
                  <c:v>2.0408163265306124E-3</c:v>
                </c:pt>
                <c:pt idx="5">
                  <c:v>1.0204081632653062E-3</c:v>
                </c:pt>
                <c:pt idx="6">
                  <c:v>1.0204081632653062E-3</c:v>
                </c:pt>
                <c:pt idx="7">
                  <c:v>2.0408163265306124E-3</c:v>
                </c:pt>
                <c:pt idx="8">
                  <c:v>1.0204081632653062E-3</c:v>
                </c:pt>
                <c:pt idx="9">
                  <c:v>1.3265306122448979E-2</c:v>
                </c:pt>
                <c:pt idx="10">
                  <c:v>2.0408163265306124E-3</c:v>
                </c:pt>
                <c:pt idx="11">
                  <c:v>3.1632653061224487E-2</c:v>
                </c:pt>
                <c:pt idx="12">
                  <c:v>6.1224489795918364E-3</c:v>
                </c:pt>
                <c:pt idx="13">
                  <c:v>1.020408163265306E-2</c:v>
                </c:pt>
                <c:pt idx="14">
                  <c:v>1.2244897959183673E-2</c:v>
                </c:pt>
                <c:pt idx="15">
                  <c:v>1.020408163265306E-2</c:v>
                </c:pt>
                <c:pt idx="16">
                  <c:v>2.5510204081632654E-2</c:v>
                </c:pt>
                <c:pt idx="17">
                  <c:v>6.1224489795918364E-3</c:v>
                </c:pt>
                <c:pt idx="18">
                  <c:v>8.1632653061224497E-3</c:v>
                </c:pt>
                <c:pt idx="19">
                  <c:v>1.2244897959183673E-2</c:v>
                </c:pt>
                <c:pt idx="20">
                  <c:v>8.1632653061224497E-3</c:v>
                </c:pt>
                <c:pt idx="21">
                  <c:v>2.4489795918367346E-2</c:v>
                </c:pt>
                <c:pt idx="22">
                  <c:v>1.3265306122448979E-2</c:v>
                </c:pt>
                <c:pt idx="23">
                  <c:v>1.8367346938775512E-2</c:v>
                </c:pt>
                <c:pt idx="24">
                  <c:v>2.1428571428571429E-2</c:v>
                </c:pt>
                <c:pt idx="25">
                  <c:v>2.4489795918367346E-2</c:v>
                </c:pt>
                <c:pt idx="26">
                  <c:v>3.5714285714285712E-2</c:v>
                </c:pt>
                <c:pt idx="27">
                  <c:v>1.2244897959183673E-2</c:v>
                </c:pt>
                <c:pt idx="28">
                  <c:v>3.0612244897959183E-2</c:v>
                </c:pt>
                <c:pt idx="29">
                  <c:v>3.4693877551020408E-2</c:v>
                </c:pt>
                <c:pt idx="30">
                  <c:v>1.5306122448979591E-2</c:v>
                </c:pt>
                <c:pt idx="31">
                  <c:v>6.3265306122448975E-2</c:v>
                </c:pt>
                <c:pt idx="32">
                  <c:v>4.5918367346938778E-2</c:v>
                </c:pt>
                <c:pt idx="33">
                  <c:v>2.8571428571428571E-2</c:v>
                </c:pt>
                <c:pt idx="34">
                  <c:v>3.3673469387755103E-2</c:v>
                </c:pt>
                <c:pt idx="35">
                  <c:v>4.0816326530612242E-2</c:v>
                </c:pt>
                <c:pt idx="36">
                  <c:v>6.3265306122448975E-2</c:v>
                </c:pt>
                <c:pt idx="37">
                  <c:v>2.7551020408163266E-2</c:v>
                </c:pt>
                <c:pt idx="38">
                  <c:v>6.3265306122448975E-2</c:v>
                </c:pt>
                <c:pt idx="39">
                  <c:v>6.1224489795918366E-2</c:v>
                </c:pt>
                <c:pt idx="40">
                  <c:v>3.8775510204081633E-2</c:v>
                </c:pt>
                <c:pt idx="41">
                  <c:v>4.6938775510204082E-2</c:v>
                </c:pt>
                <c:pt idx="42">
                  <c:v>1.4285714285714285E-2</c:v>
                </c:pt>
                <c:pt idx="43">
                  <c:v>5.5102040816326532E-2</c:v>
                </c:pt>
                <c:pt idx="44">
                  <c:v>1.6326530612244899E-2</c:v>
                </c:pt>
                <c:pt idx="45">
                  <c:v>1.5306122448979591E-2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2984704"/>
        <c:axId val="162986240"/>
        <c:axId val="0"/>
      </c:bar3DChart>
      <c:catAx>
        <c:axId val="16298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62986240"/>
        <c:crosses val="autoZero"/>
        <c:auto val="1"/>
        <c:lblAlgn val="ctr"/>
        <c:lblOffset val="100"/>
        <c:noMultiLvlLbl val="0"/>
      </c:catAx>
      <c:valAx>
        <c:axId val="1629862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629847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QUE RECORREN POR MES </a:t>
            </a:r>
          </a:p>
          <a:p>
            <a:pPr>
              <a:defRPr sz="1400"/>
            </a:pPr>
            <a:r>
              <a:rPr lang="en-US" sz="1200"/>
              <a:t>UNIDADES TIPO T3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PLUS'!$J$86</c:f>
              <c:strCache>
                <c:ptCount val="1"/>
                <c:pt idx="0">
                  <c:v>KILÓMETROS QUE RECORREN POR MES UNIDADES TIPO T3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PLUS'!$J$87:$J$92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PLUS'!$K$87:$K$92</c:f>
              <c:numCache>
                <c:formatCode>0.0%</c:formatCode>
                <c:ptCount val="6"/>
                <c:pt idx="0">
                  <c:v>4.5219638242894059E-2</c:v>
                </c:pt>
                <c:pt idx="1">
                  <c:v>0.21834625322997417</c:v>
                </c:pt>
                <c:pt idx="2">
                  <c:v>0.19509043927648578</c:v>
                </c:pt>
                <c:pt idx="3">
                  <c:v>0.41602067183462532</c:v>
                </c:pt>
                <c:pt idx="4">
                  <c:v>4.2635658914728682E-2</c:v>
                </c:pt>
                <c:pt idx="5">
                  <c:v>8.2687338501291993E-2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364928"/>
        <c:axId val="192366464"/>
        <c:axId val="0"/>
      </c:bar3DChart>
      <c:catAx>
        <c:axId val="1923649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2366464"/>
        <c:crosses val="autoZero"/>
        <c:auto val="1"/>
        <c:lblAlgn val="ctr"/>
        <c:lblOffset val="100"/>
        <c:noMultiLvlLbl val="0"/>
      </c:catAx>
      <c:valAx>
        <c:axId val="192366464"/>
        <c:scaling>
          <c:orientation val="minMax"/>
          <c:max val="0.55000000000000004"/>
          <c:min val="0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2364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393857034528469E-2"/>
          <c:y val="0.14900655709635041"/>
          <c:w val="0.88069120634083042"/>
          <c:h val="0.6667864276422983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PLUS'!$CT$2</c:f>
              <c:strCache>
                <c:ptCount val="1"/>
                <c:pt idx="0">
                  <c:v>HOMBRE - CAMIÓN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050"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PLUS'!$CS$3:$CS$6</c:f>
              <c:strCache>
                <c:ptCount val="4"/>
                <c:pt idx="0">
                  <c:v>Empresa logística</c:v>
                </c:pt>
                <c:pt idx="1">
                  <c:v>Intermediario</c:v>
                </c:pt>
                <c:pt idx="2">
                  <c:v>Embarcador</c:v>
                </c:pt>
                <c:pt idx="3">
                  <c:v>Con el Cliente</c:v>
                </c:pt>
              </c:strCache>
            </c:strRef>
          </c:cat>
          <c:val>
            <c:numRef>
              <c:f>'FORMULAS PLUS'!$CT$3:$CT$6</c:f>
              <c:numCache>
                <c:formatCode>0.0%</c:formatCode>
                <c:ptCount val="4"/>
                <c:pt idx="0">
                  <c:v>0.11358574610244988</c:v>
                </c:pt>
                <c:pt idx="1">
                  <c:v>0.31403118040089084</c:v>
                </c:pt>
                <c:pt idx="2">
                  <c:v>0.18262806236080179</c:v>
                </c:pt>
                <c:pt idx="3">
                  <c:v>0.38975501113585748</c:v>
                </c:pt>
              </c:numCache>
            </c:numRef>
          </c:val>
        </c:ser>
        <c:ser>
          <c:idx val="1"/>
          <c:order val="1"/>
          <c:tx>
            <c:strRef>
              <c:f>'FORMULAS PLUS'!$CU$2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1.6502946274030341E-2"/>
                  <c:y val="-3.0976871496961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7.33464278845795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650294627403027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5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PLUS'!$CS$3:$CS$6</c:f>
              <c:strCache>
                <c:ptCount val="4"/>
                <c:pt idx="0">
                  <c:v>Empresa logística</c:v>
                </c:pt>
                <c:pt idx="1">
                  <c:v>Intermediario</c:v>
                </c:pt>
                <c:pt idx="2">
                  <c:v>Embarcador</c:v>
                </c:pt>
                <c:pt idx="3">
                  <c:v>Con el Cliente</c:v>
                </c:pt>
              </c:strCache>
            </c:strRef>
          </c:cat>
          <c:val>
            <c:numRef>
              <c:f>'FORMULAS PLUS'!$CU$3:$CU$6</c:f>
              <c:numCache>
                <c:formatCode>0.0%</c:formatCode>
                <c:ptCount val="4"/>
                <c:pt idx="0">
                  <c:v>0.13043478260869565</c:v>
                </c:pt>
                <c:pt idx="1">
                  <c:v>0.10869565217391304</c:v>
                </c:pt>
                <c:pt idx="2">
                  <c:v>0.30434782608695654</c:v>
                </c:pt>
                <c:pt idx="3">
                  <c:v>0.45652173913043476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2413056"/>
        <c:axId val="192418944"/>
        <c:axId val="0"/>
      </c:bar3DChart>
      <c:catAx>
        <c:axId val="1924130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 b="1" i="1" baseline="0"/>
            </a:pPr>
            <a:endParaRPr lang="es-MX"/>
          </a:p>
        </c:txPr>
        <c:crossAx val="192418944"/>
        <c:crosses val="autoZero"/>
        <c:auto val="1"/>
        <c:lblAlgn val="ctr"/>
        <c:lblOffset val="100"/>
        <c:noMultiLvlLbl val="0"/>
      </c:catAx>
      <c:valAx>
        <c:axId val="19241894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200" b="1" i="0" baseline="0"/>
            </a:pPr>
            <a:endParaRPr lang="es-MX"/>
          </a:p>
        </c:txPr>
        <c:crossAx val="192413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9061292779881567"/>
          <c:y val="0.92955956986540511"/>
          <c:w val="0.74337528710506273"/>
          <c:h val="4.6978986705068226E-2"/>
        </c:manualLayout>
      </c:layout>
      <c:overlay val="0"/>
      <c:txPr>
        <a:bodyPr/>
        <a:lstStyle/>
        <a:p>
          <a:pPr>
            <a:defRPr sz="1200"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4121382729885624E-2"/>
          <c:y val="0.18008183974458275"/>
          <c:w val="0.89597359267939714"/>
          <c:h val="0.6921986685953066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PLUS'!$CT$12</c:f>
              <c:strCache>
                <c:ptCount val="1"/>
                <c:pt idx="0">
                  <c:v>HOMBRE - CAMIÓN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050"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PLUS'!$CS$13:$CS$24</c:f>
              <c:strCach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&gt;10</c:v>
                </c:pt>
              </c:strCache>
            </c:strRef>
          </c:cat>
          <c:val>
            <c:numRef>
              <c:f>'FORMULAS PLUS'!$CT$13:$CT$24</c:f>
              <c:numCache>
                <c:formatCode>0.0%</c:formatCode>
                <c:ptCount val="12"/>
                <c:pt idx="0">
                  <c:v>0.13207547169811321</c:v>
                </c:pt>
                <c:pt idx="1">
                  <c:v>0.16981132075471697</c:v>
                </c:pt>
                <c:pt idx="2">
                  <c:v>0.10242587601078167</c:v>
                </c:pt>
                <c:pt idx="3">
                  <c:v>0.13746630727762804</c:v>
                </c:pt>
                <c:pt idx="4">
                  <c:v>9.1644204851752023E-2</c:v>
                </c:pt>
                <c:pt idx="5">
                  <c:v>9.4339622641509441E-2</c:v>
                </c:pt>
                <c:pt idx="6">
                  <c:v>6.1994609164420483E-2</c:v>
                </c:pt>
                <c:pt idx="7">
                  <c:v>2.9649595687331536E-2</c:v>
                </c:pt>
                <c:pt idx="8">
                  <c:v>4.8517520215633422E-2</c:v>
                </c:pt>
                <c:pt idx="9">
                  <c:v>1.3477088948787063E-2</c:v>
                </c:pt>
                <c:pt idx="10">
                  <c:v>0.1078167115902965</c:v>
                </c:pt>
                <c:pt idx="11">
                  <c:v>1.078167115902965E-2</c:v>
                </c:pt>
              </c:numCache>
            </c:numRef>
          </c:val>
        </c:ser>
        <c:ser>
          <c:idx val="1"/>
          <c:order val="1"/>
          <c:tx>
            <c:strRef>
              <c:f>'FORMULAS PLUS'!$CU$12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05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PLUS'!$CS$13:$CS$24</c:f>
              <c:strCach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&gt;10</c:v>
                </c:pt>
              </c:strCache>
            </c:strRef>
          </c:cat>
          <c:val>
            <c:numRef>
              <c:f>'FORMULAS PLUS'!$CU$13:$CU$24</c:f>
              <c:numCache>
                <c:formatCode>0.0%</c:formatCode>
                <c:ptCount val="12"/>
                <c:pt idx="0">
                  <c:v>0</c:v>
                </c:pt>
                <c:pt idx="1">
                  <c:v>5.8823529411764705E-2</c:v>
                </c:pt>
                <c:pt idx="2">
                  <c:v>8.8235294117647065E-2</c:v>
                </c:pt>
                <c:pt idx="3">
                  <c:v>0.17647058823529413</c:v>
                </c:pt>
                <c:pt idx="4">
                  <c:v>8.8235294117647065E-2</c:v>
                </c:pt>
                <c:pt idx="5">
                  <c:v>0.11764705882352941</c:v>
                </c:pt>
                <c:pt idx="6">
                  <c:v>0.26470588235294118</c:v>
                </c:pt>
                <c:pt idx="7">
                  <c:v>8.8235294117647065E-2</c:v>
                </c:pt>
                <c:pt idx="8">
                  <c:v>2.9411764705882353E-2</c:v>
                </c:pt>
                <c:pt idx="9">
                  <c:v>0</c:v>
                </c:pt>
                <c:pt idx="10">
                  <c:v>2.9411764705882353E-2</c:v>
                </c:pt>
                <c:pt idx="11">
                  <c:v>5.8823529411764705E-2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203"/>
        <c:shape val="box"/>
        <c:axId val="192461440"/>
        <c:axId val="192475520"/>
        <c:axId val="0"/>
      </c:bar3DChart>
      <c:catAx>
        <c:axId val="1924614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2475520"/>
        <c:crosses val="autoZero"/>
        <c:auto val="1"/>
        <c:lblAlgn val="ctr"/>
        <c:lblOffset val="100"/>
        <c:noMultiLvlLbl val="0"/>
      </c:catAx>
      <c:valAx>
        <c:axId val="192475520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2461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644902664846226"/>
          <c:y val="0.94318011152042969"/>
          <c:w val="0.68615513224329794"/>
          <c:h val="5.5173340705530767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2522248568269007E-2"/>
          <c:y val="0.11085129516735237"/>
          <c:w val="0.91638398858657988"/>
          <c:h val="0.67309878262690104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'FORMULAS PLUS'!$DD$2</c:f>
              <c:strCache>
                <c:ptCount val="1"/>
                <c:pt idx="0">
                  <c:v>HC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 b="1" i="0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PLUS'!$DC$16:$DC$51</c:f>
              <c:strCache>
                <c:ptCount val="36"/>
                <c:pt idx="0">
                  <c:v>Anteriores a 1980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</c:strCache>
            </c:strRef>
          </c:cat>
          <c:val>
            <c:numRef>
              <c:f>'FORMULAS PLUS'!$DD$16:$DD$51</c:f>
              <c:numCache>
                <c:formatCode>0.0%</c:formatCode>
                <c:ptCount val="36"/>
                <c:pt idx="0">
                  <c:v>3.2321253672869733E-2</c:v>
                </c:pt>
                <c:pt idx="1">
                  <c:v>3.2321253672869733E-2</c:v>
                </c:pt>
                <c:pt idx="2">
                  <c:v>5.8765915768854062E-3</c:v>
                </c:pt>
                <c:pt idx="3">
                  <c:v>1.1753183153770812E-2</c:v>
                </c:pt>
                <c:pt idx="4">
                  <c:v>1.2732615083251714E-2</c:v>
                </c:pt>
                <c:pt idx="5">
                  <c:v>7.8354554358472089E-3</c:v>
                </c:pt>
                <c:pt idx="6">
                  <c:v>1.9588638589618023E-2</c:v>
                </c:pt>
                <c:pt idx="7">
                  <c:v>1.0773751224289911E-2</c:v>
                </c:pt>
                <c:pt idx="8">
                  <c:v>1.0773751224289911E-2</c:v>
                </c:pt>
                <c:pt idx="9">
                  <c:v>1.4691478942213516E-2</c:v>
                </c:pt>
                <c:pt idx="10">
                  <c:v>1.1753183153770812E-2</c:v>
                </c:pt>
                <c:pt idx="11">
                  <c:v>2.8403525954946131E-2</c:v>
                </c:pt>
                <c:pt idx="12">
                  <c:v>6.8560235063663075E-3</c:v>
                </c:pt>
                <c:pt idx="13">
                  <c:v>1.2732615083251714E-2</c:v>
                </c:pt>
                <c:pt idx="14">
                  <c:v>1.762977473065622E-2</c:v>
                </c:pt>
                <c:pt idx="15">
                  <c:v>2.3506366307541625E-2</c:v>
                </c:pt>
                <c:pt idx="16">
                  <c:v>2.6444662095984329E-2</c:v>
                </c:pt>
                <c:pt idx="17">
                  <c:v>1.3712047012732615E-2</c:v>
                </c:pt>
                <c:pt idx="18">
                  <c:v>3.5259549461312441E-2</c:v>
                </c:pt>
                <c:pt idx="19">
                  <c:v>3.4280117531831536E-2</c:v>
                </c:pt>
                <c:pt idx="20">
                  <c:v>2.1547502448579822E-2</c:v>
                </c:pt>
                <c:pt idx="21">
                  <c:v>4.8971596474045052E-2</c:v>
                </c:pt>
                <c:pt idx="22">
                  <c:v>5.190989226248776E-2</c:v>
                </c:pt>
                <c:pt idx="23">
                  <c:v>2.9382957884427033E-2</c:v>
                </c:pt>
                <c:pt idx="24">
                  <c:v>4.4074436826640549E-2</c:v>
                </c:pt>
                <c:pt idx="25">
                  <c:v>5.190989226248776E-2</c:v>
                </c:pt>
                <c:pt idx="26">
                  <c:v>6.3663075416258569E-2</c:v>
                </c:pt>
                <c:pt idx="27">
                  <c:v>4.0156709108716944E-2</c:v>
                </c:pt>
                <c:pt idx="28">
                  <c:v>6.8560235063663072E-2</c:v>
                </c:pt>
                <c:pt idx="29">
                  <c:v>5.5827619980411358E-2</c:v>
                </c:pt>
                <c:pt idx="30">
                  <c:v>3.8197845249755141E-2</c:v>
                </c:pt>
                <c:pt idx="31">
                  <c:v>4.3095004897159644E-2</c:v>
                </c:pt>
                <c:pt idx="32">
                  <c:v>2.1547502448579822E-2</c:v>
                </c:pt>
                <c:pt idx="33">
                  <c:v>3.5259549461312441E-2</c:v>
                </c:pt>
                <c:pt idx="34">
                  <c:v>1.2732615083251714E-2</c:v>
                </c:pt>
                <c:pt idx="35">
                  <c:v>3.9177277179236044E-3</c:v>
                </c:pt>
              </c:numCache>
            </c:numRef>
          </c:val>
        </c:ser>
        <c:ser>
          <c:idx val="2"/>
          <c:order val="1"/>
          <c:tx>
            <c:strRef>
              <c:f>'FORMULAS PLUS'!$DE$2</c:f>
              <c:strCache>
                <c:ptCount val="1"/>
                <c:pt idx="0">
                  <c:v>PT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txPr>
              <a:bodyPr rot="-5400000" vert="horz" anchor="b" anchorCtr="0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PLUS'!$DC$16:$DC$51</c:f>
              <c:strCache>
                <c:ptCount val="36"/>
                <c:pt idx="0">
                  <c:v>Anteriores a 1980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</c:strCache>
            </c:strRef>
          </c:cat>
          <c:val>
            <c:numRef>
              <c:f>'FORMULAS PLUS'!$DE$16:$DE$51</c:f>
              <c:numCache>
                <c:formatCode>0.0%</c:formatCode>
                <c:ptCount val="36"/>
                <c:pt idx="0">
                  <c:v>9.7087378640776691E-3</c:v>
                </c:pt>
                <c:pt idx="1">
                  <c:v>1.2135922330097087E-2</c:v>
                </c:pt>
                <c:pt idx="2">
                  <c:v>7.2815533980582527E-3</c:v>
                </c:pt>
                <c:pt idx="3">
                  <c:v>4.8543689320388345E-3</c:v>
                </c:pt>
                <c:pt idx="4">
                  <c:v>2.4271844660194173E-3</c:v>
                </c:pt>
                <c:pt idx="5">
                  <c:v>1.2135922330097087E-2</c:v>
                </c:pt>
                <c:pt idx="6">
                  <c:v>2.9126213592233011E-2</c:v>
                </c:pt>
                <c:pt idx="7">
                  <c:v>2.4271844660194173E-3</c:v>
                </c:pt>
                <c:pt idx="8">
                  <c:v>7.2815533980582527E-3</c:v>
                </c:pt>
                <c:pt idx="9">
                  <c:v>2.4271844660194173E-3</c:v>
                </c:pt>
                <c:pt idx="10">
                  <c:v>7.2815533980582527E-3</c:v>
                </c:pt>
                <c:pt idx="11">
                  <c:v>1.4563106796116505E-2</c:v>
                </c:pt>
                <c:pt idx="12">
                  <c:v>2.1844660194174758E-2</c:v>
                </c:pt>
                <c:pt idx="13">
                  <c:v>2.6699029126213591E-2</c:v>
                </c:pt>
                <c:pt idx="14">
                  <c:v>1.2135922330097087E-2</c:v>
                </c:pt>
                <c:pt idx="15">
                  <c:v>1.4563106796116505E-2</c:v>
                </c:pt>
                <c:pt idx="16">
                  <c:v>5.0970873786407765E-2</c:v>
                </c:pt>
                <c:pt idx="17">
                  <c:v>9.7087378640776691E-3</c:v>
                </c:pt>
                <c:pt idx="18">
                  <c:v>1.2135922330097087E-2</c:v>
                </c:pt>
                <c:pt idx="19">
                  <c:v>3.3980582524271843E-2</c:v>
                </c:pt>
                <c:pt idx="20">
                  <c:v>4.8543689320388345E-3</c:v>
                </c:pt>
                <c:pt idx="21">
                  <c:v>8.9805825242718448E-2</c:v>
                </c:pt>
                <c:pt idx="22">
                  <c:v>2.4271844660194174E-2</c:v>
                </c:pt>
                <c:pt idx="23">
                  <c:v>2.4271844660194174E-2</c:v>
                </c:pt>
                <c:pt idx="24">
                  <c:v>2.1844660194174758E-2</c:v>
                </c:pt>
                <c:pt idx="25">
                  <c:v>3.3980582524271843E-2</c:v>
                </c:pt>
                <c:pt idx="26">
                  <c:v>6.3106796116504854E-2</c:v>
                </c:pt>
                <c:pt idx="27">
                  <c:v>2.9126213592233011E-2</c:v>
                </c:pt>
                <c:pt idx="28">
                  <c:v>6.0679611650485438E-2</c:v>
                </c:pt>
                <c:pt idx="29">
                  <c:v>8.4951456310679616E-2</c:v>
                </c:pt>
                <c:pt idx="30">
                  <c:v>5.0970873786407765E-2</c:v>
                </c:pt>
                <c:pt idx="31">
                  <c:v>5.5825242718446605E-2</c:v>
                </c:pt>
                <c:pt idx="32">
                  <c:v>9.7087378640776691E-3</c:v>
                </c:pt>
                <c:pt idx="33">
                  <c:v>8.2524271844660199E-2</c:v>
                </c:pt>
                <c:pt idx="34">
                  <c:v>3.1553398058252427E-2</c:v>
                </c:pt>
                <c:pt idx="35">
                  <c:v>3.8834951456310676E-2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510208"/>
        <c:axId val="192512000"/>
        <c:axId val="0"/>
      </c:bar3DChart>
      <c:catAx>
        <c:axId val="1925102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 b="1" i="1" baseline="0"/>
            </a:pPr>
            <a:endParaRPr lang="es-MX"/>
          </a:p>
        </c:txPr>
        <c:crossAx val="192512000"/>
        <c:crosses val="autoZero"/>
        <c:auto val="1"/>
        <c:lblAlgn val="ctr"/>
        <c:lblOffset val="100"/>
        <c:noMultiLvlLbl val="0"/>
      </c:catAx>
      <c:valAx>
        <c:axId val="192512000"/>
        <c:scaling>
          <c:orientation val="minMax"/>
          <c:max val="0.1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400" b="1" i="0" baseline="0"/>
            </a:pPr>
            <a:endParaRPr lang="es-MX"/>
          </a:p>
        </c:txPr>
        <c:crossAx val="192510208"/>
        <c:crosses val="autoZero"/>
        <c:crossBetween val="between"/>
        <c:majorUnit val="1.0000000000000005E-2"/>
        <c:minorUnit val="1.0000000000000005E-2"/>
      </c:valAx>
    </c:plotArea>
    <c:legend>
      <c:legendPos val="r"/>
      <c:layout>
        <c:manualLayout>
          <c:xMode val="edge"/>
          <c:yMode val="edge"/>
          <c:x val="0.36939116505032782"/>
          <c:y val="0.96205654155743059"/>
          <c:w val="0.33776132846399659"/>
          <c:h val="3.7390384752805018E-2"/>
        </c:manualLayout>
      </c:layout>
      <c:overlay val="0"/>
      <c:txPr>
        <a:bodyPr/>
        <a:lstStyle/>
        <a:p>
          <a:pPr>
            <a:defRPr sz="1400" b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MX" sz="1800"/>
              <a:t>PROPIETARIO</a:t>
            </a:r>
          </a:p>
          <a:p>
            <a:pPr>
              <a:defRPr sz="1600"/>
            </a:pPr>
            <a:r>
              <a:rPr lang="es-MX" sz="1600"/>
              <a:t>ADQUIERE LA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931451594696281E-2"/>
          <c:y val="0.17048462578548509"/>
          <c:w val="0.85809818217167455"/>
          <c:h val="0.6117463268724846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PLUS'!$DK$5</c:f>
              <c:strCache>
                <c:ptCount val="1"/>
                <c:pt idx="0">
                  <c:v>PT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9096050475736569E-3"/>
                  <c:y val="0.200840185206731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9.8870063094670963E-3"/>
                  <c:y val="0.120504111124038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3841808833253894E-2"/>
                  <c:y val="0.1491955661535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400" b="1" i="0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PLUS'!$DJ$6:$DJ$8</c:f>
              <c:strCache>
                <c:ptCount val="3"/>
                <c:pt idx="0">
                  <c:v>NUEVA</c:v>
                </c:pt>
                <c:pt idx="1">
                  <c:v>SEMINUEVA 1 - 5 AÑOS</c:v>
                </c:pt>
                <c:pt idx="2">
                  <c:v>USADA MÁS DE 5 AÑOS</c:v>
                </c:pt>
              </c:strCache>
            </c:strRef>
          </c:cat>
          <c:val>
            <c:numRef>
              <c:f>'FORMULAS PLUS'!$DK$6:$DK$8</c:f>
              <c:numCache>
                <c:formatCode>0.0%</c:formatCode>
                <c:ptCount val="3"/>
                <c:pt idx="0">
                  <c:v>0.64583333333333337</c:v>
                </c:pt>
                <c:pt idx="1">
                  <c:v>0.1423611111111111</c:v>
                </c:pt>
                <c:pt idx="2">
                  <c:v>0.21180555555555555</c:v>
                </c:pt>
              </c:numCache>
            </c:numRef>
          </c:val>
        </c:ser>
        <c:ser>
          <c:idx val="1"/>
          <c:order val="1"/>
          <c:tx>
            <c:strRef>
              <c:f>'FORMULAS PLUS'!$DL$5</c:f>
              <c:strCache>
                <c:ptCount val="1"/>
                <c:pt idx="0">
                  <c:v>HC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8870063094670963E-3"/>
                  <c:y val="-2.2953164023626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9.8870063094670269E-3"/>
                  <c:y val="-2.008401852067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7796611357040658E-2"/>
                  <c:y val="-2.8691455029532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 anchor="b" anchorCtr="0"/>
              <a:lstStyle/>
              <a:p>
                <a:pPr>
                  <a:defRPr sz="14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PLUS'!$DJ$6:$DJ$8</c:f>
              <c:strCache>
                <c:ptCount val="3"/>
                <c:pt idx="0">
                  <c:v>NUEVA</c:v>
                </c:pt>
                <c:pt idx="1">
                  <c:v>SEMINUEVA 1 - 5 AÑOS</c:v>
                </c:pt>
                <c:pt idx="2">
                  <c:v>USADA MÁS DE 5 AÑOS</c:v>
                </c:pt>
              </c:strCache>
            </c:strRef>
          </c:cat>
          <c:val>
            <c:numRef>
              <c:f>'FORMULAS PLUS'!$DL$6:$DL$8</c:f>
              <c:numCache>
                <c:formatCode>0.0%</c:formatCode>
                <c:ptCount val="3"/>
                <c:pt idx="0">
                  <c:v>0.37861271676300579</c:v>
                </c:pt>
                <c:pt idx="1">
                  <c:v>0.28468208092485547</c:v>
                </c:pt>
                <c:pt idx="2">
                  <c:v>0.33670520231213874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2558976"/>
        <c:axId val="192560512"/>
        <c:axId val="0"/>
      </c:bar3DChart>
      <c:catAx>
        <c:axId val="1925589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400" b="1" i="0" baseline="0"/>
            </a:pPr>
            <a:endParaRPr lang="es-MX"/>
          </a:p>
        </c:txPr>
        <c:crossAx val="192560512"/>
        <c:crosses val="autoZero"/>
        <c:auto val="1"/>
        <c:lblAlgn val="ctr"/>
        <c:lblOffset val="100"/>
        <c:noMultiLvlLbl val="0"/>
      </c:catAx>
      <c:valAx>
        <c:axId val="192560512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400" b="1" i="0" baseline="0"/>
            </a:pPr>
            <a:endParaRPr lang="es-MX"/>
          </a:p>
        </c:txPr>
        <c:crossAx val="192558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684034866012197"/>
          <c:y val="0.95031997727914563"/>
          <c:w val="0.45192508343864535"/>
          <c:h val="4.9237823749928356E-2"/>
        </c:manualLayout>
      </c:layout>
      <c:overlay val="0"/>
      <c:txPr>
        <a:bodyPr/>
        <a:lstStyle/>
        <a:p>
          <a:pPr>
            <a:defRPr sz="1400"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PROPIETARIO</a:t>
            </a:r>
          </a:p>
          <a:p>
            <a:pPr>
              <a:defRPr/>
            </a:pPr>
            <a:r>
              <a:rPr lang="es-MX" sz="1600"/>
              <a:t>FORMA COMO ADQUIRIÓ LA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892326187535008E-2"/>
          <c:y val="0.19645722633521695"/>
          <c:w val="0.8900762017679088"/>
          <c:h val="0.5566457924019928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PLUS'!$DK$13</c:f>
              <c:strCache>
                <c:ptCount val="1"/>
                <c:pt idx="0">
                  <c:v>PT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4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PLUS'!$DJ$14:$DJ$19</c:f>
              <c:strCache>
                <c:ptCount val="6"/>
                <c:pt idx="0">
                  <c:v>Herencia</c:v>
                </c:pt>
                <c:pt idx="1">
                  <c:v>Contado</c:v>
                </c:pt>
                <c:pt idx="2">
                  <c:v>En renta</c:v>
                </c:pt>
                <c:pt idx="3">
                  <c:v>Prestada</c:v>
                </c:pt>
                <c:pt idx="4">
                  <c:v>Por crédito y pagada</c:v>
                </c:pt>
                <c:pt idx="5">
                  <c:v>En proceso de pago</c:v>
                </c:pt>
              </c:strCache>
            </c:strRef>
          </c:cat>
          <c:val>
            <c:numRef>
              <c:f>'FORMULAS PLUS'!$DK$14:$DK$19</c:f>
              <c:numCache>
                <c:formatCode>0.0%</c:formatCode>
                <c:ptCount val="6"/>
                <c:pt idx="0">
                  <c:v>0.11805555555555555</c:v>
                </c:pt>
                <c:pt idx="1">
                  <c:v>0.27430555555555558</c:v>
                </c:pt>
                <c:pt idx="2">
                  <c:v>5.5555555555555552E-2</c:v>
                </c:pt>
                <c:pt idx="3">
                  <c:v>2.7777777777777776E-2</c:v>
                </c:pt>
                <c:pt idx="4">
                  <c:v>0.47916666666666669</c:v>
                </c:pt>
                <c:pt idx="5">
                  <c:v>4.5138888888888888E-2</c:v>
                </c:pt>
              </c:numCache>
            </c:numRef>
          </c:val>
        </c:ser>
        <c:ser>
          <c:idx val="1"/>
          <c:order val="1"/>
          <c:tx>
            <c:strRef>
              <c:f>'FORMULAS PLUS'!$DL$13</c:f>
              <c:strCache>
                <c:ptCount val="1"/>
                <c:pt idx="0">
                  <c:v>HC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4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PLUS'!$DJ$14:$DJ$19</c:f>
              <c:strCache>
                <c:ptCount val="6"/>
                <c:pt idx="0">
                  <c:v>Herencia</c:v>
                </c:pt>
                <c:pt idx="1">
                  <c:v>Contado</c:v>
                </c:pt>
                <c:pt idx="2">
                  <c:v>En renta</c:v>
                </c:pt>
                <c:pt idx="3">
                  <c:v>Prestada</c:v>
                </c:pt>
                <c:pt idx="4">
                  <c:v>Por crédito y pagada</c:v>
                </c:pt>
                <c:pt idx="5">
                  <c:v>En proceso de pago</c:v>
                </c:pt>
              </c:strCache>
            </c:strRef>
          </c:cat>
          <c:val>
            <c:numRef>
              <c:f>'FORMULAS PLUS'!$DL$14:$DL$19</c:f>
              <c:numCache>
                <c:formatCode>0.0%</c:formatCode>
                <c:ptCount val="6"/>
                <c:pt idx="0">
                  <c:v>8.2369942196531792E-2</c:v>
                </c:pt>
                <c:pt idx="1">
                  <c:v>0.3583815028901734</c:v>
                </c:pt>
                <c:pt idx="2">
                  <c:v>7.2254335260115606E-3</c:v>
                </c:pt>
                <c:pt idx="3">
                  <c:v>2.4566473988439308E-2</c:v>
                </c:pt>
                <c:pt idx="4">
                  <c:v>0.42341040462427748</c:v>
                </c:pt>
                <c:pt idx="5">
                  <c:v>0.10404624277456648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192599168"/>
        <c:axId val="192600704"/>
        <c:axId val="0"/>
      </c:bar3DChart>
      <c:catAx>
        <c:axId val="1925991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400" b="1" i="0" baseline="0"/>
            </a:pPr>
            <a:endParaRPr lang="es-MX"/>
          </a:p>
        </c:txPr>
        <c:crossAx val="192600704"/>
        <c:crosses val="autoZero"/>
        <c:auto val="1"/>
        <c:lblAlgn val="ctr"/>
        <c:lblOffset val="100"/>
        <c:noMultiLvlLbl val="0"/>
      </c:catAx>
      <c:valAx>
        <c:axId val="192600704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400" b="1" i="0" baseline="0"/>
            </a:pPr>
            <a:endParaRPr lang="es-MX"/>
          </a:p>
        </c:txPr>
        <c:crossAx val="19259916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400"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PROPIETARIOS</a:t>
            </a:r>
            <a:endParaRPr lang="es-MX" baseline="0"/>
          </a:p>
          <a:p>
            <a:pPr>
              <a:defRPr/>
            </a:pPr>
            <a:r>
              <a:rPr lang="es-MX" sz="1600" baseline="0"/>
              <a:t>PRODUCTOS QUE TRANSPORTA</a:t>
            </a:r>
            <a:endParaRPr lang="es-MX" sz="16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'FORMULAS PLUS'!$DQ$4</c:f>
              <c:strCache>
                <c:ptCount val="1"/>
                <c:pt idx="0">
                  <c:v>PT</c:v>
                </c:pt>
              </c:strCache>
            </c:strRef>
          </c:tx>
          <c:invertIfNegative val="0"/>
          <c:dLbls>
            <c:dLbl>
              <c:idx val="5"/>
              <c:layout>
                <c:manualLayout>
                  <c:x val="7.4153458396323224E-17"/>
                  <c:y val="5.90343559808853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PLUS'!$DP$5:$DP$12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PLUS'!$DQ$5:$DQ$12</c:f>
              <c:numCache>
                <c:formatCode>0.0%</c:formatCode>
                <c:ptCount val="8"/>
                <c:pt idx="0">
                  <c:v>0.1038961038961039</c:v>
                </c:pt>
                <c:pt idx="1">
                  <c:v>9.0909090909090912E-2</c:v>
                </c:pt>
                <c:pt idx="2">
                  <c:v>9.0909090909090912E-2</c:v>
                </c:pt>
                <c:pt idx="3">
                  <c:v>0.1038961038961039</c:v>
                </c:pt>
                <c:pt idx="4">
                  <c:v>0.23376623376623376</c:v>
                </c:pt>
                <c:pt idx="5">
                  <c:v>0.1038961038961039</c:v>
                </c:pt>
                <c:pt idx="6">
                  <c:v>0.11688311688311688</c:v>
                </c:pt>
                <c:pt idx="7">
                  <c:v>0.15584415584415584</c:v>
                </c:pt>
              </c:numCache>
            </c:numRef>
          </c:val>
        </c:ser>
        <c:ser>
          <c:idx val="1"/>
          <c:order val="1"/>
          <c:tx>
            <c:strRef>
              <c:f>'FORMULAS PLUS'!$DR$4</c:f>
              <c:strCache>
                <c:ptCount val="1"/>
                <c:pt idx="0">
                  <c:v>HC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1.0111952048645655E-3"/>
                  <c:y val="-9.83905933014750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5.90343559808853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0111952048645655E-3"/>
                  <c:y val="-7.87124746411806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0111952048645655E-3"/>
                  <c:y val="-5.90343559808853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7.4153458396323224E-17"/>
                  <c:y val="-5.90343559808853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PLUS'!$DP$5:$DP$12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PLUS'!$DR$5:$DR$12</c:f>
              <c:numCache>
                <c:formatCode>0.0%</c:formatCode>
                <c:ptCount val="8"/>
                <c:pt idx="0">
                  <c:v>0.19526627218934911</c:v>
                </c:pt>
                <c:pt idx="1">
                  <c:v>0.1227810650887574</c:v>
                </c:pt>
                <c:pt idx="2">
                  <c:v>6.5088757396449703E-2</c:v>
                </c:pt>
                <c:pt idx="3">
                  <c:v>9.7633136094674555E-2</c:v>
                </c:pt>
                <c:pt idx="4">
                  <c:v>0.17899408284023668</c:v>
                </c:pt>
                <c:pt idx="5">
                  <c:v>0.13757396449704143</c:v>
                </c:pt>
                <c:pt idx="6">
                  <c:v>7.9881656804733733E-2</c:v>
                </c:pt>
                <c:pt idx="7">
                  <c:v>0.1227810650887574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717568"/>
        <c:axId val="192719104"/>
        <c:axId val="0"/>
      </c:bar3DChart>
      <c:catAx>
        <c:axId val="19271756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1400" b="1" i="1" baseline="0"/>
            </a:pPr>
            <a:endParaRPr lang="es-MX"/>
          </a:p>
        </c:txPr>
        <c:crossAx val="192719104"/>
        <c:crosses val="autoZero"/>
        <c:auto val="1"/>
        <c:lblAlgn val="ctr"/>
        <c:lblOffset val="100"/>
        <c:noMultiLvlLbl val="0"/>
      </c:catAx>
      <c:valAx>
        <c:axId val="192719104"/>
        <c:scaling>
          <c:orientation val="minMax"/>
          <c:min val="5.0000000000000024E-2"/>
        </c:scaling>
        <c:delete val="0"/>
        <c:axPos val="b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sz="1400" b="1" i="0" baseline="0"/>
            </a:pPr>
            <a:endParaRPr lang="es-MX"/>
          </a:p>
        </c:txPr>
        <c:crossAx val="1927175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400"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PROPIETARIOS</a:t>
            </a:r>
          </a:p>
          <a:p>
            <a:pPr>
              <a:defRPr/>
            </a:pPr>
            <a:r>
              <a:rPr lang="es-MX" sz="1600"/>
              <a:t>MECANISMOS DE CONTRATACIÓN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PLUS'!$DP$18</c:f>
              <c:strCache>
                <c:ptCount val="1"/>
                <c:pt idx="0">
                  <c:v>Contrato firmado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1406728859675412E-3"/>
                  <c:y val="0.38292094778055857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1"/>
              <c:layout>
                <c:manualLayout>
                  <c:x val="4.2813457719350833E-3"/>
                  <c:y val="0.42092073649160533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400" b="1" i="0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PLUS'!$DQ$17:$DR$17</c:f>
              <c:strCache>
                <c:ptCount val="2"/>
                <c:pt idx="0">
                  <c:v>PT</c:v>
                </c:pt>
                <c:pt idx="1">
                  <c:v>HC</c:v>
                </c:pt>
              </c:strCache>
            </c:strRef>
          </c:cat>
          <c:val>
            <c:numRef>
              <c:f>'FORMULAS PLUS'!$DQ$18:$DR$18</c:f>
              <c:numCache>
                <c:formatCode>0.0%</c:formatCode>
                <c:ptCount val="2"/>
                <c:pt idx="0">
                  <c:v>0.55263157894736847</c:v>
                </c:pt>
                <c:pt idx="1">
                  <c:v>0.40682414698162728</c:v>
                </c:pt>
              </c:numCache>
            </c:numRef>
          </c:val>
        </c:ser>
        <c:ser>
          <c:idx val="1"/>
          <c:order val="1"/>
          <c:tx>
            <c:strRef>
              <c:f>'FORMULAS PLUS'!$DP$19</c:f>
              <c:strCache>
                <c:ptCount val="1"/>
                <c:pt idx="0">
                  <c:v>De palabra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1406728859675412E-3"/>
                  <c:y val="0.3507672804096704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1"/>
              <c:layout>
                <c:manualLayout>
                  <c:x val="2.1406728859675412E-3"/>
                  <c:y val="0.40045931180104088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4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'FORMULAS PLUS'!$DQ$17:$DR$17</c:f>
              <c:strCache>
                <c:ptCount val="2"/>
                <c:pt idx="0">
                  <c:v>PT</c:v>
                </c:pt>
                <c:pt idx="1">
                  <c:v>HC</c:v>
                </c:pt>
              </c:strCache>
            </c:strRef>
          </c:cat>
          <c:val>
            <c:numRef>
              <c:f>'FORMULAS PLUS'!$DQ$19:$DR$19</c:f>
              <c:numCache>
                <c:formatCode>0.0%</c:formatCode>
                <c:ptCount val="2"/>
                <c:pt idx="0">
                  <c:v>0.44736842105263158</c:v>
                </c:pt>
                <c:pt idx="1">
                  <c:v>0.59317585301837272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754048"/>
        <c:axId val="192755584"/>
        <c:axId val="0"/>
      </c:bar3DChart>
      <c:catAx>
        <c:axId val="1927540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400" b="1" i="0" baseline="0"/>
            </a:pPr>
            <a:endParaRPr lang="es-MX"/>
          </a:p>
        </c:txPr>
        <c:crossAx val="192755584"/>
        <c:crosses val="autoZero"/>
        <c:auto val="1"/>
        <c:lblAlgn val="ctr"/>
        <c:lblOffset val="100"/>
        <c:noMultiLvlLbl val="0"/>
      </c:catAx>
      <c:valAx>
        <c:axId val="192755584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400" b="1" i="0" baseline="0"/>
            </a:pPr>
            <a:endParaRPr lang="es-MX"/>
          </a:p>
        </c:txPr>
        <c:crossAx val="1927540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PROPIETARIOS + CONDUCTORES</a:t>
            </a:r>
          </a:p>
          <a:p>
            <a:pPr>
              <a:defRPr/>
            </a:pPr>
            <a:r>
              <a:rPr lang="es-MX" sz="1600"/>
              <a:t>RENDIMIENTO DE LAS UNIDADES CARGADAS SEGÚN RECORRIDO</a:t>
            </a:r>
            <a:r>
              <a:rPr lang="es-MX" sz="1600" baseline="0"/>
              <a:t> MENSUAL PROMEDIO [km/lt]</a:t>
            </a:r>
            <a:endParaRPr lang="es-MX" sz="1600"/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4542418775832843E-2"/>
          <c:y val="0.12350808422331119"/>
          <c:w val="0.93534895973410814"/>
          <c:h val="0.7232533328071685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PLUS'!$DW$16</c:f>
              <c:strCache>
                <c:ptCount val="1"/>
                <c:pt idx="0">
                  <c:v>&lt; 1.6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PLUS'!$DV$17:$DV$22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PLUS'!$DW$17:$DW$22</c:f>
              <c:numCache>
                <c:formatCode>0.0%</c:formatCode>
                <c:ptCount val="6"/>
                <c:pt idx="0">
                  <c:v>4.9295774647887328E-3</c:v>
                </c:pt>
                <c:pt idx="1">
                  <c:v>1.5492957746478873E-2</c:v>
                </c:pt>
                <c:pt idx="2">
                  <c:v>9.1549295774647887E-3</c:v>
                </c:pt>
                <c:pt idx="3">
                  <c:v>1.6197183098591549E-2</c:v>
                </c:pt>
                <c:pt idx="4">
                  <c:v>7.0422535211267609E-4</c:v>
                </c:pt>
                <c:pt idx="5">
                  <c:v>6.3380281690140847E-3</c:v>
                </c:pt>
              </c:numCache>
            </c:numRef>
          </c:val>
        </c:ser>
        <c:ser>
          <c:idx val="1"/>
          <c:order val="1"/>
          <c:tx>
            <c:strRef>
              <c:f>'FORMULAS PLUS'!$DX$16</c:f>
              <c:strCache>
                <c:ptCount val="1"/>
                <c:pt idx="0">
                  <c:v>1.6 A 1.9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PLUS'!$DV$17:$DV$22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PLUS'!$DX$17:$DX$22</c:f>
              <c:numCache>
                <c:formatCode>0.0%</c:formatCode>
                <c:ptCount val="6"/>
                <c:pt idx="0">
                  <c:v>1.1971830985915493E-2</c:v>
                </c:pt>
                <c:pt idx="1">
                  <c:v>3.8028169014084505E-2</c:v>
                </c:pt>
                <c:pt idx="2">
                  <c:v>6.0563380281690143E-2</c:v>
                </c:pt>
                <c:pt idx="3">
                  <c:v>1.7605633802816902E-2</c:v>
                </c:pt>
                <c:pt idx="4">
                  <c:v>4.2253521126760559E-3</c:v>
                </c:pt>
                <c:pt idx="5">
                  <c:v>3.5211267605633804E-3</c:v>
                </c:pt>
              </c:numCache>
            </c:numRef>
          </c:val>
        </c:ser>
        <c:ser>
          <c:idx val="2"/>
          <c:order val="2"/>
          <c:tx>
            <c:strRef>
              <c:f>'FORMULAS PLUS'!$DY$16</c:f>
              <c:strCache>
                <c:ptCount val="1"/>
                <c:pt idx="0">
                  <c:v>1.91 A 2.0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PLUS'!$DV$17:$DV$22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PLUS'!$DY$17:$DY$22</c:f>
              <c:numCache>
                <c:formatCode>0.0%</c:formatCode>
                <c:ptCount val="6"/>
                <c:pt idx="0">
                  <c:v>1.3380281690140845E-2</c:v>
                </c:pt>
                <c:pt idx="1">
                  <c:v>8.23943661971831E-2</c:v>
                </c:pt>
                <c:pt idx="2">
                  <c:v>0</c:v>
                </c:pt>
                <c:pt idx="3">
                  <c:v>2.6760563380281689E-2</c:v>
                </c:pt>
                <c:pt idx="4">
                  <c:v>1.4084507042253522E-3</c:v>
                </c:pt>
                <c:pt idx="5">
                  <c:v>3.1690140845070422E-2</c:v>
                </c:pt>
              </c:numCache>
            </c:numRef>
          </c:val>
        </c:ser>
        <c:ser>
          <c:idx val="3"/>
          <c:order val="3"/>
          <c:tx>
            <c:strRef>
              <c:f>'FORMULAS PLUS'!$DZ$16</c:f>
              <c:strCache>
                <c:ptCount val="1"/>
                <c:pt idx="0">
                  <c:v>2.01 A 2.2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PLUS'!$DV$17:$DV$22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PLUS'!$DZ$17:$DZ$22</c:f>
              <c:numCache>
                <c:formatCode>0.0%</c:formatCode>
                <c:ptCount val="6"/>
                <c:pt idx="0">
                  <c:v>4.9295774647887328E-3</c:v>
                </c:pt>
                <c:pt idx="1">
                  <c:v>2.8169014084507043E-2</c:v>
                </c:pt>
                <c:pt idx="2">
                  <c:v>4.2253521126760563E-2</c:v>
                </c:pt>
                <c:pt idx="3">
                  <c:v>0.05</c:v>
                </c:pt>
                <c:pt idx="4">
                  <c:v>1.4084507042253522E-3</c:v>
                </c:pt>
                <c:pt idx="5">
                  <c:v>4.2253521126760559E-3</c:v>
                </c:pt>
              </c:numCache>
            </c:numRef>
          </c:val>
        </c:ser>
        <c:ser>
          <c:idx val="4"/>
          <c:order val="4"/>
          <c:tx>
            <c:strRef>
              <c:f>'FORMULAS PLUS'!$EA$16</c:f>
              <c:strCache>
                <c:ptCount val="1"/>
                <c:pt idx="0">
                  <c:v>2.21 A 2.5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PLUS'!$DV$17:$DV$22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PLUS'!$EA$17:$EA$22</c:f>
              <c:numCache>
                <c:formatCode>0.0%</c:formatCode>
                <c:ptCount val="6"/>
                <c:pt idx="0">
                  <c:v>1.7605633802816902E-2</c:v>
                </c:pt>
                <c:pt idx="1">
                  <c:v>4.4366197183098595E-2</c:v>
                </c:pt>
                <c:pt idx="2">
                  <c:v>2.5352112676056339E-2</c:v>
                </c:pt>
                <c:pt idx="3">
                  <c:v>0.12605633802816901</c:v>
                </c:pt>
                <c:pt idx="4">
                  <c:v>1.8309859154929577E-2</c:v>
                </c:pt>
                <c:pt idx="5">
                  <c:v>1.2676056338028169E-2</c:v>
                </c:pt>
              </c:numCache>
            </c:numRef>
          </c:val>
        </c:ser>
        <c:ser>
          <c:idx val="5"/>
          <c:order val="5"/>
          <c:tx>
            <c:strRef>
              <c:f>'FORMULAS PLUS'!$EB$16</c:f>
              <c:strCache>
                <c:ptCount val="1"/>
                <c:pt idx="0">
                  <c:v>2.51 A 3.0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PLUS'!$DV$17:$DV$22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PLUS'!$EB$17:$EB$22</c:f>
              <c:numCache>
                <c:formatCode>0.0%</c:formatCode>
                <c:ptCount val="6"/>
                <c:pt idx="0">
                  <c:v>2.0422535211267606E-2</c:v>
                </c:pt>
                <c:pt idx="1">
                  <c:v>4.2253521126760563E-2</c:v>
                </c:pt>
                <c:pt idx="2">
                  <c:v>1.7605633802816902E-2</c:v>
                </c:pt>
                <c:pt idx="3">
                  <c:v>1.9718309859154931E-2</c:v>
                </c:pt>
                <c:pt idx="4">
                  <c:v>1.4084507042253522E-3</c:v>
                </c:pt>
                <c:pt idx="5">
                  <c:v>8.4507042253521118E-3</c:v>
                </c:pt>
              </c:numCache>
            </c:numRef>
          </c:val>
        </c:ser>
        <c:ser>
          <c:idx val="6"/>
          <c:order val="6"/>
          <c:tx>
            <c:strRef>
              <c:f>'FORMULAS PLUS'!$EC$16</c:f>
              <c:strCache>
                <c:ptCount val="1"/>
                <c:pt idx="0">
                  <c:v>3.01 A 4.0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 b="1" i="0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PLUS'!$DV$17:$DV$22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PLUS'!$EC$17:$EC$22</c:f>
              <c:numCache>
                <c:formatCode>0.0%</c:formatCode>
                <c:ptCount val="6"/>
                <c:pt idx="0">
                  <c:v>8.4507042253521118E-3</c:v>
                </c:pt>
                <c:pt idx="1">
                  <c:v>4.647887323943662E-2</c:v>
                </c:pt>
                <c:pt idx="2">
                  <c:v>2.5352112676056339E-2</c:v>
                </c:pt>
                <c:pt idx="3">
                  <c:v>2.464788732394366E-2</c:v>
                </c:pt>
                <c:pt idx="4">
                  <c:v>1.4084507042253522E-3</c:v>
                </c:pt>
                <c:pt idx="5">
                  <c:v>2.112676056338028E-3</c:v>
                </c:pt>
              </c:numCache>
            </c:numRef>
          </c:val>
        </c:ser>
        <c:ser>
          <c:idx val="7"/>
          <c:order val="7"/>
          <c:tx>
            <c:strRef>
              <c:f>'FORMULAS PLUS'!$ED$16</c:f>
              <c:strCache>
                <c:ptCount val="1"/>
                <c:pt idx="0">
                  <c:v>4.01 A 5.0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 b="1" i="1" baseline="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PLUS'!$DV$17:$DV$22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PLUS'!$ED$17:$ED$22</c:f>
              <c:numCache>
                <c:formatCode>0.0%</c:formatCode>
                <c:ptCount val="6"/>
                <c:pt idx="0">
                  <c:v>7.0422535211267607E-3</c:v>
                </c:pt>
                <c:pt idx="1">
                  <c:v>2.0422535211267606E-2</c:v>
                </c:pt>
                <c:pt idx="2">
                  <c:v>7.7464788732394367E-3</c:v>
                </c:pt>
                <c:pt idx="3">
                  <c:v>9.1549295774647887E-3</c:v>
                </c:pt>
                <c:pt idx="4">
                  <c:v>0</c:v>
                </c:pt>
                <c:pt idx="5">
                  <c:v>1.4084507042253522E-3</c:v>
                </c:pt>
              </c:numCache>
            </c:numRef>
          </c:val>
        </c:ser>
        <c:ser>
          <c:idx val="8"/>
          <c:order val="8"/>
          <c:tx>
            <c:strRef>
              <c:f>'FORMULAS PLUS'!$EE$16</c:f>
              <c:strCache>
                <c:ptCount val="1"/>
                <c:pt idx="0">
                  <c:v>&gt;5.0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PLUS'!$DV$17:$DV$22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PLUS'!$EE$17:$EE$22</c:f>
              <c:numCache>
                <c:formatCode>0.0%</c:formatCode>
                <c:ptCount val="6"/>
                <c:pt idx="0">
                  <c:v>1.4084507042253522E-3</c:v>
                </c:pt>
                <c:pt idx="1">
                  <c:v>1.3380281690140845E-2</c:v>
                </c:pt>
                <c:pt idx="2">
                  <c:v>1.4084507042253522E-3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2860160"/>
        <c:axId val="192861696"/>
        <c:axId val="0"/>
      </c:bar3DChart>
      <c:catAx>
        <c:axId val="1928601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 b="1" i="0" baseline="0"/>
            </a:pPr>
            <a:endParaRPr lang="es-MX"/>
          </a:p>
        </c:txPr>
        <c:crossAx val="192861696"/>
        <c:crosses val="autoZero"/>
        <c:auto val="1"/>
        <c:lblAlgn val="ctr"/>
        <c:lblOffset val="100"/>
        <c:noMultiLvlLbl val="0"/>
      </c:catAx>
      <c:valAx>
        <c:axId val="19286169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400" b="1" i="0" baseline="0"/>
            </a:pPr>
            <a:endParaRPr lang="es-MX"/>
          </a:p>
        </c:txPr>
        <c:crossAx val="192860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4.7288404685263505E-2"/>
          <c:y val="0.92485631866664852"/>
          <c:w val="0.82563804602077673"/>
          <c:h val="5.7169832032876532E-2"/>
        </c:manualLayout>
      </c:layout>
      <c:overlay val="0"/>
      <c:txPr>
        <a:bodyPr/>
        <a:lstStyle/>
        <a:p>
          <a:pPr>
            <a:defRPr sz="140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 sz="1600"/>
              <a:t>PORCENTAJE QUE RECORRE LA UNIDAD DE VACÍO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3446048410615333E-2"/>
          <c:y val="0.15617408297831623"/>
          <c:w val="0.84036045494313261"/>
          <c:h val="0.7140155353801698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PLUS'!$EJ$3</c:f>
              <c:strCache>
                <c:ptCount val="1"/>
                <c:pt idx="0">
                  <c:v>PT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4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PLUS'!$EI$4:$EI$8</c:f>
              <c:strCache>
                <c:ptCount val="5"/>
                <c:pt idx="0">
                  <c:v>50%</c:v>
                </c:pt>
                <c:pt idx="1">
                  <c:v>30% A 49%</c:v>
                </c:pt>
                <c:pt idx="2">
                  <c:v>20% A 29%</c:v>
                </c:pt>
                <c:pt idx="3">
                  <c:v>10% A 19%</c:v>
                </c:pt>
                <c:pt idx="4">
                  <c:v>&lt; 10%</c:v>
                </c:pt>
              </c:strCache>
            </c:strRef>
          </c:cat>
          <c:val>
            <c:numRef>
              <c:f>'FORMULAS PLUS'!$EJ$4:$EJ$8</c:f>
              <c:numCache>
                <c:formatCode>0.0%</c:formatCode>
                <c:ptCount val="5"/>
                <c:pt idx="0">
                  <c:v>0.68586387434554974</c:v>
                </c:pt>
                <c:pt idx="1">
                  <c:v>6.0209424083769635E-2</c:v>
                </c:pt>
                <c:pt idx="2">
                  <c:v>6.2827225130890049E-2</c:v>
                </c:pt>
                <c:pt idx="3">
                  <c:v>0.112565445026178</c:v>
                </c:pt>
                <c:pt idx="4">
                  <c:v>7.8534031413612565E-2</c:v>
                </c:pt>
              </c:numCache>
            </c:numRef>
          </c:val>
        </c:ser>
        <c:ser>
          <c:idx val="1"/>
          <c:order val="1"/>
          <c:tx>
            <c:strRef>
              <c:f>'FORMULAS PLUS'!$EK$3</c:f>
              <c:strCache>
                <c:ptCount val="1"/>
                <c:pt idx="0">
                  <c:v>HC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4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PLUS'!$EI$4:$EI$8</c:f>
              <c:strCache>
                <c:ptCount val="5"/>
                <c:pt idx="0">
                  <c:v>50%</c:v>
                </c:pt>
                <c:pt idx="1">
                  <c:v>30% A 49%</c:v>
                </c:pt>
                <c:pt idx="2">
                  <c:v>20% A 29%</c:v>
                </c:pt>
                <c:pt idx="3">
                  <c:v>10% A 19%</c:v>
                </c:pt>
                <c:pt idx="4">
                  <c:v>&lt; 10%</c:v>
                </c:pt>
              </c:strCache>
            </c:strRef>
          </c:cat>
          <c:val>
            <c:numRef>
              <c:f>'FORMULAS PLUS'!$EK$4:$EK$8</c:f>
              <c:numCache>
                <c:formatCode>0.0%</c:formatCode>
                <c:ptCount val="5"/>
                <c:pt idx="0">
                  <c:v>0.66184649610678536</c:v>
                </c:pt>
                <c:pt idx="1">
                  <c:v>2.4471635150166853E-2</c:v>
                </c:pt>
                <c:pt idx="2">
                  <c:v>0.12791991101223582</c:v>
                </c:pt>
                <c:pt idx="3">
                  <c:v>9.7886540600667413E-2</c:v>
                </c:pt>
                <c:pt idx="4">
                  <c:v>8.7875417130144601E-2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2970112"/>
        <c:axId val="192976000"/>
        <c:axId val="0"/>
      </c:bar3DChart>
      <c:catAx>
        <c:axId val="1929701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400" b="1" i="0" baseline="0"/>
            </a:pPr>
            <a:endParaRPr lang="es-MX"/>
          </a:p>
        </c:txPr>
        <c:crossAx val="192976000"/>
        <c:crosses val="autoZero"/>
        <c:auto val="1"/>
        <c:lblAlgn val="ctr"/>
        <c:lblOffset val="100"/>
        <c:noMultiLvlLbl val="0"/>
      </c:catAx>
      <c:valAx>
        <c:axId val="192976000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400" b="1" i="0" baseline="0"/>
            </a:pPr>
            <a:endParaRPr lang="es-MX"/>
          </a:p>
        </c:txPr>
        <c:crossAx val="192970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306576261300667"/>
          <c:y val="0.93913147940205488"/>
          <c:w val="0.52323053368328964"/>
          <c:h val="5.0117535271986494E-2"/>
        </c:manualLayout>
      </c:layout>
      <c:overlay val="0"/>
      <c:txPr>
        <a:bodyPr/>
        <a:lstStyle/>
        <a:p>
          <a:pPr>
            <a:defRPr sz="1400"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QUIÉN FIJA LA RUTA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FORMULAS!$N$2</c:f>
              <c:strCache>
                <c:ptCount val="1"/>
                <c:pt idx="0">
                  <c:v>QUIÉN FIJA LA RUTA</c:v>
                </c:pt>
              </c:strCache>
            </c:strRef>
          </c:tx>
          <c:explosion val="25"/>
          <c:dPt>
            <c:idx val="1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Lbls>
            <c:dLbl>
              <c:idx val="3"/>
              <c:layout>
                <c:manualLayout>
                  <c:x val="-0.10709853455818066"/>
                  <c:y val="-2.11453776611258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FORMULAS!$N$3:$N$6</c:f>
              <c:strCache>
                <c:ptCount val="4"/>
                <c:pt idx="0">
                  <c:v>El Conductor</c:v>
                </c:pt>
                <c:pt idx="1">
                  <c:v>El Propietario</c:v>
                </c:pt>
                <c:pt idx="2">
                  <c:v>El Cliente</c:v>
                </c:pt>
                <c:pt idx="3">
                  <c:v>Ambos (El Cliente y el Propietario)</c:v>
                </c:pt>
              </c:strCache>
            </c:strRef>
          </c:cat>
          <c:val>
            <c:numRef>
              <c:f>FORMULAS!$O$3:$O$6</c:f>
              <c:numCache>
                <c:formatCode>0.0%</c:formatCode>
                <c:ptCount val="4"/>
                <c:pt idx="0">
                  <c:v>4.2128603104212861E-2</c:v>
                </c:pt>
                <c:pt idx="1">
                  <c:v>0.4567627494456763</c:v>
                </c:pt>
                <c:pt idx="2">
                  <c:v>0.31263858093126384</c:v>
                </c:pt>
                <c:pt idx="3">
                  <c:v>0.18847006651884701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PROPIETARIOS + CONDUCTORES</a:t>
            </a:r>
          </a:p>
          <a:p>
            <a:pPr>
              <a:defRPr/>
            </a:pPr>
            <a:r>
              <a:rPr lang="en-US" sz="1600"/>
              <a:t>PORCENTAJE QUE RECORRE DE VACÍO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PLUS'!$EI$13</c:f>
              <c:strCache>
                <c:ptCount val="1"/>
                <c:pt idx="0">
                  <c:v>PORCENTAJE QUE RECORRE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4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PLUS'!$EI$14:$EI$18</c:f>
              <c:strCache>
                <c:ptCount val="5"/>
                <c:pt idx="0">
                  <c:v>50%</c:v>
                </c:pt>
                <c:pt idx="1">
                  <c:v>30% A 49%</c:v>
                </c:pt>
                <c:pt idx="2">
                  <c:v>20% A 29%</c:v>
                </c:pt>
                <c:pt idx="3">
                  <c:v>10% A 19%</c:v>
                </c:pt>
                <c:pt idx="4">
                  <c:v>&lt; 10%</c:v>
                </c:pt>
              </c:strCache>
            </c:strRef>
          </c:cat>
          <c:val>
            <c:numRef>
              <c:f>'FORMULAS PLUS'!$EJ$14:$EJ$18</c:f>
              <c:numCache>
                <c:formatCode>0.0%</c:formatCode>
                <c:ptCount val="5"/>
                <c:pt idx="0">
                  <c:v>0.66900858704137389</c:v>
                </c:pt>
                <c:pt idx="1">
                  <c:v>3.5128805620608897E-2</c:v>
                </c:pt>
                <c:pt idx="2">
                  <c:v>0.10850897736143637</c:v>
                </c:pt>
                <c:pt idx="3">
                  <c:v>0.10226385636221702</c:v>
                </c:pt>
                <c:pt idx="4">
                  <c:v>8.5089773614363776E-2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3001728"/>
        <c:axId val="193003520"/>
        <c:axId val="0"/>
      </c:bar3DChart>
      <c:catAx>
        <c:axId val="1930017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400" b="1" i="0" baseline="0"/>
            </a:pPr>
            <a:endParaRPr lang="es-MX"/>
          </a:p>
        </c:txPr>
        <c:crossAx val="193003520"/>
        <c:crosses val="autoZero"/>
        <c:auto val="1"/>
        <c:lblAlgn val="ctr"/>
        <c:lblOffset val="100"/>
        <c:noMultiLvlLbl val="0"/>
      </c:catAx>
      <c:valAx>
        <c:axId val="193003520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400" b="1" i="0" baseline="0"/>
            </a:pPr>
            <a:endParaRPr lang="es-MX"/>
          </a:p>
        </c:txPr>
        <c:crossAx val="1930017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 </a:t>
            </a:r>
          </a:p>
          <a:p>
            <a:pPr>
              <a:defRPr sz="1400"/>
            </a:pPr>
            <a:r>
              <a:rPr lang="en-US" sz="1200"/>
              <a:t>CANTIDAD DE UNIDADES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NUEVOS'!$A$2</c:f>
              <c:strCache>
                <c:ptCount val="1"/>
                <c:pt idx="0">
                  <c:v>PROPIETARIOS CANTIDAD DE UNIDADES</c:v>
                </c:pt>
              </c:strCache>
            </c:strRef>
          </c:tx>
          <c:explosion val="25"/>
          <c:dLbls>
            <c:dLbl>
              <c:idx val="2"/>
              <c:layout>
                <c:manualLayout>
                  <c:x val="-0.16377595273709109"/>
                  <c:y val="7.2034650962602823E-2"/>
                </c:manualLayout>
              </c:layout>
              <c:spPr/>
              <c:txPr>
                <a:bodyPr/>
                <a:lstStyle/>
                <a:p>
                  <a:pPr>
                    <a:defRPr sz="1400" b="1" i="0" baseline="0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NUEVOS'!$A$3:$A$5</c:f>
              <c:strCache>
                <c:ptCount val="3"/>
                <c:pt idx="0">
                  <c:v>UNA UNIDAD</c:v>
                </c:pt>
                <c:pt idx="1">
                  <c:v>ENTRE 2 Y 5 UNIDADES</c:v>
                </c:pt>
                <c:pt idx="2">
                  <c:v>ENTRE 6 Y 30 UNIDADES</c:v>
                </c:pt>
              </c:strCache>
            </c:strRef>
          </c:cat>
          <c:val>
            <c:numRef>
              <c:f>'FORMULAS NUEVOS'!$B$3:$B$5</c:f>
              <c:numCache>
                <c:formatCode>0.0%</c:formatCode>
                <c:ptCount val="3"/>
                <c:pt idx="0">
                  <c:v>0.49148418491484186</c:v>
                </c:pt>
                <c:pt idx="1">
                  <c:v>0.42579075425790752</c:v>
                </c:pt>
                <c:pt idx="2">
                  <c:v>8.2725060827250604E-2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es-MX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NUEVOS'!$A$9</c:f>
              <c:strCache>
                <c:ptCount val="1"/>
                <c:pt idx="0">
                  <c:v>EDAD PROPIETARIOS CON UNA UNIDAD</c:v>
                </c:pt>
              </c:strCache>
            </c:strRef>
          </c:tx>
          <c:explosion val="25"/>
          <c:dPt>
            <c:idx val="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5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NUEVOS'!$A$10:$A$16</c:f>
              <c:strCache>
                <c:ptCount val="7"/>
                <c:pt idx="0">
                  <c:v>Menor de 36 Años</c:v>
                </c:pt>
                <c:pt idx="1">
                  <c:v>36 a 40 Años</c:v>
                </c:pt>
                <c:pt idx="2">
                  <c:v>41 a 45 Años</c:v>
                </c:pt>
                <c:pt idx="3">
                  <c:v>46 a 50 Años</c:v>
                </c:pt>
                <c:pt idx="4">
                  <c:v>51 a 55 Años</c:v>
                </c:pt>
                <c:pt idx="5">
                  <c:v>56 a 60 Años</c:v>
                </c:pt>
                <c:pt idx="6">
                  <c:v>Mayor de 60 Años</c:v>
                </c:pt>
              </c:strCache>
            </c:strRef>
          </c:cat>
          <c:val>
            <c:numRef>
              <c:f>'FORMULAS NUEVOS'!$B$10:$B$16</c:f>
              <c:numCache>
                <c:formatCode>0.0%</c:formatCode>
                <c:ptCount val="7"/>
                <c:pt idx="0">
                  <c:v>0.13861386138613863</c:v>
                </c:pt>
                <c:pt idx="1">
                  <c:v>0.13861386138613863</c:v>
                </c:pt>
                <c:pt idx="2">
                  <c:v>0.11386138613861387</c:v>
                </c:pt>
                <c:pt idx="3">
                  <c:v>0.23267326732673269</c:v>
                </c:pt>
                <c:pt idx="4">
                  <c:v>0.15841584158415842</c:v>
                </c:pt>
                <c:pt idx="5">
                  <c:v>0.10891089108910891</c:v>
                </c:pt>
                <c:pt idx="6">
                  <c:v>0.10891089108910891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/>
          </a:pPr>
          <a:endParaRPr lang="es-MX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NUEVOS'!$A$19</c:f>
              <c:strCache>
                <c:ptCount val="1"/>
                <c:pt idx="0">
                  <c:v>EDAD PROPIETARIOS CON 2 A 5 UNIDADES</c:v>
                </c:pt>
              </c:strCache>
            </c:strRef>
          </c:tx>
          <c:explosion val="25"/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Lbls>
            <c:dLbl>
              <c:idx val="1"/>
              <c:spPr/>
              <c:txPr>
                <a:bodyPr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NUEVOS'!$A$20:$A$26</c:f>
              <c:strCache>
                <c:ptCount val="7"/>
                <c:pt idx="0">
                  <c:v>Menor de 36 Años</c:v>
                </c:pt>
                <c:pt idx="1">
                  <c:v>36 a 40 Años</c:v>
                </c:pt>
                <c:pt idx="2">
                  <c:v>41 a 45 Años</c:v>
                </c:pt>
                <c:pt idx="3">
                  <c:v>46 a 50 Años</c:v>
                </c:pt>
                <c:pt idx="4">
                  <c:v>51 a 55 Años</c:v>
                </c:pt>
                <c:pt idx="5">
                  <c:v>56 a 60 Años</c:v>
                </c:pt>
                <c:pt idx="6">
                  <c:v>Mayor de 60 Años</c:v>
                </c:pt>
              </c:strCache>
            </c:strRef>
          </c:cat>
          <c:val>
            <c:numRef>
              <c:f>'FORMULAS NUEVOS'!$B$20:$B$26</c:f>
              <c:numCache>
                <c:formatCode>0.0%</c:formatCode>
                <c:ptCount val="7"/>
                <c:pt idx="0">
                  <c:v>0.12571428571428572</c:v>
                </c:pt>
                <c:pt idx="1">
                  <c:v>0.17142857142857143</c:v>
                </c:pt>
                <c:pt idx="2">
                  <c:v>0.17714285714285713</c:v>
                </c:pt>
                <c:pt idx="3">
                  <c:v>0.13142857142857142</c:v>
                </c:pt>
                <c:pt idx="4">
                  <c:v>0.21714285714285714</c:v>
                </c:pt>
                <c:pt idx="5">
                  <c:v>0.08</c:v>
                </c:pt>
                <c:pt idx="6">
                  <c:v>9.7142857142857142E-2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MX" sz="1600"/>
              <a:t>EDAD DE PROPIETARIOS</a:t>
            </a:r>
          </a:p>
        </c:rich>
      </c:tx>
      <c:layout>
        <c:manualLayout>
          <c:xMode val="edge"/>
          <c:yMode val="edge"/>
          <c:x val="0.32788011759699986"/>
          <c:y val="1.1145938512157645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749552597831797E-2"/>
          <c:y val="0.11724847149250699"/>
          <c:w val="0.90216483786485135"/>
          <c:h val="0.67026342591922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NUEVOS'!$B$30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NUEVOS'!$A$31:$A$37</c:f>
              <c:strCache>
                <c:ptCount val="7"/>
                <c:pt idx="0">
                  <c:v>Menor de 36 Años</c:v>
                </c:pt>
                <c:pt idx="1">
                  <c:v>36 a 40 Años</c:v>
                </c:pt>
                <c:pt idx="2">
                  <c:v>41 a 45 Años</c:v>
                </c:pt>
                <c:pt idx="3">
                  <c:v>46 a 50 Años</c:v>
                </c:pt>
                <c:pt idx="4">
                  <c:v>51 a 55 Años</c:v>
                </c:pt>
                <c:pt idx="5">
                  <c:v>56 a 60 Años</c:v>
                </c:pt>
                <c:pt idx="6">
                  <c:v>Mayor de 60 Años</c:v>
                </c:pt>
              </c:strCache>
            </c:strRef>
          </c:cat>
          <c:val>
            <c:numRef>
              <c:f>'FORMULAS NUEVOS'!$B$31:$B$37</c:f>
              <c:numCache>
                <c:formatCode>0.0%</c:formatCode>
                <c:ptCount val="7"/>
                <c:pt idx="0">
                  <c:v>0.13861386138613863</c:v>
                </c:pt>
                <c:pt idx="1">
                  <c:v>0.13861386138613863</c:v>
                </c:pt>
                <c:pt idx="2">
                  <c:v>0.11386138613861387</c:v>
                </c:pt>
                <c:pt idx="3">
                  <c:v>0.23267326732673269</c:v>
                </c:pt>
                <c:pt idx="4">
                  <c:v>0.15841584158415842</c:v>
                </c:pt>
                <c:pt idx="5">
                  <c:v>0.10891089108910891</c:v>
                </c:pt>
                <c:pt idx="6">
                  <c:v>0.10891089108910891</c:v>
                </c:pt>
              </c:numCache>
            </c:numRef>
          </c:val>
        </c:ser>
        <c:ser>
          <c:idx val="1"/>
          <c:order val="1"/>
          <c:tx>
            <c:strRef>
              <c:f>'FORMULAS NUEVOS'!$C$30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NUEVOS'!$A$31:$A$37</c:f>
              <c:strCache>
                <c:ptCount val="7"/>
                <c:pt idx="0">
                  <c:v>Menor de 36 Años</c:v>
                </c:pt>
                <c:pt idx="1">
                  <c:v>36 a 40 Años</c:v>
                </c:pt>
                <c:pt idx="2">
                  <c:v>41 a 45 Años</c:v>
                </c:pt>
                <c:pt idx="3">
                  <c:v>46 a 50 Años</c:v>
                </c:pt>
                <c:pt idx="4">
                  <c:v>51 a 55 Años</c:v>
                </c:pt>
                <c:pt idx="5">
                  <c:v>56 a 60 Años</c:v>
                </c:pt>
                <c:pt idx="6">
                  <c:v>Mayor de 60 Años</c:v>
                </c:pt>
              </c:strCache>
            </c:strRef>
          </c:cat>
          <c:val>
            <c:numRef>
              <c:f>'FORMULAS NUEVOS'!$C$31:$C$37</c:f>
              <c:numCache>
                <c:formatCode>0.0%</c:formatCode>
                <c:ptCount val="7"/>
                <c:pt idx="0">
                  <c:v>0.12571428571428572</c:v>
                </c:pt>
                <c:pt idx="1">
                  <c:v>0.17142857142857143</c:v>
                </c:pt>
                <c:pt idx="2">
                  <c:v>0.17714285714285713</c:v>
                </c:pt>
                <c:pt idx="3">
                  <c:v>0.13142857142857142</c:v>
                </c:pt>
                <c:pt idx="4">
                  <c:v>0.21714285714285714</c:v>
                </c:pt>
                <c:pt idx="5">
                  <c:v>0.08</c:v>
                </c:pt>
                <c:pt idx="6">
                  <c:v>9.7142857142857142E-2</c:v>
                </c:pt>
              </c:numCache>
            </c:numRef>
          </c:val>
        </c:ser>
        <c:ser>
          <c:idx val="2"/>
          <c:order val="2"/>
          <c:tx>
            <c:strRef>
              <c:f>'FORMULAS NUEVOS'!$D$30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NUEVOS'!$A$31:$A$37</c:f>
              <c:strCache>
                <c:ptCount val="7"/>
                <c:pt idx="0">
                  <c:v>Menor de 36 Años</c:v>
                </c:pt>
                <c:pt idx="1">
                  <c:v>36 a 40 Años</c:v>
                </c:pt>
                <c:pt idx="2">
                  <c:v>41 a 45 Años</c:v>
                </c:pt>
                <c:pt idx="3">
                  <c:v>46 a 50 Años</c:v>
                </c:pt>
                <c:pt idx="4">
                  <c:v>51 a 55 Años</c:v>
                </c:pt>
                <c:pt idx="5">
                  <c:v>56 a 60 Años</c:v>
                </c:pt>
                <c:pt idx="6">
                  <c:v>Mayor de 60 Años</c:v>
                </c:pt>
              </c:strCache>
            </c:strRef>
          </c:cat>
          <c:val>
            <c:numRef>
              <c:f>'FORMULAS NUEVOS'!$D$31:$D$37</c:f>
              <c:numCache>
                <c:formatCode>0.0%</c:formatCode>
                <c:ptCount val="7"/>
                <c:pt idx="0">
                  <c:v>8.8235294117647065E-2</c:v>
                </c:pt>
                <c:pt idx="1">
                  <c:v>8.8235294117647065E-2</c:v>
                </c:pt>
                <c:pt idx="2">
                  <c:v>8.8235294117647065E-2</c:v>
                </c:pt>
                <c:pt idx="3">
                  <c:v>0.17647058823529413</c:v>
                </c:pt>
                <c:pt idx="4">
                  <c:v>0.23529411764705882</c:v>
                </c:pt>
                <c:pt idx="5">
                  <c:v>0.17647058823529413</c:v>
                </c:pt>
                <c:pt idx="6">
                  <c:v>0.14705882352941177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3459328"/>
        <c:axId val="193460864"/>
        <c:axId val="0"/>
      </c:bar3DChart>
      <c:catAx>
        <c:axId val="1934593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1" baseline="0"/>
            </a:pPr>
            <a:endParaRPr lang="es-MX"/>
          </a:p>
        </c:txPr>
        <c:crossAx val="193460864"/>
        <c:crosses val="autoZero"/>
        <c:auto val="1"/>
        <c:lblAlgn val="ctr"/>
        <c:lblOffset val="100"/>
        <c:noMultiLvlLbl val="0"/>
      </c:catAx>
      <c:valAx>
        <c:axId val="193460864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345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0800348374812543E-3"/>
          <c:y val="0.94684945128193665"/>
          <c:w val="0.97518356593950939"/>
          <c:h val="4.8063349301864865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ESCOLARIDAD DE LOS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5507643717237324E-2"/>
          <c:y val="0.11873736685832408"/>
          <c:w val="0.9040232784272435"/>
          <c:h val="0.691591252027803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NUEVOS'!$B$41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NUEVOS'!$A$42:$A$47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NUEVOS'!$B$42:$B$47</c:f>
              <c:numCache>
                <c:formatCode>0.0%</c:formatCode>
                <c:ptCount val="6"/>
                <c:pt idx="0">
                  <c:v>6.9306930693069313E-2</c:v>
                </c:pt>
                <c:pt idx="1">
                  <c:v>0.23762376237623761</c:v>
                </c:pt>
                <c:pt idx="2">
                  <c:v>0.3910891089108911</c:v>
                </c:pt>
                <c:pt idx="3">
                  <c:v>0.21287128712871287</c:v>
                </c:pt>
                <c:pt idx="4">
                  <c:v>7.9207920792079209E-2</c:v>
                </c:pt>
                <c:pt idx="5">
                  <c:v>9.9009900990099011E-3</c:v>
                </c:pt>
              </c:numCache>
            </c:numRef>
          </c:val>
        </c:ser>
        <c:ser>
          <c:idx val="1"/>
          <c:order val="1"/>
          <c:tx>
            <c:strRef>
              <c:f>'FORMULAS NUEVOS'!$C$41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4280408542247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5710306406685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571030640668541E-3"/>
                  <c:y val="5.17336705771861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NUEVOS'!$A$42:$A$47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NUEVOS'!$C$42:$C$47</c:f>
              <c:numCache>
                <c:formatCode>0.0%</c:formatCode>
                <c:ptCount val="6"/>
                <c:pt idx="0">
                  <c:v>1.1428571428571429E-2</c:v>
                </c:pt>
                <c:pt idx="1">
                  <c:v>0.13714285714285715</c:v>
                </c:pt>
                <c:pt idx="2">
                  <c:v>0.18857142857142858</c:v>
                </c:pt>
                <c:pt idx="3">
                  <c:v>0.33142857142857141</c:v>
                </c:pt>
                <c:pt idx="4">
                  <c:v>0.32571428571428573</c:v>
                </c:pt>
                <c:pt idx="5">
                  <c:v>5.7142857142857143E-3</c:v>
                </c:pt>
              </c:numCache>
            </c:numRef>
          </c:val>
        </c:ser>
        <c:ser>
          <c:idx val="2"/>
          <c:order val="2"/>
          <c:tx>
            <c:strRef>
              <c:f>'FORMULAS NUEVOS'!$D$41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5710306406685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7.4280408542247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2850510677808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5.571030640668591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NUEVOS'!$A$42:$A$47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NUEVOS'!$D$42:$D$47</c:f>
              <c:numCache>
                <c:formatCode>0.0%</c:formatCode>
                <c:ptCount val="6"/>
                <c:pt idx="0">
                  <c:v>0</c:v>
                </c:pt>
                <c:pt idx="1">
                  <c:v>5.8823529411764705E-2</c:v>
                </c:pt>
                <c:pt idx="2">
                  <c:v>0.14705882352941177</c:v>
                </c:pt>
                <c:pt idx="3">
                  <c:v>0.26470588235294118</c:v>
                </c:pt>
                <c:pt idx="4">
                  <c:v>0.47058823529411764</c:v>
                </c:pt>
                <c:pt idx="5">
                  <c:v>5.8823529411764705E-2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3492864"/>
        <c:axId val="193494400"/>
        <c:axId val="0"/>
      </c:bar3DChart>
      <c:catAx>
        <c:axId val="1934928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3494400"/>
        <c:crosses val="autoZero"/>
        <c:auto val="1"/>
        <c:lblAlgn val="ctr"/>
        <c:lblOffset val="100"/>
        <c:noMultiLvlLbl val="0"/>
      </c:catAx>
      <c:valAx>
        <c:axId val="193494400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3492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9888506276548332E-2"/>
          <c:y val="0.92994876418794659"/>
          <c:w val="0.96940129698272393"/>
          <c:h val="5.8940403678384247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CURSOS QUE HA TOMADO EL PROPIETARIO Y/O</a:t>
            </a:r>
            <a:r>
              <a:rPr lang="es-MX" sz="1400" baseline="0"/>
              <a:t> SU PERSONAL</a:t>
            </a:r>
            <a:endParaRPr lang="es-MX" sz="14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675998833479143E-2"/>
          <c:y val="0.11945456183902597"/>
          <c:w val="0.88709696704578589"/>
          <c:h val="0.544341802861327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NUEVOS'!$B$51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NUEVOS'!$A$52:$A$59</c:f>
              <c:strCache>
                <c:ptCount val="8"/>
                <c:pt idx="0">
                  <c:v>Manejo eficiente</c:v>
                </c:pt>
                <c:pt idx="1">
                  <c:v>Administrativos y/o contables</c:v>
                </c:pt>
                <c:pt idx="2">
                  <c:v>Legales Básicos</c:v>
                </c:pt>
                <c:pt idx="3">
                  <c:v>Fiscales</c:v>
                </c:pt>
                <c:pt idx="4">
                  <c:v>Mecánica</c:v>
                </c:pt>
                <c:pt idx="5">
                  <c:v>Financieros</c:v>
                </c:pt>
                <c:pt idx="6">
                  <c:v>Ninguno</c:v>
                </c:pt>
                <c:pt idx="7">
                  <c:v>Otros</c:v>
                </c:pt>
              </c:strCache>
            </c:strRef>
          </c:cat>
          <c:val>
            <c:numRef>
              <c:f>'FORMULAS NUEVOS'!$B$52:$B$59</c:f>
              <c:numCache>
                <c:formatCode>General</c:formatCode>
                <c:ptCount val="8"/>
                <c:pt idx="0">
                  <c:v>34</c:v>
                </c:pt>
                <c:pt idx="1">
                  <c:v>28</c:v>
                </c:pt>
                <c:pt idx="2">
                  <c:v>9</c:v>
                </c:pt>
                <c:pt idx="3">
                  <c:v>4</c:v>
                </c:pt>
                <c:pt idx="4">
                  <c:v>63</c:v>
                </c:pt>
                <c:pt idx="5">
                  <c:v>4</c:v>
                </c:pt>
                <c:pt idx="6">
                  <c:v>112</c:v>
                </c:pt>
                <c:pt idx="7">
                  <c:v>5</c:v>
                </c:pt>
              </c:numCache>
            </c:numRef>
          </c:val>
        </c:ser>
        <c:ser>
          <c:idx val="1"/>
          <c:order val="1"/>
          <c:tx>
            <c:strRef>
              <c:f>'FORMULAS NUEVOS'!$C$51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6"/>
              <c:layout>
                <c:manualLayout>
                  <c:x val="5.5555555555555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5.5555555555555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NUEVOS'!$A$52:$A$59</c:f>
              <c:strCache>
                <c:ptCount val="8"/>
                <c:pt idx="0">
                  <c:v>Manejo eficiente</c:v>
                </c:pt>
                <c:pt idx="1">
                  <c:v>Administrativos y/o contables</c:v>
                </c:pt>
                <c:pt idx="2">
                  <c:v>Legales Básicos</c:v>
                </c:pt>
                <c:pt idx="3">
                  <c:v>Fiscales</c:v>
                </c:pt>
                <c:pt idx="4">
                  <c:v>Mecánica</c:v>
                </c:pt>
                <c:pt idx="5">
                  <c:v>Financieros</c:v>
                </c:pt>
                <c:pt idx="6">
                  <c:v>Ninguno</c:v>
                </c:pt>
                <c:pt idx="7">
                  <c:v>Otros</c:v>
                </c:pt>
              </c:strCache>
            </c:strRef>
          </c:cat>
          <c:val>
            <c:numRef>
              <c:f>'FORMULAS NUEVOS'!$C$52:$C$59</c:f>
              <c:numCache>
                <c:formatCode>General</c:formatCode>
                <c:ptCount val="8"/>
                <c:pt idx="0">
                  <c:v>56</c:v>
                </c:pt>
                <c:pt idx="1">
                  <c:v>69</c:v>
                </c:pt>
                <c:pt idx="2">
                  <c:v>24</c:v>
                </c:pt>
                <c:pt idx="3">
                  <c:v>16</c:v>
                </c:pt>
                <c:pt idx="4">
                  <c:v>76</c:v>
                </c:pt>
                <c:pt idx="5">
                  <c:v>20</c:v>
                </c:pt>
                <c:pt idx="6">
                  <c:v>58</c:v>
                </c:pt>
                <c:pt idx="7">
                  <c:v>1</c:v>
                </c:pt>
              </c:numCache>
            </c:numRef>
          </c:val>
        </c:ser>
        <c:ser>
          <c:idx val="2"/>
          <c:order val="2"/>
          <c:tx>
            <c:strRef>
              <c:f>'FORMULAS NUEVOS'!$D$51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7.407407407407442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7.40740740740740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5.5555555555555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5.5555555555555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NUEVOS'!$A$52:$A$59</c:f>
              <c:strCache>
                <c:ptCount val="8"/>
                <c:pt idx="0">
                  <c:v>Manejo eficiente</c:v>
                </c:pt>
                <c:pt idx="1">
                  <c:v>Administrativos y/o contables</c:v>
                </c:pt>
                <c:pt idx="2">
                  <c:v>Legales Básicos</c:v>
                </c:pt>
                <c:pt idx="3">
                  <c:v>Fiscales</c:v>
                </c:pt>
                <c:pt idx="4">
                  <c:v>Mecánica</c:v>
                </c:pt>
                <c:pt idx="5">
                  <c:v>Financieros</c:v>
                </c:pt>
                <c:pt idx="6">
                  <c:v>Ninguno</c:v>
                </c:pt>
                <c:pt idx="7">
                  <c:v>Otros</c:v>
                </c:pt>
              </c:strCache>
            </c:strRef>
          </c:cat>
          <c:val>
            <c:numRef>
              <c:f>'FORMULAS NUEVOS'!$D$52:$D$59</c:f>
              <c:numCache>
                <c:formatCode>General</c:formatCode>
                <c:ptCount val="8"/>
                <c:pt idx="0">
                  <c:v>19</c:v>
                </c:pt>
                <c:pt idx="1">
                  <c:v>16</c:v>
                </c:pt>
                <c:pt idx="2">
                  <c:v>5</c:v>
                </c:pt>
                <c:pt idx="3">
                  <c:v>6</c:v>
                </c:pt>
                <c:pt idx="4">
                  <c:v>19</c:v>
                </c:pt>
                <c:pt idx="5">
                  <c:v>11</c:v>
                </c:pt>
                <c:pt idx="6">
                  <c:v>7</c:v>
                </c:pt>
                <c:pt idx="7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3538688"/>
        <c:axId val="193569152"/>
        <c:axId val="0"/>
      </c:bar3DChart>
      <c:catAx>
        <c:axId val="1935386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3569152"/>
        <c:crosses val="autoZero"/>
        <c:auto val="1"/>
        <c:lblAlgn val="ctr"/>
        <c:lblOffset val="100"/>
        <c:noMultiLvlLbl val="0"/>
      </c:catAx>
      <c:valAx>
        <c:axId val="193569152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3538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366185476815394"/>
          <c:y val="0.92964381801424945"/>
          <c:w val="0.69633814523184556"/>
          <c:h val="5.2849264199611334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CURSOS QUE LES PODRÍAN INTERESAR A LOS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5402637142230902E-2"/>
          <c:y val="0.10363640711909675"/>
          <c:w val="0.89488461225084792"/>
          <c:h val="0.5975740464570717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NUEVOS'!$B$62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NUEVOS'!$A$63:$A$70</c:f>
              <c:strCache>
                <c:ptCount val="8"/>
                <c:pt idx="0">
                  <c:v>Manejo eficiente</c:v>
                </c:pt>
                <c:pt idx="1">
                  <c:v>Administrativos y/o contables</c:v>
                </c:pt>
                <c:pt idx="2">
                  <c:v>Legales Básicos</c:v>
                </c:pt>
                <c:pt idx="3">
                  <c:v>Fiscales</c:v>
                </c:pt>
                <c:pt idx="4">
                  <c:v>Mecánica</c:v>
                </c:pt>
                <c:pt idx="5">
                  <c:v>Financieros</c:v>
                </c:pt>
                <c:pt idx="6">
                  <c:v>No le interesan</c:v>
                </c:pt>
                <c:pt idx="7">
                  <c:v>Otros</c:v>
                </c:pt>
              </c:strCache>
            </c:strRef>
          </c:cat>
          <c:val>
            <c:numRef>
              <c:f>'FORMULAS NUEVOS'!#REF!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'FORMULAS NUEVOS'!$C$62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5.56328314891755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5.56328314891755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NUEVOS'!$A$63:$A$70</c:f>
              <c:strCache>
                <c:ptCount val="8"/>
                <c:pt idx="0">
                  <c:v>Manejo eficiente</c:v>
                </c:pt>
                <c:pt idx="1">
                  <c:v>Administrativos y/o contables</c:v>
                </c:pt>
                <c:pt idx="2">
                  <c:v>Legales Básicos</c:v>
                </c:pt>
                <c:pt idx="3">
                  <c:v>Fiscales</c:v>
                </c:pt>
                <c:pt idx="4">
                  <c:v>Mecánica</c:v>
                </c:pt>
                <c:pt idx="5">
                  <c:v>Financieros</c:v>
                </c:pt>
                <c:pt idx="6">
                  <c:v>No le interesan</c:v>
                </c:pt>
                <c:pt idx="7">
                  <c:v>Otros</c:v>
                </c:pt>
              </c:strCache>
            </c:strRef>
          </c:cat>
          <c:val>
            <c:numRef>
              <c:f>'FORMULAS NUEVOS'!#REF!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'FORMULAS NUEVOS'!$D$62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5.563283148917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56328314891755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3.70885543261170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NUEVOS'!$A$63:$A$70</c:f>
              <c:strCache>
                <c:ptCount val="8"/>
                <c:pt idx="0">
                  <c:v>Manejo eficiente</c:v>
                </c:pt>
                <c:pt idx="1">
                  <c:v>Administrativos y/o contables</c:v>
                </c:pt>
                <c:pt idx="2">
                  <c:v>Legales Básicos</c:v>
                </c:pt>
                <c:pt idx="3">
                  <c:v>Fiscales</c:v>
                </c:pt>
                <c:pt idx="4">
                  <c:v>Mecánica</c:v>
                </c:pt>
                <c:pt idx="5">
                  <c:v>Financieros</c:v>
                </c:pt>
                <c:pt idx="6">
                  <c:v>No le interesan</c:v>
                </c:pt>
                <c:pt idx="7">
                  <c:v>Otros</c:v>
                </c:pt>
              </c:strCache>
            </c:strRef>
          </c:cat>
          <c:val>
            <c:numRef>
              <c:f>'FORMULAS NUEVOS'!#REF!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3731968"/>
        <c:axId val="193766528"/>
        <c:axId val="0"/>
      </c:bar3DChart>
      <c:catAx>
        <c:axId val="1937319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3766528"/>
        <c:crosses val="autoZero"/>
        <c:auto val="1"/>
        <c:lblAlgn val="ctr"/>
        <c:lblOffset val="100"/>
        <c:noMultiLvlLbl val="0"/>
      </c:catAx>
      <c:valAx>
        <c:axId val="193766528"/>
        <c:scaling>
          <c:orientation val="minMax"/>
          <c:max val="0.25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3731968"/>
        <c:crosses val="autoZero"/>
        <c:crossBetween val="between"/>
        <c:majorUnit val="5.0000000000000024E-2"/>
        <c:minorUnit val="1.0000000000000005E-2"/>
      </c:valAx>
    </c:plotArea>
    <c:legend>
      <c:legendPos val="r"/>
      <c:layout>
        <c:manualLayout>
          <c:xMode val="edge"/>
          <c:yMode val="edge"/>
          <c:x val="0.26860436354142542"/>
          <c:y val="0.93291701342318312"/>
          <c:w val="0.69245265441615167"/>
          <c:h val="5.0849845086779005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MX" sz="1200"/>
              <a:t>EXPERIENCIA DE LOS PROPIETARIOS MANEJANDO</a:t>
            </a:r>
            <a:r>
              <a:rPr lang="es-MX" sz="1200" baseline="0"/>
              <a:t> TRANSPORTE DE CARGA</a:t>
            </a:r>
          </a:p>
          <a:p>
            <a:pPr>
              <a:defRPr sz="1100"/>
            </a:pPr>
            <a:r>
              <a:rPr lang="es-MX" sz="1100" baseline="0"/>
              <a:t>[AÑOS]</a:t>
            </a:r>
            <a:endParaRPr lang="es-MX" sz="11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5193464894558318E-2"/>
          <c:y val="0.14445841587655944"/>
          <c:w val="0.8907704012726565"/>
          <c:h val="0.7327923017530946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NUEVOS'!$B$75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NUEVOS'!$A$76:$A$82</c:f>
              <c:strCache>
                <c:ptCount val="7"/>
                <c:pt idx="0">
                  <c:v>0 A 5</c:v>
                </c:pt>
                <c:pt idx="1">
                  <c:v>6 A 10</c:v>
                </c:pt>
                <c:pt idx="2">
                  <c:v>11 A 15</c:v>
                </c:pt>
                <c:pt idx="3">
                  <c:v>16 A 20</c:v>
                </c:pt>
                <c:pt idx="4">
                  <c:v>21 A 25</c:v>
                </c:pt>
                <c:pt idx="5">
                  <c:v>26 A 30</c:v>
                </c:pt>
                <c:pt idx="6">
                  <c:v>&gt;30</c:v>
                </c:pt>
              </c:strCache>
            </c:strRef>
          </c:cat>
          <c:val>
            <c:numRef>
              <c:f>'FORMULAS NUEVOS'!$B$76:$B$82</c:f>
              <c:numCache>
                <c:formatCode>0.0%</c:formatCode>
                <c:ptCount val="7"/>
                <c:pt idx="0">
                  <c:v>9.9009900990099015E-2</c:v>
                </c:pt>
                <c:pt idx="1">
                  <c:v>0.14356435643564355</c:v>
                </c:pt>
                <c:pt idx="2">
                  <c:v>7.4257425742574254E-2</c:v>
                </c:pt>
                <c:pt idx="3">
                  <c:v>0.19801980198019803</c:v>
                </c:pt>
                <c:pt idx="4">
                  <c:v>8.9108910891089105E-2</c:v>
                </c:pt>
                <c:pt idx="5">
                  <c:v>0.20297029702970298</c:v>
                </c:pt>
                <c:pt idx="6">
                  <c:v>0.19306930693069307</c:v>
                </c:pt>
              </c:numCache>
            </c:numRef>
          </c:val>
        </c:ser>
        <c:ser>
          <c:idx val="1"/>
          <c:order val="1"/>
          <c:tx>
            <c:strRef>
              <c:f>'FORMULAS NUEVOS'!$C$75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5"/>
              <c:layout>
                <c:manualLayout>
                  <c:x val="5.5478502080443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5.5478502080443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NUEVOS'!$A$76:$A$82</c:f>
              <c:strCache>
                <c:ptCount val="7"/>
                <c:pt idx="0">
                  <c:v>0 A 5</c:v>
                </c:pt>
                <c:pt idx="1">
                  <c:v>6 A 10</c:v>
                </c:pt>
                <c:pt idx="2">
                  <c:v>11 A 15</c:v>
                </c:pt>
                <c:pt idx="3">
                  <c:v>16 A 20</c:v>
                </c:pt>
                <c:pt idx="4">
                  <c:v>21 A 25</c:v>
                </c:pt>
                <c:pt idx="5">
                  <c:v>26 A 30</c:v>
                </c:pt>
                <c:pt idx="6">
                  <c:v>&gt;30</c:v>
                </c:pt>
              </c:strCache>
            </c:strRef>
          </c:cat>
          <c:val>
            <c:numRef>
              <c:f>'FORMULAS NUEVOS'!$C$76:$C$82</c:f>
              <c:numCache>
                <c:formatCode>0.0%</c:formatCode>
                <c:ptCount val="7"/>
                <c:pt idx="0">
                  <c:v>0.26857142857142857</c:v>
                </c:pt>
                <c:pt idx="1">
                  <c:v>0.11428571428571428</c:v>
                </c:pt>
                <c:pt idx="2">
                  <c:v>0.14857142857142858</c:v>
                </c:pt>
                <c:pt idx="3">
                  <c:v>0.1657142857142857</c:v>
                </c:pt>
                <c:pt idx="4">
                  <c:v>9.1428571428571428E-2</c:v>
                </c:pt>
                <c:pt idx="5">
                  <c:v>0.12</c:v>
                </c:pt>
                <c:pt idx="6">
                  <c:v>9.1428571428571428E-2</c:v>
                </c:pt>
              </c:numCache>
            </c:numRef>
          </c:val>
        </c:ser>
        <c:ser>
          <c:idx val="2"/>
          <c:order val="2"/>
          <c:tx>
            <c:strRef>
              <c:f>'FORMULAS NUEVOS'!$D$75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NUEVOS'!$A$76:$A$82</c:f>
              <c:strCache>
                <c:ptCount val="7"/>
                <c:pt idx="0">
                  <c:v>0 A 5</c:v>
                </c:pt>
                <c:pt idx="1">
                  <c:v>6 A 10</c:v>
                </c:pt>
                <c:pt idx="2">
                  <c:v>11 A 15</c:v>
                </c:pt>
                <c:pt idx="3">
                  <c:v>16 A 20</c:v>
                </c:pt>
                <c:pt idx="4">
                  <c:v>21 A 25</c:v>
                </c:pt>
                <c:pt idx="5">
                  <c:v>26 A 30</c:v>
                </c:pt>
                <c:pt idx="6">
                  <c:v>&gt;30</c:v>
                </c:pt>
              </c:strCache>
            </c:strRef>
          </c:cat>
          <c:val>
            <c:numRef>
              <c:f>'FORMULAS NUEVOS'!$D$76:$D$82</c:f>
              <c:numCache>
                <c:formatCode>0.0%</c:formatCode>
                <c:ptCount val="7"/>
                <c:pt idx="0">
                  <c:v>0.17647058823529413</c:v>
                </c:pt>
                <c:pt idx="1">
                  <c:v>2.9411764705882353E-2</c:v>
                </c:pt>
                <c:pt idx="2">
                  <c:v>0.17647058823529413</c:v>
                </c:pt>
                <c:pt idx="3">
                  <c:v>8.8235294117647065E-2</c:v>
                </c:pt>
                <c:pt idx="4">
                  <c:v>0.11764705882352941</c:v>
                </c:pt>
                <c:pt idx="5">
                  <c:v>0.20588235294117646</c:v>
                </c:pt>
                <c:pt idx="6">
                  <c:v>0.20588235294117646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3802624"/>
        <c:axId val="193804160"/>
        <c:axId val="0"/>
      </c:bar3DChart>
      <c:catAx>
        <c:axId val="1938026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3804160"/>
        <c:crosses val="autoZero"/>
        <c:auto val="1"/>
        <c:lblAlgn val="ctr"/>
        <c:lblOffset val="100"/>
        <c:noMultiLvlLbl val="0"/>
      </c:catAx>
      <c:valAx>
        <c:axId val="193804160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3802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48820353766459"/>
          <c:y val="0.94652208245670577"/>
          <c:w val="0.84402226420726456"/>
          <c:h val="4.5276874607944807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EXPERIENCIA DE LOS CONDUCTORES MANEJANDO TRANSPORTE DE CARGA </a:t>
            </a:r>
            <a:r>
              <a:rPr lang="en-US" sz="1000"/>
              <a:t>[AÑOS]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NUEVOS'!$A$86</c:f>
              <c:strCache>
                <c:ptCount val="1"/>
                <c:pt idx="0">
                  <c:v>EXPERIENCIA DE LOS CONDUCTORES MANEJANDO TRANSPORTE DE CARGA [AÑOS]</c:v>
                </c:pt>
              </c:strCache>
            </c:strRef>
          </c:tx>
          <c:explosion val="25"/>
          <c:dLbls>
            <c:dLbl>
              <c:idx val="0"/>
              <c:spPr/>
              <c:txPr>
                <a:bodyPr/>
                <a:lstStyle/>
                <a:p>
                  <a:pPr>
                    <a:defRPr sz="11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1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1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1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NUEVOS'!$A$87:$A$93</c:f>
              <c:strCache>
                <c:ptCount val="7"/>
                <c:pt idx="0">
                  <c:v>0 A 5</c:v>
                </c:pt>
                <c:pt idx="1">
                  <c:v>6 A 10</c:v>
                </c:pt>
                <c:pt idx="2">
                  <c:v>11 A 15</c:v>
                </c:pt>
                <c:pt idx="3">
                  <c:v>16 A 20</c:v>
                </c:pt>
                <c:pt idx="4">
                  <c:v>21 A 25</c:v>
                </c:pt>
                <c:pt idx="5">
                  <c:v>26 A 30</c:v>
                </c:pt>
                <c:pt idx="6">
                  <c:v>&gt;30</c:v>
                </c:pt>
              </c:strCache>
            </c:strRef>
          </c:cat>
          <c:val>
            <c:numRef>
              <c:f>'FORMULAS NUEVOS'!$B$87:$B$93</c:f>
              <c:numCache>
                <c:formatCode>0.0%</c:formatCode>
                <c:ptCount val="7"/>
                <c:pt idx="0">
                  <c:v>0.16186252771618626</c:v>
                </c:pt>
                <c:pt idx="1">
                  <c:v>0.18181818181818182</c:v>
                </c:pt>
                <c:pt idx="2">
                  <c:v>0.16629711751662971</c:v>
                </c:pt>
                <c:pt idx="3">
                  <c:v>0.19733924611973391</c:v>
                </c:pt>
                <c:pt idx="4">
                  <c:v>0.11973392461197339</c:v>
                </c:pt>
                <c:pt idx="5">
                  <c:v>8.6474501108647447E-2</c:v>
                </c:pt>
                <c:pt idx="6">
                  <c:v>8.6474501108647447E-2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93285214348212"/>
          <c:y val="0.25187779928464676"/>
          <c:w val="0.86754068241471083"/>
          <c:h val="0.548051290724697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FORMULAS!$P$12</c:f>
              <c:strCache>
                <c:ptCount val="1"/>
                <c:pt idx="0">
                  <c:v>TIEMPO</c:v>
                </c:pt>
              </c:strCache>
            </c:strRef>
          </c:tx>
          <c:dLbls>
            <c:dLbl>
              <c:idx val="0"/>
              <c:layout>
                <c:manualLayout>
                  <c:x val="-1.2422360248447253E-2"/>
                  <c:y val="-2.8639618138424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4782608695652126E-2"/>
                  <c:y val="4.7732696897375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9689440993788823E-2"/>
                  <c:y val="4.773269689737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422360248447253E-2"/>
                  <c:y val="3.1821797931583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multiLvlStrRef>
              <c:f>FORMULAS!$N$13:$O$16</c:f>
              <c:multiLvlStrCache>
                <c:ptCount val="4"/>
                <c:lvl>
                  <c:pt idx="0">
                    <c:v>MAYOR IMPORTANCIA</c:v>
                  </c:pt>
                  <c:pt idx="1">
                    <c:v>IMPORTANCIA INTERMEDIA</c:v>
                  </c:pt>
                  <c:pt idx="2">
                    <c:v>POCO IMPORTANTE</c:v>
                  </c:pt>
                  <c:pt idx="3">
                    <c:v>MENOR IMPORTANCIA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xVal>
          <c:yVal>
            <c:numRef>
              <c:f>FORMULAS!$P$13:$P$16</c:f>
              <c:numCache>
                <c:formatCode>General</c:formatCode>
                <c:ptCount val="4"/>
                <c:pt idx="0">
                  <c:v>165</c:v>
                </c:pt>
                <c:pt idx="1">
                  <c:v>122</c:v>
                </c:pt>
                <c:pt idx="2">
                  <c:v>104</c:v>
                </c:pt>
                <c:pt idx="3">
                  <c:v>19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FORMULAS!$Q$12</c:f>
              <c:strCache>
                <c:ptCount val="1"/>
                <c:pt idx="0">
                  <c:v>CUOTA</c:v>
                </c:pt>
              </c:strCache>
            </c:strRef>
          </c:tx>
          <c:dLbls>
            <c:dLbl>
              <c:idx val="0"/>
              <c:layout>
                <c:manualLayout>
                  <c:x val="-1.2422360248447272E-2"/>
                  <c:y val="4.7732696897375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9689440993788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5457438345266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multiLvlStrRef>
              <c:f>FORMULAS!$N$13:$O$16</c:f>
              <c:multiLvlStrCache>
                <c:ptCount val="4"/>
                <c:lvl>
                  <c:pt idx="0">
                    <c:v>MAYOR IMPORTANCIA</c:v>
                  </c:pt>
                  <c:pt idx="1">
                    <c:v>IMPORTANCIA INTERMEDIA</c:v>
                  </c:pt>
                  <c:pt idx="2">
                    <c:v>POCO IMPORTANTE</c:v>
                  </c:pt>
                  <c:pt idx="3">
                    <c:v>MENOR IMPORTANCIA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xVal>
          <c:yVal>
            <c:numRef>
              <c:f>FORMULAS!$Q$13:$Q$16</c:f>
              <c:numCache>
                <c:formatCode>General</c:formatCode>
                <c:ptCount val="4"/>
                <c:pt idx="0">
                  <c:v>69</c:v>
                </c:pt>
                <c:pt idx="1">
                  <c:v>135</c:v>
                </c:pt>
                <c:pt idx="2">
                  <c:v>182</c:v>
                </c:pt>
                <c:pt idx="3">
                  <c:v>24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FORMULAS!$R$12</c:f>
              <c:strCache>
                <c:ptCount val="1"/>
                <c:pt idx="0">
                  <c:v>DISTANCIA</c:v>
                </c:pt>
              </c:strCache>
            </c:strRef>
          </c:tx>
          <c:dLbls>
            <c:dLbl>
              <c:idx val="1"/>
              <c:layout>
                <c:manualLayout>
                  <c:x val="-4.2236024844720783E-2"/>
                  <c:y val="-3.818615751789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9875776397515615E-2"/>
                  <c:y val="-2.8639618138424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4534161490683419E-3"/>
                  <c:y val="-5.4097056483691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multiLvlStrRef>
              <c:f>FORMULAS!$N$13:$O$16</c:f>
              <c:multiLvlStrCache>
                <c:ptCount val="4"/>
                <c:lvl>
                  <c:pt idx="0">
                    <c:v>MAYOR IMPORTANCIA</c:v>
                  </c:pt>
                  <c:pt idx="1">
                    <c:v>IMPORTANCIA INTERMEDIA</c:v>
                  </c:pt>
                  <c:pt idx="2">
                    <c:v>POCO IMPORTANTE</c:v>
                  </c:pt>
                  <c:pt idx="3">
                    <c:v>MENOR IMPORTANCIA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xVal>
          <c:yVal>
            <c:numRef>
              <c:f>FORMULAS!$R$13:$R$16</c:f>
              <c:numCache>
                <c:formatCode>General</c:formatCode>
                <c:ptCount val="4"/>
                <c:pt idx="0">
                  <c:v>103</c:v>
                </c:pt>
                <c:pt idx="1">
                  <c:v>153</c:v>
                </c:pt>
                <c:pt idx="2">
                  <c:v>124</c:v>
                </c:pt>
                <c:pt idx="3">
                  <c:v>28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FORMULAS!$S$12</c:f>
              <c:strCache>
                <c:ptCount val="1"/>
                <c:pt idx="0">
                  <c:v>SEGURIDAD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triangle"/>
            <c:size val="7"/>
            <c:spPr>
              <a:solidFill>
                <a:schemeClr val="tx1"/>
              </a:solidFill>
            </c:spPr>
          </c:marker>
          <c:dLbls>
            <c:dLbl>
              <c:idx val="0"/>
              <c:layout>
                <c:manualLayout>
                  <c:x val="-1.987577639751564E-2"/>
                  <c:y val="-3.5003977724741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multiLvlStrRef>
              <c:f>FORMULAS!$N$13:$O$16</c:f>
              <c:multiLvlStrCache>
                <c:ptCount val="4"/>
                <c:lvl>
                  <c:pt idx="0">
                    <c:v>MAYOR IMPORTANCIA</c:v>
                  </c:pt>
                  <c:pt idx="1">
                    <c:v>IMPORTANCIA INTERMEDIA</c:v>
                  </c:pt>
                  <c:pt idx="2">
                    <c:v>POCO IMPORTANTE</c:v>
                  </c:pt>
                  <c:pt idx="3">
                    <c:v>MENOR IMPORTANCIA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xVal>
          <c:yVal>
            <c:numRef>
              <c:f>FORMULAS!$S$13:$S$16</c:f>
              <c:numCache>
                <c:formatCode>General</c:formatCode>
                <c:ptCount val="4"/>
                <c:pt idx="0">
                  <c:v>73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378112"/>
        <c:axId val="164379648"/>
      </c:scatterChart>
      <c:valAx>
        <c:axId val="164378112"/>
        <c:scaling>
          <c:orientation val="minMax"/>
          <c:max val="4"/>
          <c:min val="1"/>
        </c:scaling>
        <c:delete val="0"/>
        <c:axPos val="b"/>
        <c:numFmt formatCode="General" sourceLinked="1"/>
        <c:majorTickMark val="out"/>
        <c:minorTickMark val="none"/>
        <c:tickLblPos val="nextTo"/>
        <c:crossAx val="164379648"/>
        <c:crosses val="autoZero"/>
        <c:crossBetween val="midCat"/>
        <c:majorUnit val="1"/>
      </c:valAx>
      <c:valAx>
        <c:axId val="164379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43781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7.6251312335957847E-2"/>
          <c:y val="0.8960271612826306"/>
          <c:w val="0.89023687664041995"/>
          <c:h val="0.103972838717356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MX" sz="1200"/>
              <a:t>PROPIETARIOS + CONDUCTORES </a:t>
            </a:r>
          </a:p>
          <a:p>
            <a:pPr>
              <a:defRPr sz="1100"/>
            </a:pPr>
            <a:r>
              <a:rPr lang="es-MX" sz="1100"/>
              <a:t>PRODUCTOS QUE TRANSPORTAN LAS UNIDADES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9073419555587232"/>
          <c:y val="0.14385704512834041"/>
          <c:w val="0.82984537000748415"/>
          <c:h val="0.72100184252397614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'FORMULAS NUEVOS'!$K$2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1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NUEVOS'!$J$3:$J$10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NUEVOS'!$K$3:$K$10</c:f>
              <c:numCache>
                <c:formatCode>0.0%</c:formatCode>
                <c:ptCount val="8"/>
                <c:pt idx="0">
                  <c:v>0.21551724137931033</c:v>
                </c:pt>
                <c:pt idx="1">
                  <c:v>0.15301724137931033</c:v>
                </c:pt>
                <c:pt idx="2">
                  <c:v>5.1724137931034482E-2</c:v>
                </c:pt>
                <c:pt idx="3">
                  <c:v>8.1896551724137928E-2</c:v>
                </c:pt>
                <c:pt idx="4">
                  <c:v>0.15086206896551724</c:v>
                </c:pt>
                <c:pt idx="5">
                  <c:v>0.1875</c:v>
                </c:pt>
                <c:pt idx="6">
                  <c:v>5.3879310344827583E-2</c:v>
                </c:pt>
                <c:pt idx="7">
                  <c:v>0.10560344827586207</c:v>
                </c:pt>
              </c:numCache>
            </c:numRef>
          </c:val>
        </c:ser>
        <c:ser>
          <c:idx val="1"/>
          <c:order val="1"/>
          <c:tx>
            <c:strRef>
              <c:f>'FORMULAS NUEVOS'!$L$2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7.346187039706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5082956259426861E-3"/>
                  <c:y val="-4.89745802647094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7.346187039706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9.79491605294190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NUEVOS'!$J$3:$J$10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NUEVOS'!$L$3:$L$10</c:f>
              <c:numCache>
                <c:formatCode>0.0%</c:formatCode>
                <c:ptCount val="8"/>
                <c:pt idx="0">
                  <c:v>0.14367816091954022</c:v>
                </c:pt>
                <c:pt idx="1">
                  <c:v>9.7701149425287362E-2</c:v>
                </c:pt>
                <c:pt idx="2">
                  <c:v>0.10775862068965517</c:v>
                </c:pt>
                <c:pt idx="3">
                  <c:v>0.10201149425287356</c:v>
                </c:pt>
                <c:pt idx="4">
                  <c:v>0.23132183908045978</c:v>
                </c:pt>
                <c:pt idx="5">
                  <c:v>0.10057471264367816</c:v>
                </c:pt>
                <c:pt idx="6">
                  <c:v>6.17816091954023E-2</c:v>
                </c:pt>
                <c:pt idx="7">
                  <c:v>0.15517241379310345</c:v>
                </c:pt>
              </c:numCache>
            </c:numRef>
          </c:val>
        </c:ser>
        <c:ser>
          <c:idx val="2"/>
          <c:order val="2"/>
          <c:tx>
            <c:strRef>
              <c:f>'FORMULAS NUEVOS'!$M$2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7.3461870397063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5303534080087677E-17"/>
                  <c:y val="-7.346187039706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9.79491605294197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NUEVOS'!$J$3:$J$10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NUEVOS'!$M$3:$M$10</c:f>
              <c:numCache>
                <c:formatCode>0.0%</c:formatCode>
                <c:ptCount val="8"/>
                <c:pt idx="0">
                  <c:v>7.7821011673151752E-2</c:v>
                </c:pt>
                <c:pt idx="1">
                  <c:v>8.9494163424124515E-2</c:v>
                </c:pt>
                <c:pt idx="2">
                  <c:v>0.12062256809338522</c:v>
                </c:pt>
                <c:pt idx="3">
                  <c:v>0.10894941634241245</c:v>
                </c:pt>
                <c:pt idx="4">
                  <c:v>0.32684824902723736</c:v>
                </c:pt>
                <c:pt idx="5">
                  <c:v>3.5019455252918288E-2</c:v>
                </c:pt>
                <c:pt idx="6">
                  <c:v>7.7821011673151752E-2</c:v>
                </c:pt>
                <c:pt idx="7">
                  <c:v>0.16342412451361868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3885312"/>
        <c:axId val="193886848"/>
        <c:axId val="0"/>
      </c:bar3DChart>
      <c:catAx>
        <c:axId val="19388531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 rot="-300000"/>
          <a:lstStyle/>
          <a:p>
            <a:pPr>
              <a:defRPr sz="1000" b="1" i="0" baseline="0"/>
            </a:pPr>
            <a:endParaRPr lang="es-MX"/>
          </a:p>
        </c:txPr>
        <c:crossAx val="193886848"/>
        <c:crosses val="autoZero"/>
        <c:auto val="1"/>
        <c:lblAlgn val="ctr"/>
        <c:lblOffset val="100"/>
        <c:noMultiLvlLbl val="0"/>
      </c:catAx>
      <c:valAx>
        <c:axId val="193886848"/>
        <c:scaling>
          <c:orientation val="minMax"/>
        </c:scaling>
        <c:delete val="0"/>
        <c:axPos val="b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3885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415616797900405"/>
          <c:y val="0.92819516703215543"/>
          <c:w val="0.72376049868766401"/>
          <c:h val="5.3067940583617051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MECANISMOS DE CONTRATACIÓN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NUEVOS'!$K$17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7.02678671959448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0898641588296802E-3"/>
                  <c:y val="-7.026786719594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NUEVOS'!$J$18:$J$19</c:f>
              <c:strCache>
                <c:ptCount val="2"/>
                <c:pt idx="0">
                  <c:v>Contrato firmado</c:v>
                </c:pt>
                <c:pt idx="1">
                  <c:v>De palabra</c:v>
                </c:pt>
              </c:strCache>
            </c:strRef>
          </c:cat>
          <c:val>
            <c:numRef>
              <c:f>'FORMULAS NUEVOS'!$K$18:$K$19</c:f>
              <c:numCache>
                <c:formatCode>0.0%</c:formatCode>
                <c:ptCount val="2"/>
                <c:pt idx="0">
                  <c:v>0.26732673267326734</c:v>
                </c:pt>
                <c:pt idx="1">
                  <c:v>0.73267326732673266</c:v>
                </c:pt>
              </c:numCache>
            </c:numRef>
          </c:val>
        </c:ser>
        <c:ser>
          <c:idx val="1"/>
          <c:order val="1"/>
          <c:tx>
            <c:strRef>
              <c:f>'FORMULAS NUEVOS'!$L$17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1.0540180079391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2695924764890314E-3"/>
                  <c:y val="-7.026786719594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 anchor="ctr" anchorCtr="0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NUEVOS'!$J$18:$J$19</c:f>
              <c:strCache>
                <c:ptCount val="2"/>
                <c:pt idx="0">
                  <c:v>Contrato firmado</c:v>
                </c:pt>
                <c:pt idx="1">
                  <c:v>De palabra</c:v>
                </c:pt>
              </c:strCache>
            </c:strRef>
          </c:cat>
          <c:val>
            <c:numRef>
              <c:f>'FORMULAS NUEVOS'!$L$18:$L$19</c:f>
              <c:numCache>
                <c:formatCode>0.0%</c:formatCode>
                <c:ptCount val="2"/>
                <c:pt idx="0">
                  <c:v>0.56424581005586594</c:v>
                </c:pt>
                <c:pt idx="1">
                  <c:v>0.43575418994413406</c:v>
                </c:pt>
              </c:numCache>
            </c:numRef>
          </c:val>
        </c:ser>
        <c:ser>
          <c:idx val="2"/>
          <c:order val="2"/>
          <c:tx>
            <c:strRef>
              <c:f>'FORMULAS NUEVOS'!$M$17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2695924764890314E-3"/>
                  <c:y val="-1.7567243444132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2539184952978056E-2"/>
                  <c:y val="-2.1080360158783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 anchor="b" anchorCtr="0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NUEVOS'!$J$18:$J$19</c:f>
              <c:strCache>
                <c:ptCount val="2"/>
                <c:pt idx="0">
                  <c:v>Contrato firmado</c:v>
                </c:pt>
                <c:pt idx="1">
                  <c:v>De palabra</c:v>
                </c:pt>
              </c:strCache>
            </c:strRef>
          </c:cat>
          <c:val>
            <c:numRef>
              <c:f>'FORMULAS NUEVOS'!$M$18:$M$19</c:f>
              <c:numCache>
                <c:formatCode>0.0%</c:formatCode>
                <c:ptCount val="2"/>
                <c:pt idx="0">
                  <c:v>0.55263157894736847</c:v>
                </c:pt>
                <c:pt idx="1">
                  <c:v>0.44736842105263158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3931136"/>
        <c:axId val="193932672"/>
        <c:axId val="0"/>
      </c:bar3DChart>
      <c:catAx>
        <c:axId val="1939311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3932672"/>
        <c:crosses val="autoZero"/>
        <c:auto val="1"/>
        <c:lblAlgn val="ctr"/>
        <c:lblOffset val="100"/>
        <c:noMultiLvlLbl val="0"/>
      </c:catAx>
      <c:valAx>
        <c:axId val="193932672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39311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MX" sz="1200"/>
              <a:t>CON QUIÉN SE CONTRATAN LOS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NUEVOS'!$K$24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 anchor="t" anchorCtr="0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NUEVOS'!$J$25:$J$28</c:f>
              <c:strCache>
                <c:ptCount val="4"/>
                <c:pt idx="0">
                  <c:v>Empresa logística</c:v>
                </c:pt>
                <c:pt idx="1">
                  <c:v>Intermediario</c:v>
                </c:pt>
                <c:pt idx="2">
                  <c:v>Embarcador</c:v>
                </c:pt>
                <c:pt idx="3">
                  <c:v>Con el Cliente</c:v>
                </c:pt>
              </c:strCache>
            </c:strRef>
          </c:cat>
          <c:val>
            <c:numRef>
              <c:f>'FORMULAS NUEVOS'!$K$25:$K$28</c:f>
              <c:numCache>
                <c:formatCode>0.0%</c:formatCode>
                <c:ptCount val="4"/>
                <c:pt idx="0">
                  <c:v>8.7866108786610872E-2</c:v>
                </c:pt>
                <c:pt idx="1">
                  <c:v>0.40167364016736401</c:v>
                </c:pt>
                <c:pt idx="2">
                  <c:v>0.17573221757322174</c:v>
                </c:pt>
                <c:pt idx="3">
                  <c:v>0.33472803347280333</c:v>
                </c:pt>
              </c:numCache>
            </c:numRef>
          </c:val>
        </c:ser>
        <c:ser>
          <c:idx val="1"/>
          <c:order val="1"/>
          <c:tx>
            <c:strRef>
              <c:f>'FORMULAS NUEVOS'!$L$24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NUEVOS'!$J$25:$J$28</c:f>
              <c:strCache>
                <c:ptCount val="4"/>
                <c:pt idx="0">
                  <c:v>Empresa logística</c:v>
                </c:pt>
                <c:pt idx="1">
                  <c:v>Intermediario</c:v>
                </c:pt>
                <c:pt idx="2">
                  <c:v>Embarcador</c:v>
                </c:pt>
                <c:pt idx="3">
                  <c:v>Con el Cliente</c:v>
                </c:pt>
              </c:strCache>
            </c:strRef>
          </c:cat>
          <c:val>
            <c:numRef>
              <c:f>'FORMULAS NUEVOS'!$L$25:$L$28</c:f>
              <c:numCache>
                <c:formatCode>0.0%</c:formatCode>
                <c:ptCount val="4"/>
                <c:pt idx="0">
                  <c:v>0.14285714285714285</c:v>
                </c:pt>
                <c:pt idx="1">
                  <c:v>0.21428571428571427</c:v>
                </c:pt>
                <c:pt idx="2">
                  <c:v>0.19047619047619047</c:v>
                </c:pt>
                <c:pt idx="3">
                  <c:v>0.45238095238095238</c:v>
                </c:pt>
              </c:numCache>
            </c:numRef>
          </c:val>
        </c:ser>
        <c:ser>
          <c:idx val="2"/>
          <c:order val="2"/>
          <c:tx>
            <c:strRef>
              <c:f>'FORMULAS NUEVOS'!$M$24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25000000000001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16666666666666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2500000000000906E-3"/>
                  <c:y val="8.0302755227018622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 anchor="b" anchorCtr="0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NUEVOS'!$J$25:$J$28</c:f>
              <c:strCache>
                <c:ptCount val="4"/>
                <c:pt idx="0">
                  <c:v>Empresa logística</c:v>
                </c:pt>
                <c:pt idx="1">
                  <c:v>Intermediario</c:v>
                </c:pt>
                <c:pt idx="2">
                  <c:v>Embarcador</c:v>
                </c:pt>
                <c:pt idx="3">
                  <c:v>Con el Cliente</c:v>
                </c:pt>
              </c:strCache>
            </c:strRef>
          </c:cat>
          <c:val>
            <c:numRef>
              <c:f>'FORMULAS NUEVOS'!$M$25:$M$28</c:f>
              <c:numCache>
                <c:formatCode>0.0%</c:formatCode>
                <c:ptCount val="4"/>
                <c:pt idx="0">
                  <c:v>0.13043478260869565</c:v>
                </c:pt>
                <c:pt idx="1">
                  <c:v>0.10869565217391304</c:v>
                </c:pt>
                <c:pt idx="2">
                  <c:v>0.30434782608695654</c:v>
                </c:pt>
                <c:pt idx="3">
                  <c:v>0.45652173913043476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4058880"/>
        <c:axId val="194068864"/>
        <c:axId val="0"/>
      </c:bar3DChart>
      <c:catAx>
        <c:axId val="1940588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068864"/>
        <c:crosses val="autoZero"/>
        <c:auto val="1"/>
        <c:lblAlgn val="ctr"/>
        <c:lblOffset val="100"/>
        <c:noMultiLvlLbl val="0"/>
      </c:catAx>
      <c:valAx>
        <c:axId val="194068864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0588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CANTIDAD DE CLIENTES REGULARES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672537428148814E-2"/>
          <c:y val="0.12506940651045692"/>
          <c:w val="0.89805103801277175"/>
          <c:h val="0.716707315426343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NUEVOS'!$K$32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-3.71402042711239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5710306406685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NUEVOS'!$J$33:$J$44</c:f>
              <c:strCach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&gt;10</c:v>
                </c:pt>
              </c:strCache>
            </c:strRef>
          </c:cat>
          <c:val>
            <c:numRef>
              <c:f>'FORMULAS NUEVOS'!$K$33:$K$44</c:f>
              <c:numCache>
                <c:formatCode>0.0%</c:formatCode>
                <c:ptCount val="12"/>
                <c:pt idx="0">
                  <c:v>0.21717171717171718</c:v>
                </c:pt>
                <c:pt idx="1">
                  <c:v>0.16666666666666666</c:v>
                </c:pt>
                <c:pt idx="2">
                  <c:v>0.10606060606060606</c:v>
                </c:pt>
                <c:pt idx="3">
                  <c:v>0.13636363636363635</c:v>
                </c:pt>
                <c:pt idx="4">
                  <c:v>7.575757575757576E-2</c:v>
                </c:pt>
                <c:pt idx="5">
                  <c:v>6.5656565656565663E-2</c:v>
                </c:pt>
                <c:pt idx="6">
                  <c:v>3.0303030303030304E-2</c:v>
                </c:pt>
                <c:pt idx="7">
                  <c:v>3.0303030303030304E-2</c:v>
                </c:pt>
                <c:pt idx="8">
                  <c:v>6.0606060606060608E-2</c:v>
                </c:pt>
                <c:pt idx="9">
                  <c:v>2.0202020202020204E-2</c:v>
                </c:pt>
                <c:pt idx="10">
                  <c:v>8.0808080808080815E-2</c:v>
                </c:pt>
                <c:pt idx="11">
                  <c:v>1.0101010101010102E-2</c:v>
                </c:pt>
              </c:numCache>
            </c:numRef>
          </c:val>
        </c:ser>
        <c:ser>
          <c:idx val="1"/>
          <c:order val="1"/>
          <c:tx>
            <c:strRef>
              <c:f>'FORMULAS NUEVOS'!$L$32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5710306406685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3.71402042711236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3.71402042711236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NUEVOS'!$J$33:$J$44</c:f>
              <c:strCach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&gt;10</c:v>
                </c:pt>
              </c:strCache>
            </c:strRef>
          </c:cat>
          <c:val>
            <c:numRef>
              <c:f>'FORMULAS NUEVOS'!$L$33:$L$44</c:f>
              <c:numCache>
                <c:formatCode>0.0%</c:formatCode>
                <c:ptCount val="12"/>
                <c:pt idx="0">
                  <c:v>3.4682080924855488E-2</c:v>
                </c:pt>
                <c:pt idx="1">
                  <c:v>0.17341040462427745</c:v>
                </c:pt>
                <c:pt idx="2">
                  <c:v>9.8265895953757232E-2</c:v>
                </c:pt>
                <c:pt idx="3">
                  <c:v>0.13872832369942195</c:v>
                </c:pt>
                <c:pt idx="4">
                  <c:v>0.10982658959537572</c:v>
                </c:pt>
                <c:pt idx="5">
                  <c:v>0.12716763005780346</c:v>
                </c:pt>
                <c:pt idx="6">
                  <c:v>9.8265895953757232E-2</c:v>
                </c:pt>
                <c:pt idx="7">
                  <c:v>2.8901734104046242E-2</c:v>
                </c:pt>
                <c:pt idx="8">
                  <c:v>3.4682080924855488E-2</c:v>
                </c:pt>
                <c:pt idx="9">
                  <c:v>5.7803468208092483E-3</c:v>
                </c:pt>
                <c:pt idx="10">
                  <c:v>0.13872832369942195</c:v>
                </c:pt>
                <c:pt idx="11">
                  <c:v>1.1560693641618497E-2</c:v>
                </c:pt>
              </c:numCache>
            </c:numRef>
          </c:val>
        </c:ser>
        <c:ser>
          <c:idx val="2"/>
          <c:order val="2"/>
          <c:tx>
            <c:strRef>
              <c:f>'FORMULAS NUEVOS'!$M$32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5710306406685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571030640668541E-3"/>
                  <c:y val="-3.36275701591590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5710306406685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3.71402042711236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3.71402042711236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5.5710306406685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3.71402042711236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7.4280408542247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NUEVOS'!$J$33:$J$44</c:f>
              <c:strCach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&gt;10</c:v>
                </c:pt>
              </c:strCache>
            </c:strRef>
          </c:cat>
          <c:val>
            <c:numRef>
              <c:f>'FORMULAS NUEVOS'!$M$33:$M$44</c:f>
              <c:numCache>
                <c:formatCode>0.0%</c:formatCode>
                <c:ptCount val="12"/>
                <c:pt idx="0">
                  <c:v>0</c:v>
                </c:pt>
                <c:pt idx="1">
                  <c:v>5.8823529411764705E-2</c:v>
                </c:pt>
                <c:pt idx="2">
                  <c:v>8.8235294117647065E-2</c:v>
                </c:pt>
                <c:pt idx="3">
                  <c:v>0.17647058823529413</c:v>
                </c:pt>
                <c:pt idx="4">
                  <c:v>8.8235294117647065E-2</c:v>
                </c:pt>
                <c:pt idx="5">
                  <c:v>0.11764705882352941</c:v>
                </c:pt>
                <c:pt idx="6">
                  <c:v>0.26470588235294118</c:v>
                </c:pt>
                <c:pt idx="7">
                  <c:v>8.8235294117647065E-2</c:v>
                </c:pt>
                <c:pt idx="8">
                  <c:v>2.9411764705882353E-2</c:v>
                </c:pt>
                <c:pt idx="9">
                  <c:v>0</c:v>
                </c:pt>
                <c:pt idx="10">
                  <c:v>2.9411764705882353E-2</c:v>
                </c:pt>
                <c:pt idx="11">
                  <c:v>5.8823529411764705E-2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4121088"/>
        <c:axId val="194135168"/>
        <c:axId val="0"/>
      </c:bar3DChart>
      <c:catAx>
        <c:axId val="1941210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135168"/>
        <c:crosses val="autoZero"/>
        <c:auto val="1"/>
        <c:lblAlgn val="ctr"/>
        <c:lblOffset val="100"/>
        <c:noMultiLvlLbl val="0"/>
      </c:catAx>
      <c:valAx>
        <c:axId val="194135168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121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0067292990245392E-2"/>
          <c:y val="0.93413682925905739"/>
          <c:w val="0.95539480462138693"/>
          <c:h val="6.0149661222089458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MX" sz="1200"/>
              <a:t>CANTIDAD DE VIAJES CON CLIENTES REGULARES (DE CADA 10 VIAJES)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4186789151356324E-2"/>
          <c:y val="0.13797984063677421"/>
          <c:w val="0.6346099445902611"/>
          <c:h val="0.7361641216876703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NUEVOS'!$K$48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8518518518518573E-3"/>
                  <c:y val="-3.8907589878653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5555555555555558E-3"/>
                  <c:y val="-1.1971566116508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NUEVOS'!$J$49:$J$50</c:f>
              <c:strCache>
                <c:ptCount val="2"/>
                <c:pt idx="0">
                  <c:v>0 a 5 Viajes</c:v>
                </c:pt>
                <c:pt idx="1">
                  <c:v>6 a 10 Viajes</c:v>
                </c:pt>
              </c:strCache>
            </c:strRef>
          </c:cat>
          <c:val>
            <c:numRef>
              <c:f>'FORMULAS NUEVOS'!$K$49:$K$50</c:f>
              <c:numCache>
                <c:formatCode>0.0%</c:formatCode>
                <c:ptCount val="2"/>
                <c:pt idx="0">
                  <c:v>0.37623762376237624</c:v>
                </c:pt>
                <c:pt idx="1">
                  <c:v>0.62376237623762376</c:v>
                </c:pt>
              </c:numCache>
            </c:numRef>
          </c:val>
        </c:ser>
        <c:ser>
          <c:idx val="1"/>
          <c:order val="1"/>
          <c:tx>
            <c:strRef>
              <c:f>'FORMULAS NUEVOS'!$L$48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5555555555555558E-3"/>
                  <c:y val="-2.095024070389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7900450176107524E-17"/>
                  <c:y val="0.19453794939326791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5.5555555555555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3.70370370370364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3.70370370370371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NUEVOS'!$J$49:$J$50</c:f>
              <c:strCache>
                <c:ptCount val="2"/>
                <c:pt idx="0">
                  <c:v>0 a 5 Viajes</c:v>
                </c:pt>
                <c:pt idx="1">
                  <c:v>6 a 10 Viajes</c:v>
                </c:pt>
              </c:strCache>
            </c:strRef>
          </c:cat>
          <c:val>
            <c:numRef>
              <c:f>'FORMULAS NUEVOS'!$L$49:$L$50</c:f>
              <c:numCache>
                <c:formatCode>0.0%</c:formatCode>
                <c:ptCount val="2"/>
                <c:pt idx="0">
                  <c:v>0.18857142857142858</c:v>
                </c:pt>
                <c:pt idx="1">
                  <c:v>0.81142857142857139</c:v>
                </c:pt>
              </c:numCache>
            </c:numRef>
          </c:val>
        </c:ser>
        <c:ser>
          <c:idx val="2"/>
          <c:order val="2"/>
          <c:tx>
            <c:strRef>
              <c:f>'FORMULAS NUEVOS'!$M$48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4072615923009575E-3"/>
                  <c:y val="-2.6936023762144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0.18256638327675945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5.5555555555555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5.55555555555562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3.70370370370364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7.4074074074074094E-3"/>
                  <c:y val="8.9786745873816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NUEVOS'!$J$49:$J$50</c:f>
              <c:strCache>
                <c:ptCount val="2"/>
                <c:pt idx="0">
                  <c:v>0 a 5 Viajes</c:v>
                </c:pt>
                <c:pt idx="1">
                  <c:v>6 a 10 Viajes</c:v>
                </c:pt>
              </c:strCache>
            </c:strRef>
          </c:cat>
          <c:val>
            <c:numRef>
              <c:f>'FORMULAS NUEVOS'!$M$49:$M$50</c:f>
              <c:numCache>
                <c:formatCode>0.0%</c:formatCode>
                <c:ptCount val="2"/>
                <c:pt idx="0">
                  <c:v>0.17647058823529413</c:v>
                </c:pt>
                <c:pt idx="1">
                  <c:v>0.82352941176470584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4196608"/>
        <c:axId val="194198144"/>
        <c:axId val="0"/>
      </c:bar3DChart>
      <c:catAx>
        <c:axId val="19419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198144"/>
        <c:crosses val="autoZero"/>
        <c:auto val="1"/>
        <c:lblAlgn val="ctr"/>
        <c:lblOffset val="100"/>
        <c:noMultiLvlLbl val="0"/>
      </c:catAx>
      <c:valAx>
        <c:axId val="19419814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196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435228929717124"/>
          <c:y val="0.43079115084456104"/>
          <c:w val="0.24379585885097751"/>
          <c:h val="0.19528240170354438"/>
        </c:manualLayout>
      </c:layout>
      <c:overlay val="0"/>
      <c:txPr>
        <a:bodyPr/>
        <a:lstStyle/>
        <a:p>
          <a:pPr>
            <a:defRPr sz="10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 + CONDUCTORES</a:t>
            </a:r>
          </a:p>
          <a:p>
            <a:pPr>
              <a:defRPr sz="1400"/>
            </a:pPr>
            <a:r>
              <a:rPr lang="es-MX" sz="1200"/>
              <a:t>QUIEN FIJA LA RUTA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5089318821296921E-2"/>
          <c:y val="0.15043166851659887"/>
          <c:w val="0.87870089645996685"/>
          <c:h val="0.651507583958646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NUEVOS'!$K$55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NUEVOS'!$J$56:$J$60</c:f>
              <c:strCache>
                <c:ptCount val="5"/>
                <c:pt idx="0">
                  <c:v>El conductor</c:v>
                </c:pt>
                <c:pt idx="1">
                  <c:v>El propietario</c:v>
                </c:pt>
                <c:pt idx="2">
                  <c:v>El cliente</c:v>
                </c:pt>
                <c:pt idx="3">
                  <c:v>El Cliente y el propietario</c:v>
                </c:pt>
                <c:pt idx="4">
                  <c:v>El propietario y el conductor</c:v>
                </c:pt>
              </c:strCache>
            </c:strRef>
          </c:cat>
          <c:val>
            <c:numRef>
              <c:f>'FORMULAS NUEVOS'!$K$56:$K$60</c:f>
              <c:numCache>
                <c:formatCode>0.0%</c:formatCode>
                <c:ptCount val="5"/>
                <c:pt idx="0">
                  <c:v>4.3478260869565216E-2</c:v>
                </c:pt>
                <c:pt idx="1">
                  <c:v>0.52536231884057971</c:v>
                </c:pt>
                <c:pt idx="2">
                  <c:v>0.33333333333333331</c:v>
                </c:pt>
                <c:pt idx="3">
                  <c:v>9.420289855072464E-2</c:v>
                </c:pt>
                <c:pt idx="4">
                  <c:v>3.6231884057971015E-3</c:v>
                </c:pt>
              </c:numCache>
            </c:numRef>
          </c:val>
        </c:ser>
        <c:ser>
          <c:idx val="1"/>
          <c:order val="1"/>
          <c:tx>
            <c:strRef>
              <c:f>'FORMULAS NUEVOS'!$L$55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NUEVOS'!$J$56:$J$60</c:f>
              <c:strCache>
                <c:ptCount val="5"/>
                <c:pt idx="0">
                  <c:v>El conductor</c:v>
                </c:pt>
                <c:pt idx="1">
                  <c:v>El propietario</c:v>
                </c:pt>
                <c:pt idx="2">
                  <c:v>El cliente</c:v>
                </c:pt>
                <c:pt idx="3">
                  <c:v>El Cliente y el propietario</c:v>
                </c:pt>
                <c:pt idx="4">
                  <c:v>El propietario y el conductor</c:v>
                </c:pt>
              </c:strCache>
            </c:strRef>
          </c:cat>
          <c:val>
            <c:numRef>
              <c:f>'FORMULAS NUEVOS'!$L$56:$L$60</c:f>
              <c:numCache>
                <c:formatCode>0.0%</c:formatCode>
                <c:ptCount val="5"/>
                <c:pt idx="0">
                  <c:v>3.6717062634989202E-2</c:v>
                </c:pt>
                <c:pt idx="1">
                  <c:v>0.46436285097192226</c:v>
                </c:pt>
                <c:pt idx="2">
                  <c:v>0.38444924406047515</c:v>
                </c:pt>
                <c:pt idx="3">
                  <c:v>9.0712742980561561E-2</c:v>
                </c:pt>
                <c:pt idx="4">
                  <c:v>2.3758099352051837E-2</c:v>
                </c:pt>
              </c:numCache>
            </c:numRef>
          </c:val>
        </c:ser>
        <c:ser>
          <c:idx val="2"/>
          <c:order val="2"/>
          <c:tx>
            <c:strRef>
              <c:f>'FORMULAS NUEVOS'!$M$55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NUEVOS'!$J$56:$J$60</c:f>
              <c:strCache>
                <c:ptCount val="5"/>
                <c:pt idx="0">
                  <c:v>El conductor</c:v>
                </c:pt>
                <c:pt idx="1">
                  <c:v>El propietario</c:v>
                </c:pt>
                <c:pt idx="2">
                  <c:v>El cliente</c:v>
                </c:pt>
                <c:pt idx="3">
                  <c:v>El Cliente y el propietario</c:v>
                </c:pt>
                <c:pt idx="4">
                  <c:v>El propietario y el conductor</c:v>
                </c:pt>
              </c:strCache>
            </c:strRef>
          </c:cat>
          <c:val>
            <c:numRef>
              <c:f>'FORMULAS NUEVOS'!$M$56:$M$60</c:f>
              <c:numCache>
                <c:formatCode>0.0%</c:formatCode>
                <c:ptCount val="5"/>
                <c:pt idx="0">
                  <c:v>3.048780487804878E-2</c:v>
                </c:pt>
                <c:pt idx="1">
                  <c:v>0.46951219512195119</c:v>
                </c:pt>
                <c:pt idx="2">
                  <c:v>0.38414634146341464</c:v>
                </c:pt>
                <c:pt idx="3">
                  <c:v>0.10365853658536585</c:v>
                </c:pt>
                <c:pt idx="4">
                  <c:v>1.2195121951219513E-2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4262912"/>
        <c:axId val="194264448"/>
        <c:axId val="0"/>
      </c:bar3DChart>
      <c:catAx>
        <c:axId val="1942629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264448"/>
        <c:crosses val="autoZero"/>
        <c:auto val="1"/>
        <c:lblAlgn val="ctr"/>
        <c:lblOffset val="100"/>
        <c:noMultiLvlLbl val="0"/>
      </c:catAx>
      <c:valAx>
        <c:axId val="194264448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262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018910724802057"/>
          <c:y val="0.93359140985820954"/>
          <c:w val="0.74427072654699489"/>
          <c:h val="4.9001105389447575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 + CONDUCTORES</a:t>
            </a:r>
          </a:p>
          <a:p>
            <a:pPr>
              <a:defRPr sz="1400"/>
            </a:pPr>
            <a:r>
              <a:rPr lang="es-MX" sz="1400"/>
              <a:t>FACTOR DE MAYOR IMPORTANCIA PARA FIJAR LA RUTA</a:t>
            </a:r>
          </a:p>
        </c:rich>
      </c:tx>
      <c:layout>
        <c:manualLayout>
          <c:xMode val="edge"/>
          <c:yMode val="edge"/>
          <c:x val="0.20194174757281624"/>
          <c:y val="1.9587266117797261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NUEVOS'!$K$64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NUEVOS'!$J$65:$J$68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NUEVOS'!$K$65:$K$68</c:f>
              <c:numCache>
                <c:formatCode>0.0%</c:formatCode>
                <c:ptCount val="4"/>
                <c:pt idx="0">
                  <c:v>0.45895522388059701</c:v>
                </c:pt>
                <c:pt idx="1">
                  <c:v>0.16417910447761194</c:v>
                </c:pt>
                <c:pt idx="2">
                  <c:v>0.30970149253731344</c:v>
                </c:pt>
                <c:pt idx="3">
                  <c:v>6.7164179104477612E-2</c:v>
                </c:pt>
              </c:numCache>
            </c:numRef>
          </c:val>
        </c:ser>
        <c:ser>
          <c:idx val="1"/>
          <c:order val="1"/>
          <c:tx>
            <c:strRef>
              <c:f>'FORMULAS NUEVOS'!$L$64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7.397133610725842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NUEVOS'!$J$65:$J$68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NUEVOS'!$L$65:$L$68</c:f>
              <c:numCache>
                <c:formatCode>0.0%</c:formatCode>
                <c:ptCount val="4"/>
                <c:pt idx="0">
                  <c:v>0.47022587268993837</c:v>
                </c:pt>
                <c:pt idx="1">
                  <c:v>0.18275154004106775</c:v>
                </c:pt>
                <c:pt idx="2">
                  <c:v>0.22381930184804927</c:v>
                </c:pt>
                <c:pt idx="3">
                  <c:v>0.12320328542094455</c:v>
                </c:pt>
              </c:numCache>
            </c:numRef>
          </c:val>
        </c:ser>
        <c:ser>
          <c:idx val="2"/>
          <c:order val="2"/>
          <c:tx>
            <c:strRef>
              <c:f>'FORMULAS NUEVOS'!$M$64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5.5478502080443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24641701340733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NUEVOS'!$J$65:$J$68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NUEVOS'!$M$65:$M$68</c:f>
              <c:numCache>
                <c:formatCode>0.0%</c:formatCode>
                <c:ptCount val="4"/>
                <c:pt idx="0">
                  <c:v>0.50714285714285712</c:v>
                </c:pt>
                <c:pt idx="1">
                  <c:v>0.15714285714285714</c:v>
                </c:pt>
                <c:pt idx="2">
                  <c:v>0.22142857142857142</c:v>
                </c:pt>
                <c:pt idx="3">
                  <c:v>0.11428571428571428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4288256"/>
        <c:axId val="194384256"/>
        <c:axId val="0"/>
      </c:bar3DChart>
      <c:catAx>
        <c:axId val="1942882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384256"/>
        <c:crosses val="autoZero"/>
        <c:auto val="1"/>
        <c:lblAlgn val="ctr"/>
        <c:lblOffset val="100"/>
        <c:noMultiLvlLbl val="0"/>
      </c:catAx>
      <c:valAx>
        <c:axId val="194384256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2882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 + CONDUCTORES</a:t>
            </a:r>
          </a:p>
          <a:p>
            <a:pPr>
              <a:defRPr sz="1400"/>
            </a:pPr>
            <a:r>
              <a:rPr lang="es-MX" sz="1400"/>
              <a:t>FACTOR DE IMPORTANCIA MEDIA - ALTA PARA FIJAR LA RUTA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NUEVOS'!$K$74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NUEVOS'!$J$75:$J$78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NUEVOS'!$K$75:$K$78</c:f>
              <c:numCache>
                <c:formatCode>0.0%</c:formatCode>
                <c:ptCount val="4"/>
                <c:pt idx="0">
                  <c:v>0.27238805970149255</c:v>
                </c:pt>
                <c:pt idx="1">
                  <c:v>0.33582089552238809</c:v>
                </c:pt>
                <c:pt idx="2">
                  <c:v>0.39179104477611942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'FORMULAS NUEVOS'!$L$74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NUEVOS'!$J$75:$J$78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NUEVOS'!$L$75:$L$78</c:f>
              <c:numCache>
                <c:formatCode>0.0%</c:formatCode>
                <c:ptCount val="4"/>
                <c:pt idx="0">
                  <c:v>0.27602905569007263</c:v>
                </c:pt>
                <c:pt idx="1">
                  <c:v>0.29782082324455206</c:v>
                </c:pt>
                <c:pt idx="2">
                  <c:v>0.42615012106537531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NUEVOS'!$M$74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NUEVOS'!$J$75:$J$78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NUEVOS'!$M$75:$M$78</c:f>
              <c:numCache>
                <c:formatCode>0.0%</c:formatCode>
                <c:ptCount val="4"/>
                <c:pt idx="0">
                  <c:v>0.39490445859872614</c:v>
                </c:pt>
                <c:pt idx="1">
                  <c:v>0.24203821656050956</c:v>
                </c:pt>
                <c:pt idx="2">
                  <c:v>0.36305732484076431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4424832"/>
        <c:axId val="194426368"/>
        <c:axId val="0"/>
      </c:bar3DChart>
      <c:catAx>
        <c:axId val="1944248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426368"/>
        <c:crosses val="autoZero"/>
        <c:auto val="1"/>
        <c:lblAlgn val="ctr"/>
        <c:lblOffset val="100"/>
        <c:noMultiLvlLbl val="0"/>
      </c:catAx>
      <c:valAx>
        <c:axId val="194426368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4248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 + CONDUCTORES</a:t>
            </a:r>
          </a:p>
          <a:p>
            <a:pPr>
              <a:defRPr sz="1400"/>
            </a:pPr>
            <a:r>
              <a:rPr lang="es-MX" sz="1400"/>
              <a:t>FACTOR DE IMPORTANCIA MEDIA - BAJA PARA FIJAR LA RUTA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716451238574434E-2"/>
          <c:y val="0.20526972504840679"/>
          <c:w val="0.63756509515808613"/>
          <c:h val="0.7168051710533546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NUEVOS'!$K$84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NUEVOS'!$J$85:$J$88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NUEVOS'!$K$85:$K$88</c:f>
              <c:numCache>
                <c:formatCode>0.0%</c:formatCode>
                <c:ptCount val="4"/>
                <c:pt idx="0">
                  <c:v>0.24253731343283583</c:v>
                </c:pt>
                <c:pt idx="1">
                  <c:v>0.47761194029850745</c:v>
                </c:pt>
                <c:pt idx="2">
                  <c:v>0.27985074626865669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'FORMULAS NUEVOS'!$L$84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57880055788003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NUEVOS'!$J$85:$J$88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NUEVOS'!$L$85:$L$88</c:f>
              <c:numCache>
                <c:formatCode>0.0%</c:formatCode>
                <c:ptCount val="4"/>
                <c:pt idx="0">
                  <c:v>0.20351758793969849</c:v>
                </c:pt>
                <c:pt idx="1">
                  <c:v>0.48492462311557788</c:v>
                </c:pt>
                <c:pt idx="2">
                  <c:v>0.31155778894472363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NUEVOS'!$M$84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115760111576012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NUEVOS'!$J$85:$J$88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NUEVOS'!$M$85:$M$88</c:f>
              <c:numCache>
                <c:formatCode>0.0%</c:formatCode>
                <c:ptCount val="4"/>
                <c:pt idx="0">
                  <c:v>0.13375796178343949</c:v>
                </c:pt>
                <c:pt idx="1">
                  <c:v>0.49681528662420382</c:v>
                </c:pt>
                <c:pt idx="2">
                  <c:v>0.36942675159235666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4470656"/>
        <c:axId val="194472192"/>
        <c:axId val="0"/>
      </c:bar3DChart>
      <c:catAx>
        <c:axId val="1944706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472192"/>
        <c:crosses val="autoZero"/>
        <c:auto val="1"/>
        <c:lblAlgn val="ctr"/>
        <c:lblOffset val="100"/>
        <c:noMultiLvlLbl val="0"/>
      </c:catAx>
      <c:valAx>
        <c:axId val="194472192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4706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 + CONDUCTORES</a:t>
            </a:r>
          </a:p>
          <a:p>
            <a:pPr>
              <a:defRPr sz="1400"/>
            </a:pPr>
            <a:r>
              <a:rPr lang="es-MX" sz="1400"/>
              <a:t>FACTOR DE MÁS BAJA IMPORTANCIA PARA FIJAR LA RUTA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530870011206888E-2"/>
          <c:y val="0.18209335323260581"/>
          <c:w val="0.63857325901021755"/>
          <c:h val="0.743534604214749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NUEVOS'!$K$94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NUEVOS'!$J$95:$J$98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NUEVOS'!$K$95:$K$98</c:f>
              <c:numCache>
                <c:formatCode>0.0%</c:formatCode>
                <c:ptCount val="4"/>
                <c:pt idx="0">
                  <c:v>0.3888888888888889</c:v>
                </c:pt>
                <c:pt idx="1">
                  <c:v>0.33333333333333331</c:v>
                </c:pt>
                <c:pt idx="2">
                  <c:v>0.27777777777777779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'FORMULAS NUEVOS'!$L$94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NUEVOS'!$J$95:$J$98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NUEVOS'!$L$95:$L$98</c:f>
              <c:numCache>
                <c:formatCode>0.0%</c:formatCode>
                <c:ptCount val="4"/>
                <c:pt idx="0">
                  <c:v>0.15254237288135594</c:v>
                </c:pt>
                <c:pt idx="1">
                  <c:v>0.47457627118644069</c:v>
                </c:pt>
                <c:pt idx="2">
                  <c:v>0.3728813559322034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NUEVOS'!$M$94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5.563282336578581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NUEVOS'!$J$95:$J$98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NUEVOS'!$M$95:$M$98</c:f>
              <c:numCache>
                <c:formatCode>0.0%</c:formatCode>
                <c:ptCount val="4"/>
                <c:pt idx="0">
                  <c:v>9.0909090909090912E-2</c:v>
                </c:pt>
                <c:pt idx="1">
                  <c:v>0.5757575757575758</c:v>
                </c:pt>
                <c:pt idx="2">
                  <c:v>0.33333333333333331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4516480"/>
        <c:axId val="194518016"/>
        <c:axId val="0"/>
      </c:bar3DChart>
      <c:catAx>
        <c:axId val="1945164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518016"/>
        <c:crosses val="autoZero"/>
        <c:auto val="1"/>
        <c:lblAlgn val="ctr"/>
        <c:lblOffset val="100"/>
        <c:noMultiLvlLbl val="0"/>
      </c:catAx>
      <c:valAx>
        <c:axId val="194518016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5164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CUENTA CON PERSONAL PARA ADMINISTRACIÓN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FORMULAS!$N$20</c:f>
              <c:strCache>
                <c:ptCount val="1"/>
                <c:pt idx="0">
                  <c:v>CUENTA CON PERSONAL PARA ADMINISTRACIÓN</c:v>
                </c:pt>
              </c:strCache>
            </c:strRef>
          </c:tx>
          <c:explosion val="25"/>
          <c:dLbls>
            <c:txPr>
              <a:bodyPr/>
              <a:lstStyle/>
              <a:p>
                <a:pPr>
                  <a:defRPr sz="11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FORMULAS!$N$21:$N$22</c:f>
              <c:strCache>
                <c:ptCount val="2"/>
                <c:pt idx="0">
                  <c:v>NO</c:v>
                </c:pt>
                <c:pt idx="1">
                  <c:v>SÍ</c:v>
                </c:pt>
              </c:strCache>
            </c:strRef>
          </c:cat>
          <c:val>
            <c:numRef>
              <c:f>FORMULAS!$O$21:$O$22</c:f>
              <c:numCache>
                <c:formatCode>0.0%</c:formatCode>
                <c:ptCount val="2"/>
                <c:pt idx="0">
                  <c:v>0.73236009732360097</c:v>
                </c:pt>
                <c:pt idx="1">
                  <c:v>0.26763990267639903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  <a:r>
              <a:rPr lang="es-MX" sz="1400" baseline="0"/>
              <a:t> + CONDUCTORES </a:t>
            </a:r>
          </a:p>
          <a:p>
            <a:pPr>
              <a:defRPr sz="1400"/>
            </a:pPr>
            <a:r>
              <a:rPr lang="es-MX" sz="1200" baseline="0"/>
              <a:t>PORCENTAJE QUE RECORRE LA UNIDAD DE VACÍO</a:t>
            </a:r>
            <a:endParaRPr lang="es-MX" sz="1200"/>
          </a:p>
        </c:rich>
      </c:tx>
      <c:layout>
        <c:manualLayout>
          <c:xMode val="edge"/>
          <c:yMode val="edge"/>
          <c:x val="0.1985080034009834"/>
          <c:y val="1.6614740152659371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779523451587371"/>
          <c:y val="0.16082392540025267"/>
          <c:w val="0.8295598026772476"/>
          <c:h val="0.6610010838828517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NUEVOS'!$W$2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NUEVOS'!$V$3:$V$7</c:f>
              <c:strCache>
                <c:ptCount val="5"/>
                <c:pt idx="0">
                  <c:v>50%</c:v>
                </c:pt>
                <c:pt idx="1">
                  <c:v>30% A 49%</c:v>
                </c:pt>
                <c:pt idx="2">
                  <c:v>20% A 29%</c:v>
                </c:pt>
                <c:pt idx="3">
                  <c:v>10% A 19%</c:v>
                </c:pt>
                <c:pt idx="4">
                  <c:v>&lt; 10%</c:v>
                </c:pt>
              </c:strCache>
            </c:strRef>
          </c:cat>
          <c:val>
            <c:numRef>
              <c:f>'FORMULAS NUEVOS'!$W$3:$W$7</c:f>
              <c:numCache>
                <c:formatCode>0.0%</c:formatCode>
                <c:ptCount val="5"/>
                <c:pt idx="0">
                  <c:v>0.45588235294117646</c:v>
                </c:pt>
                <c:pt idx="1">
                  <c:v>0.10661764705882353</c:v>
                </c:pt>
                <c:pt idx="2">
                  <c:v>0.12867647058823528</c:v>
                </c:pt>
                <c:pt idx="3">
                  <c:v>0.18382352941176472</c:v>
                </c:pt>
                <c:pt idx="4">
                  <c:v>0.125</c:v>
                </c:pt>
              </c:numCache>
            </c:numRef>
          </c:val>
        </c:ser>
        <c:ser>
          <c:idx val="1"/>
          <c:order val="1"/>
          <c:tx>
            <c:strRef>
              <c:f>'FORMULAS NUEVOS'!$X$2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6.25978090766824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8.3463745435576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043296817944705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NUEVOS'!$V$3:$V$7</c:f>
              <c:strCache>
                <c:ptCount val="5"/>
                <c:pt idx="0">
                  <c:v>50%</c:v>
                </c:pt>
                <c:pt idx="1">
                  <c:v>30% A 49%</c:v>
                </c:pt>
                <c:pt idx="2">
                  <c:v>20% A 29%</c:v>
                </c:pt>
                <c:pt idx="3">
                  <c:v>10% A 19%</c:v>
                </c:pt>
                <c:pt idx="4">
                  <c:v>&lt; 10%</c:v>
                </c:pt>
              </c:strCache>
            </c:strRef>
          </c:cat>
          <c:val>
            <c:numRef>
              <c:f>'FORMULAS NUEVOS'!$X$3:$X$7</c:f>
              <c:numCache>
                <c:formatCode>0.0%</c:formatCode>
                <c:ptCount val="5"/>
                <c:pt idx="0">
                  <c:v>0.63648648648648654</c:v>
                </c:pt>
                <c:pt idx="1">
                  <c:v>0.12567567567567567</c:v>
                </c:pt>
                <c:pt idx="2">
                  <c:v>8.2432432432432437E-2</c:v>
                </c:pt>
                <c:pt idx="3">
                  <c:v>9.45945945945946E-2</c:v>
                </c:pt>
                <c:pt idx="4">
                  <c:v>6.0810810810810814E-2</c:v>
                </c:pt>
              </c:numCache>
            </c:numRef>
          </c:val>
        </c:ser>
        <c:ser>
          <c:idx val="2"/>
          <c:order val="2"/>
          <c:tx>
            <c:strRef>
              <c:f>'FORMULAS NUEVOS'!$Y$2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6.25978090766824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34637454355756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25978090766824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25978090766824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NUEVOS'!$V$3:$V$7</c:f>
              <c:strCache>
                <c:ptCount val="5"/>
                <c:pt idx="0">
                  <c:v>50%</c:v>
                </c:pt>
                <c:pt idx="1">
                  <c:v>30% A 49%</c:v>
                </c:pt>
                <c:pt idx="2">
                  <c:v>20% A 29%</c:v>
                </c:pt>
                <c:pt idx="3">
                  <c:v>10% A 19%</c:v>
                </c:pt>
                <c:pt idx="4">
                  <c:v>&lt; 10%</c:v>
                </c:pt>
              </c:strCache>
            </c:strRef>
          </c:cat>
          <c:val>
            <c:numRef>
              <c:f>'FORMULAS NUEVOS'!$Y$3:$Y$7</c:f>
              <c:numCache>
                <c:formatCode>0.0%</c:formatCode>
                <c:ptCount val="5"/>
                <c:pt idx="0">
                  <c:v>0.64532019704433496</c:v>
                </c:pt>
                <c:pt idx="1">
                  <c:v>0.11576354679802955</c:v>
                </c:pt>
                <c:pt idx="2">
                  <c:v>0.10344827586206896</c:v>
                </c:pt>
                <c:pt idx="3">
                  <c:v>6.1576354679802957E-2</c:v>
                </c:pt>
                <c:pt idx="4">
                  <c:v>7.3891625615763554E-2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4709760"/>
        <c:axId val="194723840"/>
        <c:axId val="0"/>
      </c:bar3DChart>
      <c:catAx>
        <c:axId val="1947097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723840"/>
        <c:crosses val="autoZero"/>
        <c:auto val="1"/>
        <c:lblAlgn val="ctr"/>
        <c:lblOffset val="100"/>
        <c:noMultiLvlLbl val="0"/>
      </c:catAx>
      <c:valAx>
        <c:axId val="194723840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709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271758283735655"/>
          <c:y val="0.95564256853416785"/>
          <c:w val="0.87224329353197261"/>
          <c:h val="4.399308460500418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CUENTA CON PERSONAL PARA ADMINISTRACIÓN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NUEVOS'!$V$13</c:f>
              <c:strCache>
                <c:ptCount val="1"/>
                <c:pt idx="0">
                  <c:v>SI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0800832033281342E-3"/>
                  <c:y val="-3.529883228329625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1"/>
              <c:layout>
                <c:manualLayout>
                  <c:x val="0"/>
                  <c:y val="-2.8880862777242406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1.6640665626625122E-2"/>
                  <c:y val="0.2599277649951822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'FORMULAS NUEVOS'!$W$12:$Y$12</c:f>
              <c:strCache>
                <c:ptCount val="3"/>
                <c:pt idx="0">
                  <c:v>CON UNA UNIDAD</c:v>
                </c:pt>
                <c:pt idx="1">
                  <c:v>CON 2 A 5 UNIDADES</c:v>
                </c:pt>
                <c:pt idx="2">
                  <c:v>PEQUEÑO TRANSPORTISTA</c:v>
                </c:pt>
              </c:strCache>
            </c:strRef>
          </c:cat>
          <c:val>
            <c:numRef>
              <c:f>'FORMULAS NUEVOS'!$W$13:$Y$13</c:f>
              <c:numCache>
                <c:formatCode>0.0%</c:formatCode>
                <c:ptCount val="3"/>
                <c:pt idx="0">
                  <c:v>9.9009900990099015E-2</c:v>
                </c:pt>
                <c:pt idx="1">
                  <c:v>0.34857142857142859</c:v>
                </c:pt>
                <c:pt idx="2">
                  <c:v>0.8529411764705882</c:v>
                </c:pt>
              </c:numCache>
            </c:numRef>
          </c:val>
        </c:ser>
        <c:ser>
          <c:idx val="1"/>
          <c:order val="1"/>
          <c:tx>
            <c:strRef>
              <c:f>'FORMULAS NUEVOS'!$V$14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0400416016640627E-2"/>
                  <c:y val="0.29201761252545155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1"/>
              <c:layout>
                <c:manualLayout>
                  <c:x val="1.8720748829953303E-2"/>
                  <c:y val="-1.9253908518161601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1.6640665626625122E-2"/>
                  <c:y val="-2.2462893271188521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'FORMULAS NUEVOS'!$W$12:$Y$12</c:f>
              <c:strCache>
                <c:ptCount val="3"/>
                <c:pt idx="0">
                  <c:v>CON UNA UNIDAD</c:v>
                </c:pt>
                <c:pt idx="1">
                  <c:v>CON 2 A 5 UNIDADES</c:v>
                </c:pt>
                <c:pt idx="2">
                  <c:v>PEQUEÑO TRANSPORTISTA</c:v>
                </c:pt>
              </c:strCache>
            </c:strRef>
          </c:cat>
          <c:val>
            <c:numRef>
              <c:f>'FORMULAS NUEVOS'!$W$14:$Y$14</c:f>
              <c:numCache>
                <c:formatCode>0.0%</c:formatCode>
                <c:ptCount val="3"/>
                <c:pt idx="0">
                  <c:v>0.90099009900990101</c:v>
                </c:pt>
                <c:pt idx="1">
                  <c:v>0.65142857142857147</c:v>
                </c:pt>
                <c:pt idx="2">
                  <c:v>0.14705882352941177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4747776"/>
        <c:axId val="194774144"/>
        <c:axId val="0"/>
      </c:bar3DChart>
      <c:catAx>
        <c:axId val="1947477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774144"/>
        <c:crosses val="autoZero"/>
        <c:auto val="1"/>
        <c:lblAlgn val="ctr"/>
        <c:lblOffset val="100"/>
        <c:noMultiLvlLbl val="0"/>
      </c:catAx>
      <c:valAx>
        <c:axId val="194774144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747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GASTOS ANUALES POR OPERADOR POR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4743274278215463E-2"/>
          <c:y val="0.15135905298987495"/>
          <c:w val="0.89812631233595797"/>
          <c:h val="0.6477416245982048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NUEVOS'!$W$19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0.15861212310756995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NUEVOS'!$V$20:$V$26</c:f>
              <c:strCache>
                <c:ptCount val="7"/>
                <c:pt idx="0">
                  <c:v>&lt;$50,000</c:v>
                </c:pt>
                <c:pt idx="1">
                  <c:v>$50,001 A $75,000</c:v>
                </c:pt>
                <c:pt idx="2">
                  <c:v>$75,001 A $100,000</c:v>
                </c:pt>
                <c:pt idx="3">
                  <c:v>$100,001 A $125,000</c:v>
                </c:pt>
                <c:pt idx="4">
                  <c:v>$125,001 A $150,000</c:v>
                </c:pt>
                <c:pt idx="5">
                  <c:v>$150,001 A $175,000</c:v>
                </c:pt>
                <c:pt idx="6">
                  <c:v>&gt;$175,000</c:v>
                </c:pt>
              </c:strCache>
            </c:strRef>
          </c:cat>
          <c:val>
            <c:numRef>
              <c:f>'FORMULAS NUEVOS'!$W$20:$W$26</c:f>
              <c:numCache>
                <c:formatCode>0.0%</c:formatCode>
                <c:ptCount val="7"/>
                <c:pt idx="0">
                  <c:v>0.58373205741626799</c:v>
                </c:pt>
                <c:pt idx="1">
                  <c:v>4.784688995215311E-2</c:v>
                </c:pt>
                <c:pt idx="2">
                  <c:v>0.10526315789473684</c:v>
                </c:pt>
                <c:pt idx="3">
                  <c:v>0.10526315789473684</c:v>
                </c:pt>
                <c:pt idx="4">
                  <c:v>8.1339712918660281E-2</c:v>
                </c:pt>
                <c:pt idx="5">
                  <c:v>1.4354066985645933E-2</c:v>
                </c:pt>
                <c:pt idx="6">
                  <c:v>6.2200956937799042E-2</c:v>
                </c:pt>
              </c:numCache>
            </c:numRef>
          </c:val>
        </c:ser>
        <c:ser>
          <c:idx val="1"/>
          <c:order val="1"/>
          <c:tx>
            <c:strRef>
              <c:f>'FORMULAS NUEVOS'!$X$19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4.16666666666668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NUEVOS'!$V$20:$V$26</c:f>
              <c:strCache>
                <c:ptCount val="7"/>
                <c:pt idx="0">
                  <c:v>&lt;$50,000</c:v>
                </c:pt>
                <c:pt idx="1">
                  <c:v>$50,001 A $75,000</c:v>
                </c:pt>
                <c:pt idx="2">
                  <c:v>$75,001 A $100,000</c:v>
                </c:pt>
                <c:pt idx="3">
                  <c:v>$100,001 A $125,000</c:v>
                </c:pt>
                <c:pt idx="4">
                  <c:v>$125,001 A $150,000</c:v>
                </c:pt>
                <c:pt idx="5">
                  <c:v>$150,001 A $175,000</c:v>
                </c:pt>
                <c:pt idx="6">
                  <c:v>&gt;$175,000</c:v>
                </c:pt>
              </c:strCache>
            </c:strRef>
          </c:cat>
          <c:val>
            <c:numRef>
              <c:f>'FORMULAS NUEVOS'!$X$20:$X$26</c:f>
              <c:numCache>
                <c:formatCode>0.0%</c:formatCode>
                <c:ptCount val="7"/>
                <c:pt idx="0">
                  <c:v>7.0393374741200831E-2</c:v>
                </c:pt>
                <c:pt idx="1">
                  <c:v>4.5548654244306416E-2</c:v>
                </c:pt>
                <c:pt idx="2">
                  <c:v>0.27950310559006208</c:v>
                </c:pt>
                <c:pt idx="3">
                  <c:v>0.2484472049689441</c:v>
                </c:pt>
                <c:pt idx="4">
                  <c:v>0.20910973084886128</c:v>
                </c:pt>
                <c:pt idx="5">
                  <c:v>3.3126293995859216E-2</c:v>
                </c:pt>
                <c:pt idx="6">
                  <c:v>0.11387163561076605</c:v>
                </c:pt>
              </c:numCache>
            </c:numRef>
          </c:val>
        </c:ser>
        <c:ser>
          <c:idx val="2"/>
          <c:order val="2"/>
          <c:tx>
            <c:strRef>
              <c:f>'FORMULAS NUEVOS'!$Y$19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25000000000001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8.333333333333336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2500000000000134E-3"/>
                  <c:y val="3.30441923140770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25000000000001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8.3333333333333367E-3"/>
                  <c:y val="3.30441923140770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04166666666666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4.16666666666666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NUEVOS'!$V$20:$V$26</c:f>
              <c:strCache>
                <c:ptCount val="7"/>
                <c:pt idx="0">
                  <c:v>&lt;$50,000</c:v>
                </c:pt>
                <c:pt idx="1">
                  <c:v>$50,001 A $75,000</c:v>
                </c:pt>
                <c:pt idx="2">
                  <c:v>$75,001 A $100,000</c:v>
                </c:pt>
                <c:pt idx="3">
                  <c:v>$100,001 A $125,000</c:v>
                </c:pt>
                <c:pt idx="4">
                  <c:v>$125,001 A $150,000</c:v>
                </c:pt>
                <c:pt idx="5">
                  <c:v>$150,001 A $175,000</c:v>
                </c:pt>
                <c:pt idx="6">
                  <c:v>&gt;$175,000</c:v>
                </c:pt>
              </c:strCache>
            </c:strRef>
          </c:cat>
          <c:val>
            <c:numRef>
              <c:f>'FORMULAS NUEVOS'!$Y$20:$Y$26</c:f>
              <c:numCache>
                <c:formatCode>0.0%</c:formatCode>
                <c:ptCount val="7"/>
                <c:pt idx="0">
                  <c:v>9.0277777777777776E-2</c:v>
                </c:pt>
                <c:pt idx="1">
                  <c:v>3.4722222222222224E-2</c:v>
                </c:pt>
                <c:pt idx="2">
                  <c:v>0.30902777777777779</c:v>
                </c:pt>
                <c:pt idx="3">
                  <c:v>0.2986111111111111</c:v>
                </c:pt>
                <c:pt idx="4">
                  <c:v>4.8611111111111112E-2</c:v>
                </c:pt>
                <c:pt idx="5">
                  <c:v>1.3888888888888888E-2</c:v>
                </c:pt>
                <c:pt idx="6">
                  <c:v>0.2048611111111111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4810240"/>
        <c:axId val="194811776"/>
        <c:axId val="0"/>
      </c:bar3DChart>
      <c:catAx>
        <c:axId val="1948102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4811776"/>
        <c:crosses val="autoZero"/>
        <c:auto val="1"/>
        <c:lblAlgn val="ctr"/>
        <c:lblOffset val="100"/>
        <c:noMultiLvlLbl val="0"/>
      </c:catAx>
      <c:valAx>
        <c:axId val="194811776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810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578625328083991"/>
          <c:y val="0.92330104716264849"/>
          <c:w val="0.83546374671915957"/>
          <c:h val="5.2497334348423526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GASTOS ANUALES POR AYUDANTES POR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272637795275603E-2"/>
          <c:y val="0.14185437326692041"/>
          <c:w val="0.86301361548556565"/>
          <c:h val="0.671099386324583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NUEVOS'!$W$31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2500000000000134E-3"/>
                  <c:y val="0.1651917184876158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NUEVOS'!$V$32:$V$34</c:f>
              <c:strCache>
                <c:ptCount val="3"/>
                <c:pt idx="0">
                  <c:v>&lt;$50,000</c:v>
                </c:pt>
                <c:pt idx="1">
                  <c:v>$50,001 A $75,000</c:v>
                </c:pt>
                <c:pt idx="2">
                  <c:v>&gt;$75,000</c:v>
                </c:pt>
              </c:strCache>
            </c:strRef>
          </c:cat>
          <c:val>
            <c:numRef>
              <c:f>'FORMULAS NUEVOS'!$W$32:$W$34</c:f>
              <c:numCache>
                <c:formatCode>0.0%</c:formatCode>
                <c:ptCount val="3"/>
                <c:pt idx="0">
                  <c:v>0.9138755980861244</c:v>
                </c:pt>
                <c:pt idx="1">
                  <c:v>6.2200956937799042E-2</c:v>
                </c:pt>
                <c:pt idx="2">
                  <c:v>2.3923444976076555E-2</c:v>
                </c:pt>
              </c:numCache>
            </c:numRef>
          </c:val>
        </c:ser>
        <c:ser>
          <c:idx val="1"/>
          <c:order val="1"/>
          <c:tx>
            <c:strRef>
              <c:f>'FORMULAS NUEVOS'!$X$31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NUEVOS'!$V$32:$V$34</c:f>
              <c:strCache>
                <c:ptCount val="3"/>
                <c:pt idx="0">
                  <c:v>&lt;$50,000</c:v>
                </c:pt>
                <c:pt idx="1">
                  <c:v>$50,001 A $75,000</c:v>
                </c:pt>
                <c:pt idx="2">
                  <c:v>&gt;$75,000</c:v>
                </c:pt>
              </c:strCache>
            </c:strRef>
          </c:cat>
          <c:val>
            <c:numRef>
              <c:f>'FORMULAS NUEVOS'!$X$32:$X$34</c:f>
              <c:numCache>
                <c:formatCode>0.0%</c:formatCode>
                <c:ptCount val="3"/>
                <c:pt idx="0">
                  <c:v>0.73706004140786752</c:v>
                </c:pt>
                <c:pt idx="1">
                  <c:v>0.11180124223602485</c:v>
                </c:pt>
                <c:pt idx="2">
                  <c:v>0.15113871635610765</c:v>
                </c:pt>
              </c:numCache>
            </c:numRef>
          </c:val>
        </c:ser>
        <c:ser>
          <c:idx val="2"/>
          <c:order val="2"/>
          <c:tx>
            <c:strRef>
              <c:f>'FORMULAS NUEVOS'!$Y$31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2500000000000134E-3"/>
                  <c:y val="0.14833542068275704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NUEVOS'!$V$32:$V$34</c:f>
              <c:strCache>
                <c:ptCount val="3"/>
                <c:pt idx="0">
                  <c:v>&lt;$50,000</c:v>
                </c:pt>
                <c:pt idx="1">
                  <c:v>$50,001 A $75,000</c:v>
                </c:pt>
                <c:pt idx="2">
                  <c:v>&gt;$75,000</c:v>
                </c:pt>
              </c:strCache>
            </c:strRef>
          </c:cat>
          <c:val>
            <c:numRef>
              <c:f>'FORMULAS NUEVOS'!$Y$32:$Y$34</c:f>
              <c:numCache>
                <c:formatCode>0.0%</c:formatCode>
                <c:ptCount val="3"/>
                <c:pt idx="0">
                  <c:v>0.84375</c:v>
                </c:pt>
                <c:pt idx="1">
                  <c:v>4.8611111111111112E-2</c:v>
                </c:pt>
                <c:pt idx="2">
                  <c:v>0.1076388888888889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4860928"/>
        <c:axId val="194862464"/>
        <c:axId val="0"/>
      </c:bar3DChart>
      <c:catAx>
        <c:axId val="1948609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862464"/>
        <c:crosses val="autoZero"/>
        <c:auto val="1"/>
        <c:lblAlgn val="ctr"/>
        <c:lblOffset val="100"/>
        <c:noMultiLvlLbl val="0"/>
      </c:catAx>
      <c:valAx>
        <c:axId val="194862464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860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4.7072834645669324E-2"/>
          <c:y val="0.93274549538668561"/>
          <c:w val="0.93417716535433049"/>
          <c:h val="5.8149980170622867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GASTOS ANUALES EN LLANTAS POR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8462138189180528E-2"/>
          <c:y val="0.17861695859446208"/>
          <c:w val="0.86794626565924982"/>
          <c:h val="0.6234013605442176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NUEVOS'!$W$39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0.13907785336356768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NUEVOS'!$V$40:$V$44</c:f>
              <c:strCache>
                <c:ptCount val="5"/>
                <c:pt idx="0">
                  <c:v>&lt;$50,000</c:v>
                </c:pt>
                <c:pt idx="1">
                  <c:v>$50,001 A $75,000</c:v>
                </c:pt>
                <c:pt idx="2">
                  <c:v>$75,001 A $100,000</c:v>
                </c:pt>
                <c:pt idx="3">
                  <c:v>$100,001 A $150,000</c:v>
                </c:pt>
                <c:pt idx="4">
                  <c:v>&gt;$150,000</c:v>
                </c:pt>
              </c:strCache>
            </c:strRef>
          </c:cat>
          <c:val>
            <c:numRef>
              <c:f>'FORMULAS NUEVOS'!$W$40:$W$44</c:f>
              <c:numCache>
                <c:formatCode>0.0%</c:formatCode>
                <c:ptCount val="5"/>
                <c:pt idx="0">
                  <c:v>0.5</c:v>
                </c:pt>
                <c:pt idx="1">
                  <c:v>0.32524271844660196</c:v>
                </c:pt>
                <c:pt idx="2">
                  <c:v>0.11650485436893204</c:v>
                </c:pt>
                <c:pt idx="3">
                  <c:v>2.4271844660194174E-2</c:v>
                </c:pt>
                <c:pt idx="4">
                  <c:v>3.3980582524271843E-2</c:v>
                </c:pt>
              </c:numCache>
            </c:numRef>
          </c:val>
        </c:ser>
        <c:ser>
          <c:idx val="1"/>
          <c:order val="1"/>
          <c:tx>
            <c:strRef>
              <c:f>'FORMULAS NUEVOS'!$X$39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2208398133747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22083981337481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NUEVOS'!$V$40:$V$44</c:f>
              <c:strCache>
                <c:ptCount val="5"/>
                <c:pt idx="0">
                  <c:v>&lt;$50,000</c:v>
                </c:pt>
                <c:pt idx="1">
                  <c:v>$50,001 A $75,000</c:v>
                </c:pt>
                <c:pt idx="2">
                  <c:v>$75,001 A $100,000</c:v>
                </c:pt>
                <c:pt idx="3">
                  <c:v>$100,001 A $150,000</c:v>
                </c:pt>
                <c:pt idx="4">
                  <c:v>&gt;$150,000</c:v>
                </c:pt>
              </c:strCache>
            </c:strRef>
          </c:cat>
          <c:val>
            <c:numRef>
              <c:f>'FORMULAS NUEVOS'!$X$40:$X$44</c:f>
              <c:numCache>
                <c:formatCode>0.0%</c:formatCode>
                <c:ptCount val="5"/>
                <c:pt idx="0">
                  <c:v>0.3940677966101695</c:v>
                </c:pt>
                <c:pt idx="1">
                  <c:v>0.23728813559322035</c:v>
                </c:pt>
                <c:pt idx="2">
                  <c:v>0.19279661016949154</c:v>
                </c:pt>
                <c:pt idx="3">
                  <c:v>9.5338983050847453E-2</c:v>
                </c:pt>
                <c:pt idx="4">
                  <c:v>8.050847457627118E-2</c:v>
                </c:pt>
              </c:numCache>
            </c:numRef>
          </c:val>
        </c:ser>
        <c:ser>
          <c:idx val="2"/>
          <c:order val="2"/>
          <c:tx>
            <c:strRef>
              <c:f>'FORMULAS NUEVOS'!$Y$39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8.29445308449974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22083981337477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22083981337481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6.22083981337481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NUEVOS'!$V$40:$V$44</c:f>
              <c:strCache>
                <c:ptCount val="5"/>
                <c:pt idx="0">
                  <c:v>&lt;$50,000</c:v>
                </c:pt>
                <c:pt idx="1">
                  <c:v>$50,001 A $75,000</c:v>
                </c:pt>
                <c:pt idx="2">
                  <c:v>$75,001 A $100,000</c:v>
                </c:pt>
                <c:pt idx="3">
                  <c:v>$100,001 A $150,000</c:v>
                </c:pt>
                <c:pt idx="4">
                  <c:v>&gt;$150,000</c:v>
                </c:pt>
              </c:strCache>
            </c:strRef>
          </c:cat>
          <c:val>
            <c:numRef>
              <c:f>'FORMULAS NUEVOS'!$Y$40:$Y$44</c:f>
              <c:numCache>
                <c:formatCode>0.0%</c:formatCode>
                <c:ptCount val="5"/>
                <c:pt idx="0">
                  <c:v>0.30303030303030304</c:v>
                </c:pt>
                <c:pt idx="1">
                  <c:v>0.24621212121212122</c:v>
                </c:pt>
                <c:pt idx="2">
                  <c:v>0.24621212121212122</c:v>
                </c:pt>
                <c:pt idx="3">
                  <c:v>0.16287878787878787</c:v>
                </c:pt>
                <c:pt idx="4">
                  <c:v>4.1666666666666664E-2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4931712"/>
        <c:axId val="194953984"/>
        <c:axId val="0"/>
      </c:bar3DChart>
      <c:catAx>
        <c:axId val="1949317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953984"/>
        <c:crosses val="autoZero"/>
        <c:auto val="1"/>
        <c:lblAlgn val="ctr"/>
        <c:lblOffset val="100"/>
        <c:noMultiLvlLbl val="0"/>
      </c:catAx>
      <c:valAx>
        <c:axId val="194953984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49317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806729446533122"/>
          <c:y val="0.93399539343296367"/>
          <c:w val="0.80460766665442296"/>
          <c:h val="4.8033281554091672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GASTOS ANUALES EN REPARACIONES POR UNIDAD</a:t>
            </a:r>
          </a:p>
        </c:rich>
      </c:tx>
      <c:layout>
        <c:manualLayout>
          <c:xMode val="edge"/>
          <c:yMode val="edge"/>
          <c:x val="0.18370603674540753"/>
          <c:y val="1.5948963317384369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377146754293726E-2"/>
          <c:y val="0.1342186891710313"/>
          <c:w val="0.8683823340980017"/>
          <c:h val="0.70931670622511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NUEVOS'!$W$48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2992125984252098E-3"/>
                  <c:y val="0.14673046251993674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2759170653907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9.56937799043062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NUEVOS'!$V$49:$V$51</c:f>
              <c:strCache>
                <c:ptCount val="3"/>
                <c:pt idx="0">
                  <c:v>&lt;$25000</c:v>
                </c:pt>
                <c:pt idx="1">
                  <c:v>$25,001 A $50,000</c:v>
                </c:pt>
                <c:pt idx="2">
                  <c:v>&gt;$50,000</c:v>
                </c:pt>
              </c:strCache>
            </c:strRef>
          </c:cat>
          <c:val>
            <c:numRef>
              <c:f>'FORMULAS NUEVOS'!$W$49:$W$51</c:f>
              <c:numCache>
                <c:formatCode>0.0%</c:formatCode>
                <c:ptCount val="3"/>
                <c:pt idx="0">
                  <c:v>0.61386138613861385</c:v>
                </c:pt>
                <c:pt idx="1">
                  <c:v>0.34158415841584161</c:v>
                </c:pt>
                <c:pt idx="2">
                  <c:v>4.4554455445544552E-2</c:v>
                </c:pt>
              </c:numCache>
            </c:numRef>
          </c:val>
        </c:ser>
        <c:ser>
          <c:idx val="1"/>
          <c:order val="1"/>
          <c:tx>
            <c:strRef>
              <c:f>'FORMULAS NUEVOS'!$X$48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8.3989501312335957E-3"/>
                  <c:y val="0.14673046251993674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2992125984252098E-3"/>
                  <c:y val="-6.3795853269538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0997375328084072E-3"/>
                  <c:y val="-1.2759170653907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NUEVOS'!$V$49:$V$51</c:f>
              <c:strCache>
                <c:ptCount val="3"/>
                <c:pt idx="0">
                  <c:v>&lt;$25000</c:v>
                </c:pt>
                <c:pt idx="1">
                  <c:v>$25,001 A $50,000</c:v>
                </c:pt>
                <c:pt idx="2">
                  <c:v>&gt;$50,000</c:v>
                </c:pt>
              </c:strCache>
            </c:strRef>
          </c:cat>
          <c:val>
            <c:numRef>
              <c:f>'FORMULAS NUEVOS'!$X$49:$X$51</c:f>
              <c:numCache>
                <c:formatCode>0.0%</c:formatCode>
                <c:ptCount val="3"/>
                <c:pt idx="0">
                  <c:v>0.63269639065817407</c:v>
                </c:pt>
                <c:pt idx="1">
                  <c:v>0.28450106157112526</c:v>
                </c:pt>
                <c:pt idx="2">
                  <c:v>8.2802547770700632E-2</c:v>
                </c:pt>
              </c:numCache>
            </c:numRef>
          </c:val>
        </c:ser>
        <c:ser>
          <c:idx val="2"/>
          <c:order val="2"/>
          <c:tx>
            <c:strRef>
              <c:f>'FORMULAS NUEVOS'!$Y$48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2992125984252479E-3"/>
                  <c:y val="-9.56937799043062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1993097319528144E-3"/>
                  <c:y val="-9.56937799043062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1.2759170653907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NUEVOS'!$V$49:$V$51</c:f>
              <c:strCache>
                <c:ptCount val="3"/>
                <c:pt idx="0">
                  <c:v>&lt;$25000</c:v>
                </c:pt>
                <c:pt idx="1">
                  <c:v>$25,001 A $50,000</c:v>
                </c:pt>
                <c:pt idx="2">
                  <c:v>&gt;$50,000</c:v>
                </c:pt>
              </c:strCache>
            </c:strRef>
          </c:cat>
          <c:val>
            <c:numRef>
              <c:f>'FORMULAS NUEVOS'!$Y$49:$Y$51</c:f>
              <c:numCache>
                <c:formatCode>0.0%</c:formatCode>
                <c:ptCount val="3"/>
                <c:pt idx="0">
                  <c:v>0.40530303030303028</c:v>
                </c:pt>
                <c:pt idx="1">
                  <c:v>0.37878787878787878</c:v>
                </c:pt>
                <c:pt idx="2">
                  <c:v>0.21590909090909091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5051520"/>
        <c:axId val="195053056"/>
        <c:axId val="0"/>
      </c:bar3DChart>
      <c:catAx>
        <c:axId val="1950515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053056"/>
        <c:crosses val="autoZero"/>
        <c:auto val="1"/>
        <c:lblAlgn val="ctr"/>
        <c:lblOffset val="100"/>
        <c:noMultiLvlLbl val="0"/>
      </c:catAx>
      <c:valAx>
        <c:axId val="195053056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051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585921838510344"/>
          <c:y val="0.93235730701126307"/>
          <c:w val="0.82104366875400414"/>
          <c:h val="6.0245639151565403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GASTOS ANUALES EN SEGUROS POR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4975522260344508E-2"/>
          <c:y val="0.13294647410779881"/>
          <c:w val="0.87109125465900183"/>
          <c:h val="0.720903086166361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NUEVOS'!$W$55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NUEVOS'!$V$56:$V$59</c:f>
              <c:strCache>
                <c:ptCount val="4"/>
                <c:pt idx="0">
                  <c:v>&lt;$10,000</c:v>
                </c:pt>
                <c:pt idx="1">
                  <c:v>$10,001 A $20,000</c:v>
                </c:pt>
                <c:pt idx="2">
                  <c:v>$20,001 A $50,000</c:v>
                </c:pt>
                <c:pt idx="3">
                  <c:v>&gt;$50,000</c:v>
                </c:pt>
              </c:strCache>
            </c:strRef>
          </c:cat>
          <c:val>
            <c:numRef>
              <c:f>'FORMULAS NUEVOS'!$W$56:$W$59</c:f>
              <c:numCache>
                <c:formatCode>0.0%</c:formatCode>
                <c:ptCount val="4"/>
                <c:pt idx="0">
                  <c:v>0.42105263157894735</c:v>
                </c:pt>
                <c:pt idx="1">
                  <c:v>0.37320574162679426</c:v>
                </c:pt>
                <c:pt idx="2">
                  <c:v>0.20095693779904306</c:v>
                </c:pt>
                <c:pt idx="3">
                  <c:v>4.7846889952153108E-3</c:v>
                </c:pt>
              </c:numCache>
            </c:numRef>
          </c:val>
        </c:ser>
        <c:ser>
          <c:idx val="1"/>
          <c:order val="1"/>
          <c:tx>
            <c:strRef>
              <c:f>'FORMULAS NUEVOS'!$X$55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2695924764890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2695924764890314E-3"/>
                  <c:y val="-9.4786729857820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NUEVOS'!$V$56:$V$59</c:f>
              <c:strCache>
                <c:ptCount val="4"/>
                <c:pt idx="0">
                  <c:v>&lt;$10,000</c:v>
                </c:pt>
                <c:pt idx="1">
                  <c:v>$10,001 A $20,000</c:v>
                </c:pt>
                <c:pt idx="2">
                  <c:v>$20,001 A $50,000</c:v>
                </c:pt>
                <c:pt idx="3">
                  <c:v>&gt;$50,000</c:v>
                </c:pt>
              </c:strCache>
            </c:strRef>
          </c:cat>
          <c:val>
            <c:numRef>
              <c:f>'FORMULAS NUEVOS'!$X$56:$X$59</c:f>
              <c:numCache>
                <c:formatCode>0.0%</c:formatCode>
                <c:ptCount val="4"/>
                <c:pt idx="0">
                  <c:v>0.38095238095238093</c:v>
                </c:pt>
                <c:pt idx="1">
                  <c:v>0.35610766045548653</c:v>
                </c:pt>
                <c:pt idx="2">
                  <c:v>0.24637681159420291</c:v>
                </c:pt>
                <c:pt idx="3">
                  <c:v>1.6563146997929608E-2</c:v>
                </c:pt>
              </c:numCache>
            </c:numRef>
          </c:val>
        </c:ser>
        <c:ser>
          <c:idx val="2"/>
          <c:order val="2"/>
          <c:tx>
            <c:strRef>
              <c:f>'FORMULAS NUEVOS'!$Y$55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2695924764890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0.14533965244865718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35945663531869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2695924764890314E-3"/>
                  <c:y val="-6.31911532385467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NUEVOS'!$V$56:$V$59</c:f>
              <c:strCache>
                <c:ptCount val="4"/>
                <c:pt idx="0">
                  <c:v>&lt;$10,000</c:v>
                </c:pt>
                <c:pt idx="1">
                  <c:v>$10,001 A $20,000</c:v>
                </c:pt>
                <c:pt idx="2">
                  <c:v>$20,001 A $50,000</c:v>
                </c:pt>
                <c:pt idx="3">
                  <c:v>&gt;$50,000</c:v>
                </c:pt>
              </c:strCache>
            </c:strRef>
          </c:cat>
          <c:val>
            <c:numRef>
              <c:f>'FORMULAS NUEVOS'!$Y$56:$Y$59</c:f>
              <c:numCache>
                <c:formatCode>0.0%</c:formatCode>
                <c:ptCount val="4"/>
                <c:pt idx="0">
                  <c:v>0.27083333333333331</c:v>
                </c:pt>
                <c:pt idx="1">
                  <c:v>0.46875</c:v>
                </c:pt>
                <c:pt idx="2">
                  <c:v>0.13541666666666666</c:v>
                </c:pt>
                <c:pt idx="3">
                  <c:v>0.125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5191936"/>
        <c:axId val="195193472"/>
        <c:axId val="0"/>
      </c:bar3DChart>
      <c:catAx>
        <c:axId val="1951919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193472"/>
        <c:crosses val="autoZero"/>
        <c:auto val="1"/>
        <c:lblAlgn val="ctr"/>
        <c:lblOffset val="100"/>
        <c:noMultiLvlLbl val="0"/>
      </c:catAx>
      <c:valAx>
        <c:axId val="195193472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191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191839656406656"/>
          <c:y val="0.93773780647087657"/>
          <c:w val="0.76493635787689562"/>
          <c:h val="5.9674590439228431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GASTOS ANUALES EN ACCIDENTES POR UNIDAD </a:t>
            </a:r>
          </a:p>
          <a:p>
            <a:pPr>
              <a:defRPr sz="1400"/>
            </a:pPr>
            <a:r>
              <a:rPr lang="es-MX" sz="1200"/>
              <a:t>[EN EL ÚLTIMO AÑO]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9439304461942254E-2"/>
          <c:y val="0.17560813583165641"/>
          <c:w val="0.86301476377952768"/>
          <c:h val="0.6687205538513646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NUEVOS'!$W$62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0833333333333398E-3"/>
                  <c:y val="0.14888337468982629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2500000000000116E-3"/>
                  <c:y val="-9.92555831265511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1666666666666683E-3"/>
                  <c:y val="-1.9851116625310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NUEVOS'!$V$63:$V$65</c:f>
              <c:strCache>
                <c:ptCount val="3"/>
                <c:pt idx="0">
                  <c:v>&lt;$5000</c:v>
                </c:pt>
                <c:pt idx="1">
                  <c:v>$5,001 A $25,000</c:v>
                </c:pt>
                <c:pt idx="2">
                  <c:v>&gt;$25,000</c:v>
                </c:pt>
              </c:strCache>
            </c:strRef>
          </c:cat>
          <c:val>
            <c:numRef>
              <c:f>'FORMULAS NUEVOS'!$W$63:$W$65</c:f>
              <c:numCache>
                <c:formatCode>0.0%</c:formatCode>
                <c:ptCount val="3"/>
                <c:pt idx="0">
                  <c:v>0.98514851485148514</c:v>
                </c:pt>
                <c:pt idx="1">
                  <c:v>4.9504950495049507E-2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'FORMULAS NUEVOS'!$X$62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2500000000000116E-3"/>
                  <c:y val="0.1555004135649303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0833333333333398E-3"/>
                  <c:y val="-1.3234077750206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1666666666666683E-3"/>
                  <c:y val="-2.315963606286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NUEVOS'!$V$63:$V$65</c:f>
              <c:strCache>
                <c:ptCount val="3"/>
                <c:pt idx="0">
                  <c:v>&lt;$5000</c:v>
                </c:pt>
                <c:pt idx="1">
                  <c:v>$5,001 A $25,000</c:v>
                </c:pt>
                <c:pt idx="2">
                  <c:v>&gt;$25,000</c:v>
                </c:pt>
              </c:strCache>
            </c:strRef>
          </c:cat>
          <c:val>
            <c:numRef>
              <c:f>'FORMULAS NUEVOS'!$X$63:$X$65</c:f>
              <c:numCache>
                <c:formatCode>0.0%</c:formatCode>
                <c:ptCount val="3"/>
                <c:pt idx="0">
                  <c:v>0.97664543524416136</c:v>
                </c:pt>
                <c:pt idx="1">
                  <c:v>4.6709129511677279E-2</c:v>
                </c:pt>
                <c:pt idx="2">
                  <c:v>2.1231422505307855E-3</c:v>
                </c:pt>
              </c:numCache>
            </c:numRef>
          </c:val>
        </c:ser>
        <c:ser>
          <c:idx val="2"/>
          <c:order val="2"/>
          <c:tx>
            <c:strRef>
              <c:f>'FORMULAS NUEVOS'!$Y$62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0416666666666666E-2"/>
                  <c:y val="-2.315963606286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1666666666666683E-3"/>
                  <c:y val="-9.92555831265511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2500000000000116E-3"/>
                  <c:y val="-9.92555831265511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NUEVOS'!$V$63:$V$65</c:f>
              <c:strCache>
                <c:ptCount val="3"/>
                <c:pt idx="0">
                  <c:v>&lt;$5000</c:v>
                </c:pt>
                <c:pt idx="1">
                  <c:v>$5,001 A $25,000</c:v>
                </c:pt>
                <c:pt idx="2">
                  <c:v>&gt;$25,000</c:v>
                </c:pt>
              </c:strCache>
            </c:strRef>
          </c:cat>
          <c:val>
            <c:numRef>
              <c:f>'FORMULAS NUEVOS'!$Y$63:$Y$65</c:f>
              <c:numCache>
                <c:formatCode>0.0%</c:formatCode>
                <c:ptCount val="3"/>
                <c:pt idx="0">
                  <c:v>0.88636363636363635</c:v>
                </c:pt>
                <c:pt idx="1">
                  <c:v>8.3333333333333329E-2</c:v>
                </c:pt>
                <c:pt idx="2">
                  <c:v>0.12121212121212122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5222144"/>
        <c:axId val="195248512"/>
        <c:axId val="0"/>
      </c:bar3DChart>
      <c:catAx>
        <c:axId val="1952221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248512"/>
        <c:crosses val="autoZero"/>
        <c:auto val="1"/>
        <c:lblAlgn val="ctr"/>
        <c:lblOffset val="100"/>
        <c:noMultiLvlLbl val="0"/>
      </c:catAx>
      <c:valAx>
        <c:axId val="195248512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222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870406824146991"/>
          <c:y val="0.9285987638641946"/>
          <c:w val="0.7583792650918636"/>
          <c:h val="5.5870993793269652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 </a:t>
            </a:r>
          </a:p>
          <a:p>
            <a:pPr>
              <a:defRPr sz="1400"/>
            </a:pPr>
            <a:r>
              <a:rPr lang="es-MX" sz="1200"/>
              <a:t>CUÁNDO LE PAGAN EL SERVICIO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4842704521089787E-2"/>
          <c:y val="0.17688767164973937"/>
          <c:w val="0.85569562020710122"/>
          <c:h val="0.4892368888671531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NUEVOS'!$AI$2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NUEVOS'!$AH$3:$AH$7</c:f>
              <c:strCache>
                <c:ptCount val="5"/>
                <c:pt idx="0">
                  <c:v>Contra entrega</c:v>
                </c:pt>
                <c:pt idx="1">
                  <c:v>Semanalmente o a 10 días</c:v>
                </c:pt>
                <c:pt idx="2">
                  <c:v>Quincenalmente</c:v>
                </c:pt>
                <c:pt idx="3">
                  <c:v>Por mes o a 30 días</c:v>
                </c:pt>
                <c:pt idx="4">
                  <c:v>Mas de 30 días</c:v>
                </c:pt>
              </c:strCache>
            </c:strRef>
          </c:cat>
          <c:val>
            <c:numRef>
              <c:f>'FORMULAS NUEVOS'!$AI$3:$AI$7</c:f>
              <c:numCache>
                <c:formatCode>0.0%</c:formatCode>
                <c:ptCount val="5"/>
                <c:pt idx="0">
                  <c:v>0.48207171314741037</c:v>
                </c:pt>
                <c:pt idx="1">
                  <c:v>0.16334661354581673</c:v>
                </c:pt>
                <c:pt idx="2">
                  <c:v>0.13545816733067728</c:v>
                </c:pt>
                <c:pt idx="3">
                  <c:v>0.19521912350597609</c:v>
                </c:pt>
                <c:pt idx="4">
                  <c:v>2.3904382470119521E-2</c:v>
                </c:pt>
              </c:numCache>
            </c:numRef>
          </c:val>
        </c:ser>
        <c:ser>
          <c:idx val="1"/>
          <c:order val="1"/>
          <c:tx>
            <c:strRef>
              <c:f>'FORMULAS NUEVOS'!$AJ$2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NUEVOS'!$AH$3:$AH$7</c:f>
              <c:strCache>
                <c:ptCount val="5"/>
                <c:pt idx="0">
                  <c:v>Contra entrega</c:v>
                </c:pt>
                <c:pt idx="1">
                  <c:v>Semanalmente o a 10 días</c:v>
                </c:pt>
                <c:pt idx="2">
                  <c:v>Quincenalmente</c:v>
                </c:pt>
                <c:pt idx="3">
                  <c:v>Por mes o a 30 días</c:v>
                </c:pt>
                <c:pt idx="4">
                  <c:v>Mas de 30 días</c:v>
                </c:pt>
              </c:strCache>
            </c:strRef>
          </c:cat>
          <c:val>
            <c:numRef>
              <c:f>'FORMULAS NUEVOS'!$AJ$3:$AJ$7</c:f>
              <c:numCache>
                <c:formatCode>0.0%</c:formatCode>
                <c:ptCount val="5"/>
                <c:pt idx="0">
                  <c:v>0.31365313653136534</c:v>
                </c:pt>
                <c:pt idx="1">
                  <c:v>0.14760147601476015</c:v>
                </c:pt>
                <c:pt idx="2">
                  <c:v>0.16605166051660517</c:v>
                </c:pt>
                <c:pt idx="3">
                  <c:v>0.31365313653136534</c:v>
                </c:pt>
                <c:pt idx="4">
                  <c:v>5.9040590405904057E-2</c:v>
                </c:pt>
              </c:numCache>
            </c:numRef>
          </c:val>
        </c:ser>
        <c:ser>
          <c:idx val="2"/>
          <c:order val="2"/>
          <c:tx>
            <c:strRef>
              <c:f>'FORMULAS NUEVOS'!$AK$2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NUEVOS'!$AH$3:$AH$7</c:f>
              <c:strCache>
                <c:ptCount val="5"/>
                <c:pt idx="0">
                  <c:v>Contra entrega</c:v>
                </c:pt>
                <c:pt idx="1">
                  <c:v>Semanalmente o a 10 días</c:v>
                </c:pt>
                <c:pt idx="2">
                  <c:v>Quincenalmente</c:v>
                </c:pt>
                <c:pt idx="3">
                  <c:v>Por mes o a 30 días</c:v>
                </c:pt>
                <c:pt idx="4">
                  <c:v>Mas de 30 días</c:v>
                </c:pt>
              </c:strCache>
            </c:strRef>
          </c:cat>
          <c:val>
            <c:numRef>
              <c:f>'FORMULAS NUEVOS'!$AK$3:$AK$7</c:f>
              <c:numCache>
                <c:formatCode>0.0%</c:formatCode>
                <c:ptCount val="5"/>
                <c:pt idx="0">
                  <c:v>0.22033898305084745</c:v>
                </c:pt>
                <c:pt idx="1">
                  <c:v>0.10169491525423729</c:v>
                </c:pt>
                <c:pt idx="2">
                  <c:v>0.25423728813559321</c:v>
                </c:pt>
                <c:pt idx="3">
                  <c:v>0.32203389830508472</c:v>
                </c:pt>
                <c:pt idx="4">
                  <c:v>0.10169491525423729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5272064"/>
        <c:axId val="195294336"/>
        <c:axId val="0"/>
      </c:bar3DChart>
      <c:catAx>
        <c:axId val="1952720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5294336"/>
        <c:crosses val="autoZero"/>
        <c:auto val="1"/>
        <c:lblAlgn val="ctr"/>
        <c:lblOffset val="100"/>
        <c:noMultiLvlLbl val="0"/>
      </c:catAx>
      <c:valAx>
        <c:axId val="195294336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272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719977491076527"/>
          <c:y val="0.93214348206474262"/>
          <c:w val="0.8335879141867828"/>
          <c:h val="4.3856474462431495E-2"/>
        </c:manualLayout>
      </c:layout>
      <c:overlay val="0"/>
      <c:txPr>
        <a:bodyPr/>
        <a:lstStyle/>
        <a:p>
          <a:pPr>
            <a:defRPr sz="1100"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RESERVA PARTE DE SUS INGRESOS PARA COMPRA O </a:t>
            </a:r>
          </a:p>
          <a:p>
            <a:pPr>
              <a:defRPr sz="1400"/>
            </a:pPr>
            <a:r>
              <a:rPr lang="es-MX" sz="1200"/>
              <a:t>MODERNIZACIÓN DE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4577984694190964E-2"/>
          <c:y val="0.21077371309447571"/>
          <c:w val="0.86753424152714143"/>
          <c:h val="0.645520852955584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NUEVOS'!$AI$11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8.93141945773525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0800832033282088E-3"/>
                  <c:y val="7.336523125996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NUEVOS'!$AH$12:$AH$13</c:f>
              <c:strCache>
                <c:ptCount val="2"/>
                <c:pt idx="0">
                  <c:v>NO</c:v>
                </c:pt>
                <c:pt idx="1">
                  <c:v>SÍ</c:v>
                </c:pt>
              </c:strCache>
            </c:strRef>
          </c:cat>
          <c:val>
            <c:numRef>
              <c:f>'FORMULAS NUEVOS'!$AI$12:$AI$13</c:f>
              <c:numCache>
                <c:formatCode>0.0%</c:formatCode>
                <c:ptCount val="2"/>
                <c:pt idx="0">
                  <c:v>0.81683168316831678</c:v>
                </c:pt>
                <c:pt idx="1">
                  <c:v>0.18316831683168316</c:v>
                </c:pt>
              </c:numCache>
            </c:numRef>
          </c:val>
        </c:ser>
        <c:ser>
          <c:idx val="1"/>
          <c:order val="1"/>
          <c:tx>
            <c:strRef>
              <c:f>'FORMULAS NUEVOS'!$AJ$11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2880915236609616E-2"/>
                  <c:y val="-2.8708133971291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0800832033281342E-3"/>
                  <c:y val="-2.8708385136068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NUEVOS'!$AH$12:$AH$13</c:f>
              <c:strCache>
                <c:ptCount val="2"/>
                <c:pt idx="0">
                  <c:v>NO</c:v>
                </c:pt>
                <c:pt idx="1">
                  <c:v>SÍ</c:v>
                </c:pt>
              </c:strCache>
            </c:strRef>
          </c:cat>
          <c:val>
            <c:numRef>
              <c:f>'FORMULAS NUEVOS'!$AJ$12:$AJ$13</c:f>
              <c:numCache>
                <c:formatCode>0.0%</c:formatCode>
                <c:ptCount val="2"/>
                <c:pt idx="0">
                  <c:v>0.58857142857142852</c:v>
                </c:pt>
                <c:pt idx="1">
                  <c:v>0.41142857142857142</c:v>
                </c:pt>
              </c:numCache>
            </c:numRef>
          </c:val>
        </c:ser>
        <c:ser>
          <c:idx val="2"/>
          <c:order val="2"/>
          <c:tx>
            <c:strRef>
              <c:f>'FORMULAS NUEVOS'!$AK$11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288091523660957E-2"/>
                  <c:y val="-2.8708133971291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288091523660957E-2"/>
                  <c:y val="-2.8708133971291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NUEVOS'!$AH$12:$AH$13</c:f>
              <c:strCache>
                <c:ptCount val="2"/>
                <c:pt idx="0">
                  <c:v>NO</c:v>
                </c:pt>
                <c:pt idx="1">
                  <c:v>SÍ</c:v>
                </c:pt>
              </c:strCache>
            </c:strRef>
          </c:cat>
          <c:val>
            <c:numRef>
              <c:f>'FORMULAS NUEVOS'!$AK$12:$AK$13</c:f>
              <c:numCache>
                <c:formatCode>0.0%</c:formatCode>
                <c:ptCount val="2"/>
                <c:pt idx="0">
                  <c:v>0.38235294117647056</c:v>
                </c:pt>
                <c:pt idx="1">
                  <c:v>0.61764705882352944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5342720"/>
        <c:axId val="195344256"/>
        <c:axId val="0"/>
      </c:bar3DChart>
      <c:catAx>
        <c:axId val="1953427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344256"/>
        <c:crosses val="autoZero"/>
        <c:auto val="1"/>
        <c:lblAlgn val="ctr"/>
        <c:lblOffset val="100"/>
        <c:noMultiLvlLbl val="0"/>
      </c:catAx>
      <c:valAx>
        <c:axId val="195344256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342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845615241932512"/>
          <c:y val="0.91959813635735721"/>
          <c:w val="0.77175672853685862"/>
          <c:h val="6.6625224478519152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MARCA DE MOTOR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0"/>
          <c:order val="0"/>
          <c:tx>
            <c:strRef>
              <c:f>FORMULAS!$N$38</c:f>
              <c:strCache>
                <c:ptCount val="1"/>
                <c:pt idx="0">
                  <c:v>MARCA DE MOTOR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1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FORMULAS!$N$39:$N$59</c:f>
              <c:strCache>
                <c:ptCount val="21"/>
                <c:pt idx="0">
                  <c:v>CATERPILLAR</c:v>
                </c:pt>
                <c:pt idx="1">
                  <c:v>CHEVROLET</c:v>
                </c:pt>
                <c:pt idx="2">
                  <c:v>CHRYSLER</c:v>
                </c:pt>
                <c:pt idx="3">
                  <c:v>CUMMINS</c:v>
                </c:pt>
                <c:pt idx="4">
                  <c:v>DETROIT</c:v>
                </c:pt>
                <c:pt idx="5">
                  <c:v>DINA</c:v>
                </c:pt>
                <c:pt idx="6">
                  <c:v>DODGE</c:v>
                </c:pt>
                <c:pt idx="7">
                  <c:v>FAMSA</c:v>
                </c:pt>
                <c:pt idx="8">
                  <c:v>FORD</c:v>
                </c:pt>
                <c:pt idx="9">
                  <c:v>FREIGHTLINER</c:v>
                </c:pt>
                <c:pt idx="10">
                  <c:v>GMC</c:v>
                </c:pt>
                <c:pt idx="11">
                  <c:v>INTERNATIONAL</c:v>
                </c:pt>
                <c:pt idx="12">
                  <c:v>KENWORTH</c:v>
                </c:pt>
                <c:pt idx="13">
                  <c:v>KODIAK</c:v>
                </c:pt>
                <c:pt idx="14">
                  <c:v>MERCEDES BENZ</c:v>
                </c:pt>
                <c:pt idx="15">
                  <c:v>NAVISTAR</c:v>
                </c:pt>
                <c:pt idx="16">
                  <c:v>NISSAN</c:v>
                </c:pt>
                <c:pt idx="17">
                  <c:v>PERKINS</c:v>
                </c:pt>
                <c:pt idx="18">
                  <c:v>PETERBILT</c:v>
                </c:pt>
                <c:pt idx="19">
                  <c:v>VOLKSWAGEN</c:v>
                </c:pt>
                <c:pt idx="20">
                  <c:v>VOLVO</c:v>
                </c:pt>
              </c:strCache>
            </c:strRef>
          </c:cat>
          <c:val>
            <c:numRef>
              <c:f>FORMULAS!$O$39:$O$59</c:f>
              <c:numCache>
                <c:formatCode>General</c:formatCode>
                <c:ptCount val="21"/>
                <c:pt idx="0">
                  <c:v>44</c:v>
                </c:pt>
                <c:pt idx="1">
                  <c:v>10</c:v>
                </c:pt>
                <c:pt idx="2">
                  <c:v>1</c:v>
                </c:pt>
                <c:pt idx="3">
                  <c:v>322</c:v>
                </c:pt>
                <c:pt idx="4">
                  <c:v>72</c:v>
                </c:pt>
                <c:pt idx="5">
                  <c:v>34</c:v>
                </c:pt>
                <c:pt idx="6">
                  <c:v>1</c:v>
                </c:pt>
                <c:pt idx="7">
                  <c:v>2</c:v>
                </c:pt>
                <c:pt idx="8">
                  <c:v>73</c:v>
                </c:pt>
                <c:pt idx="9">
                  <c:v>66</c:v>
                </c:pt>
                <c:pt idx="10">
                  <c:v>12</c:v>
                </c:pt>
                <c:pt idx="11">
                  <c:v>136</c:v>
                </c:pt>
                <c:pt idx="12">
                  <c:v>132</c:v>
                </c:pt>
                <c:pt idx="13">
                  <c:v>9</c:v>
                </c:pt>
                <c:pt idx="14">
                  <c:v>13</c:v>
                </c:pt>
                <c:pt idx="15">
                  <c:v>6</c:v>
                </c:pt>
                <c:pt idx="16">
                  <c:v>9</c:v>
                </c:pt>
                <c:pt idx="17">
                  <c:v>17</c:v>
                </c:pt>
                <c:pt idx="18">
                  <c:v>1</c:v>
                </c:pt>
                <c:pt idx="19">
                  <c:v>1</c:v>
                </c:pt>
                <c:pt idx="20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4470784"/>
        <c:axId val="164472320"/>
        <c:axId val="0"/>
      </c:bar3DChart>
      <c:catAx>
        <c:axId val="164470784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64472320"/>
        <c:crosses val="autoZero"/>
        <c:auto val="1"/>
        <c:lblAlgn val="ctr"/>
        <c:lblOffset val="100"/>
        <c:noMultiLvlLbl val="0"/>
      </c:catAx>
      <c:valAx>
        <c:axId val="1644723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64470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RESERVA PARTE DE SUS INGRESOS PARA AHORRO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4577984694190964E-2"/>
          <c:y val="0.14025853018372736"/>
          <c:w val="0.8612939919171565"/>
          <c:h val="0.6862359580052493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NUEVOS'!$AI$18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0800832033281342E-3"/>
                  <c:y val="8.0000000000000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1601664066561895E-3"/>
                  <c:y val="7.9999999999999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NUEVOS'!$AH$19:$AH$20</c:f>
              <c:strCache>
                <c:ptCount val="2"/>
                <c:pt idx="0">
                  <c:v>NO</c:v>
                </c:pt>
                <c:pt idx="1">
                  <c:v>SÍ</c:v>
                </c:pt>
              </c:strCache>
            </c:strRef>
          </c:cat>
          <c:val>
            <c:numRef>
              <c:f>'FORMULAS NUEVOS'!$AI$19:$AI$20</c:f>
              <c:numCache>
                <c:formatCode>0.0%</c:formatCode>
                <c:ptCount val="2"/>
                <c:pt idx="0">
                  <c:v>0.62376237623762376</c:v>
                </c:pt>
                <c:pt idx="1">
                  <c:v>0.37623762376237624</c:v>
                </c:pt>
              </c:numCache>
            </c:numRef>
          </c:val>
        </c:ser>
        <c:ser>
          <c:idx val="1"/>
          <c:order val="1"/>
          <c:tx>
            <c:strRef>
              <c:f>'FORMULAS NUEVOS'!$AJ$18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4960998439937598E-2"/>
                  <c:y val="-2.0000000000000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2.66666666666666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NUEVOS'!$AH$19:$AH$20</c:f>
              <c:strCache>
                <c:ptCount val="2"/>
                <c:pt idx="0">
                  <c:v>NO</c:v>
                </c:pt>
                <c:pt idx="1">
                  <c:v>SÍ</c:v>
                </c:pt>
              </c:strCache>
            </c:strRef>
          </c:cat>
          <c:val>
            <c:numRef>
              <c:f>'FORMULAS NUEVOS'!$AJ$19:$AJ$20</c:f>
              <c:numCache>
                <c:formatCode>0.0%</c:formatCode>
                <c:ptCount val="2"/>
                <c:pt idx="0">
                  <c:v>0.30285714285714288</c:v>
                </c:pt>
                <c:pt idx="1">
                  <c:v>0.69714285714285718</c:v>
                </c:pt>
              </c:numCache>
            </c:numRef>
          </c:val>
        </c:ser>
        <c:ser>
          <c:idx val="2"/>
          <c:order val="2"/>
          <c:tx>
            <c:strRef>
              <c:f>'FORMULAS NUEVOS'!$AK$18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4960998439937598E-2"/>
                  <c:y val="-2.0000000000000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4960998439937598E-2"/>
                  <c:y val="-1.6666666666666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NUEVOS'!$AH$19:$AH$20</c:f>
              <c:strCache>
                <c:ptCount val="2"/>
                <c:pt idx="0">
                  <c:v>NO</c:v>
                </c:pt>
                <c:pt idx="1">
                  <c:v>SÍ</c:v>
                </c:pt>
              </c:strCache>
            </c:strRef>
          </c:cat>
          <c:val>
            <c:numRef>
              <c:f>'FORMULAS NUEVOS'!$AK$19:$AK$20</c:f>
              <c:numCache>
                <c:formatCode>0.0%</c:formatCode>
                <c:ptCount val="2"/>
                <c:pt idx="0">
                  <c:v>0.23529411764705882</c:v>
                </c:pt>
                <c:pt idx="1">
                  <c:v>0.76470588235294112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5462272"/>
        <c:axId val="195463808"/>
        <c:axId val="0"/>
      </c:bar3DChart>
      <c:catAx>
        <c:axId val="1954622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463808"/>
        <c:crosses val="autoZero"/>
        <c:auto val="1"/>
        <c:lblAlgn val="ctr"/>
        <c:lblOffset val="100"/>
        <c:noMultiLvlLbl val="0"/>
      </c:catAx>
      <c:valAx>
        <c:axId val="195463808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462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712002653334477"/>
          <c:y val="0.91181338582676996"/>
          <c:w val="0.79463764377346768"/>
          <c:h val="5.6290026246719173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MEDIO DE OBTENCIÓN DEL CRÉDITO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4975522260344508E-2"/>
          <c:y val="0.14025853018372733"/>
          <c:w val="0.85646220554719066"/>
          <c:h val="0.6206104986876640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NUEVOS'!$AI$24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NUEVOS'!$AH$25:$AH$29</c:f>
              <c:strCache>
                <c:ptCount val="5"/>
                <c:pt idx="0">
                  <c:v>Crédito Automotriz</c:v>
                </c:pt>
                <c:pt idx="1">
                  <c:v>Tarjeta de crédito</c:v>
                </c:pt>
                <c:pt idx="2">
                  <c:v>Empeño o prestamista</c:v>
                </c:pt>
                <c:pt idx="3">
                  <c:v>Del Sistema Financiero</c:v>
                </c:pt>
                <c:pt idx="4">
                  <c:v>Un amigo o familiar</c:v>
                </c:pt>
              </c:strCache>
            </c:strRef>
          </c:cat>
          <c:val>
            <c:numRef>
              <c:f>'FORMULAS NUEVOS'!$AI$25:$AI$29</c:f>
              <c:numCache>
                <c:formatCode>0.0%</c:formatCode>
                <c:ptCount val="5"/>
                <c:pt idx="0">
                  <c:v>0.10820895522388059</c:v>
                </c:pt>
                <c:pt idx="1">
                  <c:v>0.16791044776119404</c:v>
                </c:pt>
                <c:pt idx="2">
                  <c:v>0.2462686567164179</c:v>
                </c:pt>
                <c:pt idx="3">
                  <c:v>0.27238805970149255</c:v>
                </c:pt>
                <c:pt idx="4">
                  <c:v>0.20522388059701493</c:v>
                </c:pt>
              </c:numCache>
            </c:numRef>
          </c:val>
        </c:ser>
        <c:ser>
          <c:idx val="1"/>
          <c:order val="1"/>
          <c:tx>
            <c:strRef>
              <c:f>'FORMULAS NUEVOS'!$AJ$24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8.359456635318762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04493207941483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2695924764890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NUEVOS'!$AH$25:$AH$29</c:f>
              <c:strCache>
                <c:ptCount val="5"/>
                <c:pt idx="0">
                  <c:v>Crédito Automotriz</c:v>
                </c:pt>
                <c:pt idx="1">
                  <c:v>Tarjeta de crédito</c:v>
                </c:pt>
                <c:pt idx="2">
                  <c:v>Empeño o prestamista</c:v>
                </c:pt>
                <c:pt idx="3">
                  <c:v>Del Sistema Financiero</c:v>
                </c:pt>
                <c:pt idx="4">
                  <c:v>Un amigo o familiar</c:v>
                </c:pt>
              </c:strCache>
            </c:strRef>
          </c:cat>
          <c:val>
            <c:numRef>
              <c:f>'FORMULAS NUEVOS'!$AJ$25:$AJ$29</c:f>
              <c:numCache>
                <c:formatCode>0.0%</c:formatCode>
                <c:ptCount val="5"/>
                <c:pt idx="0">
                  <c:v>0.1910569105691057</c:v>
                </c:pt>
                <c:pt idx="1">
                  <c:v>0.36991869918699188</c:v>
                </c:pt>
                <c:pt idx="2">
                  <c:v>6.910569105691057E-2</c:v>
                </c:pt>
                <c:pt idx="3">
                  <c:v>0.24390243902439024</c:v>
                </c:pt>
                <c:pt idx="4">
                  <c:v>0.12601626016260162</c:v>
                </c:pt>
              </c:numCache>
            </c:numRef>
          </c:val>
        </c:ser>
        <c:ser>
          <c:idx val="2"/>
          <c:order val="2"/>
          <c:tx>
            <c:strRef>
              <c:f>'FORMULAS NUEVOS'!$AK$24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4.1797283176593534E-3"/>
                  <c:y val="0.15000000000000024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2695924764890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8.3594566353187624E-3"/>
                  <c:y val="6.111040515849666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8.359456635318762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NUEVOS'!$AH$25:$AH$29</c:f>
              <c:strCache>
                <c:ptCount val="5"/>
                <c:pt idx="0">
                  <c:v>Crédito Automotriz</c:v>
                </c:pt>
                <c:pt idx="1">
                  <c:v>Tarjeta de crédito</c:v>
                </c:pt>
                <c:pt idx="2">
                  <c:v>Empeño o prestamista</c:v>
                </c:pt>
                <c:pt idx="3">
                  <c:v>Del Sistema Financiero</c:v>
                </c:pt>
                <c:pt idx="4">
                  <c:v>Un amigo o familiar</c:v>
                </c:pt>
              </c:strCache>
            </c:strRef>
          </c:cat>
          <c:val>
            <c:numRef>
              <c:f>'FORMULAS NUEVOS'!$AK$25:$AK$29</c:f>
              <c:numCache>
                <c:formatCode>0.0%</c:formatCode>
                <c:ptCount val="5"/>
                <c:pt idx="0">
                  <c:v>0.19354838709677419</c:v>
                </c:pt>
                <c:pt idx="1">
                  <c:v>0.4838709677419355</c:v>
                </c:pt>
                <c:pt idx="2">
                  <c:v>3.2258064516129031E-2</c:v>
                </c:pt>
                <c:pt idx="3">
                  <c:v>0.16129032258064516</c:v>
                </c:pt>
                <c:pt idx="4">
                  <c:v>0.12903225806451613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5516672"/>
        <c:axId val="195526656"/>
        <c:axId val="0"/>
      </c:bar3DChart>
      <c:catAx>
        <c:axId val="1955166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526656"/>
        <c:crosses val="autoZero"/>
        <c:auto val="1"/>
        <c:lblAlgn val="ctr"/>
        <c:lblOffset val="100"/>
        <c:noMultiLvlLbl val="0"/>
      </c:catAx>
      <c:valAx>
        <c:axId val="195526656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516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803124922864294"/>
          <c:y val="0.89181338582676994"/>
          <c:w val="0.81091336937114711"/>
          <c:h val="6.6290026246719161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CRÉDITOS EN LOS ÚLTIMOS 12 MESES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109086638895423E-2"/>
          <c:y val="0.12750775471247924"/>
          <c:w val="0.86251614152626277"/>
          <c:h val="0.6498811739441674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NUEVOS'!$AI$33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9.09090909090911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2.1212121212121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465724751439061E-2"/>
                  <c:y val="0.12727272727272718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NUEVOS'!$AH$34:$AH$36</c:f>
              <c:strCache>
                <c:ptCount val="3"/>
                <c:pt idx="0">
                  <c:v>Para Capital de trabajo</c:v>
                </c:pt>
                <c:pt idx="1">
                  <c:v>Para Auto financiamiento de una unidad</c:v>
                </c:pt>
                <c:pt idx="2">
                  <c:v>Ninguno</c:v>
                </c:pt>
              </c:strCache>
            </c:strRef>
          </c:cat>
          <c:val>
            <c:numRef>
              <c:f>'FORMULAS NUEVOS'!$AI$34:$AI$36</c:f>
              <c:numCache>
                <c:formatCode>0.0%</c:formatCode>
                <c:ptCount val="3"/>
                <c:pt idx="0">
                  <c:v>5.5555555555555552E-2</c:v>
                </c:pt>
                <c:pt idx="1">
                  <c:v>5.5555555555555552E-2</c:v>
                </c:pt>
                <c:pt idx="2">
                  <c:v>0.88888888888888884</c:v>
                </c:pt>
              </c:numCache>
            </c:numRef>
          </c:val>
        </c:ser>
        <c:ser>
          <c:idx val="1"/>
          <c:order val="1"/>
          <c:tx>
            <c:strRef>
              <c:f>'FORMULAS NUEVOS'!$AJ$33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1.5151515151515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9.09090909090911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1862899005756194E-3"/>
                  <c:y val="-9.09090909090911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NUEVOS'!$AH$34:$AH$36</c:f>
              <c:strCache>
                <c:ptCount val="3"/>
                <c:pt idx="0">
                  <c:v>Para Capital de trabajo</c:v>
                </c:pt>
                <c:pt idx="1">
                  <c:v>Para Auto financiamiento de una unidad</c:v>
                </c:pt>
                <c:pt idx="2">
                  <c:v>Ninguno</c:v>
                </c:pt>
              </c:strCache>
            </c:strRef>
          </c:cat>
          <c:val>
            <c:numRef>
              <c:f>'FORMULAS NUEVOS'!$AJ$34:$AJ$36</c:f>
              <c:numCache>
                <c:formatCode>0.0%</c:formatCode>
                <c:ptCount val="3"/>
                <c:pt idx="0">
                  <c:v>0.48780487804878048</c:v>
                </c:pt>
                <c:pt idx="1">
                  <c:v>9.7560975609756101E-2</c:v>
                </c:pt>
                <c:pt idx="2">
                  <c:v>0.41463414634146339</c:v>
                </c:pt>
              </c:numCache>
            </c:numRef>
          </c:val>
        </c:ser>
        <c:ser>
          <c:idx val="2"/>
          <c:order val="2"/>
          <c:tx>
            <c:strRef>
              <c:f>'FORMULAS NUEVOS'!$AK$33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2794348508634313E-3"/>
                  <c:y val="-1.2121212121212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2558869701726922E-2"/>
                  <c:y val="-1.8181818181818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2558869701726844E-2"/>
                  <c:y val="-6.0606060606060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NUEVOS'!$AH$34:$AH$36</c:f>
              <c:strCache>
                <c:ptCount val="3"/>
                <c:pt idx="0">
                  <c:v>Para Capital de trabajo</c:v>
                </c:pt>
                <c:pt idx="1">
                  <c:v>Para Auto financiamiento de una unidad</c:v>
                </c:pt>
                <c:pt idx="2">
                  <c:v>Ninguno</c:v>
                </c:pt>
              </c:strCache>
            </c:strRef>
          </c:cat>
          <c:val>
            <c:numRef>
              <c:f>'FORMULAS NUEVOS'!$AK$34:$AK$36</c:f>
              <c:numCache>
                <c:formatCode>0.0%</c:formatCode>
                <c:ptCount val="3"/>
                <c:pt idx="0">
                  <c:v>0.27272727272727271</c:v>
                </c:pt>
                <c:pt idx="1">
                  <c:v>0.18181818181818182</c:v>
                </c:pt>
                <c:pt idx="2">
                  <c:v>0.54545454545454541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5558784"/>
        <c:axId val="195601536"/>
        <c:axId val="0"/>
      </c:bar3DChart>
      <c:catAx>
        <c:axId val="1955587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601536"/>
        <c:crosses val="autoZero"/>
        <c:auto val="1"/>
        <c:lblAlgn val="ctr"/>
        <c:lblOffset val="100"/>
        <c:noMultiLvlLbl val="0"/>
      </c:catAx>
      <c:valAx>
        <c:axId val="195601536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558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711240765234041"/>
          <c:y val="0.92589095681221667"/>
          <c:w val="0.85614243274535762"/>
          <c:h val="6.6324266284896224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 + CONDUCTORES</a:t>
            </a:r>
          </a:p>
          <a:p>
            <a:pPr>
              <a:defRPr sz="1400"/>
            </a:pPr>
            <a:r>
              <a:rPr lang="es-MX" sz="1200"/>
              <a:t>TIPO DE UNIDAD MOTRIZ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4975522260344508E-2"/>
          <c:y val="0.13421868917103125"/>
          <c:w val="0.85019261307070304"/>
          <c:h val="0.7380248401964122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NUEVOS'!$AI$40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NUEVOS'!$AH$41:$AH$44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NUEVOS'!$AI$41:$AI$44</c:f>
              <c:numCache>
                <c:formatCode>0.0%</c:formatCode>
                <c:ptCount val="4"/>
                <c:pt idx="0">
                  <c:v>0.18181818181818182</c:v>
                </c:pt>
                <c:pt idx="1">
                  <c:v>0.35636363636363638</c:v>
                </c:pt>
                <c:pt idx="2">
                  <c:v>1.8181818181818181E-2</c:v>
                </c:pt>
                <c:pt idx="3">
                  <c:v>0.44363636363636366</c:v>
                </c:pt>
              </c:numCache>
            </c:numRef>
          </c:val>
        </c:ser>
        <c:ser>
          <c:idx val="1"/>
          <c:order val="1"/>
          <c:tx>
            <c:strRef>
              <c:f>'FORMULAS NUEVOS'!$AJ$40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6.2695924764890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NUEVOS'!$AH$41:$AH$44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NUEVOS'!$AJ$41:$AJ$44</c:f>
              <c:numCache>
                <c:formatCode>0.0%</c:formatCode>
                <c:ptCount val="4"/>
                <c:pt idx="0">
                  <c:v>0.26273458445040215</c:v>
                </c:pt>
                <c:pt idx="1">
                  <c:v>0.19839142091152814</c:v>
                </c:pt>
                <c:pt idx="2">
                  <c:v>5.6300268096514748E-2</c:v>
                </c:pt>
                <c:pt idx="3">
                  <c:v>0.48257372654155495</c:v>
                </c:pt>
              </c:numCache>
            </c:numRef>
          </c:val>
        </c:ser>
        <c:ser>
          <c:idx val="2"/>
          <c:order val="2"/>
          <c:tx>
            <c:strRef>
              <c:f>'FORMULAS NUEVOS'!$AK$40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2539184952978056E-2"/>
                  <c:y val="3.1897926634768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253918495297805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044932079414838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NUEVOS'!$AH$41:$AH$44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NUEVOS'!$AK$41:$AK$44</c:f>
              <c:numCache>
                <c:formatCode>0.0%</c:formatCode>
                <c:ptCount val="4"/>
                <c:pt idx="0">
                  <c:v>0.16990291262135923</c:v>
                </c:pt>
                <c:pt idx="1">
                  <c:v>8.2524271844660199E-2</c:v>
                </c:pt>
                <c:pt idx="2">
                  <c:v>2.1844660194174758E-2</c:v>
                </c:pt>
                <c:pt idx="3">
                  <c:v>0.72572815533980584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5629440"/>
        <c:axId val="195630976"/>
        <c:axId val="0"/>
      </c:bar3DChart>
      <c:catAx>
        <c:axId val="1956294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630976"/>
        <c:crosses val="autoZero"/>
        <c:auto val="1"/>
        <c:lblAlgn val="ctr"/>
        <c:lblOffset val="100"/>
        <c:noMultiLvlLbl val="0"/>
      </c:catAx>
      <c:valAx>
        <c:axId val="195630976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629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5690683648870045E-2"/>
          <c:y val="0.92916751434778788"/>
          <c:w val="0.87251203317453663"/>
          <c:h val="5.386605382461189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 + CONDUCTORES</a:t>
            </a:r>
          </a:p>
          <a:p>
            <a:pPr>
              <a:defRPr sz="1400"/>
            </a:pPr>
            <a:r>
              <a:rPr lang="es-MX" sz="1200"/>
              <a:t>TIPOS DE UNIDADES DE ARRASTRE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4446079754049566E-2"/>
          <c:y val="0.13389835817062287"/>
          <c:w val="0.86358705161854765"/>
          <c:h val="0.4872531148403585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NUEVOS'!$AI$50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NUEVOS'!$AH$51:$AH$57</c:f>
              <c:strCache>
                <c:ptCount val="7"/>
                <c:pt idx="0">
                  <c:v>Caja seca</c:v>
                </c:pt>
                <c:pt idx="1">
                  <c:v>Refrigeradas</c:v>
                </c:pt>
                <c:pt idx="2">
                  <c:v>Tanque / Hazmat</c:v>
                </c:pt>
                <c:pt idx="3">
                  <c:v>Plataforma</c:v>
                </c:pt>
                <c:pt idx="4">
                  <c:v>Tolva / Volteo / Góndola</c:v>
                </c:pt>
                <c:pt idx="5">
                  <c:v>Redilas / Jaula</c:v>
                </c:pt>
                <c:pt idx="6">
                  <c:v>Remolque Otro tipo</c:v>
                </c:pt>
              </c:strCache>
            </c:strRef>
          </c:cat>
          <c:val>
            <c:numRef>
              <c:f>'FORMULAS NUEVOS'!$AI$51:$AI$57</c:f>
              <c:numCache>
                <c:formatCode>0.0%</c:formatCode>
                <c:ptCount val="7"/>
                <c:pt idx="0">
                  <c:v>0.43373493975903615</c:v>
                </c:pt>
                <c:pt idx="1">
                  <c:v>0.18975903614457831</c:v>
                </c:pt>
                <c:pt idx="2">
                  <c:v>5.4216867469879519E-2</c:v>
                </c:pt>
                <c:pt idx="3">
                  <c:v>4.5180722891566265E-2</c:v>
                </c:pt>
                <c:pt idx="4">
                  <c:v>5.4216867469879519E-2</c:v>
                </c:pt>
                <c:pt idx="5">
                  <c:v>0.18975903614457831</c:v>
                </c:pt>
                <c:pt idx="6">
                  <c:v>3.313253012048193E-2</c:v>
                </c:pt>
              </c:numCache>
            </c:numRef>
          </c:val>
        </c:ser>
        <c:ser>
          <c:idx val="1"/>
          <c:order val="1"/>
          <c:tx>
            <c:strRef>
              <c:f>'FORMULAS NUEVOS'!$AJ$50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5"/>
              <c:layout>
                <c:manualLayout>
                  <c:x val="4.15368639667705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NUEVOS'!$AH$51:$AH$57</c:f>
              <c:strCache>
                <c:ptCount val="7"/>
                <c:pt idx="0">
                  <c:v>Caja seca</c:v>
                </c:pt>
                <c:pt idx="1">
                  <c:v>Refrigeradas</c:v>
                </c:pt>
                <c:pt idx="2">
                  <c:v>Tanque / Hazmat</c:v>
                </c:pt>
                <c:pt idx="3">
                  <c:v>Plataforma</c:v>
                </c:pt>
                <c:pt idx="4">
                  <c:v>Tolva / Volteo / Góndola</c:v>
                </c:pt>
                <c:pt idx="5">
                  <c:v>Redilas / Jaula</c:v>
                </c:pt>
                <c:pt idx="6">
                  <c:v>Remolque Otro tipo</c:v>
                </c:pt>
              </c:strCache>
            </c:strRef>
          </c:cat>
          <c:val>
            <c:numRef>
              <c:f>'FORMULAS NUEVOS'!$AJ$51:$AJ$57</c:f>
              <c:numCache>
                <c:formatCode>0.0%</c:formatCode>
                <c:ptCount val="7"/>
                <c:pt idx="0">
                  <c:v>0.44027303754266212</c:v>
                </c:pt>
                <c:pt idx="1">
                  <c:v>0.17406143344709898</c:v>
                </c:pt>
                <c:pt idx="2">
                  <c:v>8.3048919226393625E-2</c:v>
                </c:pt>
                <c:pt idx="3">
                  <c:v>9.7838452787258251E-2</c:v>
                </c:pt>
                <c:pt idx="4">
                  <c:v>3.0716723549488054E-2</c:v>
                </c:pt>
                <c:pt idx="5">
                  <c:v>7.6222980659840733E-2</c:v>
                </c:pt>
                <c:pt idx="6">
                  <c:v>9.7838452787258251E-2</c:v>
                </c:pt>
              </c:numCache>
            </c:numRef>
          </c:val>
        </c:ser>
        <c:ser>
          <c:idx val="2"/>
          <c:order val="2"/>
          <c:tx>
            <c:strRef>
              <c:f>'FORMULAS NUEVOS'!$AK$50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4.15368639667705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2305295950155918E-3"/>
                  <c:y val="-6.3643595863166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2305295950155918E-3"/>
                  <c:y val="-6.36435958631668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6.2305295950155918E-3"/>
                  <c:y val="-3.18217979315832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4.15368639667705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6.2305295950155918E-3"/>
                  <c:y val="-3.18217979315832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4.15368639667705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NUEVOS'!$AH$51:$AH$57</c:f>
              <c:strCache>
                <c:ptCount val="7"/>
                <c:pt idx="0">
                  <c:v>Caja seca</c:v>
                </c:pt>
                <c:pt idx="1">
                  <c:v>Refrigeradas</c:v>
                </c:pt>
                <c:pt idx="2">
                  <c:v>Tanque / Hazmat</c:v>
                </c:pt>
                <c:pt idx="3">
                  <c:v>Plataforma</c:v>
                </c:pt>
                <c:pt idx="4">
                  <c:v>Tolva / Volteo / Góndola</c:v>
                </c:pt>
                <c:pt idx="5">
                  <c:v>Redilas / Jaula</c:v>
                </c:pt>
                <c:pt idx="6">
                  <c:v>Remolque Otro tipo</c:v>
                </c:pt>
              </c:strCache>
            </c:strRef>
          </c:cat>
          <c:val>
            <c:numRef>
              <c:f>'FORMULAS NUEVOS'!$AK$51:$AK$57</c:f>
              <c:numCache>
                <c:formatCode>0.0%</c:formatCode>
                <c:ptCount val="7"/>
                <c:pt idx="0">
                  <c:v>0.40123456790123457</c:v>
                </c:pt>
                <c:pt idx="1">
                  <c:v>0.21810699588477367</c:v>
                </c:pt>
                <c:pt idx="2">
                  <c:v>8.4362139917695478E-2</c:v>
                </c:pt>
                <c:pt idx="3">
                  <c:v>4.9382716049382713E-2</c:v>
                </c:pt>
                <c:pt idx="4">
                  <c:v>3.7037037037037035E-2</c:v>
                </c:pt>
                <c:pt idx="5">
                  <c:v>3.4979423868312758E-2</c:v>
                </c:pt>
                <c:pt idx="6">
                  <c:v>0.17489711934156379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5679360"/>
        <c:axId val="195680896"/>
        <c:axId val="0"/>
      </c:bar3DChart>
      <c:catAx>
        <c:axId val="195679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680896"/>
        <c:crosses val="autoZero"/>
        <c:auto val="1"/>
        <c:lblAlgn val="ctr"/>
        <c:lblOffset val="100"/>
        <c:noMultiLvlLbl val="0"/>
      </c:catAx>
      <c:valAx>
        <c:axId val="195680896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679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260218640894191"/>
          <c:y val="0.93132530271424896"/>
          <c:w val="0.77470830164921112"/>
          <c:h val="5.0555315430439896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 CON UNA UNIDAD </a:t>
            </a:r>
          </a:p>
          <a:p>
            <a:pPr>
              <a:defRPr sz="1400"/>
            </a:pPr>
            <a:r>
              <a:rPr lang="en-US" sz="1200"/>
              <a:t>AÑO MODELO DE LA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1"/>
          <c:order val="0"/>
          <c:tx>
            <c:strRef>
              <c:f>'FORMULAS NUEVOS'!$AU$3</c:f>
              <c:strCache>
                <c:ptCount val="1"/>
                <c:pt idx="0">
                  <c:v>PROPIETARIOS CON UNA UNIDAD AÑO MODELO DE LA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1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NUEVOS'!$AU$17:$AU$52</c:f>
              <c:strCache>
                <c:ptCount val="36"/>
                <c:pt idx="0">
                  <c:v>Anteriores a 1980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</c:strCache>
            </c:strRef>
          </c:cat>
          <c:val>
            <c:numRef>
              <c:f>'FORMULAS NUEVOS'!$AV$17:$AV$52</c:f>
              <c:numCache>
                <c:formatCode>0.0%</c:formatCode>
                <c:ptCount val="36"/>
                <c:pt idx="0">
                  <c:v>5.0909090909090911E-2</c:v>
                </c:pt>
                <c:pt idx="1">
                  <c:v>3.6363636363636362E-2</c:v>
                </c:pt>
                <c:pt idx="2">
                  <c:v>7.2727272727272727E-3</c:v>
                </c:pt>
                <c:pt idx="3">
                  <c:v>2.181818181818182E-2</c:v>
                </c:pt>
                <c:pt idx="4">
                  <c:v>1.090909090909091E-2</c:v>
                </c:pt>
                <c:pt idx="5">
                  <c:v>1.090909090909091E-2</c:v>
                </c:pt>
                <c:pt idx="6">
                  <c:v>2.5454545454545455E-2</c:v>
                </c:pt>
                <c:pt idx="7">
                  <c:v>1.4545454545454545E-2</c:v>
                </c:pt>
                <c:pt idx="8">
                  <c:v>2.5454545454545455E-2</c:v>
                </c:pt>
                <c:pt idx="9">
                  <c:v>7.2727272727272727E-3</c:v>
                </c:pt>
                <c:pt idx="10">
                  <c:v>2.181818181818182E-2</c:v>
                </c:pt>
                <c:pt idx="11">
                  <c:v>3.272727272727273E-2</c:v>
                </c:pt>
                <c:pt idx="12">
                  <c:v>3.6363636363636364E-3</c:v>
                </c:pt>
                <c:pt idx="13">
                  <c:v>1.4545454545454545E-2</c:v>
                </c:pt>
                <c:pt idx="14">
                  <c:v>1.090909090909091E-2</c:v>
                </c:pt>
                <c:pt idx="15">
                  <c:v>1.4545454545454545E-2</c:v>
                </c:pt>
                <c:pt idx="16">
                  <c:v>2.5454545454545455E-2</c:v>
                </c:pt>
                <c:pt idx="17">
                  <c:v>1.4545454545454545E-2</c:v>
                </c:pt>
                <c:pt idx="18">
                  <c:v>0.04</c:v>
                </c:pt>
                <c:pt idx="19">
                  <c:v>6.1818181818181821E-2</c:v>
                </c:pt>
                <c:pt idx="20">
                  <c:v>3.272727272727273E-2</c:v>
                </c:pt>
                <c:pt idx="21">
                  <c:v>5.8181818181818182E-2</c:v>
                </c:pt>
                <c:pt idx="22">
                  <c:v>9.8181818181818176E-2</c:v>
                </c:pt>
                <c:pt idx="23">
                  <c:v>5.4545454545454543E-2</c:v>
                </c:pt>
                <c:pt idx="24">
                  <c:v>2.9090909090909091E-2</c:v>
                </c:pt>
                <c:pt idx="25">
                  <c:v>5.0909090909090911E-2</c:v>
                </c:pt>
                <c:pt idx="26">
                  <c:v>6.545454545454546E-2</c:v>
                </c:pt>
                <c:pt idx="27">
                  <c:v>1.8181818181818181E-2</c:v>
                </c:pt>
                <c:pt idx="28">
                  <c:v>2.5454545454545455E-2</c:v>
                </c:pt>
                <c:pt idx="29">
                  <c:v>3.272727272727273E-2</c:v>
                </c:pt>
                <c:pt idx="30">
                  <c:v>2.181818181818182E-2</c:v>
                </c:pt>
                <c:pt idx="31">
                  <c:v>1.8181818181818181E-2</c:v>
                </c:pt>
                <c:pt idx="32">
                  <c:v>3.6363636363636364E-3</c:v>
                </c:pt>
                <c:pt idx="33">
                  <c:v>1.8181818181818181E-2</c:v>
                </c:pt>
                <c:pt idx="34">
                  <c:v>2.181818181818182E-2</c:v>
                </c:pt>
                <c:pt idx="3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5788160"/>
        <c:axId val="195802240"/>
        <c:axId val="0"/>
      </c:bar3DChart>
      <c:catAx>
        <c:axId val="1957881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802240"/>
        <c:crosses val="autoZero"/>
        <c:auto val="1"/>
        <c:lblAlgn val="ctr"/>
        <c:lblOffset val="100"/>
        <c:noMultiLvlLbl val="0"/>
      </c:catAx>
      <c:valAx>
        <c:axId val="195802240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788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 CON 2 A 5 UNIDADES </a:t>
            </a:r>
          </a:p>
          <a:p>
            <a:pPr>
              <a:defRPr sz="1400"/>
            </a:pPr>
            <a:r>
              <a:rPr lang="en-US" sz="1200"/>
              <a:t>AÑO MODELO DE LA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1"/>
          <c:order val="0"/>
          <c:tx>
            <c:strRef>
              <c:f>'FORMULAS NUEVOS'!$AU$58</c:f>
              <c:strCache>
                <c:ptCount val="1"/>
                <c:pt idx="0">
                  <c:v>PROPIETARIOS CON 2 A 5 UNIDADES AÑO MODELO DE LA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NUEVOS'!$AU$72:$AU$107</c:f>
              <c:strCache>
                <c:ptCount val="36"/>
                <c:pt idx="0">
                  <c:v>Anteriores a 1980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</c:strCache>
            </c:strRef>
          </c:cat>
          <c:val>
            <c:numRef>
              <c:f>'FORMULAS NUEVOS'!$AV$72:$AV$107</c:f>
              <c:numCache>
                <c:formatCode>0.0%</c:formatCode>
                <c:ptCount val="36"/>
                <c:pt idx="0">
                  <c:v>6.9090909090909092E-2</c:v>
                </c:pt>
                <c:pt idx="1">
                  <c:v>8.3636363636363634E-2</c:v>
                </c:pt>
                <c:pt idx="2">
                  <c:v>1.4545454545454545E-2</c:v>
                </c:pt>
                <c:pt idx="3">
                  <c:v>2.181818181818182E-2</c:v>
                </c:pt>
                <c:pt idx="4">
                  <c:v>3.6363636363636362E-2</c:v>
                </c:pt>
                <c:pt idx="5">
                  <c:v>1.8181818181818181E-2</c:v>
                </c:pt>
                <c:pt idx="6">
                  <c:v>4.7272727272727272E-2</c:v>
                </c:pt>
                <c:pt idx="7">
                  <c:v>2.5454545454545455E-2</c:v>
                </c:pt>
                <c:pt idx="8">
                  <c:v>1.4545454545454545E-2</c:v>
                </c:pt>
                <c:pt idx="9">
                  <c:v>4.7272727272727272E-2</c:v>
                </c:pt>
                <c:pt idx="10">
                  <c:v>2.181818181818182E-2</c:v>
                </c:pt>
                <c:pt idx="11">
                  <c:v>7.2727272727272724E-2</c:v>
                </c:pt>
                <c:pt idx="12">
                  <c:v>2.181818181818182E-2</c:v>
                </c:pt>
                <c:pt idx="13">
                  <c:v>3.272727272727273E-2</c:v>
                </c:pt>
                <c:pt idx="14">
                  <c:v>5.4545454545454543E-2</c:v>
                </c:pt>
                <c:pt idx="15">
                  <c:v>7.2727272727272724E-2</c:v>
                </c:pt>
                <c:pt idx="16">
                  <c:v>7.2727272727272724E-2</c:v>
                </c:pt>
                <c:pt idx="17">
                  <c:v>3.6363636363636362E-2</c:v>
                </c:pt>
                <c:pt idx="18">
                  <c:v>9.0909090909090912E-2</c:v>
                </c:pt>
                <c:pt idx="19">
                  <c:v>6.545454545454546E-2</c:v>
                </c:pt>
                <c:pt idx="20">
                  <c:v>4.7272727272727272E-2</c:v>
                </c:pt>
                <c:pt idx="21">
                  <c:v>0.12363636363636364</c:v>
                </c:pt>
                <c:pt idx="22">
                  <c:v>9.4545454545454544E-2</c:v>
                </c:pt>
                <c:pt idx="23">
                  <c:v>5.4545454545454543E-2</c:v>
                </c:pt>
                <c:pt idx="24">
                  <c:v>0.13454545454545455</c:v>
                </c:pt>
                <c:pt idx="25">
                  <c:v>0.14181818181818182</c:v>
                </c:pt>
                <c:pt idx="26">
                  <c:v>0.1709090909090909</c:v>
                </c:pt>
                <c:pt idx="27">
                  <c:v>0.13090909090909092</c:v>
                </c:pt>
                <c:pt idx="28">
                  <c:v>0.2290909090909091</c:v>
                </c:pt>
                <c:pt idx="29">
                  <c:v>0.17454545454545456</c:v>
                </c:pt>
                <c:pt idx="30">
                  <c:v>0.12</c:v>
                </c:pt>
                <c:pt idx="31">
                  <c:v>0.14181818181818182</c:v>
                </c:pt>
                <c:pt idx="32">
                  <c:v>7.636363636363637E-2</c:v>
                </c:pt>
                <c:pt idx="33">
                  <c:v>0.11272727272727273</c:v>
                </c:pt>
                <c:pt idx="34">
                  <c:v>2.5454545454545455E-2</c:v>
                </c:pt>
                <c:pt idx="35">
                  <c:v>1.4545454545454545E-2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5839488"/>
        <c:axId val="195841024"/>
        <c:axId val="0"/>
      </c:bar3DChart>
      <c:catAx>
        <c:axId val="1958394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841024"/>
        <c:crosses val="autoZero"/>
        <c:auto val="1"/>
        <c:lblAlgn val="ctr"/>
        <c:lblOffset val="100"/>
        <c:noMultiLvlLbl val="0"/>
      </c:catAx>
      <c:valAx>
        <c:axId val="195841024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839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  <a:r>
              <a:rPr lang="es-MX" sz="1400" baseline="0"/>
              <a:t> + CONDUCTORES</a:t>
            </a:r>
          </a:p>
          <a:p>
            <a:pPr>
              <a:defRPr sz="1400"/>
            </a:pPr>
            <a:r>
              <a:rPr lang="es-MX" sz="1200"/>
              <a:t>KILOMETRAJE ACTUAL DE LA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167985539790091"/>
          <c:y val="0.14164622864764856"/>
          <c:w val="0.87142075484649162"/>
          <c:h val="0.5762869497870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NUEVOS'!$AZ$3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NUEVOS'!$AY$4:$AY$12</c:f>
              <c:strCache>
                <c:ptCount val="9"/>
                <c:pt idx="0">
                  <c:v>NO CONTESTA/NO SABE</c:v>
                </c:pt>
                <c:pt idx="1">
                  <c:v>ODÓMETRO DAÑADO</c:v>
                </c:pt>
                <c:pt idx="2">
                  <c:v>&lt;250,000</c:v>
                </c:pt>
                <c:pt idx="3">
                  <c:v>250,000 A 500,000</c:v>
                </c:pt>
                <c:pt idx="4">
                  <c:v>500,001 A 1'000,000</c:v>
                </c:pt>
                <c:pt idx="5">
                  <c:v>1'000,001 A 1'500,000</c:v>
                </c:pt>
                <c:pt idx="6">
                  <c:v>1'500,001 A 2'000,000</c:v>
                </c:pt>
                <c:pt idx="7">
                  <c:v>2'000,001 A 2'500,000</c:v>
                </c:pt>
                <c:pt idx="8">
                  <c:v>&gt;2'500,000</c:v>
                </c:pt>
              </c:strCache>
            </c:strRef>
          </c:cat>
          <c:val>
            <c:numRef>
              <c:f>'FORMULAS NUEVOS'!$AZ$4:$AZ$12</c:f>
              <c:numCache>
                <c:formatCode>0.0%</c:formatCode>
                <c:ptCount val="9"/>
                <c:pt idx="0">
                  <c:v>2.181818181818182E-2</c:v>
                </c:pt>
                <c:pt idx="1">
                  <c:v>0.04</c:v>
                </c:pt>
                <c:pt idx="2">
                  <c:v>5.8181818181818182E-2</c:v>
                </c:pt>
                <c:pt idx="3">
                  <c:v>0.12727272727272726</c:v>
                </c:pt>
                <c:pt idx="4">
                  <c:v>0.4</c:v>
                </c:pt>
                <c:pt idx="5">
                  <c:v>0.1709090909090909</c:v>
                </c:pt>
                <c:pt idx="6">
                  <c:v>8.727272727272728E-2</c:v>
                </c:pt>
                <c:pt idx="7">
                  <c:v>0.04</c:v>
                </c:pt>
                <c:pt idx="8">
                  <c:v>5.4545454545454543E-2</c:v>
                </c:pt>
              </c:numCache>
            </c:numRef>
          </c:val>
        </c:ser>
        <c:ser>
          <c:idx val="1"/>
          <c:order val="1"/>
          <c:tx>
            <c:strRef>
              <c:f>'FORMULAS NUEVOS'!$BA$3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3.32088003320876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3.32088003320880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3.3208800332088003E-3"/>
                  <c:y val="-2.73224043715846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4.98132004981321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4.9813200498132195E-3"/>
                  <c:y val="-5.46448087431693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NUEVOS'!$AY$4:$AY$12</c:f>
              <c:strCache>
                <c:ptCount val="9"/>
                <c:pt idx="0">
                  <c:v>NO CONTESTA/NO SABE</c:v>
                </c:pt>
                <c:pt idx="1">
                  <c:v>ODÓMETRO DAÑADO</c:v>
                </c:pt>
                <c:pt idx="2">
                  <c:v>&lt;250,000</c:v>
                </c:pt>
                <c:pt idx="3">
                  <c:v>250,000 A 500,000</c:v>
                </c:pt>
                <c:pt idx="4">
                  <c:v>500,001 A 1'000,000</c:v>
                </c:pt>
                <c:pt idx="5">
                  <c:v>1'000,001 A 1'500,000</c:v>
                </c:pt>
                <c:pt idx="6">
                  <c:v>1'500,001 A 2'000,000</c:v>
                </c:pt>
                <c:pt idx="7">
                  <c:v>2'000,001 A 2'500,000</c:v>
                </c:pt>
                <c:pt idx="8">
                  <c:v>&gt;2'500,000</c:v>
                </c:pt>
              </c:strCache>
            </c:strRef>
          </c:cat>
          <c:val>
            <c:numRef>
              <c:f>'FORMULAS NUEVOS'!$BA$4:$BA$12</c:f>
              <c:numCache>
                <c:formatCode>0.0%</c:formatCode>
                <c:ptCount val="9"/>
                <c:pt idx="0">
                  <c:v>3.7533512064343161E-2</c:v>
                </c:pt>
                <c:pt idx="1">
                  <c:v>1.7426273458445041E-2</c:v>
                </c:pt>
                <c:pt idx="2">
                  <c:v>0.14745308310991956</c:v>
                </c:pt>
                <c:pt idx="3">
                  <c:v>0.16487935656836461</c:v>
                </c:pt>
                <c:pt idx="4">
                  <c:v>0.403485254691689</c:v>
                </c:pt>
                <c:pt idx="5">
                  <c:v>0.11394101876675604</c:v>
                </c:pt>
                <c:pt idx="6">
                  <c:v>7.2386058981233251E-2</c:v>
                </c:pt>
                <c:pt idx="7">
                  <c:v>2.6809651474530832E-2</c:v>
                </c:pt>
                <c:pt idx="8">
                  <c:v>1.6085790884718499E-2</c:v>
                </c:pt>
              </c:numCache>
            </c:numRef>
          </c:val>
        </c:ser>
        <c:ser>
          <c:idx val="2"/>
          <c:order val="2"/>
          <c:tx>
            <c:strRef>
              <c:f>'FORMULAS NUEVOS'!$BB$3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4.98132004981321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6417600664176136E-3"/>
                  <c:y val="-5.46448087431693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6417600664176136E-3"/>
                  <c:y val="2.50452480157773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4.98132004981321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6.6416293231093531E-3"/>
                  <c:y val="-2.73224043715846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NUEVOS'!$AY$4:$AY$12</c:f>
              <c:strCache>
                <c:ptCount val="9"/>
                <c:pt idx="0">
                  <c:v>NO CONTESTA/NO SABE</c:v>
                </c:pt>
                <c:pt idx="1">
                  <c:v>ODÓMETRO DAÑADO</c:v>
                </c:pt>
                <c:pt idx="2">
                  <c:v>&lt;250,000</c:v>
                </c:pt>
                <c:pt idx="3">
                  <c:v>250,000 A 500,000</c:v>
                </c:pt>
                <c:pt idx="4">
                  <c:v>500,001 A 1'000,000</c:v>
                </c:pt>
                <c:pt idx="5">
                  <c:v>1'000,001 A 1'500,000</c:v>
                </c:pt>
                <c:pt idx="6">
                  <c:v>1'500,001 A 2'000,000</c:v>
                </c:pt>
                <c:pt idx="7">
                  <c:v>2'000,001 A 2'500,000</c:v>
                </c:pt>
                <c:pt idx="8">
                  <c:v>&gt;2'500,000</c:v>
                </c:pt>
              </c:strCache>
            </c:strRef>
          </c:cat>
          <c:val>
            <c:numRef>
              <c:f>'FORMULAS NUEVOS'!$BB$4:$BB$12</c:f>
              <c:numCache>
                <c:formatCode>0.0%</c:formatCode>
                <c:ptCount val="9"/>
                <c:pt idx="0">
                  <c:v>7.2815533980582527E-3</c:v>
                </c:pt>
                <c:pt idx="1">
                  <c:v>1.4563106796116505E-2</c:v>
                </c:pt>
                <c:pt idx="2">
                  <c:v>0.19174757281553398</c:v>
                </c:pt>
                <c:pt idx="3">
                  <c:v>0.21601941747572814</c:v>
                </c:pt>
                <c:pt idx="4">
                  <c:v>0.32038834951456313</c:v>
                </c:pt>
                <c:pt idx="5">
                  <c:v>0.11650485436893204</c:v>
                </c:pt>
                <c:pt idx="6">
                  <c:v>0.11650485436893204</c:v>
                </c:pt>
                <c:pt idx="7">
                  <c:v>1.2135922330097087E-2</c:v>
                </c:pt>
                <c:pt idx="8">
                  <c:v>4.8543689320388345E-3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5881216"/>
        <c:axId val="1589248"/>
        <c:axId val="0"/>
      </c:bar3DChart>
      <c:catAx>
        <c:axId val="1958812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000" b="1" i="0" baseline="0"/>
            </a:pPr>
            <a:endParaRPr lang="es-MX"/>
          </a:p>
        </c:txPr>
        <c:crossAx val="1589248"/>
        <c:crosses val="autoZero"/>
        <c:auto val="1"/>
        <c:lblAlgn val="ctr"/>
        <c:lblOffset val="100"/>
        <c:noMultiLvlLbl val="0"/>
      </c:catAx>
      <c:valAx>
        <c:axId val="1589248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5881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9222471799175593E-2"/>
          <c:y val="0.92771589002194399"/>
          <c:w val="0.83390187511827663"/>
          <c:h val="7.0729529710425551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 + CONDUCTORES</a:t>
            </a:r>
          </a:p>
          <a:p>
            <a:pPr>
              <a:defRPr sz="1400"/>
            </a:pPr>
            <a:r>
              <a:rPr lang="es-MX" sz="1200"/>
              <a:t>KILÓMETROS QUE RECORRE POR MES LA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7514929251527439E-2"/>
          <c:y val="0.13357955255593051"/>
          <c:w val="0.90256054232324257"/>
          <c:h val="0.7132248468941395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NUEVOS'!$AZ$17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-3.0441048646822772E-17"/>
                  <c:y val="0.14285714285714332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NUEVOS'!$AY$18:$AY$23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NUEVOS'!$AZ$18:$AZ$23</c:f>
              <c:numCache>
                <c:formatCode>0.0%</c:formatCode>
                <c:ptCount val="6"/>
                <c:pt idx="0">
                  <c:v>7.636363636363637E-2</c:v>
                </c:pt>
                <c:pt idx="1">
                  <c:v>0.3927272727272727</c:v>
                </c:pt>
                <c:pt idx="2">
                  <c:v>0.23636363636363636</c:v>
                </c:pt>
                <c:pt idx="3">
                  <c:v>0.25454545454545452</c:v>
                </c:pt>
                <c:pt idx="4">
                  <c:v>1.4545454545454545E-2</c:v>
                </c:pt>
                <c:pt idx="5">
                  <c:v>2.5454545454545455E-2</c:v>
                </c:pt>
              </c:numCache>
            </c:numRef>
          </c:val>
        </c:ser>
        <c:ser>
          <c:idx val="1"/>
          <c:order val="1"/>
          <c:tx>
            <c:strRef>
              <c:f>'FORMULAS NUEVOS'!$BA$17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0.13968253968253969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98132004981321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NUEVOS'!$AY$18:$AY$23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NUEVOS'!$BA$18:$BA$23</c:f>
              <c:numCache>
                <c:formatCode>0.0%</c:formatCode>
                <c:ptCount val="6"/>
                <c:pt idx="0">
                  <c:v>7.9088471849865949E-2</c:v>
                </c:pt>
                <c:pt idx="1">
                  <c:v>0.3605898123324397</c:v>
                </c:pt>
                <c:pt idx="2">
                  <c:v>0.17828418230563003</c:v>
                </c:pt>
                <c:pt idx="3">
                  <c:v>0.29892761394101874</c:v>
                </c:pt>
                <c:pt idx="4">
                  <c:v>2.9490616621983913E-2</c:v>
                </c:pt>
                <c:pt idx="5">
                  <c:v>5.3619302949061663E-2</c:v>
                </c:pt>
              </c:numCache>
            </c:numRef>
          </c:val>
        </c:ser>
        <c:ser>
          <c:idx val="2"/>
          <c:order val="2"/>
          <c:tx>
            <c:strRef>
              <c:f>'FORMULAS NUEVOS'!$BB$17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8.30220008302200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64176006641761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4.98132004981321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4.98132004981321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NUEVOS'!$AY$18:$AY$23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NUEVOS'!$BB$18:$BB$23</c:f>
              <c:numCache>
                <c:formatCode>0.0%</c:formatCode>
                <c:ptCount val="6"/>
                <c:pt idx="0">
                  <c:v>0.12</c:v>
                </c:pt>
                <c:pt idx="1">
                  <c:v>0.23250000000000001</c:v>
                </c:pt>
                <c:pt idx="2">
                  <c:v>0.17749999999999999</c:v>
                </c:pt>
                <c:pt idx="3">
                  <c:v>0.29749999999999999</c:v>
                </c:pt>
                <c:pt idx="4">
                  <c:v>3.7499999999999999E-2</c:v>
                </c:pt>
                <c:pt idx="5">
                  <c:v>0.13500000000000001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38400"/>
        <c:axId val="1639936"/>
        <c:axId val="0"/>
      </c:bar3DChart>
      <c:catAx>
        <c:axId val="16384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639936"/>
        <c:crosses val="autoZero"/>
        <c:auto val="1"/>
        <c:lblAlgn val="ctr"/>
        <c:lblOffset val="100"/>
        <c:noMultiLvlLbl val="0"/>
      </c:catAx>
      <c:valAx>
        <c:axId val="1639936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638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95939439699552"/>
          <c:y val="0.93982227221597459"/>
          <c:w val="0.75387637566474863"/>
          <c:h val="5.0434945631796027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 + CONDUCTORES</a:t>
            </a:r>
          </a:p>
          <a:p>
            <a:pPr>
              <a:defRPr sz="1400"/>
            </a:pPr>
            <a:r>
              <a:rPr lang="es-MX" sz="1200"/>
              <a:t>RENDIMIENTO DE LA UNIDAD CARGADA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7263502732133704E-2"/>
          <c:y val="0.13326222822495415"/>
          <c:w val="0.89961483102453499"/>
          <c:h val="0.691736662056555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NUEVOS'!$AZ$29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NUEVOS'!$AY$30:$AY$38</c:f>
              <c:strCache>
                <c:ptCount val="9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4.01 A 5.0</c:v>
                </c:pt>
                <c:pt idx="8">
                  <c:v>&gt;5.0</c:v>
                </c:pt>
              </c:strCache>
            </c:strRef>
          </c:cat>
          <c:val>
            <c:numRef>
              <c:f>'FORMULAS NUEVOS'!$AZ$30:$AZ$38</c:f>
              <c:numCache>
                <c:formatCode>0.0%</c:formatCode>
                <c:ptCount val="9"/>
                <c:pt idx="0">
                  <c:v>4.363636363636364E-2</c:v>
                </c:pt>
                <c:pt idx="1">
                  <c:v>0.14545454545454545</c:v>
                </c:pt>
                <c:pt idx="2">
                  <c:v>0.08</c:v>
                </c:pt>
                <c:pt idx="3">
                  <c:v>7.636363636363637E-2</c:v>
                </c:pt>
                <c:pt idx="4">
                  <c:v>0.24</c:v>
                </c:pt>
                <c:pt idx="5">
                  <c:v>0.13818181818181818</c:v>
                </c:pt>
                <c:pt idx="6">
                  <c:v>0.20363636363636364</c:v>
                </c:pt>
                <c:pt idx="7">
                  <c:v>6.1818181818181821E-2</c:v>
                </c:pt>
                <c:pt idx="8">
                  <c:v>1.090909090909091E-2</c:v>
                </c:pt>
              </c:numCache>
            </c:numRef>
          </c:val>
        </c:ser>
        <c:ser>
          <c:idx val="1"/>
          <c:order val="1"/>
          <c:tx>
            <c:strRef>
              <c:f>'FORMULAS NUEVOS'!$BA$29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3.308519437551701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6542597187757914E-3"/>
                  <c:y val="0.14885190270586771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3.308519437551701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4.9627791563275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3.308519437551701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NUEVOS'!$AY$30:$AY$38</c:f>
              <c:strCache>
                <c:ptCount val="9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4.01 A 5.0</c:v>
                </c:pt>
                <c:pt idx="8">
                  <c:v>&gt;5.0</c:v>
                </c:pt>
              </c:strCache>
            </c:strRef>
          </c:cat>
          <c:val>
            <c:numRef>
              <c:f>'FORMULAS NUEVOS'!$BA$30:$BA$38</c:f>
              <c:numCache>
                <c:formatCode>0.0%</c:formatCode>
                <c:ptCount val="9"/>
                <c:pt idx="0">
                  <c:v>6.3087248322147654E-2</c:v>
                </c:pt>
                <c:pt idx="1">
                  <c:v>0.13288590604026845</c:v>
                </c:pt>
                <c:pt idx="2">
                  <c:v>0.13691275167785236</c:v>
                </c:pt>
                <c:pt idx="3">
                  <c:v>0.12214765100671141</c:v>
                </c:pt>
                <c:pt idx="4">
                  <c:v>0.2644295302013423</c:v>
                </c:pt>
                <c:pt idx="5">
                  <c:v>0.1087248322147651</c:v>
                </c:pt>
                <c:pt idx="6">
                  <c:v>0.11409395973154363</c:v>
                </c:pt>
                <c:pt idx="7">
                  <c:v>4.429530201342282E-2</c:v>
                </c:pt>
                <c:pt idx="8">
                  <c:v>1.3422818791946308E-2</c:v>
                </c:pt>
              </c:numCache>
            </c:numRef>
          </c:val>
        </c:ser>
        <c:ser>
          <c:idx val="2"/>
          <c:order val="2"/>
          <c:tx>
            <c:strRef>
              <c:f>'FORMULAS NUEVOS'!$BB$29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4.9627791563275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96277915632757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4.9627791563275434E-3"/>
                  <c:y val="6.33412351939863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4.9627791563275434E-3"/>
                  <c:y val="5.80621281891618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4.9627791563275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4.9627791563275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NUEVOS'!$AY$30:$AY$38</c:f>
              <c:strCache>
                <c:ptCount val="9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4.01 A 5.0</c:v>
                </c:pt>
                <c:pt idx="8">
                  <c:v>&gt;5.0</c:v>
                </c:pt>
              </c:strCache>
            </c:strRef>
          </c:cat>
          <c:val>
            <c:numRef>
              <c:f>'FORMULAS NUEVOS'!$BB$30:$BB$38</c:f>
              <c:numCache>
                <c:formatCode>0.0%</c:formatCode>
                <c:ptCount val="9"/>
                <c:pt idx="0">
                  <c:v>3.8834951456310676E-2</c:v>
                </c:pt>
                <c:pt idx="1">
                  <c:v>0.13834951456310679</c:v>
                </c:pt>
                <c:pt idx="2">
                  <c:v>0.2354368932038835</c:v>
                </c:pt>
                <c:pt idx="3">
                  <c:v>0.18203883495145631</c:v>
                </c:pt>
                <c:pt idx="4">
                  <c:v>0.21359223300970873</c:v>
                </c:pt>
                <c:pt idx="5">
                  <c:v>9.9514563106796114E-2</c:v>
                </c:pt>
                <c:pt idx="6">
                  <c:v>3.1553398058252427E-2</c:v>
                </c:pt>
                <c:pt idx="7">
                  <c:v>3.640776699029126E-2</c:v>
                </c:pt>
                <c:pt idx="8">
                  <c:v>2.4271844660194174E-2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6150400"/>
        <c:axId val="196151936"/>
        <c:axId val="0"/>
      </c:bar3DChart>
      <c:catAx>
        <c:axId val="1961504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151936"/>
        <c:crosses val="autoZero"/>
        <c:auto val="1"/>
        <c:lblAlgn val="ctr"/>
        <c:lblOffset val="100"/>
        <c:noMultiLvlLbl val="0"/>
      </c:catAx>
      <c:valAx>
        <c:axId val="196151936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150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088164227610506"/>
          <c:y val="0.92610920727197399"/>
          <c:w val="0.74279908559817487"/>
          <c:h val="5.6649258633235708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6071741032370933E-2"/>
          <c:y val="0.19362004810823708"/>
          <c:w val="0.87980468066492712"/>
          <c:h val="0.6293065578104948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FORMULAS!$U$5</c:f>
              <c:strCache>
                <c:ptCount val="1"/>
                <c:pt idx="0">
                  <c:v>NO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0.10810810810810811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8452088452088504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FORMULAS!$V$3:$W$3</c:f>
              <c:strCache>
                <c:ptCount val="2"/>
                <c:pt idx="0">
                  <c:v>PARA COMPRA O MODERNIZACIÓN DE UNIDAD</c:v>
                </c:pt>
                <c:pt idx="1">
                  <c:v> PARA AHORRO</c:v>
                </c:pt>
              </c:strCache>
            </c:strRef>
          </c:cat>
          <c:val>
            <c:numRef>
              <c:f>FORMULAS!$V$5:$W$5</c:f>
              <c:numCache>
                <c:formatCode>General</c:formatCode>
                <c:ptCount val="2"/>
                <c:pt idx="0">
                  <c:v>281</c:v>
                </c:pt>
                <c:pt idx="1">
                  <c:v>187</c:v>
                </c:pt>
              </c:numCache>
            </c:numRef>
          </c:val>
        </c:ser>
        <c:ser>
          <c:idx val="1"/>
          <c:order val="1"/>
          <c:tx>
            <c:strRef>
              <c:f>FORMULAS!$U$6</c:f>
              <c:strCache>
                <c:ptCount val="1"/>
                <c:pt idx="0">
                  <c:v>SÍ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9.1728091728091765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1"/>
              <c:layout>
                <c:manualLayout>
                  <c:x val="0"/>
                  <c:y val="9.8280098280098566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FORMULAS!$V$3:$W$3</c:f>
              <c:strCache>
                <c:ptCount val="2"/>
                <c:pt idx="0">
                  <c:v>PARA COMPRA O MODERNIZACIÓN DE UNIDAD</c:v>
                </c:pt>
                <c:pt idx="1">
                  <c:v> PARA AHORRO</c:v>
                </c:pt>
              </c:strCache>
            </c:strRef>
          </c:cat>
          <c:val>
            <c:numRef>
              <c:f>FORMULAS!$V$6:$W$6</c:f>
              <c:numCache>
                <c:formatCode>General</c:formatCode>
                <c:ptCount val="2"/>
                <c:pt idx="0">
                  <c:v>130</c:v>
                </c:pt>
                <c:pt idx="1">
                  <c:v>224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5620352"/>
        <c:axId val="165626240"/>
        <c:axId val="0"/>
      </c:bar3DChart>
      <c:catAx>
        <c:axId val="1656203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 b="1" i="0" baseline="0"/>
            </a:pPr>
            <a:endParaRPr lang="es-MX"/>
          </a:p>
        </c:txPr>
        <c:crossAx val="165626240"/>
        <c:crosses val="autoZero"/>
        <c:auto val="1"/>
        <c:lblAlgn val="ctr"/>
        <c:lblOffset val="100"/>
        <c:noMultiLvlLbl val="0"/>
      </c:catAx>
      <c:valAx>
        <c:axId val="165626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656203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 + CONDUCTORES</a:t>
            </a:r>
          </a:p>
          <a:p>
            <a:pPr>
              <a:defRPr sz="1400"/>
            </a:pPr>
            <a:r>
              <a:rPr lang="es-MX" sz="1200"/>
              <a:t>RENDIMIENTO DE LA UNIDAD EN VACÍO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7347190296865062E-2"/>
          <c:y val="0.12521544181977298"/>
          <c:w val="0.90445894263217164"/>
          <c:h val="0.7129606299212584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NUEVOS'!$AZ$45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6"/>
              <c:layout>
                <c:manualLayout>
                  <c:x val="4.9689440993788822E-3"/>
                  <c:y val="0.10833333333333336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NUEVOS'!$AY$46:$AY$54</c:f>
              <c:strCache>
                <c:ptCount val="9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4.01 A 6.0</c:v>
                </c:pt>
                <c:pt idx="8">
                  <c:v>&gt;6.0</c:v>
                </c:pt>
              </c:strCache>
            </c:strRef>
          </c:cat>
          <c:val>
            <c:numRef>
              <c:f>'FORMULAS NUEVOS'!$AZ$46:$AZ$54</c:f>
              <c:numCache>
                <c:formatCode>0.0%</c:formatCode>
                <c:ptCount val="9"/>
                <c:pt idx="0">
                  <c:v>2.5454545454545455E-2</c:v>
                </c:pt>
                <c:pt idx="1">
                  <c:v>0.12</c:v>
                </c:pt>
                <c:pt idx="2">
                  <c:v>6.545454545454546E-2</c:v>
                </c:pt>
                <c:pt idx="3">
                  <c:v>0.10909090909090909</c:v>
                </c:pt>
                <c:pt idx="4">
                  <c:v>0.21818181818181817</c:v>
                </c:pt>
                <c:pt idx="5">
                  <c:v>0.10545454545454545</c:v>
                </c:pt>
                <c:pt idx="6">
                  <c:v>0.24727272727272728</c:v>
                </c:pt>
                <c:pt idx="7">
                  <c:v>0.10181818181818182</c:v>
                </c:pt>
                <c:pt idx="8">
                  <c:v>7.2727272727272727E-3</c:v>
                </c:pt>
              </c:numCache>
            </c:numRef>
          </c:val>
        </c:ser>
        <c:ser>
          <c:idx val="1"/>
          <c:order val="1"/>
          <c:tx>
            <c:strRef>
              <c:f>'FORMULAS NUEVOS'!$BA$45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4"/>
              <c:layout>
                <c:manualLayout>
                  <c:x val="1.6563146997929021E-3"/>
                  <c:y val="0.10833333333333336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NUEVOS'!$AY$46:$AY$54</c:f>
              <c:strCache>
                <c:ptCount val="9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4.01 A 6.0</c:v>
                </c:pt>
                <c:pt idx="8">
                  <c:v>&gt;6.0</c:v>
                </c:pt>
              </c:strCache>
            </c:strRef>
          </c:cat>
          <c:val>
            <c:numRef>
              <c:f>'FORMULAS NUEVOS'!$BA$46:$BA$54</c:f>
              <c:numCache>
                <c:formatCode>0.0%</c:formatCode>
                <c:ptCount val="9"/>
                <c:pt idx="0">
                  <c:v>3.3557046979865772E-2</c:v>
                </c:pt>
                <c:pt idx="1">
                  <c:v>0.13020134228187918</c:v>
                </c:pt>
                <c:pt idx="2">
                  <c:v>7.9194630872483227E-2</c:v>
                </c:pt>
                <c:pt idx="3">
                  <c:v>0.1476510067114094</c:v>
                </c:pt>
                <c:pt idx="4">
                  <c:v>0.22953020134228189</c:v>
                </c:pt>
                <c:pt idx="5">
                  <c:v>0.1651006711409396</c:v>
                </c:pt>
                <c:pt idx="6">
                  <c:v>8.9932885906040275E-2</c:v>
                </c:pt>
                <c:pt idx="7">
                  <c:v>0.11275167785234899</c:v>
                </c:pt>
                <c:pt idx="8">
                  <c:v>1.2080536912751677E-2</c:v>
                </c:pt>
              </c:numCache>
            </c:numRef>
          </c:val>
        </c:ser>
        <c:ser>
          <c:idx val="2"/>
          <c:order val="2"/>
          <c:tx>
            <c:strRef>
              <c:f>'FORMULAS NUEVOS'!$BB$45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312629399585921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4.96894409937883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4.9689440993788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4.9689440993788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4.9689440993788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NUEVOS'!$AY$46:$AY$54</c:f>
              <c:strCache>
                <c:ptCount val="9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4.01 A 6.0</c:v>
                </c:pt>
                <c:pt idx="8">
                  <c:v>&gt;6.0</c:v>
                </c:pt>
              </c:strCache>
            </c:strRef>
          </c:cat>
          <c:val>
            <c:numRef>
              <c:f>'FORMULAS NUEVOS'!$BB$46:$BB$54</c:f>
              <c:numCache>
                <c:formatCode>0.0%</c:formatCode>
                <c:ptCount val="9"/>
                <c:pt idx="0">
                  <c:v>1.4563106796116505E-2</c:v>
                </c:pt>
                <c:pt idx="1">
                  <c:v>0.19902912621359223</c:v>
                </c:pt>
                <c:pt idx="2">
                  <c:v>0.16019417475728157</c:v>
                </c:pt>
                <c:pt idx="3">
                  <c:v>0.16990291262135923</c:v>
                </c:pt>
                <c:pt idx="4">
                  <c:v>0.1796116504854369</c:v>
                </c:pt>
                <c:pt idx="5">
                  <c:v>0.13592233009708737</c:v>
                </c:pt>
                <c:pt idx="6">
                  <c:v>5.5825242718446605E-2</c:v>
                </c:pt>
                <c:pt idx="7">
                  <c:v>2.9126213592233011E-2</c:v>
                </c:pt>
                <c:pt idx="8">
                  <c:v>5.5825242718446605E-2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209280"/>
        <c:axId val="196227456"/>
        <c:axId val="0"/>
      </c:bar3DChart>
      <c:catAx>
        <c:axId val="1962092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227456"/>
        <c:crosses val="autoZero"/>
        <c:auto val="1"/>
        <c:lblAlgn val="ctr"/>
        <c:lblOffset val="100"/>
        <c:noMultiLvlLbl val="0"/>
      </c:catAx>
      <c:valAx>
        <c:axId val="196227456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2092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14955739228249"/>
          <c:y val="0.92651115485564139"/>
          <c:w val="0.76359759377903869"/>
          <c:h val="6.6352799650043953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EQUIPAMIENTO DE LA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225416421285292E-2"/>
          <c:y val="0.13131793672234526"/>
          <c:w val="0.8712647137944326"/>
          <c:h val="0.5160036899153281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NUEVOS'!$BI$3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6934441366574255E-3"/>
                  <c:y val="-5.57880055788010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0.11157601115760114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NUEVOS'!$BH$4:$BH$11</c:f>
              <c:strCache>
                <c:ptCount val="8"/>
                <c:pt idx="0">
                  <c:v>Enfriamiento de cabina</c:v>
                </c:pt>
                <c:pt idx="1">
                  <c:v>Filtro de partículas</c:v>
                </c:pt>
                <c:pt idx="2">
                  <c:v>Inflado automático de llantas</c:v>
                </c:pt>
                <c:pt idx="3">
                  <c:v>Faldones traseros</c:v>
                </c:pt>
                <c:pt idx="4">
                  <c:v>Reducción de peso muerto</c:v>
                </c:pt>
                <c:pt idx="5">
                  <c:v>GPS para rastreo</c:v>
                </c:pt>
                <c:pt idx="6">
                  <c:v>GPS para ruta</c:v>
                </c:pt>
                <c:pt idx="7">
                  <c:v>Ninguna</c:v>
                </c:pt>
              </c:strCache>
            </c:strRef>
          </c:cat>
          <c:val>
            <c:numRef>
              <c:f>'FORMULAS NUEVOS'!$BI$4:$BI$11</c:f>
              <c:numCache>
                <c:formatCode>0.0%</c:formatCode>
                <c:ptCount val="8"/>
                <c:pt idx="0">
                  <c:v>0.17750439367311072</c:v>
                </c:pt>
                <c:pt idx="1">
                  <c:v>0.15434782608695652</c:v>
                </c:pt>
                <c:pt idx="2">
                  <c:v>4.6511627906976744E-2</c:v>
                </c:pt>
                <c:pt idx="3">
                  <c:v>0.13230769230769232</c:v>
                </c:pt>
                <c:pt idx="4">
                  <c:v>9.8765432098765427E-2</c:v>
                </c:pt>
                <c:pt idx="5">
                  <c:v>0.10943396226415095</c:v>
                </c:pt>
                <c:pt idx="6">
                  <c:v>5.7324840764331211E-2</c:v>
                </c:pt>
                <c:pt idx="7">
                  <c:v>0.55208333333333337</c:v>
                </c:pt>
              </c:numCache>
            </c:numRef>
          </c:val>
        </c:ser>
        <c:ser>
          <c:idx val="1"/>
          <c:order val="1"/>
          <c:tx>
            <c:strRef>
              <c:f>'FORMULAS NUEVOS'!$BJ$3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846722068328723E-3"/>
                  <c:y val="0.11715481171548117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8467220683287559E-3"/>
                  <c:y val="2.7891806411228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0.1087866108786613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5.5401662049861635E-3"/>
                  <c:y val="-8.36820083682011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NUEVOS'!$BH$4:$BH$11</c:f>
              <c:strCache>
                <c:ptCount val="8"/>
                <c:pt idx="0">
                  <c:v>Enfriamiento de cabina</c:v>
                </c:pt>
                <c:pt idx="1">
                  <c:v>Filtro de partículas</c:v>
                </c:pt>
                <c:pt idx="2">
                  <c:v>Inflado automático de llantas</c:v>
                </c:pt>
                <c:pt idx="3">
                  <c:v>Faldones traseros</c:v>
                </c:pt>
                <c:pt idx="4">
                  <c:v>Reducción de peso muerto</c:v>
                </c:pt>
                <c:pt idx="5">
                  <c:v>GPS para rastreo</c:v>
                </c:pt>
                <c:pt idx="6">
                  <c:v>GPS para ruta</c:v>
                </c:pt>
                <c:pt idx="7">
                  <c:v>Ninguna</c:v>
                </c:pt>
              </c:strCache>
            </c:strRef>
          </c:cat>
          <c:val>
            <c:numRef>
              <c:f>'FORMULAS NUEVOS'!$BJ$4:$BJ$11</c:f>
              <c:numCache>
                <c:formatCode>0.0%</c:formatCode>
                <c:ptCount val="8"/>
                <c:pt idx="0">
                  <c:v>0.53778558875219684</c:v>
                </c:pt>
                <c:pt idx="1">
                  <c:v>0.46304347826086956</c:v>
                </c:pt>
                <c:pt idx="2">
                  <c:v>0.38372093023255816</c:v>
                </c:pt>
                <c:pt idx="3">
                  <c:v>0.44615384615384618</c:v>
                </c:pt>
                <c:pt idx="4">
                  <c:v>0.37037037037037035</c:v>
                </c:pt>
                <c:pt idx="5">
                  <c:v>0.55094339622641508</c:v>
                </c:pt>
                <c:pt idx="6">
                  <c:v>0.40127388535031849</c:v>
                </c:pt>
                <c:pt idx="7">
                  <c:v>0.40625</c:v>
                </c:pt>
              </c:numCache>
            </c:numRef>
          </c:val>
        </c:ser>
        <c:ser>
          <c:idx val="2"/>
          <c:order val="2"/>
          <c:tx>
            <c:strRef>
              <c:f>'FORMULAS NUEVOS'!$BK$3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2336103416435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54016620498616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846722068328723E-3"/>
                  <c:y val="0.10599721059972105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5.540166204986092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846722068328723E-3"/>
                  <c:y val="0.10320781032078104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5.5401662049861635E-3"/>
                  <c:y val="5.57880055788003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0.11157601115760114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5.5401662049861635E-3"/>
                  <c:y val="-2.78940027894004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NUEVOS'!$BH$4:$BH$11</c:f>
              <c:strCache>
                <c:ptCount val="8"/>
                <c:pt idx="0">
                  <c:v>Enfriamiento de cabina</c:v>
                </c:pt>
                <c:pt idx="1">
                  <c:v>Filtro de partículas</c:v>
                </c:pt>
                <c:pt idx="2">
                  <c:v>Inflado automático de llantas</c:v>
                </c:pt>
                <c:pt idx="3">
                  <c:v>Faldones traseros</c:v>
                </c:pt>
                <c:pt idx="4">
                  <c:v>Reducción de peso muerto</c:v>
                </c:pt>
                <c:pt idx="5">
                  <c:v>GPS para rastreo</c:v>
                </c:pt>
                <c:pt idx="6">
                  <c:v>GPS para ruta</c:v>
                </c:pt>
                <c:pt idx="7">
                  <c:v>Ninguna</c:v>
                </c:pt>
              </c:strCache>
            </c:strRef>
          </c:cat>
          <c:val>
            <c:numRef>
              <c:f>'FORMULAS NUEVOS'!$BK$4:$BK$11</c:f>
              <c:numCache>
                <c:formatCode>0.0%</c:formatCode>
                <c:ptCount val="8"/>
                <c:pt idx="0">
                  <c:v>0.28471001757469244</c:v>
                </c:pt>
                <c:pt idx="1">
                  <c:v>0.38260869565217392</c:v>
                </c:pt>
                <c:pt idx="2">
                  <c:v>0.56976744186046513</c:v>
                </c:pt>
                <c:pt idx="3">
                  <c:v>0.42153846153846153</c:v>
                </c:pt>
                <c:pt idx="4">
                  <c:v>0.53086419753086422</c:v>
                </c:pt>
                <c:pt idx="5">
                  <c:v>0.33962264150943394</c:v>
                </c:pt>
                <c:pt idx="6">
                  <c:v>0.54140127388535031</c:v>
                </c:pt>
                <c:pt idx="7">
                  <c:v>4.1666666666666664E-2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6274048"/>
        <c:axId val="196275584"/>
        <c:axId val="0"/>
      </c:bar3DChart>
      <c:catAx>
        <c:axId val="19627404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275584"/>
        <c:crosses val="autoZero"/>
        <c:auto val="1"/>
        <c:lblAlgn val="ctr"/>
        <c:lblOffset val="100"/>
        <c:noMultiLvlLbl val="0"/>
      </c:catAx>
      <c:valAx>
        <c:axId val="196275584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274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7447452032484828"/>
          <c:y val="0.94503212203077125"/>
          <c:w val="0.78489759417191951"/>
          <c:h val="5.2683425032122123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UNIDADES</a:t>
            </a:r>
          </a:p>
          <a:p>
            <a:pPr>
              <a:defRPr sz="1400"/>
            </a:pPr>
            <a:r>
              <a:rPr lang="es-MX" sz="1200"/>
              <a:t>OTRAS MEDIDAS PARA REDUCIR EL CONSUMO DE COMBUSTIBLE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5193464894558262E-2"/>
          <c:y val="0.13421868917103125"/>
          <c:w val="0.88778009544923386"/>
          <c:h val="0.6831445830036796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NUEVOS'!$BI$21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7.3971336107258425E-3"/>
                  <c:y val="0.13397129186602919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NUEVOS'!$BH$22:$BH$25</c:f>
              <c:strCache>
                <c:ptCount val="4"/>
                <c:pt idx="0">
                  <c:v>Usa catalizadores</c:v>
                </c:pt>
                <c:pt idx="1">
                  <c:v>Usa lubricante de baja fricción</c:v>
                </c:pt>
                <c:pt idx="2">
                  <c:v>Usa conducción eficiente</c:v>
                </c:pt>
                <c:pt idx="3">
                  <c:v>Ninguna</c:v>
                </c:pt>
              </c:strCache>
            </c:strRef>
          </c:cat>
          <c:val>
            <c:numRef>
              <c:f>'FORMULAS NUEVOS'!$BI$22:$BI$25</c:f>
              <c:numCache>
                <c:formatCode>0.0%</c:formatCode>
                <c:ptCount val="4"/>
                <c:pt idx="0">
                  <c:v>8.7167070217917669E-2</c:v>
                </c:pt>
                <c:pt idx="1">
                  <c:v>0.1076555023923445</c:v>
                </c:pt>
                <c:pt idx="2">
                  <c:v>0.12121212121212122</c:v>
                </c:pt>
                <c:pt idx="3">
                  <c:v>0.55208333333333337</c:v>
                </c:pt>
              </c:numCache>
            </c:numRef>
          </c:val>
        </c:ser>
        <c:ser>
          <c:idx val="1"/>
          <c:order val="1"/>
          <c:tx>
            <c:strRef>
              <c:f>'FORMULAS NUEVOS'!$BJ$21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NUEVOS'!$BH$22:$BH$25</c:f>
              <c:strCache>
                <c:ptCount val="4"/>
                <c:pt idx="0">
                  <c:v>Usa catalizadores</c:v>
                </c:pt>
                <c:pt idx="1">
                  <c:v>Usa lubricante de baja fricción</c:v>
                </c:pt>
                <c:pt idx="2">
                  <c:v>Usa conducción eficiente</c:v>
                </c:pt>
                <c:pt idx="3">
                  <c:v>Ninguna</c:v>
                </c:pt>
              </c:strCache>
            </c:strRef>
          </c:cat>
          <c:val>
            <c:numRef>
              <c:f>'FORMULAS NUEVOS'!$BJ$22:$BJ$25</c:f>
              <c:numCache>
                <c:formatCode>0.0%</c:formatCode>
                <c:ptCount val="4"/>
                <c:pt idx="0">
                  <c:v>0.46004842615012109</c:v>
                </c:pt>
                <c:pt idx="1">
                  <c:v>0.4569377990430622</c:v>
                </c:pt>
                <c:pt idx="2">
                  <c:v>0.49090909090909091</c:v>
                </c:pt>
                <c:pt idx="3">
                  <c:v>0.40625</c:v>
                </c:pt>
              </c:numCache>
            </c:numRef>
          </c:val>
        </c:ser>
        <c:ser>
          <c:idx val="2"/>
          <c:order val="2"/>
          <c:tx>
            <c:strRef>
              <c:f>'FORMULAS NUEVOS'!$BK$21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NUEVOS'!$BH$22:$BH$25</c:f>
              <c:strCache>
                <c:ptCount val="4"/>
                <c:pt idx="0">
                  <c:v>Usa catalizadores</c:v>
                </c:pt>
                <c:pt idx="1">
                  <c:v>Usa lubricante de baja fricción</c:v>
                </c:pt>
                <c:pt idx="2">
                  <c:v>Usa conducción eficiente</c:v>
                </c:pt>
                <c:pt idx="3">
                  <c:v>Ninguna</c:v>
                </c:pt>
              </c:strCache>
            </c:strRef>
          </c:cat>
          <c:val>
            <c:numRef>
              <c:f>'FORMULAS NUEVOS'!$BK$22:$BK$25</c:f>
              <c:numCache>
                <c:formatCode>0.0%</c:formatCode>
                <c:ptCount val="4"/>
                <c:pt idx="0">
                  <c:v>0.45278450363196127</c:v>
                </c:pt>
                <c:pt idx="1">
                  <c:v>0.4354066985645933</c:v>
                </c:pt>
                <c:pt idx="2">
                  <c:v>0.38787878787878788</c:v>
                </c:pt>
                <c:pt idx="3">
                  <c:v>4.1666666666666664E-2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316160"/>
        <c:axId val="196342528"/>
        <c:axId val="0"/>
      </c:bar3DChart>
      <c:catAx>
        <c:axId val="1963161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342528"/>
        <c:crosses val="autoZero"/>
        <c:auto val="1"/>
        <c:lblAlgn val="ctr"/>
        <c:lblOffset val="100"/>
        <c:noMultiLvlLbl val="0"/>
      </c:catAx>
      <c:valAx>
        <c:axId val="196342528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316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9552094823098567"/>
          <c:y val="0.93873689233821966"/>
          <c:w val="0.74900054968857288"/>
          <c:h val="5.386605382461189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 + CONDUCTORES</a:t>
            </a:r>
          </a:p>
          <a:p>
            <a:pPr>
              <a:defRPr sz="1400"/>
            </a:pPr>
            <a:r>
              <a:rPr lang="es-MX" sz="1200"/>
              <a:t>MANTENIMIENTO. FRECUENCIA DE CAMBIO DE ACEITE (km)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4985460842291185E-2"/>
          <c:y val="0.1508315578199784"/>
          <c:w val="0.88440218831567086"/>
          <c:h val="0.6569908290875420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NUEVOS'!$BI$29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NUEVOS'!$BH$30:$BH$36</c:f>
              <c:strCache>
                <c:ptCount val="7"/>
                <c:pt idx="0">
                  <c:v>&lt;10,000</c:v>
                </c:pt>
                <c:pt idx="1">
                  <c:v>10,001 A 15,000</c:v>
                </c:pt>
                <c:pt idx="2">
                  <c:v>15,001 A 20,000</c:v>
                </c:pt>
                <c:pt idx="3">
                  <c:v>20,001 A 25,000</c:v>
                </c:pt>
                <c:pt idx="4">
                  <c:v>25,001 A 30,000</c:v>
                </c:pt>
                <c:pt idx="5">
                  <c:v>30,0001 A 40,000</c:v>
                </c:pt>
                <c:pt idx="6">
                  <c:v>&gt;40,000</c:v>
                </c:pt>
              </c:strCache>
            </c:strRef>
          </c:cat>
          <c:val>
            <c:numRef>
              <c:f>'FORMULAS NUEVOS'!$BI$30:$BI$36</c:f>
              <c:numCache>
                <c:formatCode>0.0%</c:formatCode>
                <c:ptCount val="7"/>
                <c:pt idx="0">
                  <c:v>0.11636363636363636</c:v>
                </c:pt>
                <c:pt idx="1">
                  <c:v>0.19636363636363635</c:v>
                </c:pt>
                <c:pt idx="2">
                  <c:v>0.26181818181818184</c:v>
                </c:pt>
                <c:pt idx="3">
                  <c:v>0.24</c:v>
                </c:pt>
                <c:pt idx="4">
                  <c:v>0.15272727272727274</c:v>
                </c:pt>
                <c:pt idx="5">
                  <c:v>2.9090909090909091E-2</c:v>
                </c:pt>
                <c:pt idx="6">
                  <c:v>3.6363636363636364E-3</c:v>
                </c:pt>
              </c:numCache>
            </c:numRef>
          </c:val>
        </c:ser>
        <c:ser>
          <c:idx val="1"/>
          <c:order val="1"/>
          <c:tx>
            <c:strRef>
              <c:f>'FORMULAS NUEVOS'!$BJ$29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7.37667127708621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5.5325034578146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NUEVOS'!$BH$30:$BH$36</c:f>
              <c:strCache>
                <c:ptCount val="7"/>
                <c:pt idx="0">
                  <c:v>&lt;10,000</c:v>
                </c:pt>
                <c:pt idx="1">
                  <c:v>10,001 A 15,000</c:v>
                </c:pt>
                <c:pt idx="2">
                  <c:v>15,001 A 20,000</c:v>
                </c:pt>
                <c:pt idx="3">
                  <c:v>20,001 A 25,000</c:v>
                </c:pt>
                <c:pt idx="4">
                  <c:v>25,001 A 30,000</c:v>
                </c:pt>
                <c:pt idx="5">
                  <c:v>30,0001 A 40,000</c:v>
                </c:pt>
                <c:pt idx="6">
                  <c:v>&gt;40,000</c:v>
                </c:pt>
              </c:strCache>
            </c:strRef>
          </c:cat>
          <c:val>
            <c:numRef>
              <c:f>'FORMULAS NUEVOS'!$BJ$30:$BJ$36</c:f>
              <c:numCache>
                <c:formatCode>0.0%</c:formatCode>
                <c:ptCount val="7"/>
                <c:pt idx="0">
                  <c:v>0.145748987854251</c:v>
                </c:pt>
                <c:pt idx="1">
                  <c:v>0.27800269905533065</c:v>
                </c:pt>
                <c:pt idx="2">
                  <c:v>0.30499325236167341</c:v>
                </c:pt>
                <c:pt idx="3">
                  <c:v>0.15924426450742241</c:v>
                </c:pt>
                <c:pt idx="4">
                  <c:v>7.4224021592442652E-2</c:v>
                </c:pt>
                <c:pt idx="5">
                  <c:v>2.1592442645074223E-2</c:v>
                </c:pt>
                <c:pt idx="6">
                  <c:v>1.6194331983805668E-2</c:v>
                </c:pt>
              </c:numCache>
            </c:numRef>
          </c:val>
        </c:ser>
        <c:ser>
          <c:idx val="2"/>
          <c:order val="2"/>
          <c:tx>
            <c:strRef>
              <c:f>'FORMULAS NUEVOS'!$BK$29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2208390963577705E-3"/>
                  <c:y val="-5.751567544329097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7.3766712770862164E-3"/>
                  <c:y val="3.13725490196078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5.532503457814743E-3"/>
                  <c:y val="-5.751567544329097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5.5325034578146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NUEVOS'!$BH$30:$BH$36</c:f>
              <c:strCache>
                <c:ptCount val="7"/>
                <c:pt idx="0">
                  <c:v>&lt;10,000</c:v>
                </c:pt>
                <c:pt idx="1">
                  <c:v>10,001 A 15,000</c:v>
                </c:pt>
                <c:pt idx="2">
                  <c:v>15,001 A 20,000</c:v>
                </c:pt>
                <c:pt idx="3">
                  <c:v>20,001 A 25,000</c:v>
                </c:pt>
                <c:pt idx="4">
                  <c:v>25,001 A 30,000</c:v>
                </c:pt>
                <c:pt idx="5">
                  <c:v>30,0001 A 40,000</c:v>
                </c:pt>
                <c:pt idx="6">
                  <c:v>&gt;40,000</c:v>
                </c:pt>
              </c:strCache>
            </c:strRef>
          </c:cat>
          <c:val>
            <c:numRef>
              <c:f>'FORMULAS NUEVOS'!$BK$30:$BK$36</c:f>
              <c:numCache>
                <c:formatCode>0.0%</c:formatCode>
                <c:ptCount val="7"/>
                <c:pt idx="0">
                  <c:v>0.11650485436893204</c:v>
                </c:pt>
                <c:pt idx="1">
                  <c:v>0.30339805825242716</c:v>
                </c:pt>
                <c:pt idx="2">
                  <c:v>0.2645631067961165</c:v>
                </c:pt>
                <c:pt idx="3">
                  <c:v>0.14077669902912621</c:v>
                </c:pt>
                <c:pt idx="4">
                  <c:v>3.3980582524271843E-2</c:v>
                </c:pt>
                <c:pt idx="5">
                  <c:v>4.8543689320388349E-2</c:v>
                </c:pt>
                <c:pt idx="6">
                  <c:v>9.2233009708737865E-2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6378624"/>
        <c:axId val="196380160"/>
        <c:axId val="0"/>
      </c:bar3DChart>
      <c:catAx>
        <c:axId val="1963786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380160"/>
        <c:crosses val="autoZero"/>
        <c:auto val="1"/>
        <c:lblAlgn val="ctr"/>
        <c:lblOffset val="100"/>
        <c:noMultiLvlLbl val="0"/>
      </c:catAx>
      <c:valAx>
        <c:axId val="196380160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378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200636746132936"/>
          <c:y val="0.93151051412690922"/>
          <c:w val="0.71742194051469765"/>
          <c:h val="4.9841593330245522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 + CONDUCTORES</a:t>
            </a:r>
          </a:p>
          <a:p>
            <a:pPr>
              <a:defRPr sz="1400"/>
            </a:pPr>
            <a:r>
              <a:rPr lang="es-MX" sz="1200"/>
              <a:t>MANTENIMIENTO. FRECUENCIA DE AFINACIÓN DE MOTOR (km)</a:t>
            </a:r>
          </a:p>
        </c:rich>
      </c:tx>
      <c:layout>
        <c:manualLayout>
          <c:xMode val="edge"/>
          <c:yMode val="edge"/>
          <c:x val="0.2021345879482907"/>
          <c:y val="1.8140589569161064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4985460842291185E-2"/>
          <c:y val="0.12721862148183871"/>
          <c:w val="0.8917788595927586"/>
          <c:h val="0.69966992221210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NUEVOS'!$BI$40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NUEVOS'!$BH$41:$BH$47</c:f>
              <c:strCache>
                <c:ptCount val="7"/>
                <c:pt idx="0">
                  <c:v>&lt;15,000</c:v>
                </c:pt>
                <c:pt idx="1">
                  <c:v>15,001 A 25,000</c:v>
                </c:pt>
                <c:pt idx="2">
                  <c:v>25,001 A 35,000</c:v>
                </c:pt>
                <c:pt idx="3">
                  <c:v>35,001 A 60,000</c:v>
                </c:pt>
                <c:pt idx="4">
                  <c:v>60,0001 A 80,000</c:v>
                </c:pt>
                <c:pt idx="5">
                  <c:v>80,001 A 110,000</c:v>
                </c:pt>
                <c:pt idx="6">
                  <c:v>&gt;110,000</c:v>
                </c:pt>
              </c:strCache>
            </c:strRef>
          </c:cat>
          <c:val>
            <c:numRef>
              <c:f>'FORMULAS NUEVOS'!$BI$41:$BI$47</c:f>
              <c:numCache>
                <c:formatCode>0.0%</c:formatCode>
                <c:ptCount val="7"/>
                <c:pt idx="0">
                  <c:v>0.14671814671814673</c:v>
                </c:pt>
                <c:pt idx="1">
                  <c:v>0.34362934362934361</c:v>
                </c:pt>
                <c:pt idx="2">
                  <c:v>0.19305019305019305</c:v>
                </c:pt>
                <c:pt idx="3">
                  <c:v>0.20077220077220076</c:v>
                </c:pt>
                <c:pt idx="4">
                  <c:v>1.9305019305019305E-2</c:v>
                </c:pt>
                <c:pt idx="5">
                  <c:v>2.3166023166023165E-2</c:v>
                </c:pt>
                <c:pt idx="6">
                  <c:v>7.3359073359073365E-2</c:v>
                </c:pt>
              </c:numCache>
            </c:numRef>
          </c:val>
        </c:ser>
        <c:ser>
          <c:idx val="1"/>
          <c:order val="1"/>
          <c:tx>
            <c:strRef>
              <c:f>'FORMULAS NUEVOS'!$BJ$40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1.8441678192715602E-3"/>
                  <c:y val="0.11791383219954618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5.532503457814605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5.5325034578146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5.5325034578146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84416781927156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NUEVOS'!$BH$41:$BH$47</c:f>
              <c:strCache>
                <c:ptCount val="7"/>
                <c:pt idx="0">
                  <c:v>&lt;15,000</c:v>
                </c:pt>
                <c:pt idx="1">
                  <c:v>15,001 A 25,000</c:v>
                </c:pt>
                <c:pt idx="2">
                  <c:v>25,001 A 35,000</c:v>
                </c:pt>
                <c:pt idx="3">
                  <c:v>35,001 A 60,000</c:v>
                </c:pt>
                <c:pt idx="4">
                  <c:v>60,0001 A 80,000</c:v>
                </c:pt>
                <c:pt idx="5">
                  <c:v>80,001 A 110,000</c:v>
                </c:pt>
                <c:pt idx="6">
                  <c:v>&gt;110,000</c:v>
                </c:pt>
              </c:strCache>
            </c:strRef>
          </c:cat>
          <c:val>
            <c:numRef>
              <c:f>'FORMULAS NUEVOS'!$BJ$41:$BJ$47</c:f>
              <c:numCache>
                <c:formatCode>0.0%</c:formatCode>
                <c:ptCount val="7"/>
                <c:pt idx="0">
                  <c:v>0.23444283646888567</c:v>
                </c:pt>
                <c:pt idx="1">
                  <c:v>0.39942112879884228</c:v>
                </c:pt>
                <c:pt idx="2">
                  <c:v>8.8277858176555715E-2</c:v>
                </c:pt>
                <c:pt idx="3">
                  <c:v>0.15918958031837915</c:v>
                </c:pt>
                <c:pt idx="4">
                  <c:v>1.8813314037626629E-2</c:v>
                </c:pt>
                <c:pt idx="5">
                  <c:v>3.1837916063675829E-2</c:v>
                </c:pt>
                <c:pt idx="6">
                  <c:v>6.8017366136034735E-2</c:v>
                </c:pt>
              </c:numCache>
            </c:numRef>
          </c:val>
        </c:ser>
        <c:ser>
          <c:idx val="2"/>
          <c:order val="2"/>
          <c:tx>
            <c:strRef>
              <c:f>'FORMULAS NUEVOS'!$BK$40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5325034578146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8441678192715936E-3"/>
                  <c:y val="0.12698412698412698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5.5325034578146822E-3"/>
                  <c:y val="-5.542893891927130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7.37667127708621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2208390963577705E-3"/>
                  <c:y val="3.02343159486017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NUEVOS'!$BH$41:$BH$47</c:f>
              <c:strCache>
                <c:ptCount val="7"/>
                <c:pt idx="0">
                  <c:v>&lt;15,000</c:v>
                </c:pt>
                <c:pt idx="1">
                  <c:v>15,001 A 25,000</c:v>
                </c:pt>
                <c:pt idx="2">
                  <c:v>25,001 A 35,000</c:v>
                </c:pt>
                <c:pt idx="3">
                  <c:v>35,001 A 60,000</c:v>
                </c:pt>
                <c:pt idx="4">
                  <c:v>60,0001 A 80,000</c:v>
                </c:pt>
                <c:pt idx="5">
                  <c:v>80,001 A 110,000</c:v>
                </c:pt>
                <c:pt idx="6">
                  <c:v>&gt;110,000</c:v>
                </c:pt>
              </c:strCache>
            </c:strRef>
          </c:cat>
          <c:val>
            <c:numRef>
              <c:f>'FORMULAS NUEVOS'!$BK$41:$BK$47</c:f>
              <c:numCache>
                <c:formatCode>0.0%</c:formatCode>
                <c:ptCount val="7"/>
                <c:pt idx="0">
                  <c:v>0.19548872180451127</c:v>
                </c:pt>
                <c:pt idx="1">
                  <c:v>0.38847117794486213</c:v>
                </c:pt>
                <c:pt idx="2">
                  <c:v>7.2681704260651625E-2</c:v>
                </c:pt>
                <c:pt idx="3">
                  <c:v>0.16290726817042606</c:v>
                </c:pt>
                <c:pt idx="4">
                  <c:v>4.0100250626566414E-2</c:v>
                </c:pt>
                <c:pt idx="5">
                  <c:v>1.2531328320802004E-2</c:v>
                </c:pt>
                <c:pt idx="6">
                  <c:v>0.12781954887218044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6515328"/>
        <c:axId val="196516864"/>
        <c:axId val="0"/>
      </c:bar3DChart>
      <c:catAx>
        <c:axId val="1965153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516864"/>
        <c:crosses val="autoZero"/>
        <c:auto val="1"/>
        <c:lblAlgn val="ctr"/>
        <c:lblOffset val="100"/>
        <c:noMultiLvlLbl val="0"/>
      </c:catAx>
      <c:valAx>
        <c:axId val="196516864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515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151305256967362"/>
          <c:y val="0.93399539343296367"/>
          <c:w val="0.69898026232198163"/>
          <c:h val="6.3150439528392319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 + CONDUCTORES</a:t>
            </a:r>
          </a:p>
          <a:p>
            <a:pPr>
              <a:defRPr sz="1400"/>
            </a:pPr>
            <a:r>
              <a:rPr lang="es-MX" sz="1200"/>
              <a:t>MANTENIMIENTO. FRECUENCIA DE CAMBIO DE FRENOS (km)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5612954238460914E-2"/>
          <c:y val="0.13421865546003242"/>
          <c:w val="0.88901364316908082"/>
          <c:h val="0.6608161195503862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NUEVOS'!$BI$52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6"/>
              <c:layout>
                <c:manualLayout>
                  <c:x val="1.8596001859600218E-3"/>
                  <c:y val="0.11802229890560023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NUEVOS'!$BH$53:$BH$59</c:f>
              <c:strCache>
                <c:ptCount val="7"/>
                <c:pt idx="0">
                  <c:v>&lt;10,000</c:v>
                </c:pt>
                <c:pt idx="1">
                  <c:v>10,001 A 15,000</c:v>
                </c:pt>
                <c:pt idx="2">
                  <c:v>15,001 A 20,000</c:v>
                </c:pt>
                <c:pt idx="3">
                  <c:v>20,001 A 25,000</c:v>
                </c:pt>
                <c:pt idx="4">
                  <c:v>25,001 A 35,000</c:v>
                </c:pt>
                <c:pt idx="5">
                  <c:v>35,0001 A 60,000</c:v>
                </c:pt>
                <c:pt idx="6">
                  <c:v>&gt;60,000</c:v>
                </c:pt>
              </c:strCache>
            </c:strRef>
          </c:cat>
          <c:val>
            <c:numRef>
              <c:f>'FORMULAS NUEVOS'!$BI$53:$BI$59</c:f>
              <c:numCache>
                <c:formatCode>0.0%</c:formatCode>
                <c:ptCount val="7"/>
                <c:pt idx="0">
                  <c:v>6.985294117647059E-2</c:v>
                </c:pt>
                <c:pt idx="1">
                  <c:v>0.11029411764705882</c:v>
                </c:pt>
                <c:pt idx="2">
                  <c:v>9.1911764705882359E-2</c:v>
                </c:pt>
                <c:pt idx="3">
                  <c:v>7.3529411764705885E-2</c:v>
                </c:pt>
                <c:pt idx="4">
                  <c:v>8.8235294117647065E-2</c:v>
                </c:pt>
                <c:pt idx="5">
                  <c:v>0.12132352941176471</c:v>
                </c:pt>
                <c:pt idx="6">
                  <c:v>0.44485294117647056</c:v>
                </c:pt>
              </c:numCache>
            </c:numRef>
          </c:val>
        </c:ser>
        <c:ser>
          <c:idx val="1"/>
          <c:order val="1"/>
          <c:tx>
            <c:strRef>
              <c:f>'FORMULAS NUEVOS'!$BJ$52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6"/>
              <c:layout>
                <c:manualLayout>
                  <c:x val="5.5788005578800573E-3"/>
                  <c:y val="-2.923942096158807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NUEVOS'!$BH$53:$BH$59</c:f>
              <c:strCache>
                <c:ptCount val="7"/>
                <c:pt idx="0">
                  <c:v>&lt;10,000</c:v>
                </c:pt>
                <c:pt idx="1">
                  <c:v>10,001 A 15,000</c:v>
                </c:pt>
                <c:pt idx="2">
                  <c:v>15,001 A 20,000</c:v>
                </c:pt>
                <c:pt idx="3">
                  <c:v>20,001 A 25,000</c:v>
                </c:pt>
                <c:pt idx="4">
                  <c:v>25,001 A 35,000</c:v>
                </c:pt>
                <c:pt idx="5">
                  <c:v>35,0001 A 60,000</c:v>
                </c:pt>
                <c:pt idx="6">
                  <c:v>&gt;60,000</c:v>
                </c:pt>
              </c:strCache>
            </c:strRef>
          </c:cat>
          <c:val>
            <c:numRef>
              <c:f>'FORMULAS NUEVOS'!$BJ$53:$BJ$59</c:f>
              <c:numCache>
                <c:formatCode>0.0%</c:formatCode>
                <c:ptCount val="7"/>
                <c:pt idx="0">
                  <c:v>7.8729281767955794E-2</c:v>
                </c:pt>
                <c:pt idx="1">
                  <c:v>0.15745856353591159</c:v>
                </c:pt>
                <c:pt idx="2">
                  <c:v>0.10911602209944751</c:v>
                </c:pt>
                <c:pt idx="3">
                  <c:v>7.3204419889502756E-2</c:v>
                </c:pt>
                <c:pt idx="4">
                  <c:v>0.12292817679558012</c:v>
                </c:pt>
                <c:pt idx="5">
                  <c:v>0.18232044198895028</c:v>
                </c:pt>
                <c:pt idx="6">
                  <c:v>0.27624309392265195</c:v>
                </c:pt>
              </c:numCache>
            </c:numRef>
          </c:val>
        </c:ser>
        <c:ser>
          <c:idx val="2"/>
          <c:order val="2"/>
          <c:tx>
            <c:strRef>
              <c:f>'FORMULAS NUEVOS'!$BK$52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43840074384009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5788005578800573E-3"/>
                  <c:y val="-3.18979186231352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115760111576012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NUEVOS'!$BH$53:$BH$59</c:f>
              <c:strCache>
                <c:ptCount val="7"/>
                <c:pt idx="0">
                  <c:v>&lt;10,000</c:v>
                </c:pt>
                <c:pt idx="1">
                  <c:v>10,001 A 15,000</c:v>
                </c:pt>
                <c:pt idx="2">
                  <c:v>15,001 A 20,000</c:v>
                </c:pt>
                <c:pt idx="3">
                  <c:v>20,001 A 25,000</c:v>
                </c:pt>
                <c:pt idx="4">
                  <c:v>25,001 A 35,000</c:v>
                </c:pt>
                <c:pt idx="5">
                  <c:v>35,0001 A 60,000</c:v>
                </c:pt>
                <c:pt idx="6">
                  <c:v>&gt;60,000</c:v>
                </c:pt>
              </c:strCache>
            </c:strRef>
          </c:cat>
          <c:val>
            <c:numRef>
              <c:f>'FORMULAS NUEVOS'!$BK$53:$BK$59</c:f>
              <c:numCache>
                <c:formatCode>0.0%</c:formatCode>
                <c:ptCount val="7"/>
                <c:pt idx="0">
                  <c:v>5.6511056511056514E-2</c:v>
                </c:pt>
                <c:pt idx="1">
                  <c:v>0.18427518427518427</c:v>
                </c:pt>
                <c:pt idx="2">
                  <c:v>7.6167076167076173E-2</c:v>
                </c:pt>
                <c:pt idx="3">
                  <c:v>0.11547911547911548</c:v>
                </c:pt>
                <c:pt idx="4">
                  <c:v>0.12530712530712532</c:v>
                </c:pt>
                <c:pt idx="5">
                  <c:v>0.27027027027027029</c:v>
                </c:pt>
                <c:pt idx="6">
                  <c:v>0.171990171990172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6561536"/>
        <c:axId val="196571520"/>
        <c:axId val="0"/>
      </c:bar3DChart>
      <c:catAx>
        <c:axId val="1965615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571520"/>
        <c:crosses val="autoZero"/>
        <c:auto val="1"/>
        <c:lblAlgn val="ctr"/>
        <c:lblOffset val="100"/>
        <c:noMultiLvlLbl val="0"/>
      </c:catAx>
      <c:valAx>
        <c:axId val="196571520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561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029372897425481"/>
          <c:y val="0.92597748911138178"/>
          <c:w val="0.69367186842230621"/>
          <c:h val="6.0245624019986788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 + CONDUCTORES</a:t>
            </a:r>
          </a:p>
          <a:p>
            <a:pPr>
              <a:defRPr sz="1400"/>
            </a:pPr>
            <a:r>
              <a:rPr lang="es-MX" sz="1200"/>
              <a:t>MANTENIMIENTO. FRECUENCIA DE CAMBIO DE LLANTAS (km)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5193464894558262E-2"/>
          <c:y val="0.13990875828800703"/>
          <c:w val="0.87853367843582664"/>
          <c:h val="0.650955812568320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NUEVOS'!$BI$64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0"/>
                  <c:y val="0.1396508728179551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NUEVOS'!$BH$65:$BH$72</c:f>
              <c:strCache>
                <c:ptCount val="8"/>
                <c:pt idx="0">
                  <c:v>&lt;50,000</c:v>
                </c:pt>
                <c:pt idx="1">
                  <c:v>50,001 A 75,000</c:v>
                </c:pt>
                <c:pt idx="2">
                  <c:v>75,001 A 100,000</c:v>
                </c:pt>
                <c:pt idx="3">
                  <c:v>100,001 A 115,000</c:v>
                </c:pt>
                <c:pt idx="4">
                  <c:v>115,0001 A 125,000</c:v>
                </c:pt>
                <c:pt idx="5">
                  <c:v>125,001 A 150,000</c:v>
                </c:pt>
                <c:pt idx="6">
                  <c:v>150,001 A 175,000</c:v>
                </c:pt>
                <c:pt idx="7">
                  <c:v>&gt;175,000</c:v>
                </c:pt>
              </c:strCache>
            </c:strRef>
          </c:cat>
          <c:val>
            <c:numRef>
              <c:f>'FORMULAS NUEVOS'!$BI$65:$BI$72</c:f>
              <c:numCache>
                <c:formatCode>0.0%</c:formatCode>
                <c:ptCount val="8"/>
                <c:pt idx="0">
                  <c:v>4.5977011494252873E-2</c:v>
                </c:pt>
                <c:pt idx="1">
                  <c:v>8.4291187739463605E-2</c:v>
                </c:pt>
                <c:pt idx="2">
                  <c:v>0.32183908045977011</c:v>
                </c:pt>
                <c:pt idx="3">
                  <c:v>3.4482758620689655E-2</c:v>
                </c:pt>
                <c:pt idx="4">
                  <c:v>0.25670498084291188</c:v>
                </c:pt>
                <c:pt idx="5">
                  <c:v>0.17624521072796934</c:v>
                </c:pt>
                <c:pt idx="6">
                  <c:v>6.1302681992337162E-2</c:v>
                </c:pt>
                <c:pt idx="7">
                  <c:v>6.5134099616858232E-2</c:v>
                </c:pt>
              </c:numCache>
            </c:numRef>
          </c:val>
        </c:ser>
        <c:ser>
          <c:idx val="1"/>
          <c:order val="1"/>
          <c:tx>
            <c:strRef>
              <c:f>'FORMULAS NUEVOS'!$BJ$64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5.5478502080443829E-3"/>
                  <c:y val="0.13965087281795507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5.54785020804431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NUEVOS'!$BH$65:$BH$72</c:f>
              <c:strCache>
                <c:ptCount val="8"/>
                <c:pt idx="0">
                  <c:v>&lt;50,000</c:v>
                </c:pt>
                <c:pt idx="1">
                  <c:v>50,001 A 75,000</c:v>
                </c:pt>
                <c:pt idx="2">
                  <c:v>75,001 A 100,000</c:v>
                </c:pt>
                <c:pt idx="3">
                  <c:v>100,001 A 115,000</c:v>
                </c:pt>
                <c:pt idx="4">
                  <c:v>115,0001 A 125,000</c:v>
                </c:pt>
                <c:pt idx="5">
                  <c:v>125,001 A 150,000</c:v>
                </c:pt>
                <c:pt idx="6">
                  <c:v>150,001 A 175,000</c:v>
                </c:pt>
                <c:pt idx="7">
                  <c:v>&gt;175,000</c:v>
                </c:pt>
              </c:strCache>
            </c:strRef>
          </c:cat>
          <c:val>
            <c:numRef>
              <c:f>'FORMULAS NUEVOS'!$BJ$65:$BJ$72</c:f>
              <c:numCache>
                <c:formatCode>0.0%</c:formatCode>
                <c:ptCount val="8"/>
                <c:pt idx="0">
                  <c:v>6.095791001451379E-2</c:v>
                </c:pt>
                <c:pt idx="1">
                  <c:v>0.10159651669085631</c:v>
                </c:pt>
                <c:pt idx="2">
                  <c:v>0.2946298984034833</c:v>
                </c:pt>
                <c:pt idx="3">
                  <c:v>3.0478955007256895E-2</c:v>
                </c:pt>
                <c:pt idx="4">
                  <c:v>0.204644412191582</c:v>
                </c:pt>
                <c:pt idx="5">
                  <c:v>0.19593613933236576</c:v>
                </c:pt>
                <c:pt idx="6">
                  <c:v>7.5471698113207544E-2</c:v>
                </c:pt>
                <c:pt idx="7">
                  <c:v>9.7242380261248179E-2</c:v>
                </c:pt>
              </c:numCache>
            </c:numRef>
          </c:val>
        </c:ser>
        <c:ser>
          <c:idx val="2"/>
          <c:order val="2"/>
          <c:tx>
            <c:strRef>
              <c:f>'FORMULAS NUEVOS'!$BK$64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5478502080443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2464170134073324E-3"/>
                  <c:y val="6.65004156275976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3.6985668053629347E-3"/>
                  <c:y val="0.1396508728179551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5.5478502080443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7.3971336107258425E-3"/>
                  <c:y val="-6.095801013316369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NUEVOS'!$BH$65:$BH$72</c:f>
              <c:strCache>
                <c:ptCount val="8"/>
                <c:pt idx="0">
                  <c:v>&lt;50,000</c:v>
                </c:pt>
                <c:pt idx="1">
                  <c:v>50,001 A 75,000</c:v>
                </c:pt>
                <c:pt idx="2">
                  <c:v>75,001 A 100,000</c:v>
                </c:pt>
                <c:pt idx="3">
                  <c:v>100,001 A 115,000</c:v>
                </c:pt>
                <c:pt idx="4">
                  <c:v>115,0001 A 125,000</c:v>
                </c:pt>
                <c:pt idx="5">
                  <c:v>125,001 A 150,000</c:v>
                </c:pt>
                <c:pt idx="6">
                  <c:v>150,001 A 175,000</c:v>
                </c:pt>
                <c:pt idx="7">
                  <c:v>&gt;175,000</c:v>
                </c:pt>
              </c:strCache>
            </c:strRef>
          </c:cat>
          <c:val>
            <c:numRef>
              <c:f>'FORMULAS NUEVOS'!$BK$65:$BK$72</c:f>
              <c:numCache>
                <c:formatCode>0.0%</c:formatCode>
                <c:ptCount val="8"/>
                <c:pt idx="0">
                  <c:v>4.878048780487805E-2</c:v>
                </c:pt>
                <c:pt idx="1">
                  <c:v>0.15447154471544716</c:v>
                </c:pt>
                <c:pt idx="2">
                  <c:v>0.16260162601626016</c:v>
                </c:pt>
                <c:pt idx="3">
                  <c:v>2.9810298102981029E-2</c:v>
                </c:pt>
                <c:pt idx="4">
                  <c:v>0.3143631436314363</c:v>
                </c:pt>
                <c:pt idx="5">
                  <c:v>0.18970189701897019</c:v>
                </c:pt>
                <c:pt idx="6">
                  <c:v>7.8590785907859076E-2</c:v>
                </c:pt>
                <c:pt idx="7">
                  <c:v>7.0460704607046065E-2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6711168"/>
        <c:axId val="196712704"/>
        <c:axId val="0"/>
      </c:bar3DChart>
      <c:catAx>
        <c:axId val="1967111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712704"/>
        <c:crosses val="autoZero"/>
        <c:auto val="1"/>
        <c:lblAlgn val="ctr"/>
        <c:lblOffset val="100"/>
        <c:noMultiLvlLbl val="0"/>
      </c:catAx>
      <c:valAx>
        <c:axId val="196712704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711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399037498953413"/>
          <c:y val="0.92408637199651655"/>
          <c:w val="0.73790484927248301"/>
          <c:h val="5.6149652116428098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  <a:r>
              <a:rPr lang="es-MX" sz="1400" baseline="0"/>
              <a:t> + CONDUCTORES</a:t>
            </a:r>
          </a:p>
          <a:p>
            <a:pPr>
              <a:defRPr sz="1400"/>
            </a:pPr>
            <a:r>
              <a:rPr lang="es-MX" sz="1200"/>
              <a:t>MANTENIMIENTO. FRECUENCIA DE CAMBIO DE FILTRO DE PARTÍCULAS(km)</a:t>
            </a:r>
          </a:p>
        </c:rich>
      </c:tx>
      <c:layout>
        <c:manualLayout>
          <c:xMode val="edge"/>
          <c:yMode val="edge"/>
          <c:x val="0.15226082176621158"/>
          <c:y val="9.5238095238095247E-3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5193464894558262E-2"/>
          <c:y val="0.13357955255593051"/>
          <c:w val="0.88875104204207622"/>
          <c:h val="0.6910026246719159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NUEVOS'!$BI$78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NUEVOS'!$BH$79:$BH$85</c:f>
              <c:strCache>
                <c:ptCount val="7"/>
                <c:pt idx="0">
                  <c:v>&lt;10,000</c:v>
                </c:pt>
                <c:pt idx="1">
                  <c:v>10,001 A 15,000</c:v>
                </c:pt>
                <c:pt idx="2">
                  <c:v>15,001 A 20,000</c:v>
                </c:pt>
                <c:pt idx="3">
                  <c:v>20,001 A 25,000</c:v>
                </c:pt>
                <c:pt idx="4">
                  <c:v>25,001 A 30,000</c:v>
                </c:pt>
                <c:pt idx="5">
                  <c:v>30,0001 A 40,000</c:v>
                </c:pt>
                <c:pt idx="6">
                  <c:v>&gt;40,000</c:v>
                </c:pt>
              </c:strCache>
            </c:strRef>
          </c:cat>
          <c:val>
            <c:numRef>
              <c:f>'FORMULAS NUEVOS'!$BI$79:$BI$85</c:f>
              <c:numCache>
                <c:formatCode>0.0%</c:formatCode>
                <c:ptCount val="7"/>
                <c:pt idx="0">
                  <c:v>4.0540540540540543E-2</c:v>
                </c:pt>
                <c:pt idx="1">
                  <c:v>0.19369369369369369</c:v>
                </c:pt>
                <c:pt idx="2">
                  <c:v>0.22072072072072071</c:v>
                </c:pt>
                <c:pt idx="3">
                  <c:v>0.23423423423423423</c:v>
                </c:pt>
                <c:pt idx="4">
                  <c:v>0.17117117117117117</c:v>
                </c:pt>
                <c:pt idx="5">
                  <c:v>8.5585585585585586E-2</c:v>
                </c:pt>
                <c:pt idx="6">
                  <c:v>5.4054054054054057E-2</c:v>
                </c:pt>
              </c:numCache>
            </c:numRef>
          </c:val>
        </c:ser>
        <c:ser>
          <c:idx val="1"/>
          <c:order val="1"/>
          <c:tx>
            <c:strRef>
              <c:f>'FORMULAS NUEVOS'!$BJ$78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3.69856680536293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5.5478502080443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NUEVOS'!$BH$79:$BH$85</c:f>
              <c:strCache>
                <c:ptCount val="7"/>
                <c:pt idx="0">
                  <c:v>&lt;10,000</c:v>
                </c:pt>
                <c:pt idx="1">
                  <c:v>10,001 A 15,000</c:v>
                </c:pt>
                <c:pt idx="2">
                  <c:v>15,001 A 20,000</c:v>
                </c:pt>
                <c:pt idx="3">
                  <c:v>20,001 A 25,000</c:v>
                </c:pt>
                <c:pt idx="4">
                  <c:v>25,001 A 30,000</c:v>
                </c:pt>
                <c:pt idx="5">
                  <c:v>30,0001 A 40,000</c:v>
                </c:pt>
                <c:pt idx="6">
                  <c:v>&gt;40,000</c:v>
                </c:pt>
              </c:strCache>
            </c:strRef>
          </c:cat>
          <c:val>
            <c:numRef>
              <c:f>'FORMULAS NUEVOS'!$BJ$79:$BJ$85</c:f>
              <c:numCache>
                <c:formatCode>0.0%</c:formatCode>
                <c:ptCount val="7"/>
                <c:pt idx="0">
                  <c:v>4.7538200339558571E-2</c:v>
                </c:pt>
                <c:pt idx="1">
                  <c:v>0.27843803056027167</c:v>
                </c:pt>
                <c:pt idx="2">
                  <c:v>0.25976230899830222</c:v>
                </c:pt>
                <c:pt idx="3">
                  <c:v>0.15789473684210525</c:v>
                </c:pt>
                <c:pt idx="4">
                  <c:v>8.6587436332767401E-2</c:v>
                </c:pt>
                <c:pt idx="5">
                  <c:v>9.5076400679117143E-2</c:v>
                </c:pt>
                <c:pt idx="6">
                  <c:v>7.4702886247877756E-2</c:v>
                </c:pt>
              </c:numCache>
            </c:numRef>
          </c:val>
        </c:ser>
        <c:ser>
          <c:idx val="2"/>
          <c:order val="2"/>
          <c:tx>
            <c:strRef>
              <c:f>'FORMULAS NUEVOS'!$BK$78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5478502080443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5478502080443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6985668053629347E-3"/>
                  <c:y val="0.12380952380952384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7.3971336107258425E-3"/>
                  <c:y val="3.17460317460317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5.5478502080443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5.5478502080443829E-3"/>
                  <c:y val="3.17460317460317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NUEVOS'!$BH$79:$BH$85</c:f>
              <c:strCache>
                <c:ptCount val="7"/>
                <c:pt idx="0">
                  <c:v>&lt;10,000</c:v>
                </c:pt>
                <c:pt idx="1">
                  <c:v>10,001 A 15,000</c:v>
                </c:pt>
                <c:pt idx="2">
                  <c:v>15,001 A 20,000</c:v>
                </c:pt>
                <c:pt idx="3">
                  <c:v>20,001 A 25,000</c:v>
                </c:pt>
                <c:pt idx="4">
                  <c:v>25,001 A 30,000</c:v>
                </c:pt>
                <c:pt idx="5">
                  <c:v>30,0001 A 40,000</c:v>
                </c:pt>
                <c:pt idx="6">
                  <c:v>&gt;40,000</c:v>
                </c:pt>
              </c:strCache>
            </c:strRef>
          </c:cat>
          <c:val>
            <c:numRef>
              <c:f>'FORMULAS NUEVOS'!$BK$79:$BK$85</c:f>
              <c:numCache>
                <c:formatCode>0.0%</c:formatCode>
                <c:ptCount val="7"/>
                <c:pt idx="0">
                  <c:v>2.2364217252396165E-2</c:v>
                </c:pt>
                <c:pt idx="1">
                  <c:v>0.22044728434504793</c:v>
                </c:pt>
                <c:pt idx="2">
                  <c:v>0.32587859424920129</c:v>
                </c:pt>
                <c:pt idx="3">
                  <c:v>0.25559105431309903</c:v>
                </c:pt>
                <c:pt idx="4">
                  <c:v>4.472843450479233E-2</c:v>
                </c:pt>
                <c:pt idx="5">
                  <c:v>6.070287539936102E-2</c:v>
                </c:pt>
                <c:pt idx="6">
                  <c:v>7.0287539936102233E-2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6634112"/>
        <c:axId val="196635648"/>
        <c:axId val="0"/>
      </c:bar3DChart>
      <c:catAx>
        <c:axId val="1966341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635648"/>
        <c:crosses val="autoZero"/>
        <c:auto val="1"/>
        <c:lblAlgn val="ctr"/>
        <c:lblOffset val="100"/>
        <c:noMultiLvlLbl val="0"/>
      </c:catAx>
      <c:valAx>
        <c:axId val="196635648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634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3902541308550029"/>
          <c:y val="0.9429968753905783"/>
          <c:w val="0.70919465163942086"/>
          <c:h val="4.7260342457192857E-2"/>
        </c:manualLayout>
      </c:layout>
      <c:overlay val="0"/>
      <c:txPr>
        <a:bodyPr/>
        <a:lstStyle/>
        <a:p>
          <a:pPr>
            <a:defRPr sz="1100"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MOTIVACIÓN PARA COMPRA O CAMBIO DE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552493438320477E-2"/>
          <c:y val="0.12521544181977298"/>
          <c:w val="0.88536964129483819"/>
          <c:h val="0.634047462817148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NUEVOS'!$BR$3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7037037037036978E-3"/>
                  <c:y val="0.10833333333333336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NUEVOS'!$BQ$4:$BQ$10</c:f>
              <c:strCache>
                <c:ptCount val="7"/>
                <c:pt idx="0">
                  <c:v>Cuando están viejas</c:v>
                </c:pt>
                <c:pt idx="1">
                  <c:v>Acceso a crédito</c:v>
                </c:pt>
                <c:pt idx="2">
                  <c:v>Cuando es buena oferta</c:v>
                </c:pt>
                <c:pt idx="3">
                  <c:v>Cuando el cliente lo pide</c:v>
                </c:pt>
                <c:pt idx="4">
                  <c:v>Cuando tiene Capital disponible</c:v>
                </c:pt>
                <c:pt idx="5">
                  <c:v>Por otras razones</c:v>
                </c:pt>
                <c:pt idx="6">
                  <c:v>No necesita / No ha cambiado</c:v>
                </c:pt>
              </c:strCache>
            </c:strRef>
          </c:cat>
          <c:val>
            <c:numRef>
              <c:f>'FORMULAS NUEVOS'!$BR$4:$BR$10</c:f>
              <c:numCache>
                <c:formatCode>0.0%</c:formatCode>
                <c:ptCount val="7"/>
                <c:pt idx="0">
                  <c:v>0.39080459770114945</c:v>
                </c:pt>
                <c:pt idx="1">
                  <c:v>0.1417624521072797</c:v>
                </c:pt>
                <c:pt idx="2">
                  <c:v>7.2796934865900387E-2</c:v>
                </c:pt>
                <c:pt idx="3">
                  <c:v>8.8122605363984668E-2</c:v>
                </c:pt>
                <c:pt idx="4">
                  <c:v>0.2413793103448276</c:v>
                </c:pt>
                <c:pt idx="5">
                  <c:v>1.9157088122605363E-2</c:v>
                </c:pt>
                <c:pt idx="6">
                  <c:v>4.5977011494252873E-2</c:v>
                </c:pt>
              </c:numCache>
            </c:numRef>
          </c:val>
        </c:ser>
        <c:ser>
          <c:idx val="1"/>
          <c:order val="1"/>
          <c:tx>
            <c:strRef>
              <c:f>'FORMULAS NUEVOS'!$BS$3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5555555555555558E-3"/>
                  <c:y val="5.55555555555555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NUEVOS'!$BQ$4:$BQ$10</c:f>
              <c:strCache>
                <c:ptCount val="7"/>
                <c:pt idx="0">
                  <c:v>Cuando están viejas</c:v>
                </c:pt>
                <c:pt idx="1">
                  <c:v>Acceso a crédito</c:v>
                </c:pt>
                <c:pt idx="2">
                  <c:v>Cuando es buena oferta</c:v>
                </c:pt>
                <c:pt idx="3">
                  <c:v>Cuando el cliente lo pide</c:v>
                </c:pt>
                <c:pt idx="4">
                  <c:v>Cuando tiene Capital disponible</c:v>
                </c:pt>
                <c:pt idx="5">
                  <c:v>Por otras razones</c:v>
                </c:pt>
                <c:pt idx="6">
                  <c:v>No necesita / No ha cambiado</c:v>
                </c:pt>
              </c:strCache>
            </c:strRef>
          </c:cat>
          <c:val>
            <c:numRef>
              <c:f>'FORMULAS NUEVOS'!$BS$4:$BS$10</c:f>
              <c:numCache>
                <c:formatCode>0.0%</c:formatCode>
                <c:ptCount val="7"/>
                <c:pt idx="0">
                  <c:v>0.28865979381443296</c:v>
                </c:pt>
                <c:pt idx="1">
                  <c:v>9.6219931271477668E-2</c:v>
                </c:pt>
                <c:pt idx="2">
                  <c:v>9.9656357388316158E-2</c:v>
                </c:pt>
                <c:pt idx="3">
                  <c:v>0.22680412371134021</c:v>
                </c:pt>
                <c:pt idx="4">
                  <c:v>0.27147766323024053</c:v>
                </c:pt>
                <c:pt idx="5">
                  <c:v>1.0309278350515464E-2</c:v>
                </c:pt>
                <c:pt idx="6">
                  <c:v>6.8728522336769758E-3</c:v>
                </c:pt>
              </c:numCache>
            </c:numRef>
          </c:val>
        </c:ser>
        <c:ser>
          <c:idx val="2"/>
          <c:order val="2"/>
          <c:tx>
            <c:strRef>
              <c:f>'FORMULAS NUEVOS'!$BT$3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7037037037037117E-3"/>
                  <c:y val="0.10555555555555562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703703703703711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3.703703703703711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5.5555555555555558E-3"/>
                  <c:y val="-2.7777777777777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NUEVOS'!$BQ$4:$BQ$10</c:f>
              <c:strCache>
                <c:ptCount val="7"/>
                <c:pt idx="0">
                  <c:v>Cuando están viejas</c:v>
                </c:pt>
                <c:pt idx="1">
                  <c:v>Acceso a crédito</c:v>
                </c:pt>
                <c:pt idx="2">
                  <c:v>Cuando es buena oferta</c:v>
                </c:pt>
                <c:pt idx="3">
                  <c:v>Cuando el cliente lo pide</c:v>
                </c:pt>
                <c:pt idx="4">
                  <c:v>Cuando tiene Capital disponible</c:v>
                </c:pt>
                <c:pt idx="5">
                  <c:v>Por otras razones</c:v>
                </c:pt>
                <c:pt idx="6">
                  <c:v>No necesita / No ha cambiado</c:v>
                </c:pt>
              </c:strCache>
            </c:strRef>
          </c:cat>
          <c:val>
            <c:numRef>
              <c:f>'FORMULAS NUEVOS'!$BT$4:$BT$10</c:f>
              <c:numCache>
                <c:formatCode>0.0%</c:formatCode>
                <c:ptCount val="7"/>
                <c:pt idx="0">
                  <c:v>0.36363636363636365</c:v>
                </c:pt>
                <c:pt idx="1">
                  <c:v>0.12727272727272726</c:v>
                </c:pt>
                <c:pt idx="2">
                  <c:v>5.4545454545454543E-2</c:v>
                </c:pt>
                <c:pt idx="3">
                  <c:v>0.14545454545454545</c:v>
                </c:pt>
                <c:pt idx="4">
                  <c:v>0.29090909090909089</c:v>
                </c:pt>
                <c:pt idx="5">
                  <c:v>1.8181818181818181E-2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746240"/>
        <c:axId val="196760320"/>
        <c:axId val="0"/>
      </c:bar3DChart>
      <c:catAx>
        <c:axId val="1967462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760320"/>
        <c:crosses val="autoZero"/>
        <c:auto val="1"/>
        <c:lblAlgn val="ctr"/>
        <c:lblOffset val="100"/>
        <c:noMultiLvlLbl val="0"/>
      </c:catAx>
      <c:valAx>
        <c:axId val="196760320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746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9255176436278787"/>
          <c:y val="0.9320667104111986"/>
          <c:w val="0.78892971711869575"/>
          <c:h val="5.801946631671042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ANTIGÜEDAD AL ADQUIRIR LA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5402626132095307E-2"/>
          <c:y val="0.16341219758877698"/>
          <c:w val="0.88190465760625569"/>
          <c:h val="0.684478695482213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NUEVOS'!$BR$15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9.2721372276310023E-3"/>
                  <c:y val="-9.45626477541373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7.4177097821048008E-3"/>
                  <c:y val="-6.3041765169424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NUEVOS'!$BQ$16:$BQ$18</c:f>
              <c:strCache>
                <c:ptCount val="3"/>
                <c:pt idx="0">
                  <c:v>NUEVA</c:v>
                </c:pt>
                <c:pt idx="1">
                  <c:v>SEMINUEVA 1 - 5 AÑOS</c:v>
                </c:pt>
                <c:pt idx="2">
                  <c:v>USADA MÁS DE 5 AÑOS</c:v>
                </c:pt>
              </c:strCache>
            </c:strRef>
          </c:cat>
          <c:val>
            <c:numRef>
              <c:f>'FORMULAS NUEVOS'!$BR$16:$BR$18</c:f>
              <c:numCache>
                <c:formatCode>0.0%</c:formatCode>
                <c:ptCount val="3"/>
                <c:pt idx="0">
                  <c:v>0.19617224880382775</c:v>
                </c:pt>
                <c:pt idx="1">
                  <c:v>0.32535885167464113</c:v>
                </c:pt>
                <c:pt idx="2">
                  <c:v>0.4784688995215311</c:v>
                </c:pt>
              </c:numCache>
            </c:numRef>
          </c:val>
        </c:ser>
        <c:ser>
          <c:idx val="1"/>
          <c:order val="1"/>
          <c:tx>
            <c:strRef>
              <c:f>'FORMULAS NUEVOS'!$BS$15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1.2608353033884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0398701900788133E-2"/>
                  <c:y val="-6.3041765169424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8544274455261949E-2"/>
                  <c:y val="-9.45626477541373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NUEVOS'!$BQ$16:$BQ$18</c:f>
              <c:strCache>
                <c:ptCount val="3"/>
                <c:pt idx="0">
                  <c:v>NUEVA</c:v>
                </c:pt>
                <c:pt idx="1">
                  <c:v>SEMINUEVA 1 - 5 AÑOS</c:v>
                </c:pt>
                <c:pt idx="2">
                  <c:v>USADA MÁS DE 5 AÑOS</c:v>
                </c:pt>
              </c:strCache>
            </c:strRef>
          </c:cat>
          <c:val>
            <c:numRef>
              <c:f>'FORMULAS NUEVOS'!$BS$16:$BS$18</c:f>
              <c:numCache>
                <c:formatCode>0.0%</c:formatCode>
                <c:ptCount val="3"/>
                <c:pt idx="0">
                  <c:v>0.45755693581780538</c:v>
                </c:pt>
                <c:pt idx="1">
                  <c:v>0.26708074534161491</c:v>
                </c:pt>
                <c:pt idx="2">
                  <c:v>0.27536231884057971</c:v>
                </c:pt>
              </c:numCache>
            </c:numRef>
          </c:val>
        </c:ser>
        <c:ser>
          <c:idx val="2"/>
          <c:order val="2"/>
          <c:tx>
            <c:strRef>
              <c:f>'FORMULAS NUEVOS'!$BT$15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2721372276309676E-3"/>
                  <c:y val="-6.3041765169424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483541956420955E-2"/>
                  <c:y val="-3.1520882584712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8544274455261949E-2"/>
                  <c:y val="-6.3041765169424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NUEVOS'!$BQ$16:$BQ$18</c:f>
              <c:strCache>
                <c:ptCount val="3"/>
                <c:pt idx="0">
                  <c:v>NUEVA</c:v>
                </c:pt>
                <c:pt idx="1">
                  <c:v>SEMINUEVA 1 - 5 AÑOS</c:v>
                </c:pt>
                <c:pt idx="2">
                  <c:v>USADA MÁS DE 5 AÑOS</c:v>
                </c:pt>
              </c:strCache>
            </c:strRef>
          </c:cat>
          <c:val>
            <c:numRef>
              <c:f>'FORMULAS NUEVOS'!$BT$16:$BT$18</c:f>
              <c:numCache>
                <c:formatCode>0.0%</c:formatCode>
                <c:ptCount val="3"/>
                <c:pt idx="0">
                  <c:v>0.64583333333333337</c:v>
                </c:pt>
                <c:pt idx="1">
                  <c:v>0.1423611111111111</c:v>
                </c:pt>
                <c:pt idx="2">
                  <c:v>0.21180555555555555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800512"/>
        <c:axId val="196802048"/>
        <c:axId val="0"/>
      </c:bar3DChart>
      <c:catAx>
        <c:axId val="1968005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802048"/>
        <c:crosses val="autoZero"/>
        <c:auto val="1"/>
        <c:lblAlgn val="ctr"/>
        <c:lblOffset val="100"/>
        <c:noMultiLvlLbl val="0"/>
      </c:catAx>
      <c:valAx>
        <c:axId val="196802048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800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3222615253760906"/>
          <c:y val="0.92057209160911613"/>
          <c:w val="0.73253972599739359"/>
          <c:h val="5.3229339240396384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CIRCUNSTANCIAS PARA COMPRA O CAMBIO DE UNIDAD</a:t>
            </a:r>
          </a:p>
        </c:rich>
      </c:tx>
      <c:overlay val="0"/>
    </c:title>
    <c:autoTitleDeleted val="0"/>
    <c:view3D>
      <c:rotX val="30"/>
      <c:rotY val="4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FORMULAS!$U$12</c:f>
              <c:strCache>
                <c:ptCount val="1"/>
                <c:pt idx="0">
                  <c:v>CIRCUNSTANCIAS PARA COMPRA O CAMBIO DE UNIDAD</c:v>
                </c:pt>
              </c:strCache>
            </c:strRef>
          </c:tx>
          <c:explosion val="25"/>
          <c:dLbls>
            <c:dLbl>
              <c:idx val="0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454771089855379"/>
                  <c:y val="0.11915637212015166"/>
                </c:manualLayout>
              </c:layout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3.8824037620297472E-2"/>
                  <c:y val="2.4601458151064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27391754155730536"/>
                  <c:y val="3.885890930300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FORMULAS!$U$13:$U$19</c:f>
              <c:strCache>
                <c:ptCount val="7"/>
                <c:pt idx="0">
                  <c:v>Cuando están viejas</c:v>
                </c:pt>
                <c:pt idx="1">
                  <c:v>Acceso a crédito</c:v>
                </c:pt>
                <c:pt idx="2">
                  <c:v>Cuando es buena oferta</c:v>
                </c:pt>
                <c:pt idx="3">
                  <c:v>Cuando el cliente lo pide</c:v>
                </c:pt>
                <c:pt idx="4">
                  <c:v>Cuando tiene Capital disponible</c:v>
                </c:pt>
                <c:pt idx="5">
                  <c:v>Por otras razones</c:v>
                </c:pt>
                <c:pt idx="6">
                  <c:v>No necesita / No ha cambiado</c:v>
                </c:pt>
              </c:strCache>
            </c:strRef>
          </c:cat>
          <c:val>
            <c:numRef>
              <c:f>FORMULAS!$V$13:$V$19</c:f>
              <c:numCache>
                <c:formatCode>0.0%</c:formatCode>
                <c:ptCount val="7"/>
                <c:pt idx="0">
                  <c:v>0.33937397034596378</c:v>
                </c:pt>
                <c:pt idx="1">
                  <c:v>0.1186161449752883</c:v>
                </c:pt>
                <c:pt idx="2">
                  <c:v>8.4019769357495888E-2</c:v>
                </c:pt>
                <c:pt idx="3">
                  <c:v>0.15980230642504117</c:v>
                </c:pt>
                <c:pt idx="4">
                  <c:v>0.26029654036243821</c:v>
                </c:pt>
                <c:pt idx="5">
                  <c:v>1.4827018121911038E-2</c:v>
                </c:pt>
                <c:pt idx="6">
                  <c:v>2.3064250411861616E-2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FORMA COMO ADQUIRIÓ LA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5089173410110441E-2"/>
          <c:y val="0.13326226145722342"/>
          <c:w val="0.8787020597494567"/>
          <c:h val="0.679068334985442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NUEVOS'!$BR$22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NUEVOS'!$BQ$23:$BQ$28</c:f>
              <c:strCache>
                <c:ptCount val="6"/>
                <c:pt idx="0">
                  <c:v>Herencia</c:v>
                </c:pt>
                <c:pt idx="1">
                  <c:v>Contado</c:v>
                </c:pt>
                <c:pt idx="2">
                  <c:v>En renta</c:v>
                </c:pt>
                <c:pt idx="3">
                  <c:v>Prestada</c:v>
                </c:pt>
                <c:pt idx="4">
                  <c:v>Por crédito y pagada</c:v>
                </c:pt>
                <c:pt idx="5">
                  <c:v>En proceso de pago</c:v>
                </c:pt>
              </c:strCache>
            </c:strRef>
          </c:cat>
          <c:val>
            <c:numRef>
              <c:f>'FORMULAS NUEVOS'!$BR$23:$BR$28</c:f>
              <c:numCache>
                <c:formatCode>0.0%</c:formatCode>
                <c:ptCount val="6"/>
                <c:pt idx="0">
                  <c:v>8.1339712918660281E-2</c:v>
                </c:pt>
                <c:pt idx="1">
                  <c:v>0.34928229665071769</c:v>
                </c:pt>
                <c:pt idx="2">
                  <c:v>1.4354066985645933E-2</c:v>
                </c:pt>
                <c:pt idx="3">
                  <c:v>5.2631578947368418E-2</c:v>
                </c:pt>
                <c:pt idx="4">
                  <c:v>0.4354066985645933</c:v>
                </c:pt>
                <c:pt idx="5">
                  <c:v>6.6985645933014357E-2</c:v>
                </c:pt>
              </c:numCache>
            </c:numRef>
          </c:val>
        </c:ser>
        <c:ser>
          <c:idx val="1"/>
          <c:order val="1"/>
          <c:tx>
            <c:strRef>
              <c:f>'FORMULAS NUEVOS'!$BS$22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3.69344413665744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5.540166204986161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3.69344413665744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NUEVOS'!$BQ$23:$BQ$28</c:f>
              <c:strCache>
                <c:ptCount val="6"/>
                <c:pt idx="0">
                  <c:v>Herencia</c:v>
                </c:pt>
                <c:pt idx="1">
                  <c:v>Contado</c:v>
                </c:pt>
                <c:pt idx="2">
                  <c:v>En renta</c:v>
                </c:pt>
                <c:pt idx="3">
                  <c:v>Prestada</c:v>
                </c:pt>
                <c:pt idx="4">
                  <c:v>Por crédito y pagada</c:v>
                </c:pt>
                <c:pt idx="5">
                  <c:v>En proceso de pago</c:v>
                </c:pt>
              </c:strCache>
            </c:strRef>
          </c:cat>
          <c:val>
            <c:numRef>
              <c:f>'FORMULAS NUEVOS'!$BS$23:$BS$28</c:f>
              <c:numCache>
                <c:formatCode>0.0%</c:formatCode>
                <c:ptCount val="6"/>
                <c:pt idx="0">
                  <c:v>8.2815734989648032E-2</c:v>
                </c:pt>
                <c:pt idx="1">
                  <c:v>0.36231884057971014</c:v>
                </c:pt>
                <c:pt idx="2">
                  <c:v>4.140786749482402E-3</c:v>
                </c:pt>
                <c:pt idx="3">
                  <c:v>1.2422360248447204E-2</c:v>
                </c:pt>
                <c:pt idx="4">
                  <c:v>0.41821946169772256</c:v>
                </c:pt>
                <c:pt idx="5">
                  <c:v>0.12008281573498965</c:v>
                </c:pt>
              </c:numCache>
            </c:numRef>
          </c:val>
        </c:ser>
        <c:ser>
          <c:idx val="2"/>
          <c:order val="2"/>
          <c:tx>
            <c:strRef>
              <c:f>'FORMULAS NUEVOS'!$BT$22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5.540166204986161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540166204986161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5.5401662049862173E-3"/>
                  <c:y val="-6.33412509897071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5.5401662049861617E-3"/>
                  <c:y val="0.1330166270783848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3.69344413665744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NUEVOS'!$BQ$23:$BQ$28</c:f>
              <c:strCache>
                <c:ptCount val="6"/>
                <c:pt idx="0">
                  <c:v>Herencia</c:v>
                </c:pt>
                <c:pt idx="1">
                  <c:v>Contado</c:v>
                </c:pt>
                <c:pt idx="2">
                  <c:v>En renta</c:v>
                </c:pt>
                <c:pt idx="3">
                  <c:v>Prestada</c:v>
                </c:pt>
                <c:pt idx="4">
                  <c:v>Por crédito y pagada</c:v>
                </c:pt>
                <c:pt idx="5">
                  <c:v>En proceso de pago</c:v>
                </c:pt>
              </c:strCache>
            </c:strRef>
          </c:cat>
          <c:val>
            <c:numRef>
              <c:f>'FORMULAS NUEVOS'!$BT$23:$BT$28</c:f>
              <c:numCache>
                <c:formatCode>0.0%</c:formatCode>
                <c:ptCount val="6"/>
                <c:pt idx="0">
                  <c:v>0.11805555555555555</c:v>
                </c:pt>
                <c:pt idx="1">
                  <c:v>0.27430555555555558</c:v>
                </c:pt>
                <c:pt idx="2">
                  <c:v>5.5555555555555552E-2</c:v>
                </c:pt>
                <c:pt idx="3">
                  <c:v>2.7777777777777776E-2</c:v>
                </c:pt>
                <c:pt idx="4">
                  <c:v>0.47916666666666669</c:v>
                </c:pt>
                <c:pt idx="5">
                  <c:v>4.5138888888888888E-2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6924544"/>
        <c:axId val="196926080"/>
        <c:axId val="0"/>
      </c:bar3DChart>
      <c:catAx>
        <c:axId val="1969245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926080"/>
        <c:crosses val="autoZero"/>
        <c:auto val="1"/>
        <c:lblAlgn val="ctr"/>
        <c:lblOffset val="100"/>
        <c:noMultiLvlLbl val="0"/>
      </c:catAx>
      <c:valAx>
        <c:axId val="196926080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924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893435411986288"/>
          <c:y val="0.93561037649391265"/>
          <c:w val="0.77751070589860449"/>
          <c:h val="5.0315147661174078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CONTRATARÍA CRÉDITO 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5089173410110441E-2"/>
          <c:y val="0.12721862148183871"/>
          <c:w val="0.8916291142277577"/>
          <c:h val="0.6809094101332583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NUEVOS'!$BR$32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NUEVOS'!$BQ$33:$BQ$37</c:f>
              <c:strCache>
                <c:ptCount val="5"/>
                <c:pt idx="0">
                  <c:v>Para compra de Unidades nuevas</c:v>
                </c:pt>
                <c:pt idx="1">
                  <c:v>Para compra de Unidades usadas</c:v>
                </c:pt>
                <c:pt idx="2">
                  <c:v>Para Mejora de unidades</c:v>
                </c:pt>
                <c:pt idx="3">
                  <c:v>Para Operación del negocio</c:v>
                </c:pt>
                <c:pt idx="4">
                  <c:v>Ninguno</c:v>
                </c:pt>
              </c:strCache>
            </c:strRef>
          </c:cat>
          <c:val>
            <c:numRef>
              <c:f>'FORMULAS NUEVOS'!$BR$33:$BR$37</c:f>
              <c:numCache>
                <c:formatCode>0.0%</c:formatCode>
                <c:ptCount val="5"/>
                <c:pt idx="0">
                  <c:v>0.39207048458149779</c:v>
                </c:pt>
                <c:pt idx="1">
                  <c:v>0.34801762114537443</c:v>
                </c:pt>
                <c:pt idx="2">
                  <c:v>0.14977973568281938</c:v>
                </c:pt>
                <c:pt idx="3">
                  <c:v>3.5242290748898682E-2</c:v>
                </c:pt>
                <c:pt idx="4">
                  <c:v>7.4889867841409691E-2</c:v>
                </c:pt>
              </c:numCache>
            </c:numRef>
          </c:val>
        </c:ser>
        <c:ser>
          <c:idx val="1"/>
          <c:order val="1"/>
          <c:tx>
            <c:strRef>
              <c:f>'FORMULAS NUEVOS'!$BS$32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7.38688827331488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5.540166204986161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NUEVOS'!$BQ$33:$BQ$37</c:f>
              <c:strCache>
                <c:ptCount val="5"/>
                <c:pt idx="0">
                  <c:v>Para compra de Unidades nuevas</c:v>
                </c:pt>
                <c:pt idx="1">
                  <c:v>Para compra de Unidades usadas</c:v>
                </c:pt>
                <c:pt idx="2">
                  <c:v>Para Mejora de unidades</c:v>
                </c:pt>
                <c:pt idx="3">
                  <c:v>Para Operación del negocio</c:v>
                </c:pt>
                <c:pt idx="4">
                  <c:v>Ninguno</c:v>
                </c:pt>
              </c:strCache>
            </c:strRef>
          </c:cat>
          <c:val>
            <c:numRef>
              <c:f>'FORMULAS NUEVOS'!$BS$33:$BS$37</c:f>
              <c:numCache>
                <c:formatCode>0.0%</c:formatCode>
                <c:ptCount val="5"/>
                <c:pt idx="0">
                  <c:v>0.54629629629629628</c:v>
                </c:pt>
                <c:pt idx="1">
                  <c:v>0.16666666666666666</c:v>
                </c:pt>
                <c:pt idx="2">
                  <c:v>0.14351851851851852</c:v>
                </c:pt>
                <c:pt idx="3">
                  <c:v>9.7222222222222224E-2</c:v>
                </c:pt>
                <c:pt idx="4">
                  <c:v>4.6296296296296294E-2</c:v>
                </c:pt>
              </c:numCache>
            </c:numRef>
          </c:val>
        </c:ser>
        <c:ser>
          <c:idx val="2"/>
          <c:order val="2"/>
          <c:tx>
            <c:strRef>
              <c:f>'FORMULAS NUEVOS'!$BT$32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6934441366574416E-3"/>
                  <c:y val="0.11791383219954622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7.38688827331488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69344413665744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NUEVOS'!$BQ$33:$BQ$37</c:f>
              <c:strCache>
                <c:ptCount val="5"/>
                <c:pt idx="0">
                  <c:v>Para compra de Unidades nuevas</c:v>
                </c:pt>
                <c:pt idx="1">
                  <c:v>Para compra de Unidades usadas</c:v>
                </c:pt>
                <c:pt idx="2">
                  <c:v>Para Mejora de unidades</c:v>
                </c:pt>
                <c:pt idx="3">
                  <c:v>Para Operación del negocio</c:v>
                </c:pt>
                <c:pt idx="4">
                  <c:v>Ninguno</c:v>
                </c:pt>
              </c:strCache>
            </c:strRef>
          </c:cat>
          <c:val>
            <c:numRef>
              <c:f>'FORMULAS NUEVOS'!$BT$33:$BT$37</c:f>
              <c:numCache>
                <c:formatCode>0.0%</c:formatCode>
                <c:ptCount val="5"/>
                <c:pt idx="0">
                  <c:v>0.58139534883720934</c:v>
                </c:pt>
                <c:pt idx="1">
                  <c:v>9.3023255813953487E-2</c:v>
                </c:pt>
                <c:pt idx="2">
                  <c:v>0.11627906976744186</c:v>
                </c:pt>
                <c:pt idx="3">
                  <c:v>0.13953488372093023</c:v>
                </c:pt>
                <c:pt idx="4">
                  <c:v>6.9767441860465115E-2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6966656"/>
        <c:axId val="196988928"/>
        <c:axId val="0"/>
      </c:bar3DChart>
      <c:catAx>
        <c:axId val="1969666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988928"/>
        <c:crosses val="autoZero"/>
        <c:auto val="1"/>
        <c:lblAlgn val="ctr"/>
        <c:lblOffset val="100"/>
        <c:noMultiLvlLbl val="0"/>
      </c:catAx>
      <c:valAx>
        <c:axId val="196988928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6966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510240582808041"/>
          <c:y val="0.91283137226894262"/>
          <c:w val="0.74980987487367634"/>
          <c:h val="6.6173871123252459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GRADO DE IMPORTANCIA DEL PLAZO PARA CONTRATAR CRÉDITO. PLAZO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889778361038204E-2"/>
          <c:y val="0.1734437934594675"/>
          <c:w val="0.86499664625255301"/>
          <c:h val="0.6201136943190166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NUEVOS'!$BS$42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NUEVOS'!$BR$43:$BR$48</c:f>
              <c:strCache>
                <c:ptCount val="6"/>
                <c:pt idx="0">
                  <c:v>MAYOR IMPORTANCIA</c:v>
                </c:pt>
                <c:pt idx="1">
                  <c:v>MUY IMPORTANTE</c:v>
                </c:pt>
                <c:pt idx="2">
                  <c:v>IMPORTANTE</c:v>
                </c:pt>
                <c:pt idx="3">
                  <c:v>NO TAN IMPORTANTE</c:v>
                </c:pt>
                <c:pt idx="4">
                  <c:v>POCO IMPORTANTE</c:v>
                </c:pt>
                <c:pt idx="5">
                  <c:v>MENOR IMPORTANCIA</c:v>
                </c:pt>
              </c:strCache>
            </c:strRef>
          </c:cat>
          <c:val>
            <c:numRef>
              <c:f>'FORMULAS NUEVOS'!$BS$43:$BS$48</c:f>
              <c:numCache>
                <c:formatCode>0.0%</c:formatCode>
                <c:ptCount val="6"/>
                <c:pt idx="0">
                  <c:v>0.14499999999999999</c:v>
                </c:pt>
                <c:pt idx="1">
                  <c:v>0.14000000000000001</c:v>
                </c:pt>
                <c:pt idx="2">
                  <c:v>0.20499999999999999</c:v>
                </c:pt>
                <c:pt idx="3">
                  <c:v>0.21</c:v>
                </c:pt>
                <c:pt idx="4">
                  <c:v>0.18</c:v>
                </c:pt>
                <c:pt idx="5">
                  <c:v>0.12</c:v>
                </c:pt>
              </c:numCache>
            </c:numRef>
          </c:val>
        </c:ser>
        <c:ser>
          <c:idx val="1"/>
          <c:order val="1"/>
          <c:tx>
            <c:strRef>
              <c:f>'FORMULAS NUEVOS'!$BT$42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5555555555555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5555555555555558E-3"/>
                  <c:y val="0.12322274881516614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3.7035578885972723E-3"/>
                  <c:y val="-3.15955766192734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9.25925925925930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3.70370370370371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NUEVOS'!$BR$43:$BR$48</c:f>
              <c:strCache>
                <c:ptCount val="6"/>
                <c:pt idx="0">
                  <c:v>MAYOR IMPORTANCIA</c:v>
                </c:pt>
                <c:pt idx="1">
                  <c:v>MUY IMPORTANTE</c:v>
                </c:pt>
                <c:pt idx="2">
                  <c:v>IMPORTANTE</c:v>
                </c:pt>
                <c:pt idx="3">
                  <c:v>NO TAN IMPORTANTE</c:v>
                </c:pt>
                <c:pt idx="4">
                  <c:v>POCO IMPORTANTE</c:v>
                </c:pt>
                <c:pt idx="5">
                  <c:v>MENOR IMPORTANCIA</c:v>
                </c:pt>
              </c:strCache>
            </c:strRef>
          </c:cat>
          <c:val>
            <c:numRef>
              <c:f>'FORMULAS NUEVOS'!$BT$43:$BT$48</c:f>
              <c:numCache>
                <c:formatCode>0.0%</c:formatCode>
                <c:ptCount val="6"/>
                <c:pt idx="0">
                  <c:v>0.10982658959537572</c:v>
                </c:pt>
                <c:pt idx="1">
                  <c:v>0.24277456647398843</c:v>
                </c:pt>
                <c:pt idx="2">
                  <c:v>0.32947976878612717</c:v>
                </c:pt>
                <c:pt idx="3">
                  <c:v>0.13294797687861271</c:v>
                </c:pt>
                <c:pt idx="4">
                  <c:v>0.11560693641618497</c:v>
                </c:pt>
                <c:pt idx="5">
                  <c:v>6.9364161849710976E-2</c:v>
                </c:pt>
              </c:numCache>
            </c:numRef>
          </c:val>
        </c:ser>
        <c:ser>
          <c:idx val="2"/>
          <c:order val="2"/>
          <c:tx>
            <c:strRef>
              <c:f>'FORMULAS NUEVOS'!$BU$42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7.40740740740740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259259259259361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11111111111111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7.40740740740740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NUEVOS'!$BR$43:$BR$48</c:f>
              <c:strCache>
                <c:ptCount val="6"/>
                <c:pt idx="0">
                  <c:v>MAYOR IMPORTANCIA</c:v>
                </c:pt>
                <c:pt idx="1">
                  <c:v>MUY IMPORTANTE</c:v>
                </c:pt>
                <c:pt idx="2">
                  <c:v>IMPORTANTE</c:v>
                </c:pt>
                <c:pt idx="3">
                  <c:v>NO TAN IMPORTANTE</c:v>
                </c:pt>
                <c:pt idx="4">
                  <c:v>POCO IMPORTANTE</c:v>
                </c:pt>
                <c:pt idx="5">
                  <c:v>MENOR IMPORTANCIA</c:v>
                </c:pt>
              </c:strCache>
            </c:strRef>
          </c:cat>
          <c:val>
            <c:numRef>
              <c:f>'FORMULAS NUEVOS'!$BU$43:$BU$48</c:f>
              <c:numCache>
                <c:formatCode>0.0%</c:formatCode>
                <c:ptCount val="6"/>
                <c:pt idx="0">
                  <c:v>0.21212121212121213</c:v>
                </c:pt>
                <c:pt idx="1">
                  <c:v>0.21212121212121213</c:v>
                </c:pt>
                <c:pt idx="2">
                  <c:v>0.24242424242424243</c:v>
                </c:pt>
                <c:pt idx="3">
                  <c:v>0.24242424242424243</c:v>
                </c:pt>
                <c:pt idx="4">
                  <c:v>0</c:v>
                </c:pt>
                <c:pt idx="5">
                  <c:v>9.0909090909090912E-2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7037440"/>
        <c:axId val="197055616"/>
        <c:axId val="0"/>
      </c:bar3DChart>
      <c:catAx>
        <c:axId val="1970374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000" b="1" i="0" baseline="0"/>
            </a:pPr>
            <a:endParaRPr lang="es-MX"/>
          </a:p>
        </c:txPr>
        <c:crossAx val="197055616"/>
        <c:crosses val="autoZero"/>
        <c:auto val="1"/>
        <c:lblAlgn val="ctr"/>
        <c:lblOffset val="100"/>
        <c:noMultiLvlLbl val="0"/>
      </c:catAx>
      <c:valAx>
        <c:axId val="197055616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7037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463517060367452"/>
          <c:y val="0.92858280155738826"/>
          <c:w val="0.83240186643336356"/>
          <c:h val="5.0195917453446488E-2"/>
        </c:manualLayout>
      </c:layout>
      <c:overlay val="0"/>
      <c:txPr>
        <a:bodyPr/>
        <a:lstStyle/>
        <a:p>
          <a:pPr>
            <a:defRPr sz="1100"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GRADO DE IMPORTANCIA DEL ENGANCHE PARA CONTRATAR CRÉDITO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6798412036935502E-2"/>
          <c:y val="0.14194513715710799"/>
          <c:w val="0.87973446216159157"/>
          <c:h val="0.6716120460004859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NUEVOS'!$BS$53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0.1296758104738151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NUEVOS'!$BR$54:$BR$59</c:f>
              <c:strCache>
                <c:ptCount val="6"/>
                <c:pt idx="0">
                  <c:v>MAYOR IMPORTANCIA</c:v>
                </c:pt>
                <c:pt idx="1">
                  <c:v>MUY IMPORTANTE</c:v>
                </c:pt>
                <c:pt idx="2">
                  <c:v>IMPORTANTE</c:v>
                </c:pt>
                <c:pt idx="3">
                  <c:v>NO TAN IMPORTANTE</c:v>
                </c:pt>
                <c:pt idx="4">
                  <c:v>POCO IMPORTANTE</c:v>
                </c:pt>
                <c:pt idx="5">
                  <c:v>MENOR IMPORTANCIA</c:v>
                </c:pt>
              </c:strCache>
            </c:strRef>
          </c:cat>
          <c:val>
            <c:numRef>
              <c:f>'FORMULAS NUEVOS'!$BS$54:$BS$59</c:f>
              <c:numCache>
                <c:formatCode>0.0%</c:formatCode>
                <c:ptCount val="6"/>
                <c:pt idx="0">
                  <c:v>0.42</c:v>
                </c:pt>
                <c:pt idx="1">
                  <c:v>0.18</c:v>
                </c:pt>
                <c:pt idx="2">
                  <c:v>0.19500000000000001</c:v>
                </c:pt>
                <c:pt idx="3">
                  <c:v>0.12</c:v>
                </c:pt>
                <c:pt idx="4">
                  <c:v>0.06</c:v>
                </c:pt>
                <c:pt idx="5">
                  <c:v>2.5000000000000001E-2</c:v>
                </c:pt>
              </c:numCache>
            </c:numRef>
          </c:val>
        </c:ser>
        <c:ser>
          <c:idx val="1"/>
          <c:order val="1"/>
          <c:tx>
            <c:strRef>
              <c:f>'FORMULAS NUEVOS'!$BT$53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4280408542247121E-3"/>
                  <c:y val="-3.32502078137988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3.71402042711236E-3"/>
                  <c:y val="3.32502078137988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NUEVOS'!$BR$54:$BR$59</c:f>
              <c:strCache>
                <c:ptCount val="6"/>
                <c:pt idx="0">
                  <c:v>MAYOR IMPORTANCIA</c:v>
                </c:pt>
                <c:pt idx="1">
                  <c:v>MUY IMPORTANTE</c:v>
                </c:pt>
                <c:pt idx="2">
                  <c:v>IMPORTANTE</c:v>
                </c:pt>
                <c:pt idx="3">
                  <c:v>NO TAN IMPORTANTE</c:v>
                </c:pt>
                <c:pt idx="4">
                  <c:v>POCO IMPORTANTE</c:v>
                </c:pt>
                <c:pt idx="5">
                  <c:v>MENOR IMPORTANCIA</c:v>
                </c:pt>
              </c:strCache>
            </c:strRef>
          </c:cat>
          <c:val>
            <c:numRef>
              <c:f>'FORMULAS NUEVOS'!$BT$54:$BT$59</c:f>
              <c:numCache>
                <c:formatCode>0.0%</c:formatCode>
                <c:ptCount val="6"/>
                <c:pt idx="0">
                  <c:v>0.30635838150289019</c:v>
                </c:pt>
                <c:pt idx="1">
                  <c:v>0.19653179190751446</c:v>
                </c:pt>
                <c:pt idx="2">
                  <c:v>0.24855491329479767</c:v>
                </c:pt>
                <c:pt idx="3">
                  <c:v>0.12716763005780346</c:v>
                </c:pt>
                <c:pt idx="4">
                  <c:v>0.11560693641618497</c:v>
                </c:pt>
                <c:pt idx="5">
                  <c:v>5.7803468208092483E-3</c:v>
                </c:pt>
              </c:numCache>
            </c:numRef>
          </c:val>
        </c:ser>
        <c:ser>
          <c:idx val="2"/>
          <c:order val="2"/>
          <c:tx>
            <c:strRef>
              <c:f>'FORMULAS NUEVOS'!$BU$53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57103064066853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57103064066853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7.4280408542247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7.4280408542247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NUEVOS'!$BR$54:$BR$59</c:f>
              <c:strCache>
                <c:ptCount val="6"/>
                <c:pt idx="0">
                  <c:v>MAYOR IMPORTANCIA</c:v>
                </c:pt>
                <c:pt idx="1">
                  <c:v>MUY IMPORTANTE</c:v>
                </c:pt>
                <c:pt idx="2">
                  <c:v>IMPORTANTE</c:v>
                </c:pt>
                <c:pt idx="3">
                  <c:v>NO TAN IMPORTANTE</c:v>
                </c:pt>
                <c:pt idx="4">
                  <c:v>POCO IMPORTANTE</c:v>
                </c:pt>
                <c:pt idx="5">
                  <c:v>MENOR IMPORTANCIA</c:v>
                </c:pt>
              </c:strCache>
            </c:strRef>
          </c:cat>
          <c:val>
            <c:numRef>
              <c:f>'FORMULAS NUEVOS'!$BU$54:$BU$59</c:f>
              <c:numCache>
                <c:formatCode>0.0%</c:formatCode>
                <c:ptCount val="6"/>
                <c:pt idx="0">
                  <c:v>0.21212121212121213</c:v>
                </c:pt>
                <c:pt idx="1">
                  <c:v>0.15151515151515152</c:v>
                </c:pt>
                <c:pt idx="2">
                  <c:v>0.36363636363636365</c:v>
                </c:pt>
                <c:pt idx="3">
                  <c:v>0.15151515151515152</c:v>
                </c:pt>
                <c:pt idx="4">
                  <c:v>6.0606060606060608E-2</c:v>
                </c:pt>
                <c:pt idx="5">
                  <c:v>6.0606060606060608E-2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7165824"/>
        <c:axId val="197167360"/>
        <c:axId val="0"/>
      </c:bar3DChart>
      <c:catAx>
        <c:axId val="1971658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7167360"/>
        <c:crosses val="autoZero"/>
        <c:auto val="1"/>
        <c:lblAlgn val="ctr"/>
        <c:lblOffset val="100"/>
        <c:noMultiLvlLbl val="0"/>
      </c:catAx>
      <c:valAx>
        <c:axId val="197167360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7165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044188069806088"/>
          <c:y val="0.91411130965237808"/>
          <c:w val="0.73170296609859886"/>
          <c:h val="6.6124714460567752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GRADO DE IMPORTANCIA DEL PAGO MENSUAL PARA CONTRATAR CRÉDITO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6325750947798194E-2"/>
          <c:y val="0.14096334691831874"/>
          <c:w val="0.88030008748906352"/>
          <c:h val="0.6544380696131576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NUEVOS'!$BS$64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NUEVOS'!$BR$65:$BR$70</c:f>
              <c:strCache>
                <c:ptCount val="6"/>
                <c:pt idx="0">
                  <c:v>MAYOR IMPORTANCIA</c:v>
                </c:pt>
                <c:pt idx="1">
                  <c:v>MUY IMPORTANTE</c:v>
                </c:pt>
                <c:pt idx="2">
                  <c:v>IMPORTANTE</c:v>
                </c:pt>
                <c:pt idx="3">
                  <c:v>NO TAN IMPORTANTE</c:v>
                </c:pt>
                <c:pt idx="4">
                  <c:v>POCO IMPORTANTE</c:v>
                </c:pt>
                <c:pt idx="5">
                  <c:v>MENOR IMPORTANCIA</c:v>
                </c:pt>
              </c:strCache>
            </c:strRef>
          </c:cat>
          <c:val>
            <c:numRef>
              <c:f>'FORMULAS NUEVOS'!$BS$65:$BS$70</c:f>
              <c:numCache>
                <c:formatCode>0.0%</c:formatCode>
                <c:ptCount val="6"/>
                <c:pt idx="0">
                  <c:v>0.18</c:v>
                </c:pt>
                <c:pt idx="1">
                  <c:v>0.28499999999999998</c:v>
                </c:pt>
                <c:pt idx="2">
                  <c:v>0.14000000000000001</c:v>
                </c:pt>
                <c:pt idx="3">
                  <c:v>0.2</c:v>
                </c:pt>
                <c:pt idx="4">
                  <c:v>7.4999999999999997E-2</c:v>
                </c:pt>
                <c:pt idx="5">
                  <c:v>0.12</c:v>
                </c:pt>
              </c:numCache>
            </c:numRef>
          </c:val>
        </c:ser>
        <c:ser>
          <c:idx val="1"/>
          <c:order val="1"/>
          <c:tx>
            <c:strRef>
              <c:f>'FORMULAS NUEVOS'!$BT$64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70370370370371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70370370370371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5555555555555558E-3"/>
                  <c:y val="-6.141749262160458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NUEVOS'!$BR$65:$BR$70</c:f>
              <c:strCache>
                <c:ptCount val="6"/>
                <c:pt idx="0">
                  <c:v>MAYOR IMPORTANCIA</c:v>
                </c:pt>
                <c:pt idx="1">
                  <c:v>MUY IMPORTANTE</c:v>
                </c:pt>
                <c:pt idx="2">
                  <c:v>IMPORTANTE</c:v>
                </c:pt>
                <c:pt idx="3">
                  <c:v>NO TAN IMPORTANTE</c:v>
                </c:pt>
                <c:pt idx="4">
                  <c:v>POCO IMPORTANTE</c:v>
                </c:pt>
                <c:pt idx="5">
                  <c:v>MENOR IMPORTANCIA</c:v>
                </c:pt>
              </c:strCache>
            </c:strRef>
          </c:cat>
          <c:val>
            <c:numRef>
              <c:f>'FORMULAS NUEVOS'!$BT$65:$BT$70</c:f>
              <c:numCache>
                <c:formatCode>0.0%</c:formatCode>
                <c:ptCount val="6"/>
                <c:pt idx="0">
                  <c:v>0.16184971098265896</c:v>
                </c:pt>
                <c:pt idx="1">
                  <c:v>0.17341040462427745</c:v>
                </c:pt>
                <c:pt idx="2">
                  <c:v>0.12716763005780346</c:v>
                </c:pt>
                <c:pt idx="3">
                  <c:v>0.2947976878612717</c:v>
                </c:pt>
                <c:pt idx="4">
                  <c:v>9.8265895953757232E-2</c:v>
                </c:pt>
                <c:pt idx="5">
                  <c:v>0.14450867052023122</c:v>
                </c:pt>
              </c:numCache>
            </c:numRef>
          </c:val>
        </c:ser>
        <c:ser>
          <c:idx val="2"/>
          <c:order val="2"/>
          <c:tx>
            <c:strRef>
              <c:f>'FORMULAS NUEVOS'!$BU$64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40740740740740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70370370370371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259259259259361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3.7037037037037104E-3"/>
                  <c:y val="0.14070351758793997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5.5555555555555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NUEVOS'!$BR$65:$BR$70</c:f>
              <c:strCache>
                <c:ptCount val="6"/>
                <c:pt idx="0">
                  <c:v>MAYOR IMPORTANCIA</c:v>
                </c:pt>
                <c:pt idx="1">
                  <c:v>MUY IMPORTANTE</c:v>
                </c:pt>
                <c:pt idx="2">
                  <c:v>IMPORTANTE</c:v>
                </c:pt>
                <c:pt idx="3">
                  <c:v>NO TAN IMPORTANTE</c:v>
                </c:pt>
                <c:pt idx="4">
                  <c:v>POCO IMPORTANTE</c:v>
                </c:pt>
                <c:pt idx="5">
                  <c:v>MENOR IMPORTANCIA</c:v>
                </c:pt>
              </c:strCache>
            </c:strRef>
          </c:cat>
          <c:val>
            <c:numRef>
              <c:f>'FORMULAS NUEVOS'!$BU$65:$BU$70</c:f>
              <c:numCache>
                <c:formatCode>0.0%</c:formatCode>
                <c:ptCount val="6"/>
                <c:pt idx="0">
                  <c:v>9.0909090909090912E-2</c:v>
                </c:pt>
                <c:pt idx="1">
                  <c:v>0.21212121212121213</c:v>
                </c:pt>
                <c:pt idx="2">
                  <c:v>0.12121212121212122</c:v>
                </c:pt>
                <c:pt idx="3">
                  <c:v>0.36363636363636365</c:v>
                </c:pt>
                <c:pt idx="4">
                  <c:v>0.12121212121212122</c:v>
                </c:pt>
                <c:pt idx="5">
                  <c:v>9.0909090909090912E-2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7224320"/>
        <c:axId val="197225856"/>
        <c:axId val="0"/>
      </c:bar3DChart>
      <c:catAx>
        <c:axId val="1972243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7225856"/>
        <c:crosses val="autoZero"/>
        <c:auto val="1"/>
        <c:lblAlgn val="ctr"/>
        <c:lblOffset val="100"/>
        <c:noMultiLvlLbl val="0"/>
      </c:catAx>
      <c:valAx>
        <c:axId val="197225856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7224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477398658501022"/>
          <c:y val="0.91723288357799448"/>
          <c:w val="0.66300379119276753"/>
          <c:h val="5.6572890700220292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GRADO DE IMPORTANCIA DE LOS REQUISITOS PARA CONTRATAR CRÉDITO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6090549360941543E-2"/>
          <c:y val="0.18207283791018661"/>
          <c:w val="0.88058157778821256"/>
          <c:h val="0.5987806374949400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NUEVOS'!$BS$75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NUEVOS'!$BR$76:$BR$81</c:f>
              <c:strCache>
                <c:ptCount val="6"/>
                <c:pt idx="0">
                  <c:v>MAYOR IMPORTANCIA</c:v>
                </c:pt>
                <c:pt idx="1">
                  <c:v>MUY IMPORTANTE</c:v>
                </c:pt>
                <c:pt idx="2">
                  <c:v>IMPORTANTE</c:v>
                </c:pt>
                <c:pt idx="3">
                  <c:v>NO TAN IMPORTANTE</c:v>
                </c:pt>
                <c:pt idx="4">
                  <c:v>POCO IMPORTANTE</c:v>
                </c:pt>
                <c:pt idx="5">
                  <c:v>MENOR IMPORTANCIA</c:v>
                </c:pt>
              </c:strCache>
            </c:strRef>
          </c:cat>
          <c:val>
            <c:numRef>
              <c:f>'FORMULAS NUEVOS'!$BS$76:$BS$81</c:f>
              <c:numCache>
                <c:formatCode>0.0%</c:formatCode>
                <c:ptCount val="6"/>
                <c:pt idx="0">
                  <c:v>0.105</c:v>
                </c:pt>
                <c:pt idx="1">
                  <c:v>0.09</c:v>
                </c:pt>
                <c:pt idx="2">
                  <c:v>0.16</c:v>
                </c:pt>
                <c:pt idx="3">
                  <c:v>0.185</c:v>
                </c:pt>
                <c:pt idx="4">
                  <c:v>0.28499999999999998</c:v>
                </c:pt>
                <c:pt idx="5">
                  <c:v>0.17499999999999999</c:v>
                </c:pt>
              </c:numCache>
            </c:numRef>
          </c:val>
        </c:ser>
        <c:ser>
          <c:idx val="1"/>
          <c:order val="1"/>
          <c:tx>
            <c:strRef>
              <c:f>'FORMULAS NUEVOS'!$BT$75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3.6985668053629334E-3"/>
                  <c:y val="-6.6334991708126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5478502080443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3.69856680536293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NUEVOS'!$BR$76:$BR$81</c:f>
              <c:strCache>
                <c:ptCount val="6"/>
                <c:pt idx="0">
                  <c:v>MAYOR IMPORTANCIA</c:v>
                </c:pt>
                <c:pt idx="1">
                  <c:v>MUY IMPORTANTE</c:v>
                </c:pt>
                <c:pt idx="2">
                  <c:v>IMPORTANTE</c:v>
                </c:pt>
                <c:pt idx="3">
                  <c:v>NO TAN IMPORTANTE</c:v>
                </c:pt>
                <c:pt idx="4">
                  <c:v>POCO IMPORTANTE</c:v>
                </c:pt>
                <c:pt idx="5">
                  <c:v>MENOR IMPORTANCIA</c:v>
                </c:pt>
              </c:strCache>
            </c:strRef>
          </c:cat>
          <c:val>
            <c:numRef>
              <c:f>'FORMULAS NUEVOS'!$BT$76:$BT$81</c:f>
              <c:numCache>
                <c:formatCode>0.0%</c:formatCode>
                <c:ptCount val="6"/>
                <c:pt idx="0">
                  <c:v>0.10404624277456648</c:v>
                </c:pt>
                <c:pt idx="1">
                  <c:v>4.046242774566474E-2</c:v>
                </c:pt>
                <c:pt idx="2">
                  <c:v>8.6705202312138727E-2</c:v>
                </c:pt>
                <c:pt idx="3">
                  <c:v>0.19075144508670519</c:v>
                </c:pt>
                <c:pt idx="4">
                  <c:v>0.27167630057803466</c:v>
                </c:pt>
                <c:pt idx="5">
                  <c:v>0.30635838150289019</c:v>
                </c:pt>
              </c:numCache>
            </c:numRef>
          </c:val>
        </c:ser>
        <c:ser>
          <c:idx val="2"/>
          <c:order val="2"/>
          <c:tx>
            <c:strRef>
              <c:f>'FORMULAS NUEVOS'!$BU$75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5478502080443829E-3"/>
                  <c:y val="-2.6116138467766271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29449838187702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24641701340732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7.397133610725842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NUEVOS'!$BR$76:$BR$81</c:f>
              <c:strCache>
                <c:ptCount val="6"/>
                <c:pt idx="0">
                  <c:v>MAYOR IMPORTANCIA</c:v>
                </c:pt>
                <c:pt idx="1">
                  <c:v>MUY IMPORTANTE</c:v>
                </c:pt>
                <c:pt idx="2">
                  <c:v>IMPORTANTE</c:v>
                </c:pt>
                <c:pt idx="3">
                  <c:v>NO TAN IMPORTANTE</c:v>
                </c:pt>
                <c:pt idx="4">
                  <c:v>POCO IMPORTANTE</c:v>
                </c:pt>
                <c:pt idx="5">
                  <c:v>MENOR IMPORTANCIA</c:v>
                </c:pt>
              </c:strCache>
            </c:strRef>
          </c:cat>
          <c:val>
            <c:numRef>
              <c:f>'FORMULAS NUEVOS'!$BU$76:$BU$81</c:f>
              <c:numCache>
                <c:formatCode>0.0%</c:formatCode>
                <c:ptCount val="6"/>
                <c:pt idx="0">
                  <c:v>9.0909090909090912E-2</c:v>
                </c:pt>
                <c:pt idx="1">
                  <c:v>0.15151515151515152</c:v>
                </c:pt>
                <c:pt idx="2">
                  <c:v>3.0303030303030304E-2</c:v>
                </c:pt>
                <c:pt idx="3">
                  <c:v>0.12121212121212122</c:v>
                </c:pt>
                <c:pt idx="4">
                  <c:v>0.33333333333333331</c:v>
                </c:pt>
                <c:pt idx="5">
                  <c:v>0.27272727272727271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7274240"/>
        <c:axId val="197288320"/>
        <c:axId val="0"/>
      </c:bar3DChart>
      <c:catAx>
        <c:axId val="1972742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7288320"/>
        <c:crosses val="autoZero"/>
        <c:auto val="1"/>
        <c:lblAlgn val="ctr"/>
        <c:lblOffset val="100"/>
        <c:noMultiLvlLbl val="0"/>
      </c:catAx>
      <c:valAx>
        <c:axId val="197288320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7274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3250661628461461"/>
          <c:y val="0.92668808190020957"/>
          <c:w val="0.75454839989661449"/>
          <c:h val="6.9276974706519903E-2"/>
        </c:manualLayout>
      </c:layout>
      <c:overlay val="0"/>
      <c:txPr>
        <a:bodyPr/>
        <a:lstStyle/>
        <a:p>
          <a:pPr>
            <a:defRPr sz="1100" b="1" i="1" baseline="0">
              <a:solidFill>
                <a:schemeClr val="tx2">
                  <a:lumMod val="50000"/>
                </a:schemeClr>
              </a:solidFill>
            </a:defRPr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GRADO DE IMPORTANCIA DE LAS GARANTÍAS PARA CONTRATAR CRÉDITO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6325750947798194E-2"/>
          <c:y val="0.18004152466016374"/>
          <c:w val="0.86363342082239725"/>
          <c:h val="0.6339794465990282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NUEVOS'!$BS$97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NUEVOS'!$BR$98:$BR$103</c:f>
              <c:strCache>
                <c:ptCount val="6"/>
                <c:pt idx="0">
                  <c:v>MAYOR IMPORTANCIA</c:v>
                </c:pt>
                <c:pt idx="1">
                  <c:v>MUY IMPORTANTE</c:v>
                </c:pt>
                <c:pt idx="2">
                  <c:v>IMPORTANTE</c:v>
                </c:pt>
                <c:pt idx="3">
                  <c:v>NO TAN IMPORTANTE</c:v>
                </c:pt>
                <c:pt idx="4">
                  <c:v>POCO IMPORTANTE</c:v>
                </c:pt>
                <c:pt idx="5">
                  <c:v>MENOR IMPORTANCIA</c:v>
                </c:pt>
              </c:strCache>
            </c:strRef>
          </c:cat>
          <c:val>
            <c:numRef>
              <c:f>'FORMULAS NUEVOS'!$BS$98:$BS$103</c:f>
              <c:numCache>
                <c:formatCode>0.0%</c:formatCode>
                <c:ptCount val="6"/>
                <c:pt idx="0">
                  <c:v>0.13</c:v>
                </c:pt>
                <c:pt idx="1">
                  <c:v>0.13</c:v>
                </c:pt>
                <c:pt idx="2">
                  <c:v>0.16</c:v>
                </c:pt>
                <c:pt idx="3">
                  <c:v>0.15</c:v>
                </c:pt>
                <c:pt idx="4">
                  <c:v>0.18</c:v>
                </c:pt>
                <c:pt idx="5">
                  <c:v>0.25</c:v>
                </c:pt>
              </c:numCache>
            </c:numRef>
          </c:val>
        </c:ser>
        <c:ser>
          <c:idx val="1"/>
          <c:order val="1"/>
          <c:tx>
            <c:strRef>
              <c:f>'FORMULAS NUEVOS'!$BT$97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3.7037037037037104E-3"/>
                  <c:y val="-6.080637329203642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5.5555555555555558E-3"/>
                  <c:y val="6.080637329203642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7.40740740740740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5.5555555555555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NUEVOS'!$BR$98:$BR$103</c:f>
              <c:strCache>
                <c:ptCount val="6"/>
                <c:pt idx="0">
                  <c:v>MAYOR IMPORTANCIA</c:v>
                </c:pt>
                <c:pt idx="1">
                  <c:v>MUY IMPORTANTE</c:v>
                </c:pt>
                <c:pt idx="2">
                  <c:v>IMPORTANTE</c:v>
                </c:pt>
                <c:pt idx="3">
                  <c:v>NO TAN IMPORTANTE</c:v>
                </c:pt>
                <c:pt idx="4">
                  <c:v>POCO IMPORTANTE</c:v>
                </c:pt>
                <c:pt idx="5">
                  <c:v>MENOR IMPORTANCIA</c:v>
                </c:pt>
              </c:strCache>
            </c:strRef>
          </c:cat>
          <c:val>
            <c:numRef>
              <c:f>'FORMULAS NUEVOS'!$BT$98:$BT$103</c:f>
              <c:numCache>
                <c:formatCode>0.0%</c:formatCode>
                <c:ptCount val="6"/>
                <c:pt idx="0">
                  <c:v>0.2832369942196532</c:v>
                </c:pt>
                <c:pt idx="1">
                  <c:v>0.22543352601156069</c:v>
                </c:pt>
                <c:pt idx="2">
                  <c:v>0.13872832369942195</c:v>
                </c:pt>
                <c:pt idx="3">
                  <c:v>0.11560693641618497</c:v>
                </c:pt>
                <c:pt idx="4">
                  <c:v>8.0924855491329481E-2</c:v>
                </c:pt>
                <c:pt idx="5">
                  <c:v>0.15606936416184972</c:v>
                </c:pt>
              </c:numCache>
            </c:numRef>
          </c:val>
        </c:ser>
        <c:ser>
          <c:idx val="2"/>
          <c:order val="2"/>
          <c:tx>
            <c:strRef>
              <c:f>'FORMULAS NUEVOS'!$BU$97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5.5555555555555558E-3"/>
                  <c:y val="0.13930348258706535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7.40740740740740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7.40740740740748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5.5555555555555558E-3"/>
                  <c:y val="3.31674958540630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NUEVOS'!$BR$98:$BR$103</c:f>
              <c:strCache>
                <c:ptCount val="6"/>
                <c:pt idx="0">
                  <c:v>MAYOR IMPORTANCIA</c:v>
                </c:pt>
                <c:pt idx="1">
                  <c:v>MUY IMPORTANTE</c:v>
                </c:pt>
                <c:pt idx="2">
                  <c:v>IMPORTANTE</c:v>
                </c:pt>
                <c:pt idx="3">
                  <c:v>NO TAN IMPORTANTE</c:v>
                </c:pt>
                <c:pt idx="4">
                  <c:v>POCO IMPORTANTE</c:v>
                </c:pt>
                <c:pt idx="5">
                  <c:v>MENOR IMPORTANCIA</c:v>
                </c:pt>
              </c:strCache>
            </c:strRef>
          </c:cat>
          <c:val>
            <c:numRef>
              <c:f>'FORMULAS NUEVOS'!$BU$98:$BU$103</c:f>
              <c:numCache>
                <c:formatCode>0.0%</c:formatCode>
                <c:ptCount val="6"/>
                <c:pt idx="0">
                  <c:v>0.39393939393939392</c:v>
                </c:pt>
                <c:pt idx="1">
                  <c:v>0.24242424242424243</c:v>
                </c:pt>
                <c:pt idx="2">
                  <c:v>9.0909090909090912E-2</c:v>
                </c:pt>
                <c:pt idx="3">
                  <c:v>6.0606060606060608E-2</c:v>
                </c:pt>
                <c:pt idx="4">
                  <c:v>9.0909090909090912E-2</c:v>
                </c:pt>
                <c:pt idx="5">
                  <c:v>0.12121212121212122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7341184"/>
        <c:axId val="197342720"/>
        <c:axId val="0"/>
      </c:bar3DChart>
      <c:catAx>
        <c:axId val="197341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7342720"/>
        <c:crosses val="autoZero"/>
        <c:auto val="1"/>
        <c:lblAlgn val="ctr"/>
        <c:lblOffset val="100"/>
        <c:noMultiLvlLbl val="0"/>
      </c:catAx>
      <c:valAx>
        <c:axId val="197342720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7341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069991251093645"/>
          <c:y val="0.92668808190020957"/>
          <c:w val="0.74818897637795279"/>
          <c:h val="5.6009976364894687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GRADO DE IMPORTANCIA DE LA TASA DE INTERÉS PARA CONTRATAR CRÉDITO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855853890840161E-2"/>
          <c:y val="0.14229996265092876"/>
          <c:w val="0.86978210133705558"/>
          <c:h val="0.6541245002297917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NUEVOS'!$BS$97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NUEVOS'!$BR$98:$BR$103</c:f>
              <c:strCache>
                <c:ptCount val="6"/>
                <c:pt idx="0">
                  <c:v>MAYOR IMPORTANCIA</c:v>
                </c:pt>
                <c:pt idx="1">
                  <c:v>MUY IMPORTANTE</c:v>
                </c:pt>
                <c:pt idx="2">
                  <c:v>IMPORTANTE</c:v>
                </c:pt>
                <c:pt idx="3">
                  <c:v>NO TAN IMPORTANTE</c:v>
                </c:pt>
                <c:pt idx="4">
                  <c:v>POCO IMPORTANTE</c:v>
                </c:pt>
                <c:pt idx="5">
                  <c:v>MENOR IMPORTANCIA</c:v>
                </c:pt>
              </c:strCache>
            </c:strRef>
          </c:cat>
          <c:val>
            <c:numRef>
              <c:f>'FORMULAS NUEVOS'!$BS$98:$BS$103</c:f>
              <c:numCache>
                <c:formatCode>0.0%</c:formatCode>
                <c:ptCount val="6"/>
                <c:pt idx="0">
                  <c:v>0.13</c:v>
                </c:pt>
                <c:pt idx="1">
                  <c:v>0.13</c:v>
                </c:pt>
                <c:pt idx="2">
                  <c:v>0.16</c:v>
                </c:pt>
                <c:pt idx="3">
                  <c:v>0.15</c:v>
                </c:pt>
                <c:pt idx="4">
                  <c:v>0.18</c:v>
                </c:pt>
                <c:pt idx="5">
                  <c:v>0.25</c:v>
                </c:pt>
              </c:numCache>
            </c:numRef>
          </c:val>
        </c:ser>
        <c:ser>
          <c:idx val="1"/>
          <c:order val="1"/>
          <c:tx>
            <c:strRef>
              <c:f>'FORMULAS NUEVOS'!$BT$97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7.38688827331488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10803324099723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5.5401662049861617E-3"/>
                  <c:y val="3.333332458442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7.38688827331488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NUEVOS'!$BR$98:$BR$103</c:f>
              <c:strCache>
                <c:ptCount val="6"/>
                <c:pt idx="0">
                  <c:v>MAYOR IMPORTANCIA</c:v>
                </c:pt>
                <c:pt idx="1">
                  <c:v>MUY IMPORTANTE</c:v>
                </c:pt>
                <c:pt idx="2">
                  <c:v>IMPORTANTE</c:v>
                </c:pt>
                <c:pt idx="3">
                  <c:v>NO TAN IMPORTANTE</c:v>
                </c:pt>
                <c:pt idx="4">
                  <c:v>POCO IMPORTANTE</c:v>
                </c:pt>
                <c:pt idx="5">
                  <c:v>MENOR IMPORTANCIA</c:v>
                </c:pt>
              </c:strCache>
            </c:strRef>
          </c:cat>
          <c:val>
            <c:numRef>
              <c:f>'FORMULAS NUEVOS'!$BT$98:$BT$103</c:f>
              <c:numCache>
                <c:formatCode>0.0%</c:formatCode>
                <c:ptCount val="6"/>
                <c:pt idx="0">
                  <c:v>0.2832369942196532</c:v>
                </c:pt>
                <c:pt idx="1">
                  <c:v>0.22543352601156069</c:v>
                </c:pt>
                <c:pt idx="2">
                  <c:v>0.13872832369942195</c:v>
                </c:pt>
                <c:pt idx="3">
                  <c:v>0.11560693641618497</c:v>
                </c:pt>
                <c:pt idx="4">
                  <c:v>8.0924855491329481E-2</c:v>
                </c:pt>
                <c:pt idx="5">
                  <c:v>0.15606936416184972</c:v>
                </c:pt>
              </c:numCache>
            </c:numRef>
          </c:val>
        </c:ser>
        <c:ser>
          <c:idx val="2"/>
          <c:order val="2"/>
          <c:tx>
            <c:strRef>
              <c:f>'FORMULAS NUEVOS'!$BU$97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0.1366666307961599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7.3868882733148806E-3"/>
                  <c:y val="6.111038911902432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7.38688827331488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5.5401662049861617E-3"/>
                  <c:y val="6.111038911902432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NUEVOS'!$BR$98:$BR$103</c:f>
              <c:strCache>
                <c:ptCount val="6"/>
                <c:pt idx="0">
                  <c:v>MAYOR IMPORTANCIA</c:v>
                </c:pt>
                <c:pt idx="1">
                  <c:v>MUY IMPORTANTE</c:v>
                </c:pt>
                <c:pt idx="2">
                  <c:v>IMPORTANTE</c:v>
                </c:pt>
                <c:pt idx="3">
                  <c:v>NO TAN IMPORTANTE</c:v>
                </c:pt>
                <c:pt idx="4">
                  <c:v>POCO IMPORTANTE</c:v>
                </c:pt>
                <c:pt idx="5">
                  <c:v>MENOR IMPORTANCIA</c:v>
                </c:pt>
              </c:strCache>
            </c:strRef>
          </c:cat>
          <c:val>
            <c:numRef>
              <c:f>'FORMULAS NUEVOS'!$BU$98:$BU$103</c:f>
              <c:numCache>
                <c:formatCode>0.0%</c:formatCode>
                <c:ptCount val="6"/>
                <c:pt idx="0">
                  <c:v>0.39393939393939392</c:v>
                </c:pt>
                <c:pt idx="1">
                  <c:v>0.24242424242424243</c:v>
                </c:pt>
                <c:pt idx="2">
                  <c:v>9.0909090909090912E-2</c:v>
                </c:pt>
                <c:pt idx="3">
                  <c:v>6.0606060606060608E-2</c:v>
                </c:pt>
                <c:pt idx="4">
                  <c:v>9.0909090909090912E-2</c:v>
                </c:pt>
                <c:pt idx="5">
                  <c:v>0.12121212121212122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7469312"/>
        <c:axId val="197470848"/>
        <c:axId val="0"/>
      </c:bar3DChart>
      <c:catAx>
        <c:axId val="1974693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7470848"/>
        <c:crosses val="autoZero"/>
        <c:auto val="1"/>
        <c:lblAlgn val="ctr"/>
        <c:lblOffset val="100"/>
        <c:noMultiLvlLbl val="0"/>
      </c:catAx>
      <c:valAx>
        <c:axId val="197470848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7469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865734580961331"/>
          <c:y val="0.92514647633950953"/>
          <c:w val="0.70548854523378479"/>
          <c:h val="5.2956679013995145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CONOCE EL PROGRAMA DE CHATARRIZACIÓN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358431174750843"/>
          <c:y val="0.13623633584263564"/>
          <c:w val="0.85128627604823415"/>
          <c:h val="0.691413284877850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NUEVOS'!$CB$2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1.4652014652014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6607354685646523E-2"/>
                  <c:y val="-7.3260073260073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NUEVOS'!$CA$3:$CA$4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'FORMULAS NUEVOS'!$CB$3:$CB$4</c:f>
              <c:numCache>
                <c:formatCode>0.0%</c:formatCode>
                <c:ptCount val="2"/>
                <c:pt idx="0">
                  <c:v>0.24752475247524752</c:v>
                </c:pt>
                <c:pt idx="1">
                  <c:v>0.75247524752475248</c:v>
                </c:pt>
              </c:numCache>
            </c:numRef>
          </c:val>
        </c:ser>
        <c:ser>
          <c:idx val="1"/>
          <c:order val="1"/>
          <c:tx>
            <c:strRef>
              <c:f>'FORMULAS NUEVOS'!$CC$2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3724792408066431E-3"/>
                  <c:y val="-2.197802197802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0842230130486443E-2"/>
                  <c:y val="-1.0989010989010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NUEVOS'!$CA$3:$CA$4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'FORMULAS NUEVOS'!$CC$3:$CC$4</c:f>
              <c:numCache>
                <c:formatCode>0.0%</c:formatCode>
                <c:ptCount val="2"/>
                <c:pt idx="0">
                  <c:v>0.39428571428571429</c:v>
                </c:pt>
                <c:pt idx="1">
                  <c:v>0.60571428571428576</c:v>
                </c:pt>
              </c:numCache>
            </c:numRef>
          </c:val>
        </c:ser>
        <c:ser>
          <c:idx val="2"/>
          <c:order val="2"/>
          <c:tx>
            <c:strRef>
              <c:f>'FORMULAS NUEVOS'!$CD$2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8469750889679783E-2"/>
                  <c:y val="-3.66300366300366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352313167259836E-2"/>
                  <c:y val="-1.0989010989010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NUEVOS'!$CA$3:$CA$4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'FORMULAS NUEVOS'!$CD$3:$CD$4</c:f>
              <c:numCache>
                <c:formatCode>0.0%</c:formatCode>
                <c:ptCount val="2"/>
                <c:pt idx="0">
                  <c:v>0.82352941176470584</c:v>
                </c:pt>
                <c:pt idx="1">
                  <c:v>0.17647058823529413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7523328"/>
        <c:axId val="197524864"/>
        <c:axId val="0"/>
      </c:bar3DChart>
      <c:catAx>
        <c:axId val="1975233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7524864"/>
        <c:crosses val="autoZero"/>
        <c:auto val="1"/>
        <c:lblAlgn val="ctr"/>
        <c:lblOffset val="100"/>
        <c:noMultiLvlLbl val="0"/>
      </c:catAx>
      <c:valAx>
        <c:axId val="197524864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7523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636524971745109"/>
          <c:y val="0.89231317239191144"/>
          <c:w val="0.84228243711528961"/>
          <c:h val="9.4824204666724365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SÍ CONOCE EL PROGRAMA DE CHATARRIZACIÓN</a:t>
            </a:r>
          </a:p>
        </c:rich>
      </c:tx>
      <c:layout>
        <c:manualLayout>
          <c:xMode val="edge"/>
          <c:yMode val="edge"/>
          <c:x val="0.16413988287051309"/>
          <c:y val="2.3598820058996998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466874025088523E-2"/>
          <c:y val="0.16549679077725946"/>
          <c:w val="0.85603123452984931"/>
          <c:h val="0.6455094883051135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NUEVOS'!$CB$8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3724792408066431E-3"/>
                  <c:y val="-1.9665683382497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2.3598820058996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NUEVOS'!$CA$9:$CA$10</c:f>
              <c:strCache>
                <c:ptCount val="2"/>
                <c:pt idx="0">
                  <c:v>PARTICIPA</c:v>
                </c:pt>
                <c:pt idx="1">
                  <c:v>NO PARTICIPA</c:v>
                </c:pt>
              </c:strCache>
            </c:strRef>
          </c:cat>
          <c:val>
            <c:numRef>
              <c:f>'FORMULAS NUEVOS'!$CB$9:$CB$10</c:f>
              <c:numCache>
                <c:formatCode>0.0%</c:formatCode>
                <c:ptCount val="2"/>
                <c:pt idx="0">
                  <c:v>0.1</c:v>
                </c:pt>
                <c:pt idx="1">
                  <c:v>0.9</c:v>
                </c:pt>
              </c:numCache>
            </c:numRef>
          </c:val>
        </c:ser>
        <c:ser>
          <c:idx val="1"/>
          <c:order val="1"/>
          <c:tx>
            <c:strRef>
              <c:f>'FORMULAS NUEVOS'!$CC$8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1174377224199293E-3"/>
                  <c:y val="-2.3598820058996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1862396204033242E-2"/>
                  <c:y val="-1.5732546705998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NUEVOS'!$CA$9:$CA$10</c:f>
              <c:strCache>
                <c:ptCount val="2"/>
                <c:pt idx="0">
                  <c:v>PARTICIPA</c:v>
                </c:pt>
                <c:pt idx="1">
                  <c:v>NO PARTICIPA</c:v>
                </c:pt>
              </c:strCache>
            </c:strRef>
          </c:cat>
          <c:val>
            <c:numRef>
              <c:f>'FORMULAS NUEVOS'!$CC$9:$CC$10</c:f>
              <c:numCache>
                <c:formatCode>0.0%</c:formatCode>
                <c:ptCount val="2"/>
                <c:pt idx="0">
                  <c:v>0.15942028985507245</c:v>
                </c:pt>
                <c:pt idx="1">
                  <c:v>0.84057971014492749</c:v>
                </c:pt>
              </c:numCache>
            </c:numRef>
          </c:val>
        </c:ser>
        <c:ser>
          <c:idx val="2"/>
          <c:order val="2"/>
          <c:tx>
            <c:strRef>
              <c:f>'FORMULAS NUEVOS'!$CD$8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1352313167259836E-2"/>
                  <c:y val="-1.5732546705998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352313167259836E-2"/>
                  <c:y val="-7.86627335299903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NUEVOS'!$CA$9:$CA$10</c:f>
              <c:strCache>
                <c:ptCount val="2"/>
                <c:pt idx="0">
                  <c:v>PARTICIPA</c:v>
                </c:pt>
                <c:pt idx="1">
                  <c:v>NO PARTICIPA</c:v>
                </c:pt>
              </c:strCache>
            </c:strRef>
          </c:cat>
          <c:val>
            <c:numRef>
              <c:f>'FORMULAS NUEVOS'!$CD$9:$CD$10</c:f>
              <c:numCache>
                <c:formatCode>0.0%</c:formatCode>
                <c:ptCount val="2"/>
                <c:pt idx="0">
                  <c:v>0.14285714285714285</c:v>
                </c:pt>
                <c:pt idx="1">
                  <c:v>0.8571428571428571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7581440"/>
        <c:axId val="197599616"/>
        <c:axId val="0"/>
      </c:bar3DChart>
      <c:catAx>
        <c:axId val="1975814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7599616"/>
        <c:crosses val="autoZero"/>
        <c:auto val="1"/>
        <c:lblAlgn val="ctr"/>
        <c:lblOffset val="100"/>
        <c:noMultiLvlLbl val="0"/>
      </c:catAx>
      <c:valAx>
        <c:axId val="197599616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7581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450285351341762"/>
          <c:y val="0.90725261112272459"/>
          <c:w val="0.85651731256012964"/>
          <c:h val="7.4285183378626371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CRÉDITOS EN LOS ÚLTIMOS 12 MESES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FORMULAS!$U$23</c:f>
              <c:strCache>
                <c:ptCount val="1"/>
                <c:pt idx="0">
                  <c:v>CRÉDITOS EN LOS ÚLTIMOS 12 MESES</c:v>
                </c:pt>
              </c:strCache>
            </c:strRef>
          </c:tx>
          <c:explosion val="25"/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Lbls>
            <c:dLbl>
              <c:idx val="1"/>
              <c:layout>
                <c:manualLayout>
                  <c:x val="8.0413932633420809E-2"/>
                  <c:y val="0.190446558763487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FORMULAS!$U$24:$U$26</c:f>
              <c:strCache>
                <c:ptCount val="3"/>
                <c:pt idx="0">
                  <c:v>Para Capital de trabajo</c:v>
                </c:pt>
                <c:pt idx="1">
                  <c:v>Para Auto financiamiento de una unidad</c:v>
                </c:pt>
                <c:pt idx="2">
                  <c:v>Ninguno</c:v>
                </c:pt>
              </c:strCache>
            </c:strRef>
          </c:cat>
          <c:val>
            <c:numRef>
              <c:f>FORMULAS!$V$24:$V$26</c:f>
              <c:numCache>
                <c:formatCode>0.0%</c:formatCode>
                <c:ptCount val="3"/>
                <c:pt idx="0">
                  <c:v>0.310126582278481</c:v>
                </c:pt>
                <c:pt idx="1">
                  <c:v>9.49367088607595E-2</c:v>
                </c:pt>
                <c:pt idx="2">
                  <c:v>0.59493670886075944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RAZÓN POR LA QUE NO PARTICIPA EN EL PROGRAMA DE CHATARRIZACIÓN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346172747823992E-2"/>
          <c:y val="0.12877824995469175"/>
          <c:w val="0.89477810419328663"/>
          <c:h val="0.6788437954789633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NUEVOS'!$CB$14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0.13574657409138274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8492834026814645E-3"/>
                  <c:y val="-9.04977160609216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8492834026814645E-3"/>
                  <c:y val="-1.8099543212184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8099543212184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NUEVOS'!$CA$15:$CA$18</c:f>
              <c:strCache>
                <c:ptCount val="4"/>
                <c:pt idx="0">
                  <c:v>DAN MUY POCO</c:v>
                </c:pt>
                <c:pt idx="1">
                  <c:v>UNIDADES EN BUEN ESTADO</c:v>
                </c:pt>
                <c:pt idx="2">
                  <c:v>VENDE LAS UNIDADES USADAS</c:v>
                </c:pt>
                <c:pt idx="3">
                  <c:v>NO LE INTERESA</c:v>
                </c:pt>
              </c:strCache>
            </c:strRef>
          </c:cat>
          <c:val>
            <c:numRef>
              <c:f>'FORMULAS NUEVOS'!$CB$15:$CB$18</c:f>
              <c:numCache>
                <c:formatCode>0.0%</c:formatCode>
                <c:ptCount val="4"/>
                <c:pt idx="0">
                  <c:v>0.6</c:v>
                </c:pt>
                <c:pt idx="1">
                  <c:v>0.37777777777777777</c:v>
                </c:pt>
                <c:pt idx="2">
                  <c:v>0</c:v>
                </c:pt>
                <c:pt idx="3">
                  <c:v>2.2222222222222223E-2</c:v>
                </c:pt>
              </c:numCache>
            </c:numRef>
          </c:val>
        </c:ser>
        <c:ser>
          <c:idx val="1"/>
          <c:order val="1"/>
          <c:tx>
            <c:strRef>
              <c:f>'FORMULAS NUEVOS'!$CC$14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2464170134073289E-3"/>
                  <c:y val="-9.04977160609216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8492834026814645E-3"/>
                  <c:y val="-1.5082952676820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8492834026814645E-3"/>
                  <c:y val="-9.04977160609216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9.04977160609216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NUEVOS'!$CA$15:$CA$18</c:f>
              <c:strCache>
                <c:ptCount val="4"/>
                <c:pt idx="0">
                  <c:v>DAN MUY POCO</c:v>
                </c:pt>
                <c:pt idx="1">
                  <c:v>UNIDADES EN BUEN ESTADO</c:v>
                </c:pt>
                <c:pt idx="2">
                  <c:v>VENDE LAS UNIDADES USADAS</c:v>
                </c:pt>
                <c:pt idx="3">
                  <c:v>NO LE INTERESA</c:v>
                </c:pt>
              </c:strCache>
            </c:strRef>
          </c:cat>
          <c:val>
            <c:numRef>
              <c:f>'FORMULAS NUEVOS'!$CC$15:$CC$18</c:f>
              <c:numCache>
                <c:formatCode>0.0%</c:formatCode>
                <c:ptCount val="4"/>
                <c:pt idx="0">
                  <c:v>0.49514563106796117</c:v>
                </c:pt>
                <c:pt idx="1">
                  <c:v>0.44660194174757284</c:v>
                </c:pt>
                <c:pt idx="2">
                  <c:v>9.7087378640776691E-3</c:v>
                </c:pt>
                <c:pt idx="3">
                  <c:v>4.8543689320388349E-2</c:v>
                </c:pt>
              </c:numCache>
            </c:numRef>
          </c:val>
        </c:ser>
        <c:ser>
          <c:idx val="2"/>
          <c:order val="2"/>
          <c:tx>
            <c:strRef>
              <c:f>'FORMULAS NUEVOS'!$CD$14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3971336107258425E-3"/>
                  <c:y val="-9.04977160609216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9.2464170134073289E-3"/>
                  <c:y val="-6.03318107072813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5478502080443829E-3"/>
                  <c:y val="-1.50829526768203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7.3971336107258425E-3"/>
                  <c:y val="-3.01659053536406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NUEVOS'!$CA$15:$CA$18</c:f>
              <c:strCache>
                <c:ptCount val="4"/>
                <c:pt idx="0">
                  <c:v>DAN MUY POCO</c:v>
                </c:pt>
                <c:pt idx="1">
                  <c:v>UNIDADES EN BUEN ESTADO</c:v>
                </c:pt>
                <c:pt idx="2">
                  <c:v>VENDE LAS UNIDADES USADAS</c:v>
                </c:pt>
                <c:pt idx="3">
                  <c:v>NO LE INTERESA</c:v>
                </c:pt>
              </c:strCache>
            </c:strRef>
          </c:cat>
          <c:val>
            <c:numRef>
              <c:f>'FORMULAS NUEVOS'!$CD$15:$CD$18</c:f>
              <c:numCache>
                <c:formatCode>0.0%</c:formatCode>
                <c:ptCount val="4"/>
                <c:pt idx="0">
                  <c:v>0.33333333333333331</c:v>
                </c:pt>
                <c:pt idx="1">
                  <c:v>0.5</c:v>
                </c:pt>
                <c:pt idx="2">
                  <c:v>4.1666666666666664E-2</c:v>
                </c:pt>
                <c:pt idx="3">
                  <c:v>0.125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7644288"/>
        <c:axId val="197645824"/>
        <c:axId val="0"/>
      </c:bar3DChart>
      <c:catAx>
        <c:axId val="1976442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7645824"/>
        <c:crosses val="autoZero"/>
        <c:auto val="1"/>
        <c:lblAlgn val="ctr"/>
        <c:lblOffset val="100"/>
        <c:noMultiLvlLbl val="0"/>
      </c:catAx>
      <c:valAx>
        <c:axId val="197645824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7644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743957976126801"/>
          <c:y val="0.92698021947952791"/>
          <c:w val="0.82297188579582892"/>
          <c:h val="5.3957778658738423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RAZÓN POR LA QUE SÍ PARTICIPA EN EL PROGRAMA DE CHATARRIZACIÓN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573507247193398E-2"/>
          <c:y val="0.22563333333333341"/>
          <c:w val="0.86905488334530756"/>
          <c:h val="0.5865556430446193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NUEVOS'!$CB$22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146690518783546E-2"/>
                  <c:y val="-1.3333333333333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2.3333333333333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NUEVOS'!$CA$23:$CA$24</c:f>
              <c:strCache>
                <c:ptCount val="2"/>
                <c:pt idx="0">
                  <c:v>LO SOLICITO EL CLIENTE</c:v>
                </c:pt>
                <c:pt idx="1">
                  <c:v>CAMBIO DE UNIDAD VIEJA</c:v>
                </c:pt>
              </c:strCache>
            </c:strRef>
          </c:cat>
          <c:val>
            <c:numRef>
              <c:f>'FORMULAS NUEVOS'!$CB$23:$CB$24</c:f>
              <c:numCache>
                <c:formatCode>0.0%</c:formatCode>
                <c:ptCount val="2"/>
                <c:pt idx="0">
                  <c:v>0.2</c:v>
                </c:pt>
                <c:pt idx="1">
                  <c:v>0.8</c:v>
                </c:pt>
              </c:numCache>
            </c:numRef>
          </c:val>
        </c:ser>
        <c:ser>
          <c:idx val="1"/>
          <c:order val="1"/>
          <c:tx>
            <c:strRef>
              <c:f>'FORMULAS NUEVOS'!$CC$22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3852116875372692E-3"/>
                  <c:y val="7.3333333333333528E-2"/>
                </c:manualLayout>
              </c:layout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4311270125223518E-2"/>
                  <c:y val="-1.6666666666666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NUEVOS'!$CA$23:$CA$24</c:f>
              <c:strCache>
                <c:ptCount val="2"/>
                <c:pt idx="0">
                  <c:v>LO SOLICITO EL CLIENTE</c:v>
                </c:pt>
                <c:pt idx="1">
                  <c:v>CAMBIO DE UNIDAD VIEJA</c:v>
                </c:pt>
              </c:strCache>
            </c:strRef>
          </c:cat>
          <c:val>
            <c:numRef>
              <c:f>'FORMULAS NUEVOS'!$CC$23:$CC$24</c:f>
              <c:numCache>
                <c:formatCode>0.0%</c:formatCode>
                <c:ptCount val="2"/>
                <c:pt idx="0">
                  <c:v>0.125</c:v>
                </c:pt>
                <c:pt idx="1">
                  <c:v>0.875</c:v>
                </c:pt>
              </c:numCache>
            </c:numRef>
          </c:val>
        </c:ser>
        <c:ser>
          <c:idx val="2"/>
          <c:order val="2"/>
          <c:tx>
            <c:strRef>
              <c:f>'FORMULAS NUEVOS'!$CD$22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5778175313058991E-2"/>
                  <c:y val="-1.6666666666666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6237328562910073E-2"/>
                  <c:y val="-1.6666666666666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NUEVOS'!$CA$23:$CA$24</c:f>
              <c:strCache>
                <c:ptCount val="2"/>
                <c:pt idx="0">
                  <c:v>LO SOLICITO EL CLIENTE</c:v>
                </c:pt>
                <c:pt idx="1">
                  <c:v>CAMBIO DE UNIDAD VIEJA</c:v>
                </c:pt>
              </c:strCache>
            </c:strRef>
          </c:cat>
          <c:val>
            <c:numRef>
              <c:f>'FORMULAS NUEVOS'!$CD$23:$CD$24</c:f>
              <c:numCache>
                <c:formatCode>0.0%</c:formatCode>
                <c:ptCount val="2"/>
                <c:pt idx="0">
                  <c:v>0.25</c:v>
                </c:pt>
                <c:pt idx="1">
                  <c:v>0.75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7715072"/>
        <c:axId val="197716608"/>
        <c:axId val="0"/>
      </c:bar3DChart>
      <c:catAx>
        <c:axId val="1977150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7716608"/>
        <c:crosses val="autoZero"/>
        <c:auto val="1"/>
        <c:lblAlgn val="ctr"/>
        <c:lblOffset val="100"/>
        <c:noMultiLvlLbl val="0"/>
      </c:catAx>
      <c:valAx>
        <c:axId val="197716608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7715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0728710342334212E-2"/>
          <c:y val="0.92121049868766358"/>
          <c:w val="0.88826353771968058"/>
          <c:h val="6.0829133858267714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SUGERENCIAS PARA MEJORA DEL PROGRAMA DE CHATARRIZACIÓN</a:t>
            </a:r>
          </a:p>
        </c:rich>
      </c:tx>
      <c:layout>
        <c:manualLayout>
          <c:xMode val="edge"/>
          <c:yMode val="edge"/>
          <c:x val="0.18650874768787642"/>
          <c:y val="1.6427104722792643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2802476988426743E-2"/>
          <c:y val="0.11687885010266941"/>
          <c:w val="0.8818733869965415"/>
          <c:h val="0.6778858186874510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NUEVOS'!$CB$28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NUEVOS'!$CA$29:$CA$33</c:f>
              <c:strCache>
                <c:ptCount val="5"/>
                <c:pt idx="0">
                  <c:v>QUE SEA EN EFECTIVO</c:v>
                </c:pt>
                <c:pt idx="1">
                  <c:v>QUE SEA HONESTO Y PRACTICO</c:v>
                </c:pt>
                <c:pt idx="2">
                  <c:v>MÁS Y MEJORES CREDITOS</c:v>
                </c:pt>
                <c:pt idx="3">
                  <c:v>DARLO A CONOCER</c:v>
                </c:pt>
                <c:pt idx="4">
                  <c:v>MEJORAR CONDICIONES</c:v>
                </c:pt>
              </c:strCache>
            </c:strRef>
          </c:cat>
          <c:val>
            <c:numRef>
              <c:f>'FORMULAS NUEVOS'!$CB$29:$CB$33</c:f>
              <c:numCache>
                <c:formatCode>0.0%</c:formatCode>
                <c:ptCount val="5"/>
                <c:pt idx="0">
                  <c:v>1.2048192771084338E-2</c:v>
                </c:pt>
                <c:pt idx="1">
                  <c:v>2.4096385542168676E-2</c:v>
                </c:pt>
                <c:pt idx="2">
                  <c:v>9.6385542168674704E-2</c:v>
                </c:pt>
                <c:pt idx="3">
                  <c:v>0.49397590361445781</c:v>
                </c:pt>
                <c:pt idx="4">
                  <c:v>0.37349397590361444</c:v>
                </c:pt>
              </c:numCache>
            </c:numRef>
          </c:val>
        </c:ser>
        <c:ser>
          <c:idx val="1"/>
          <c:order val="1"/>
          <c:tx>
            <c:strRef>
              <c:f>'FORMULAS NUEVOS'!$CC$28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3.714020427112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NUEVOS'!$CA$29:$CA$33</c:f>
              <c:strCache>
                <c:ptCount val="5"/>
                <c:pt idx="0">
                  <c:v>QUE SEA EN EFECTIVO</c:v>
                </c:pt>
                <c:pt idx="1">
                  <c:v>QUE SEA HONESTO Y PRACTICO</c:v>
                </c:pt>
                <c:pt idx="2">
                  <c:v>MÁS Y MEJORES CREDITOS</c:v>
                </c:pt>
                <c:pt idx="3">
                  <c:v>DARLO A CONOCER</c:v>
                </c:pt>
                <c:pt idx="4">
                  <c:v>MEJORAR CONDICIONES</c:v>
                </c:pt>
              </c:strCache>
            </c:strRef>
          </c:cat>
          <c:val>
            <c:numRef>
              <c:f>'FORMULAS NUEVOS'!$CC$29:$CC$33</c:f>
              <c:numCache>
                <c:formatCode>0.0%</c:formatCode>
                <c:ptCount val="5"/>
                <c:pt idx="0">
                  <c:v>1.8181818181818181E-2</c:v>
                </c:pt>
                <c:pt idx="1">
                  <c:v>3.0303030303030304E-2</c:v>
                </c:pt>
                <c:pt idx="2">
                  <c:v>0.12727272727272726</c:v>
                </c:pt>
                <c:pt idx="3">
                  <c:v>0.3575757575757576</c:v>
                </c:pt>
                <c:pt idx="4">
                  <c:v>0.46666666666666667</c:v>
                </c:pt>
              </c:numCache>
            </c:numRef>
          </c:val>
        </c:ser>
        <c:ser>
          <c:idx val="2"/>
          <c:order val="2"/>
          <c:tx>
            <c:strRef>
              <c:f>'FORMULAS NUEVOS'!$CD$28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5.57103064066853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8570102135561776E-3"/>
                  <c:y val="0.11498973305954807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NUEVOS'!$CA$29:$CA$33</c:f>
              <c:strCache>
                <c:ptCount val="5"/>
                <c:pt idx="0">
                  <c:v>QUE SEA EN EFECTIVO</c:v>
                </c:pt>
                <c:pt idx="1">
                  <c:v>QUE SEA HONESTO Y PRACTICO</c:v>
                </c:pt>
                <c:pt idx="2">
                  <c:v>MÁS Y MEJORES CREDITOS</c:v>
                </c:pt>
                <c:pt idx="3">
                  <c:v>DARLO A CONOCER</c:v>
                </c:pt>
                <c:pt idx="4">
                  <c:v>MEJORAR CONDICIONES</c:v>
                </c:pt>
              </c:strCache>
            </c:strRef>
          </c:cat>
          <c:val>
            <c:numRef>
              <c:f>'FORMULAS NUEVOS'!$CD$29:$CD$33</c:f>
              <c:numCache>
                <c:formatCode>0.0%</c:formatCode>
                <c:ptCount val="5"/>
                <c:pt idx="0">
                  <c:v>8.6956521739130432E-2</c:v>
                </c:pt>
                <c:pt idx="1">
                  <c:v>8.6956521739130432E-2</c:v>
                </c:pt>
                <c:pt idx="2">
                  <c:v>0.13043478260869565</c:v>
                </c:pt>
                <c:pt idx="3">
                  <c:v>4.3478260869565216E-2</c:v>
                </c:pt>
                <c:pt idx="4">
                  <c:v>0.65217391304347827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7830912"/>
        <c:axId val="197840896"/>
        <c:axId val="0"/>
      </c:bar3DChart>
      <c:catAx>
        <c:axId val="1978309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7840896"/>
        <c:crosses val="autoZero"/>
        <c:auto val="1"/>
        <c:lblAlgn val="ctr"/>
        <c:lblOffset val="100"/>
        <c:noMultiLvlLbl val="0"/>
      </c:catAx>
      <c:valAx>
        <c:axId val="197840896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7830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7730353343715044"/>
          <c:y val="0.9258561981600345"/>
          <c:w val="0.80226935421373169"/>
          <c:h val="5.7185510948708558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CONOCE EL PROGRAMA TRANSPORTE LIMPIO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66634566362683"/>
          <c:y val="0.15455485419694473"/>
          <c:w val="0.84237202364092978"/>
          <c:h val="0.6946585395833805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NUEVOS'!$CK$2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1.1019283746556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3980815347721851E-3"/>
                  <c:y val="-2.2038567493113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NUEVOS'!$CJ$3:$CJ$4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'FORMULAS NUEVOS'!$CK$3:$CK$4</c:f>
              <c:numCache>
                <c:formatCode>0.0%</c:formatCode>
                <c:ptCount val="2"/>
                <c:pt idx="0">
                  <c:v>6.4356435643564358E-2</c:v>
                </c:pt>
                <c:pt idx="1">
                  <c:v>0.9356435643564357</c:v>
                </c:pt>
              </c:numCache>
            </c:numRef>
          </c:val>
        </c:ser>
        <c:ser>
          <c:idx val="1"/>
          <c:order val="1"/>
          <c:tx>
            <c:strRef>
              <c:f>'FORMULAS NUEVOS'!$CL$2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7.34618916437098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8776978417266189E-2"/>
                  <c:y val="-1.1019283746556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NUEVOS'!$CJ$3:$CJ$4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'FORMULAS NUEVOS'!$CL$3:$CL$4</c:f>
              <c:numCache>
                <c:formatCode>0.0%</c:formatCode>
                <c:ptCount val="2"/>
                <c:pt idx="0">
                  <c:v>0.22285714285714286</c:v>
                </c:pt>
                <c:pt idx="1">
                  <c:v>0.77714285714285714</c:v>
                </c:pt>
              </c:numCache>
            </c:numRef>
          </c:val>
        </c:ser>
        <c:ser>
          <c:idx val="2"/>
          <c:order val="2"/>
          <c:tx>
            <c:strRef>
              <c:f>'FORMULAS NUEVOS'!$CM$2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8776978417266268E-2"/>
                  <c:y val="-1.8365472910927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8776978417266189E-2"/>
                  <c:y val="-1.8365472910927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NUEVOS'!$CJ$3:$CJ$4</c:f>
              <c:strCache>
                <c:ptCount val="2"/>
                <c:pt idx="0">
                  <c:v>Sí</c:v>
                </c:pt>
                <c:pt idx="1">
                  <c:v>No</c:v>
                </c:pt>
              </c:strCache>
            </c:strRef>
          </c:cat>
          <c:val>
            <c:numRef>
              <c:f>'FORMULAS NUEVOS'!$CM$3:$CM$4</c:f>
              <c:numCache>
                <c:formatCode>0.0%</c:formatCode>
                <c:ptCount val="2"/>
                <c:pt idx="0">
                  <c:v>0.26470588235294118</c:v>
                </c:pt>
                <c:pt idx="1">
                  <c:v>0.73529411764705888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7873024"/>
        <c:axId val="197887104"/>
        <c:axId val="0"/>
      </c:bar3DChart>
      <c:catAx>
        <c:axId val="1978730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7887104"/>
        <c:crosses val="autoZero"/>
        <c:auto val="1"/>
        <c:lblAlgn val="ctr"/>
        <c:lblOffset val="100"/>
        <c:noMultiLvlLbl val="0"/>
      </c:catAx>
      <c:valAx>
        <c:axId val="197887104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7873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3932853717026662E-2"/>
          <c:y val="0.92073085905584162"/>
          <c:w val="0.89208633093525025"/>
          <c:h val="6.5700671713556633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SÍ CONOCE EL PROGRAMA TRANSPORTE LIMPIO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9226169439771597E-2"/>
          <c:y val="0.16741176470588234"/>
          <c:w val="0.85284553075390035"/>
          <c:h val="0.6441503782615416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NUEVOS'!$CK$8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1.9607843137254902E-2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/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0.19215686274509805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NUEVOS'!$CJ$9:$CJ$10</c:f>
              <c:strCache>
                <c:ptCount val="2"/>
                <c:pt idx="0">
                  <c:v>PARTICIPA</c:v>
                </c:pt>
                <c:pt idx="1">
                  <c:v>NO PARTICIPA</c:v>
                </c:pt>
              </c:strCache>
            </c:strRef>
          </c:cat>
          <c:val>
            <c:numRef>
              <c:f>'FORMULAS NUEVOS'!$CK$9:$CK$10</c:f>
              <c:numCache>
                <c:formatCode>0.0%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</c:ser>
        <c:ser>
          <c:idx val="1"/>
          <c:order val="1"/>
          <c:tx>
            <c:strRef>
              <c:f>'FORMULAS NUEVOS'!$CL$8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393776181926995E-3"/>
                  <c:y val="-3.13725490196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393776181926995E-3"/>
                  <c:y val="0.19215686274509805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NUEVOS'!$CJ$9:$CJ$10</c:f>
              <c:strCache>
                <c:ptCount val="2"/>
                <c:pt idx="0">
                  <c:v>PARTICIPA</c:v>
                </c:pt>
                <c:pt idx="1">
                  <c:v>NO PARTICIPA</c:v>
                </c:pt>
              </c:strCache>
            </c:strRef>
          </c:cat>
          <c:val>
            <c:numRef>
              <c:f>'FORMULAS NUEVOS'!$CL$9:$CL$10</c:f>
              <c:numCache>
                <c:formatCode>0.0%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</c:ser>
        <c:ser>
          <c:idx val="2"/>
          <c:order val="2"/>
          <c:tx>
            <c:strRef>
              <c:f>'FORMULAS NUEVOS'!$CM$8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3937761819269945E-2"/>
                  <c:y val="-2.3529411764705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543985637342909E-2"/>
                  <c:y val="-1.176470588235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NUEVOS'!$CJ$9:$CJ$10</c:f>
              <c:strCache>
                <c:ptCount val="2"/>
                <c:pt idx="0">
                  <c:v>PARTICIPA</c:v>
                </c:pt>
                <c:pt idx="1">
                  <c:v>NO PARTICIPA</c:v>
                </c:pt>
              </c:strCache>
            </c:strRef>
          </c:cat>
          <c:val>
            <c:numRef>
              <c:f>'FORMULAS NUEVOS'!$CM$9:$CM$10</c:f>
              <c:numCache>
                <c:formatCode>0.0%</c:formatCode>
                <c:ptCount val="2"/>
                <c:pt idx="0">
                  <c:v>0.25</c:v>
                </c:pt>
                <c:pt idx="1">
                  <c:v>0.75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7948928"/>
        <c:axId val="197950464"/>
        <c:axId val="0"/>
      </c:bar3DChart>
      <c:catAx>
        <c:axId val="1979489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7950464"/>
        <c:crosses val="autoZero"/>
        <c:auto val="1"/>
        <c:lblAlgn val="ctr"/>
        <c:lblOffset val="100"/>
        <c:noMultiLvlLbl val="0"/>
      </c:catAx>
      <c:valAx>
        <c:axId val="197950464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1100" b="1" i="0" baseline="0"/>
            </a:pPr>
            <a:endParaRPr lang="es-MX"/>
          </a:p>
        </c:txPr>
        <c:crossAx val="197948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946248415536927"/>
          <c:y val="0.90997653234522169"/>
          <c:w val="0.86420597784343511"/>
          <c:h val="7.0145128917708827E-2"/>
        </c:manualLayout>
      </c:layout>
      <c:overlay val="0"/>
      <c:txPr>
        <a:bodyPr/>
        <a:lstStyle/>
        <a:p>
          <a:pPr>
            <a:defRPr sz="1100" b="1" i="1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ENCUESTAS REALIZADAS POR REGIÓN</a:t>
            </a:r>
          </a:p>
          <a:p>
            <a:pPr>
              <a:defRPr sz="1400"/>
            </a:pPr>
            <a:r>
              <a:rPr lang="es-MX" sz="1200"/>
              <a:t>PROPIETARIOS DE UNIDADES DE TRANSPORTE DE CARGA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C+P'!$AP$18:$AP$21</c:f>
              <c:strCache>
                <c:ptCount val="4"/>
                <c:pt idx="0">
                  <c:v>SUR-SURESTE</c:v>
                </c:pt>
                <c:pt idx="1">
                  <c:v>CENTRO</c:v>
                </c:pt>
                <c:pt idx="2">
                  <c:v>NOROESTE</c:v>
                </c:pt>
                <c:pt idx="3">
                  <c:v>NORESTE</c:v>
                </c:pt>
              </c:strCache>
            </c:strRef>
          </c:cat>
          <c:val>
            <c:numRef>
              <c:f>'FORMULAS C+P'!$AQ$18:$AQ$21</c:f>
              <c:numCache>
                <c:formatCode>General</c:formatCode>
                <c:ptCount val="4"/>
                <c:pt idx="0">
                  <c:v>24</c:v>
                </c:pt>
                <c:pt idx="1">
                  <c:v>279</c:v>
                </c:pt>
                <c:pt idx="2">
                  <c:v>68</c:v>
                </c:pt>
                <c:pt idx="3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049792"/>
        <c:axId val="198051328"/>
        <c:axId val="0"/>
      </c:bar3DChart>
      <c:catAx>
        <c:axId val="1980497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051328"/>
        <c:crosses val="autoZero"/>
        <c:auto val="1"/>
        <c:lblAlgn val="ctr"/>
        <c:lblOffset val="100"/>
        <c:noMultiLvlLbl val="0"/>
      </c:catAx>
      <c:valAx>
        <c:axId val="19805132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04979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ENCUESTAS REALIZADAS POR REGIÓN</a:t>
            </a:r>
          </a:p>
          <a:p>
            <a:pPr>
              <a:defRPr sz="1400"/>
            </a:pPr>
            <a:r>
              <a:rPr lang="en-US" sz="1200"/>
              <a:t>CONDUCTORES DE UNIDADES DE TRANSPORTE DE CARGA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1"/>
          <c:order val="0"/>
          <c:tx>
            <c:strRef>
              <c:f>'FORMULAS C+P'!$AP$17</c:f>
              <c:strCache>
                <c:ptCount val="1"/>
                <c:pt idx="0">
                  <c:v>ENCUESTAS REALIZADAS POR REGIÓN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C+P'!$AP$18:$AP$21</c:f>
              <c:strCache>
                <c:ptCount val="4"/>
                <c:pt idx="0">
                  <c:v>SUR-SURESTE</c:v>
                </c:pt>
                <c:pt idx="1">
                  <c:v>CENTRO</c:v>
                </c:pt>
                <c:pt idx="2">
                  <c:v>NOROESTE</c:v>
                </c:pt>
                <c:pt idx="3">
                  <c:v>NORESTE</c:v>
                </c:pt>
              </c:strCache>
            </c:strRef>
          </c:cat>
          <c:val>
            <c:numRef>
              <c:f>'FORMULAS C+P'!$AR$18:$AR$21</c:f>
              <c:numCache>
                <c:formatCode>General</c:formatCode>
                <c:ptCount val="4"/>
                <c:pt idx="0">
                  <c:v>28</c:v>
                </c:pt>
                <c:pt idx="1">
                  <c:v>383</c:v>
                </c:pt>
                <c:pt idx="2">
                  <c:v>16</c:v>
                </c:pt>
                <c:pt idx="3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084480"/>
        <c:axId val="198086016"/>
        <c:axId val="0"/>
      </c:bar3DChart>
      <c:catAx>
        <c:axId val="1980844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086016"/>
        <c:crosses val="autoZero"/>
        <c:auto val="1"/>
        <c:lblAlgn val="ctr"/>
        <c:lblOffset val="100"/>
        <c:noMultiLvlLbl val="0"/>
      </c:catAx>
      <c:valAx>
        <c:axId val="198086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08448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ENCUESTAS REALIZADAS POR REGIÓN</a:t>
            </a:r>
          </a:p>
          <a:p>
            <a:pPr>
              <a:defRPr sz="1400"/>
            </a:pPr>
            <a:r>
              <a:rPr lang="en-US" sz="1200"/>
              <a:t>UNIDADES DE TRANSPORTE DE CARGA</a:t>
            </a:r>
          </a:p>
          <a:p>
            <a:pPr>
              <a:defRPr sz="1400"/>
            </a:pPr>
            <a:r>
              <a:rPr lang="en-US" sz="1000"/>
              <a:t>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C+P'!$AP$17</c:f>
              <c:strCache>
                <c:ptCount val="1"/>
                <c:pt idx="0">
                  <c:v>ENCUESTAS REALIZADAS POR REGIÓN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C+P'!$AP$39:$AP$42</c:f>
              <c:strCache>
                <c:ptCount val="4"/>
                <c:pt idx="0">
                  <c:v>SUR-SURESTE</c:v>
                </c:pt>
                <c:pt idx="1">
                  <c:v>CENTRO</c:v>
                </c:pt>
                <c:pt idx="2">
                  <c:v>NOROESTE</c:v>
                </c:pt>
                <c:pt idx="3">
                  <c:v>NORESTE</c:v>
                </c:pt>
              </c:strCache>
            </c:strRef>
          </c:cat>
          <c:val>
            <c:numRef>
              <c:f>'FORMULAS C+P'!$AQ$39:$AQ$42</c:f>
              <c:numCache>
                <c:formatCode>#,##0</c:formatCode>
                <c:ptCount val="4"/>
                <c:pt idx="0">
                  <c:v>55</c:v>
                </c:pt>
                <c:pt idx="1">
                  <c:v>617</c:v>
                </c:pt>
                <c:pt idx="2">
                  <c:v>239</c:v>
                </c:pt>
                <c:pt idx="3">
                  <c:v>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184960"/>
        <c:axId val="198186496"/>
        <c:axId val="0"/>
      </c:bar3DChart>
      <c:catAx>
        <c:axId val="1981849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186496"/>
        <c:crosses val="autoZero"/>
        <c:auto val="1"/>
        <c:lblAlgn val="ctr"/>
        <c:lblOffset val="100"/>
        <c:noMultiLvlLbl val="0"/>
      </c:catAx>
      <c:valAx>
        <c:axId val="1981864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18496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ENCUESTAS REALIZADAS POR REGIÓN</a:t>
            </a:r>
          </a:p>
          <a:p>
            <a:pPr>
              <a:defRPr sz="1400"/>
            </a:pPr>
            <a:r>
              <a:rPr lang="en-US" sz="1200"/>
              <a:t>UNIDADES DE TRANSPORTE DE CARGA</a:t>
            </a:r>
          </a:p>
          <a:p>
            <a:pPr>
              <a:defRPr sz="1400"/>
            </a:pPr>
            <a:r>
              <a:rPr lang="en-US" sz="1000"/>
              <a:t>CONDUCTORES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1"/>
          <c:order val="0"/>
          <c:tx>
            <c:strRef>
              <c:f>'FORMULAS C+P'!$AP$17</c:f>
              <c:strCache>
                <c:ptCount val="1"/>
                <c:pt idx="0">
                  <c:v>ENCUESTAS REALIZADAS POR REGIÓN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C+P'!$AP$39:$AP$42</c:f>
              <c:strCache>
                <c:ptCount val="4"/>
                <c:pt idx="0">
                  <c:v>SUR-SURESTE</c:v>
                </c:pt>
                <c:pt idx="1">
                  <c:v>CENTRO</c:v>
                </c:pt>
                <c:pt idx="2">
                  <c:v>NOROESTE</c:v>
                </c:pt>
                <c:pt idx="3">
                  <c:v>NORESTE</c:v>
                </c:pt>
              </c:strCache>
            </c:strRef>
          </c:cat>
          <c:val>
            <c:numRef>
              <c:f>'FORMULAS C+P'!$AR$39:$AR$42</c:f>
              <c:numCache>
                <c:formatCode>#,##0</c:formatCode>
                <c:ptCount val="4"/>
                <c:pt idx="0">
                  <c:v>28</c:v>
                </c:pt>
                <c:pt idx="1">
                  <c:v>383</c:v>
                </c:pt>
                <c:pt idx="2">
                  <c:v>16</c:v>
                </c:pt>
                <c:pt idx="3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215552"/>
        <c:axId val="198217088"/>
        <c:axId val="0"/>
      </c:bar3DChart>
      <c:catAx>
        <c:axId val="1982155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217088"/>
        <c:crosses val="autoZero"/>
        <c:auto val="1"/>
        <c:lblAlgn val="ctr"/>
        <c:lblOffset val="100"/>
        <c:noMultiLvlLbl val="0"/>
      </c:catAx>
      <c:valAx>
        <c:axId val="1982170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21555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CURSOS QUE HA TOMADO ÉL O SU PERSONAL</a:t>
            </a:r>
          </a:p>
          <a:p>
            <a:pPr>
              <a:defRPr sz="1400"/>
            </a:pPr>
            <a:r>
              <a:rPr lang="en-US" sz="1200"/>
              <a:t>PROPIETARIOS CON CON UNA UNIDAD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[TOTAL DE RESPUESTAS = 259]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NUEVOS'!$B$51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NUEVOS'!$A$52:$A$59</c:f>
              <c:strCache>
                <c:ptCount val="8"/>
                <c:pt idx="0">
                  <c:v>Manejo eficiente</c:v>
                </c:pt>
                <c:pt idx="1">
                  <c:v>Administrativos y/o contables</c:v>
                </c:pt>
                <c:pt idx="2">
                  <c:v>Legales Básicos</c:v>
                </c:pt>
                <c:pt idx="3">
                  <c:v>Fiscales</c:v>
                </c:pt>
                <c:pt idx="4">
                  <c:v>Mecánica</c:v>
                </c:pt>
                <c:pt idx="5">
                  <c:v>Financieros</c:v>
                </c:pt>
                <c:pt idx="6">
                  <c:v>Ninguno</c:v>
                </c:pt>
                <c:pt idx="7">
                  <c:v>Otros</c:v>
                </c:pt>
              </c:strCache>
            </c:strRef>
          </c:cat>
          <c:val>
            <c:numRef>
              <c:f>'FORMULAS NUEVOS'!$B$52:$B$59</c:f>
              <c:numCache>
                <c:formatCode>General</c:formatCode>
                <c:ptCount val="8"/>
                <c:pt idx="0">
                  <c:v>34</c:v>
                </c:pt>
                <c:pt idx="1">
                  <c:v>28</c:v>
                </c:pt>
                <c:pt idx="2">
                  <c:v>9</c:v>
                </c:pt>
                <c:pt idx="3">
                  <c:v>4</c:v>
                </c:pt>
                <c:pt idx="4">
                  <c:v>63</c:v>
                </c:pt>
                <c:pt idx="5">
                  <c:v>4</c:v>
                </c:pt>
                <c:pt idx="6">
                  <c:v>112</c:v>
                </c:pt>
                <c:pt idx="7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250496"/>
        <c:axId val="198252032"/>
        <c:axId val="0"/>
      </c:bar3DChart>
      <c:catAx>
        <c:axId val="1982504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252032"/>
        <c:crosses val="autoZero"/>
        <c:auto val="1"/>
        <c:lblAlgn val="ctr"/>
        <c:lblOffset val="100"/>
        <c:noMultiLvlLbl val="0"/>
      </c:catAx>
      <c:valAx>
        <c:axId val="198252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25049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FLOTA</a:t>
            </a:r>
          </a:p>
        </c:rich>
      </c:tx>
      <c:layout>
        <c:manualLayout>
          <c:xMode val="edge"/>
          <c:yMode val="edge"/>
          <c:x val="0.38306238799455034"/>
          <c:y val="2.7777777777778748E-2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FORMULAS!$B$2</c:f>
              <c:strCache>
                <c:ptCount val="1"/>
                <c:pt idx="0">
                  <c:v>FLOTA</c:v>
                </c:pt>
              </c:strCache>
            </c:strRef>
          </c:tx>
          <c:explosion val="25"/>
          <c:dLbls>
            <c:dLbl>
              <c:idx val="0"/>
              <c:spPr/>
              <c:txPr>
                <a:bodyPr/>
                <a:lstStyle/>
                <a:p>
                  <a:pPr>
                    <a:defRPr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13082709973753281"/>
                  <c:y val="2.1492053076698745E-2"/>
                </c:manualLayout>
              </c:layout>
              <c:tx>
                <c:rich>
                  <a:bodyPr/>
                  <a:lstStyle/>
                  <a:p>
                    <a:pPr>
                      <a:defRPr sz="950" b="1" i="1" baseline="0"/>
                    </a:pPr>
                    <a:r>
                      <a:rPr lang="en-US"/>
                      <a:t>PEQUEÑO TRANSPORTISTA8.0%</a:t>
                    </a:r>
                  </a:p>
                </c:rich>
              </c:tx>
              <c:spPr/>
              <c:showLegendKey val="0"/>
              <c:showVal val="1"/>
              <c:showCatName val="1"/>
              <c:showSerName val="0"/>
              <c:showPercent val="0"/>
              <c:showBubbleSize val="0"/>
            </c:dLbl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FORMULAS!$B$3:$B$4</c:f>
              <c:strCache>
                <c:ptCount val="2"/>
                <c:pt idx="0">
                  <c:v>HOMBRE - CAMIÓN</c:v>
                </c:pt>
                <c:pt idx="1">
                  <c:v>PEQUEÑO TRANSPORTISTA</c:v>
                </c:pt>
              </c:strCache>
            </c:strRef>
          </c:cat>
          <c:val>
            <c:numRef>
              <c:f>FORMULAS!$D$3:$D$4</c:f>
              <c:numCache>
                <c:formatCode>0.0%</c:formatCode>
                <c:ptCount val="2"/>
                <c:pt idx="0">
                  <c:v>0.91970802919708028</c:v>
                </c:pt>
                <c:pt idx="1">
                  <c:v>8.0291970802919707E-2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CONTRATARÍA CRÉDITO 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FORMULAS!$U$41</c:f>
              <c:strCache>
                <c:ptCount val="1"/>
                <c:pt idx="0">
                  <c:v>CONTRATARÍA CRÉDITO 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</c:dPt>
          <c:dPt>
            <c:idx val="1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</c:dPt>
          <c:dLbls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FORMULAS!$U$42:$U$46</c:f>
              <c:strCache>
                <c:ptCount val="5"/>
                <c:pt idx="0">
                  <c:v>Para compra de Unidades nuevas</c:v>
                </c:pt>
                <c:pt idx="1">
                  <c:v>Para compra de Unidades usadas</c:v>
                </c:pt>
                <c:pt idx="2">
                  <c:v>Para Mejora de unidades</c:v>
                </c:pt>
                <c:pt idx="3">
                  <c:v>Para Operación del negocio</c:v>
                </c:pt>
                <c:pt idx="4">
                  <c:v>Ninguno</c:v>
                </c:pt>
              </c:strCache>
            </c:strRef>
          </c:cat>
          <c:val>
            <c:numRef>
              <c:f>FORMULAS!$V$42:$V$46</c:f>
              <c:numCache>
                <c:formatCode>0.0%</c:formatCode>
                <c:ptCount val="5"/>
                <c:pt idx="0">
                  <c:v>0.47736625514403291</c:v>
                </c:pt>
                <c:pt idx="1">
                  <c:v>0.2448559670781893</c:v>
                </c:pt>
                <c:pt idx="2">
                  <c:v>0.1440329218106996</c:v>
                </c:pt>
                <c:pt idx="3">
                  <c:v>7.2016460905349799E-2</c:v>
                </c:pt>
                <c:pt idx="4">
                  <c:v>6.1728395061728392E-2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CURSOS QUE HA TOMADO ÉL O SU PERSONAL</a:t>
            </a:r>
          </a:p>
          <a:p>
            <a:pPr>
              <a:defRPr sz="1400"/>
            </a:pPr>
            <a:r>
              <a:rPr lang="en-US" sz="1200"/>
              <a:t>PROPIETARIOS CON 2 A 5 UNIDADES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[TOTAL DE RESPUESTAS = 320]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1"/>
          <c:order val="0"/>
          <c:tx>
            <c:strRef>
              <c:f>'FORMULAS NUEVOS'!$C$51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NUEVOS'!$A$52:$A$59</c:f>
              <c:strCache>
                <c:ptCount val="8"/>
                <c:pt idx="0">
                  <c:v>Manejo eficiente</c:v>
                </c:pt>
                <c:pt idx="1">
                  <c:v>Administrativos y/o contables</c:v>
                </c:pt>
                <c:pt idx="2">
                  <c:v>Legales Básicos</c:v>
                </c:pt>
                <c:pt idx="3">
                  <c:v>Fiscales</c:v>
                </c:pt>
                <c:pt idx="4">
                  <c:v>Mecánica</c:v>
                </c:pt>
                <c:pt idx="5">
                  <c:v>Financieros</c:v>
                </c:pt>
                <c:pt idx="6">
                  <c:v>Ninguno</c:v>
                </c:pt>
                <c:pt idx="7">
                  <c:v>Otros</c:v>
                </c:pt>
              </c:strCache>
            </c:strRef>
          </c:cat>
          <c:val>
            <c:numRef>
              <c:f>'FORMULAS NUEVOS'!$C$52:$C$59</c:f>
              <c:numCache>
                <c:formatCode>General</c:formatCode>
                <c:ptCount val="8"/>
                <c:pt idx="0">
                  <c:v>56</c:v>
                </c:pt>
                <c:pt idx="1">
                  <c:v>69</c:v>
                </c:pt>
                <c:pt idx="2">
                  <c:v>24</c:v>
                </c:pt>
                <c:pt idx="3">
                  <c:v>16</c:v>
                </c:pt>
                <c:pt idx="4">
                  <c:v>76</c:v>
                </c:pt>
                <c:pt idx="5">
                  <c:v>20</c:v>
                </c:pt>
                <c:pt idx="6">
                  <c:v>58</c:v>
                </c:pt>
                <c:pt idx="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281088"/>
        <c:axId val="198282624"/>
        <c:axId val="0"/>
      </c:bar3DChart>
      <c:catAx>
        <c:axId val="1982810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282624"/>
        <c:crosses val="autoZero"/>
        <c:auto val="1"/>
        <c:lblAlgn val="ctr"/>
        <c:lblOffset val="100"/>
        <c:noMultiLvlLbl val="0"/>
      </c:catAx>
      <c:valAx>
        <c:axId val="198282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28108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CURSOS QUE HA TOMADO ÉL O SU PERSONAL</a:t>
            </a:r>
          </a:p>
          <a:p>
            <a:pPr>
              <a:defRPr sz="1400"/>
            </a:pPr>
            <a:r>
              <a:rPr lang="en-US" sz="1200"/>
              <a:t>PEQUEÑO TRANSPORTISTA CON 6 A 30 UNIDADES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[TOTAL DE RESPUESTAS</a:t>
            </a:r>
            <a:r>
              <a:rPr lang="en-US" sz="800" baseline="0"/>
              <a:t> = 87]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2"/>
          <c:order val="0"/>
          <c:tx>
            <c:strRef>
              <c:f>'FORMULAS NUEVOS'!$D$51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NUEVOS'!$A$52:$A$59</c:f>
              <c:strCache>
                <c:ptCount val="8"/>
                <c:pt idx="0">
                  <c:v>Manejo eficiente</c:v>
                </c:pt>
                <c:pt idx="1">
                  <c:v>Administrativos y/o contables</c:v>
                </c:pt>
                <c:pt idx="2">
                  <c:v>Legales Básicos</c:v>
                </c:pt>
                <c:pt idx="3">
                  <c:v>Fiscales</c:v>
                </c:pt>
                <c:pt idx="4">
                  <c:v>Mecánica</c:v>
                </c:pt>
                <c:pt idx="5">
                  <c:v>Financieros</c:v>
                </c:pt>
                <c:pt idx="6">
                  <c:v>Ninguno</c:v>
                </c:pt>
                <c:pt idx="7">
                  <c:v>Otros</c:v>
                </c:pt>
              </c:strCache>
            </c:strRef>
          </c:cat>
          <c:val>
            <c:numRef>
              <c:f>'FORMULAS NUEVOS'!$D$52:$D$59</c:f>
              <c:numCache>
                <c:formatCode>General</c:formatCode>
                <c:ptCount val="8"/>
                <c:pt idx="0">
                  <c:v>19</c:v>
                </c:pt>
                <c:pt idx="1">
                  <c:v>16</c:v>
                </c:pt>
                <c:pt idx="2">
                  <c:v>5</c:v>
                </c:pt>
                <c:pt idx="3">
                  <c:v>6</c:v>
                </c:pt>
                <c:pt idx="4">
                  <c:v>19</c:v>
                </c:pt>
                <c:pt idx="5">
                  <c:v>11</c:v>
                </c:pt>
                <c:pt idx="6">
                  <c:v>7</c:v>
                </c:pt>
                <c:pt idx="7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316032"/>
        <c:axId val="198317568"/>
        <c:axId val="0"/>
      </c:bar3DChart>
      <c:catAx>
        <c:axId val="198316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317568"/>
        <c:crosses val="autoZero"/>
        <c:auto val="1"/>
        <c:lblAlgn val="ctr"/>
        <c:lblOffset val="100"/>
        <c:noMultiLvlLbl val="0"/>
      </c:catAx>
      <c:valAx>
        <c:axId val="198317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31603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CURSOS QUE PODRÍAN INTERESARLE</a:t>
            </a:r>
          </a:p>
          <a:p>
            <a:pPr>
              <a:defRPr sz="1400"/>
            </a:pPr>
            <a:r>
              <a:rPr lang="es-MX" sz="1200"/>
              <a:t>PROPIETARIOS CON UNA UNIDAD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[TOTAL DE RESPUESTAS = 768]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NUEVOS'!$B$62</c:f>
              <c:strCache>
                <c:ptCount val="1"/>
                <c:pt idx="0">
                  <c:v>CON 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NUEVOS'!$A$63:$A$70</c:f>
              <c:strCache>
                <c:ptCount val="8"/>
                <c:pt idx="0">
                  <c:v>Manejo eficiente</c:v>
                </c:pt>
                <c:pt idx="1">
                  <c:v>Administrativos y/o contables</c:v>
                </c:pt>
                <c:pt idx="2">
                  <c:v>Legales Básicos</c:v>
                </c:pt>
                <c:pt idx="3">
                  <c:v>Fiscales</c:v>
                </c:pt>
                <c:pt idx="4">
                  <c:v>Mecánica</c:v>
                </c:pt>
                <c:pt idx="5">
                  <c:v>Financieros</c:v>
                </c:pt>
                <c:pt idx="6">
                  <c:v>No le interesan</c:v>
                </c:pt>
                <c:pt idx="7">
                  <c:v>Otros</c:v>
                </c:pt>
              </c:strCache>
            </c:strRef>
          </c:cat>
          <c:val>
            <c:numRef>
              <c:f>'FORMULAS NUEVOS'!$B$63:$B$70</c:f>
              <c:numCache>
                <c:formatCode>General</c:formatCode>
                <c:ptCount val="8"/>
                <c:pt idx="0">
                  <c:v>149</c:v>
                </c:pt>
                <c:pt idx="1">
                  <c:v>138</c:v>
                </c:pt>
                <c:pt idx="2">
                  <c:v>112</c:v>
                </c:pt>
                <c:pt idx="3">
                  <c:v>115</c:v>
                </c:pt>
                <c:pt idx="4">
                  <c:v>133</c:v>
                </c:pt>
                <c:pt idx="5">
                  <c:v>72</c:v>
                </c:pt>
                <c:pt idx="6">
                  <c:v>47</c:v>
                </c:pt>
                <c:pt idx="7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354816"/>
        <c:axId val="198356352"/>
        <c:axId val="0"/>
      </c:bar3DChart>
      <c:catAx>
        <c:axId val="1983548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356352"/>
        <c:crosses val="autoZero"/>
        <c:auto val="1"/>
        <c:lblAlgn val="ctr"/>
        <c:lblOffset val="100"/>
        <c:noMultiLvlLbl val="0"/>
      </c:catAx>
      <c:valAx>
        <c:axId val="19835635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35481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CURSOS QUE PODRÍAN INTERESARLE</a:t>
            </a:r>
          </a:p>
          <a:p>
            <a:pPr>
              <a:defRPr sz="1400"/>
            </a:pPr>
            <a:r>
              <a:rPr lang="en-US" sz="1200"/>
              <a:t>PROPIETARIOS</a:t>
            </a:r>
            <a:r>
              <a:rPr lang="en-US" sz="1200" baseline="0"/>
              <a:t> </a:t>
            </a:r>
            <a:r>
              <a:rPr lang="en-US" sz="1200"/>
              <a:t>CON 2 A 5 UNIDADES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[TOTAL</a:t>
            </a:r>
            <a:r>
              <a:rPr lang="en-US" sz="800" baseline="0"/>
              <a:t> DE RESPUESTAS = 671]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1"/>
          <c:order val="0"/>
          <c:tx>
            <c:strRef>
              <c:f>'FORMULAS NUEVOS'!$C$62</c:f>
              <c:strCache>
                <c:ptCount val="1"/>
                <c:pt idx="0">
                  <c:v>CON 2 A 5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NUEVOS'!$A$63:$A$70</c:f>
              <c:strCache>
                <c:ptCount val="8"/>
                <c:pt idx="0">
                  <c:v>Manejo eficiente</c:v>
                </c:pt>
                <c:pt idx="1">
                  <c:v>Administrativos y/o contables</c:v>
                </c:pt>
                <c:pt idx="2">
                  <c:v>Legales Básicos</c:v>
                </c:pt>
                <c:pt idx="3">
                  <c:v>Fiscales</c:v>
                </c:pt>
                <c:pt idx="4">
                  <c:v>Mecánica</c:v>
                </c:pt>
                <c:pt idx="5">
                  <c:v>Financieros</c:v>
                </c:pt>
                <c:pt idx="6">
                  <c:v>No le interesan</c:v>
                </c:pt>
                <c:pt idx="7">
                  <c:v>Otros</c:v>
                </c:pt>
              </c:strCache>
            </c:strRef>
          </c:cat>
          <c:val>
            <c:numRef>
              <c:f>'FORMULAS NUEVOS'!$C$63:$C$70</c:f>
              <c:numCache>
                <c:formatCode>General</c:formatCode>
                <c:ptCount val="8"/>
                <c:pt idx="0">
                  <c:v>131</c:v>
                </c:pt>
                <c:pt idx="1">
                  <c:v>104</c:v>
                </c:pt>
                <c:pt idx="2">
                  <c:v>99</c:v>
                </c:pt>
                <c:pt idx="3">
                  <c:v>102</c:v>
                </c:pt>
                <c:pt idx="4">
                  <c:v>119</c:v>
                </c:pt>
                <c:pt idx="5">
                  <c:v>72</c:v>
                </c:pt>
                <c:pt idx="6">
                  <c:v>34</c:v>
                </c:pt>
                <c:pt idx="7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55296"/>
        <c:axId val="198456832"/>
        <c:axId val="0"/>
      </c:bar3DChart>
      <c:catAx>
        <c:axId val="1984552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456832"/>
        <c:crosses val="autoZero"/>
        <c:auto val="1"/>
        <c:lblAlgn val="ctr"/>
        <c:lblOffset val="100"/>
        <c:noMultiLvlLbl val="0"/>
      </c:catAx>
      <c:valAx>
        <c:axId val="198456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45529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CURSOS QUE PODRÍAN INTERESARLE</a:t>
            </a:r>
          </a:p>
          <a:p>
            <a:pPr>
              <a:defRPr sz="1400"/>
            </a:pPr>
            <a:r>
              <a:rPr lang="en-US" sz="1200"/>
              <a:t>PEQUEÑO TRANSPORTISTA CON 6 A 30 UNIDADES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[TOTAL</a:t>
            </a:r>
            <a:r>
              <a:rPr lang="en-US" sz="800" baseline="0"/>
              <a:t> DE RESPUESTAS = 137]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2"/>
          <c:order val="0"/>
          <c:tx>
            <c:strRef>
              <c:f>'FORMULAS NUEVOS'!$D$62</c:f>
              <c:strCache>
                <c:ptCount val="1"/>
                <c:pt idx="0">
                  <c:v>PEQUEÑO TRANSPORTISTA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NUEVOS'!$A$63:$A$70</c:f>
              <c:strCache>
                <c:ptCount val="8"/>
                <c:pt idx="0">
                  <c:v>Manejo eficiente</c:v>
                </c:pt>
                <c:pt idx="1">
                  <c:v>Administrativos y/o contables</c:v>
                </c:pt>
                <c:pt idx="2">
                  <c:v>Legales Básicos</c:v>
                </c:pt>
                <c:pt idx="3">
                  <c:v>Fiscales</c:v>
                </c:pt>
                <c:pt idx="4">
                  <c:v>Mecánica</c:v>
                </c:pt>
                <c:pt idx="5">
                  <c:v>Financieros</c:v>
                </c:pt>
                <c:pt idx="6">
                  <c:v>No le interesan</c:v>
                </c:pt>
                <c:pt idx="7">
                  <c:v>Otros</c:v>
                </c:pt>
              </c:strCache>
            </c:strRef>
          </c:cat>
          <c:val>
            <c:numRef>
              <c:f>'FORMULAS NUEVOS'!$D$63:$D$70</c:f>
              <c:numCache>
                <c:formatCode>General</c:formatCode>
                <c:ptCount val="8"/>
                <c:pt idx="0">
                  <c:v>27</c:v>
                </c:pt>
                <c:pt idx="1">
                  <c:v>18</c:v>
                </c:pt>
                <c:pt idx="2">
                  <c:v>16</c:v>
                </c:pt>
                <c:pt idx="3">
                  <c:v>25</c:v>
                </c:pt>
                <c:pt idx="4">
                  <c:v>24</c:v>
                </c:pt>
                <c:pt idx="5">
                  <c:v>17</c:v>
                </c:pt>
                <c:pt idx="6">
                  <c:v>6</c:v>
                </c:pt>
                <c:pt idx="7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94080"/>
        <c:axId val="198495616"/>
        <c:axId val="0"/>
      </c:bar3DChart>
      <c:catAx>
        <c:axId val="1984940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495616"/>
        <c:crosses val="autoZero"/>
        <c:auto val="1"/>
        <c:lblAlgn val="ctr"/>
        <c:lblOffset val="100"/>
        <c:noMultiLvlLbl val="0"/>
      </c:catAx>
      <c:valAx>
        <c:axId val="1984956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49408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RELACIÓN DEL LUGAR DE RESIDENCIA CON LA ZONA DE ENCUESTA</a:t>
            </a:r>
          </a:p>
          <a:p>
            <a:pPr>
              <a:defRPr sz="1400"/>
            </a:pPr>
            <a:r>
              <a:rPr lang="en-US" sz="1200"/>
              <a:t>ZONA SUR SURESTE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[TOTAL</a:t>
            </a:r>
            <a:r>
              <a:rPr lang="en-US" sz="800" baseline="0"/>
              <a:t> DE LA ZONA SUR - SURESTE = 24]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2"/>
          <c:order val="0"/>
          <c:tx>
            <c:strRef>
              <c:f>'FORMULAS NUEVOS'!$CS$2</c:f>
              <c:strCache>
                <c:ptCount val="1"/>
                <c:pt idx="0">
                  <c:v>RELACIÓN DEL LUGAR DE RESIDENCIA CON LA ZONA DE ENCUESTA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('FORMULAS NUEVOS'!$CS$6:$CS$8,'FORMULAS NUEVOS'!$CS$10,'FORMULAS NUEVOS'!$CS$12)</c:f>
              <c:strCache>
                <c:ptCount val="5"/>
                <c:pt idx="0">
                  <c:v>VERACRUZ</c:v>
                </c:pt>
                <c:pt idx="1">
                  <c:v>EDO. MEX.</c:v>
                </c:pt>
                <c:pt idx="2">
                  <c:v>QUERÉTARO</c:v>
                </c:pt>
                <c:pt idx="3">
                  <c:v>PUEBLA</c:v>
                </c:pt>
                <c:pt idx="4">
                  <c:v>OAXACA</c:v>
                </c:pt>
              </c:strCache>
            </c:strRef>
          </c:cat>
          <c:val>
            <c:numRef>
              <c:f>('FORMULAS NUEVOS'!$CT$6:$CT$8,'FORMULAS NUEVOS'!$CT$10,'FORMULAS NUEVOS'!$CT$12)</c:f>
              <c:numCache>
                <c:formatCode>General</c:formatCode>
                <c:ptCount val="5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529024"/>
        <c:axId val="198530560"/>
        <c:axId val="0"/>
      </c:bar3DChart>
      <c:catAx>
        <c:axId val="1985290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530560"/>
        <c:crosses val="autoZero"/>
        <c:auto val="1"/>
        <c:lblAlgn val="ctr"/>
        <c:lblOffset val="100"/>
        <c:noMultiLvlLbl val="0"/>
      </c:catAx>
      <c:valAx>
        <c:axId val="1985305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52902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RELACIÓN DEL LUGAR DE RESIDENCIA CON LA ZONA DE ENCUESTA</a:t>
            </a:r>
          </a:p>
          <a:p>
            <a:pPr>
              <a:defRPr sz="1400"/>
            </a:pPr>
            <a:r>
              <a:rPr lang="en-US" sz="1200"/>
              <a:t>ZONA CENTRO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[TOTAL DE LA ZONA CENTRO = 279]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1"/>
          <c:order val="0"/>
          <c:tx>
            <c:strRef>
              <c:f>'FORMULAS NUEVOS'!$CU$3</c:f>
              <c:strCache>
                <c:ptCount val="1"/>
                <c:pt idx="0">
                  <c:v>ZONA CENTRO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('FORMULAS NUEVOS'!$CS$4:$CS$13,'FORMULAS NUEVOS'!$CS$15:$CS$30)</c:f>
              <c:strCache>
                <c:ptCount val="26"/>
                <c:pt idx="0">
                  <c:v>SINALOA</c:v>
                </c:pt>
                <c:pt idx="1">
                  <c:v>GUANAJUATO</c:v>
                </c:pt>
                <c:pt idx="2">
                  <c:v>VERACRUZ</c:v>
                </c:pt>
                <c:pt idx="3">
                  <c:v>EDO. MEX.</c:v>
                </c:pt>
                <c:pt idx="4">
                  <c:v>QUERÉTARO</c:v>
                </c:pt>
                <c:pt idx="5">
                  <c:v>D.F.</c:v>
                </c:pt>
                <c:pt idx="6">
                  <c:v>PUEBLA</c:v>
                </c:pt>
                <c:pt idx="7">
                  <c:v>NUEVO LEON</c:v>
                </c:pt>
                <c:pt idx="8">
                  <c:v>OAXACA</c:v>
                </c:pt>
                <c:pt idx="9">
                  <c:v>JALISCO</c:v>
                </c:pt>
                <c:pt idx="10">
                  <c:v>CHIHUAHUA</c:v>
                </c:pt>
                <c:pt idx="11">
                  <c:v>HIDALGO</c:v>
                </c:pt>
                <c:pt idx="12">
                  <c:v>MICHOACAN</c:v>
                </c:pt>
                <c:pt idx="13">
                  <c:v>ZACATECAS</c:v>
                </c:pt>
                <c:pt idx="14">
                  <c:v>COAHUILA</c:v>
                </c:pt>
                <c:pt idx="15">
                  <c:v>SONORA</c:v>
                </c:pt>
                <c:pt idx="16">
                  <c:v>COLIMA</c:v>
                </c:pt>
                <c:pt idx="17">
                  <c:v>MORELOS</c:v>
                </c:pt>
                <c:pt idx="18">
                  <c:v>NAYARIT</c:v>
                </c:pt>
                <c:pt idx="19">
                  <c:v>AGUASCALIENTES</c:v>
                </c:pt>
                <c:pt idx="20">
                  <c:v>SAN LUIS POTOSI</c:v>
                </c:pt>
                <c:pt idx="21">
                  <c:v>TLAXCALA</c:v>
                </c:pt>
                <c:pt idx="22">
                  <c:v>CHIAPAS</c:v>
                </c:pt>
                <c:pt idx="23">
                  <c:v>GUERRERO</c:v>
                </c:pt>
                <c:pt idx="24">
                  <c:v>TABASCO</c:v>
                </c:pt>
                <c:pt idx="25">
                  <c:v>YUCATÁN</c:v>
                </c:pt>
              </c:strCache>
            </c:strRef>
          </c:cat>
          <c:val>
            <c:numRef>
              <c:f>('FORMULAS NUEVOS'!$CU$4:$CU$13,'FORMULAS NUEVOS'!$CU$15:$CU$30)</c:f>
              <c:numCache>
                <c:formatCode>General</c:formatCode>
                <c:ptCount val="26"/>
                <c:pt idx="0">
                  <c:v>7</c:v>
                </c:pt>
                <c:pt idx="1">
                  <c:v>49</c:v>
                </c:pt>
                <c:pt idx="2">
                  <c:v>47</c:v>
                </c:pt>
                <c:pt idx="3">
                  <c:v>45</c:v>
                </c:pt>
                <c:pt idx="4">
                  <c:v>28</c:v>
                </c:pt>
                <c:pt idx="5">
                  <c:v>26</c:v>
                </c:pt>
                <c:pt idx="6">
                  <c:v>14</c:v>
                </c:pt>
                <c:pt idx="7">
                  <c:v>2</c:v>
                </c:pt>
                <c:pt idx="8">
                  <c:v>4</c:v>
                </c:pt>
                <c:pt idx="9">
                  <c:v>15</c:v>
                </c:pt>
                <c:pt idx="10">
                  <c:v>2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571904"/>
        <c:axId val="198573440"/>
        <c:axId val="0"/>
      </c:bar3DChart>
      <c:catAx>
        <c:axId val="1985719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573440"/>
        <c:crosses val="autoZero"/>
        <c:auto val="1"/>
        <c:lblAlgn val="ctr"/>
        <c:lblOffset val="100"/>
        <c:noMultiLvlLbl val="0"/>
      </c:catAx>
      <c:valAx>
        <c:axId val="198573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57190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RELACIÓN DEL LUGAR DE RESIDENCIA CON LA ZONA DE ENCUESTA</a:t>
            </a:r>
          </a:p>
          <a:p>
            <a:pPr>
              <a:defRPr sz="1400"/>
            </a:pPr>
            <a:r>
              <a:rPr lang="en-US" sz="1200"/>
              <a:t>ZONA NOROESTE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[TOTAL DE LA ZONA NOROESTE = 68]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2"/>
          <c:order val="0"/>
          <c:tx>
            <c:strRef>
              <c:f>'FORMULAS NUEVOS'!$CV$3</c:f>
              <c:strCache>
                <c:ptCount val="1"/>
                <c:pt idx="0">
                  <c:v>ZONA NOROESTE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('FORMULAS NUEVOS'!$CS$4,'FORMULAS NUEVOS'!$CS$15)</c:f>
              <c:strCache>
                <c:ptCount val="2"/>
                <c:pt idx="0">
                  <c:v>SINALOA</c:v>
                </c:pt>
                <c:pt idx="1">
                  <c:v>CHIHUAHUA</c:v>
                </c:pt>
              </c:strCache>
            </c:strRef>
          </c:cat>
          <c:val>
            <c:numRef>
              <c:f>('FORMULAS NUEVOS'!$CV$4,'FORMULAS NUEVOS'!$CV$15)</c:f>
              <c:numCache>
                <c:formatCode>General</c:formatCode>
                <c:ptCount val="2"/>
                <c:pt idx="0">
                  <c:v>63</c:v>
                </c:pt>
                <c:pt idx="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607232"/>
        <c:axId val="198608768"/>
        <c:axId val="0"/>
      </c:bar3DChart>
      <c:catAx>
        <c:axId val="1986072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608768"/>
        <c:crosses val="autoZero"/>
        <c:auto val="1"/>
        <c:lblAlgn val="ctr"/>
        <c:lblOffset val="100"/>
        <c:noMultiLvlLbl val="0"/>
      </c:catAx>
      <c:valAx>
        <c:axId val="198608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60723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RELACIÓN DEL LUGAR DE RESIDENCIA CON LA ZONA DE ENCUESTA</a:t>
            </a:r>
          </a:p>
          <a:p>
            <a:pPr>
              <a:defRPr sz="1400"/>
            </a:pPr>
            <a:r>
              <a:rPr lang="en-US" sz="1200"/>
              <a:t>ZONA NORESTE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[TOTAL DE LA ZONA NORESTE = 40]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2"/>
          <c:order val="0"/>
          <c:tx>
            <c:strRef>
              <c:f>'FORMULAS NUEVOS'!$CW$3</c:f>
              <c:strCache>
                <c:ptCount val="1"/>
                <c:pt idx="0">
                  <c:v>ZONA NORESTE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('FORMULAS NUEVOS'!$CS$7,'FORMULAS NUEVOS'!$CS$10:$CS$11,'FORMULAS NUEVOS'!$CS$13:$CS$14,'FORMULAS NUEVOS'!$CS$18:$CS$20)</c:f>
              <c:strCache>
                <c:ptCount val="8"/>
                <c:pt idx="0">
                  <c:v>EDO. MEX.</c:v>
                </c:pt>
                <c:pt idx="1">
                  <c:v>PUEBLA</c:v>
                </c:pt>
                <c:pt idx="2">
                  <c:v>NUEVO LEON</c:v>
                </c:pt>
                <c:pt idx="3">
                  <c:v>JALISCO</c:v>
                </c:pt>
                <c:pt idx="4">
                  <c:v>TAMAULIPAS</c:v>
                </c:pt>
                <c:pt idx="5">
                  <c:v>ZACATECAS</c:v>
                </c:pt>
                <c:pt idx="6">
                  <c:v>COAHUILA</c:v>
                </c:pt>
                <c:pt idx="7">
                  <c:v>SONORA</c:v>
                </c:pt>
              </c:strCache>
            </c:strRef>
          </c:cat>
          <c:val>
            <c:numRef>
              <c:f>('FORMULAS NUEVOS'!$CW$7,'FORMULAS NUEVOS'!$CW$10:$CW$11,'FORMULAS NUEVOS'!$CW$13:$CW$14,'FORMULAS NUEVOS'!$CW$18:$CW$20)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16</c:v>
                </c:pt>
                <c:pt idx="3">
                  <c:v>1</c:v>
                </c:pt>
                <c:pt idx="4">
                  <c:v>15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621440"/>
        <c:axId val="198705152"/>
        <c:axId val="0"/>
      </c:bar3DChart>
      <c:catAx>
        <c:axId val="1986214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705152"/>
        <c:crosses val="autoZero"/>
        <c:auto val="1"/>
        <c:lblAlgn val="ctr"/>
        <c:lblOffset val="100"/>
        <c:noMultiLvlLbl val="0"/>
      </c:catAx>
      <c:valAx>
        <c:axId val="1987051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62144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PRODUCTOS QUE TRANSPORTAN LAS UNIDADES.</a:t>
            </a:r>
          </a:p>
          <a:p>
            <a:pPr>
              <a:defRPr sz="1400"/>
            </a:pPr>
            <a:r>
              <a:rPr lang="en-US" sz="1200"/>
              <a:t>PROPIETARIOS</a:t>
            </a:r>
            <a:r>
              <a:rPr lang="en-US" sz="1200" baseline="0"/>
              <a:t> CON UNA UNIDAD</a:t>
            </a:r>
          </a:p>
          <a:p>
            <a:pPr>
              <a:defRPr sz="1400"/>
            </a:pPr>
            <a:r>
              <a:rPr lang="en-US" sz="1000" baseline="0"/>
              <a:t>ENCUESTA A </a:t>
            </a:r>
            <a:r>
              <a:rPr lang="en-US" sz="1000"/>
              <a:t>PROPIETARIOS</a:t>
            </a:r>
          </a:p>
          <a:p>
            <a:pPr>
              <a:defRPr sz="1400"/>
            </a:pPr>
            <a:r>
              <a:rPr lang="en-US" sz="800"/>
              <a:t>[TOTAL DE RESPUESTAS A PRODUCTOS QUE TRANSPORTA = 349]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NUEVOS'!$CZ$16</c:f>
              <c:strCache>
                <c:ptCount val="1"/>
                <c:pt idx="0">
                  <c:v>PRODUCTOS QUE TRANSPORTAN LAS UNIDADES. PROPIETARIOS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NUEVOS'!$CZ$17:$CZ$24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NUEVOS'!$DD$17:$DD$24</c:f>
              <c:numCache>
                <c:formatCode>General</c:formatCode>
                <c:ptCount val="8"/>
                <c:pt idx="0">
                  <c:v>78</c:v>
                </c:pt>
                <c:pt idx="1">
                  <c:v>49</c:v>
                </c:pt>
                <c:pt idx="2">
                  <c:v>17</c:v>
                </c:pt>
                <c:pt idx="3">
                  <c:v>34</c:v>
                </c:pt>
                <c:pt idx="4">
                  <c:v>48</c:v>
                </c:pt>
                <c:pt idx="5">
                  <c:v>63</c:v>
                </c:pt>
                <c:pt idx="6">
                  <c:v>21</c:v>
                </c:pt>
                <c:pt idx="7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721920"/>
        <c:axId val="198723456"/>
        <c:axId val="0"/>
      </c:bar3DChart>
      <c:catAx>
        <c:axId val="1987219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723456"/>
        <c:crosses val="autoZero"/>
        <c:auto val="1"/>
        <c:lblAlgn val="ctr"/>
        <c:lblOffset val="100"/>
        <c:noMultiLvlLbl val="0"/>
      </c:catAx>
      <c:valAx>
        <c:axId val="198723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72192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0902124352817"/>
          <c:y val="0.15015058344481086"/>
          <c:w val="0.86052468659008385"/>
          <c:h val="0.7029484978117036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FORMULAS!$AA$3</c:f>
              <c:strCache>
                <c:ptCount val="1"/>
                <c:pt idx="0">
                  <c:v>Plazo</c:v>
                </c:pt>
              </c:strCache>
            </c:strRef>
          </c:tx>
          <c:dLbls>
            <c:dLbl>
              <c:idx val="3"/>
              <c:layout>
                <c:manualLayout>
                  <c:x val="-2.415234203110225E-2"/>
                  <c:y val="-3.0797419321760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multiLvlStrRef>
              <c:f>FORMULAS!$Y$4:$Z$9</c:f>
              <c:multiLvlStrCache>
                <c:ptCount val="6"/>
                <c:lvl>
                  <c:pt idx="0">
                    <c:v>MAYOR IMPORTANCIA</c:v>
                  </c:pt>
                  <c:pt idx="1">
                    <c:v>MUY IMPORTANTE</c:v>
                  </c:pt>
                  <c:pt idx="2">
                    <c:v>IMPORTANTE</c:v>
                  </c:pt>
                  <c:pt idx="3">
                    <c:v>NO TAN IMPORTANTE</c:v>
                  </c:pt>
                  <c:pt idx="4">
                    <c:v>POCO IMPORTANTE</c:v>
                  </c:pt>
                  <c:pt idx="5">
                    <c:v>MENOR IMPORTANCIA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</c:lvl>
              </c:multiLvlStrCache>
            </c:multiLvlStrRef>
          </c:xVal>
          <c:yVal>
            <c:numRef>
              <c:f>FORMULAS!$AA$4:$AA$9</c:f>
              <c:numCache>
                <c:formatCode>General</c:formatCode>
                <c:ptCount val="6"/>
                <c:pt idx="0">
                  <c:v>55</c:v>
                </c:pt>
                <c:pt idx="1">
                  <c:v>77</c:v>
                </c:pt>
                <c:pt idx="2">
                  <c:v>106</c:v>
                </c:pt>
                <c:pt idx="3">
                  <c:v>73</c:v>
                </c:pt>
                <c:pt idx="4">
                  <c:v>56</c:v>
                </c:pt>
                <c:pt idx="5">
                  <c:v>39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FORMULAS!$AB$3</c:f>
              <c:strCache>
                <c:ptCount val="1"/>
                <c:pt idx="0">
                  <c:v>Enganche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1.8578724639309492E-2"/>
                  <c:y val="2.1998156658400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6010214495033216E-2"/>
                  <c:y val="2.8597603655920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multiLvlStrRef>
              <c:f>FORMULAS!$Y$4:$Z$9</c:f>
              <c:multiLvlStrCache>
                <c:ptCount val="6"/>
                <c:lvl>
                  <c:pt idx="0">
                    <c:v>MAYOR IMPORTANCIA</c:v>
                  </c:pt>
                  <c:pt idx="1">
                    <c:v>MUY IMPORTANTE</c:v>
                  </c:pt>
                  <c:pt idx="2">
                    <c:v>IMPORTANTE</c:v>
                  </c:pt>
                  <c:pt idx="3">
                    <c:v>NO TAN IMPORTANTE</c:v>
                  </c:pt>
                  <c:pt idx="4">
                    <c:v>POCO IMPORTANTE</c:v>
                  </c:pt>
                  <c:pt idx="5">
                    <c:v>MENOR IMPORTANCIA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</c:lvl>
              </c:multiLvlStrCache>
            </c:multiLvlStrRef>
          </c:xVal>
          <c:yVal>
            <c:numRef>
              <c:f>FORMULAS!$AB$4:$AB$9</c:f>
              <c:numCache>
                <c:formatCode>General</c:formatCode>
                <c:ptCount val="6"/>
                <c:pt idx="0">
                  <c:v>144</c:v>
                </c:pt>
                <c:pt idx="1">
                  <c:v>75</c:v>
                </c:pt>
                <c:pt idx="2">
                  <c:v>94</c:v>
                </c:pt>
                <c:pt idx="3">
                  <c:v>51</c:v>
                </c:pt>
                <c:pt idx="4">
                  <c:v>34</c:v>
                </c:pt>
                <c:pt idx="5">
                  <c:v>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FORMULAS!$AC$3</c:f>
              <c:strCache>
                <c:ptCount val="1"/>
                <c:pt idx="0">
                  <c:v>Pago mensual</c:v>
                </c:pt>
              </c:strCache>
            </c:strRef>
          </c:tx>
          <c:dLbls>
            <c:dLbl>
              <c:idx val="2"/>
              <c:layout>
                <c:manualLayout>
                  <c:x val="-2.415234203110225E-2"/>
                  <c:y val="1.7598525326720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9.2893623196547148E-3"/>
                  <c:y val="-1.9798340992560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multiLvlStrRef>
              <c:f>FORMULAS!$Y$4:$Z$9</c:f>
              <c:multiLvlStrCache>
                <c:ptCount val="6"/>
                <c:lvl>
                  <c:pt idx="0">
                    <c:v>MAYOR IMPORTANCIA</c:v>
                  </c:pt>
                  <c:pt idx="1">
                    <c:v>MUY IMPORTANTE</c:v>
                  </c:pt>
                  <c:pt idx="2">
                    <c:v>IMPORTANTE</c:v>
                  </c:pt>
                  <c:pt idx="3">
                    <c:v>NO TAN IMPORTANTE</c:v>
                  </c:pt>
                  <c:pt idx="4">
                    <c:v>POCO IMPORTANTE</c:v>
                  </c:pt>
                  <c:pt idx="5">
                    <c:v>MENOR IMPORTANCIA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</c:lvl>
              </c:multiLvlStrCache>
            </c:multiLvlStrRef>
          </c:xVal>
          <c:yVal>
            <c:numRef>
              <c:f>FORMULAS!$AC$4:$AC$9</c:f>
              <c:numCache>
                <c:formatCode>General</c:formatCode>
                <c:ptCount val="6"/>
                <c:pt idx="0">
                  <c:v>67</c:v>
                </c:pt>
                <c:pt idx="1">
                  <c:v>94</c:v>
                </c:pt>
                <c:pt idx="2">
                  <c:v>54</c:v>
                </c:pt>
                <c:pt idx="3">
                  <c:v>103</c:v>
                </c:pt>
                <c:pt idx="4">
                  <c:v>36</c:v>
                </c:pt>
                <c:pt idx="5">
                  <c:v>52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FORMULAS!$AD$3</c:f>
              <c:strCache>
                <c:ptCount val="1"/>
                <c:pt idx="0">
                  <c:v>Requisitos</c:v>
                </c:pt>
              </c:strCache>
            </c:strRef>
          </c:tx>
          <c:dLbls>
            <c:dLbl>
              <c:idx val="3"/>
              <c:layout>
                <c:manualLayout>
                  <c:x val="-2.415234203110225E-2"/>
                  <c:y val="2.1998156658400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458893913434292E-2"/>
                  <c:y val="-2.1998156658400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multiLvlStrRef>
              <c:f>FORMULAS!$Y$4:$Z$9</c:f>
              <c:multiLvlStrCache>
                <c:ptCount val="6"/>
                <c:lvl>
                  <c:pt idx="0">
                    <c:v>MAYOR IMPORTANCIA</c:v>
                  </c:pt>
                  <c:pt idx="1">
                    <c:v>MUY IMPORTANTE</c:v>
                  </c:pt>
                  <c:pt idx="2">
                    <c:v>IMPORTANTE</c:v>
                  </c:pt>
                  <c:pt idx="3">
                    <c:v>NO TAN IMPORTANTE</c:v>
                  </c:pt>
                  <c:pt idx="4">
                    <c:v>POCO IMPORTANTE</c:v>
                  </c:pt>
                  <c:pt idx="5">
                    <c:v>MENOR IMPORTANCIA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</c:lvl>
              </c:multiLvlStrCache>
            </c:multiLvlStrRef>
          </c:xVal>
          <c:yVal>
            <c:numRef>
              <c:f>FORMULAS!$AD$4:$AD$9</c:f>
              <c:numCache>
                <c:formatCode>General</c:formatCode>
                <c:ptCount val="6"/>
                <c:pt idx="0">
                  <c:v>42</c:v>
                </c:pt>
                <c:pt idx="1">
                  <c:v>30</c:v>
                </c:pt>
                <c:pt idx="2">
                  <c:v>48</c:v>
                </c:pt>
                <c:pt idx="3">
                  <c:v>74</c:v>
                </c:pt>
                <c:pt idx="4">
                  <c:v>115</c:v>
                </c:pt>
                <c:pt idx="5">
                  <c:v>97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FORMULAS!$AE$3</c:f>
              <c:strCache>
                <c:ptCount val="1"/>
                <c:pt idx="0">
                  <c:v>Garantías</c:v>
                </c:pt>
              </c:strCache>
            </c:strRef>
          </c:tx>
          <c:dLbls>
            <c:dLbl>
              <c:idx val="4"/>
              <c:layout>
                <c:manualLayout>
                  <c:x val="-1.3005107247516695E-2"/>
                  <c:y val="3.73968663192805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multiLvlStrRef>
              <c:f>FORMULAS!$Y$4:$Z$9</c:f>
              <c:multiLvlStrCache>
                <c:ptCount val="6"/>
                <c:lvl>
                  <c:pt idx="0">
                    <c:v>MAYOR IMPORTANCIA</c:v>
                  </c:pt>
                  <c:pt idx="1">
                    <c:v>MUY IMPORTANTE</c:v>
                  </c:pt>
                  <c:pt idx="2">
                    <c:v>IMPORTANTE</c:v>
                  </c:pt>
                  <c:pt idx="3">
                    <c:v>NO TAN IMPORTANTE</c:v>
                  </c:pt>
                  <c:pt idx="4">
                    <c:v>POCO IMPORTANTE</c:v>
                  </c:pt>
                  <c:pt idx="5">
                    <c:v>MENOR IMPORTANCIA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</c:lvl>
              </c:multiLvlStrCache>
            </c:multiLvlStrRef>
          </c:xVal>
          <c:yVal>
            <c:numRef>
              <c:f>FORMULAS!$AE$4:$AE$9</c:f>
              <c:numCache>
                <c:formatCode>General</c:formatCode>
                <c:ptCount val="6"/>
                <c:pt idx="0">
                  <c:v>10</c:v>
                </c:pt>
                <c:pt idx="1">
                  <c:v>57</c:v>
                </c:pt>
                <c:pt idx="2">
                  <c:v>45</c:v>
                </c:pt>
                <c:pt idx="3">
                  <c:v>53</c:v>
                </c:pt>
                <c:pt idx="4">
                  <c:v>112</c:v>
                </c:pt>
                <c:pt idx="5">
                  <c:v>129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FORMULAS!$AF$3</c:f>
              <c:strCache>
                <c:ptCount val="1"/>
                <c:pt idx="0">
                  <c:v>Tasa de interés</c:v>
                </c:pt>
              </c:strCache>
            </c:strRef>
          </c:tx>
          <c:spPr>
            <a:ln w="38100">
              <a:solidFill>
                <a:srgbClr val="FFFF00"/>
              </a:solidFill>
            </a:ln>
          </c:spPr>
          <c:marker>
            <c:symbol val="circle"/>
            <c:size val="7"/>
            <c:spPr>
              <a:solidFill>
                <a:srgbClr val="FFC000"/>
              </a:solidFill>
            </c:spPr>
          </c:marker>
          <c:dLbls>
            <c:dLbl>
              <c:idx val="2"/>
              <c:layout>
                <c:manualLayout>
                  <c:x val="-2.415234203110225E-2"/>
                  <c:y val="-2.8597603655920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8578724639309492E-2"/>
                  <c:y val="2.419797232424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multiLvlStrRef>
              <c:f>FORMULAS!$Y$4:$Z$9</c:f>
              <c:multiLvlStrCache>
                <c:ptCount val="6"/>
                <c:lvl>
                  <c:pt idx="0">
                    <c:v>MAYOR IMPORTANCIA</c:v>
                  </c:pt>
                  <c:pt idx="1">
                    <c:v>MUY IMPORTANTE</c:v>
                  </c:pt>
                  <c:pt idx="2">
                    <c:v>IMPORTANTE</c:v>
                  </c:pt>
                  <c:pt idx="3">
                    <c:v>NO TAN IMPORTANTE</c:v>
                  </c:pt>
                  <c:pt idx="4">
                    <c:v>POCO IMPORTANTE</c:v>
                  </c:pt>
                  <c:pt idx="5">
                    <c:v>MENOR IMPORTANCIA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</c:lvl>
              </c:multiLvlStrCache>
            </c:multiLvlStrRef>
          </c:xVal>
          <c:yVal>
            <c:numRef>
              <c:f>FORMULAS!$AF$4:$AF$9</c:f>
              <c:numCache>
                <c:formatCode>General</c:formatCode>
                <c:ptCount val="6"/>
                <c:pt idx="0">
                  <c:v>88</c:v>
                </c:pt>
                <c:pt idx="1">
                  <c:v>73</c:v>
                </c:pt>
                <c:pt idx="2">
                  <c:v>59</c:v>
                </c:pt>
                <c:pt idx="3">
                  <c:v>52</c:v>
                </c:pt>
                <c:pt idx="4">
                  <c:v>53</c:v>
                </c:pt>
                <c:pt idx="5">
                  <c:v>81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880576"/>
        <c:axId val="165882112"/>
      </c:scatterChart>
      <c:valAx>
        <c:axId val="1658805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1" baseline="0"/>
            </a:pPr>
            <a:endParaRPr lang="es-MX"/>
          </a:p>
        </c:txPr>
        <c:crossAx val="165882112"/>
        <c:crosses val="autoZero"/>
        <c:crossBetween val="midCat"/>
      </c:valAx>
      <c:valAx>
        <c:axId val="165882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658805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229679849076506E-2"/>
          <c:y val="0.92758830397849668"/>
          <c:w val="0.83673967666582905"/>
          <c:h val="7.0945614147828934E-2"/>
        </c:manualLayout>
      </c:layout>
      <c:overlay val="0"/>
      <c:txPr>
        <a:bodyPr/>
        <a:lstStyle/>
        <a:p>
          <a:pPr rtl="0">
            <a:defRPr sz="900"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PRODUCTOS QUE TRANSPORTAN LAS UNIDADES.</a:t>
            </a:r>
          </a:p>
          <a:p>
            <a:pPr>
              <a:defRPr sz="1400"/>
            </a:pPr>
            <a:r>
              <a:rPr lang="en-US" sz="1200"/>
              <a:t>PROPIETAROS CON DOS</a:t>
            </a:r>
            <a:r>
              <a:rPr lang="en-US" sz="1200" baseline="0"/>
              <a:t> A CINCO UNIDADES</a:t>
            </a:r>
            <a:r>
              <a:rPr lang="en-US" sz="1200"/>
              <a:t> 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[TOTAL DE RESPUESTAS A PRODUCTOS QUE TRANSPORTA = 327]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4"/>
          <c:order val="0"/>
          <c:tx>
            <c:strRef>
              <c:f>'FORMULAS NUEVOS'!$CZ$16</c:f>
              <c:strCache>
                <c:ptCount val="1"/>
                <c:pt idx="0">
                  <c:v>PRODUCTOS QUE TRANSPORTAN LAS UNIDADES. PROPIETARIOS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NUEVOS'!$CZ$17:$CZ$24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NUEVOS'!$DE$17:$DE$24</c:f>
              <c:numCache>
                <c:formatCode>General</c:formatCode>
                <c:ptCount val="8"/>
                <c:pt idx="0">
                  <c:v>54</c:v>
                </c:pt>
                <c:pt idx="1">
                  <c:v>34</c:v>
                </c:pt>
                <c:pt idx="2">
                  <c:v>27</c:v>
                </c:pt>
                <c:pt idx="3">
                  <c:v>32</c:v>
                </c:pt>
                <c:pt idx="4">
                  <c:v>73</c:v>
                </c:pt>
                <c:pt idx="5">
                  <c:v>30</c:v>
                </c:pt>
                <c:pt idx="6">
                  <c:v>33</c:v>
                </c:pt>
                <c:pt idx="7">
                  <c:v>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768896"/>
        <c:axId val="198905856"/>
        <c:axId val="0"/>
      </c:bar3DChart>
      <c:catAx>
        <c:axId val="1987688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905856"/>
        <c:crosses val="autoZero"/>
        <c:auto val="1"/>
        <c:lblAlgn val="ctr"/>
        <c:lblOffset val="100"/>
        <c:noMultiLvlLbl val="0"/>
      </c:catAx>
      <c:valAx>
        <c:axId val="198905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76889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PRODUCTOS QUE TRANSPORTAN LAS UNIDADES.</a:t>
            </a:r>
          </a:p>
          <a:p>
            <a:pPr>
              <a:defRPr sz="1400"/>
            </a:pPr>
            <a:r>
              <a:rPr lang="en-US" sz="1200"/>
              <a:t>PROPIETARIOS</a:t>
            </a:r>
            <a:r>
              <a:rPr lang="en-US" sz="1200" baseline="0"/>
              <a:t> CON SEIS A TREINTA UNIDADES</a:t>
            </a:r>
          </a:p>
          <a:p>
            <a:pPr>
              <a:defRPr sz="1400"/>
            </a:pPr>
            <a:r>
              <a:rPr lang="en-US" sz="1000" baseline="0"/>
              <a:t>ENCUESTA A </a:t>
            </a:r>
            <a:r>
              <a:rPr lang="en-US" sz="1000"/>
              <a:t>PROPIETARIOS</a:t>
            </a:r>
          </a:p>
          <a:p>
            <a:pPr>
              <a:defRPr sz="1400"/>
            </a:pPr>
            <a:r>
              <a:rPr lang="en-US" sz="800"/>
              <a:t>[TOTAL DE RESPUESTAS A PRODUCTOS QUE TRANSPORTA = 77]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5"/>
          <c:order val="0"/>
          <c:tx>
            <c:strRef>
              <c:f>'FORMULAS NUEVOS'!$CZ$16</c:f>
              <c:strCache>
                <c:ptCount val="1"/>
                <c:pt idx="0">
                  <c:v>PRODUCTOS QUE TRANSPORTAN LAS UNIDADES. PROPIETARIOS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NUEVOS'!$CZ$17:$CZ$24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NUEVOS'!$DF$17:$DF$24</c:f>
              <c:numCache>
                <c:formatCode>General</c:formatCode>
                <c:ptCount val="8"/>
                <c:pt idx="0">
                  <c:v>8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18</c:v>
                </c:pt>
                <c:pt idx="5">
                  <c:v>8</c:v>
                </c:pt>
                <c:pt idx="6">
                  <c:v>9</c:v>
                </c:pt>
                <c:pt idx="7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939392"/>
        <c:axId val="198940928"/>
        <c:axId val="0"/>
      </c:bar3DChart>
      <c:catAx>
        <c:axId val="1989393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940928"/>
        <c:crosses val="autoZero"/>
        <c:auto val="1"/>
        <c:lblAlgn val="ctr"/>
        <c:lblOffset val="100"/>
        <c:noMultiLvlLbl val="0"/>
      </c:catAx>
      <c:valAx>
        <c:axId val="198940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93939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CON QUIÉN SE CONTRATA</a:t>
            </a:r>
          </a:p>
          <a:p>
            <a:pPr>
              <a:defRPr sz="1400"/>
            </a:pPr>
            <a:r>
              <a:rPr lang="es-MX" sz="1000"/>
              <a:t> ENCUESTA A PROPIETARIOS</a:t>
            </a:r>
          </a:p>
          <a:p>
            <a:pPr>
              <a:defRPr sz="1400"/>
            </a:pPr>
            <a:r>
              <a:rPr lang="es-MX" sz="800"/>
              <a:t>[TOTAL DE RESPUESTAS A CON QUIÉN SE CONTRATA = 495]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6"/>
          <c:order val="0"/>
          <c:tx>
            <c:strRef>
              <c:f>'FORMULAS NUEVOS'!$J$24</c:f>
              <c:strCache>
                <c:ptCount val="1"/>
                <c:pt idx="0">
                  <c:v>CON QUIÉN SE CONTRATAN LOS PROPIETARIOS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NUEVOS'!$J$25:$J$28</c:f>
              <c:strCache>
                <c:ptCount val="4"/>
                <c:pt idx="0">
                  <c:v>Empresa logística</c:v>
                </c:pt>
                <c:pt idx="1">
                  <c:v>Intermediario</c:v>
                </c:pt>
                <c:pt idx="2">
                  <c:v>Embarcador</c:v>
                </c:pt>
                <c:pt idx="3">
                  <c:v>Con el Cliente</c:v>
                </c:pt>
              </c:strCache>
            </c:strRef>
          </c:cat>
          <c:val>
            <c:numRef>
              <c:f>'FORMULAS NUEVOS'!$Q$25:$Q$28</c:f>
              <c:numCache>
                <c:formatCode>General</c:formatCode>
                <c:ptCount val="4"/>
                <c:pt idx="0">
                  <c:v>57</c:v>
                </c:pt>
                <c:pt idx="1">
                  <c:v>146</c:v>
                </c:pt>
                <c:pt idx="2">
                  <c:v>96</c:v>
                </c:pt>
                <c:pt idx="3">
                  <c:v>196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978560"/>
        <c:axId val="198984448"/>
        <c:axId val="0"/>
      </c:bar3DChart>
      <c:catAx>
        <c:axId val="1989785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984448"/>
        <c:crosses val="autoZero"/>
        <c:auto val="1"/>
        <c:lblAlgn val="ctr"/>
        <c:lblOffset val="100"/>
        <c:noMultiLvlLbl val="0"/>
      </c:catAx>
      <c:valAx>
        <c:axId val="19898444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97856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QUIÉN FIJA LA RUTA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[TOTAL DE RESPUESTAS A QUIÉN FIJA LA RUTA = 903]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2"/>
          <c:order val="0"/>
          <c:tx>
            <c:strRef>
              <c:f>'FORMULAS C+P'!$A$17</c:f>
              <c:strCache>
                <c:ptCount val="1"/>
                <c:pt idx="0">
                  <c:v>QUIÉN FIJA LA RUTA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C+P'!$B$19:$B$22</c:f>
              <c:strCache>
                <c:ptCount val="4"/>
                <c:pt idx="0">
                  <c:v>El conductor</c:v>
                </c:pt>
                <c:pt idx="1">
                  <c:v>El propietario</c:v>
                </c:pt>
                <c:pt idx="2">
                  <c:v>El cliente</c:v>
                </c:pt>
                <c:pt idx="3">
                  <c:v>El Cliente y el propietario</c:v>
                </c:pt>
              </c:strCache>
            </c:strRef>
          </c:cat>
          <c:val>
            <c:numRef>
              <c:f>'FORMULAS C+P'!$E$19:$E$22</c:f>
              <c:numCache>
                <c:formatCode>General</c:formatCode>
                <c:ptCount val="4"/>
                <c:pt idx="0">
                  <c:v>19</c:v>
                </c:pt>
                <c:pt idx="1">
                  <c:v>206</c:v>
                </c:pt>
                <c:pt idx="2">
                  <c:v>141</c:v>
                </c:pt>
                <c:pt idx="3">
                  <c:v>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9013504"/>
        <c:axId val="199015040"/>
        <c:axId val="0"/>
      </c:bar3DChart>
      <c:catAx>
        <c:axId val="1990135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9015040"/>
        <c:crosses val="autoZero"/>
        <c:auto val="1"/>
        <c:lblAlgn val="ctr"/>
        <c:lblOffset val="100"/>
        <c:noMultiLvlLbl val="0"/>
      </c:catAx>
      <c:valAx>
        <c:axId val="199015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901350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PORCENTAJE QUE RECORRE DE VACÍO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[TOTAL</a:t>
            </a:r>
            <a:r>
              <a:rPr lang="es-MX" sz="800" baseline="0"/>
              <a:t> DE RESPUESTAS = 971]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4503407196772014E-2"/>
          <c:y val="0.18786451944763191"/>
          <c:w val="0.88777338178847454"/>
          <c:h val="0.6679088355161649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NUEVOS'!$DR$3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NUEVOS'!$DQ$4:$DQ$8</c:f>
              <c:strCache>
                <c:ptCount val="5"/>
                <c:pt idx="0">
                  <c:v>50%</c:v>
                </c:pt>
                <c:pt idx="1">
                  <c:v>30% A 49%</c:v>
                </c:pt>
                <c:pt idx="2">
                  <c:v>20% A 29%</c:v>
                </c:pt>
                <c:pt idx="3">
                  <c:v>10% A 19%</c:v>
                </c:pt>
                <c:pt idx="4">
                  <c:v>&lt; 10%</c:v>
                </c:pt>
              </c:strCache>
            </c:strRef>
          </c:cat>
          <c:val>
            <c:numRef>
              <c:f>'FORMULAS NUEVOS'!$DR$4:$DR$8</c:f>
              <c:numCache>
                <c:formatCode>General</c:formatCode>
                <c:ptCount val="5"/>
                <c:pt idx="0">
                  <c:v>95</c:v>
                </c:pt>
                <c:pt idx="1">
                  <c:v>25</c:v>
                </c:pt>
                <c:pt idx="2">
                  <c:v>29</c:v>
                </c:pt>
                <c:pt idx="3">
                  <c:v>31</c:v>
                </c:pt>
                <c:pt idx="4">
                  <c:v>26</c:v>
                </c:pt>
              </c:numCache>
            </c:numRef>
          </c:val>
        </c:ser>
        <c:ser>
          <c:idx val="1"/>
          <c:order val="1"/>
          <c:tx>
            <c:strRef>
              <c:f>'FORMULAS NUEVOS'!$DS$3</c:f>
              <c:strCache>
                <c:ptCount val="1"/>
                <c:pt idx="0">
                  <c:v>DOS A CINCO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NUEVOS'!$DQ$4:$DQ$8</c:f>
              <c:strCache>
                <c:ptCount val="5"/>
                <c:pt idx="0">
                  <c:v>50%</c:v>
                </c:pt>
                <c:pt idx="1">
                  <c:v>30% A 49%</c:v>
                </c:pt>
                <c:pt idx="2">
                  <c:v>20% A 29%</c:v>
                </c:pt>
                <c:pt idx="3">
                  <c:v>10% A 19%</c:v>
                </c:pt>
                <c:pt idx="4">
                  <c:v>&lt; 10%</c:v>
                </c:pt>
              </c:strCache>
            </c:strRef>
          </c:cat>
          <c:val>
            <c:numRef>
              <c:f>'FORMULAS NUEVOS'!$DS$4:$DS$8</c:f>
              <c:numCache>
                <c:formatCode>General</c:formatCode>
                <c:ptCount val="5"/>
                <c:pt idx="0">
                  <c:v>301</c:v>
                </c:pt>
                <c:pt idx="1">
                  <c:v>74</c:v>
                </c:pt>
                <c:pt idx="2">
                  <c:v>37</c:v>
                </c:pt>
                <c:pt idx="3">
                  <c:v>44</c:v>
                </c:pt>
                <c:pt idx="4">
                  <c:v>27</c:v>
                </c:pt>
              </c:numCache>
            </c:numRef>
          </c:val>
        </c:ser>
        <c:ser>
          <c:idx val="2"/>
          <c:order val="2"/>
          <c:tx>
            <c:strRef>
              <c:f>'FORMULAS NUEVOS'!$DT$3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249024097477640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408534145647047E-2"/>
                  <c:y val="-3.35008375209380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4571947803905838E-2"/>
                  <c:y val="3.35008375209380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249024097477640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040853414564704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NUEVOS'!$DQ$4:$DQ$8</c:f>
              <c:strCache>
                <c:ptCount val="5"/>
                <c:pt idx="0">
                  <c:v>50%</c:v>
                </c:pt>
                <c:pt idx="1">
                  <c:v>30% A 49%</c:v>
                </c:pt>
                <c:pt idx="2">
                  <c:v>20% A 29%</c:v>
                </c:pt>
                <c:pt idx="3">
                  <c:v>10% A 19%</c:v>
                </c:pt>
                <c:pt idx="4">
                  <c:v>&lt; 10%</c:v>
                </c:pt>
              </c:strCache>
            </c:strRef>
          </c:cat>
          <c:val>
            <c:numRef>
              <c:f>'FORMULAS NUEVOS'!$DT$4:$DT$8</c:f>
              <c:numCache>
                <c:formatCode>General</c:formatCode>
                <c:ptCount val="5"/>
                <c:pt idx="0">
                  <c:v>196</c:v>
                </c:pt>
                <c:pt idx="1">
                  <c:v>34</c:v>
                </c:pt>
                <c:pt idx="2">
                  <c:v>33</c:v>
                </c:pt>
                <c:pt idx="3">
                  <c:v>5</c:v>
                </c:pt>
                <c:pt idx="4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9116288"/>
        <c:axId val="199117824"/>
        <c:axId val="0"/>
      </c:bar3DChart>
      <c:catAx>
        <c:axId val="1991162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9117824"/>
        <c:crosses val="autoZero"/>
        <c:auto val="1"/>
        <c:lblAlgn val="ctr"/>
        <c:lblOffset val="100"/>
        <c:noMultiLvlLbl val="0"/>
      </c:catAx>
      <c:valAx>
        <c:axId val="1991178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9116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5.0897731972214096E-2"/>
          <c:y val="0.93672746936783668"/>
          <c:w val="0.93869373388213961"/>
          <c:h val="4.4384389137287504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 b="1" i="0" baseline="0">
                <a:effectLst/>
              </a:rPr>
              <a:t>PORCENTAJE QUE RECORRE DE VACÍO</a:t>
            </a:r>
            <a:endParaRPr lang="es-MX" sz="1400">
              <a:effectLst/>
            </a:endParaRPr>
          </a:p>
          <a:p>
            <a:pPr>
              <a:defRPr sz="1400"/>
            </a:pPr>
            <a:r>
              <a:rPr lang="es-MX" sz="1000" b="1" i="0" baseline="0">
                <a:effectLst/>
              </a:rPr>
              <a:t>ENCUESTA A PROPIETARIOS</a:t>
            </a:r>
            <a:endParaRPr lang="es-MX" sz="1000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NUEVOS'!$DN$3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NUEVOS'!$DM$4:$DM$8</c:f>
              <c:strCache>
                <c:ptCount val="5"/>
                <c:pt idx="0">
                  <c:v>50%</c:v>
                </c:pt>
                <c:pt idx="1">
                  <c:v>30% A 49%</c:v>
                </c:pt>
                <c:pt idx="2">
                  <c:v>20% A 29%</c:v>
                </c:pt>
                <c:pt idx="3">
                  <c:v>10% A 19%</c:v>
                </c:pt>
                <c:pt idx="4">
                  <c:v>&lt; 10%</c:v>
                </c:pt>
              </c:strCache>
            </c:strRef>
          </c:cat>
          <c:val>
            <c:numRef>
              <c:f>'FORMULAS NUEVOS'!$DN$4:$DN$8</c:f>
              <c:numCache>
                <c:formatCode>0.0%</c:formatCode>
                <c:ptCount val="5"/>
                <c:pt idx="0">
                  <c:v>0.46116504854368934</c:v>
                </c:pt>
                <c:pt idx="1">
                  <c:v>0.12135922330097088</c:v>
                </c:pt>
                <c:pt idx="2">
                  <c:v>0.14077669902912621</c:v>
                </c:pt>
                <c:pt idx="3">
                  <c:v>0.15048543689320387</c:v>
                </c:pt>
                <c:pt idx="4">
                  <c:v>0.12621359223300971</c:v>
                </c:pt>
              </c:numCache>
            </c:numRef>
          </c:val>
        </c:ser>
        <c:ser>
          <c:idx val="1"/>
          <c:order val="1"/>
          <c:tx>
            <c:strRef>
              <c:f>'FORMULAS NUEVOS'!$DO$3</c:f>
              <c:strCache>
                <c:ptCount val="1"/>
                <c:pt idx="0">
                  <c:v>DOS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NUEVOS'!$DM$4:$DM$8</c:f>
              <c:strCache>
                <c:ptCount val="5"/>
                <c:pt idx="0">
                  <c:v>50%</c:v>
                </c:pt>
                <c:pt idx="1">
                  <c:v>30% A 49%</c:v>
                </c:pt>
                <c:pt idx="2">
                  <c:v>20% A 29%</c:v>
                </c:pt>
                <c:pt idx="3">
                  <c:v>10% A 19%</c:v>
                </c:pt>
                <c:pt idx="4">
                  <c:v>&lt; 10%</c:v>
                </c:pt>
              </c:strCache>
            </c:strRef>
          </c:cat>
          <c:val>
            <c:numRef>
              <c:f>'FORMULAS NUEVOS'!$DO$4:$DO$8</c:f>
              <c:numCache>
                <c:formatCode>0.0%</c:formatCode>
                <c:ptCount val="5"/>
                <c:pt idx="0">
                  <c:v>0.62318840579710144</c:v>
                </c:pt>
                <c:pt idx="1">
                  <c:v>0.15320910973084886</c:v>
                </c:pt>
                <c:pt idx="2">
                  <c:v>7.6604554865424432E-2</c:v>
                </c:pt>
                <c:pt idx="3">
                  <c:v>9.1097308488612833E-2</c:v>
                </c:pt>
                <c:pt idx="4">
                  <c:v>5.5900621118012424E-2</c:v>
                </c:pt>
              </c:numCache>
            </c:numRef>
          </c:val>
        </c:ser>
        <c:ser>
          <c:idx val="2"/>
          <c:order val="2"/>
          <c:tx>
            <c:strRef>
              <c:f>'FORMULAS NUEVOS'!$DP$3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NUEVOS'!$DM$4:$DM$8</c:f>
              <c:strCache>
                <c:ptCount val="5"/>
                <c:pt idx="0">
                  <c:v>50%</c:v>
                </c:pt>
                <c:pt idx="1">
                  <c:v>30% A 49%</c:v>
                </c:pt>
                <c:pt idx="2">
                  <c:v>20% A 29%</c:v>
                </c:pt>
                <c:pt idx="3">
                  <c:v>10% A 19%</c:v>
                </c:pt>
                <c:pt idx="4">
                  <c:v>&lt; 10%</c:v>
                </c:pt>
              </c:strCache>
            </c:strRef>
          </c:cat>
          <c:val>
            <c:numRef>
              <c:f>'FORMULAS NUEVOS'!$DP$4:$DP$8</c:f>
              <c:numCache>
                <c:formatCode>0.0%</c:formatCode>
                <c:ptCount val="5"/>
                <c:pt idx="0">
                  <c:v>0.69503546099290781</c:v>
                </c:pt>
                <c:pt idx="1">
                  <c:v>0.12056737588652482</c:v>
                </c:pt>
                <c:pt idx="2">
                  <c:v>0.11702127659574468</c:v>
                </c:pt>
                <c:pt idx="3">
                  <c:v>1.7730496453900711E-2</c:v>
                </c:pt>
                <c:pt idx="4">
                  <c:v>4.9645390070921988E-2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9174400"/>
        <c:axId val="199192576"/>
        <c:axId val="0"/>
      </c:bar3DChart>
      <c:catAx>
        <c:axId val="1991744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9192576"/>
        <c:crosses val="autoZero"/>
        <c:auto val="1"/>
        <c:lblAlgn val="ctr"/>
        <c:lblOffset val="100"/>
        <c:noMultiLvlLbl val="0"/>
      </c:catAx>
      <c:valAx>
        <c:axId val="19919257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917440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TIPO DE UNIDAD MOTRIZ SEGÚN TAMAÑO DE LA FLOTA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[% SOBRE EL TOTAL DE RESPUESTAS A TIPO DE UNIDAD MOTRIZ (100% = 980)]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FEB'!$B$5</c:f>
              <c:strCache>
                <c:ptCount val="1"/>
                <c:pt idx="0">
                  <c:v>C2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FEB'!$C$4:$F$4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FEB'!$C$5:$F$5</c:f>
              <c:numCache>
                <c:formatCode>0.0%</c:formatCode>
                <c:ptCount val="4"/>
                <c:pt idx="0">
                  <c:v>4.2857142857142858E-2</c:v>
                </c:pt>
                <c:pt idx="1">
                  <c:v>5.3061224489795916E-2</c:v>
                </c:pt>
                <c:pt idx="2">
                  <c:v>7.040816326530612E-2</c:v>
                </c:pt>
                <c:pt idx="3">
                  <c:v>4.7959183673469387E-2</c:v>
                </c:pt>
              </c:numCache>
            </c:numRef>
          </c:val>
        </c:ser>
        <c:ser>
          <c:idx val="1"/>
          <c:order val="1"/>
          <c:tx>
            <c:strRef>
              <c:f>'FORMULAS FEB'!$B$6</c:f>
              <c:strCache>
                <c:ptCount val="1"/>
                <c:pt idx="0">
                  <c:v>C3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FEB'!$C$4:$F$4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FEB'!$C$6:$F$6</c:f>
              <c:numCache>
                <c:formatCode>0.0%</c:formatCode>
                <c:ptCount val="4"/>
                <c:pt idx="0">
                  <c:v>8.3673469387755106E-2</c:v>
                </c:pt>
                <c:pt idx="1">
                  <c:v>3.6734693877551024E-2</c:v>
                </c:pt>
                <c:pt idx="2">
                  <c:v>5.9183673469387757E-2</c:v>
                </c:pt>
                <c:pt idx="3">
                  <c:v>2.0408163265306121E-2</c:v>
                </c:pt>
              </c:numCache>
            </c:numRef>
          </c:val>
        </c:ser>
        <c:ser>
          <c:idx val="2"/>
          <c:order val="2"/>
          <c:tx>
            <c:strRef>
              <c:f>'FORMULAS FEB'!$B$7</c:f>
              <c:strCache>
                <c:ptCount val="1"/>
                <c:pt idx="0">
                  <c:v>T2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FEB'!$C$4:$F$4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FEB'!$C$7:$F$7</c:f>
              <c:numCache>
                <c:formatCode>0.0%</c:formatCode>
                <c:ptCount val="4"/>
                <c:pt idx="0">
                  <c:v>2.0408163265306124E-3</c:v>
                </c:pt>
                <c:pt idx="1">
                  <c:v>7.1428571428571426E-3</c:v>
                </c:pt>
                <c:pt idx="2">
                  <c:v>2.8571428571428571E-2</c:v>
                </c:pt>
                <c:pt idx="3">
                  <c:v>6.1224489795918364E-3</c:v>
                </c:pt>
              </c:numCache>
            </c:numRef>
          </c:val>
        </c:ser>
        <c:ser>
          <c:idx val="3"/>
          <c:order val="3"/>
          <c:tx>
            <c:strRef>
              <c:f>'FORMULAS FEB'!$B$8</c:f>
              <c:strCache>
                <c:ptCount val="1"/>
                <c:pt idx="0">
                  <c:v>T3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FEB'!$C$4:$F$4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FEB'!$C$8:$F$8</c:f>
              <c:numCache>
                <c:formatCode>0.0%</c:formatCode>
                <c:ptCount val="4"/>
                <c:pt idx="0">
                  <c:v>8.4693877551020411E-2</c:v>
                </c:pt>
                <c:pt idx="1">
                  <c:v>6.6326530612244902E-2</c:v>
                </c:pt>
                <c:pt idx="2">
                  <c:v>0.17142857142857143</c:v>
                </c:pt>
                <c:pt idx="3">
                  <c:v>0.21938775510204081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4653696"/>
        <c:axId val="144680064"/>
        <c:axId val="0"/>
      </c:bar3DChart>
      <c:catAx>
        <c:axId val="1446536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4680064"/>
        <c:crosses val="autoZero"/>
        <c:auto val="1"/>
        <c:lblAlgn val="ctr"/>
        <c:lblOffset val="100"/>
        <c:noMultiLvlLbl val="0"/>
      </c:catAx>
      <c:valAx>
        <c:axId val="14468006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46536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TIPO DE UNIDAD MOTRIZ </a:t>
            </a:r>
          </a:p>
          <a:p>
            <a:pPr>
              <a:defRPr sz="1400"/>
            </a:pPr>
            <a:r>
              <a:rPr lang="en-US" sz="1200"/>
              <a:t>PROPIETARIOS</a:t>
            </a:r>
            <a:r>
              <a:rPr lang="en-US" sz="1200" baseline="0"/>
              <a:t> CON UNA UNIDAD</a:t>
            </a:r>
          </a:p>
          <a:p>
            <a:pPr>
              <a:defRPr sz="1400"/>
            </a:pPr>
            <a:r>
              <a:rPr lang="en-US" sz="1000" baseline="0"/>
              <a:t>ENCUESTA A PROPIETARIOS</a:t>
            </a:r>
          </a:p>
          <a:p>
            <a:pPr>
              <a:defRPr sz="1400"/>
            </a:pPr>
            <a:r>
              <a:rPr lang="en-US" sz="800" baseline="0"/>
              <a:t>[% SOBRE EL TOTAL DE RESPUESTAS  DE PROPIETARIOS CON UNIA UNIDAD (100% = 209)]</a:t>
            </a:r>
            <a:endParaRPr lang="en-US" sz="800"/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FEB'!$A$11</c:f>
              <c:strCache>
                <c:ptCount val="1"/>
                <c:pt idx="0">
                  <c:v>TIPO DE UNIDAD MOTRIZ. PROPIETARIOS CON UNA UNIDAD</c:v>
                </c:pt>
              </c:strCache>
            </c:strRef>
          </c:tx>
          <c:explosion val="25"/>
          <c:dLbls>
            <c:dLbl>
              <c:idx val="0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FEB'!$B$13:$B$16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FEB'!$C$13:$C$16</c:f>
              <c:numCache>
                <c:formatCode>0.0%</c:formatCode>
                <c:ptCount val="4"/>
                <c:pt idx="0">
                  <c:v>0.20095693779904306</c:v>
                </c:pt>
                <c:pt idx="1">
                  <c:v>0.3923444976076555</c:v>
                </c:pt>
                <c:pt idx="2">
                  <c:v>9.5693779904306216E-3</c:v>
                </c:pt>
                <c:pt idx="3">
                  <c:v>0.39712918660287083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TIPO DE UNIDAD MOTRIZ. </a:t>
            </a:r>
          </a:p>
          <a:p>
            <a:pPr>
              <a:defRPr sz="1400"/>
            </a:pPr>
            <a:r>
              <a:rPr lang="en-US" sz="1200"/>
              <a:t>PROPIETARIOS CON DOS UNIDADES</a:t>
            </a:r>
          </a:p>
          <a:p>
            <a:pPr>
              <a:defRPr sz="1400"/>
            </a:pPr>
            <a:r>
              <a:rPr lang="en-US" sz="1000"/>
              <a:t>ENCUESTA</a:t>
            </a:r>
            <a:r>
              <a:rPr lang="en-US" sz="1000" baseline="0"/>
              <a:t> A PROPIETARIOS</a:t>
            </a:r>
          </a:p>
          <a:p>
            <a:pPr>
              <a:defRPr sz="1400"/>
            </a:pPr>
            <a:r>
              <a:rPr lang="en-US" sz="800" baseline="0"/>
              <a:t>[% SOBRE EL TOTAL DE RESPUESTAS DE PROPIETARIOS CON DOS UNIDADES (100% = 160)]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FEB'!$A$19</c:f>
              <c:strCache>
                <c:ptCount val="1"/>
                <c:pt idx="0">
                  <c:v>TIPO DE UNIDAD MOTRIZ. PROPIETARIOS CON DOS UNIDADES</c:v>
                </c:pt>
              </c:strCache>
            </c:strRef>
          </c:tx>
          <c:explosion val="25"/>
          <c:dLbls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FEB'!$B$21:$B$24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FEB'!$C$21:$C$24</c:f>
              <c:numCache>
                <c:formatCode>0.0%</c:formatCode>
                <c:ptCount val="4"/>
                <c:pt idx="0">
                  <c:v>0.32500000000000001</c:v>
                </c:pt>
                <c:pt idx="1">
                  <c:v>0.22500000000000001</c:v>
                </c:pt>
                <c:pt idx="2">
                  <c:v>4.3749999999999997E-2</c:v>
                </c:pt>
                <c:pt idx="3">
                  <c:v>0.40625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TIPO DE UNIDAD MOTRIZ. </a:t>
            </a:r>
          </a:p>
          <a:p>
            <a:pPr>
              <a:defRPr sz="1400"/>
            </a:pPr>
            <a:r>
              <a:rPr lang="en-US" sz="1200"/>
              <a:t>PROPIETARIOS CON TRES A CINCO UNIDADES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DE PROPIETARIOS CON TRES A CINCO UNIDADES (100% = 323)]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FEB'!$A$27</c:f>
              <c:strCache>
                <c:ptCount val="1"/>
                <c:pt idx="0">
                  <c:v>TIPO DE UNIDAD MOTRIZ. PROPIETARIOS CON TRES A CINCO UNIDADES</c:v>
                </c:pt>
              </c:strCache>
            </c:strRef>
          </c:tx>
          <c:explosion val="25"/>
          <c:dLbls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FEB'!$B$29:$B$32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FEB'!$C$29:$C$32</c:f>
              <c:numCache>
                <c:formatCode>0.0%</c:formatCode>
                <c:ptCount val="4"/>
                <c:pt idx="0">
                  <c:v>0.21362229102167182</c:v>
                </c:pt>
                <c:pt idx="1">
                  <c:v>0.17956656346749225</c:v>
                </c:pt>
                <c:pt idx="2">
                  <c:v>8.6687306501547989E-2</c:v>
                </c:pt>
                <c:pt idx="3">
                  <c:v>0.52012383900928794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solidFill>
          <a:schemeClr val="accent3">
            <a:lumMod val="20000"/>
            <a:lumOff val="80000"/>
            <a:alpha val="50000"/>
          </a:schemeClr>
        </a:solidFill>
      </c:spPr>
    </c:plotArea>
    <c:plotVisOnly val="1"/>
    <c:dispBlanksAs val="zero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CURSOS QUE HA TOMADO ÉL O SU PERSONAL</a:t>
            </a:r>
          </a:p>
        </c:rich>
      </c:tx>
      <c:overlay val="0"/>
    </c:title>
    <c:autoTitleDeleted val="0"/>
    <c:view3D>
      <c:rotX val="30"/>
      <c:rotY val="8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FORMULAS!$Z$13</c:f>
              <c:strCache>
                <c:ptCount val="1"/>
                <c:pt idx="0">
                  <c:v>CURSOS QUE HA TOMADO ÉL O SU PERSONAL</c:v>
                </c:pt>
              </c:strCache>
            </c:strRef>
          </c:tx>
          <c:explosion val="25"/>
          <c:dPt>
            <c:idx val="4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6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1088721436702136E-2"/>
                  <c:y val="5.55352405434751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17417849650559E-4"/>
                  <c:y val="5.00970746127785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FORMULAS!$Z$14:$Z$21</c:f>
              <c:strCache>
                <c:ptCount val="8"/>
                <c:pt idx="0">
                  <c:v>Manejo eficiente</c:v>
                </c:pt>
                <c:pt idx="1">
                  <c:v>Administrativos y/o contables</c:v>
                </c:pt>
                <c:pt idx="2">
                  <c:v>Legales Básicos</c:v>
                </c:pt>
                <c:pt idx="3">
                  <c:v>Fiscales</c:v>
                </c:pt>
                <c:pt idx="4">
                  <c:v>Mecánica</c:v>
                </c:pt>
                <c:pt idx="5">
                  <c:v>Financieros</c:v>
                </c:pt>
                <c:pt idx="6">
                  <c:v>Ninguno</c:v>
                </c:pt>
                <c:pt idx="7">
                  <c:v>Otros</c:v>
                </c:pt>
              </c:strCache>
            </c:strRef>
          </c:cat>
          <c:val>
            <c:numRef>
              <c:f>FORMULAS!$AA$14:$AA$21</c:f>
              <c:numCache>
                <c:formatCode>0.0%</c:formatCode>
                <c:ptCount val="8"/>
                <c:pt idx="0">
                  <c:v>0.16366366366366367</c:v>
                </c:pt>
                <c:pt idx="1">
                  <c:v>0.16966966966966968</c:v>
                </c:pt>
                <c:pt idx="2">
                  <c:v>5.7057057057057055E-2</c:v>
                </c:pt>
                <c:pt idx="3">
                  <c:v>3.903903903903904E-2</c:v>
                </c:pt>
                <c:pt idx="4">
                  <c:v>0.23723723723723725</c:v>
                </c:pt>
                <c:pt idx="5">
                  <c:v>5.2552552552552555E-2</c:v>
                </c:pt>
                <c:pt idx="6">
                  <c:v>0.26576576576576577</c:v>
                </c:pt>
                <c:pt idx="7">
                  <c:v>1.5015015015015015E-2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TIPO DE UNIDAD MOTRIZ. </a:t>
            </a:r>
          </a:p>
          <a:p>
            <a:pPr>
              <a:defRPr sz="1400"/>
            </a:pPr>
            <a:r>
              <a:rPr lang="en-US" sz="1200"/>
              <a:t>PROPIETARIOS CON SEIS A TREINTA UNIDADES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</a:t>
            </a:r>
            <a:r>
              <a:rPr lang="en-US" sz="800" baseline="0"/>
              <a:t> SOBRE EL TOTAL DE RESPUESTAS DE PROPIETARIOS CON SEIS A TREINTA UNIDADES (100% = 288)]</a:t>
            </a:r>
            <a:endParaRPr lang="en-US" sz="800"/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FEB'!$A$35</c:f>
              <c:strCache>
                <c:ptCount val="1"/>
                <c:pt idx="0">
                  <c:v>TIPO DE UNIDAD MOTRIZ. PROPIETARIOS CON SEIS A TREINTA UNIDADES</c:v>
                </c:pt>
              </c:strCache>
            </c:strRef>
          </c:tx>
          <c:explosion val="25"/>
          <c:dLbls>
            <c:dLbl>
              <c:idx val="1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FEB'!$B$37:$B$40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FEB'!$C$37:$C$40</c:f>
              <c:numCache>
                <c:formatCode>0.0%</c:formatCode>
                <c:ptCount val="4"/>
                <c:pt idx="0">
                  <c:v>0.16319444444444445</c:v>
                </c:pt>
                <c:pt idx="1">
                  <c:v>6.9444444444444448E-2</c:v>
                </c:pt>
                <c:pt idx="2">
                  <c:v>2.0833333333333332E-2</c:v>
                </c:pt>
                <c:pt idx="3">
                  <c:v>0.74652777777777779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CARGA QUE TRANSPORTA SEGÚN TAMAÑO DE FLOTA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[% SOBRE EL TOTAL DE RESPUESTAS A CARGA QUE TRANSPORTA (100% = 753)]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9991132060873373E-2"/>
          <c:y val="0.15760906045899725"/>
          <c:w val="0.87317609108385263"/>
          <c:h val="0.441741216765003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FEB'!$B$45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FEB'!$A$46:$A$53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FEB'!$B$46:$B$53</c:f>
              <c:numCache>
                <c:formatCode>0.0%</c:formatCode>
                <c:ptCount val="8"/>
                <c:pt idx="0">
                  <c:v>0.10358565737051793</c:v>
                </c:pt>
                <c:pt idx="1">
                  <c:v>6.5073041168658696E-2</c:v>
                </c:pt>
                <c:pt idx="2">
                  <c:v>2.2576361221779549E-2</c:v>
                </c:pt>
                <c:pt idx="3">
                  <c:v>4.5152722443559098E-2</c:v>
                </c:pt>
                <c:pt idx="4">
                  <c:v>6.3745019920318724E-2</c:v>
                </c:pt>
                <c:pt idx="5">
                  <c:v>8.3665338645418322E-2</c:v>
                </c:pt>
                <c:pt idx="6">
                  <c:v>2.7888446215139442E-2</c:v>
                </c:pt>
                <c:pt idx="7">
                  <c:v>5.1792828685258967E-2</c:v>
                </c:pt>
              </c:numCache>
            </c:numRef>
          </c:val>
        </c:ser>
        <c:ser>
          <c:idx val="1"/>
          <c:order val="1"/>
          <c:tx>
            <c:strRef>
              <c:f>'FORMULAS FEB'!$C$45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FEB'!$A$46:$A$53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FEB'!$C$46:$C$53</c:f>
              <c:numCache>
                <c:formatCode>0.0%</c:formatCode>
                <c:ptCount val="8"/>
                <c:pt idx="0">
                  <c:v>3.1872509960159362E-2</c:v>
                </c:pt>
                <c:pt idx="1">
                  <c:v>2.3904382470119521E-2</c:v>
                </c:pt>
                <c:pt idx="2">
                  <c:v>1.0624169986719787E-2</c:v>
                </c:pt>
                <c:pt idx="3">
                  <c:v>1.7264276228419653E-2</c:v>
                </c:pt>
                <c:pt idx="4">
                  <c:v>4.1168658698539175E-2</c:v>
                </c:pt>
                <c:pt idx="5">
                  <c:v>2.2576361221779549E-2</c:v>
                </c:pt>
                <c:pt idx="6">
                  <c:v>1.0624169986719787E-2</c:v>
                </c:pt>
                <c:pt idx="7">
                  <c:v>3.3200531208499334E-2</c:v>
                </c:pt>
              </c:numCache>
            </c:numRef>
          </c:val>
        </c:ser>
        <c:ser>
          <c:idx val="2"/>
          <c:order val="2"/>
          <c:tx>
            <c:strRef>
              <c:f>'FORMULAS FEB'!$D$45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FEB'!$A$46:$A$53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FEB'!$D$46:$D$53</c:f>
              <c:numCache>
                <c:formatCode>0.0%</c:formatCode>
                <c:ptCount val="8"/>
                <c:pt idx="0">
                  <c:v>3.9840637450199202E-2</c:v>
                </c:pt>
                <c:pt idx="1">
                  <c:v>2.1248339973439574E-2</c:v>
                </c:pt>
                <c:pt idx="2">
                  <c:v>2.5232403718459494E-2</c:v>
                </c:pt>
                <c:pt idx="3">
                  <c:v>2.5232403718459494E-2</c:v>
                </c:pt>
                <c:pt idx="4">
                  <c:v>5.5776892430278883E-2</c:v>
                </c:pt>
                <c:pt idx="5">
                  <c:v>1.7264276228419653E-2</c:v>
                </c:pt>
                <c:pt idx="6">
                  <c:v>3.3200531208499334E-2</c:v>
                </c:pt>
                <c:pt idx="7">
                  <c:v>2.5232403718459494E-2</c:v>
                </c:pt>
              </c:numCache>
            </c:numRef>
          </c:val>
        </c:ser>
        <c:ser>
          <c:idx val="3"/>
          <c:order val="3"/>
          <c:tx>
            <c:strRef>
              <c:f>'FORMULAS FEB'!$E$45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FEB'!$A$46:$A$53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FEB'!$E$46:$E$53</c:f>
              <c:numCache>
                <c:formatCode>0.0%</c:formatCode>
                <c:ptCount val="8"/>
                <c:pt idx="0">
                  <c:v>1.0624169986719787E-2</c:v>
                </c:pt>
                <c:pt idx="1">
                  <c:v>9.2961487383798145E-3</c:v>
                </c:pt>
                <c:pt idx="2">
                  <c:v>9.2961487383798145E-3</c:v>
                </c:pt>
                <c:pt idx="3">
                  <c:v>1.0624169986719787E-2</c:v>
                </c:pt>
                <c:pt idx="4">
                  <c:v>2.3904382470119521E-2</c:v>
                </c:pt>
                <c:pt idx="5">
                  <c:v>1.0624169986719787E-2</c:v>
                </c:pt>
                <c:pt idx="6">
                  <c:v>1.1952191235059761E-2</c:v>
                </c:pt>
                <c:pt idx="7">
                  <c:v>1.5936254980079681E-2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9436928"/>
        <c:axId val="199451008"/>
        <c:axId val="0"/>
      </c:bar3DChart>
      <c:catAx>
        <c:axId val="1994369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9451008"/>
        <c:crosses val="autoZero"/>
        <c:auto val="1"/>
        <c:lblAlgn val="ctr"/>
        <c:lblOffset val="100"/>
        <c:noMultiLvlLbl val="0"/>
      </c:catAx>
      <c:valAx>
        <c:axId val="19945100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9436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25776539837286"/>
          <c:y val="0.79800636172026385"/>
          <c:w val="0.19137548282655145"/>
          <c:h val="0.19269165710143188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TRANSPORTA. </a:t>
            </a:r>
          </a:p>
          <a:p>
            <a:pPr>
              <a:defRPr sz="1400"/>
            </a:pPr>
            <a:r>
              <a:rPr lang="en-US" sz="1200"/>
              <a:t>PROPIETARIOS CON UNA UNIDAD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DE PROPIETARIOS CON UNA UNIDAD (100% = 349)]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FEB'!$A$56</c:f>
              <c:strCache>
                <c:ptCount val="1"/>
                <c:pt idx="0">
                  <c:v>CARGA QUE TRANSPORTA. PROPIETARIOS CON 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FEB'!$A$58:$A$65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FEB'!$B$58:$B$65</c:f>
              <c:numCache>
                <c:formatCode>0.0%</c:formatCode>
                <c:ptCount val="8"/>
                <c:pt idx="0">
                  <c:v>0.22349570200573066</c:v>
                </c:pt>
                <c:pt idx="1">
                  <c:v>0.14040114613180515</c:v>
                </c:pt>
                <c:pt idx="2">
                  <c:v>4.8710601719197708E-2</c:v>
                </c:pt>
                <c:pt idx="3">
                  <c:v>9.7421203438395415E-2</c:v>
                </c:pt>
                <c:pt idx="4">
                  <c:v>0.13753581661891118</c:v>
                </c:pt>
                <c:pt idx="5">
                  <c:v>0.18051575931232092</c:v>
                </c:pt>
                <c:pt idx="6">
                  <c:v>6.0171919770773637E-2</c:v>
                </c:pt>
                <c:pt idx="7">
                  <c:v>0.11174785100286533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9476352"/>
        <c:axId val="199477888"/>
        <c:axId val="0"/>
      </c:bar3DChart>
      <c:catAx>
        <c:axId val="1994763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9477888"/>
        <c:crosses val="autoZero"/>
        <c:auto val="1"/>
        <c:lblAlgn val="ctr"/>
        <c:lblOffset val="100"/>
        <c:noMultiLvlLbl val="0"/>
      </c:catAx>
      <c:valAx>
        <c:axId val="1994778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947635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TRANSPORTA. </a:t>
            </a:r>
          </a:p>
          <a:p>
            <a:pPr>
              <a:defRPr sz="1400"/>
            </a:pPr>
            <a:r>
              <a:rPr lang="en-US" sz="1200"/>
              <a:t>PROPIETARIOS CON DOS UNIDADES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</a:t>
            </a:r>
            <a:r>
              <a:rPr lang="en-US" sz="800" baseline="0"/>
              <a:t> SOBRE EL TOTAL DE RESPUESTAS DE PROPIETARIOS CON DOS UNIDADES (100% = 144)]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FEB'!$A$68</c:f>
              <c:strCache>
                <c:ptCount val="1"/>
                <c:pt idx="0">
                  <c:v>CARGA QUE TRANSPORTA. PROPIETARIOS CON DOS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FEB'!$A$70:$A$77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FEB'!$B$70:$B$77</c:f>
              <c:numCache>
                <c:formatCode>0.0%</c:formatCode>
                <c:ptCount val="8"/>
                <c:pt idx="0">
                  <c:v>0.16666666666666666</c:v>
                </c:pt>
                <c:pt idx="1">
                  <c:v>0.125</c:v>
                </c:pt>
                <c:pt idx="2">
                  <c:v>5.5555555555555552E-2</c:v>
                </c:pt>
                <c:pt idx="3">
                  <c:v>9.0277777777777776E-2</c:v>
                </c:pt>
                <c:pt idx="4">
                  <c:v>0.21527777777777779</c:v>
                </c:pt>
                <c:pt idx="5">
                  <c:v>0.11805555555555555</c:v>
                </c:pt>
                <c:pt idx="6">
                  <c:v>5.5555555555555552E-2</c:v>
                </c:pt>
                <c:pt idx="7">
                  <c:v>0.1736111111111111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0616960"/>
        <c:axId val="200643328"/>
        <c:axId val="0"/>
      </c:bar3DChart>
      <c:catAx>
        <c:axId val="2006169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0643328"/>
        <c:crosses val="autoZero"/>
        <c:auto val="1"/>
        <c:lblAlgn val="ctr"/>
        <c:lblOffset val="100"/>
        <c:noMultiLvlLbl val="0"/>
      </c:catAx>
      <c:valAx>
        <c:axId val="2006433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061696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TRANSPORTA. </a:t>
            </a:r>
          </a:p>
          <a:p>
            <a:pPr>
              <a:defRPr sz="1400"/>
            </a:pPr>
            <a:r>
              <a:rPr lang="en-US" sz="1200"/>
              <a:t>PROPIETARIOS CON TRES A CINCO UNIDADES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DE PROPIETARIOS CON TRES A CINCO UNIDADES (100% = 183)]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FEB'!$A$80</c:f>
              <c:strCache>
                <c:ptCount val="1"/>
                <c:pt idx="0">
                  <c:v>CARGA QUE TRANSPORTA. PROPIETARIOS CON TRES A CINCO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FEB'!$A$82:$A$89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FEB'!$B$82:$B$89</c:f>
              <c:numCache>
                <c:formatCode>0.0%</c:formatCode>
                <c:ptCount val="8"/>
                <c:pt idx="0">
                  <c:v>0.16393442622950818</c:v>
                </c:pt>
                <c:pt idx="1">
                  <c:v>8.7431693989071038E-2</c:v>
                </c:pt>
                <c:pt idx="2">
                  <c:v>0.10382513661202186</c:v>
                </c:pt>
                <c:pt idx="3">
                  <c:v>0.10382513661202186</c:v>
                </c:pt>
                <c:pt idx="4">
                  <c:v>0.22950819672131148</c:v>
                </c:pt>
                <c:pt idx="5">
                  <c:v>7.1038251366120214E-2</c:v>
                </c:pt>
                <c:pt idx="6">
                  <c:v>0.13661202185792351</c:v>
                </c:pt>
                <c:pt idx="7">
                  <c:v>0.10382513661202186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0672768"/>
        <c:axId val="200674304"/>
        <c:axId val="0"/>
      </c:bar3DChart>
      <c:catAx>
        <c:axId val="2006727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0674304"/>
        <c:crosses val="autoZero"/>
        <c:auto val="1"/>
        <c:lblAlgn val="ctr"/>
        <c:lblOffset val="100"/>
        <c:noMultiLvlLbl val="0"/>
      </c:catAx>
      <c:valAx>
        <c:axId val="2006743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067276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TRANSPORTA. </a:t>
            </a:r>
          </a:p>
          <a:p>
            <a:pPr>
              <a:defRPr sz="1400"/>
            </a:pPr>
            <a:r>
              <a:rPr lang="en-US" sz="1200"/>
              <a:t>PROPIETARIOS CON SEIS A TREINTA UNIDADES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DE PROPIETARIOS CON SEIS A TREINTA UNIDADES (100% = 77)]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FEB'!$A$92</c:f>
              <c:strCache>
                <c:ptCount val="1"/>
                <c:pt idx="0">
                  <c:v>CARGA QUE TRANSPORTA. PROPIETARIOS CON SEIS A TREINTA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FEB'!$A$94:$A$101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FEB'!$B$94:$B$101</c:f>
              <c:numCache>
                <c:formatCode>0.0%</c:formatCode>
                <c:ptCount val="8"/>
                <c:pt idx="0">
                  <c:v>0.1038961038961039</c:v>
                </c:pt>
                <c:pt idx="1">
                  <c:v>9.0909090909090912E-2</c:v>
                </c:pt>
                <c:pt idx="2">
                  <c:v>9.0909090909090912E-2</c:v>
                </c:pt>
                <c:pt idx="3">
                  <c:v>0.1038961038961039</c:v>
                </c:pt>
                <c:pt idx="4">
                  <c:v>0.23376623376623376</c:v>
                </c:pt>
                <c:pt idx="5">
                  <c:v>0.1038961038961039</c:v>
                </c:pt>
                <c:pt idx="6">
                  <c:v>0.11688311688311688</c:v>
                </c:pt>
                <c:pt idx="7">
                  <c:v>0.15584415584415584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0695808"/>
        <c:axId val="200697344"/>
        <c:axId val="0"/>
      </c:bar3DChart>
      <c:catAx>
        <c:axId val="2006958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0697344"/>
        <c:crosses val="autoZero"/>
        <c:auto val="1"/>
        <c:lblAlgn val="ctr"/>
        <c:lblOffset val="100"/>
        <c:noMultiLvlLbl val="0"/>
      </c:catAx>
      <c:valAx>
        <c:axId val="20069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069580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COMBUSTIBLE POR TIPO DE UNIDAD MOTRIZ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[% SOBRE EL TOTAL DE RESPUESTAS A TIPO DE COMBUSTIBLE QUE UTILIZA LA UNIDAD (100% = 980)]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FEB'!$O$4</c:f>
              <c:strCache>
                <c:ptCount val="1"/>
                <c:pt idx="0">
                  <c:v>DIESEL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FEB'!$N$5:$N$8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FEB'!$O$5:$O$8</c:f>
              <c:numCache>
                <c:formatCode>0.0%</c:formatCode>
                <c:ptCount val="4"/>
                <c:pt idx="0">
                  <c:v>0.13469387755102041</c:v>
                </c:pt>
                <c:pt idx="1">
                  <c:v>0.19795918367346937</c:v>
                </c:pt>
                <c:pt idx="2">
                  <c:v>4.3877551020408162E-2</c:v>
                </c:pt>
                <c:pt idx="3">
                  <c:v>0.5418367346938775</c:v>
                </c:pt>
              </c:numCache>
            </c:numRef>
          </c:val>
        </c:ser>
        <c:ser>
          <c:idx val="1"/>
          <c:order val="1"/>
          <c:tx>
            <c:strRef>
              <c:f>'FORMULAS FEB'!$P$4</c:f>
              <c:strCache>
                <c:ptCount val="1"/>
                <c:pt idx="0">
                  <c:v>GASOLINA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FEB'!$N$5:$N$8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FEB'!$P$5:$P$8</c:f>
              <c:numCache>
                <c:formatCode>0.0%</c:formatCode>
                <c:ptCount val="4"/>
                <c:pt idx="0">
                  <c:v>7.2448979591836729E-2</c:v>
                </c:pt>
                <c:pt idx="1">
                  <c:v>2.0408163265306124E-3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FEB'!$Q$4</c:f>
              <c:strCache>
                <c:ptCount val="1"/>
                <c:pt idx="0">
                  <c:v>GAS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FEB'!$N$5:$N$8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FEB'!$Q$5:$Q$8</c:f>
              <c:numCache>
                <c:formatCode>0.0%</c:formatCode>
                <c:ptCount val="4"/>
                <c:pt idx="0">
                  <c:v>7.1428571428571426E-3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0758016"/>
        <c:axId val="200759552"/>
        <c:axId val="0"/>
      </c:bar3DChart>
      <c:catAx>
        <c:axId val="2007580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0759552"/>
        <c:crosses val="autoZero"/>
        <c:auto val="1"/>
        <c:lblAlgn val="ctr"/>
        <c:lblOffset val="100"/>
        <c:noMultiLvlLbl val="0"/>
      </c:catAx>
      <c:valAx>
        <c:axId val="20075955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07580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COMBUSTIBLE QUE UTILIZAN</a:t>
            </a:r>
          </a:p>
          <a:p>
            <a:pPr>
              <a:defRPr sz="1400"/>
            </a:pPr>
            <a:r>
              <a:rPr lang="en-US" sz="1200"/>
              <a:t>UNIDADES C2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RESPEUESTAS A COMBUSTIBLE QUE UTILIZAN LAS UNIDADES C2 (100%</a:t>
            </a:r>
            <a:r>
              <a:rPr lang="en-US" sz="800" baseline="0"/>
              <a:t> = 210)]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FEB'!$N$13</c:f>
              <c:strCache>
                <c:ptCount val="1"/>
                <c:pt idx="0">
                  <c:v>C2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FEB'!$O$12:$Q$12</c:f>
              <c:strCache>
                <c:ptCount val="3"/>
                <c:pt idx="0">
                  <c:v>DIESEL</c:v>
                </c:pt>
                <c:pt idx="1">
                  <c:v>GASOLINA</c:v>
                </c:pt>
                <c:pt idx="2">
                  <c:v>GAS</c:v>
                </c:pt>
              </c:strCache>
            </c:strRef>
          </c:cat>
          <c:val>
            <c:numRef>
              <c:f>'FORMULAS FEB'!$O$13:$Q$13</c:f>
              <c:numCache>
                <c:formatCode>0.0%</c:formatCode>
                <c:ptCount val="3"/>
                <c:pt idx="0">
                  <c:v>0.62857142857142856</c:v>
                </c:pt>
                <c:pt idx="1">
                  <c:v>0.33809523809523812</c:v>
                </c:pt>
                <c:pt idx="2">
                  <c:v>3.3333333333333333E-2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0772608"/>
        <c:axId val="200798976"/>
        <c:axId val="0"/>
      </c:bar3DChart>
      <c:catAx>
        <c:axId val="2007726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0798976"/>
        <c:crosses val="autoZero"/>
        <c:auto val="1"/>
        <c:lblAlgn val="ctr"/>
        <c:lblOffset val="100"/>
        <c:noMultiLvlLbl val="0"/>
      </c:catAx>
      <c:valAx>
        <c:axId val="20079897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077260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DIESEL). </a:t>
            </a:r>
          </a:p>
          <a:p>
            <a:pPr>
              <a:defRPr sz="1400"/>
            </a:pPr>
            <a:r>
              <a:rPr lang="en-US" sz="1200"/>
              <a:t>UNIDAD CARGADA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PARA RENDIMIENTO DE COMBUSTIBLE DIESEL UNIDAD</a:t>
            </a:r>
            <a:r>
              <a:rPr lang="en-US" sz="800" baseline="0"/>
              <a:t> CARGADA (100% = 900)]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FEB'!$X$3</c:f>
              <c:strCache>
                <c:ptCount val="1"/>
                <c:pt idx="0">
                  <c:v>RENDIMIENTO DE COMBUSTIBLE (SOLO DIESEL).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FEB'!$X$5:$X$12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FEB'!$Y$5:$Y$12</c:f>
              <c:numCache>
                <c:formatCode>0.0%</c:formatCode>
                <c:ptCount val="8"/>
                <c:pt idx="0">
                  <c:v>4.6666666666666669E-2</c:v>
                </c:pt>
                <c:pt idx="1">
                  <c:v>0.15</c:v>
                </c:pt>
                <c:pt idx="2">
                  <c:v>0.19444444444444445</c:v>
                </c:pt>
                <c:pt idx="3">
                  <c:v>0.17</c:v>
                </c:pt>
                <c:pt idx="4">
                  <c:v>0.20444444444444446</c:v>
                </c:pt>
                <c:pt idx="5">
                  <c:v>9.8888888888888887E-2</c:v>
                </c:pt>
                <c:pt idx="6">
                  <c:v>0.10666666666666667</c:v>
                </c:pt>
                <c:pt idx="7">
                  <c:v>2.8888888888888888E-2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0430720"/>
        <c:axId val="200432256"/>
        <c:axId val="0"/>
      </c:bar3DChart>
      <c:catAx>
        <c:axId val="2004307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0432256"/>
        <c:crosses val="autoZero"/>
        <c:auto val="1"/>
        <c:lblAlgn val="ctr"/>
        <c:lblOffset val="100"/>
        <c:noMultiLvlLbl val="0"/>
      </c:catAx>
      <c:valAx>
        <c:axId val="2004322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043072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DIESEL). </a:t>
            </a:r>
          </a:p>
          <a:p>
            <a:pPr>
              <a:defRPr sz="1400"/>
            </a:pPr>
            <a:r>
              <a:rPr lang="en-US" sz="1200"/>
              <a:t>UNIDAD DE VACÍO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RENDIMIENTO DE COMBUSTIBLE DIESEL UNIDAD DE</a:t>
            </a:r>
            <a:r>
              <a:rPr lang="en-US" sz="800" baseline="0"/>
              <a:t> VACÍO (100% = 900)]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FEB'!$X$18</c:f>
              <c:strCache>
                <c:ptCount val="1"/>
                <c:pt idx="0">
                  <c:v>RENDIMIENTO DE COMBUSTIBLE (SOLO DIESEL). UNIDAD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FEB'!$X$20:$X$27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FEB'!$Y$20:$Y$27</c:f>
              <c:numCache>
                <c:formatCode>0.0%</c:formatCode>
                <c:ptCount val="8"/>
                <c:pt idx="0">
                  <c:v>1.5555555555555555E-2</c:v>
                </c:pt>
                <c:pt idx="1">
                  <c:v>0.16444444444444445</c:v>
                </c:pt>
                <c:pt idx="2">
                  <c:v>0.13666666666666666</c:v>
                </c:pt>
                <c:pt idx="3">
                  <c:v>0.17888888888888888</c:v>
                </c:pt>
                <c:pt idx="4">
                  <c:v>0.18222222222222223</c:v>
                </c:pt>
                <c:pt idx="5">
                  <c:v>0.13666666666666666</c:v>
                </c:pt>
                <c:pt idx="6">
                  <c:v>0.11</c:v>
                </c:pt>
                <c:pt idx="7">
                  <c:v>7.5555555555555556E-2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0466432"/>
        <c:axId val="200467968"/>
        <c:axId val="0"/>
      </c:bar3DChart>
      <c:catAx>
        <c:axId val="2004664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0467968"/>
        <c:crosses val="autoZero"/>
        <c:auto val="1"/>
        <c:lblAlgn val="ctr"/>
        <c:lblOffset val="100"/>
        <c:noMultiLvlLbl val="0"/>
      </c:catAx>
      <c:valAx>
        <c:axId val="2004679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046643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CURSOS QUE PODRÍAN INTERESARLE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FORMULAS!$Z$25</c:f>
              <c:strCache>
                <c:ptCount val="1"/>
                <c:pt idx="0">
                  <c:v>CURSOS QUE LE PODRÍAN INTERESAR</c:v>
                </c:pt>
              </c:strCache>
            </c:strRef>
          </c:tx>
          <c:explosion val="25"/>
          <c:dPt>
            <c:idx val="5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FORMULAS!$Z$26:$Z$33</c:f>
              <c:strCache>
                <c:ptCount val="8"/>
                <c:pt idx="0">
                  <c:v>Manejo eficiente</c:v>
                </c:pt>
                <c:pt idx="1">
                  <c:v>Administrativos y/o contables</c:v>
                </c:pt>
                <c:pt idx="2">
                  <c:v>Legales Básicos</c:v>
                </c:pt>
                <c:pt idx="3">
                  <c:v>Fiscales</c:v>
                </c:pt>
                <c:pt idx="4">
                  <c:v>Mecánica</c:v>
                </c:pt>
                <c:pt idx="5">
                  <c:v>Financieros</c:v>
                </c:pt>
                <c:pt idx="6">
                  <c:v>No le interesan</c:v>
                </c:pt>
                <c:pt idx="7">
                  <c:v>Otros</c:v>
                </c:pt>
              </c:strCache>
            </c:strRef>
          </c:cat>
          <c:val>
            <c:numRef>
              <c:f>FORMULAS!$AA$26:$AA$33</c:f>
              <c:numCache>
                <c:formatCode>0.0%</c:formatCode>
                <c:ptCount val="8"/>
                <c:pt idx="0">
                  <c:v>0.17231947483588622</c:v>
                </c:pt>
                <c:pt idx="1">
                  <c:v>0.15536105032822758</c:v>
                </c:pt>
                <c:pt idx="2">
                  <c:v>0.15043763676148797</c:v>
                </c:pt>
                <c:pt idx="3">
                  <c:v>0.14934354485776805</c:v>
                </c:pt>
                <c:pt idx="4">
                  <c:v>0.17177242888402625</c:v>
                </c:pt>
                <c:pt idx="5">
                  <c:v>0.14442013129102846</c:v>
                </c:pt>
                <c:pt idx="6">
                  <c:v>4.7592997811816196E-2</c:v>
                </c:pt>
                <c:pt idx="7">
                  <c:v>8.7527352297592995E-3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COMPARACIÓN DE RENDIMIENTO DE COMBUSTIBLE (SOLO DIESEL). </a:t>
            </a:r>
          </a:p>
          <a:p>
            <a:pPr>
              <a:defRPr sz="1400"/>
            </a:pPr>
            <a:r>
              <a:rPr lang="es-MX" sz="1200"/>
              <a:t>UNIDAD CARGADA</a:t>
            </a:r>
          </a:p>
          <a:p>
            <a:pPr>
              <a:defRPr sz="1400"/>
            </a:pPr>
            <a:r>
              <a:rPr lang="es-MX" sz="1000"/>
              <a:t>ENCUESTAS A PROPIETARIOS Y A CONDUCTORES</a:t>
            </a:r>
          </a:p>
          <a:p>
            <a:pPr>
              <a:defRPr sz="1400"/>
            </a:pPr>
            <a:r>
              <a:rPr lang="es-MX" sz="800"/>
              <a:t>[PROPIETARIOS,</a:t>
            </a:r>
            <a:r>
              <a:rPr lang="es-MX" sz="800" baseline="0"/>
              <a:t> % SOBRE RESPUESTAS A RENDIMIENTO DE COMBUSTIBLE UNIDAD CARGADA (100% = 900)]</a:t>
            </a:r>
          </a:p>
          <a:p>
            <a:pPr>
              <a:defRPr sz="1400"/>
            </a:pPr>
            <a:r>
              <a:rPr lang="es-MX" sz="800" baseline="0"/>
              <a:t>[CONDUCTORES, % SOBRE RESPUESTAS A RENDIMIENTO DE COM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FEB'!$Y$32</c:f>
              <c:strCache>
                <c:ptCount val="1"/>
                <c:pt idx="0">
                  <c:v>PROPIETARIOS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FEB'!$X$33:$X$40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FEB'!$Y$33:$Y$40</c:f>
              <c:numCache>
                <c:formatCode>0.0%</c:formatCode>
                <c:ptCount val="8"/>
                <c:pt idx="0">
                  <c:v>4.6666666666666669E-2</c:v>
                </c:pt>
                <c:pt idx="1">
                  <c:v>0.15</c:v>
                </c:pt>
                <c:pt idx="2">
                  <c:v>0.19444444444444445</c:v>
                </c:pt>
                <c:pt idx="3">
                  <c:v>0.17</c:v>
                </c:pt>
                <c:pt idx="4">
                  <c:v>0.20444444444444446</c:v>
                </c:pt>
                <c:pt idx="5">
                  <c:v>9.8888888888888887E-2</c:v>
                </c:pt>
                <c:pt idx="6">
                  <c:v>0.10666666666666667</c:v>
                </c:pt>
                <c:pt idx="7">
                  <c:v>2.8888888888888888E-2</c:v>
                </c:pt>
              </c:numCache>
            </c:numRef>
          </c:val>
        </c:ser>
        <c:ser>
          <c:idx val="1"/>
          <c:order val="1"/>
          <c:tx>
            <c:strRef>
              <c:f>'FORMULAS FEB'!$Z$32</c:f>
              <c:strCache>
                <c:ptCount val="1"/>
                <c:pt idx="0">
                  <c:v>CONDUCTORES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FEB'!$X$33:$X$40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FEB'!$Z$33:$Z$40</c:f>
              <c:numCache>
                <c:formatCode>0.0%</c:formatCode>
                <c:ptCount val="8"/>
                <c:pt idx="0">
                  <c:v>7.4941451990632318E-2</c:v>
                </c:pt>
                <c:pt idx="1">
                  <c:v>0.13348946135831383</c:v>
                </c:pt>
                <c:pt idx="2">
                  <c:v>9.3676814988290405E-2</c:v>
                </c:pt>
                <c:pt idx="3">
                  <c:v>7.2599531615925056E-2</c:v>
                </c:pt>
                <c:pt idx="4">
                  <c:v>0.37704918032786883</c:v>
                </c:pt>
                <c:pt idx="5">
                  <c:v>0.15690866510538642</c:v>
                </c:pt>
                <c:pt idx="6">
                  <c:v>7.9625292740046844E-2</c:v>
                </c:pt>
                <c:pt idx="7">
                  <c:v>1.1709601873536301E-2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0511488"/>
        <c:axId val="200513024"/>
        <c:axId val="0"/>
      </c:bar3DChart>
      <c:catAx>
        <c:axId val="2005114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0513024"/>
        <c:crosses val="autoZero"/>
        <c:auto val="1"/>
        <c:lblAlgn val="ctr"/>
        <c:lblOffset val="100"/>
        <c:noMultiLvlLbl val="0"/>
      </c:catAx>
      <c:valAx>
        <c:axId val="20051302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051148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COMPARACIÓN DE RENDIMIENTO DE COMBUSTIBLE (SOLO DIESEL).</a:t>
            </a:r>
          </a:p>
          <a:p>
            <a:pPr>
              <a:defRPr sz="1400"/>
            </a:pPr>
            <a:r>
              <a:rPr lang="es-MX" sz="1200"/>
              <a:t>UNIDAD DE VACÍO</a:t>
            </a:r>
          </a:p>
          <a:p>
            <a:pPr>
              <a:defRPr sz="1400"/>
            </a:pPr>
            <a:r>
              <a:rPr lang="es-MX" sz="1000"/>
              <a:t>ENCUESTAS A PROPIETARIOS Y A CONDUCTORES</a:t>
            </a:r>
          </a:p>
          <a:p>
            <a:pPr>
              <a:defRPr sz="1400"/>
            </a:pPr>
            <a:r>
              <a:rPr lang="es-MX" sz="800"/>
              <a:t>[PROPIETARIOS, % SOBRE EL TOTAL DE RESPUESTAS A RENDIMIENTO DE COMBUSTIBLE UNIDAD DE VACÍO (100% = 900)]</a:t>
            </a:r>
          </a:p>
          <a:p>
            <a:pPr>
              <a:defRPr sz="1400"/>
            </a:pPr>
            <a:r>
              <a:rPr lang="es-MX" sz="800"/>
              <a:t>[CONDUCTORES,</a:t>
            </a:r>
            <a:r>
              <a:rPr lang="es-MX" sz="800" baseline="0"/>
              <a:t> % SOBRE EL TOTAL DE ESPUES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FEB'!$Y$48</c:f>
              <c:strCache>
                <c:ptCount val="1"/>
                <c:pt idx="0">
                  <c:v>PROPIETARIOS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FEB'!$X$49:$X$56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FEB'!$Y$49:$Y$56</c:f>
              <c:numCache>
                <c:formatCode>0.0%</c:formatCode>
                <c:ptCount val="8"/>
                <c:pt idx="0">
                  <c:v>1.5555555555555555E-2</c:v>
                </c:pt>
                <c:pt idx="1">
                  <c:v>0.16444444444444445</c:v>
                </c:pt>
                <c:pt idx="2">
                  <c:v>0.13666666666666666</c:v>
                </c:pt>
                <c:pt idx="3">
                  <c:v>0.17888888888888888</c:v>
                </c:pt>
                <c:pt idx="4">
                  <c:v>0.18222222222222223</c:v>
                </c:pt>
                <c:pt idx="5">
                  <c:v>0.13666666666666666</c:v>
                </c:pt>
                <c:pt idx="6">
                  <c:v>0.11</c:v>
                </c:pt>
                <c:pt idx="7">
                  <c:v>7.5555555555555556E-2</c:v>
                </c:pt>
              </c:numCache>
            </c:numRef>
          </c:val>
        </c:ser>
        <c:ser>
          <c:idx val="1"/>
          <c:order val="1"/>
          <c:tx>
            <c:strRef>
              <c:f>'FORMULAS FEB'!$Z$48</c:f>
              <c:strCache>
                <c:ptCount val="1"/>
                <c:pt idx="0">
                  <c:v>CONDUCTORES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FEB'!$X$49:$X$56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FEB'!$Z$49:$Z$56</c:f>
              <c:numCache>
                <c:formatCode>0.0%</c:formatCode>
                <c:ptCount val="8"/>
                <c:pt idx="0">
                  <c:v>4.9180327868852458E-2</c:v>
                </c:pt>
                <c:pt idx="1">
                  <c:v>0.14519906323185011</c:v>
                </c:pt>
                <c:pt idx="2">
                  <c:v>4.6838407494145202E-2</c:v>
                </c:pt>
                <c:pt idx="3">
                  <c:v>0.10070257611241218</c:v>
                </c:pt>
                <c:pt idx="4">
                  <c:v>0.31615925058548011</c:v>
                </c:pt>
                <c:pt idx="5">
                  <c:v>0.19437939110070257</c:v>
                </c:pt>
                <c:pt idx="6">
                  <c:v>0.12177985948477751</c:v>
                </c:pt>
                <c:pt idx="7">
                  <c:v>2.576112412177986E-2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0548352"/>
        <c:axId val="200549888"/>
        <c:axId val="0"/>
      </c:bar3DChart>
      <c:catAx>
        <c:axId val="2005483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0549888"/>
        <c:crosses val="autoZero"/>
        <c:auto val="1"/>
        <c:lblAlgn val="ctr"/>
        <c:lblOffset val="100"/>
        <c:noMultiLvlLbl val="0"/>
      </c:catAx>
      <c:valAx>
        <c:axId val="20054988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05483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RENDIMIENTO DE COMBUSTIBLE (SOLO DIESEL) POR TIPO DE UNIDAD MOTRIZ. </a:t>
            </a:r>
          </a:p>
          <a:p>
            <a:pPr>
              <a:defRPr sz="1400"/>
            </a:pPr>
            <a:r>
              <a:rPr lang="es-MX" sz="1200"/>
              <a:t>UNIDAD CARGADA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[% SOBRE EL TOTAL DE RESPUESTAS A RENDIMIENTO DE COMBUSTIBLE DIESEL UNIDAD CARGADA (100% = 900)]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FEB'!$Y$62</c:f>
              <c:strCache>
                <c:ptCount val="1"/>
                <c:pt idx="0">
                  <c:v>C2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FEB'!$X$63:$X$70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FEB'!$Y$63:$Y$70</c:f>
              <c:numCache>
                <c:formatCode>0.0%</c:formatCode>
                <c:ptCount val="8"/>
                <c:pt idx="0">
                  <c:v>6.6666666666666671E-3</c:v>
                </c:pt>
                <c:pt idx="1">
                  <c:v>2.2222222222222223E-2</c:v>
                </c:pt>
                <c:pt idx="2">
                  <c:v>2.5555555555555557E-2</c:v>
                </c:pt>
                <c:pt idx="3">
                  <c:v>2.2222222222222222E-3</c:v>
                </c:pt>
                <c:pt idx="4">
                  <c:v>1.1111111111111112E-2</c:v>
                </c:pt>
                <c:pt idx="5">
                  <c:v>1.8888888888888889E-2</c:v>
                </c:pt>
                <c:pt idx="6">
                  <c:v>3.888888888888889E-2</c:v>
                </c:pt>
                <c:pt idx="7">
                  <c:v>2.1111111111111112E-2</c:v>
                </c:pt>
              </c:numCache>
            </c:numRef>
          </c:val>
        </c:ser>
        <c:ser>
          <c:idx val="1"/>
          <c:order val="1"/>
          <c:tx>
            <c:strRef>
              <c:f>'FORMULAS FEB'!$Z$62</c:f>
              <c:strCache>
                <c:ptCount val="1"/>
                <c:pt idx="0">
                  <c:v>C3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FEB'!$X$63:$X$70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FEB'!$Z$63:$Z$70</c:f>
              <c:numCache>
                <c:formatCode>0.0%</c:formatCode>
                <c:ptCount val="8"/>
                <c:pt idx="0">
                  <c:v>1.5555555555555555E-2</c:v>
                </c:pt>
                <c:pt idx="1">
                  <c:v>0.02</c:v>
                </c:pt>
                <c:pt idx="2">
                  <c:v>3.3333333333333333E-2</c:v>
                </c:pt>
                <c:pt idx="3">
                  <c:v>1.3333333333333334E-2</c:v>
                </c:pt>
                <c:pt idx="4">
                  <c:v>2.5555555555555557E-2</c:v>
                </c:pt>
                <c:pt idx="5">
                  <c:v>3.2222222222222222E-2</c:v>
                </c:pt>
                <c:pt idx="6">
                  <c:v>6.7777777777777784E-2</c:v>
                </c:pt>
                <c:pt idx="7">
                  <c:v>7.7777777777777776E-3</c:v>
                </c:pt>
              </c:numCache>
            </c:numRef>
          </c:val>
        </c:ser>
        <c:ser>
          <c:idx val="2"/>
          <c:order val="2"/>
          <c:tx>
            <c:strRef>
              <c:f>'FORMULAS FEB'!$AA$62</c:f>
              <c:strCache>
                <c:ptCount val="1"/>
                <c:pt idx="0">
                  <c:v>T2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FEB'!$X$63:$X$70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FEB'!$AA$63:$AA$70</c:f>
              <c:numCache>
                <c:formatCode>0.0%</c:formatCode>
                <c:ptCount val="8"/>
                <c:pt idx="0">
                  <c:v>0</c:v>
                </c:pt>
                <c:pt idx="1">
                  <c:v>3.3333333333333335E-3</c:v>
                </c:pt>
                <c:pt idx="2">
                  <c:v>1.7777777777777778E-2</c:v>
                </c:pt>
                <c:pt idx="3">
                  <c:v>1.1111111111111112E-2</c:v>
                </c:pt>
                <c:pt idx="4">
                  <c:v>6.6666666666666671E-3</c:v>
                </c:pt>
                <c:pt idx="5">
                  <c:v>8.8888888888888889E-3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'FORMULAS FEB'!$AB$62</c:f>
              <c:strCache>
                <c:ptCount val="1"/>
                <c:pt idx="0">
                  <c:v>T3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FEB'!$X$63:$X$70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FEB'!$AB$63:$AB$70</c:f>
              <c:numCache>
                <c:formatCode>0.0%</c:formatCode>
                <c:ptCount val="8"/>
                <c:pt idx="0">
                  <c:v>2.4444444444444446E-2</c:v>
                </c:pt>
                <c:pt idx="1">
                  <c:v>0.10444444444444445</c:v>
                </c:pt>
                <c:pt idx="2">
                  <c:v>0.11777777777777777</c:v>
                </c:pt>
                <c:pt idx="3">
                  <c:v>0.14333333333333334</c:v>
                </c:pt>
                <c:pt idx="4">
                  <c:v>0.16111111111111112</c:v>
                </c:pt>
                <c:pt idx="5">
                  <c:v>3.888888888888889E-2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1140480"/>
        <c:axId val="201158656"/>
        <c:axId val="0"/>
      </c:bar3DChart>
      <c:catAx>
        <c:axId val="2011404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158656"/>
        <c:crosses val="autoZero"/>
        <c:auto val="1"/>
        <c:lblAlgn val="ctr"/>
        <c:lblOffset val="100"/>
        <c:noMultiLvlLbl val="0"/>
      </c:catAx>
      <c:valAx>
        <c:axId val="20115865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140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RENDIMIENTO DE COMBUSTIBLE (SOLO DIESEL)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/>
              </a:rPr>
              <a:t>UNIDAD CARGADA</a:t>
            </a:r>
            <a:endParaRPr lang="es-MX" sz="14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 </a:t>
            </a:r>
            <a:r>
              <a:rPr lang="en-US" sz="1200"/>
              <a:t>UNIDADES C2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ENCUESTA A PROPIETARIOS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800"/>
              <a:t>[% SOBRE EL TOTAL DE RESPUESTAS</a:t>
            </a:r>
            <a:r>
              <a:rPr lang="en-US" sz="800" baseline="0"/>
              <a:t> A RENDIMIENTO DE COMBUSTIBLE UNIDAD C2 CARGADA</a:t>
            </a:r>
            <a:r>
              <a:rPr lang="en-US" sz="800"/>
              <a:t> (100%</a:t>
            </a:r>
            <a:r>
              <a:rPr lang="en-US" sz="800" baseline="0"/>
              <a:t> = 132)]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FEB'!$X$75</c:f>
              <c:strCache>
                <c:ptCount val="1"/>
                <c:pt idx="0">
                  <c:v>RENDIMIENTO DE COMBUSTIBLE (SOLO DIESEL) UNIDADES C2.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FEB'!$X$77:$X$84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FEB'!$Y$77:$Y$84</c:f>
              <c:numCache>
                <c:formatCode>0.0%</c:formatCode>
                <c:ptCount val="8"/>
                <c:pt idx="0">
                  <c:v>4.5454545454545456E-2</c:v>
                </c:pt>
                <c:pt idx="1">
                  <c:v>0.15151515151515152</c:v>
                </c:pt>
                <c:pt idx="2">
                  <c:v>0.17424242424242425</c:v>
                </c:pt>
                <c:pt idx="3">
                  <c:v>1.5151515151515152E-2</c:v>
                </c:pt>
                <c:pt idx="4">
                  <c:v>7.575757575757576E-2</c:v>
                </c:pt>
                <c:pt idx="5">
                  <c:v>0.12878787878787878</c:v>
                </c:pt>
                <c:pt idx="6">
                  <c:v>0.26515151515151514</c:v>
                </c:pt>
                <c:pt idx="7">
                  <c:v>0.14393939393939395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1188864"/>
        <c:axId val="201190400"/>
        <c:axId val="0"/>
      </c:bar3DChart>
      <c:catAx>
        <c:axId val="2011888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190400"/>
        <c:crosses val="autoZero"/>
        <c:auto val="1"/>
        <c:lblAlgn val="ctr"/>
        <c:lblOffset val="100"/>
        <c:noMultiLvlLbl val="0"/>
      </c:catAx>
      <c:valAx>
        <c:axId val="2011904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18886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400"/>
              <a:t>UNIDADES C3 </a:t>
            </a:r>
          </a:p>
          <a:p>
            <a:pPr>
              <a:defRPr sz="1400"/>
            </a:pPr>
            <a:r>
              <a:rPr lang="en-US" sz="1200"/>
              <a:t>UNIDAD CARGADA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RENDIMIENTO DE COMBUSTIBLE UNIDAD C3 CARGADA (100% = 194)]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FEB'!$X$87</c:f>
              <c:strCache>
                <c:ptCount val="1"/>
                <c:pt idx="0">
                  <c:v>RENDIMIENTO DE COMBUSTIBLE (SOLO DIESEL) UNIDADES C3.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FEB'!$X$89:$X$96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FEB'!$Y$89:$Y$96</c:f>
              <c:numCache>
                <c:formatCode>0.0%</c:formatCode>
                <c:ptCount val="8"/>
                <c:pt idx="0">
                  <c:v>7.2164948453608241E-2</c:v>
                </c:pt>
                <c:pt idx="1">
                  <c:v>9.2783505154639179E-2</c:v>
                </c:pt>
                <c:pt idx="2">
                  <c:v>0.15463917525773196</c:v>
                </c:pt>
                <c:pt idx="3">
                  <c:v>6.1855670103092786E-2</c:v>
                </c:pt>
                <c:pt idx="4">
                  <c:v>0.11855670103092783</c:v>
                </c:pt>
                <c:pt idx="5">
                  <c:v>0.14948453608247422</c:v>
                </c:pt>
                <c:pt idx="6">
                  <c:v>0.31443298969072164</c:v>
                </c:pt>
                <c:pt idx="7">
                  <c:v>3.608247422680412E-2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1228288"/>
        <c:axId val="201229824"/>
        <c:axId val="0"/>
      </c:bar3DChart>
      <c:catAx>
        <c:axId val="2012282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229824"/>
        <c:crosses val="autoZero"/>
        <c:auto val="1"/>
        <c:lblAlgn val="ctr"/>
        <c:lblOffset val="100"/>
        <c:noMultiLvlLbl val="0"/>
      </c:catAx>
      <c:valAx>
        <c:axId val="2012298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22828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400"/>
              <a:t>UNIDADES T2</a:t>
            </a:r>
          </a:p>
          <a:p>
            <a:pPr>
              <a:defRPr sz="1400"/>
            </a:pPr>
            <a:r>
              <a:rPr lang="en-US" sz="1200"/>
              <a:t>UNIDAD CARGADA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PARA RENDIMIENTO DE COMBUSTIBLE UNIDAD T2 CARGADA (100% = 43)]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FEB'!$X$99</c:f>
              <c:strCache>
                <c:ptCount val="1"/>
                <c:pt idx="0">
                  <c:v>RENDIMIENTO DE COMBUSTIBLE (SOLO DIESEL) UNIDADES T2.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FEB'!$X$101:$X$108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FEB'!$Y$101:$Y$108</c:f>
              <c:numCache>
                <c:formatCode>0.0%</c:formatCode>
                <c:ptCount val="8"/>
                <c:pt idx="0">
                  <c:v>0</c:v>
                </c:pt>
                <c:pt idx="1">
                  <c:v>6.9767441860465115E-2</c:v>
                </c:pt>
                <c:pt idx="2">
                  <c:v>0.37209302325581395</c:v>
                </c:pt>
                <c:pt idx="3">
                  <c:v>0.23255813953488372</c:v>
                </c:pt>
                <c:pt idx="4">
                  <c:v>0.13953488372093023</c:v>
                </c:pt>
                <c:pt idx="5">
                  <c:v>0.18604651162790697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1263744"/>
        <c:axId val="201265536"/>
        <c:axId val="0"/>
      </c:bar3DChart>
      <c:catAx>
        <c:axId val="2012637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265536"/>
        <c:crosses val="autoZero"/>
        <c:auto val="1"/>
        <c:lblAlgn val="ctr"/>
        <c:lblOffset val="100"/>
        <c:noMultiLvlLbl val="0"/>
      </c:catAx>
      <c:valAx>
        <c:axId val="20126553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26374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400"/>
              <a:t>UNIDADES T3</a:t>
            </a:r>
          </a:p>
          <a:p>
            <a:pPr>
              <a:defRPr sz="1400"/>
            </a:pPr>
            <a:r>
              <a:rPr lang="en-US" sz="1200"/>
              <a:t>UNIDAD CARGADA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RENDIMIENTO DE COMBUSTIBLE UNIDAD T3 CARGADA</a:t>
            </a:r>
            <a:r>
              <a:rPr lang="en-US" sz="800" baseline="0"/>
              <a:t> (100% = 531)]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FEB'!$X$111</c:f>
              <c:strCache>
                <c:ptCount val="1"/>
                <c:pt idx="0">
                  <c:v>RENDIMIENTO DE COMBUSTIBLE (SOLO DIESEL) UNIDADES T3.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FEB'!$X$113:$X$120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FEB'!$Y$113:$Y$120</c:f>
              <c:numCache>
                <c:formatCode>0.0%</c:formatCode>
                <c:ptCount val="8"/>
                <c:pt idx="0">
                  <c:v>4.1431261770244823E-2</c:v>
                </c:pt>
                <c:pt idx="1">
                  <c:v>0.17702448210922786</c:v>
                </c:pt>
                <c:pt idx="2">
                  <c:v>0.19962335216572505</c:v>
                </c:pt>
                <c:pt idx="3">
                  <c:v>0.24293785310734464</c:v>
                </c:pt>
                <c:pt idx="4">
                  <c:v>0.27306967984934089</c:v>
                </c:pt>
                <c:pt idx="5">
                  <c:v>6.5913370998116755E-2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1300224"/>
        <c:axId val="201306112"/>
        <c:axId val="0"/>
      </c:bar3DChart>
      <c:catAx>
        <c:axId val="2013002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306112"/>
        <c:crosses val="autoZero"/>
        <c:auto val="1"/>
        <c:lblAlgn val="ctr"/>
        <c:lblOffset val="100"/>
        <c:noMultiLvlLbl val="0"/>
      </c:catAx>
      <c:valAx>
        <c:axId val="201306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30022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RENDIMIENTO DE COMBUSTIBLE (SOLO DIESEL) POR TIPO DE UNIDAD MOTRIZ. </a:t>
            </a:r>
          </a:p>
          <a:p>
            <a:pPr>
              <a:defRPr sz="1400"/>
            </a:pPr>
            <a:r>
              <a:rPr lang="es-MX" sz="1200"/>
              <a:t>UNIDAD DE VACÍO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[% SOBRE EL TOTAL DE RESPUESTAS A RENDIMIENTO DE COMBUSTIBLE DIESEL UNIDAD DE VACÍO (100% = 900)]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FEB'!$Y$125</c:f>
              <c:strCache>
                <c:ptCount val="1"/>
                <c:pt idx="0">
                  <c:v>C2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FEB'!$X$126:$X$133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FEB'!$Y$126:$Y$133</c:f>
              <c:numCache>
                <c:formatCode>0.0%</c:formatCode>
                <c:ptCount val="8"/>
                <c:pt idx="0">
                  <c:v>2.2222222222222222E-3</c:v>
                </c:pt>
                <c:pt idx="1">
                  <c:v>1.2222222222222223E-2</c:v>
                </c:pt>
                <c:pt idx="2">
                  <c:v>1.2222222222222223E-2</c:v>
                </c:pt>
                <c:pt idx="3">
                  <c:v>3.3333333333333333E-2</c:v>
                </c:pt>
                <c:pt idx="4">
                  <c:v>6.6666666666666671E-3</c:v>
                </c:pt>
                <c:pt idx="5">
                  <c:v>1.4444444444444444E-2</c:v>
                </c:pt>
                <c:pt idx="6">
                  <c:v>1.1111111111111112E-2</c:v>
                </c:pt>
                <c:pt idx="7">
                  <c:v>5.4444444444444441E-2</c:v>
                </c:pt>
              </c:numCache>
            </c:numRef>
          </c:val>
        </c:ser>
        <c:ser>
          <c:idx val="1"/>
          <c:order val="1"/>
          <c:tx>
            <c:strRef>
              <c:f>'FORMULAS FEB'!$Z$125</c:f>
              <c:strCache>
                <c:ptCount val="1"/>
                <c:pt idx="0">
                  <c:v>C3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FEB'!$X$126:$X$133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FEB'!$Z$126:$Z$133</c:f>
              <c:numCache>
                <c:formatCode>0.0%</c:formatCode>
                <c:ptCount val="8"/>
                <c:pt idx="0">
                  <c:v>1.1111111111111111E-3</c:v>
                </c:pt>
                <c:pt idx="1">
                  <c:v>2.2222222222222223E-2</c:v>
                </c:pt>
                <c:pt idx="2">
                  <c:v>1.4444444444444444E-2</c:v>
                </c:pt>
                <c:pt idx="3">
                  <c:v>4.3333333333333335E-2</c:v>
                </c:pt>
                <c:pt idx="4">
                  <c:v>1.5555555555555555E-2</c:v>
                </c:pt>
                <c:pt idx="5">
                  <c:v>1.6666666666666666E-2</c:v>
                </c:pt>
                <c:pt idx="6">
                  <c:v>8.3333333333333329E-2</c:v>
                </c:pt>
                <c:pt idx="7">
                  <c:v>1.8888888888888889E-2</c:v>
                </c:pt>
              </c:numCache>
            </c:numRef>
          </c:val>
        </c:ser>
        <c:ser>
          <c:idx val="2"/>
          <c:order val="2"/>
          <c:tx>
            <c:strRef>
              <c:f>'FORMULAS FEB'!$AA$125</c:f>
              <c:strCache>
                <c:ptCount val="1"/>
                <c:pt idx="0">
                  <c:v>T2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FEB'!$X$126:$X$133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FEB'!$AA$126:$AA$133</c:f>
              <c:numCache>
                <c:formatCode>0.0%</c:formatCode>
                <c:ptCount val="8"/>
                <c:pt idx="0">
                  <c:v>0</c:v>
                </c:pt>
                <c:pt idx="1">
                  <c:v>1.1111111111111112E-2</c:v>
                </c:pt>
                <c:pt idx="2">
                  <c:v>5.5555555555555558E-3</c:v>
                </c:pt>
                <c:pt idx="3">
                  <c:v>1.1111111111111111E-3</c:v>
                </c:pt>
                <c:pt idx="4">
                  <c:v>3.3333333333333335E-3</c:v>
                </c:pt>
                <c:pt idx="5">
                  <c:v>2.4444444444444446E-2</c:v>
                </c:pt>
                <c:pt idx="6">
                  <c:v>2.2222222222222222E-3</c:v>
                </c:pt>
                <c:pt idx="7">
                  <c:v>0</c:v>
                </c:pt>
              </c:numCache>
            </c:numRef>
          </c:val>
        </c:ser>
        <c:ser>
          <c:idx val="3"/>
          <c:order val="3"/>
          <c:tx>
            <c:strRef>
              <c:f>'FORMULAS FEB'!$AB$125</c:f>
              <c:strCache>
                <c:ptCount val="1"/>
                <c:pt idx="0">
                  <c:v>T3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FEB'!$X$126:$X$133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FEB'!$AB$126:$AB$133</c:f>
              <c:numCache>
                <c:formatCode>0.0%</c:formatCode>
                <c:ptCount val="8"/>
                <c:pt idx="0">
                  <c:v>1.2222222222222223E-2</c:v>
                </c:pt>
                <c:pt idx="1">
                  <c:v>0.11888888888888889</c:v>
                </c:pt>
                <c:pt idx="2">
                  <c:v>0.10444444444444445</c:v>
                </c:pt>
                <c:pt idx="3">
                  <c:v>0.10111111111111111</c:v>
                </c:pt>
                <c:pt idx="4">
                  <c:v>0.15666666666666668</c:v>
                </c:pt>
                <c:pt idx="5">
                  <c:v>8.1111111111111106E-2</c:v>
                </c:pt>
                <c:pt idx="6">
                  <c:v>1.3333333333333334E-2</c:v>
                </c:pt>
                <c:pt idx="7">
                  <c:v>2.2222222222222222E-3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1388416"/>
        <c:axId val="201389952"/>
        <c:axId val="0"/>
      </c:bar3DChart>
      <c:catAx>
        <c:axId val="2013884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389952"/>
        <c:crosses val="autoZero"/>
        <c:auto val="1"/>
        <c:lblAlgn val="ctr"/>
        <c:lblOffset val="100"/>
        <c:noMultiLvlLbl val="0"/>
      </c:catAx>
      <c:valAx>
        <c:axId val="20138995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3884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400"/>
              <a:t>UNIDADES C2 </a:t>
            </a:r>
          </a:p>
          <a:p>
            <a:pPr>
              <a:defRPr sz="1400"/>
            </a:pPr>
            <a:r>
              <a:rPr lang="en-US" sz="1200"/>
              <a:t>UNIDAD DE VACÍO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</a:t>
            </a:r>
            <a:r>
              <a:rPr lang="en-US" sz="800" baseline="0"/>
              <a:t> A RENDIMIENTO DE COMBUSTIBLE UNIDAD C2 DE VACÍO (100% = 132)]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FEB'!$X$136</c:f>
              <c:strCache>
                <c:ptCount val="1"/>
                <c:pt idx="0">
                  <c:v>RENDIMIENTO DE COMBUSTIBLE (SOLO DIESEL) UNIDADES C2 UNIDAD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FEB'!$X$138:$X$145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FEB'!$Y$138:$Y$145</c:f>
              <c:numCache>
                <c:formatCode>0.0%</c:formatCode>
                <c:ptCount val="8"/>
                <c:pt idx="0">
                  <c:v>1.5151515151515152E-2</c:v>
                </c:pt>
                <c:pt idx="1">
                  <c:v>8.3333333333333329E-2</c:v>
                </c:pt>
                <c:pt idx="2">
                  <c:v>8.3333333333333329E-2</c:v>
                </c:pt>
                <c:pt idx="3">
                  <c:v>0.22727272727272727</c:v>
                </c:pt>
                <c:pt idx="4">
                  <c:v>4.5454545454545456E-2</c:v>
                </c:pt>
                <c:pt idx="5">
                  <c:v>9.8484848484848481E-2</c:v>
                </c:pt>
                <c:pt idx="6">
                  <c:v>7.575757575757576E-2</c:v>
                </c:pt>
                <c:pt idx="7">
                  <c:v>0.37121212121212122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1411584"/>
        <c:axId val="201425664"/>
        <c:axId val="0"/>
      </c:bar3DChart>
      <c:catAx>
        <c:axId val="2014115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425664"/>
        <c:crosses val="autoZero"/>
        <c:auto val="1"/>
        <c:lblAlgn val="ctr"/>
        <c:lblOffset val="100"/>
        <c:noMultiLvlLbl val="0"/>
      </c:catAx>
      <c:valAx>
        <c:axId val="2014256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41158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400"/>
              <a:t>UNIDADES C3 </a:t>
            </a:r>
          </a:p>
          <a:p>
            <a:pPr>
              <a:defRPr sz="1400"/>
            </a:pPr>
            <a:r>
              <a:rPr lang="en-US" sz="1200"/>
              <a:t>UNIDAD DE VACÍO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RENDIMIENTO DE COMBUSTIBLE UNIDAD C3  DE VACÍO (100%</a:t>
            </a:r>
            <a:r>
              <a:rPr lang="en-US" sz="800" baseline="0"/>
              <a:t> = 194)]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FEB'!$X$148</c:f>
              <c:strCache>
                <c:ptCount val="1"/>
                <c:pt idx="0">
                  <c:v>RENDIMIENTO DE COMBUSTIBLE (SOLO DIESEL) UNIDADES C3 UNIDAD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FEB'!$X$150:$X$157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FEB'!$Y$150:$Y$157</c:f>
              <c:numCache>
                <c:formatCode>0.0%</c:formatCode>
                <c:ptCount val="8"/>
                <c:pt idx="0">
                  <c:v>5.1546391752577319E-3</c:v>
                </c:pt>
                <c:pt idx="1">
                  <c:v>0.10309278350515463</c:v>
                </c:pt>
                <c:pt idx="2">
                  <c:v>6.7010309278350513E-2</c:v>
                </c:pt>
                <c:pt idx="3">
                  <c:v>0.20103092783505155</c:v>
                </c:pt>
                <c:pt idx="4">
                  <c:v>7.2164948453608241E-2</c:v>
                </c:pt>
                <c:pt idx="5">
                  <c:v>7.7319587628865982E-2</c:v>
                </c:pt>
                <c:pt idx="6">
                  <c:v>0.38659793814432991</c:v>
                </c:pt>
                <c:pt idx="7">
                  <c:v>8.7628865979381437E-2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1446912"/>
        <c:axId val="201448448"/>
        <c:axId val="0"/>
      </c:bar3DChart>
      <c:catAx>
        <c:axId val="2014469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448448"/>
        <c:crosses val="autoZero"/>
        <c:auto val="1"/>
        <c:lblAlgn val="ctr"/>
        <c:lblOffset val="100"/>
        <c:noMultiLvlLbl val="0"/>
      </c:catAx>
      <c:valAx>
        <c:axId val="2014484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44691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CONOCE EL PROGRAMA DE TRANSPORTE LIMPIO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FORMULAS!$Z$36</c:f>
              <c:strCache>
                <c:ptCount val="1"/>
                <c:pt idx="0">
                  <c:v>CONOCE EL PROGRAMA DE TRANSPORTE LIMPIO</c:v>
                </c:pt>
              </c:strCache>
            </c:strRef>
          </c:tx>
          <c:dLbls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FORMULAS!$Z$37:$Z$38</c:f>
              <c:strCache>
                <c:ptCount val="2"/>
                <c:pt idx="0">
                  <c:v>No</c:v>
                </c:pt>
                <c:pt idx="1">
                  <c:v>Sí</c:v>
                </c:pt>
              </c:strCache>
            </c:strRef>
          </c:cat>
          <c:val>
            <c:numRef>
              <c:f>FORMULAS!$AA$37:$AA$38</c:f>
              <c:numCache>
                <c:formatCode>0.0%</c:formatCode>
                <c:ptCount val="2"/>
                <c:pt idx="0">
                  <c:v>0.85158150851581504</c:v>
                </c:pt>
                <c:pt idx="1">
                  <c:v>0.14841849148418493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400"/>
              <a:t>UNIDADES T2 </a:t>
            </a:r>
          </a:p>
          <a:p>
            <a:pPr>
              <a:defRPr sz="1400"/>
            </a:pPr>
            <a:r>
              <a:rPr lang="en-US" sz="1200"/>
              <a:t>UNIDAD DE VACÍO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RENDIMIENTO DE COMBUSTIBLE UNIDAD T2 DE VACÍO (100% = 43)]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FEB'!$X$160</c:f>
              <c:strCache>
                <c:ptCount val="1"/>
                <c:pt idx="0">
                  <c:v>RENDIMIENTO DE COMBUSTIBLE (SOLO DIESEL) UNIDADES T2 UNIDAD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FEB'!$X$162:$X$169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FEB'!$Y$162:$Y$169</c:f>
              <c:numCache>
                <c:formatCode>0.0%</c:formatCode>
                <c:ptCount val="8"/>
                <c:pt idx="0">
                  <c:v>0</c:v>
                </c:pt>
                <c:pt idx="1">
                  <c:v>0.23255813953488372</c:v>
                </c:pt>
                <c:pt idx="2">
                  <c:v>0.11627906976744186</c:v>
                </c:pt>
                <c:pt idx="3">
                  <c:v>2.3255813953488372E-2</c:v>
                </c:pt>
                <c:pt idx="4">
                  <c:v>6.9767441860465115E-2</c:v>
                </c:pt>
                <c:pt idx="5">
                  <c:v>0.51162790697674421</c:v>
                </c:pt>
                <c:pt idx="6">
                  <c:v>4.6511627906976744E-2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1538944"/>
        <c:axId val="201569408"/>
        <c:axId val="0"/>
      </c:bar3DChart>
      <c:catAx>
        <c:axId val="2015389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569408"/>
        <c:crosses val="autoZero"/>
        <c:auto val="1"/>
        <c:lblAlgn val="ctr"/>
        <c:lblOffset val="100"/>
        <c:noMultiLvlLbl val="0"/>
      </c:catAx>
      <c:valAx>
        <c:axId val="2015694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53894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400"/>
              <a:t>UNIDADES T3 </a:t>
            </a:r>
          </a:p>
          <a:p>
            <a:pPr>
              <a:defRPr sz="1400"/>
            </a:pPr>
            <a:r>
              <a:rPr lang="en-US" sz="1200"/>
              <a:t>UNIDAD DE VACÍO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RENDIMIENTO DE COMBUSTIBLE UNIDAD T3 DE VACÍO (100% = 531)]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FEB'!$X$172</c:f>
              <c:strCache>
                <c:ptCount val="1"/>
                <c:pt idx="0">
                  <c:v>RENDIMIENTO DE COMBUSTIBLE (SOLO DIESEL) UNIDADES T3 UNIDAD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FEB'!$X$174:$X$181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FEB'!$Y$174:$Y$181</c:f>
              <c:numCache>
                <c:formatCode>0.0%</c:formatCode>
                <c:ptCount val="8"/>
                <c:pt idx="0">
                  <c:v>2.0715630885122412E-2</c:v>
                </c:pt>
                <c:pt idx="1">
                  <c:v>0.20150659133709981</c:v>
                </c:pt>
                <c:pt idx="2">
                  <c:v>0.17702448210922786</c:v>
                </c:pt>
                <c:pt idx="3">
                  <c:v>0.17137476459510359</c:v>
                </c:pt>
                <c:pt idx="4">
                  <c:v>0.2655367231638418</c:v>
                </c:pt>
                <c:pt idx="5">
                  <c:v>0.13747645951035781</c:v>
                </c:pt>
                <c:pt idx="6">
                  <c:v>2.2598870056497175E-2</c:v>
                </c:pt>
                <c:pt idx="7">
                  <c:v>3.766478342749529E-3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1599232"/>
        <c:axId val="201601024"/>
        <c:axId val="0"/>
      </c:bar3DChart>
      <c:catAx>
        <c:axId val="2015992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601024"/>
        <c:crosses val="autoZero"/>
        <c:auto val="1"/>
        <c:lblAlgn val="ctr"/>
        <c:lblOffset val="100"/>
        <c:noMultiLvlLbl val="0"/>
      </c:catAx>
      <c:valAx>
        <c:axId val="2016010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59923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RENDIMIENTO DE COMBUSTIBLE (GASOLINA) POR TIPO DE UNIDAD MOTRIZ. </a:t>
            </a:r>
          </a:p>
          <a:p>
            <a:pPr>
              <a:defRPr sz="1400"/>
            </a:pPr>
            <a:r>
              <a:rPr lang="es-MX" sz="1200"/>
              <a:t>UNIDAD CARGADA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[% SOBRE EL TOTAL DE RESPUESTAS A RENDIMIENTO DE COMBUSTIBLE GASOLINA UNIDAD CARGADA </a:t>
            </a:r>
          </a:p>
          <a:p>
            <a:pPr>
              <a:defRPr sz="1400"/>
            </a:pPr>
            <a:r>
              <a:rPr lang="es-MX" sz="800"/>
              <a:t>(100% = 73)]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FEB'!$Y$185</c:f>
              <c:strCache>
                <c:ptCount val="1"/>
                <c:pt idx="0">
                  <c:v>C2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000"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FEB'!$X$186:$X$192</c:f>
              <c:strCache>
                <c:ptCount val="7"/>
                <c:pt idx="0">
                  <c:v>&lt;2.0</c:v>
                </c:pt>
                <c:pt idx="1">
                  <c:v>2.01 A 2.5</c:v>
                </c:pt>
                <c:pt idx="2">
                  <c:v>2.51 A 3.5</c:v>
                </c:pt>
                <c:pt idx="3">
                  <c:v>3.51 A 4.0</c:v>
                </c:pt>
                <c:pt idx="4">
                  <c:v>4.01 A 5.0</c:v>
                </c:pt>
                <c:pt idx="5">
                  <c:v>5.01 A 7.0</c:v>
                </c:pt>
                <c:pt idx="6">
                  <c:v>&gt;7.0</c:v>
                </c:pt>
              </c:strCache>
            </c:strRef>
          </c:cat>
          <c:val>
            <c:numRef>
              <c:f>'FORMULAS FEB'!$Y$186:$Y$192</c:f>
              <c:numCache>
                <c:formatCode>0.0%</c:formatCode>
                <c:ptCount val="7"/>
                <c:pt idx="0">
                  <c:v>2.7397260273972601E-2</c:v>
                </c:pt>
                <c:pt idx="1">
                  <c:v>0.1095890410958904</c:v>
                </c:pt>
                <c:pt idx="2">
                  <c:v>1.3698630136986301E-2</c:v>
                </c:pt>
                <c:pt idx="3">
                  <c:v>0.24657534246575341</c:v>
                </c:pt>
                <c:pt idx="4">
                  <c:v>0.36986301369863012</c:v>
                </c:pt>
                <c:pt idx="5">
                  <c:v>0.20547945205479451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'FORMULAS FEB'!$Z$185</c:f>
              <c:strCache>
                <c:ptCount val="1"/>
                <c:pt idx="0">
                  <c:v>C3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FEB'!$X$186:$X$192</c:f>
              <c:strCache>
                <c:ptCount val="7"/>
                <c:pt idx="0">
                  <c:v>&lt;2.0</c:v>
                </c:pt>
                <c:pt idx="1">
                  <c:v>2.01 A 2.5</c:v>
                </c:pt>
                <c:pt idx="2">
                  <c:v>2.51 A 3.5</c:v>
                </c:pt>
                <c:pt idx="3">
                  <c:v>3.51 A 4.0</c:v>
                </c:pt>
                <c:pt idx="4">
                  <c:v>4.01 A 5.0</c:v>
                </c:pt>
                <c:pt idx="5">
                  <c:v>5.01 A 7.0</c:v>
                </c:pt>
                <c:pt idx="6">
                  <c:v>&gt;7.0</c:v>
                </c:pt>
              </c:strCache>
            </c:strRef>
          </c:cat>
          <c:val>
            <c:numRef>
              <c:f>'FORMULAS FEB'!$Z$186:$Z$192</c:f>
              <c:numCache>
                <c:formatCode>0.0%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2.7397260273972601E-2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1631616"/>
        <c:axId val="201633152"/>
        <c:axId val="0"/>
      </c:bar3DChart>
      <c:catAx>
        <c:axId val="2016316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633152"/>
        <c:crosses val="autoZero"/>
        <c:auto val="1"/>
        <c:lblAlgn val="ctr"/>
        <c:lblOffset val="100"/>
        <c:noMultiLvlLbl val="0"/>
      </c:catAx>
      <c:valAx>
        <c:axId val="20163315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6316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RENDIMIENTO DE COMBUSTIBLE (GASOLINA) POR TIPO DE </a:t>
            </a:r>
          </a:p>
          <a:p>
            <a:pPr>
              <a:defRPr sz="1400"/>
            </a:pPr>
            <a:r>
              <a:rPr lang="es-MX" sz="1400"/>
              <a:t>UNIDAD MOTRIZ. </a:t>
            </a:r>
          </a:p>
          <a:p>
            <a:pPr>
              <a:defRPr sz="1400"/>
            </a:pPr>
            <a:r>
              <a:rPr lang="es-MX" sz="1200"/>
              <a:t>UNIDAD DE VACÍO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[% SOBRE EL TOTAL DE RESPUESTAS A RENDIMIENTO DE COMBUSTIBLE GASOLINA UNIDAD</a:t>
            </a:r>
            <a:r>
              <a:rPr lang="es-MX" sz="800" baseline="0"/>
              <a:t> DE VACÍO</a:t>
            </a:r>
          </a:p>
          <a:p>
            <a:pPr>
              <a:defRPr sz="1400"/>
            </a:pPr>
            <a:r>
              <a:rPr lang="es-MX" sz="800" baseline="0"/>
              <a:t>(100% = 73)]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FEB'!$Y$196</c:f>
              <c:strCache>
                <c:ptCount val="1"/>
                <c:pt idx="0">
                  <c:v>C2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FEB'!$X$197:$X$203</c:f>
              <c:strCache>
                <c:ptCount val="7"/>
                <c:pt idx="0">
                  <c:v>&lt;2.0</c:v>
                </c:pt>
                <c:pt idx="1">
                  <c:v>2.01 A 2.5</c:v>
                </c:pt>
                <c:pt idx="2">
                  <c:v>2.51 A 3.5</c:v>
                </c:pt>
                <c:pt idx="3">
                  <c:v>3.51 A 4.0</c:v>
                </c:pt>
                <c:pt idx="4">
                  <c:v>4.01 A 5.0</c:v>
                </c:pt>
                <c:pt idx="5">
                  <c:v>5.01 A 7.0</c:v>
                </c:pt>
                <c:pt idx="6">
                  <c:v>&gt;7.0</c:v>
                </c:pt>
              </c:strCache>
            </c:strRef>
          </c:cat>
          <c:val>
            <c:numRef>
              <c:f>'FORMULAS FEB'!$Y$197:$Y$203</c:f>
              <c:numCache>
                <c:formatCode>0.0%</c:formatCode>
                <c:ptCount val="7"/>
                <c:pt idx="0">
                  <c:v>0</c:v>
                </c:pt>
                <c:pt idx="1">
                  <c:v>2.7397260273972601E-2</c:v>
                </c:pt>
                <c:pt idx="2">
                  <c:v>0.1095890410958904</c:v>
                </c:pt>
                <c:pt idx="3">
                  <c:v>1.3698630136986301E-2</c:v>
                </c:pt>
                <c:pt idx="4">
                  <c:v>0.30136986301369861</c:v>
                </c:pt>
                <c:pt idx="5">
                  <c:v>0.45205479452054792</c:v>
                </c:pt>
                <c:pt idx="6">
                  <c:v>6.8493150684931503E-2</c:v>
                </c:pt>
              </c:numCache>
            </c:numRef>
          </c:val>
        </c:ser>
        <c:ser>
          <c:idx val="1"/>
          <c:order val="1"/>
          <c:tx>
            <c:strRef>
              <c:f>'FORMULAS FEB'!$Z$196</c:f>
              <c:strCache>
                <c:ptCount val="1"/>
                <c:pt idx="0">
                  <c:v>C3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FEB'!$X$197:$X$203</c:f>
              <c:strCache>
                <c:ptCount val="7"/>
                <c:pt idx="0">
                  <c:v>&lt;2.0</c:v>
                </c:pt>
                <c:pt idx="1">
                  <c:v>2.01 A 2.5</c:v>
                </c:pt>
                <c:pt idx="2">
                  <c:v>2.51 A 3.5</c:v>
                </c:pt>
                <c:pt idx="3">
                  <c:v>3.51 A 4.0</c:v>
                </c:pt>
                <c:pt idx="4">
                  <c:v>4.01 A 5.0</c:v>
                </c:pt>
                <c:pt idx="5">
                  <c:v>5.01 A 7.0</c:v>
                </c:pt>
                <c:pt idx="6">
                  <c:v>&gt;7.0</c:v>
                </c:pt>
              </c:strCache>
            </c:strRef>
          </c:cat>
          <c:val>
            <c:numRef>
              <c:f>'FORMULAS FEB'!$Z$197:$Z$203</c:f>
              <c:numCache>
                <c:formatCode>0.0%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2.7397260273972601E-2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1680768"/>
        <c:axId val="201682304"/>
        <c:axId val="0"/>
      </c:bar3DChart>
      <c:catAx>
        <c:axId val="2016807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682304"/>
        <c:crosses val="autoZero"/>
        <c:auto val="1"/>
        <c:lblAlgn val="ctr"/>
        <c:lblOffset val="100"/>
        <c:noMultiLvlLbl val="0"/>
      </c:catAx>
      <c:valAx>
        <c:axId val="20168230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680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AÑO MODELO DE MOTOR, SEGÚN TAMAÑO DE LA FLOTA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[%</a:t>
            </a:r>
            <a:r>
              <a:rPr lang="es-MX" sz="800" baseline="0"/>
              <a:t> SOBRE EL TOTAL DE RESPUESTAS PARA AÑO MODELO DEL MOTOR (100%= 980)]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960900476051302E-2"/>
          <c:y val="0.15703386150011539"/>
          <c:w val="0.89174167237905344"/>
          <c:h val="0.696299432820188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FEB'!$AL$58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FEB'!$AK$59:$AK$65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FEB'!$AL$59:$AL$65</c:f>
              <c:numCache>
                <c:formatCode>0.0%</c:formatCode>
                <c:ptCount val="7"/>
                <c:pt idx="0">
                  <c:v>3.0612244897959183E-2</c:v>
                </c:pt>
                <c:pt idx="1">
                  <c:v>9.1836734693877559E-3</c:v>
                </c:pt>
                <c:pt idx="2">
                  <c:v>2.6530612244897958E-2</c:v>
                </c:pt>
                <c:pt idx="3">
                  <c:v>8.4693877551020411E-2</c:v>
                </c:pt>
                <c:pt idx="4">
                  <c:v>2.8571428571428571E-2</c:v>
                </c:pt>
                <c:pt idx="5">
                  <c:v>2.3469387755102041E-2</c:v>
                </c:pt>
                <c:pt idx="6">
                  <c:v>1.020408163265306E-2</c:v>
                </c:pt>
              </c:numCache>
            </c:numRef>
          </c:val>
        </c:ser>
        <c:ser>
          <c:idx val="1"/>
          <c:order val="1"/>
          <c:tx>
            <c:strRef>
              <c:f>'FORMULAS FEB'!$AM$58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FEB'!$AK$59:$AK$65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FEB'!$AM$59:$AM$65</c:f>
              <c:numCache>
                <c:formatCode>0.0%</c:formatCode>
                <c:ptCount val="7"/>
                <c:pt idx="0">
                  <c:v>1.8367346938775512E-2</c:v>
                </c:pt>
                <c:pt idx="1">
                  <c:v>8.1632653061224497E-3</c:v>
                </c:pt>
                <c:pt idx="2">
                  <c:v>1.8367346938775512E-2</c:v>
                </c:pt>
                <c:pt idx="3">
                  <c:v>4.1836734693877553E-2</c:v>
                </c:pt>
                <c:pt idx="4">
                  <c:v>3.4693877551020408E-2</c:v>
                </c:pt>
                <c:pt idx="5">
                  <c:v>3.5714285714285712E-2</c:v>
                </c:pt>
                <c:pt idx="6">
                  <c:v>6.1224489795918364E-3</c:v>
                </c:pt>
              </c:numCache>
            </c:numRef>
          </c:val>
        </c:ser>
        <c:ser>
          <c:idx val="2"/>
          <c:order val="2"/>
          <c:tx>
            <c:strRef>
              <c:f>'FORMULAS FEB'!$AN$58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FEB'!$AK$59:$AK$65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FEB'!$AN$59:$AN$65</c:f>
              <c:numCache>
                <c:formatCode>0.0%</c:formatCode>
                <c:ptCount val="7"/>
                <c:pt idx="0">
                  <c:v>3.8775510204081633E-2</c:v>
                </c:pt>
                <c:pt idx="1">
                  <c:v>1.6326530612244899E-2</c:v>
                </c:pt>
                <c:pt idx="2">
                  <c:v>3.7755102040816328E-2</c:v>
                </c:pt>
                <c:pt idx="3">
                  <c:v>5.2040816326530612E-2</c:v>
                </c:pt>
                <c:pt idx="4">
                  <c:v>4.7959183673469387E-2</c:v>
                </c:pt>
                <c:pt idx="5">
                  <c:v>0.10408163265306122</c:v>
                </c:pt>
                <c:pt idx="6">
                  <c:v>3.2653061224489799E-2</c:v>
                </c:pt>
              </c:numCache>
            </c:numRef>
          </c:val>
        </c:ser>
        <c:ser>
          <c:idx val="3"/>
          <c:order val="3"/>
          <c:tx>
            <c:strRef>
              <c:f>'FORMULAS FEB'!$AO$58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FEB'!$AK$59:$AK$65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FEB'!$AO$59:$AO$65</c:f>
              <c:numCache>
                <c:formatCode>0.0%</c:formatCode>
                <c:ptCount val="7"/>
                <c:pt idx="0">
                  <c:v>1.8367346938775512E-2</c:v>
                </c:pt>
                <c:pt idx="1">
                  <c:v>1.7346938775510204E-2</c:v>
                </c:pt>
                <c:pt idx="2">
                  <c:v>2.8571428571428571E-2</c:v>
                </c:pt>
                <c:pt idx="3">
                  <c:v>7.1428571428571425E-2</c:v>
                </c:pt>
                <c:pt idx="4">
                  <c:v>3.9795918367346937E-2</c:v>
                </c:pt>
                <c:pt idx="5">
                  <c:v>6.5306122448979598E-2</c:v>
                </c:pt>
                <c:pt idx="6">
                  <c:v>5.3061224489795916E-2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1830784"/>
        <c:axId val="201832320"/>
        <c:axId val="0"/>
      </c:bar3DChart>
      <c:catAx>
        <c:axId val="2018307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832320"/>
        <c:crosses val="autoZero"/>
        <c:auto val="1"/>
        <c:lblAlgn val="ctr"/>
        <c:lblOffset val="100"/>
        <c:noMultiLvlLbl val="0"/>
      </c:catAx>
      <c:valAx>
        <c:axId val="20183232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830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4.1218299539009622E-2"/>
          <c:y val="0.94555842905110976"/>
          <c:w val="0.91792419568564287"/>
          <c:h val="4.6003052212394147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AÑO MODELO DE MOTOR. </a:t>
            </a:r>
          </a:p>
          <a:p>
            <a:pPr>
              <a:defRPr sz="1400"/>
            </a:pPr>
            <a:r>
              <a:rPr lang="en-US" sz="1200"/>
              <a:t>PROPIETARIOS CON UNA UNIDAD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DE</a:t>
            </a:r>
            <a:r>
              <a:rPr lang="en-US" sz="800" baseline="0"/>
              <a:t> PROPIETARIOS CON UNA UNIDAD (100% = 209)]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FEB'!$AK$69</c:f>
              <c:strCache>
                <c:ptCount val="1"/>
                <c:pt idx="0">
                  <c:v>AÑO MODELO DE MOTOR. PROPIETARIOS CON 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FEB'!$AK$71:$AK$77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FEB'!$AL$71:$AL$77</c:f>
              <c:numCache>
                <c:formatCode>0.0%</c:formatCode>
                <c:ptCount val="7"/>
                <c:pt idx="0">
                  <c:v>0.14354066985645933</c:v>
                </c:pt>
                <c:pt idx="1">
                  <c:v>4.3062200956937802E-2</c:v>
                </c:pt>
                <c:pt idx="2">
                  <c:v>0.12440191387559808</c:v>
                </c:pt>
                <c:pt idx="3">
                  <c:v>0.39712918660287083</c:v>
                </c:pt>
                <c:pt idx="4">
                  <c:v>0.13397129186602871</c:v>
                </c:pt>
                <c:pt idx="5">
                  <c:v>0.11004784688995216</c:v>
                </c:pt>
                <c:pt idx="6">
                  <c:v>4.784688995215311E-2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1857280"/>
        <c:axId val="201859072"/>
        <c:axId val="0"/>
      </c:bar3DChart>
      <c:catAx>
        <c:axId val="2018572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859072"/>
        <c:crosses val="autoZero"/>
        <c:auto val="1"/>
        <c:lblAlgn val="ctr"/>
        <c:lblOffset val="100"/>
        <c:noMultiLvlLbl val="0"/>
      </c:catAx>
      <c:valAx>
        <c:axId val="2018590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85728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AÑO MODELO DE MOTOR. </a:t>
            </a:r>
          </a:p>
          <a:p>
            <a:pPr>
              <a:defRPr sz="1400"/>
            </a:pPr>
            <a:r>
              <a:rPr lang="en-US" sz="1200"/>
              <a:t>PROPIETARIOS CON DOS UNIDADES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</a:t>
            </a:r>
            <a:r>
              <a:rPr lang="en-US" sz="800" baseline="0"/>
              <a:t> SOBRE EL TOTAL DE RESPUESTAS DE PROPIETARIOS CON DOS UNIDADES (100% = 160)]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FEB'!$AK$80</c:f>
              <c:strCache>
                <c:ptCount val="1"/>
                <c:pt idx="0">
                  <c:v>AÑO MODELO DE MOTOR. PROPIETARIOS CON DOS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FEB'!$AK$82:$AK$88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FEB'!$AL$82:$AL$88</c:f>
              <c:numCache>
                <c:formatCode>0.0%</c:formatCode>
                <c:ptCount val="7"/>
                <c:pt idx="0">
                  <c:v>0.1125</c:v>
                </c:pt>
                <c:pt idx="1">
                  <c:v>0.05</c:v>
                </c:pt>
                <c:pt idx="2">
                  <c:v>0.1125</c:v>
                </c:pt>
                <c:pt idx="3">
                  <c:v>0.25624999999999998</c:v>
                </c:pt>
                <c:pt idx="4">
                  <c:v>0.21249999999999999</c:v>
                </c:pt>
                <c:pt idx="5">
                  <c:v>0.21875</c:v>
                </c:pt>
                <c:pt idx="6">
                  <c:v>3.7499999999999999E-2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1896320"/>
        <c:axId val="201897856"/>
        <c:axId val="0"/>
      </c:bar3DChart>
      <c:catAx>
        <c:axId val="2018963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897856"/>
        <c:crosses val="autoZero"/>
        <c:auto val="1"/>
        <c:lblAlgn val="ctr"/>
        <c:lblOffset val="100"/>
        <c:noMultiLvlLbl val="0"/>
      </c:catAx>
      <c:valAx>
        <c:axId val="2018978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89632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AÑO MODELO DE MOTOR. </a:t>
            </a:r>
          </a:p>
          <a:p>
            <a:pPr>
              <a:defRPr sz="1400"/>
            </a:pPr>
            <a:r>
              <a:rPr lang="en-US" sz="1200"/>
              <a:t>PROPIETARIOS CON TRES A CINCO UNIDADES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DE</a:t>
            </a:r>
            <a:r>
              <a:rPr lang="en-US" sz="800" baseline="0"/>
              <a:t> PROPIETARIOS CON TRES A CINCO UNIDADES (100% = 323)]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FEB'!$AK$91</c:f>
              <c:strCache>
                <c:ptCount val="1"/>
                <c:pt idx="0">
                  <c:v>AÑO MODELO DE MOTOR. PROPIETARIOS CON TRES A CINCO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FEB'!$AK$93:$AK$99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FEB'!$AL$93:$AL$99</c:f>
              <c:numCache>
                <c:formatCode>0.0%</c:formatCode>
                <c:ptCount val="7"/>
                <c:pt idx="0">
                  <c:v>0.11764705882352941</c:v>
                </c:pt>
                <c:pt idx="1">
                  <c:v>4.9535603715170282E-2</c:v>
                </c:pt>
                <c:pt idx="2">
                  <c:v>0.11455108359133127</c:v>
                </c:pt>
                <c:pt idx="3">
                  <c:v>0.15789473684210525</c:v>
                </c:pt>
                <c:pt idx="4">
                  <c:v>0.14551083591331268</c:v>
                </c:pt>
                <c:pt idx="5">
                  <c:v>0.31578947368421051</c:v>
                </c:pt>
                <c:pt idx="6">
                  <c:v>9.9071207430340563E-2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1983872"/>
        <c:axId val="201985408"/>
        <c:axId val="0"/>
      </c:bar3DChart>
      <c:catAx>
        <c:axId val="2019838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985408"/>
        <c:crosses val="autoZero"/>
        <c:auto val="1"/>
        <c:lblAlgn val="ctr"/>
        <c:lblOffset val="100"/>
        <c:noMultiLvlLbl val="0"/>
      </c:catAx>
      <c:valAx>
        <c:axId val="2019854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98387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AÑO MODELO DE MOTOR. </a:t>
            </a:r>
          </a:p>
          <a:p>
            <a:pPr>
              <a:defRPr sz="1400"/>
            </a:pPr>
            <a:r>
              <a:rPr lang="en-US" sz="1200"/>
              <a:t>PROPIETARIOS CON SEIS A TREINTA UNIDADES</a:t>
            </a:r>
          </a:p>
          <a:p>
            <a:pPr>
              <a:defRPr sz="1400"/>
            </a:pPr>
            <a:r>
              <a:rPr lang="en-US" sz="1000"/>
              <a:t>ENCUESTA</a:t>
            </a:r>
            <a:r>
              <a:rPr lang="en-US" sz="1000" baseline="0"/>
              <a:t> A PROPIETARIOS</a:t>
            </a:r>
          </a:p>
          <a:p>
            <a:pPr>
              <a:defRPr sz="1400"/>
            </a:pPr>
            <a:r>
              <a:rPr lang="en-US" sz="800" baseline="0"/>
              <a:t>[% SOBRE EL TOTAL DE RESPUESTAS DE PROPIETARIOS CON SEIS A TREINTA UNIDADES (100% = 288)]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FEB'!$AK$102</c:f>
              <c:strCache>
                <c:ptCount val="1"/>
                <c:pt idx="0">
                  <c:v>AÑO MODELO DE MOTOR. PROPIETARIOS CON SEIS A TREINTA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FEB'!$AK$104:$AK$110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FEB'!$AL$104:$AL$110</c:f>
              <c:numCache>
                <c:formatCode>0.0%</c:formatCode>
                <c:ptCount val="7"/>
                <c:pt idx="0">
                  <c:v>6.25E-2</c:v>
                </c:pt>
                <c:pt idx="1">
                  <c:v>5.9027777777777776E-2</c:v>
                </c:pt>
                <c:pt idx="2">
                  <c:v>9.7222222222222224E-2</c:v>
                </c:pt>
                <c:pt idx="3">
                  <c:v>0.24305555555555555</c:v>
                </c:pt>
                <c:pt idx="4">
                  <c:v>0.13541666666666666</c:v>
                </c:pt>
                <c:pt idx="5">
                  <c:v>0.22222222222222221</c:v>
                </c:pt>
                <c:pt idx="6">
                  <c:v>0.18055555555555555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2031488"/>
        <c:axId val="202033024"/>
        <c:axId val="0"/>
      </c:bar3DChart>
      <c:catAx>
        <c:axId val="2020314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033024"/>
        <c:crosses val="autoZero"/>
        <c:auto val="1"/>
        <c:lblAlgn val="ctr"/>
        <c:lblOffset val="100"/>
        <c:noMultiLvlLbl val="0"/>
      </c:catAx>
      <c:valAx>
        <c:axId val="2020330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03148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RENDIMIENTO DE COMBUSTIBLE (SOLO DIESEL) SEGÚN AÑO MODELO DEL MOTOR. </a:t>
            </a:r>
          </a:p>
          <a:p>
            <a:pPr>
              <a:defRPr sz="1400"/>
            </a:pPr>
            <a:r>
              <a:rPr lang="es-MX" sz="1200"/>
              <a:t>UNIDAD CARGADA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[%</a:t>
            </a:r>
            <a:r>
              <a:rPr lang="es-MX" sz="800" baseline="0"/>
              <a:t> SOBRE EL TOTAL DE RESPUESTAS PARA RENDIMIENTO AÑO MODELO DE MOTOR UNIDAD CARGADA (100% = 900)]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FEB'!$AL$114</c:f>
              <c:strCache>
                <c:ptCount val="1"/>
                <c:pt idx="0">
                  <c:v>Anterior a 1991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FEB'!$AK$115:$AK$122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FEB'!$AL$115:$AL$122</c:f>
              <c:numCache>
                <c:formatCode>0.0%</c:formatCode>
                <c:ptCount val="8"/>
                <c:pt idx="0">
                  <c:v>5.5555555555555558E-3</c:v>
                </c:pt>
                <c:pt idx="1">
                  <c:v>2.3333333333333334E-2</c:v>
                </c:pt>
                <c:pt idx="2">
                  <c:v>1.7777777777777778E-2</c:v>
                </c:pt>
                <c:pt idx="3">
                  <c:v>1.2222222222222223E-2</c:v>
                </c:pt>
                <c:pt idx="4">
                  <c:v>2.1111111111111112E-2</c:v>
                </c:pt>
                <c:pt idx="5">
                  <c:v>0.01</c:v>
                </c:pt>
                <c:pt idx="6">
                  <c:v>1.1111111111111112E-2</c:v>
                </c:pt>
                <c:pt idx="7">
                  <c:v>1.1111111111111111E-3</c:v>
                </c:pt>
              </c:numCache>
            </c:numRef>
          </c:val>
        </c:ser>
        <c:ser>
          <c:idx val="1"/>
          <c:order val="1"/>
          <c:tx>
            <c:strRef>
              <c:f>'FORMULAS FEB'!$AM$114</c:f>
              <c:strCache>
                <c:ptCount val="1"/>
                <c:pt idx="0">
                  <c:v>1991 a 1993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FEB'!$AK$115:$AK$122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FEB'!$AM$115:$AM$122</c:f>
              <c:numCache>
                <c:formatCode>0.0%</c:formatCode>
                <c:ptCount val="8"/>
                <c:pt idx="0">
                  <c:v>2.2222222222222222E-3</c:v>
                </c:pt>
                <c:pt idx="1">
                  <c:v>1.6666666666666666E-2</c:v>
                </c:pt>
                <c:pt idx="2">
                  <c:v>1.4444444444444444E-2</c:v>
                </c:pt>
                <c:pt idx="3">
                  <c:v>0.01</c:v>
                </c:pt>
                <c:pt idx="4">
                  <c:v>2.2222222222222222E-3</c:v>
                </c:pt>
                <c:pt idx="5">
                  <c:v>5.5555555555555558E-3</c:v>
                </c:pt>
                <c:pt idx="6">
                  <c:v>3.3333333333333335E-3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FEB'!$AN$114</c:f>
              <c:strCache>
                <c:ptCount val="1"/>
                <c:pt idx="0">
                  <c:v>1994 a 1997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FEB'!$AK$115:$AK$122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FEB'!$AN$115:$AN$122</c:f>
              <c:numCache>
                <c:formatCode>0.0%</c:formatCode>
                <c:ptCount val="8"/>
                <c:pt idx="0">
                  <c:v>1.2222222222222223E-2</c:v>
                </c:pt>
                <c:pt idx="1">
                  <c:v>2.5555555555555557E-2</c:v>
                </c:pt>
                <c:pt idx="2">
                  <c:v>2.7777777777777776E-2</c:v>
                </c:pt>
                <c:pt idx="3">
                  <c:v>7.7777777777777776E-3</c:v>
                </c:pt>
                <c:pt idx="4">
                  <c:v>1.4444444444444444E-2</c:v>
                </c:pt>
                <c:pt idx="5">
                  <c:v>8.8888888888888889E-3</c:v>
                </c:pt>
                <c:pt idx="6">
                  <c:v>1.4444444444444444E-2</c:v>
                </c:pt>
                <c:pt idx="7">
                  <c:v>6.6666666666666671E-3</c:v>
                </c:pt>
              </c:numCache>
            </c:numRef>
          </c:val>
        </c:ser>
        <c:ser>
          <c:idx val="3"/>
          <c:order val="3"/>
          <c:tx>
            <c:strRef>
              <c:f>'FORMULAS FEB'!$AO$114</c:f>
              <c:strCache>
                <c:ptCount val="1"/>
                <c:pt idx="0">
                  <c:v>1998 a 2003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FEB'!$AK$115:$AK$122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FEB'!$AO$115:$AO$122</c:f>
              <c:numCache>
                <c:formatCode>0.0%</c:formatCode>
                <c:ptCount val="8"/>
                <c:pt idx="0">
                  <c:v>1.5555555555555555E-2</c:v>
                </c:pt>
                <c:pt idx="1">
                  <c:v>0.04</c:v>
                </c:pt>
                <c:pt idx="2">
                  <c:v>3.2222222222222222E-2</c:v>
                </c:pt>
                <c:pt idx="3">
                  <c:v>4.2222222222222223E-2</c:v>
                </c:pt>
                <c:pt idx="4">
                  <c:v>5.6666666666666664E-2</c:v>
                </c:pt>
                <c:pt idx="5">
                  <c:v>3.111111111111111E-2</c:v>
                </c:pt>
                <c:pt idx="6">
                  <c:v>3.2222222222222222E-2</c:v>
                </c:pt>
                <c:pt idx="7">
                  <c:v>5.5555555555555558E-3</c:v>
                </c:pt>
              </c:numCache>
            </c:numRef>
          </c:val>
        </c:ser>
        <c:ser>
          <c:idx val="4"/>
          <c:order val="4"/>
          <c:tx>
            <c:strRef>
              <c:f>'FORMULAS FEB'!$AP$114</c:f>
              <c:strCache>
                <c:ptCount val="1"/>
                <c:pt idx="0">
                  <c:v>2004 a 2006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FEB'!$AK$115:$AK$122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FEB'!$AP$115:$AP$122</c:f>
              <c:numCache>
                <c:formatCode>0.0%</c:formatCode>
                <c:ptCount val="8"/>
                <c:pt idx="0">
                  <c:v>2.2222222222222222E-3</c:v>
                </c:pt>
                <c:pt idx="1">
                  <c:v>2.4444444444444446E-2</c:v>
                </c:pt>
                <c:pt idx="2">
                  <c:v>0.02</c:v>
                </c:pt>
                <c:pt idx="3">
                  <c:v>2.1111111111111112E-2</c:v>
                </c:pt>
                <c:pt idx="4">
                  <c:v>3.3333333333333333E-2</c:v>
                </c:pt>
                <c:pt idx="5">
                  <c:v>7.7777777777777776E-3</c:v>
                </c:pt>
                <c:pt idx="6">
                  <c:v>2.6666666666666668E-2</c:v>
                </c:pt>
                <c:pt idx="7">
                  <c:v>8.8888888888888889E-3</c:v>
                </c:pt>
              </c:numCache>
            </c:numRef>
          </c:val>
        </c:ser>
        <c:ser>
          <c:idx val="5"/>
          <c:order val="5"/>
          <c:tx>
            <c:strRef>
              <c:f>'FORMULAS FEB'!$AQ$114</c:f>
              <c:strCache>
                <c:ptCount val="1"/>
                <c:pt idx="0">
                  <c:v>2007 a 2010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FEB'!$AK$115:$AK$122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FEB'!$AQ$115:$AQ$122</c:f>
              <c:numCache>
                <c:formatCode>0.0%</c:formatCode>
                <c:ptCount val="8"/>
                <c:pt idx="0">
                  <c:v>8.8888888888888889E-3</c:v>
                </c:pt>
                <c:pt idx="1">
                  <c:v>1.7777777777777778E-2</c:v>
                </c:pt>
                <c:pt idx="2">
                  <c:v>0.03</c:v>
                </c:pt>
                <c:pt idx="3">
                  <c:v>4.1111111111111112E-2</c:v>
                </c:pt>
                <c:pt idx="4">
                  <c:v>6.7777777777777784E-2</c:v>
                </c:pt>
                <c:pt idx="5">
                  <c:v>3.2222222222222222E-2</c:v>
                </c:pt>
                <c:pt idx="6">
                  <c:v>1.8888888888888889E-2</c:v>
                </c:pt>
                <c:pt idx="7">
                  <c:v>6.6666666666666671E-3</c:v>
                </c:pt>
              </c:numCache>
            </c:numRef>
          </c:val>
        </c:ser>
        <c:ser>
          <c:idx val="6"/>
          <c:order val="6"/>
          <c:tx>
            <c:strRef>
              <c:f>'FORMULAS FEB'!$AR$114</c:f>
              <c:strCache>
                <c:ptCount val="1"/>
                <c:pt idx="0">
                  <c:v>2011 en adelante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FEB'!$AK$115:$AK$122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FEB'!$AR$115:$AR$122</c:f>
              <c:numCache>
                <c:formatCode>0.0%</c:formatCode>
                <c:ptCount val="8"/>
                <c:pt idx="0">
                  <c:v>0</c:v>
                </c:pt>
                <c:pt idx="1">
                  <c:v>2.2222222222222222E-3</c:v>
                </c:pt>
                <c:pt idx="2">
                  <c:v>5.2222222222222225E-2</c:v>
                </c:pt>
                <c:pt idx="3">
                  <c:v>3.5555555555555556E-2</c:v>
                </c:pt>
                <c:pt idx="4">
                  <c:v>8.8888888888888889E-3</c:v>
                </c:pt>
                <c:pt idx="5">
                  <c:v>3.3333333333333335E-3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2164096"/>
        <c:axId val="202165632"/>
        <c:axId val="0"/>
      </c:bar3DChart>
      <c:catAx>
        <c:axId val="2021640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165632"/>
        <c:crosses val="autoZero"/>
        <c:auto val="1"/>
        <c:lblAlgn val="ctr"/>
        <c:lblOffset val="100"/>
        <c:noMultiLvlLbl val="0"/>
      </c:catAx>
      <c:valAx>
        <c:axId val="20216563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164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SÍ CONOCE EL PROGRAMA TRANSPORTE LIMPIO</a:t>
            </a:r>
          </a:p>
        </c:rich>
      </c:tx>
      <c:layout>
        <c:manualLayout>
          <c:xMode val="edge"/>
          <c:yMode val="edge"/>
          <c:x val="0.15918744531933823"/>
          <c:y val="2.7777777777778734E-2"/>
        </c:manualLayout>
      </c:layout>
      <c:overlay val="0"/>
    </c:title>
    <c:autoTitleDeleted val="0"/>
    <c:view3D>
      <c:rotX val="30"/>
      <c:rotY val="8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FORMULAS!$Z$41</c:f>
              <c:strCache>
                <c:ptCount val="1"/>
                <c:pt idx="0">
                  <c:v>SÍ CONOCE EL PROGRAMA TRANSPORTE LIMPIO</c:v>
                </c:pt>
              </c:strCache>
            </c:strRef>
          </c:tx>
          <c:dLbls>
            <c:dLbl>
              <c:idx val="1"/>
              <c:spPr/>
              <c:txPr>
                <a:bodyPr/>
                <a:lstStyle/>
                <a:p>
                  <a:pPr>
                    <a:defRPr sz="11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FORMULAS!$Z$42:$Z$43</c:f>
              <c:strCache>
                <c:ptCount val="2"/>
                <c:pt idx="0">
                  <c:v>PARTICIPA</c:v>
                </c:pt>
                <c:pt idx="1">
                  <c:v>NO PARTICIPA</c:v>
                </c:pt>
              </c:strCache>
            </c:strRef>
          </c:cat>
          <c:val>
            <c:numRef>
              <c:f>FORMULAS!$AA$42:$AA$43</c:f>
              <c:numCache>
                <c:formatCode>0.0%</c:formatCode>
                <c:ptCount val="2"/>
                <c:pt idx="0">
                  <c:v>4.8661800486618006E-3</c:v>
                </c:pt>
                <c:pt idx="1">
                  <c:v>0.14355231143552311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200"/>
              <a:t>MOTOR ANTERIOR A 1991. UNIDAD CARGADA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</a:t>
            </a:r>
            <a:r>
              <a:rPr lang="en-US" sz="800" baseline="0"/>
              <a:t> SOBRE EL TOTAL DE RESPUESTAS A RENDIMIENTO UNIDAD CON MOTOR ANTERIOR A 1991 (100% = 92)]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FEB'!$AK$125</c:f>
              <c:strCache>
                <c:ptCount val="1"/>
                <c:pt idx="0">
                  <c:v>RENDIMIENTO DE COMBUSTIBLE (SOLO DIESEL) MOTOR ANTERIOR A 1991.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FEB'!$AK$127:$AK$134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FEB'!$AL$127:$AL$134</c:f>
              <c:numCache>
                <c:formatCode>0.0%</c:formatCode>
                <c:ptCount val="8"/>
                <c:pt idx="0">
                  <c:v>5.434782608695652E-2</c:v>
                </c:pt>
                <c:pt idx="1">
                  <c:v>0.22826086956521738</c:v>
                </c:pt>
                <c:pt idx="2">
                  <c:v>0.17391304347826086</c:v>
                </c:pt>
                <c:pt idx="3">
                  <c:v>0.11956521739130435</c:v>
                </c:pt>
                <c:pt idx="4">
                  <c:v>0.20652173913043478</c:v>
                </c:pt>
                <c:pt idx="5">
                  <c:v>9.7826086956521743E-2</c:v>
                </c:pt>
                <c:pt idx="6">
                  <c:v>0.10869565217391304</c:v>
                </c:pt>
                <c:pt idx="7">
                  <c:v>1.0869565217391304E-2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2081024"/>
        <c:axId val="202082560"/>
        <c:axId val="0"/>
      </c:bar3DChart>
      <c:catAx>
        <c:axId val="2020810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082560"/>
        <c:crosses val="autoZero"/>
        <c:auto val="1"/>
        <c:lblAlgn val="ctr"/>
        <c:lblOffset val="100"/>
        <c:noMultiLvlLbl val="0"/>
      </c:catAx>
      <c:valAx>
        <c:axId val="2020825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08102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200"/>
              <a:t>MOTOR ENTRE 1991 Y 1993. UNIDAD CARGADA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</a:t>
            </a:r>
            <a:r>
              <a:rPr lang="en-US" sz="800" baseline="0"/>
              <a:t> A RENDIMIENTO UNIDAD CON MOTOR ENTRE 1991 Y 1993 (100% = 49)]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FEB'!$AK$137</c:f>
              <c:strCache>
                <c:ptCount val="1"/>
                <c:pt idx="0">
                  <c:v>RENDIMIENTO DE COMBUSTIBLE (SOLO DIESEL) MOTOR ENTRE 1991 Y 1993.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FEB'!$AK$139:$AK$146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FEB'!$AL$139:$AL$146</c:f>
              <c:numCache>
                <c:formatCode>0.0%</c:formatCode>
                <c:ptCount val="8"/>
                <c:pt idx="0">
                  <c:v>4.0816326530612242E-2</c:v>
                </c:pt>
                <c:pt idx="1">
                  <c:v>0.30612244897959184</c:v>
                </c:pt>
                <c:pt idx="2">
                  <c:v>0.26530612244897961</c:v>
                </c:pt>
                <c:pt idx="3">
                  <c:v>0.18367346938775511</c:v>
                </c:pt>
                <c:pt idx="4">
                  <c:v>4.0816326530612242E-2</c:v>
                </c:pt>
                <c:pt idx="5">
                  <c:v>0.10204081632653061</c:v>
                </c:pt>
                <c:pt idx="6">
                  <c:v>6.1224489795918366E-2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2103808"/>
        <c:axId val="202179328"/>
        <c:axId val="0"/>
      </c:bar3DChart>
      <c:catAx>
        <c:axId val="2021038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179328"/>
        <c:crosses val="autoZero"/>
        <c:auto val="1"/>
        <c:lblAlgn val="ctr"/>
        <c:lblOffset val="100"/>
        <c:noMultiLvlLbl val="0"/>
      </c:catAx>
      <c:valAx>
        <c:axId val="2021793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10380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200"/>
              <a:t>MOTOR ENTRE 1994 Y 1997. UNIDAD CARGADA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RENDIMIENTO UNIDAD CON MOTOR ENTRE 1994 Y 1997 (100%</a:t>
            </a:r>
            <a:r>
              <a:rPr lang="en-US" sz="800" baseline="0"/>
              <a:t> = 106)]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FEB'!$AK$149</c:f>
              <c:strCache>
                <c:ptCount val="1"/>
                <c:pt idx="0">
                  <c:v>RENDIMIENTO DE COMBUSTIBLE (SOLO DIESEL) MOTOR ENTRE 1994 Y 1997.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FEB'!$AK$151:$AK$158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FEB'!$AL$151:$AL$158</c:f>
              <c:numCache>
                <c:formatCode>0.0%</c:formatCode>
                <c:ptCount val="8"/>
                <c:pt idx="0">
                  <c:v>0.10377358490566038</c:v>
                </c:pt>
                <c:pt idx="1">
                  <c:v>0.21698113207547171</c:v>
                </c:pt>
                <c:pt idx="2">
                  <c:v>0.23584905660377359</c:v>
                </c:pt>
                <c:pt idx="3">
                  <c:v>6.6037735849056603E-2</c:v>
                </c:pt>
                <c:pt idx="4">
                  <c:v>0.12264150943396226</c:v>
                </c:pt>
                <c:pt idx="5">
                  <c:v>7.5471698113207544E-2</c:v>
                </c:pt>
                <c:pt idx="6">
                  <c:v>0.12264150943396226</c:v>
                </c:pt>
                <c:pt idx="7">
                  <c:v>5.6603773584905662E-2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2221440"/>
        <c:axId val="202222976"/>
        <c:axId val="0"/>
      </c:bar3DChart>
      <c:catAx>
        <c:axId val="2022214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222976"/>
        <c:crosses val="autoZero"/>
        <c:auto val="1"/>
        <c:lblAlgn val="ctr"/>
        <c:lblOffset val="100"/>
        <c:noMultiLvlLbl val="0"/>
      </c:catAx>
      <c:valAx>
        <c:axId val="2022229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22144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200"/>
              <a:t>MOTOR ENTRE 2004 Y 2006. UNIDAD CARGADA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RENDIMIENTO UNIDAD CON MOTOR ENTRE 2003 Y 2006 (100% = 130)]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FEB'!$AK$173</c:f>
              <c:strCache>
                <c:ptCount val="1"/>
                <c:pt idx="0">
                  <c:v>RENDIMIENTO DE COMBUSTIBLE (SOLO DIESEL) MOTOR ENTRE 2004 Y 2006.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FEB'!$AK$175:$AK$182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FEB'!$AL$175:$AL$182</c:f>
              <c:numCache>
                <c:formatCode>0.0%</c:formatCode>
                <c:ptCount val="8"/>
                <c:pt idx="0">
                  <c:v>1.5384615384615385E-2</c:v>
                </c:pt>
                <c:pt idx="1">
                  <c:v>0.16923076923076924</c:v>
                </c:pt>
                <c:pt idx="2">
                  <c:v>0.13846153846153847</c:v>
                </c:pt>
                <c:pt idx="3">
                  <c:v>0.14615384615384616</c:v>
                </c:pt>
                <c:pt idx="4">
                  <c:v>0.23076923076923078</c:v>
                </c:pt>
                <c:pt idx="5">
                  <c:v>5.3846153846153849E-2</c:v>
                </c:pt>
                <c:pt idx="6">
                  <c:v>0.18461538461538463</c:v>
                </c:pt>
                <c:pt idx="7">
                  <c:v>6.1538461538461542E-2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2391936"/>
        <c:axId val="202393472"/>
        <c:axId val="0"/>
      </c:bar3DChart>
      <c:catAx>
        <c:axId val="2023919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393472"/>
        <c:crosses val="autoZero"/>
        <c:auto val="1"/>
        <c:lblAlgn val="ctr"/>
        <c:lblOffset val="100"/>
        <c:noMultiLvlLbl val="0"/>
      </c:catAx>
      <c:valAx>
        <c:axId val="2023934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39193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200"/>
              <a:t>MOTOR ENTRE 1998 Y 2003. UNIDAD CARGADA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</a:t>
            </a:r>
            <a:r>
              <a:rPr lang="en-US" sz="800" baseline="0"/>
              <a:t> RENDIMIENTOS UNIDAD CON MOTOR ENTRE 1998 Y 2003 (100% = 230)]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FEB'!$AK$161</c:f>
              <c:strCache>
                <c:ptCount val="1"/>
                <c:pt idx="0">
                  <c:v>RENDIMIENTO DE COMBUSTIBLE (SOLO DIESEL) MOTOR ENTRE 1998 Y 2003.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FEB'!$AK$163:$AK$170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FEB'!$AL$163:$AL$170</c:f>
              <c:numCache>
                <c:formatCode>0.0%</c:formatCode>
                <c:ptCount val="8"/>
                <c:pt idx="0">
                  <c:v>6.0869565217391307E-2</c:v>
                </c:pt>
                <c:pt idx="1">
                  <c:v>0.15652173913043479</c:v>
                </c:pt>
                <c:pt idx="2">
                  <c:v>0.12608695652173912</c:v>
                </c:pt>
                <c:pt idx="3">
                  <c:v>0.16521739130434782</c:v>
                </c:pt>
                <c:pt idx="4">
                  <c:v>0.22173913043478261</c:v>
                </c:pt>
                <c:pt idx="5">
                  <c:v>0.12173913043478261</c:v>
                </c:pt>
                <c:pt idx="6">
                  <c:v>0.12608695652173912</c:v>
                </c:pt>
                <c:pt idx="7">
                  <c:v>2.1739130434782608E-2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2414720"/>
        <c:axId val="197984640"/>
        <c:axId val="0"/>
      </c:bar3DChart>
      <c:catAx>
        <c:axId val="2024147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7984640"/>
        <c:crosses val="autoZero"/>
        <c:auto val="1"/>
        <c:lblAlgn val="ctr"/>
        <c:lblOffset val="100"/>
        <c:noMultiLvlLbl val="0"/>
      </c:catAx>
      <c:valAx>
        <c:axId val="1979846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41472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200"/>
              <a:t>MOTOR ENTRE 2007 Y 2010. UNIDAD CARGADA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RENDIMIENTO UNIDAD CON MOTOR ENTRE 2007 Y 2010 (100% = 201)]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FEB'!$AK$185</c:f>
              <c:strCache>
                <c:ptCount val="1"/>
                <c:pt idx="0">
                  <c:v>RENDIMIENTO DE COMBUSTIBLE (SOLO DIESEL) MOTOR ENTRE 2007 Y 2010.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FEB'!$AK$187:$AK$194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FEB'!$AL$187:$AL$194</c:f>
              <c:numCache>
                <c:formatCode>0.0%</c:formatCode>
                <c:ptCount val="8"/>
                <c:pt idx="0">
                  <c:v>3.9800995024875621E-2</c:v>
                </c:pt>
                <c:pt idx="1">
                  <c:v>7.9601990049751242E-2</c:v>
                </c:pt>
                <c:pt idx="2">
                  <c:v>0.13432835820895522</c:v>
                </c:pt>
                <c:pt idx="3">
                  <c:v>0.18407960199004975</c:v>
                </c:pt>
                <c:pt idx="4">
                  <c:v>0.30348258706467662</c:v>
                </c:pt>
                <c:pt idx="5">
                  <c:v>0.14427860696517414</c:v>
                </c:pt>
                <c:pt idx="6">
                  <c:v>8.45771144278607E-2</c:v>
                </c:pt>
                <c:pt idx="7">
                  <c:v>2.9850746268656716E-2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8026368"/>
        <c:axId val="198027904"/>
        <c:axId val="0"/>
      </c:bar3DChart>
      <c:catAx>
        <c:axId val="1980263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027904"/>
        <c:crosses val="autoZero"/>
        <c:auto val="1"/>
        <c:lblAlgn val="ctr"/>
        <c:lblOffset val="100"/>
        <c:noMultiLvlLbl val="0"/>
      </c:catAx>
      <c:valAx>
        <c:axId val="1980279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802636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200"/>
              <a:t>MOTOR 2011 EN ADELANTE. UNIDAD CARGADA</a:t>
            </a:r>
          </a:p>
          <a:p>
            <a:pPr>
              <a:defRPr sz="1400"/>
            </a:pPr>
            <a:r>
              <a:rPr lang="en-US" sz="1000"/>
              <a:t>ENCUESTA</a:t>
            </a:r>
            <a:r>
              <a:rPr lang="en-US" sz="1000" baseline="0"/>
              <a:t> A PROPIETARIOS</a:t>
            </a:r>
          </a:p>
          <a:p>
            <a:pPr>
              <a:defRPr sz="1400"/>
            </a:pPr>
            <a:r>
              <a:rPr lang="en-US" sz="800" baseline="0"/>
              <a:t>[% SOBRE EL TOTAL DE RESPUESTAS A RENDIMIENTO UNIDAD CON MOTOR 2011 EN ADELANTE (100% = 92)]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FEB'!$AK$197</c:f>
              <c:strCache>
                <c:ptCount val="1"/>
                <c:pt idx="0">
                  <c:v>RENDIMIENTO DE COMBUSTIBLE (SOLO DIESEL) MOTOR 2011 EN ADELANTE. UNIDAD CARGADA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FEB'!$AK$199:$AK$206</c:f>
              <c:strCache>
                <c:ptCount val="8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&gt;4.0</c:v>
                </c:pt>
              </c:strCache>
            </c:strRef>
          </c:cat>
          <c:val>
            <c:numRef>
              <c:f>'FORMULAS FEB'!$AL$199:$AL$206</c:f>
              <c:numCache>
                <c:formatCode>0.0%</c:formatCode>
                <c:ptCount val="8"/>
                <c:pt idx="0">
                  <c:v>0</c:v>
                </c:pt>
                <c:pt idx="1">
                  <c:v>2.1739130434782608E-2</c:v>
                </c:pt>
                <c:pt idx="2">
                  <c:v>0.51086956521739135</c:v>
                </c:pt>
                <c:pt idx="3">
                  <c:v>0.34782608695652173</c:v>
                </c:pt>
                <c:pt idx="4">
                  <c:v>8.6956521739130432E-2</c:v>
                </c:pt>
                <c:pt idx="5">
                  <c:v>3.2608695652173912E-2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2444160"/>
        <c:axId val="202450048"/>
        <c:axId val="0"/>
      </c:bar3DChart>
      <c:catAx>
        <c:axId val="2024441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450048"/>
        <c:crosses val="autoZero"/>
        <c:auto val="1"/>
        <c:lblAlgn val="ctr"/>
        <c:lblOffset val="100"/>
        <c:noMultiLvlLbl val="0"/>
      </c:catAx>
      <c:valAx>
        <c:axId val="2024500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44416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RENDIMIENTO DE COMBUSTIBLE (SOLO DIESEL) SEGÚN AÑO MODELO DEL MOTOR. </a:t>
            </a:r>
          </a:p>
          <a:p>
            <a:pPr>
              <a:defRPr sz="1400"/>
            </a:pPr>
            <a:r>
              <a:rPr lang="es-MX" sz="1200"/>
              <a:t>UNIDAD DE VACÍO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[% SOBRE EL TOTAL DE RESPUESTAS</a:t>
            </a:r>
            <a:r>
              <a:rPr lang="es-MX" sz="800" baseline="0"/>
              <a:t> PARA RENDIMIENTO AÑO MODELO DE MOTOR UNIDAD DE VACÍO (100% = 980)]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FEB'!$AL$210</c:f>
              <c:strCache>
                <c:ptCount val="1"/>
                <c:pt idx="0">
                  <c:v>Anterior a 1991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FEB'!$AK$211:$AK$218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FEB'!$AL$211:$AL$218</c:f>
              <c:numCache>
                <c:formatCode>0.0%</c:formatCode>
                <c:ptCount val="8"/>
                <c:pt idx="0">
                  <c:v>0</c:v>
                </c:pt>
                <c:pt idx="1">
                  <c:v>2.2222222222222223E-2</c:v>
                </c:pt>
                <c:pt idx="2">
                  <c:v>1.2222222222222223E-2</c:v>
                </c:pt>
                <c:pt idx="3">
                  <c:v>1.5555555555555555E-2</c:v>
                </c:pt>
                <c:pt idx="4">
                  <c:v>2.1111111111111112E-2</c:v>
                </c:pt>
                <c:pt idx="5">
                  <c:v>1.6666666666666666E-2</c:v>
                </c:pt>
                <c:pt idx="6">
                  <c:v>1.2222222222222223E-2</c:v>
                </c:pt>
                <c:pt idx="7">
                  <c:v>2.2222222222222222E-3</c:v>
                </c:pt>
              </c:numCache>
            </c:numRef>
          </c:val>
        </c:ser>
        <c:ser>
          <c:idx val="1"/>
          <c:order val="1"/>
          <c:tx>
            <c:strRef>
              <c:f>'FORMULAS FEB'!$AM$210</c:f>
              <c:strCache>
                <c:ptCount val="1"/>
                <c:pt idx="0">
                  <c:v>1991 a 1993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FEB'!$AK$211:$AK$218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FEB'!$AM$211:$AM$218</c:f>
              <c:numCache>
                <c:formatCode>0.0%</c:formatCode>
                <c:ptCount val="8"/>
                <c:pt idx="0">
                  <c:v>0</c:v>
                </c:pt>
                <c:pt idx="1">
                  <c:v>1.2222222222222223E-2</c:v>
                </c:pt>
                <c:pt idx="2">
                  <c:v>2.2222222222222223E-2</c:v>
                </c:pt>
                <c:pt idx="3">
                  <c:v>7.7777777777777776E-3</c:v>
                </c:pt>
                <c:pt idx="4">
                  <c:v>1.1111111111111111E-3</c:v>
                </c:pt>
                <c:pt idx="5">
                  <c:v>6.6666666666666671E-3</c:v>
                </c:pt>
                <c:pt idx="6">
                  <c:v>4.4444444444444444E-3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FEB'!$AN$210</c:f>
              <c:strCache>
                <c:ptCount val="1"/>
                <c:pt idx="0">
                  <c:v>1994 a 1997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FEB'!$AK$211:$AK$218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FEB'!$AN$211:$AN$218</c:f>
              <c:numCache>
                <c:formatCode>0.0%</c:formatCode>
                <c:ptCount val="8"/>
                <c:pt idx="0">
                  <c:v>4.4444444444444444E-3</c:v>
                </c:pt>
                <c:pt idx="1">
                  <c:v>3.5555555555555556E-2</c:v>
                </c:pt>
                <c:pt idx="2">
                  <c:v>6.6666666666666671E-3</c:v>
                </c:pt>
                <c:pt idx="3">
                  <c:v>2.4444444444444446E-2</c:v>
                </c:pt>
                <c:pt idx="4">
                  <c:v>1.1111111111111112E-2</c:v>
                </c:pt>
                <c:pt idx="5">
                  <c:v>8.8888888888888889E-3</c:v>
                </c:pt>
                <c:pt idx="6">
                  <c:v>1.5555555555555555E-2</c:v>
                </c:pt>
                <c:pt idx="7">
                  <c:v>1.1111111111111112E-2</c:v>
                </c:pt>
              </c:numCache>
            </c:numRef>
          </c:val>
        </c:ser>
        <c:ser>
          <c:idx val="3"/>
          <c:order val="3"/>
          <c:tx>
            <c:strRef>
              <c:f>'FORMULAS FEB'!$AO$210</c:f>
              <c:strCache>
                <c:ptCount val="1"/>
                <c:pt idx="0">
                  <c:v>1998 a 2003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FEB'!$AK$211:$AK$218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FEB'!$AO$211:$AO$218</c:f>
              <c:numCache>
                <c:formatCode>0.0%</c:formatCode>
                <c:ptCount val="8"/>
                <c:pt idx="0">
                  <c:v>3.3333333333333335E-3</c:v>
                </c:pt>
                <c:pt idx="1">
                  <c:v>4.6666666666666669E-2</c:v>
                </c:pt>
                <c:pt idx="2">
                  <c:v>2.8888888888888888E-2</c:v>
                </c:pt>
                <c:pt idx="3">
                  <c:v>4.8888888888888891E-2</c:v>
                </c:pt>
                <c:pt idx="4">
                  <c:v>4.4444444444444446E-2</c:v>
                </c:pt>
                <c:pt idx="5">
                  <c:v>2.7777777777777776E-2</c:v>
                </c:pt>
                <c:pt idx="6">
                  <c:v>0.04</c:v>
                </c:pt>
                <c:pt idx="7">
                  <c:v>1.5555555555555555E-2</c:v>
                </c:pt>
              </c:numCache>
            </c:numRef>
          </c:val>
        </c:ser>
        <c:ser>
          <c:idx val="4"/>
          <c:order val="4"/>
          <c:tx>
            <c:strRef>
              <c:f>'FORMULAS FEB'!$AP$210</c:f>
              <c:strCache>
                <c:ptCount val="1"/>
                <c:pt idx="0">
                  <c:v>2004 a 2006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FEB'!$AK$211:$AK$218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FEB'!$AP$211:$AP$218</c:f>
              <c:numCache>
                <c:formatCode>0.0%</c:formatCode>
                <c:ptCount val="8"/>
                <c:pt idx="0">
                  <c:v>0</c:v>
                </c:pt>
                <c:pt idx="1">
                  <c:v>1.8888888888888889E-2</c:v>
                </c:pt>
                <c:pt idx="2">
                  <c:v>1.2222222222222223E-2</c:v>
                </c:pt>
                <c:pt idx="3">
                  <c:v>2.4444444444444446E-2</c:v>
                </c:pt>
                <c:pt idx="4">
                  <c:v>0.03</c:v>
                </c:pt>
                <c:pt idx="5">
                  <c:v>1.7777777777777778E-2</c:v>
                </c:pt>
                <c:pt idx="6">
                  <c:v>1.4444444444444444E-2</c:v>
                </c:pt>
                <c:pt idx="7">
                  <c:v>2.6666666666666668E-2</c:v>
                </c:pt>
              </c:numCache>
            </c:numRef>
          </c:val>
        </c:ser>
        <c:ser>
          <c:idx val="5"/>
          <c:order val="5"/>
          <c:tx>
            <c:strRef>
              <c:f>'FORMULAS FEB'!$AQ$210</c:f>
              <c:strCache>
                <c:ptCount val="1"/>
                <c:pt idx="0">
                  <c:v>2007 a 2010</c:v>
                </c:pt>
              </c:strCache>
            </c:strRef>
          </c:tx>
          <c:invertIfNegative val="0"/>
          <c:dLbls>
            <c:dLbl>
              <c:idx val="4"/>
              <c:layout>
                <c:manualLayout>
                  <c:x val="1.9251336249902384E-2"/>
                  <c:y val="5.998888394958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FEB'!$AK$211:$AK$218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FEB'!$AQ$211:$AQ$218</c:f>
              <c:numCache>
                <c:formatCode>0.0%</c:formatCode>
                <c:ptCount val="8"/>
                <c:pt idx="0">
                  <c:v>7.7777777777777776E-3</c:v>
                </c:pt>
                <c:pt idx="1">
                  <c:v>1.7777777777777778E-2</c:v>
                </c:pt>
                <c:pt idx="2">
                  <c:v>1.4444444444444444E-2</c:v>
                </c:pt>
                <c:pt idx="3">
                  <c:v>3.6666666666666667E-2</c:v>
                </c:pt>
                <c:pt idx="4">
                  <c:v>0.06</c:v>
                </c:pt>
                <c:pt idx="5">
                  <c:v>4.4444444444444446E-2</c:v>
                </c:pt>
                <c:pt idx="6">
                  <c:v>2.2222222222222223E-2</c:v>
                </c:pt>
                <c:pt idx="7">
                  <c:v>0.02</c:v>
                </c:pt>
              </c:numCache>
            </c:numRef>
          </c:val>
        </c:ser>
        <c:ser>
          <c:idx val="6"/>
          <c:order val="6"/>
          <c:tx>
            <c:strRef>
              <c:f>'FORMULAS FEB'!$AR$210</c:f>
              <c:strCache>
                <c:ptCount val="1"/>
                <c:pt idx="0">
                  <c:v>2011 en adelante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FEB'!$AK$211:$AK$218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FEB'!$AR$211:$AR$218</c:f>
              <c:numCache>
                <c:formatCode>0.0%</c:formatCode>
                <c:ptCount val="8"/>
                <c:pt idx="0">
                  <c:v>0</c:v>
                </c:pt>
                <c:pt idx="1">
                  <c:v>1.1111111111111112E-2</c:v>
                </c:pt>
                <c:pt idx="2">
                  <c:v>0.04</c:v>
                </c:pt>
                <c:pt idx="3">
                  <c:v>2.1111111111111112E-2</c:v>
                </c:pt>
                <c:pt idx="4">
                  <c:v>1.4444444444444444E-2</c:v>
                </c:pt>
                <c:pt idx="5">
                  <c:v>1.4444444444444444E-2</c:v>
                </c:pt>
                <c:pt idx="6">
                  <c:v>1.1111111111111111E-3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2597504"/>
        <c:axId val="202599040"/>
        <c:axId val="0"/>
      </c:bar3DChart>
      <c:catAx>
        <c:axId val="2025975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599040"/>
        <c:crosses val="autoZero"/>
        <c:auto val="1"/>
        <c:lblAlgn val="ctr"/>
        <c:lblOffset val="100"/>
        <c:noMultiLvlLbl val="0"/>
      </c:catAx>
      <c:valAx>
        <c:axId val="20259904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5975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200"/>
              <a:t>MOTOR ANTERIOR A 1991. UNIDAD DE VACÍO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RENDIMIENTO UNIDAD CON MOTOR ANTERIOR A 1991 (100% = 92)]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FEB'!$AK$221</c:f>
              <c:strCache>
                <c:ptCount val="1"/>
                <c:pt idx="0">
                  <c:v>RENDIMIENTO DE COMBUSTIBLE (SOLO DIESEL) MOTOR ANTERIOR A 1991. UNIDAD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FEB'!$AK$223:$AK$230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FEB'!$AL$223:$AL$230</c:f>
              <c:numCache>
                <c:formatCode>0.0%</c:formatCode>
                <c:ptCount val="8"/>
                <c:pt idx="0">
                  <c:v>0</c:v>
                </c:pt>
                <c:pt idx="1">
                  <c:v>0.21739130434782608</c:v>
                </c:pt>
                <c:pt idx="2">
                  <c:v>0.11956521739130435</c:v>
                </c:pt>
                <c:pt idx="3">
                  <c:v>0.15217391304347827</c:v>
                </c:pt>
                <c:pt idx="4">
                  <c:v>0.20652173913043478</c:v>
                </c:pt>
                <c:pt idx="5">
                  <c:v>0.16304347826086957</c:v>
                </c:pt>
                <c:pt idx="6">
                  <c:v>0.11956521739130435</c:v>
                </c:pt>
                <c:pt idx="7">
                  <c:v>2.1739130434782608E-2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2633216"/>
        <c:axId val="202634752"/>
        <c:axId val="0"/>
      </c:bar3DChart>
      <c:catAx>
        <c:axId val="202633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634752"/>
        <c:crosses val="autoZero"/>
        <c:auto val="1"/>
        <c:lblAlgn val="ctr"/>
        <c:lblOffset val="100"/>
        <c:noMultiLvlLbl val="0"/>
      </c:catAx>
      <c:valAx>
        <c:axId val="2026347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63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200"/>
              <a:t>MOTOR ENTRE 1991 Y 1993. UNIDAD DE VACÍO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RENDIMIENTO UNIDAD CON MOTOR ENTRE 1991 Y 1993 (100% = 49)]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FEB'!$AK$233</c:f>
              <c:strCache>
                <c:ptCount val="1"/>
                <c:pt idx="0">
                  <c:v>RENDIMIENTO DE COMBUSTIBLE (SOLO DIESEL) MOTOR ENTRE 1991 Y 1993. UNIDAD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FEB'!$AK$235:$AK$242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FEB'!$AL$235:$AL$242</c:f>
              <c:numCache>
                <c:formatCode>0.0%</c:formatCode>
                <c:ptCount val="8"/>
                <c:pt idx="0">
                  <c:v>0</c:v>
                </c:pt>
                <c:pt idx="1">
                  <c:v>0.22448979591836735</c:v>
                </c:pt>
                <c:pt idx="2">
                  <c:v>0.40816326530612246</c:v>
                </c:pt>
                <c:pt idx="3">
                  <c:v>0.14285714285714285</c:v>
                </c:pt>
                <c:pt idx="4">
                  <c:v>2.0408163265306121E-2</c:v>
                </c:pt>
                <c:pt idx="5">
                  <c:v>0.12244897959183673</c:v>
                </c:pt>
                <c:pt idx="6">
                  <c:v>8.1632653061224483E-2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2664192"/>
        <c:axId val="202670080"/>
        <c:axId val="0"/>
      </c:bar3DChart>
      <c:catAx>
        <c:axId val="2026641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670080"/>
        <c:crosses val="autoZero"/>
        <c:auto val="1"/>
        <c:lblAlgn val="ctr"/>
        <c:lblOffset val="100"/>
        <c:noMultiLvlLbl val="0"/>
      </c:catAx>
      <c:valAx>
        <c:axId val="2026700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66419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RAZÓN POR LA QUE NO PARTICIPA EN EL PROGRAMA TRANSPORTE LIMPIO</a:t>
            </a:r>
          </a:p>
          <a:p>
            <a:pPr>
              <a:defRPr sz="1400"/>
            </a:pPr>
            <a:r>
              <a:rPr lang="en-US" sz="1200"/>
              <a:t>ENCUESTA A PROPIETARIOS</a:t>
            </a:r>
          </a:p>
          <a:p>
            <a:pPr>
              <a:defRPr sz="1400"/>
            </a:pPr>
            <a:r>
              <a:rPr lang="en-US" sz="800"/>
              <a:t>[PORCENTAJE SOBRE</a:t>
            </a:r>
            <a:r>
              <a:rPr lang="en-US" sz="800" baseline="0"/>
              <a:t> EL TOTAL DE RESPUESTAS (100% = 57)]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FORMULAS!$Z$46</c:f>
              <c:strCache>
                <c:ptCount val="1"/>
                <c:pt idx="0">
                  <c:v>RAZÓN POR LA QUE NO PARTICIPA EN EL PROGRAMA TRANSPORTE LIMPIO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FORMULAS!$Z$47:$Z$52</c:f>
              <c:strCache>
                <c:ptCount val="6"/>
                <c:pt idx="0">
                  <c:v>NO HAY INCENTIVOS</c:v>
                </c:pt>
                <c:pt idx="1">
                  <c:v>FALTA DE TIEMPO</c:v>
                </c:pt>
                <c:pt idx="2">
                  <c:v>NO HAY INFORMACION</c:v>
                </c:pt>
                <c:pt idx="3">
                  <c:v>UNIDADES EN BUEN ESTADO</c:v>
                </c:pt>
                <c:pt idx="4">
                  <c:v>NO HAY DINERO PARA CAMBIAR</c:v>
                </c:pt>
                <c:pt idx="5">
                  <c:v>NO LE INTERESA</c:v>
                </c:pt>
              </c:strCache>
            </c:strRef>
          </c:cat>
          <c:val>
            <c:numRef>
              <c:f>FORMULAS!$AA$47:$AA$52</c:f>
              <c:numCache>
                <c:formatCode>0.0%</c:formatCode>
                <c:ptCount val="6"/>
                <c:pt idx="0">
                  <c:v>0.17543859649122806</c:v>
                </c:pt>
                <c:pt idx="1">
                  <c:v>7.0175438596491224E-2</c:v>
                </c:pt>
                <c:pt idx="2">
                  <c:v>1.7543859649122806E-2</c:v>
                </c:pt>
                <c:pt idx="3">
                  <c:v>0.49122807017543857</c:v>
                </c:pt>
                <c:pt idx="4">
                  <c:v>3.5087719298245612E-2</c:v>
                </c:pt>
                <c:pt idx="5">
                  <c:v>0.21052631578947367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0494208"/>
        <c:axId val="170496000"/>
        <c:axId val="0"/>
      </c:bar3DChart>
      <c:catAx>
        <c:axId val="1704942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 b="1" i="1" baseline="0">
                <a:solidFill>
                  <a:sysClr val="windowText" lastClr="000000"/>
                </a:solidFill>
              </a:defRPr>
            </a:pPr>
            <a:endParaRPr lang="es-MX"/>
          </a:p>
        </c:txPr>
        <c:crossAx val="170496000"/>
        <c:crosses val="autoZero"/>
        <c:auto val="1"/>
        <c:lblAlgn val="ctr"/>
        <c:lblOffset val="100"/>
        <c:noMultiLvlLbl val="0"/>
      </c:catAx>
      <c:valAx>
        <c:axId val="1704960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7049420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200"/>
              <a:t>MOTOR ENTRE 1994 Y 1997. UNIDAD DE VACÍO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</a:t>
            </a:r>
            <a:r>
              <a:rPr lang="en-US" sz="800" baseline="0"/>
              <a:t> DE RESPUESTAS A RENDIMIENTO UNIDAD CON MOTOR ENTRE 1994 Y 1997 (100% = 106)]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FEB'!$AK$245</c:f>
              <c:strCache>
                <c:ptCount val="1"/>
                <c:pt idx="0">
                  <c:v>RENDIMIENTO DE COMBUSTIBLE (SOLO DIESEL) MOTOR ENTRE 1994 Y 1997. UNIDAD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FEB'!$AK$247:$AK$254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FEB'!$AL$247:$AL$254</c:f>
              <c:numCache>
                <c:formatCode>0.0%</c:formatCode>
                <c:ptCount val="8"/>
                <c:pt idx="0">
                  <c:v>3.7735849056603772E-2</c:v>
                </c:pt>
                <c:pt idx="1">
                  <c:v>0.30188679245283018</c:v>
                </c:pt>
                <c:pt idx="2">
                  <c:v>5.6603773584905662E-2</c:v>
                </c:pt>
                <c:pt idx="3">
                  <c:v>0.20754716981132076</c:v>
                </c:pt>
                <c:pt idx="4">
                  <c:v>9.4339622641509441E-2</c:v>
                </c:pt>
                <c:pt idx="5">
                  <c:v>7.5471698113207544E-2</c:v>
                </c:pt>
                <c:pt idx="6">
                  <c:v>0.13207547169811321</c:v>
                </c:pt>
                <c:pt idx="7">
                  <c:v>9.4339622641509441E-2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2703616"/>
        <c:axId val="202705152"/>
        <c:axId val="0"/>
      </c:bar3DChart>
      <c:catAx>
        <c:axId val="2027036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705152"/>
        <c:crosses val="autoZero"/>
        <c:auto val="1"/>
        <c:lblAlgn val="ctr"/>
        <c:lblOffset val="100"/>
        <c:noMultiLvlLbl val="0"/>
      </c:catAx>
      <c:valAx>
        <c:axId val="2027051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70361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200"/>
              <a:t>MOTOR ENTRE 1998 Y 2003. UNIDAD DE VACÍO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RENDIMIENTO UNIDAD CON MOTOR ENTRE 1998 Y 2003 (100% = 230)]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FEB'!$AK$257</c:f>
              <c:strCache>
                <c:ptCount val="1"/>
                <c:pt idx="0">
                  <c:v>RENDIMIENTO DE COMBUSTIBLE (SOLO DIESEL) MOTOR ENTRE 1998 Y 2003. UNIDAD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FEB'!$AK$259:$AK$266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FEB'!$AL$259:$AL$266</c:f>
              <c:numCache>
                <c:formatCode>0.0%</c:formatCode>
                <c:ptCount val="8"/>
                <c:pt idx="0">
                  <c:v>1.3043478260869565E-2</c:v>
                </c:pt>
                <c:pt idx="1">
                  <c:v>0.18260869565217391</c:v>
                </c:pt>
                <c:pt idx="2">
                  <c:v>0.11304347826086956</c:v>
                </c:pt>
                <c:pt idx="3">
                  <c:v>0.19130434782608696</c:v>
                </c:pt>
                <c:pt idx="4">
                  <c:v>0.17391304347826086</c:v>
                </c:pt>
                <c:pt idx="5">
                  <c:v>0.10869565217391304</c:v>
                </c:pt>
                <c:pt idx="6">
                  <c:v>0.15652173913043479</c:v>
                </c:pt>
                <c:pt idx="7">
                  <c:v>6.0869565217391307E-2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2742784"/>
        <c:axId val="202756864"/>
        <c:axId val="0"/>
      </c:bar3DChart>
      <c:catAx>
        <c:axId val="2027427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756864"/>
        <c:crosses val="autoZero"/>
        <c:auto val="1"/>
        <c:lblAlgn val="ctr"/>
        <c:lblOffset val="100"/>
        <c:noMultiLvlLbl val="0"/>
      </c:catAx>
      <c:valAx>
        <c:axId val="2027568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74278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200"/>
              <a:t>MOTOR ENTRE 2004 Y 2006. UNIDAD DE VACÍO</a:t>
            </a:r>
          </a:p>
          <a:p>
            <a:pPr>
              <a:defRPr sz="1400"/>
            </a:pPr>
            <a:r>
              <a:rPr lang="en-US" sz="1000"/>
              <a:t>ENCUESTA</a:t>
            </a:r>
            <a:r>
              <a:rPr lang="en-US" sz="1000" baseline="0"/>
              <a:t> A PROPIETARIOS</a:t>
            </a:r>
          </a:p>
          <a:p>
            <a:pPr>
              <a:defRPr sz="1400"/>
            </a:pPr>
            <a:r>
              <a:rPr lang="en-US" sz="800" baseline="0"/>
              <a:t>[% SOBRE EL TOTAL DE RESPUESTAS A RENDIMIENTO UNIDAD CON MOTOR ENTRE 2004 Y 2006 (100% = 130)]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FEB'!$AK$269</c:f>
              <c:strCache>
                <c:ptCount val="1"/>
                <c:pt idx="0">
                  <c:v>RENDIMIENTO DE COMBUSTIBLE (SOLO DIESEL) MOTOR ENTRE 2004 Y 2006. UNIDAD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FEB'!$AK$271:$AK$278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FEB'!$AL$271:$AL$278</c:f>
              <c:numCache>
                <c:formatCode>0.0%</c:formatCode>
                <c:ptCount val="8"/>
                <c:pt idx="0">
                  <c:v>0</c:v>
                </c:pt>
                <c:pt idx="1">
                  <c:v>0.13076923076923078</c:v>
                </c:pt>
                <c:pt idx="2">
                  <c:v>8.461538461538462E-2</c:v>
                </c:pt>
                <c:pt idx="3">
                  <c:v>0.16923076923076924</c:v>
                </c:pt>
                <c:pt idx="4">
                  <c:v>0.2076923076923077</c:v>
                </c:pt>
                <c:pt idx="5">
                  <c:v>0.12307692307692308</c:v>
                </c:pt>
                <c:pt idx="6">
                  <c:v>0.1</c:v>
                </c:pt>
                <c:pt idx="7">
                  <c:v>0.18461538461538463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2790016"/>
        <c:axId val="202791552"/>
        <c:axId val="0"/>
      </c:bar3DChart>
      <c:catAx>
        <c:axId val="2027900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791552"/>
        <c:crosses val="autoZero"/>
        <c:auto val="1"/>
        <c:lblAlgn val="ctr"/>
        <c:lblOffset val="100"/>
        <c:noMultiLvlLbl val="0"/>
      </c:catAx>
      <c:valAx>
        <c:axId val="2027915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79001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200"/>
              <a:t>MOTOR ENTRE 2007 Y 2010. UNIDAD DE VACÍO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</a:t>
            </a:r>
            <a:r>
              <a:rPr lang="en-US" sz="800" baseline="0"/>
              <a:t> SOBRE EL TOTAL DE RESPUESTAS A RENDIMIENTO UNIDAD CON MOTOR ENTRE 2007 Y 2010 (100% = 201)]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FEB'!$AK$281</c:f>
              <c:strCache>
                <c:ptCount val="1"/>
                <c:pt idx="0">
                  <c:v>RENDIMIENTO DE COMBUSTIBLE (SOLO DIESEL) MOTOR ENTRE 2007 Y 2010. UNIDAD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FEB'!$AK$283:$AK$290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FEB'!$AL$283:$AL$290</c:f>
              <c:numCache>
                <c:formatCode>0.0%</c:formatCode>
                <c:ptCount val="8"/>
                <c:pt idx="0">
                  <c:v>3.482587064676617E-2</c:v>
                </c:pt>
                <c:pt idx="1">
                  <c:v>7.9601990049751242E-2</c:v>
                </c:pt>
                <c:pt idx="2">
                  <c:v>6.4676616915422883E-2</c:v>
                </c:pt>
                <c:pt idx="3">
                  <c:v>0.16417910447761194</c:v>
                </c:pt>
                <c:pt idx="4">
                  <c:v>0.26865671641791045</c:v>
                </c:pt>
                <c:pt idx="5">
                  <c:v>0.19900497512437812</c:v>
                </c:pt>
                <c:pt idx="6">
                  <c:v>9.950248756218906E-2</c:v>
                </c:pt>
                <c:pt idx="7">
                  <c:v>8.9552238805970144E-2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2829184"/>
        <c:axId val="202830976"/>
        <c:axId val="0"/>
      </c:bar3DChart>
      <c:catAx>
        <c:axId val="2028291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830976"/>
        <c:crosses val="autoZero"/>
        <c:auto val="1"/>
        <c:lblAlgn val="ctr"/>
        <c:lblOffset val="100"/>
        <c:noMultiLvlLbl val="0"/>
      </c:catAx>
      <c:valAx>
        <c:axId val="2028309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82918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COMBUSTIBLE (SOLO DIESEL)</a:t>
            </a:r>
          </a:p>
          <a:p>
            <a:pPr>
              <a:defRPr sz="1400"/>
            </a:pPr>
            <a:r>
              <a:rPr lang="en-US" sz="1200"/>
              <a:t>MOTOR 2011 EN ADELANTE. UNIDAD DE VACÍO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RENDIMIENTO UNIDAD CON MOTOR 2011 EN ADELANTE (100% = 92)]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FEB'!$AK$293</c:f>
              <c:strCache>
                <c:ptCount val="1"/>
                <c:pt idx="0">
                  <c:v>RENDIMIENTO DE COMBUSTIBLE (SOLO DIESEL) MOTOR 2011 EN ADELANTE. UNIDAD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FEB'!$AK$295:$AK$302</c:f>
              <c:strCache>
                <c:ptCount val="8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&gt;4.0</c:v>
                </c:pt>
              </c:strCache>
            </c:strRef>
          </c:cat>
          <c:val>
            <c:numRef>
              <c:f>'FORMULAS FEB'!$AL$295:$AL$302</c:f>
              <c:numCache>
                <c:formatCode>0.0%</c:formatCode>
                <c:ptCount val="8"/>
                <c:pt idx="0">
                  <c:v>0</c:v>
                </c:pt>
                <c:pt idx="1">
                  <c:v>0.10869565217391304</c:v>
                </c:pt>
                <c:pt idx="2">
                  <c:v>0.39130434782608697</c:v>
                </c:pt>
                <c:pt idx="3">
                  <c:v>0.20652173913043478</c:v>
                </c:pt>
                <c:pt idx="4">
                  <c:v>0.14130434782608695</c:v>
                </c:pt>
                <c:pt idx="5">
                  <c:v>0.14130434782608695</c:v>
                </c:pt>
                <c:pt idx="6">
                  <c:v>1.0869565217391304E-2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2925952"/>
        <c:axId val="202927488"/>
        <c:axId val="0"/>
      </c:bar3DChart>
      <c:catAx>
        <c:axId val="202925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927488"/>
        <c:crosses val="autoZero"/>
        <c:auto val="1"/>
        <c:lblAlgn val="ctr"/>
        <c:lblOffset val="100"/>
        <c:noMultiLvlLbl val="0"/>
      </c:catAx>
      <c:valAx>
        <c:axId val="2029274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92595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KILÓMETROS RECORRIDOS SEGÚN AÑO MODELO </a:t>
            </a:r>
            <a:r>
              <a:rPr lang="es-MX" sz="1400" i="1" u="sng"/>
              <a:t>DE LA UNIDAD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[% SOBRE EL TOTAL DE RESPUESTAS A KILÓMETROS RECORRIDOS POR LA UNIDAD (100% = 971)</a:t>
            </a:r>
            <a:r>
              <a:rPr lang="es-MX" sz="1400"/>
              <a:t>]</a:t>
            </a:r>
          </a:p>
        </c:rich>
      </c:tx>
      <c:layout>
        <c:manualLayout>
          <c:xMode val="edge"/>
          <c:yMode val="edge"/>
          <c:x val="0.27305631188170881"/>
          <c:y val="1.2949636619940913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FEB'!$BE$3</c:f>
              <c:strCache>
                <c:ptCount val="1"/>
                <c:pt idx="0">
                  <c:v>Anterior a 1991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FEB'!$BD$4:$BD$10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FEB'!$BE$4:$BE$10</c:f>
              <c:numCache>
                <c:formatCode>0.0%</c:formatCode>
                <c:ptCount val="7"/>
                <c:pt idx="0">
                  <c:v>5.1493305870236872E-3</c:v>
                </c:pt>
                <c:pt idx="1">
                  <c:v>8.2389289392378988E-3</c:v>
                </c:pt>
                <c:pt idx="2">
                  <c:v>2.4716786817713696E-2</c:v>
                </c:pt>
                <c:pt idx="3">
                  <c:v>4.2224510813594233E-2</c:v>
                </c:pt>
                <c:pt idx="4">
                  <c:v>6.0762100926879503E-2</c:v>
                </c:pt>
                <c:pt idx="5">
                  <c:v>2.1627188465499485E-2</c:v>
                </c:pt>
                <c:pt idx="6">
                  <c:v>1.6477857878475798E-2</c:v>
                </c:pt>
              </c:numCache>
            </c:numRef>
          </c:val>
        </c:ser>
        <c:ser>
          <c:idx val="1"/>
          <c:order val="1"/>
          <c:tx>
            <c:strRef>
              <c:f>'FORMULAS FEB'!$BF$3</c:f>
              <c:strCache>
                <c:ptCount val="1"/>
                <c:pt idx="0">
                  <c:v>1991 a 1993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FEB'!$BD$4:$BD$10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FEB'!$BF$4:$BF$10</c:f>
              <c:numCache>
                <c:formatCode>0.0%</c:formatCode>
                <c:ptCount val="7"/>
                <c:pt idx="0">
                  <c:v>2.0597322348094747E-3</c:v>
                </c:pt>
                <c:pt idx="1">
                  <c:v>3.089598352214212E-3</c:v>
                </c:pt>
                <c:pt idx="2">
                  <c:v>1.7507723995880537E-2</c:v>
                </c:pt>
                <c:pt idx="3">
                  <c:v>8.2389289392378988E-3</c:v>
                </c:pt>
                <c:pt idx="4">
                  <c:v>1.4418125643666324E-2</c:v>
                </c:pt>
                <c:pt idx="5">
                  <c:v>1.0298661174047373E-3</c:v>
                </c:pt>
                <c:pt idx="6">
                  <c:v>4.1194644696189494E-3</c:v>
                </c:pt>
              </c:numCache>
            </c:numRef>
          </c:val>
        </c:ser>
        <c:ser>
          <c:idx val="2"/>
          <c:order val="2"/>
          <c:tx>
            <c:strRef>
              <c:f>'FORMULAS FEB'!$BG$3</c:f>
              <c:strCache>
                <c:ptCount val="1"/>
                <c:pt idx="0">
                  <c:v>1994 a 1997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FEB'!$BD$4:$BD$10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FEB'!$BG$4:$BG$10</c:f>
              <c:numCache>
                <c:formatCode>0.0%</c:formatCode>
                <c:ptCount val="7"/>
                <c:pt idx="0">
                  <c:v>4.1194644696189494E-3</c:v>
                </c:pt>
                <c:pt idx="1">
                  <c:v>1.9567456230690009E-2</c:v>
                </c:pt>
                <c:pt idx="2">
                  <c:v>3.7075180226570546E-2</c:v>
                </c:pt>
                <c:pt idx="3">
                  <c:v>3.5015447991761074E-2</c:v>
                </c:pt>
                <c:pt idx="4">
                  <c:v>6.1791967044284241E-3</c:v>
                </c:pt>
                <c:pt idx="5">
                  <c:v>1.0298661174047373E-3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'FORMULAS FEB'!$BH$3</c:f>
              <c:strCache>
                <c:ptCount val="1"/>
                <c:pt idx="0">
                  <c:v>1998 a 2003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FEB'!$BD$4:$BD$10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FEB'!$BH$4:$BH$10</c:f>
              <c:numCache>
                <c:formatCode>0.0%</c:formatCode>
                <c:ptCount val="7"/>
                <c:pt idx="0">
                  <c:v>7.2090628218331619E-3</c:v>
                </c:pt>
                <c:pt idx="1">
                  <c:v>1.7507723995880537E-2</c:v>
                </c:pt>
                <c:pt idx="2">
                  <c:v>0.12667353244078269</c:v>
                </c:pt>
                <c:pt idx="3">
                  <c:v>5.0463439752832129E-2</c:v>
                </c:pt>
                <c:pt idx="4">
                  <c:v>1.7507723995880537E-2</c:v>
                </c:pt>
                <c:pt idx="5">
                  <c:v>1.0298661174047373E-3</c:v>
                </c:pt>
                <c:pt idx="6">
                  <c:v>3.089598352214212E-3</c:v>
                </c:pt>
              </c:numCache>
            </c:numRef>
          </c:val>
        </c:ser>
        <c:ser>
          <c:idx val="4"/>
          <c:order val="4"/>
          <c:tx>
            <c:strRef>
              <c:f>'FORMULAS FEB'!$BI$3</c:f>
              <c:strCache>
                <c:ptCount val="1"/>
                <c:pt idx="0">
                  <c:v>2004 a 2006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FEB'!$BD$4:$BD$10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FEB'!$BI$4:$BI$10</c:f>
              <c:numCache>
                <c:formatCode>0.0%</c:formatCode>
                <c:ptCount val="7"/>
                <c:pt idx="0">
                  <c:v>1.8537590113285273E-2</c:v>
                </c:pt>
                <c:pt idx="1">
                  <c:v>3.1925849639546859E-2</c:v>
                </c:pt>
                <c:pt idx="2">
                  <c:v>7.6210092687950565E-2</c:v>
                </c:pt>
                <c:pt idx="3">
                  <c:v>3.089598352214212E-3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5"/>
          <c:order val="5"/>
          <c:tx>
            <c:strRef>
              <c:f>'FORMULAS FEB'!$BJ$3</c:f>
              <c:strCache>
                <c:ptCount val="1"/>
                <c:pt idx="0">
                  <c:v>2007 a 2010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FEB'!$BD$4:$BD$10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FEB'!$BJ$4:$BJ$10</c:f>
              <c:numCache>
                <c:formatCode>0.0%</c:formatCode>
                <c:ptCount val="7"/>
                <c:pt idx="0">
                  <c:v>4.4284243048403706E-2</c:v>
                </c:pt>
                <c:pt idx="1">
                  <c:v>9.577754891864057E-2</c:v>
                </c:pt>
                <c:pt idx="2">
                  <c:v>7.0030895983522148E-2</c:v>
                </c:pt>
                <c:pt idx="3">
                  <c:v>2.0597322348094747E-3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6"/>
          <c:order val="6"/>
          <c:tx>
            <c:strRef>
              <c:f>'FORMULAS FEB'!$BK$3</c:f>
              <c:strCache>
                <c:ptCount val="1"/>
                <c:pt idx="0">
                  <c:v>2011 en adelante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FEB'!$BD$4:$BD$10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FEB'!$BK$4:$BK$10</c:f>
              <c:numCache>
                <c:formatCode>0.0%</c:formatCode>
                <c:ptCount val="7"/>
                <c:pt idx="0">
                  <c:v>8.8568486096807411E-2</c:v>
                </c:pt>
                <c:pt idx="1">
                  <c:v>9.2687950566426366E-3</c:v>
                </c:pt>
                <c:pt idx="2">
                  <c:v>4.1194644696189494E-3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0908160"/>
        <c:axId val="201008256"/>
        <c:axId val="0"/>
      </c:bar3DChart>
      <c:catAx>
        <c:axId val="2009081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008256"/>
        <c:crosses val="autoZero"/>
        <c:auto val="1"/>
        <c:lblAlgn val="ctr"/>
        <c:lblOffset val="100"/>
        <c:noMultiLvlLbl val="0"/>
      </c:catAx>
      <c:valAx>
        <c:axId val="20100825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09081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RECORRIDOS SEGÚN AÑO MODELO </a:t>
            </a:r>
            <a:r>
              <a:rPr lang="en-US" sz="1400" i="1" u="sng"/>
              <a:t>DE LA UNIDAD</a:t>
            </a:r>
            <a:r>
              <a:rPr lang="en-US" sz="1400"/>
              <a:t>. </a:t>
            </a:r>
          </a:p>
          <a:p>
            <a:pPr>
              <a:defRPr sz="1400"/>
            </a:pPr>
            <a:r>
              <a:rPr lang="en-US" sz="1200"/>
              <a:t>UNIDAD ANTERIOR A 1991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KILÓMETROS RECORRIDOS POR</a:t>
            </a:r>
            <a:r>
              <a:rPr lang="en-US" sz="800" baseline="0"/>
              <a:t> UNIDAD ANTERIOR A 1991 (100% = 174)]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FEB'!$BD$14</c:f>
              <c:strCache>
                <c:ptCount val="1"/>
                <c:pt idx="0">
                  <c:v>KILÓMETROS RECORRIDOS SEGÚN AÑO MODELO DE LA UNIDAD. UNIDAD ANTERIOR A 1991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FEB'!$BD$16:$BD$22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FEB'!$BE$16:$BE$22</c:f>
              <c:numCache>
                <c:formatCode>0.0%</c:formatCode>
                <c:ptCount val="7"/>
                <c:pt idx="0">
                  <c:v>2.8735632183908046E-2</c:v>
                </c:pt>
                <c:pt idx="1">
                  <c:v>4.5977011494252873E-2</c:v>
                </c:pt>
                <c:pt idx="2">
                  <c:v>0.13793103448275862</c:v>
                </c:pt>
                <c:pt idx="3">
                  <c:v>0.23563218390804597</c:v>
                </c:pt>
                <c:pt idx="4">
                  <c:v>0.33908045977011492</c:v>
                </c:pt>
                <c:pt idx="5">
                  <c:v>0.1206896551724138</c:v>
                </c:pt>
                <c:pt idx="6">
                  <c:v>9.1954022988505746E-2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1034368"/>
        <c:axId val="201036160"/>
        <c:axId val="0"/>
      </c:bar3DChart>
      <c:catAx>
        <c:axId val="2010343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036160"/>
        <c:crosses val="autoZero"/>
        <c:auto val="1"/>
        <c:lblAlgn val="ctr"/>
        <c:lblOffset val="100"/>
        <c:noMultiLvlLbl val="0"/>
      </c:catAx>
      <c:valAx>
        <c:axId val="2010361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103436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RECORRIDOS SEGÚN AÑO MODELO </a:t>
            </a:r>
            <a:r>
              <a:rPr lang="en-US" sz="1400" b="1" i="1" u="sng"/>
              <a:t>DE LA UNIDAD</a:t>
            </a:r>
            <a:r>
              <a:rPr lang="en-US" sz="1400"/>
              <a:t>. </a:t>
            </a:r>
          </a:p>
          <a:p>
            <a:pPr>
              <a:defRPr sz="1400"/>
            </a:pPr>
            <a:r>
              <a:rPr lang="en-US" sz="1200"/>
              <a:t>UNIDAD ENTRE 1991 Y 1993</a:t>
            </a:r>
          </a:p>
          <a:p>
            <a:pPr>
              <a:defRPr sz="1400"/>
            </a:pPr>
            <a:r>
              <a:rPr lang="en-US" sz="1000"/>
              <a:t>ENCUESTA</a:t>
            </a:r>
            <a:r>
              <a:rPr lang="en-US" sz="1000" baseline="0"/>
              <a:t> A PROPIETARIOS</a:t>
            </a:r>
          </a:p>
          <a:p>
            <a:pPr>
              <a:defRPr sz="1400"/>
            </a:pPr>
            <a:r>
              <a:rPr lang="en-US" sz="800" baseline="0"/>
              <a:t>[% SOBRE EL TOTAL DE RESPUESTAS A KILÓMETROS RECORRIDOS POR UNIDAD ENTRE 1991 Y 1993 (100% = 49)]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FEB'!$BD$25</c:f>
              <c:strCache>
                <c:ptCount val="1"/>
                <c:pt idx="0">
                  <c:v>KILÓMETROS RECORRIDOS SEGÚN AÑO MODELO DE LA UNIDAD. UNIDAD ENTRE 1991 Y 1993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FEB'!$BD$27:$BD$33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FEB'!$BE$27:$BE$33</c:f>
              <c:numCache>
                <c:formatCode>0.0%</c:formatCode>
                <c:ptCount val="7"/>
                <c:pt idx="0">
                  <c:v>4.0816326530612242E-2</c:v>
                </c:pt>
                <c:pt idx="1">
                  <c:v>6.1224489795918366E-2</c:v>
                </c:pt>
                <c:pt idx="2">
                  <c:v>0.34693877551020408</c:v>
                </c:pt>
                <c:pt idx="3">
                  <c:v>0.16326530612244897</c:v>
                </c:pt>
                <c:pt idx="4">
                  <c:v>0.2857142857142857</c:v>
                </c:pt>
                <c:pt idx="5">
                  <c:v>2.0408163265306121E-2</c:v>
                </c:pt>
                <c:pt idx="6">
                  <c:v>8.1632653061224483E-2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3297920"/>
        <c:axId val="203299456"/>
        <c:axId val="0"/>
      </c:bar3DChart>
      <c:catAx>
        <c:axId val="2032979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299456"/>
        <c:crosses val="autoZero"/>
        <c:auto val="1"/>
        <c:lblAlgn val="ctr"/>
        <c:lblOffset val="100"/>
        <c:noMultiLvlLbl val="0"/>
      </c:catAx>
      <c:valAx>
        <c:axId val="2032994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29792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RECORRIDOS SEGÚN AÑO MODELO </a:t>
            </a:r>
            <a:r>
              <a:rPr lang="en-US" sz="1400" i="1" u="sng"/>
              <a:t>DE LA UNIDAD</a:t>
            </a:r>
            <a:r>
              <a:rPr lang="en-US" sz="1400"/>
              <a:t>. </a:t>
            </a:r>
          </a:p>
          <a:p>
            <a:pPr>
              <a:defRPr sz="1400"/>
            </a:pPr>
            <a:r>
              <a:rPr lang="en-US" sz="1200"/>
              <a:t>UNIDAD ENTRE 1994 Y 1997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KILÓMETROS</a:t>
            </a:r>
            <a:r>
              <a:rPr lang="en-US" sz="800" baseline="0"/>
              <a:t> RECORRIDOS POR UNIDAD ENTRE 1994 Y 1997 (100% = 100)]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FEB'!$BD$36</c:f>
              <c:strCache>
                <c:ptCount val="1"/>
                <c:pt idx="0">
                  <c:v>KILÓMETROS RECORRIDOS SEGÚN AÑO MODELO DE LA UNIDAD. UNIDAD ENTRE 1994 Y 1997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FEB'!$BD$38:$BD$44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FEB'!$BE$38:$BE$44</c:f>
              <c:numCache>
                <c:formatCode>0.0%</c:formatCode>
                <c:ptCount val="7"/>
                <c:pt idx="0">
                  <c:v>0.04</c:v>
                </c:pt>
                <c:pt idx="1">
                  <c:v>0.19</c:v>
                </c:pt>
                <c:pt idx="2">
                  <c:v>0.36</c:v>
                </c:pt>
                <c:pt idx="3">
                  <c:v>0.34</c:v>
                </c:pt>
                <c:pt idx="4">
                  <c:v>0.06</c:v>
                </c:pt>
                <c:pt idx="5">
                  <c:v>0.01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3316608"/>
        <c:axId val="203342976"/>
        <c:axId val="0"/>
      </c:bar3DChart>
      <c:catAx>
        <c:axId val="2033166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342976"/>
        <c:crosses val="autoZero"/>
        <c:auto val="1"/>
        <c:lblAlgn val="ctr"/>
        <c:lblOffset val="100"/>
        <c:noMultiLvlLbl val="0"/>
      </c:catAx>
      <c:valAx>
        <c:axId val="2033429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31660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RECORRIDOS SEGÚN AÑO MODELO </a:t>
            </a:r>
            <a:r>
              <a:rPr lang="en-US" sz="1400" i="1" u="sng"/>
              <a:t>DE LA UNIDAD</a:t>
            </a:r>
            <a:r>
              <a:rPr lang="en-US" sz="1400"/>
              <a:t>. </a:t>
            </a:r>
          </a:p>
          <a:p>
            <a:pPr>
              <a:defRPr sz="1400"/>
            </a:pPr>
            <a:r>
              <a:rPr lang="en-US" sz="1200"/>
              <a:t>UNIDAD ENTRE 1998 Y 2003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KILÓMETROS RECORRIDOS POR UNIDAD ENTRE 1998 Y 2003 (100% = 217)]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FEB'!$BD$47</c:f>
              <c:strCache>
                <c:ptCount val="1"/>
                <c:pt idx="0">
                  <c:v>KILÓMETROS RECORRIDOS SEGÚN AÑO MODELO DE LA UNIDAD. UNIDAD ENTRE 1998 Y 2003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FEB'!$BD$49:$BD$55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FEB'!$BE$49:$BE$55</c:f>
              <c:numCache>
                <c:formatCode>0.0%</c:formatCode>
                <c:ptCount val="7"/>
                <c:pt idx="0">
                  <c:v>3.2258064516129031E-2</c:v>
                </c:pt>
                <c:pt idx="1">
                  <c:v>7.8341013824884786E-2</c:v>
                </c:pt>
                <c:pt idx="2">
                  <c:v>0.56682027649769584</c:v>
                </c:pt>
                <c:pt idx="3">
                  <c:v>0.22580645161290322</c:v>
                </c:pt>
                <c:pt idx="4">
                  <c:v>7.8341013824884786E-2</c:v>
                </c:pt>
                <c:pt idx="5">
                  <c:v>4.608294930875576E-3</c:v>
                </c:pt>
                <c:pt idx="6">
                  <c:v>1.3824884792626729E-2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3380608"/>
        <c:axId val="203382144"/>
        <c:axId val="0"/>
      </c:bar3DChart>
      <c:catAx>
        <c:axId val="2033806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382144"/>
        <c:crosses val="autoZero"/>
        <c:auto val="1"/>
        <c:lblAlgn val="ctr"/>
        <c:lblOffset val="100"/>
        <c:noMultiLvlLbl val="0"/>
      </c:catAx>
      <c:valAx>
        <c:axId val="2033821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38060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CONOCE EL PROGRAMA DE CHATARRIZACIÓN</a:t>
            </a:r>
            <a:endParaRPr lang="es-MX" sz="1400"/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FORMULAS!$AH$2</c:f>
              <c:strCache>
                <c:ptCount val="1"/>
                <c:pt idx="0">
                  <c:v>CONOCE EL PROGRAMA DE CHATARRIZACIÓN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Lbls>
            <c:txPr>
              <a:bodyPr/>
              <a:lstStyle/>
              <a:p>
                <a:pPr>
                  <a:defRPr sz="1100" b="1" i="1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FORMULAS!$AH$3:$AH$4</c:f>
              <c:strCache>
                <c:ptCount val="2"/>
                <c:pt idx="0">
                  <c:v>No</c:v>
                </c:pt>
                <c:pt idx="1">
                  <c:v>Sí</c:v>
                </c:pt>
              </c:strCache>
            </c:strRef>
          </c:cat>
          <c:val>
            <c:numRef>
              <c:f>FORMULAS!$AI$3:$AI$4</c:f>
              <c:numCache>
                <c:formatCode>0.0%</c:formatCode>
                <c:ptCount val="2"/>
                <c:pt idx="0">
                  <c:v>0.64233576642335766</c:v>
                </c:pt>
                <c:pt idx="1">
                  <c:v>0.35766423357664234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RECORRIDOS SEGÚN AÑO MODELO </a:t>
            </a:r>
            <a:r>
              <a:rPr lang="en-US" sz="1400" i="1" u="sng"/>
              <a:t>DE LA UNIDAD</a:t>
            </a:r>
            <a:r>
              <a:rPr lang="en-US" sz="1400"/>
              <a:t>. </a:t>
            </a:r>
          </a:p>
          <a:p>
            <a:pPr>
              <a:defRPr sz="1400"/>
            </a:pPr>
            <a:r>
              <a:rPr lang="en-US" sz="1200"/>
              <a:t>UNIDAD ENTRE 2004 Y 2006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KILÓMETROS DE UNIDAD ENTRE 2004 Y 2003 (100% = 126)]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FEB'!$BD$58</c:f>
              <c:strCache>
                <c:ptCount val="1"/>
                <c:pt idx="0">
                  <c:v>KILÓMETROS RECORRIDOS SEGÚN AÑO MODELO DE LA UNIDAD. UNIDAD ENTRE 2004 Y 2006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FEB'!$BD$60:$BD$66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FEB'!$BE$60:$BE$66</c:f>
              <c:numCache>
                <c:formatCode>0.0%</c:formatCode>
                <c:ptCount val="7"/>
                <c:pt idx="0">
                  <c:v>0.14285714285714285</c:v>
                </c:pt>
                <c:pt idx="1">
                  <c:v>0.24603174603174602</c:v>
                </c:pt>
                <c:pt idx="2">
                  <c:v>0.58730158730158732</c:v>
                </c:pt>
                <c:pt idx="3">
                  <c:v>2.3809523809523808E-2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3411840"/>
        <c:axId val="203413376"/>
        <c:axId val="0"/>
      </c:bar3DChart>
      <c:catAx>
        <c:axId val="2034118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413376"/>
        <c:crosses val="autoZero"/>
        <c:auto val="1"/>
        <c:lblAlgn val="ctr"/>
        <c:lblOffset val="100"/>
        <c:noMultiLvlLbl val="0"/>
      </c:catAx>
      <c:valAx>
        <c:axId val="2034133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41184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RECORRIDOS SEGÚN AÑO MODELO </a:t>
            </a:r>
            <a:r>
              <a:rPr lang="en-US" sz="1400" i="1" u="sng"/>
              <a:t>DE LA UNIDAD</a:t>
            </a:r>
            <a:r>
              <a:rPr lang="en-US" sz="1400"/>
              <a:t>. </a:t>
            </a:r>
          </a:p>
          <a:p>
            <a:pPr>
              <a:defRPr sz="1400"/>
            </a:pPr>
            <a:r>
              <a:rPr lang="en-US" sz="1200"/>
              <a:t>UNIDAD ENTRE 2007 Y 2010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</a:t>
            </a:r>
            <a:r>
              <a:rPr lang="en-US" sz="800" baseline="0"/>
              <a:t> A KILÓMETROS RECORRIDOS UNIDAD ENTRE 2007 Y 2010 (100% = 206)]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FEB'!$BD$69</c:f>
              <c:strCache>
                <c:ptCount val="1"/>
                <c:pt idx="0">
                  <c:v>KILÓMETROS RECORRIDOS SEGÚN AÑO MODELO DE LA UNIDAD. UNIDAD ENTRE 2007 Y 2010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FEB'!$BD$71:$BD$77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FEB'!$BE$71:$BE$77</c:f>
              <c:numCache>
                <c:formatCode>0.0%</c:formatCode>
                <c:ptCount val="7"/>
                <c:pt idx="0">
                  <c:v>0.20873786407766989</c:v>
                </c:pt>
                <c:pt idx="1">
                  <c:v>0.45145631067961167</c:v>
                </c:pt>
                <c:pt idx="2">
                  <c:v>0.3300970873786408</c:v>
                </c:pt>
                <c:pt idx="3">
                  <c:v>9.7087378640776691E-3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3434624"/>
        <c:axId val="203460992"/>
        <c:axId val="0"/>
      </c:bar3DChart>
      <c:catAx>
        <c:axId val="2034346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460992"/>
        <c:crosses val="autoZero"/>
        <c:auto val="1"/>
        <c:lblAlgn val="ctr"/>
        <c:lblOffset val="100"/>
        <c:noMultiLvlLbl val="0"/>
      </c:catAx>
      <c:valAx>
        <c:axId val="2034609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43462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RECORRIDOS SEGÚN AÑO MODELO </a:t>
            </a:r>
            <a:r>
              <a:rPr lang="en-US" sz="1400" i="1" u="sng"/>
              <a:t>DE LA UNIDAD</a:t>
            </a:r>
            <a:r>
              <a:rPr lang="en-US" sz="1400"/>
              <a:t>. </a:t>
            </a:r>
          </a:p>
          <a:p>
            <a:pPr>
              <a:defRPr sz="1400"/>
            </a:pPr>
            <a:r>
              <a:rPr lang="en-US" sz="1200"/>
              <a:t>UNIDAD 2011 EN ADELANTE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KILÓMETROS RECORRIDOS UNIDAD 2011 EN ADELANTE (100% = 99)]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FEB'!$BD$80</c:f>
              <c:strCache>
                <c:ptCount val="1"/>
                <c:pt idx="0">
                  <c:v>KILÓMETROS RECORRIDOS SEGÚN AÑO MODELO DE LA UNIDAD. UNIDAD 2011 EN ADELANTE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FEB'!$BD$82:$BD$88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</c:v>
                </c:pt>
              </c:strCache>
            </c:strRef>
          </c:cat>
          <c:val>
            <c:numRef>
              <c:f>'FORMULAS FEB'!$BE$82:$BE$88</c:f>
              <c:numCache>
                <c:formatCode>0.0%</c:formatCode>
                <c:ptCount val="7"/>
                <c:pt idx="0">
                  <c:v>0.86868686868686873</c:v>
                </c:pt>
                <c:pt idx="1">
                  <c:v>9.0909090909090912E-2</c:v>
                </c:pt>
                <c:pt idx="2">
                  <c:v>4.0404040404040407E-2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3572352"/>
        <c:axId val="203573888"/>
        <c:axId val="0"/>
      </c:bar3DChart>
      <c:catAx>
        <c:axId val="2035723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573888"/>
        <c:crosses val="autoZero"/>
        <c:auto val="1"/>
        <c:lblAlgn val="ctr"/>
        <c:lblOffset val="100"/>
        <c:noMultiLvlLbl val="0"/>
      </c:catAx>
      <c:valAx>
        <c:axId val="20357388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57235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KILÓMETROS QUE RECORRE LA UNIDAD POR MES SEGÚN AÑO MODELO DEL MOTOR.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[% SOBRE EL TOTAL DE RESPUESTAS A KILÓMETROS</a:t>
            </a:r>
            <a:r>
              <a:rPr lang="es-MX" sz="800" baseline="0"/>
              <a:t> QUE RECORRE LA UNIDAD (100% = 968)]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FEB'!$BE$93</c:f>
              <c:strCache>
                <c:ptCount val="1"/>
                <c:pt idx="0">
                  <c:v>Anterior a 1991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FEB'!$BD$94:$BD$99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FEB'!$BE$94:$BE$99</c:f>
              <c:numCache>
                <c:formatCode>0.0%</c:formatCode>
                <c:ptCount val="6"/>
                <c:pt idx="0">
                  <c:v>9.2975206611570251E-3</c:v>
                </c:pt>
                <c:pt idx="1">
                  <c:v>6.3016528925619833E-2</c:v>
                </c:pt>
                <c:pt idx="2">
                  <c:v>2.4793388429752067E-2</c:v>
                </c:pt>
                <c:pt idx="3">
                  <c:v>9.2975206611570251E-3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'FORMULAS FEB'!$BF$93</c:f>
              <c:strCache>
                <c:ptCount val="1"/>
                <c:pt idx="0">
                  <c:v>1991 a 1993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FEB'!$BD$94:$BD$99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FEB'!$BF$94:$BF$99</c:f>
              <c:numCache>
                <c:formatCode>0.0%</c:formatCode>
                <c:ptCount val="6"/>
                <c:pt idx="0">
                  <c:v>1.0330578512396695E-3</c:v>
                </c:pt>
                <c:pt idx="1">
                  <c:v>2.4793388429752067E-2</c:v>
                </c:pt>
                <c:pt idx="2">
                  <c:v>1.5495867768595042E-2</c:v>
                </c:pt>
                <c:pt idx="3">
                  <c:v>3.0991735537190084E-3</c:v>
                </c:pt>
                <c:pt idx="4">
                  <c:v>0</c:v>
                </c:pt>
                <c:pt idx="5">
                  <c:v>6.1983471074380167E-3</c:v>
                </c:pt>
              </c:numCache>
            </c:numRef>
          </c:val>
        </c:ser>
        <c:ser>
          <c:idx val="2"/>
          <c:order val="2"/>
          <c:tx>
            <c:strRef>
              <c:f>'FORMULAS FEB'!$BG$93</c:f>
              <c:strCache>
                <c:ptCount val="1"/>
                <c:pt idx="0">
                  <c:v>1994 a 1997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FEB'!$BD$94:$BD$99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FEB'!$BG$94:$BG$99</c:f>
              <c:numCache>
                <c:formatCode>0.0%</c:formatCode>
                <c:ptCount val="6"/>
                <c:pt idx="0">
                  <c:v>1.1363636363636364E-2</c:v>
                </c:pt>
                <c:pt idx="1">
                  <c:v>6.6115702479338845E-2</c:v>
                </c:pt>
                <c:pt idx="2">
                  <c:v>2.4793388429752067E-2</c:v>
                </c:pt>
                <c:pt idx="3">
                  <c:v>6.1983471074380167E-3</c:v>
                </c:pt>
                <c:pt idx="4">
                  <c:v>0</c:v>
                </c:pt>
                <c:pt idx="5">
                  <c:v>2.0661157024793389E-3</c:v>
                </c:pt>
              </c:numCache>
            </c:numRef>
          </c:val>
        </c:ser>
        <c:ser>
          <c:idx val="3"/>
          <c:order val="3"/>
          <c:tx>
            <c:strRef>
              <c:f>'FORMULAS FEB'!$BH$93</c:f>
              <c:strCache>
                <c:ptCount val="1"/>
                <c:pt idx="0">
                  <c:v>1998 a 2003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FEB'!$BD$94:$BD$99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FEB'!$BH$94:$BH$99</c:f>
              <c:numCache>
                <c:formatCode>0.0%</c:formatCode>
                <c:ptCount val="6"/>
                <c:pt idx="0">
                  <c:v>2.0661157024793389E-2</c:v>
                </c:pt>
                <c:pt idx="1">
                  <c:v>8.3677685950413222E-2</c:v>
                </c:pt>
                <c:pt idx="2">
                  <c:v>5.2685950413223138E-2</c:v>
                </c:pt>
                <c:pt idx="3">
                  <c:v>7.9545454545454544E-2</c:v>
                </c:pt>
                <c:pt idx="4">
                  <c:v>2.0661157024793389E-3</c:v>
                </c:pt>
                <c:pt idx="5">
                  <c:v>6.1983471074380167E-3</c:v>
                </c:pt>
              </c:numCache>
            </c:numRef>
          </c:val>
        </c:ser>
        <c:ser>
          <c:idx val="4"/>
          <c:order val="4"/>
          <c:tx>
            <c:strRef>
              <c:f>'FORMULAS FEB'!$BI$93</c:f>
              <c:strCache>
                <c:ptCount val="1"/>
                <c:pt idx="0">
                  <c:v>2004 a 2006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FEB'!$BD$94:$BD$99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FEB'!$BI$94:$BI$99</c:f>
              <c:numCache>
                <c:formatCode>0.0%</c:formatCode>
                <c:ptCount val="6"/>
                <c:pt idx="0">
                  <c:v>1.1363636363636364E-2</c:v>
                </c:pt>
                <c:pt idx="1">
                  <c:v>5.06198347107438E-2</c:v>
                </c:pt>
                <c:pt idx="2">
                  <c:v>2.9958677685950414E-2</c:v>
                </c:pt>
                <c:pt idx="3">
                  <c:v>5.06198347107438E-2</c:v>
                </c:pt>
                <c:pt idx="4">
                  <c:v>5.1652892561983473E-3</c:v>
                </c:pt>
                <c:pt idx="5">
                  <c:v>5.1652892561983473E-3</c:v>
                </c:pt>
              </c:numCache>
            </c:numRef>
          </c:val>
        </c:ser>
        <c:ser>
          <c:idx val="5"/>
          <c:order val="5"/>
          <c:tx>
            <c:strRef>
              <c:f>'FORMULAS FEB'!$BJ$93</c:f>
              <c:strCache>
                <c:ptCount val="1"/>
                <c:pt idx="0">
                  <c:v>2007 a 2010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FEB'!$BD$94:$BD$99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FEB'!$BJ$94:$BJ$99</c:f>
              <c:numCache>
                <c:formatCode>0.0%</c:formatCode>
                <c:ptCount val="6"/>
                <c:pt idx="0">
                  <c:v>2.4793388429752067E-2</c:v>
                </c:pt>
                <c:pt idx="1">
                  <c:v>6.4049586776859499E-2</c:v>
                </c:pt>
                <c:pt idx="2">
                  <c:v>3.71900826446281E-2</c:v>
                </c:pt>
                <c:pt idx="3">
                  <c:v>8.8842975206611566E-2</c:v>
                </c:pt>
                <c:pt idx="4">
                  <c:v>5.1652892561983473E-3</c:v>
                </c:pt>
                <c:pt idx="5">
                  <c:v>1.1363636363636364E-2</c:v>
                </c:pt>
              </c:numCache>
            </c:numRef>
          </c:val>
        </c:ser>
        <c:ser>
          <c:idx val="6"/>
          <c:order val="6"/>
          <c:tx>
            <c:strRef>
              <c:f>'FORMULAS FEB'!$BK$93</c:f>
              <c:strCache>
                <c:ptCount val="1"/>
                <c:pt idx="0">
                  <c:v>2011 en adelante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FEB'!$BD$94:$BD$99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FEB'!$BK$94:$BK$99</c:f>
              <c:numCache>
                <c:formatCode>0.0%</c:formatCode>
                <c:ptCount val="6"/>
                <c:pt idx="0">
                  <c:v>1.2396694214876033E-2</c:v>
                </c:pt>
                <c:pt idx="1">
                  <c:v>2.5826446280991736E-2</c:v>
                </c:pt>
                <c:pt idx="2">
                  <c:v>1.3429752066115703E-2</c:v>
                </c:pt>
                <c:pt idx="3">
                  <c:v>2.0661157024793389E-2</c:v>
                </c:pt>
                <c:pt idx="4">
                  <c:v>0</c:v>
                </c:pt>
                <c:pt idx="5">
                  <c:v>3.0991735537190084E-2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3635328"/>
        <c:axId val="203653504"/>
        <c:axId val="0"/>
      </c:bar3DChart>
      <c:catAx>
        <c:axId val="2036353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653504"/>
        <c:crosses val="autoZero"/>
        <c:auto val="1"/>
        <c:lblAlgn val="ctr"/>
        <c:lblOffset val="100"/>
        <c:noMultiLvlLbl val="0"/>
      </c:catAx>
      <c:valAx>
        <c:axId val="20365350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6353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POR MES QUE RECORRE LA UNIDAD. </a:t>
            </a:r>
          </a:p>
          <a:p>
            <a:pPr>
              <a:defRPr sz="1400"/>
            </a:pPr>
            <a:r>
              <a:rPr lang="en-US" sz="1200"/>
              <a:t>AÑO MODELO DEL MOTOR ANTERIOR A 1991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KILÓMETROS POR MES QUE RECORRE LA UNIDAD MOTOR</a:t>
            </a:r>
            <a:r>
              <a:rPr lang="en-US" sz="800" baseline="0"/>
              <a:t> </a:t>
            </a:r>
          </a:p>
          <a:p>
            <a:pPr>
              <a:defRPr sz="1400"/>
            </a:pPr>
            <a:r>
              <a:rPr lang="en-US" sz="800" baseline="0"/>
              <a:t>ANTERIOR A 1991 (100% = 103)]</a:t>
            </a:r>
            <a:endParaRPr lang="en-US" sz="800"/>
          </a:p>
        </c:rich>
      </c:tx>
      <c:layout>
        <c:manualLayout>
          <c:xMode val="edge"/>
          <c:yMode val="edge"/>
          <c:x val="0.12045595854922278"/>
          <c:y val="1.9994442489607241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FEB'!$BD$103</c:f>
              <c:strCache>
                <c:ptCount val="1"/>
                <c:pt idx="0">
                  <c:v>KILÓMETROS POR MES QUE RECORRE LA UNIDAD. AÑO MODELO DEL MOTOR ANTERIOR A 1991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FEB'!$BD$105:$BD$110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FEB'!$BE$105:$BE$110</c:f>
              <c:numCache>
                <c:formatCode>0.0%</c:formatCode>
                <c:ptCount val="6"/>
                <c:pt idx="0">
                  <c:v>8.7378640776699032E-2</c:v>
                </c:pt>
                <c:pt idx="1">
                  <c:v>0.59223300970873782</c:v>
                </c:pt>
                <c:pt idx="2">
                  <c:v>0.23300970873786409</c:v>
                </c:pt>
                <c:pt idx="3">
                  <c:v>8.7378640776699032E-2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3687808"/>
        <c:axId val="203689344"/>
        <c:axId val="0"/>
      </c:bar3DChart>
      <c:catAx>
        <c:axId val="2036878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689344"/>
        <c:crosses val="autoZero"/>
        <c:auto val="1"/>
        <c:lblAlgn val="ctr"/>
        <c:lblOffset val="100"/>
        <c:noMultiLvlLbl val="0"/>
      </c:catAx>
      <c:valAx>
        <c:axId val="203689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68780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POR MES QUE RECORRE LA UNIDAD.</a:t>
            </a:r>
          </a:p>
          <a:p>
            <a:pPr>
              <a:defRPr sz="1400"/>
            </a:pPr>
            <a:r>
              <a:rPr lang="en-US" sz="1200"/>
              <a:t>AÑO MODELO DEL MOTOR ENTRE 1991 Y 1993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KILÓMETROS POR MES QUE RECORRE LA UNIDAD MOTOR</a:t>
            </a:r>
          </a:p>
          <a:p>
            <a:pPr>
              <a:defRPr sz="1400"/>
            </a:pPr>
            <a:r>
              <a:rPr lang="en-US" sz="800"/>
              <a:t>ENTRE 1991 Y 1993 (100% = 49)]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FEB'!$BD$113</c:f>
              <c:strCache>
                <c:ptCount val="1"/>
                <c:pt idx="0">
                  <c:v>KILÓMETROS POR MES QUE RECORRE LA UNIDAD. AÑO MODELO DEL MOTOR ENTRE 1991 Y 1993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FEB'!$BD$115:$BD$120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FEB'!$BE$115:$BE$120</c:f>
              <c:numCache>
                <c:formatCode>0.0%</c:formatCode>
                <c:ptCount val="6"/>
                <c:pt idx="0">
                  <c:v>2.0408163265306121E-2</c:v>
                </c:pt>
                <c:pt idx="1">
                  <c:v>0.48979591836734693</c:v>
                </c:pt>
                <c:pt idx="2">
                  <c:v>0.30612244897959184</c:v>
                </c:pt>
                <c:pt idx="3">
                  <c:v>6.1224489795918366E-2</c:v>
                </c:pt>
                <c:pt idx="4">
                  <c:v>0</c:v>
                </c:pt>
                <c:pt idx="5">
                  <c:v>0.12244897959183673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3723136"/>
        <c:axId val="203724672"/>
        <c:axId val="0"/>
      </c:bar3DChart>
      <c:catAx>
        <c:axId val="2037231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724672"/>
        <c:crosses val="autoZero"/>
        <c:auto val="1"/>
        <c:lblAlgn val="ctr"/>
        <c:lblOffset val="100"/>
        <c:noMultiLvlLbl val="0"/>
      </c:catAx>
      <c:valAx>
        <c:axId val="2037246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72313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POR MES QUE RECORRE LA UNIDAD.</a:t>
            </a:r>
          </a:p>
          <a:p>
            <a:pPr>
              <a:defRPr sz="1400"/>
            </a:pPr>
            <a:r>
              <a:rPr lang="en-US" sz="1200"/>
              <a:t>AÑO MODELO DEL MOTOR ENTRE 1994 Y 1997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KILÓMETROS POR MES QUE RECORRE UNIDAD MOTOR</a:t>
            </a:r>
          </a:p>
          <a:p>
            <a:pPr>
              <a:defRPr sz="1400"/>
            </a:pPr>
            <a:r>
              <a:rPr lang="en-US" sz="800"/>
              <a:t>ENTRE 1994 Y 1997 (100% = 107)]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FEB'!$BD$123</c:f>
              <c:strCache>
                <c:ptCount val="1"/>
                <c:pt idx="0">
                  <c:v>KILÓMETROS POR MES QUE RECORRE LA UNIDAD. AÑO MODELO DEL MOTOR ENTRE 1994 Y 1997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FEB'!$BD$125:$BD$130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FEB'!$BE$125:$BE$130</c:f>
              <c:numCache>
                <c:formatCode>0.0%</c:formatCode>
                <c:ptCount val="6"/>
                <c:pt idx="0">
                  <c:v>0.10280373831775701</c:v>
                </c:pt>
                <c:pt idx="1">
                  <c:v>0.59813084112149528</c:v>
                </c:pt>
                <c:pt idx="2">
                  <c:v>0.22429906542056074</c:v>
                </c:pt>
                <c:pt idx="3">
                  <c:v>5.6074766355140186E-2</c:v>
                </c:pt>
                <c:pt idx="4">
                  <c:v>0</c:v>
                </c:pt>
                <c:pt idx="5">
                  <c:v>1.8691588785046728E-2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3766400"/>
        <c:axId val="203768192"/>
        <c:axId val="0"/>
      </c:bar3DChart>
      <c:catAx>
        <c:axId val="2037664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768192"/>
        <c:crosses val="autoZero"/>
        <c:auto val="1"/>
        <c:lblAlgn val="ctr"/>
        <c:lblOffset val="100"/>
        <c:noMultiLvlLbl val="0"/>
      </c:catAx>
      <c:valAx>
        <c:axId val="2037681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76640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POR MES QUE RECORRE LA UNIDAD.</a:t>
            </a:r>
          </a:p>
          <a:p>
            <a:pPr>
              <a:defRPr sz="1400"/>
            </a:pPr>
            <a:r>
              <a:rPr lang="en-US" sz="1200"/>
              <a:t>AÑO MODELO DEL MOTOR ENTRE 1998 Y 2003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KILÓMETROS POR</a:t>
            </a:r>
            <a:r>
              <a:rPr lang="en-US" sz="800" baseline="0"/>
              <a:t> MES QUE RECORRE UNIDAD MOTOR</a:t>
            </a:r>
          </a:p>
          <a:p>
            <a:pPr>
              <a:defRPr sz="1400"/>
            </a:pPr>
            <a:r>
              <a:rPr lang="en-US" sz="800" baseline="0"/>
              <a:t>ENTRE 1998 Y 2003 (100% = 237)]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FEB'!$BD$133</c:f>
              <c:strCache>
                <c:ptCount val="1"/>
                <c:pt idx="0">
                  <c:v>KILÓMETROS POR MES QUE RECORRE LA UNIDAD. AÑO MODELO DEL MOTOR ENTRE 1998 Y 2003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FEB'!$BD$135:$BD$140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FEB'!$BE$135:$BE$140</c:f>
              <c:numCache>
                <c:formatCode>0.0%</c:formatCode>
                <c:ptCount val="6"/>
                <c:pt idx="0">
                  <c:v>8.4388185654008435E-2</c:v>
                </c:pt>
                <c:pt idx="1">
                  <c:v>0.34177215189873417</c:v>
                </c:pt>
                <c:pt idx="2">
                  <c:v>0.21518987341772153</c:v>
                </c:pt>
                <c:pt idx="3">
                  <c:v>0.32489451476793246</c:v>
                </c:pt>
                <c:pt idx="4">
                  <c:v>8.4388185654008432E-3</c:v>
                </c:pt>
                <c:pt idx="5">
                  <c:v>2.5316455696202531E-2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3801728"/>
        <c:axId val="203803264"/>
        <c:axId val="0"/>
      </c:bar3DChart>
      <c:catAx>
        <c:axId val="2038017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803264"/>
        <c:crosses val="autoZero"/>
        <c:auto val="1"/>
        <c:lblAlgn val="ctr"/>
        <c:lblOffset val="100"/>
        <c:noMultiLvlLbl val="0"/>
      </c:catAx>
      <c:valAx>
        <c:axId val="2038032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80172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POR MES QUE RECORRE LA UNIDAD.</a:t>
            </a:r>
          </a:p>
          <a:p>
            <a:pPr>
              <a:defRPr sz="1400"/>
            </a:pPr>
            <a:r>
              <a:rPr lang="en-US" sz="1200"/>
              <a:t>AÑO MODELO DEL MOTOR ENTRE 2004 Y 2006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KILÓMETROS QUE RECORRE POR MES UNIDAD MOTOR</a:t>
            </a:r>
          </a:p>
          <a:p>
            <a:pPr>
              <a:defRPr sz="1400"/>
            </a:pPr>
            <a:r>
              <a:rPr lang="en-US" sz="800"/>
              <a:t>ENTRE 2004 Y 2006 (100% = 148)]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FEB'!$BD$143</c:f>
              <c:strCache>
                <c:ptCount val="1"/>
                <c:pt idx="0">
                  <c:v>KILÓMETROS POR MES QUE RECORRE LA UNIDAD. AÑO MODELO DEL MOTOR ENTRE 2004 Y 2006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FEB'!$BD$145:$BD$150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FEB'!$BE$145:$BE$150</c:f>
              <c:numCache>
                <c:formatCode>0.0%</c:formatCode>
                <c:ptCount val="6"/>
                <c:pt idx="0">
                  <c:v>7.4324324324324328E-2</c:v>
                </c:pt>
                <c:pt idx="1">
                  <c:v>0.33108108108108109</c:v>
                </c:pt>
                <c:pt idx="2">
                  <c:v>0.19594594594594594</c:v>
                </c:pt>
                <c:pt idx="3">
                  <c:v>0.33108108108108109</c:v>
                </c:pt>
                <c:pt idx="4">
                  <c:v>3.3783783783783786E-2</c:v>
                </c:pt>
                <c:pt idx="5">
                  <c:v>3.3783783783783786E-2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3832704"/>
        <c:axId val="203850880"/>
        <c:axId val="0"/>
      </c:bar3DChart>
      <c:catAx>
        <c:axId val="2038327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850880"/>
        <c:crosses val="autoZero"/>
        <c:auto val="1"/>
        <c:lblAlgn val="ctr"/>
        <c:lblOffset val="100"/>
        <c:noMultiLvlLbl val="0"/>
      </c:catAx>
      <c:valAx>
        <c:axId val="2038508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83270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POR MES QUE RECORRE LA UNIDAD.</a:t>
            </a:r>
          </a:p>
          <a:p>
            <a:pPr>
              <a:defRPr sz="1400"/>
            </a:pPr>
            <a:r>
              <a:rPr lang="en-US" sz="1200"/>
              <a:t>AÑO MODELO DEL MOTOR ENTRE 2007 Y 2010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KILÓMETROS POR MES QUE RECORRE UNIDAD MOTOR</a:t>
            </a:r>
          </a:p>
          <a:p>
            <a:pPr>
              <a:defRPr sz="1400"/>
            </a:pPr>
            <a:r>
              <a:rPr lang="en-US" sz="800"/>
              <a:t>ENTRE 2007 Y 2010 (100%</a:t>
            </a:r>
            <a:r>
              <a:rPr lang="en-US" sz="800" baseline="0"/>
              <a:t> = 224)]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FEB'!$BD$153</c:f>
              <c:strCache>
                <c:ptCount val="1"/>
                <c:pt idx="0">
                  <c:v>KILÓMETROS POR MES QUE RECORRE LA UNIDAD. AÑO MODELO DEL MOTOR ENTRE 2007 Y 2010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FEB'!$BD$155:$BD$160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FEB'!$BE$155:$BE$160</c:f>
              <c:numCache>
                <c:formatCode>0.0%</c:formatCode>
                <c:ptCount val="6"/>
                <c:pt idx="0">
                  <c:v>0.10714285714285714</c:v>
                </c:pt>
                <c:pt idx="1">
                  <c:v>0.2767857142857143</c:v>
                </c:pt>
                <c:pt idx="2">
                  <c:v>0.16071428571428573</c:v>
                </c:pt>
                <c:pt idx="3">
                  <c:v>0.38392857142857145</c:v>
                </c:pt>
                <c:pt idx="4">
                  <c:v>2.2321428571428572E-2</c:v>
                </c:pt>
                <c:pt idx="5">
                  <c:v>4.9107142857142856E-2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3880320"/>
        <c:axId val="203881856"/>
        <c:axId val="0"/>
      </c:bar3DChart>
      <c:catAx>
        <c:axId val="2038803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881856"/>
        <c:crosses val="autoZero"/>
        <c:auto val="1"/>
        <c:lblAlgn val="ctr"/>
        <c:lblOffset val="100"/>
        <c:noMultiLvlLbl val="0"/>
      </c:catAx>
      <c:valAx>
        <c:axId val="2038818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88032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SÍ CONOCE EL PROGRAMA DE CHATARRIZACIÓN</a:t>
            </a:r>
          </a:p>
        </c:rich>
      </c:tx>
      <c:overlay val="0"/>
    </c:title>
    <c:autoTitleDeleted val="0"/>
    <c:view3D>
      <c:rotX val="30"/>
      <c:rotY val="3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FORMULAS!$AH$8</c:f>
              <c:strCache>
                <c:ptCount val="1"/>
                <c:pt idx="0">
                  <c:v>SÍ CONOCE EL PROGRAMA DE CHATARRIZACIÓN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FORMULAS!$AH$9:$AH$10</c:f>
              <c:strCache>
                <c:ptCount val="2"/>
                <c:pt idx="0">
                  <c:v>PARTICIPA</c:v>
                </c:pt>
                <c:pt idx="1">
                  <c:v>NO PARTICIPA</c:v>
                </c:pt>
              </c:strCache>
            </c:strRef>
          </c:cat>
          <c:val>
            <c:numRef>
              <c:f>FORMULAS!$AI$9:$AI$10</c:f>
              <c:numCache>
                <c:formatCode>0.0%</c:formatCode>
                <c:ptCount val="2"/>
                <c:pt idx="0">
                  <c:v>4.8661800486618008E-2</c:v>
                </c:pt>
                <c:pt idx="1">
                  <c:v>0.30900243309002434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POR MES QUE RECORRE LA UNIDAD.</a:t>
            </a:r>
          </a:p>
          <a:p>
            <a:pPr>
              <a:defRPr sz="1400"/>
            </a:pPr>
            <a:r>
              <a:rPr lang="en-US" sz="1200"/>
              <a:t>AÑO MODELO DEL MOTOR 2011 EN ADELANTE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KILÓMETROS POR MES QUE RECORRE UNIDAD MOTOR</a:t>
            </a:r>
          </a:p>
          <a:p>
            <a:pPr>
              <a:defRPr sz="1400"/>
            </a:pPr>
            <a:r>
              <a:rPr lang="en-US" sz="800"/>
              <a:t>2011</a:t>
            </a:r>
            <a:r>
              <a:rPr lang="en-US" sz="800" baseline="0"/>
              <a:t> EN ADELANTE (100% = 100)]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FEB'!$BD$163</c:f>
              <c:strCache>
                <c:ptCount val="1"/>
                <c:pt idx="0">
                  <c:v>KILÓMETROS POR MES QUE RECORRE LA UNIDAD. AÑO MODELO DEL MOTOR 2011 EN ADELANTE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FEB'!$BD$165:$BD$170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</c:v>
                </c:pt>
              </c:strCache>
            </c:strRef>
          </c:cat>
          <c:val>
            <c:numRef>
              <c:f>'FORMULAS FEB'!$BE$165:$BE$170</c:f>
              <c:numCache>
                <c:formatCode>0.0%</c:formatCode>
                <c:ptCount val="6"/>
                <c:pt idx="0">
                  <c:v>0.12</c:v>
                </c:pt>
                <c:pt idx="1">
                  <c:v>0.25</c:v>
                </c:pt>
                <c:pt idx="2">
                  <c:v>0.13</c:v>
                </c:pt>
                <c:pt idx="3">
                  <c:v>0.2</c:v>
                </c:pt>
                <c:pt idx="4">
                  <c:v>0</c:v>
                </c:pt>
                <c:pt idx="5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3981184"/>
        <c:axId val="203982720"/>
        <c:axId val="0"/>
      </c:bar3DChart>
      <c:catAx>
        <c:axId val="2039811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982720"/>
        <c:crosses val="autoZero"/>
        <c:auto val="1"/>
        <c:lblAlgn val="ctr"/>
        <c:lblOffset val="100"/>
        <c:noMultiLvlLbl val="0"/>
      </c:catAx>
      <c:valAx>
        <c:axId val="2039827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98118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GÉNERO</a:t>
            </a:r>
            <a:r>
              <a:rPr lang="en-US" sz="1400" baseline="0"/>
              <a:t> DE LOS </a:t>
            </a: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</a:t>
            </a:r>
            <a:r>
              <a:rPr lang="en-US" sz="800" baseline="0"/>
              <a:t> SOBRE EL TOTAL DE RESPUESTAS A GÉNERO DEL PROPIETARIO (100% = 411)]</a:t>
            </a:r>
            <a:endParaRPr lang="en-US" sz="800"/>
          </a:p>
        </c:rich>
      </c:tx>
      <c:overlay val="0"/>
    </c:title>
    <c:autoTitleDeleted val="0"/>
    <c:view3D>
      <c:rotX val="30"/>
      <c:rotY val="5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FORMULAS!$B$18</c:f>
              <c:strCache>
                <c:ptCount val="1"/>
                <c:pt idx="0">
                  <c:v>GÉNERO</c:v>
                </c:pt>
              </c:strCache>
            </c:strRef>
          </c:tx>
          <c:explosion val="25"/>
          <c:dLbls>
            <c:dLbl>
              <c:idx val="0"/>
              <c:spPr/>
              <c:txPr>
                <a:bodyPr/>
                <a:lstStyle/>
                <a:p>
                  <a:pPr>
                    <a:defRPr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5984361329833814E-2"/>
                  <c:y val="-8.53448527267427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FORMULAS!$B$19:$B$20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FORMULAS!$D$19:$D$20</c:f>
              <c:numCache>
                <c:formatCode>0.0%</c:formatCode>
                <c:ptCount val="2"/>
                <c:pt idx="0">
                  <c:v>0.97323600973236013</c:v>
                </c:pt>
                <c:pt idx="1">
                  <c:v>2.6763990267639901E-2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944" l="0.70000000000000062" r="0.70000000000000062" t="0.75000000000000944" header="0.30000000000000032" footer="0.30000000000000032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EDAD DE PROPIETARIOS SEGÚN TAMAÑO DE LA FLOTA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[% SOBRE EL TOTAL DE RESPUESTAS A EDAD DEL PROPIETARIO(100%</a:t>
            </a:r>
            <a:r>
              <a:rPr lang="es-MX" sz="800" baseline="0"/>
              <a:t> = 411)]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FEB'!$BW$3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FEB'!$BV$4:$BV$8</c:f>
              <c:strCache>
                <c:ptCount val="5"/>
                <c:pt idx="0">
                  <c:v>&lt; DE 35 AÑOS</c:v>
                </c:pt>
                <c:pt idx="1">
                  <c:v>DE 35 A 45 AÑOS</c:v>
                </c:pt>
                <c:pt idx="2">
                  <c:v>DE 46 A 55 AÑOS</c:v>
                </c:pt>
                <c:pt idx="3">
                  <c:v>DE 56 A 60 AÑOS</c:v>
                </c:pt>
                <c:pt idx="4">
                  <c:v>&gt; DE 60 AÑOS</c:v>
                </c:pt>
              </c:strCache>
            </c:strRef>
          </c:cat>
          <c:val>
            <c:numRef>
              <c:f>'FORMULAS FEB'!$BW$4:$BW$8</c:f>
              <c:numCache>
                <c:formatCode>0.0%</c:formatCode>
                <c:ptCount val="5"/>
                <c:pt idx="0">
                  <c:v>5.3527980535279802E-2</c:v>
                </c:pt>
                <c:pt idx="1">
                  <c:v>0.13868613138686131</c:v>
                </c:pt>
                <c:pt idx="2">
                  <c:v>0.19221411192214111</c:v>
                </c:pt>
                <c:pt idx="3">
                  <c:v>5.3527980535279802E-2</c:v>
                </c:pt>
                <c:pt idx="4">
                  <c:v>5.3527980535279802E-2</c:v>
                </c:pt>
              </c:numCache>
            </c:numRef>
          </c:val>
        </c:ser>
        <c:ser>
          <c:idx val="1"/>
          <c:order val="1"/>
          <c:tx>
            <c:strRef>
              <c:f>'FORMULAS FEB'!$BX$3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FEB'!$BV$4:$BV$8</c:f>
              <c:strCache>
                <c:ptCount val="5"/>
                <c:pt idx="0">
                  <c:v>&lt; DE 35 AÑOS</c:v>
                </c:pt>
                <c:pt idx="1">
                  <c:v>DE 35 A 45 AÑOS</c:v>
                </c:pt>
                <c:pt idx="2">
                  <c:v>DE 46 A 55 AÑOS</c:v>
                </c:pt>
                <c:pt idx="3">
                  <c:v>DE 56 A 60 AÑOS</c:v>
                </c:pt>
                <c:pt idx="4">
                  <c:v>&gt; DE 60 AÑOS</c:v>
                </c:pt>
              </c:strCache>
            </c:strRef>
          </c:cat>
          <c:val>
            <c:numRef>
              <c:f>'FORMULAS FEB'!$BX$4:$BX$8</c:f>
              <c:numCache>
                <c:formatCode>0.0%</c:formatCode>
                <c:ptCount val="5"/>
                <c:pt idx="0">
                  <c:v>2.4330900243309004E-2</c:v>
                </c:pt>
                <c:pt idx="1">
                  <c:v>7.2992700729927001E-2</c:v>
                </c:pt>
                <c:pt idx="2">
                  <c:v>6.8126520681265207E-2</c:v>
                </c:pt>
                <c:pt idx="3">
                  <c:v>1.7031630170316302E-2</c:v>
                </c:pt>
                <c:pt idx="4">
                  <c:v>2.4330900243309004E-2</c:v>
                </c:pt>
              </c:numCache>
            </c:numRef>
          </c:val>
        </c:ser>
        <c:ser>
          <c:idx val="2"/>
          <c:order val="2"/>
          <c:tx>
            <c:strRef>
              <c:f>'FORMULAS FEB'!$BY$3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FEB'!$BV$4:$BV$8</c:f>
              <c:strCache>
                <c:ptCount val="5"/>
                <c:pt idx="0">
                  <c:v>&lt; DE 35 AÑOS</c:v>
                </c:pt>
                <c:pt idx="1">
                  <c:v>DE 35 A 45 AÑOS</c:v>
                </c:pt>
                <c:pt idx="2">
                  <c:v>DE 46 A 55 AÑOS</c:v>
                </c:pt>
                <c:pt idx="3">
                  <c:v>DE 56 A 60 AÑOS</c:v>
                </c:pt>
                <c:pt idx="4">
                  <c:v>&gt; DE 60 AÑOS</c:v>
                </c:pt>
              </c:strCache>
            </c:strRef>
          </c:cat>
          <c:val>
            <c:numRef>
              <c:f>'FORMULAS FEB'!$BY$4:$BY$8</c:f>
              <c:numCache>
                <c:formatCode>0.0%</c:formatCode>
                <c:ptCount val="5"/>
                <c:pt idx="0">
                  <c:v>1.9464720194647202E-2</c:v>
                </c:pt>
                <c:pt idx="1">
                  <c:v>8.5158150851581502E-2</c:v>
                </c:pt>
                <c:pt idx="2">
                  <c:v>8.0291970802919707E-2</c:v>
                </c:pt>
                <c:pt idx="3">
                  <c:v>1.7031630170316302E-2</c:v>
                </c:pt>
                <c:pt idx="4">
                  <c:v>1.7031630170316302E-2</c:v>
                </c:pt>
              </c:numCache>
            </c:numRef>
          </c:val>
        </c:ser>
        <c:ser>
          <c:idx val="3"/>
          <c:order val="3"/>
          <c:tx>
            <c:strRef>
              <c:f>'FORMULAS FEB'!$BZ$3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FEB'!$BV$4:$BV$8</c:f>
              <c:strCache>
                <c:ptCount val="5"/>
                <c:pt idx="0">
                  <c:v>&lt; DE 35 AÑOS</c:v>
                </c:pt>
                <c:pt idx="1">
                  <c:v>DE 35 A 45 AÑOS</c:v>
                </c:pt>
                <c:pt idx="2">
                  <c:v>DE 46 A 55 AÑOS</c:v>
                </c:pt>
                <c:pt idx="3">
                  <c:v>DE 56 A 60 AÑOS</c:v>
                </c:pt>
                <c:pt idx="4">
                  <c:v>&gt; DE 60 AÑOS</c:v>
                </c:pt>
              </c:strCache>
            </c:strRef>
          </c:cat>
          <c:val>
            <c:numRef>
              <c:f>'FORMULAS FEB'!$BZ$4:$BZ$8</c:f>
              <c:numCache>
                <c:formatCode>0.0%</c:formatCode>
                <c:ptCount val="5"/>
                <c:pt idx="0">
                  <c:v>7.2992700729927005E-3</c:v>
                </c:pt>
                <c:pt idx="1">
                  <c:v>1.4598540145985401E-2</c:v>
                </c:pt>
                <c:pt idx="2">
                  <c:v>3.4063260340632603E-2</c:v>
                </c:pt>
                <c:pt idx="3">
                  <c:v>1.4598540145985401E-2</c:v>
                </c:pt>
                <c:pt idx="4">
                  <c:v>1.2165450121654502E-2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4133504"/>
        <c:axId val="204135040"/>
        <c:axId val="0"/>
      </c:bar3DChart>
      <c:catAx>
        <c:axId val="2041335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135040"/>
        <c:crosses val="autoZero"/>
        <c:auto val="1"/>
        <c:lblAlgn val="ctr"/>
        <c:lblOffset val="100"/>
        <c:noMultiLvlLbl val="0"/>
      </c:catAx>
      <c:valAx>
        <c:axId val="20413504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1335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EDAD DE PROPIETARIOS SEGÚN TAMAÑO DE LA FLOTA </a:t>
            </a:r>
          </a:p>
          <a:p>
            <a:pPr>
              <a:defRPr sz="1400"/>
            </a:pPr>
            <a:r>
              <a:rPr lang="es-MX" sz="1200"/>
              <a:t>POR SEGMENTO DE EDAD</a:t>
            </a:r>
          </a:p>
          <a:p>
            <a:pPr>
              <a:defRPr sz="1400"/>
            </a:pPr>
            <a:r>
              <a:rPr lang="es-MX" sz="1000"/>
              <a:t>ENCUESTA A PROPIETARIOS</a:t>
            </a:r>
            <a:endParaRPr lang="es-MX" sz="800" baseline="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8841942012239695E-2"/>
          <c:y val="0.23207635348630717"/>
          <c:w val="0.77987191120589683"/>
          <c:h val="0.7120463490938353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FEB'!$BW$13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FEB'!$BV$14:$BV$18</c:f>
              <c:strCache>
                <c:ptCount val="5"/>
                <c:pt idx="0">
                  <c:v>&lt; DE 35 AÑOS</c:v>
                </c:pt>
                <c:pt idx="1">
                  <c:v>DE 35 A 45 AÑOS</c:v>
                </c:pt>
                <c:pt idx="2">
                  <c:v>DE 46 A 55 AÑOS</c:v>
                </c:pt>
                <c:pt idx="3">
                  <c:v>DE 56 A 60 AÑOS</c:v>
                </c:pt>
                <c:pt idx="4">
                  <c:v>&gt; DE 60 AÑOS</c:v>
                </c:pt>
              </c:strCache>
            </c:strRef>
          </c:cat>
          <c:val>
            <c:numRef>
              <c:f>'FORMULAS FEB'!$BW$14:$BW$18</c:f>
              <c:numCache>
                <c:formatCode>0.0%</c:formatCode>
                <c:ptCount val="5"/>
                <c:pt idx="0">
                  <c:v>0.51162790697674421</c:v>
                </c:pt>
                <c:pt idx="1">
                  <c:v>0.4453125</c:v>
                </c:pt>
                <c:pt idx="2">
                  <c:v>0.51298701298701299</c:v>
                </c:pt>
                <c:pt idx="3">
                  <c:v>0.52380952380952384</c:v>
                </c:pt>
                <c:pt idx="4">
                  <c:v>0.5</c:v>
                </c:pt>
              </c:numCache>
            </c:numRef>
          </c:val>
        </c:ser>
        <c:ser>
          <c:idx val="1"/>
          <c:order val="1"/>
          <c:tx>
            <c:strRef>
              <c:f>'FORMULAS FEB'!$BX$13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FEB'!$BV$14:$BV$18</c:f>
              <c:strCache>
                <c:ptCount val="5"/>
                <c:pt idx="0">
                  <c:v>&lt; DE 35 AÑOS</c:v>
                </c:pt>
                <c:pt idx="1">
                  <c:v>DE 35 A 45 AÑOS</c:v>
                </c:pt>
                <c:pt idx="2">
                  <c:v>DE 46 A 55 AÑOS</c:v>
                </c:pt>
                <c:pt idx="3">
                  <c:v>DE 56 A 60 AÑOS</c:v>
                </c:pt>
                <c:pt idx="4">
                  <c:v>&gt; DE 60 AÑOS</c:v>
                </c:pt>
              </c:strCache>
            </c:strRef>
          </c:cat>
          <c:val>
            <c:numRef>
              <c:f>'FORMULAS FEB'!$BX$14:$BX$18</c:f>
              <c:numCache>
                <c:formatCode>0.0%</c:formatCode>
                <c:ptCount val="5"/>
                <c:pt idx="0">
                  <c:v>0.23255813953488372</c:v>
                </c:pt>
                <c:pt idx="1">
                  <c:v>0.234375</c:v>
                </c:pt>
                <c:pt idx="2">
                  <c:v>0.18181818181818182</c:v>
                </c:pt>
                <c:pt idx="3">
                  <c:v>0.16666666666666666</c:v>
                </c:pt>
                <c:pt idx="4">
                  <c:v>0.22727272727272727</c:v>
                </c:pt>
              </c:numCache>
            </c:numRef>
          </c:val>
        </c:ser>
        <c:ser>
          <c:idx val="2"/>
          <c:order val="2"/>
          <c:tx>
            <c:strRef>
              <c:f>'FORMULAS FEB'!$BY$13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FEB'!$BV$14:$BV$18</c:f>
              <c:strCache>
                <c:ptCount val="5"/>
                <c:pt idx="0">
                  <c:v>&lt; DE 35 AÑOS</c:v>
                </c:pt>
                <c:pt idx="1">
                  <c:v>DE 35 A 45 AÑOS</c:v>
                </c:pt>
                <c:pt idx="2">
                  <c:v>DE 46 A 55 AÑOS</c:v>
                </c:pt>
                <c:pt idx="3">
                  <c:v>DE 56 A 60 AÑOS</c:v>
                </c:pt>
                <c:pt idx="4">
                  <c:v>&gt; DE 60 AÑOS</c:v>
                </c:pt>
              </c:strCache>
            </c:strRef>
          </c:cat>
          <c:val>
            <c:numRef>
              <c:f>'FORMULAS FEB'!$BY$14:$BY$18</c:f>
              <c:numCache>
                <c:formatCode>0.0%</c:formatCode>
                <c:ptCount val="5"/>
                <c:pt idx="0">
                  <c:v>0.18604651162790697</c:v>
                </c:pt>
                <c:pt idx="1">
                  <c:v>0.2734375</c:v>
                </c:pt>
                <c:pt idx="2">
                  <c:v>0.21428571428571427</c:v>
                </c:pt>
                <c:pt idx="3">
                  <c:v>0.16666666666666666</c:v>
                </c:pt>
                <c:pt idx="4">
                  <c:v>0.15909090909090909</c:v>
                </c:pt>
              </c:numCache>
            </c:numRef>
          </c:val>
        </c:ser>
        <c:ser>
          <c:idx val="3"/>
          <c:order val="3"/>
          <c:tx>
            <c:strRef>
              <c:f>'FORMULAS FEB'!$BZ$13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FEB'!$BV$14:$BV$18</c:f>
              <c:strCache>
                <c:ptCount val="5"/>
                <c:pt idx="0">
                  <c:v>&lt; DE 35 AÑOS</c:v>
                </c:pt>
                <c:pt idx="1">
                  <c:v>DE 35 A 45 AÑOS</c:v>
                </c:pt>
                <c:pt idx="2">
                  <c:v>DE 46 A 55 AÑOS</c:v>
                </c:pt>
                <c:pt idx="3">
                  <c:v>DE 56 A 60 AÑOS</c:v>
                </c:pt>
                <c:pt idx="4">
                  <c:v>&gt; DE 60 AÑOS</c:v>
                </c:pt>
              </c:strCache>
            </c:strRef>
          </c:cat>
          <c:val>
            <c:numRef>
              <c:f>'FORMULAS FEB'!$BZ$14:$BZ$18</c:f>
              <c:numCache>
                <c:formatCode>0.0%</c:formatCode>
                <c:ptCount val="5"/>
                <c:pt idx="0">
                  <c:v>6.9767441860465115E-2</c:v>
                </c:pt>
                <c:pt idx="1">
                  <c:v>4.6875E-2</c:v>
                </c:pt>
                <c:pt idx="2">
                  <c:v>9.0909090909090912E-2</c:v>
                </c:pt>
                <c:pt idx="3">
                  <c:v>0.14285714285714285</c:v>
                </c:pt>
                <c:pt idx="4">
                  <c:v>0.11363636363636363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4061696"/>
        <c:axId val="202969856"/>
        <c:axId val="0"/>
      </c:bar3DChart>
      <c:catAx>
        <c:axId val="2040616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969856"/>
        <c:crosses val="autoZero"/>
        <c:auto val="1"/>
        <c:lblAlgn val="ctr"/>
        <c:lblOffset val="100"/>
        <c:noMultiLvlLbl val="0"/>
      </c:catAx>
      <c:valAx>
        <c:axId val="20296985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0616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ESCOLARIDAD DE LOS PROPIETARIOS SEGÚN TAMAÑO DE LA FLOTA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[% SOBRE EL TOTAL DE RESPUESTAS A ESCOLARIDAD (100% = 411)]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FEB'!$BW$23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FEB'!$BV$24:$BV$29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PREPARATORIA/BACHILLERATO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FEB'!$BW$24:$BW$29</c:f>
              <c:numCache>
                <c:formatCode>0.0%</c:formatCode>
                <c:ptCount val="6"/>
                <c:pt idx="0">
                  <c:v>3.4063260340632603E-2</c:v>
                </c:pt>
                <c:pt idx="1">
                  <c:v>0.11678832116788321</c:v>
                </c:pt>
                <c:pt idx="2">
                  <c:v>0.19221411192214111</c:v>
                </c:pt>
                <c:pt idx="3">
                  <c:v>0.10462287104622871</c:v>
                </c:pt>
                <c:pt idx="4">
                  <c:v>3.8929440389294405E-2</c:v>
                </c:pt>
                <c:pt idx="5">
                  <c:v>4.8661800486618006E-3</c:v>
                </c:pt>
              </c:numCache>
            </c:numRef>
          </c:val>
        </c:ser>
        <c:ser>
          <c:idx val="1"/>
          <c:order val="1"/>
          <c:tx>
            <c:strRef>
              <c:f>'FORMULAS FEB'!$BX$23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FEB'!$BV$24:$BV$29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PREPARATORIA/BACHILLERATO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FEB'!$BX$24:$BX$29</c:f>
              <c:numCache>
                <c:formatCode>0.0%</c:formatCode>
                <c:ptCount val="6"/>
                <c:pt idx="0">
                  <c:v>2.4330900243309003E-3</c:v>
                </c:pt>
                <c:pt idx="1">
                  <c:v>3.6496350364963501E-2</c:v>
                </c:pt>
                <c:pt idx="2">
                  <c:v>5.3527980535279802E-2</c:v>
                </c:pt>
                <c:pt idx="3">
                  <c:v>7.2992700729927001E-2</c:v>
                </c:pt>
                <c:pt idx="4">
                  <c:v>4.1362530413625302E-2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FEB'!$BY$23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FEB'!$BV$24:$BV$29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PREPARATORIA/BACHILLERATO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FEB'!$BY$24:$BY$29</c:f>
              <c:numCache>
                <c:formatCode>0.0%</c:formatCode>
                <c:ptCount val="6"/>
                <c:pt idx="0">
                  <c:v>2.4330900243309003E-3</c:v>
                </c:pt>
                <c:pt idx="1">
                  <c:v>2.1897810218978103E-2</c:v>
                </c:pt>
                <c:pt idx="2">
                  <c:v>2.6763990267639901E-2</c:v>
                </c:pt>
                <c:pt idx="3">
                  <c:v>6.8126520681265207E-2</c:v>
                </c:pt>
                <c:pt idx="4">
                  <c:v>9.7323600973236016E-2</c:v>
                </c:pt>
                <c:pt idx="5">
                  <c:v>2.4330900243309003E-3</c:v>
                </c:pt>
              </c:numCache>
            </c:numRef>
          </c:val>
        </c:ser>
        <c:ser>
          <c:idx val="3"/>
          <c:order val="3"/>
          <c:tx>
            <c:strRef>
              <c:f>'FORMULAS FEB'!$BZ$23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FEB'!$BV$24:$BV$29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PREPARATORIA/BACHILLERATO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FEB'!$BZ$24:$BZ$29</c:f>
              <c:numCache>
                <c:formatCode>0.0%</c:formatCode>
                <c:ptCount val="6"/>
                <c:pt idx="0">
                  <c:v>0</c:v>
                </c:pt>
                <c:pt idx="1">
                  <c:v>4.8661800486618006E-3</c:v>
                </c:pt>
                <c:pt idx="2">
                  <c:v>1.2165450121654502E-2</c:v>
                </c:pt>
                <c:pt idx="3">
                  <c:v>2.1897810218978103E-2</c:v>
                </c:pt>
                <c:pt idx="4">
                  <c:v>3.8929440389294405E-2</c:v>
                </c:pt>
                <c:pt idx="5">
                  <c:v>4.8661800486618006E-3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2999296"/>
        <c:axId val="203000832"/>
        <c:axId val="0"/>
      </c:bar3DChart>
      <c:catAx>
        <c:axId val="2029992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000832"/>
        <c:crosses val="autoZero"/>
        <c:auto val="1"/>
        <c:lblAlgn val="ctr"/>
        <c:lblOffset val="100"/>
        <c:noMultiLvlLbl val="0"/>
      </c:catAx>
      <c:valAx>
        <c:axId val="20300083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9992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EXPERIENCIA</a:t>
            </a:r>
          </a:p>
          <a:p>
            <a:pPr>
              <a:defRPr sz="1400"/>
            </a:pPr>
            <a:r>
              <a:rPr lang="es-MX" sz="1200"/>
              <a:t>AÑOS MANEJANDO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[(% SOBRE EL TOTAL DE RESPUESTAS A AÑOS MANEJANDO TRANSPORTE DE CARGA (100% = 411)]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FORMULAS!$F$2</c:f>
              <c:strCache>
                <c:ptCount val="1"/>
                <c:pt idx="0">
                  <c:v>AÑOS MANEJANDO</c:v>
                </c:pt>
              </c:strCache>
            </c:strRef>
          </c:tx>
          <c:explosion val="25"/>
          <c:dPt>
            <c:idx val="5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4388451443569557E-2"/>
                  <c:y val="-0.1901068095654709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7763998250218742E-2"/>
                  <c:y val="0.1279538495188101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FORMULAS!$F$3:$F$8</c:f>
              <c:strCache>
                <c:ptCount val="6"/>
                <c:pt idx="0">
                  <c:v>0 A 5</c:v>
                </c:pt>
                <c:pt idx="1">
                  <c:v>6 A 10</c:v>
                </c:pt>
                <c:pt idx="2">
                  <c:v>11 A 15</c:v>
                </c:pt>
                <c:pt idx="3">
                  <c:v>16 A 20</c:v>
                </c:pt>
                <c:pt idx="4">
                  <c:v>21 A 25</c:v>
                </c:pt>
                <c:pt idx="5">
                  <c:v>&gt;25</c:v>
                </c:pt>
              </c:strCache>
            </c:strRef>
          </c:cat>
          <c:val>
            <c:numRef>
              <c:f>FORMULAS!$G$3:$G$8</c:f>
              <c:numCache>
                <c:formatCode>0%</c:formatCode>
                <c:ptCount val="6"/>
                <c:pt idx="0">
                  <c:v>0.17761557177615572</c:v>
                </c:pt>
                <c:pt idx="1">
                  <c:v>0.12165450121654502</c:v>
                </c:pt>
                <c:pt idx="2">
                  <c:v>2.9197080291970802E-2</c:v>
                </c:pt>
                <c:pt idx="3">
                  <c:v>0.12652068126520682</c:v>
                </c:pt>
                <c:pt idx="4">
                  <c:v>0.16058394160583941</c:v>
                </c:pt>
                <c:pt idx="5">
                  <c:v>0.38442822384428221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944" l="0.70000000000000062" r="0.70000000000000062" t="0.75000000000000944" header="0.30000000000000032" footer="0.30000000000000032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MECANISMOS DE CONTRATACIÓN SEGÚN TAMAÑO DE FLOTA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[TOTAL DE RESPUESTAS A</a:t>
            </a:r>
            <a:r>
              <a:rPr lang="es-MX" sz="800" baseline="0"/>
              <a:t> MECANISMOS DE CONTRATACIÓN =914]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FEB'!$CI$3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FEB'!$CH$4:$CH$9</c:f>
              <c:strCache>
                <c:ptCount val="6"/>
                <c:pt idx="0">
                  <c:v>Con contrato firmado</c:v>
                </c:pt>
                <c:pt idx="1">
                  <c:v>De palabra</c:v>
                </c:pt>
                <c:pt idx="2">
                  <c:v>Con empresa logística</c:v>
                </c:pt>
                <c:pt idx="3">
                  <c:v>Con un intermediario</c:v>
                </c:pt>
                <c:pt idx="4">
                  <c:v>Con un embarcador</c:v>
                </c:pt>
                <c:pt idx="5">
                  <c:v>Con el cliente</c:v>
                </c:pt>
              </c:strCache>
            </c:strRef>
          </c:cat>
          <c:val>
            <c:numRef>
              <c:f>'FORMULAS FEB'!$CI$4:$CI$9</c:f>
              <c:numCache>
                <c:formatCode>General</c:formatCode>
                <c:ptCount val="6"/>
                <c:pt idx="0">
                  <c:v>54</c:v>
                </c:pt>
                <c:pt idx="1">
                  <c:v>148</c:v>
                </c:pt>
                <c:pt idx="2">
                  <c:v>21</c:v>
                </c:pt>
                <c:pt idx="3">
                  <c:v>96</c:v>
                </c:pt>
                <c:pt idx="4">
                  <c:v>42</c:v>
                </c:pt>
                <c:pt idx="5">
                  <c:v>80</c:v>
                </c:pt>
              </c:numCache>
            </c:numRef>
          </c:val>
        </c:ser>
        <c:ser>
          <c:idx val="1"/>
          <c:order val="1"/>
          <c:tx>
            <c:strRef>
              <c:f>'FORMULAS FEB'!$CJ$3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FEB'!$CH$4:$CH$9</c:f>
              <c:strCache>
                <c:ptCount val="6"/>
                <c:pt idx="0">
                  <c:v>Con contrato firmado</c:v>
                </c:pt>
                <c:pt idx="1">
                  <c:v>De palabra</c:v>
                </c:pt>
                <c:pt idx="2">
                  <c:v>Con empresa logística</c:v>
                </c:pt>
                <c:pt idx="3">
                  <c:v>Con un intermediario</c:v>
                </c:pt>
                <c:pt idx="4">
                  <c:v>Con un embarcador</c:v>
                </c:pt>
                <c:pt idx="5">
                  <c:v>Con el cliente</c:v>
                </c:pt>
              </c:strCache>
            </c:strRef>
          </c:cat>
          <c:val>
            <c:numRef>
              <c:f>'FORMULAS FEB'!$CJ$4:$CJ$9</c:f>
              <c:numCache>
                <c:formatCode>General</c:formatCode>
                <c:ptCount val="6"/>
                <c:pt idx="0">
                  <c:v>42</c:v>
                </c:pt>
                <c:pt idx="1">
                  <c:v>46</c:v>
                </c:pt>
                <c:pt idx="2">
                  <c:v>13</c:v>
                </c:pt>
                <c:pt idx="3">
                  <c:v>23</c:v>
                </c:pt>
                <c:pt idx="4">
                  <c:v>24</c:v>
                </c:pt>
                <c:pt idx="5">
                  <c:v>47</c:v>
                </c:pt>
              </c:numCache>
            </c:numRef>
          </c:val>
        </c:ser>
        <c:ser>
          <c:idx val="2"/>
          <c:order val="2"/>
          <c:tx>
            <c:strRef>
              <c:f>'FORMULAS FEB'!$CK$3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FEB'!$CH$4:$CH$9</c:f>
              <c:strCache>
                <c:ptCount val="6"/>
                <c:pt idx="0">
                  <c:v>Con contrato firmado</c:v>
                </c:pt>
                <c:pt idx="1">
                  <c:v>De palabra</c:v>
                </c:pt>
                <c:pt idx="2">
                  <c:v>Con empresa logística</c:v>
                </c:pt>
                <c:pt idx="3">
                  <c:v>Con un intermediario</c:v>
                </c:pt>
                <c:pt idx="4">
                  <c:v>Con un embarcador</c:v>
                </c:pt>
                <c:pt idx="5">
                  <c:v>Con el cliente</c:v>
                </c:pt>
              </c:strCache>
            </c:strRef>
          </c:cat>
          <c:val>
            <c:numRef>
              <c:f>'FORMULAS FEB'!$CK$4:$CK$9</c:f>
              <c:numCache>
                <c:formatCode>General</c:formatCode>
                <c:ptCount val="6"/>
                <c:pt idx="0">
                  <c:v>59</c:v>
                </c:pt>
                <c:pt idx="1">
                  <c:v>32</c:v>
                </c:pt>
                <c:pt idx="2">
                  <c:v>17</c:v>
                </c:pt>
                <c:pt idx="3">
                  <c:v>22</c:v>
                </c:pt>
                <c:pt idx="4">
                  <c:v>16</c:v>
                </c:pt>
                <c:pt idx="5">
                  <c:v>48</c:v>
                </c:pt>
              </c:numCache>
            </c:numRef>
          </c:val>
        </c:ser>
        <c:ser>
          <c:idx val="3"/>
          <c:order val="3"/>
          <c:tx>
            <c:strRef>
              <c:f>'FORMULAS FEB'!$CL$3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FEB'!$CH$4:$CH$9</c:f>
              <c:strCache>
                <c:ptCount val="6"/>
                <c:pt idx="0">
                  <c:v>Con contrato firmado</c:v>
                </c:pt>
                <c:pt idx="1">
                  <c:v>De palabra</c:v>
                </c:pt>
                <c:pt idx="2">
                  <c:v>Con empresa logística</c:v>
                </c:pt>
                <c:pt idx="3">
                  <c:v>Con un intermediario</c:v>
                </c:pt>
                <c:pt idx="4">
                  <c:v>Con un embarcador</c:v>
                </c:pt>
                <c:pt idx="5">
                  <c:v>Con el cliente</c:v>
                </c:pt>
              </c:strCache>
            </c:strRef>
          </c:cat>
          <c:val>
            <c:numRef>
              <c:f>'FORMULAS FEB'!$CL$4:$CL$9</c:f>
              <c:numCache>
                <c:formatCode>General</c:formatCode>
                <c:ptCount val="6"/>
                <c:pt idx="0">
                  <c:v>21</c:v>
                </c:pt>
                <c:pt idx="1">
                  <c:v>17</c:v>
                </c:pt>
                <c:pt idx="2">
                  <c:v>6</c:v>
                </c:pt>
                <c:pt idx="3">
                  <c:v>5</c:v>
                </c:pt>
                <c:pt idx="4">
                  <c:v>14</c:v>
                </c:pt>
                <c:pt idx="5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3091328"/>
        <c:axId val="203105408"/>
        <c:axId val="0"/>
      </c:bar3DChart>
      <c:catAx>
        <c:axId val="2030913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105408"/>
        <c:crosses val="autoZero"/>
        <c:auto val="1"/>
        <c:lblAlgn val="ctr"/>
        <c:lblOffset val="100"/>
        <c:noMultiLvlLbl val="0"/>
      </c:catAx>
      <c:valAx>
        <c:axId val="2031054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0913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QUIÉN FIJA LA RUTA SEGÚN TAMAÑO DE LA</a:t>
            </a:r>
            <a:r>
              <a:rPr lang="es-MX" sz="1400" baseline="0"/>
              <a:t> FLOTA</a:t>
            </a:r>
          </a:p>
          <a:p>
            <a:pPr>
              <a:defRPr sz="1400"/>
            </a:pPr>
            <a:r>
              <a:rPr lang="es-MX" sz="1000" baseline="0"/>
              <a:t>ENCUENTA A PROPIETARIOS</a:t>
            </a:r>
          </a:p>
          <a:p>
            <a:pPr>
              <a:defRPr sz="1400"/>
            </a:pPr>
            <a:r>
              <a:rPr lang="es-MX" sz="800" baseline="0"/>
              <a:t>[TOTAL DE RESPUESTAS PARA QUIÉN FIJA LAS RUTAS = 451]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FEB'!$CH$14</c:f>
              <c:strCache>
                <c:ptCount val="1"/>
                <c:pt idx="0">
                  <c:v>El Conductor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FEB'!$CI$13:$CL$13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FEB'!$CI$14:$CL$14</c:f>
              <c:numCache>
                <c:formatCode>General</c:formatCode>
                <c:ptCount val="4"/>
                <c:pt idx="0">
                  <c:v>6</c:v>
                </c:pt>
                <c:pt idx="1">
                  <c:v>8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</c:ser>
        <c:ser>
          <c:idx val="1"/>
          <c:order val="1"/>
          <c:tx>
            <c:strRef>
              <c:f>'FORMULAS FEB'!$CH$15</c:f>
              <c:strCache>
                <c:ptCount val="1"/>
                <c:pt idx="0">
                  <c:v>El Dueño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FEB'!$CI$13:$CL$13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FEB'!$CI$15:$CL$15</c:f>
              <c:numCache>
                <c:formatCode>General</c:formatCode>
                <c:ptCount val="4"/>
                <c:pt idx="0">
                  <c:v>112</c:v>
                </c:pt>
                <c:pt idx="1">
                  <c:v>39</c:v>
                </c:pt>
                <c:pt idx="2">
                  <c:v>42</c:v>
                </c:pt>
                <c:pt idx="3">
                  <c:v>13</c:v>
                </c:pt>
              </c:numCache>
            </c:numRef>
          </c:val>
        </c:ser>
        <c:ser>
          <c:idx val="2"/>
          <c:order val="2"/>
          <c:tx>
            <c:strRef>
              <c:f>'FORMULAS FEB'!$CH$16</c:f>
              <c:strCache>
                <c:ptCount val="1"/>
                <c:pt idx="0">
                  <c:v>El Cliente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FEB'!$CI$13:$CL$13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FEB'!$CI$16:$CL$16</c:f>
              <c:numCache>
                <c:formatCode>General</c:formatCode>
                <c:ptCount val="4"/>
                <c:pt idx="0">
                  <c:v>66</c:v>
                </c:pt>
                <c:pt idx="1">
                  <c:v>34</c:v>
                </c:pt>
                <c:pt idx="2">
                  <c:v>32</c:v>
                </c:pt>
                <c:pt idx="3">
                  <c:v>9</c:v>
                </c:pt>
              </c:numCache>
            </c:numRef>
          </c:val>
        </c:ser>
        <c:ser>
          <c:idx val="3"/>
          <c:order val="3"/>
          <c:tx>
            <c:strRef>
              <c:f>'FORMULAS FEB'!$CH$17</c:f>
              <c:strCache>
                <c:ptCount val="1"/>
                <c:pt idx="0">
                  <c:v>Ambos (Cliente y Dueño)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FEB'!$CI$13:$CL$13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FEB'!$CI$17:$CL$17</c:f>
              <c:numCache>
                <c:formatCode>General</c:formatCode>
                <c:ptCount val="4"/>
                <c:pt idx="0">
                  <c:v>26</c:v>
                </c:pt>
                <c:pt idx="1">
                  <c:v>18</c:v>
                </c:pt>
                <c:pt idx="2">
                  <c:v>24</c:v>
                </c:pt>
                <c:pt idx="3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3159040"/>
        <c:axId val="203160576"/>
        <c:axId val="0"/>
      </c:bar3DChart>
      <c:catAx>
        <c:axId val="2031590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160576"/>
        <c:crosses val="autoZero"/>
        <c:auto val="1"/>
        <c:lblAlgn val="ctr"/>
        <c:lblOffset val="100"/>
        <c:noMultiLvlLbl val="0"/>
      </c:catAx>
      <c:valAx>
        <c:axId val="2031605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1590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93285214348212"/>
          <c:y val="0.2518777992846471"/>
          <c:w val="0.86754068241471105"/>
          <c:h val="0.577384688164763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FORMULAS!$P$12</c:f>
              <c:strCache>
                <c:ptCount val="1"/>
                <c:pt idx="0">
                  <c:v>TIEMPO</c:v>
                </c:pt>
              </c:strCache>
            </c:strRef>
          </c:tx>
          <c:dLbls>
            <c:dLbl>
              <c:idx val="0"/>
              <c:layout>
                <c:manualLayout>
                  <c:x val="-1.2422360248447261E-2"/>
                  <c:y val="-2.8639618138424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4782608695652126E-2"/>
                  <c:y val="4.7732696897375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9689440993788823E-2"/>
                  <c:y val="4.7732696897374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422360248447261E-2"/>
                  <c:y val="3.1821797931583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multiLvlStrRef>
              <c:f>FORMULAS!$N$13:$O$16</c:f>
              <c:multiLvlStrCache>
                <c:ptCount val="4"/>
                <c:lvl>
                  <c:pt idx="0">
                    <c:v>MAYOR IMPORTANCIA</c:v>
                  </c:pt>
                  <c:pt idx="1">
                    <c:v>IMPORTANCIA INTERMEDIA</c:v>
                  </c:pt>
                  <c:pt idx="2">
                    <c:v>POCO IMPORTANTE</c:v>
                  </c:pt>
                  <c:pt idx="3">
                    <c:v>MENOR IMPORTANCIA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xVal>
          <c:yVal>
            <c:numRef>
              <c:f>FORMULAS!$P$13:$P$16</c:f>
              <c:numCache>
                <c:formatCode>General</c:formatCode>
                <c:ptCount val="4"/>
                <c:pt idx="0">
                  <c:v>165</c:v>
                </c:pt>
                <c:pt idx="1">
                  <c:v>122</c:v>
                </c:pt>
                <c:pt idx="2">
                  <c:v>104</c:v>
                </c:pt>
                <c:pt idx="3">
                  <c:v>19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FORMULAS!$Q$12</c:f>
              <c:strCache>
                <c:ptCount val="1"/>
                <c:pt idx="0">
                  <c:v>CUOTA</c:v>
                </c:pt>
              </c:strCache>
            </c:strRef>
          </c:tx>
          <c:dLbls>
            <c:dLbl>
              <c:idx val="0"/>
              <c:layout>
                <c:manualLayout>
                  <c:x val="-1.242236024844728E-2"/>
                  <c:y val="4.7732696897375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96894409937888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5457438345266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multiLvlStrRef>
              <c:f>FORMULAS!$N$13:$O$16</c:f>
              <c:multiLvlStrCache>
                <c:ptCount val="4"/>
                <c:lvl>
                  <c:pt idx="0">
                    <c:v>MAYOR IMPORTANCIA</c:v>
                  </c:pt>
                  <c:pt idx="1">
                    <c:v>IMPORTANCIA INTERMEDIA</c:v>
                  </c:pt>
                  <c:pt idx="2">
                    <c:v>POCO IMPORTANTE</c:v>
                  </c:pt>
                  <c:pt idx="3">
                    <c:v>MENOR IMPORTANCIA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xVal>
          <c:yVal>
            <c:numRef>
              <c:f>FORMULAS!$Q$13:$Q$16</c:f>
              <c:numCache>
                <c:formatCode>General</c:formatCode>
                <c:ptCount val="4"/>
                <c:pt idx="0">
                  <c:v>69</c:v>
                </c:pt>
                <c:pt idx="1">
                  <c:v>135</c:v>
                </c:pt>
                <c:pt idx="2">
                  <c:v>182</c:v>
                </c:pt>
                <c:pt idx="3">
                  <c:v>24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FORMULAS!$R$12</c:f>
              <c:strCache>
                <c:ptCount val="1"/>
                <c:pt idx="0">
                  <c:v>DISTANCIA</c:v>
                </c:pt>
              </c:strCache>
            </c:strRef>
          </c:tx>
          <c:dLbls>
            <c:dLbl>
              <c:idx val="1"/>
              <c:layout>
                <c:manualLayout>
                  <c:x val="-4.2236024844720818E-2"/>
                  <c:y val="-3.818615751789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9875776397515629E-2"/>
                  <c:y val="-2.8639618138424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4534161490683436E-3"/>
                  <c:y val="-5.40970564836915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multiLvlStrRef>
              <c:f>FORMULAS!$N$13:$O$16</c:f>
              <c:multiLvlStrCache>
                <c:ptCount val="4"/>
                <c:lvl>
                  <c:pt idx="0">
                    <c:v>MAYOR IMPORTANCIA</c:v>
                  </c:pt>
                  <c:pt idx="1">
                    <c:v>IMPORTANCIA INTERMEDIA</c:v>
                  </c:pt>
                  <c:pt idx="2">
                    <c:v>POCO IMPORTANTE</c:v>
                  </c:pt>
                  <c:pt idx="3">
                    <c:v>MENOR IMPORTANCIA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xVal>
          <c:yVal>
            <c:numRef>
              <c:f>FORMULAS!$R$13:$R$16</c:f>
              <c:numCache>
                <c:formatCode>General</c:formatCode>
                <c:ptCount val="4"/>
                <c:pt idx="0">
                  <c:v>103</c:v>
                </c:pt>
                <c:pt idx="1">
                  <c:v>153</c:v>
                </c:pt>
                <c:pt idx="2">
                  <c:v>124</c:v>
                </c:pt>
                <c:pt idx="3">
                  <c:v>28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FORMULAS!$S$12</c:f>
              <c:strCache>
                <c:ptCount val="1"/>
                <c:pt idx="0">
                  <c:v>SEGURIDAD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triangle"/>
            <c:size val="7"/>
            <c:spPr>
              <a:solidFill>
                <a:schemeClr val="tx1"/>
              </a:solidFill>
            </c:spPr>
          </c:marker>
          <c:dLbls>
            <c:dLbl>
              <c:idx val="0"/>
              <c:layout>
                <c:manualLayout>
                  <c:x val="-1.9875776397515654E-2"/>
                  <c:y val="-3.5003977724741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multiLvlStrRef>
              <c:f>FORMULAS!$N$13:$O$16</c:f>
              <c:multiLvlStrCache>
                <c:ptCount val="4"/>
                <c:lvl>
                  <c:pt idx="0">
                    <c:v>MAYOR IMPORTANCIA</c:v>
                  </c:pt>
                  <c:pt idx="1">
                    <c:v>IMPORTANCIA INTERMEDIA</c:v>
                  </c:pt>
                  <c:pt idx="2">
                    <c:v>POCO IMPORTANTE</c:v>
                  </c:pt>
                  <c:pt idx="3">
                    <c:v>MENOR IMPORTANCIA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</c:lvl>
              </c:multiLvlStrCache>
            </c:multiLvlStrRef>
          </c:xVal>
          <c:yVal>
            <c:numRef>
              <c:f>FORMULAS!$S$13:$S$16</c:f>
              <c:numCache>
                <c:formatCode>General</c:formatCode>
                <c:ptCount val="4"/>
                <c:pt idx="0">
                  <c:v>73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209728"/>
        <c:axId val="204538624"/>
      </c:scatterChart>
      <c:valAx>
        <c:axId val="203209728"/>
        <c:scaling>
          <c:orientation val="minMax"/>
          <c:max val="4"/>
          <c:min val="1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538624"/>
        <c:crosses val="autoZero"/>
        <c:crossBetween val="midCat"/>
        <c:majorUnit val="1"/>
      </c:valAx>
      <c:valAx>
        <c:axId val="2045386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3209728"/>
        <c:crosses val="autoZero"/>
        <c:crossBetween val="midCat"/>
      </c:valAx>
      <c:spPr>
        <a:solidFill>
          <a:srgbClr val="9BBB59">
            <a:lumMod val="20000"/>
            <a:lumOff val="80000"/>
            <a:alpha val="50000"/>
          </a:srgbClr>
        </a:solidFill>
      </c:spPr>
    </c:plotArea>
    <c:legend>
      <c:legendPos val="r"/>
      <c:layout>
        <c:manualLayout>
          <c:xMode val="edge"/>
          <c:yMode val="edge"/>
          <c:x val="7.6251312335957847E-2"/>
          <c:y val="0.93869374040813514"/>
          <c:w val="0.89023687664041995"/>
          <c:h val="6.1306259591865517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FACTOR DE MAYOR IMPORTANCIA PARA FIJAR LA RUTA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[% SOBRE EL TOTAL DE RESPUESTAS</a:t>
            </a:r>
            <a:r>
              <a:rPr lang="es-MX" sz="800" baseline="0"/>
              <a:t> PARA FACTOR DE MAYOR IMPORTANCIA PARA FIJAR LA RUTA (100%  = 410)]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4715508265843578E-2"/>
          <c:y val="0.15975771544156095"/>
          <c:w val="0.87267520351209404"/>
          <c:h val="0.70784020017789595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'FORMULAS FEB'!$CI$22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200"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FEB'!$CH$23:$CH$26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FEB'!$CI$23:$CI$26</c:f>
              <c:numCache>
                <c:formatCode>0.0%</c:formatCode>
                <c:ptCount val="4"/>
                <c:pt idx="0">
                  <c:v>0.21707317073170732</c:v>
                </c:pt>
                <c:pt idx="1">
                  <c:v>8.5365853658536592E-2</c:v>
                </c:pt>
                <c:pt idx="2">
                  <c:v>0.15609756097560976</c:v>
                </c:pt>
                <c:pt idx="3">
                  <c:v>3.4146341463414637E-2</c:v>
                </c:pt>
              </c:numCache>
            </c:numRef>
          </c:val>
        </c:ser>
        <c:ser>
          <c:idx val="1"/>
          <c:order val="1"/>
          <c:tx>
            <c:strRef>
              <c:f>'FORMULAS FEB'!$CJ$22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FEB'!$CH$23:$CH$26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FEB'!$CJ$23:$CJ$26</c:f>
              <c:numCache>
                <c:formatCode>0.0%</c:formatCode>
                <c:ptCount val="4"/>
                <c:pt idx="0">
                  <c:v>0.10731707317073171</c:v>
                </c:pt>
                <c:pt idx="1">
                  <c:v>2.1951219512195121E-2</c:v>
                </c:pt>
                <c:pt idx="2">
                  <c:v>2.4390243902439025E-2</c:v>
                </c:pt>
                <c:pt idx="3">
                  <c:v>5.1219512195121948E-2</c:v>
                </c:pt>
              </c:numCache>
            </c:numRef>
          </c:val>
        </c:ser>
        <c:ser>
          <c:idx val="2"/>
          <c:order val="2"/>
          <c:tx>
            <c:strRef>
              <c:f>'FORMULAS FEB'!$CK$22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FEB'!$CH$23:$CH$26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FEB'!$CK$23:$CK$26</c:f>
              <c:numCache>
                <c:formatCode>0.0%</c:formatCode>
                <c:ptCount val="4"/>
                <c:pt idx="0">
                  <c:v>7.3170731707317069E-2</c:v>
                </c:pt>
                <c:pt idx="1">
                  <c:v>4.1463414634146344E-2</c:v>
                </c:pt>
                <c:pt idx="2">
                  <c:v>4.3902439024390241E-2</c:v>
                </c:pt>
                <c:pt idx="3">
                  <c:v>6.097560975609756E-2</c:v>
                </c:pt>
              </c:numCache>
            </c:numRef>
          </c:val>
        </c:ser>
        <c:ser>
          <c:idx val="3"/>
          <c:order val="3"/>
          <c:tx>
            <c:strRef>
              <c:f>'FORMULAS FEB'!$CL$22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068965629593572E-3"/>
                  <c:y val="-4.9586763952166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7.2727253796511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1379312591871414E-3"/>
                  <c:y val="-6.2809901006077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1379312591871414E-3"/>
                  <c:y val="-7.933882232346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200"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FEB'!$CH$23:$CH$26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FEB'!$CL$23:$CL$26</c:f>
              <c:numCache>
                <c:formatCode>0.0%</c:formatCode>
                <c:ptCount val="4"/>
                <c:pt idx="0">
                  <c:v>4.8780487804878049E-3</c:v>
                </c:pt>
                <c:pt idx="1">
                  <c:v>1.9512195121951219E-2</c:v>
                </c:pt>
                <c:pt idx="2">
                  <c:v>2.6829268292682926E-2</c:v>
                </c:pt>
                <c:pt idx="3">
                  <c:v>3.1707317073170732E-2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4584832"/>
        <c:axId val="204586368"/>
        <c:axId val="0"/>
      </c:bar3DChart>
      <c:catAx>
        <c:axId val="2045848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586368"/>
        <c:crosses val="autoZero"/>
        <c:auto val="1"/>
        <c:lblAlgn val="ctr"/>
        <c:lblOffset val="100"/>
        <c:noMultiLvlLbl val="0"/>
      </c:catAx>
      <c:valAx>
        <c:axId val="20458636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584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"/>
          <c:y val="0.95574908420665461"/>
          <c:w val="0.98605761531673153"/>
          <c:h val="4.4071570489602273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RAZÓN POR LA QUE NO PARTICIPA EN EL PROGRAMA DE CHATARRIZACIÓN</a:t>
            </a:r>
          </a:p>
          <a:p>
            <a:pPr>
              <a:defRPr sz="1400"/>
            </a:pPr>
            <a:r>
              <a:rPr lang="en-US" sz="1200"/>
              <a:t>ENCUESTA</a:t>
            </a:r>
            <a:r>
              <a:rPr lang="en-US" sz="1200" baseline="0"/>
              <a:t> A PROPIETARIOS</a:t>
            </a:r>
          </a:p>
          <a:p>
            <a:pPr>
              <a:defRPr sz="1400"/>
            </a:pPr>
            <a:r>
              <a:rPr lang="en-US" sz="800" baseline="0"/>
              <a:t>[TOTAL DE RESPUESTAS OBTENIDAS = 127]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1"/>
          <c:order val="0"/>
          <c:tx>
            <c:strRef>
              <c:f>FORMULAS!$AJ$14</c:f>
              <c:strCache>
                <c:ptCount val="1"/>
                <c:pt idx="0">
                  <c:v>CANTIDAD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FORMULAS!$AH$15:$AH$18</c:f>
              <c:strCache>
                <c:ptCount val="4"/>
                <c:pt idx="0">
                  <c:v>DAN MUY POCO</c:v>
                </c:pt>
                <c:pt idx="1">
                  <c:v>UNIDADES EN BUEN ESTADO</c:v>
                </c:pt>
                <c:pt idx="2">
                  <c:v>VENDE LAS UNIDADES USADAS</c:v>
                </c:pt>
                <c:pt idx="3">
                  <c:v>NO LE INTERESA</c:v>
                </c:pt>
              </c:strCache>
            </c:strRef>
          </c:cat>
          <c:val>
            <c:numRef>
              <c:f>FORMULAS!$AJ$15:$AJ$18</c:f>
              <c:numCache>
                <c:formatCode>General</c:formatCode>
                <c:ptCount val="4"/>
                <c:pt idx="0">
                  <c:v>59</c:v>
                </c:pt>
                <c:pt idx="1">
                  <c:v>58</c:v>
                </c:pt>
                <c:pt idx="2">
                  <c:v>2</c:v>
                </c:pt>
                <c:pt idx="3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70662144"/>
        <c:axId val="170672128"/>
        <c:axId val="0"/>
      </c:bar3DChart>
      <c:catAx>
        <c:axId val="1706621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 b="1" i="0" baseline="0"/>
            </a:pPr>
            <a:endParaRPr lang="es-MX"/>
          </a:p>
        </c:txPr>
        <c:crossAx val="170672128"/>
        <c:crosses val="autoZero"/>
        <c:auto val="1"/>
        <c:lblAlgn val="ctr"/>
        <c:lblOffset val="100"/>
        <c:noMultiLvlLbl val="0"/>
      </c:catAx>
      <c:valAx>
        <c:axId val="170672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7066214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FACTOR DE IMPORTANCIA MEDIA - ALTA PARA FIJAR LA RUTA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[% SOBRE EL TOTAL DE RESPUESTAS PARA FACTOR DE IMPORTANCIA MEDIA - ALTA PARA FIJAR LA RUTA</a:t>
            </a:r>
          </a:p>
          <a:p>
            <a:pPr>
              <a:defRPr sz="1400"/>
            </a:pPr>
            <a:r>
              <a:rPr lang="es-MX" sz="800"/>
              <a:t> (100% = 410)]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155970204613671E-2"/>
          <c:y val="0.176784516279128"/>
          <c:w val="0.8803320940696292"/>
          <c:h val="0.7153619439713163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'FORMULAS FEB'!$CI$31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4.5753901977587177E-2"/>
                  <c:y val="4.6153850147430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200"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FEB'!$CH$32:$CH$35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FEB'!$CI$32:$CI$35</c:f>
              <c:numCache>
                <c:formatCode>0.0%</c:formatCode>
                <c:ptCount val="4"/>
                <c:pt idx="0">
                  <c:v>0.13658536585365855</c:v>
                </c:pt>
                <c:pt idx="1">
                  <c:v>0.17073170731707318</c:v>
                </c:pt>
                <c:pt idx="2">
                  <c:v>0.18536585365853658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'FORMULAS FEB'!$CJ$31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-6.1554891089444827E-2"/>
                </c:manualLayout>
              </c:layout>
              <c:spPr/>
              <c:txPr>
                <a:bodyPr rot="0" vert="horz"/>
                <a:lstStyle/>
                <a:p>
                  <a:pPr>
                    <a:defRPr sz="1200" b="1" i="1" baseline="0">
                      <a:solidFill>
                        <a:srgbClr val="C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FEB'!$CH$32:$CH$35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FEB'!$CJ$32:$CJ$35</c:f>
              <c:numCache>
                <c:formatCode>0.0%</c:formatCode>
                <c:ptCount val="4"/>
                <c:pt idx="0">
                  <c:v>5.1219512195121948E-2</c:v>
                </c:pt>
                <c:pt idx="1">
                  <c:v>6.8292682926829273E-2</c:v>
                </c:pt>
                <c:pt idx="2">
                  <c:v>8.5365853658536592E-2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FEB'!$CK$31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-0.10002669802034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FEB'!$CH$32:$CH$35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FEB'!$CK$32:$CK$35</c:f>
              <c:numCache>
                <c:formatCode>0.0%</c:formatCode>
                <c:ptCount val="4"/>
                <c:pt idx="0">
                  <c:v>6.8292682926829273E-2</c:v>
                </c:pt>
                <c:pt idx="1">
                  <c:v>7.0731707317073164E-2</c:v>
                </c:pt>
                <c:pt idx="2">
                  <c:v>8.0487804878048783E-2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'FORMULAS FEB'!$CL$31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7.950840099053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6.6684465346898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6.411967821817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0.135933717822524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200"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FEB'!$CH$32:$CH$35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FEB'!$CL$32:$CL$35</c:f>
              <c:numCache>
                <c:formatCode>0.0%</c:formatCode>
                <c:ptCount val="4"/>
                <c:pt idx="0">
                  <c:v>4.1463414634146344E-2</c:v>
                </c:pt>
                <c:pt idx="1">
                  <c:v>1.9512195121951219E-2</c:v>
                </c:pt>
                <c:pt idx="2">
                  <c:v>2.1951219512195121E-2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4669696"/>
        <c:axId val="204671232"/>
        <c:axId val="0"/>
      </c:bar3DChart>
      <c:catAx>
        <c:axId val="2046696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671232"/>
        <c:crosses val="autoZero"/>
        <c:auto val="1"/>
        <c:lblAlgn val="ctr"/>
        <c:lblOffset val="100"/>
        <c:noMultiLvlLbl val="0"/>
      </c:catAx>
      <c:valAx>
        <c:axId val="20467123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669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4.9667711058705086E-4"/>
          <c:y val="0.94305849451438506"/>
          <c:w val="0.98078581753494565"/>
          <c:h val="5.4711150442334905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FACTOR DE IMPORTANCIA MEDIA - BAJA PARA FIJAR LA RUTA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[% SOBRE EL TOTAL DE RESPUESTAS PARA FACTOR DE IMPORTANCIA MEDIA -</a:t>
            </a:r>
            <a:r>
              <a:rPr lang="es-MX" sz="800" baseline="0"/>
              <a:t> BAJA PARA FIJAR LA RUTA</a:t>
            </a:r>
          </a:p>
          <a:p>
            <a:pPr>
              <a:defRPr sz="1400"/>
            </a:pPr>
            <a:r>
              <a:rPr lang="es-MX" sz="800" baseline="0"/>
              <a:t> (100% = 410)]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303805774278249E-2"/>
          <c:y val="0.17640748844125703"/>
          <c:w val="0.85512434383202096"/>
          <c:h val="0.69805377024707083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'FORMULAS FEB'!$CI$40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-2.3033854930242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200"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FEB'!$CH$41:$CH$44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FEB'!$CI$41:$CI$44</c:f>
              <c:numCache>
                <c:formatCode>0.0%</c:formatCode>
                <c:ptCount val="4"/>
                <c:pt idx="0">
                  <c:v>0.12195121951219512</c:v>
                </c:pt>
                <c:pt idx="1">
                  <c:v>0.22682926829268293</c:v>
                </c:pt>
                <c:pt idx="2">
                  <c:v>0.14390243902439023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'FORMULAS FEB'!$CJ$40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4.1666666666666683E-3"/>
                  <c:y val="-6.142361314731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FEB'!$CH$41:$CH$44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FEB'!$CJ$41:$CJ$44</c:f>
              <c:numCache>
                <c:formatCode>0.0%</c:formatCode>
                <c:ptCount val="4"/>
                <c:pt idx="0">
                  <c:v>3.9024390243902439E-2</c:v>
                </c:pt>
                <c:pt idx="1">
                  <c:v>9.2682926829268292E-2</c:v>
                </c:pt>
                <c:pt idx="2">
                  <c:v>7.3170731707317069E-2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FEB'!$CK$40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-2.0833333333333346E-3"/>
                  <c:y val="-0.10237268857885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FEB'!$CH$41:$CH$44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FEB'!$CK$41:$CK$44</c:f>
              <c:numCache>
                <c:formatCode>0.0%</c:formatCode>
                <c:ptCount val="4"/>
                <c:pt idx="0">
                  <c:v>6.3414634146341464E-2</c:v>
                </c:pt>
                <c:pt idx="1">
                  <c:v>9.0243902439024387E-2</c:v>
                </c:pt>
                <c:pt idx="2">
                  <c:v>6.5853658536585369E-2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'FORMULAS FEB'!$CL$40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2500000000000021E-3"/>
                  <c:y val="-6.910156479072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1666666666666683E-3"/>
                  <c:y val="-7.4220199219670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7.6388006448120095E-17"/>
                  <c:y val="-6.6542247576256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0833333333333346E-3"/>
                  <c:y val="-0.13564381236698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200"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FEB'!$CH$41:$CH$44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FEB'!$CL$41:$CL$44</c:f>
              <c:numCache>
                <c:formatCode>0.0%</c:formatCode>
                <c:ptCount val="4"/>
                <c:pt idx="0">
                  <c:v>2.9268292682926831E-2</c:v>
                </c:pt>
                <c:pt idx="1">
                  <c:v>3.4146341463414637E-2</c:v>
                </c:pt>
                <c:pt idx="2">
                  <c:v>1.9512195121951219E-2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4720768"/>
        <c:axId val="204730752"/>
        <c:axId val="0"/>
      </c:bar3DChart>
      <c:catAx>
        <c:axId val="2047207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730752"/>
        <c:crosses val="autoZero"/>
        <c:auto val="1"/>
        <c:lblAlgn val="ctr"/>
        <c:lblOffset val="100"/>
        <c:noMultiLvlLbl val="0"/>
      </c:catAx>
      <c:valAx>
        <c:axId val="20473075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720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5.0114829396325474E-3"/>
          <c:y val="0.94979143579912473"/>
          <c:w val="0.98040518372703367"/>
          <c:h val="4.9475833697582607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FACTOR DE MENOR IMPORTANCIA PARA FIJAR LA RUTA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[% SOBRE EL TOTAL DE RESPUESTAS PARA FACTOR DE MENOR IMPORTANCIA PARA FIJAR LA RUTA (100% = 71)]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900331154653911E-2"/>
          <c:y val="0.15133492906615792"/>
          <c:w val="0.87718815719463938"/>
          <c:h val="0.7385409759858591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'FORMULAS FEB'!$CI$49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-5.3717007445052381E-2"/>
                </c:manualLayout>
              </c:layout>
              <c:spPr/>
              <c:txPr>
                <a:bodyPr rot="0" vert="horz"/>
                <a:lstStyle/>
                <a:p>
                  <a:pPr>
                    <a:defRPr sz="1200" b="1" i="0" baseline="0">
                      <a:solidFill>
                        <a:schemeClr val="accent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200" b="1" i="0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FEB'!$CH$50:$CH$53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FEB'!$CI$50:$CI$53</c:f>
              <c:numCache>
                <c:formatCode>0.0%</c:formatCode>
                <c:ptCount val="4"/>
                <c:pt idx="0">
                  <c:v>9.8591549295774641E-2</c:v>
                </c:pt>
                <c:pt idx="1">
                  <c:v>5.6338028169014086E-2</c:v>
                </c:pt>
                <c:pt idx="2">
                  <c:v>4.2253521126760563E-2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'FORMULAS FEB'!$CJ$49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-4.1958039647704438E-3"/>
                  <c:y val="-8.6970393006275237E-2"/>
                </c:manualLayout>
              </c:layout>
              <c:spPr/>
              <c:txPr>
                <a:bodyPr rot="0" vert="horz"/>
                <a:lstStyle/>
                <a:p>
                  <a:pPr>
                    <a:defRPr sz="1200" b="1" i="1" baseline="0">
                      <a:solidFill>
                        <a:srgbClr val="C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FEB'!$CH$50:$CH$53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FEB'!$CJ$50:$CJ$53</c:f>
              <c:numCache>
                <c:formatCode>0.0%</c:formatCode>
                <c:ptCount val="4"/>
                <c:pt idx="0">
                  <c:v>4.2253521126760563E-2</c:v>
                </c:pt>
                <c:pt idx="1">
                  <c:v>0.12676056338028169</c:v>
                </c:pt>
                <c:pt idx="2">
                  <c:v>0.11267605633802817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FEB'!$CK$49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8.391607929540891E-3"/>
                  <c:y val="8.3565496077671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8.391607929540891E-3"/>
                  <c:y val="-0.12022377856749818"/>
                </c:manualLayout>
              </c:layout>
              <c:spPr/>
              <c:txPr>
                <a:bodyPr rot="0" vert="horz"/>
                <a:lstStyle/>
                <a:p>
                  <a:pPr>
                    <a:defRPr sz="1200" b="1" i="0" baseline="0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200" b="1" i="0" baseline="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FEB'!$CH$50:$CH$53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FEB'!$CK$50:$CK$53</c:f>
              <c:numCache>
                <c:formatCode>0.0%</c:formatCode>
                <c:ptCount val="4"/>
                <c:pt idx="0">
                  <c:v>8.4507042253521125E-2</c:v>
                </c:pt>
                <c:pt idx="1">
                  <c:v>9.8591549295774641E-2</c:v>
                </c:pt>
                <c:pt idx="2">
                  <c:v>0.15492957746478872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'FORMULAS FEB'!$CL$49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8.1854487535317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9.7202203948189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1958039647704438E-3"/>
                  <c:y val="-0.11254992036106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0.15091921139324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200"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FEB'!$CH$50:$CH$53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FEB'!$CL$50:$CL$53</c:f>
              <c:numCache>
                <c:formatCode>0.0%</c:formatCode>
                <c:ptCount val="4"/>
                <c:pt idx="0">
                  <c:v>4.2253521126760563E-2</c:v>
                </c:pt>
                <c:pt idx="1">
                  <c:v>5.6338028169014086E-2</c:v>
                </c:pt>
                <c:pt idx="2">
                  <c:v>8.4507042253521125E-2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4797824"/>
        <c:axId val="204799360"/>
        <c:axId val="0"/>
      </c:bar3DChart>
      <c:catAx>
        <c:axId val="2047978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799360"/>
        <c:crosses val="autoZero"/>
        <c:auto val="1"/>
        <c:lblAlgn val="ctr"/>
        <c:lblOffset val="100"/>
        <c:noMultiLvlLbl val="0"/>
      </c:catAx>
      <c:valAx>
        <c:axId val="20479936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797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2493804168613853E-3"/>
          <c:y val="0.94985224298214588"/>
          <c:w val="0.97467369777690138"/>
          <c:h val="4.9449456062428544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PORCENTAJE QUE RECORREN DE VACÍO LAS UNIDADES</a:t>
            </a:r>
          </a:p>
          <a:p>
            <a:pPr>
              <a:defRPr sz="1400"/>
            </a:pPr>
            <a:r>
              <a:rPr lang="es-MX" sz="1200"/>
              <a:t>ENCUESTA</a:t>
            </a:r>
            <a:r>
              <a:rPr lang="es-MX" sz="1200" baseline="0"/>
              <a:t> A PROPIETARIOS</a:t>
            </a:r>
            <a:endParaRPr lang="es-MX" sz="1400" baseline="0"/>
          </a:p>
          <a:p>
            <a:pPr>
              <a:defRPr sz="1400"/>
            </a:pPr>
            <a:r>
              <a:rPr lang="es-MX" sz="800" baseline="0"/>
              <a:t>[% SOBRE EL TOTAL DE RESPUESTAS PARA PORCENTAJE QUE RECORRE DE VACÍO LA UNIDAD (100% =951)]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FEB'!$CT$4</c:f>
              <c:strCache>
                <c:ptCount val="1"/>
                <c:pt idx="0">
                  <c:v>50% DE VACÍO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FEB'!$CU$3:$CX$3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FEB'!$CU$4:$CX$4</c:f>
              <c:numCache>
                <c:formatCode>0.0%</c:formatCode>
                <c:ptCount val="4"/>
                <c:pt idx="0">
                  <c:v>9.9894847528916933E-2</c:v>
                </c:pt>
                <c:pt idx="1">
                  <c:v>9.0431125131440596E-2</c:v>
                </c:pt>
                <c:pt idx="2">
                  <c:v>0.21976866456361724</c:v>
                </c:pt>
                <c:pt idx="3">
                  <c:v>0.20609884332281808</c:v>
                </c:pt>
              </c:numCache>
            </c:numRef>
          </c:val>
        </c:ser>
        <c:ser>
          <c:idx val="1"/>
          <c:order val="1"/>
          <c:tx>
            <c:strRef>
              <c:f>'FORMULAS FEB'!$CT$5</c:f>
              <c:strCache>
                <c:ptCount val="1"/>
                <c:pt idx="0">
                  <c:v>30% A 49% DE VACÍO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FEB'!$CU$3:$CX$3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FEB'!$CU$5:$CX$5</c:f>
              <c:numCache>
                <c:formatCode>0.0%</c:formatCode>
                <c:ptCount val="4"/>
                <c:pt idx="0">
                  <c:v>2.1030494216614092E-2</c:v>
                </c:pt>
                <c:pt idx="1">
                  <c:v>1.4721345951629864E-2</c:v>
                </c:pt>
                <c:pt idx="2">
                  <c:v>5.993690851735016E-2</c:v>
                </c:pt>
                <c:pt idx="3">
                  <c:v>2.9442691903259727E-2</c:v>
                </c:pt>
              </c:numCache>
            </c:numRef>
          </c:val>
        </c:ser>
        <c:ser>
          <c:idx val="2"/>
          <c:order val="2"/>
          <c:tx>
            <c:strRef>
              <c:f>'FORMULAS FEB'!$CT$6</c:f>
              <c:strCache>
                <c:ptCount val="1"/>
                <c:pt idx="0">
                  <c:v>20% A 29% DE VACÍO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FEB'!$CU$3:$CX$3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FEB'!$CU$6:$CX$6</c:f>
              <c:numCache>
                <c:formatCode>0.0%</c:formatCode>
                <c:ptCount val="4"/>
                <c:pt idx="0">
                  <c:v>3.0494216614090432E-2</c:v>
                </c:pt>
                <c:pt idx="1">
                  <c:v>2.3133543638275498E-2</c:v>
                </c:pt>
                <c:pt idx="2">
                  <c:v>1.5772870662460567E-2</c:v>
                </c:pt>
                <c:pt idx="3">
                  <c:v>3.4700315457413249E-2</c:v>
                </c:pt>
              </c:numCache>
            </c:numRef>
          </c:val>
        </c:ser>
        <c:ser>
          <c:idx val="3"/>
          <c:order val="3"/>
          <c:tx>
            <c:strRef>
              <c:f>'FORMULAS FEB'!$CT$7</c:f>
              <c:strCache>
                <c:ptCount val="1"/>
                <c:pt idx="0">
                  <c:v>10% A 19% DE VACÍO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FEB'!$CU$3:$CX$3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FEB'!$CU$7:$CX$7</c:f>
              <c:numCache>
                <c:formatCode>0.0%</c:formatCode>
                <c:ptCount val="4"/>
                <c:pt idx="0">
                  <c:v>3.2597266035751839E-2</c:v>
                </c:pt>
                <c:pt idx="1">
                  <c:v>1.8927444794952682E-2</c:v>
                </c:pt>
                <c:pt idx="2">
                  <c:v>2.7339642481598318E-2</c:v>
                </c:pt>
                <c:pt idx="3">
                  <c:v>5.2576235541535229E-3</c:v>
                </c:pt>
              </c:numCache>
            </c:numRef>
          </c:val>
        </c:ser>
        <c:ser>
          <c:idx val="4"/>
          <c:order val="4"/>
          <c:tx>
            <c:strRef>
              <c:f>'FORMULAS FEB'!$CT$8</c:f>
              <c:strCache>
                <c:ptCount val="1"/>
                <c:pt idx="0">
                  <c:v>&lt;10% DE VACÍO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FEB'!$CU$3:$CX$3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FEB'!$CU$8:$CX$8</c:f>
              <c:numCache>
                <c:formatCode>0.0%</c:formatCode>
                <c:ptCount val="4"/>
                <c:pt idx="0">
                  <c:v>2.7339642481598318E-2</c:v>
                </c:pt>
                <c:pt idx="1">
                  <c:v>1.8927444794952682E-2</c:v>
                </c:pt>
                <c:pt idx="2">
                  <c:v>9.4637223974763408E-3</c:v>
                </c:pt>
                <c:pt idx="3">
                  <c:v>1.4721345951629864E-2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4416512"/>
        <c:axId val="204418048"/>
        <c:axId val="0"/>
      </c:bar3DChart>
      <c:catAx>
        <c:axId val="2044165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418048"/>
        <c:crosses val="autoZero"/>
        <c:auto val="1"/>
        <c:lblAlgn val="ctr"/>
        <c:lblOffset val="100"/>
        <c:noMultiLvlLbl val="0"/>
      </c:catAx>
      <c:valAx>
        <c:axId val="20441804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4165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PORCENTAJE QUE RECORREN DE VACÍO LAS UNIDADES. </a:t>
            </a:r>
          </a:p>
          <a:p>
            <a:pPr>
              <a:defRPr sz="1400"/>
            </a:pPr>
            <a:r>
              <a:rPr lang="en-US" sz="1200"/>
              <a:t>PROPIETARIOS CON UNA UNIDAD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</a:t>
            </a:r>
            <a:r>
              <a:rPr lang="en-US" sz="800" baseline="0"/>
              <a:t> SOBRE EL TOTAL DE RESPUESTAS PARA PORCENTAJE QUE RECORRE EN VACÍO LA UNIDAD (100% = 201)]</a:t>
            </a:r>
            <a:endParaRPr lang="en-US" sz="800"/>
          </a:p>
        </c:rich>
      </c:tx>
      <c:layout>
        <c:manualLayout>
          <c:xMode val="edge"/>
          <c:yMode val="edge"/>
          <c:x val="0.15924778894386799"/>
          <c:y val="1.3445381709887325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FEB'!$CT$12</c:f>
              <c:strCache>
                <c:ptCount val="1"/>
                <c:pt idx="0">
                  <c:v>PORCENTAJE QUE RECORREN DE VACÍO LAS UNIDADES. PROPIETARIOS CON 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FEB'!$CT$14:$CT$18</c:f>
              <c:strCache>
                <c:ptCount val="5"/>
                <c:pt idx="0">
                  <c:v>50% DE VACÍO</c:v>
                </c:pt>
                <c:pt idx="1">
                  <c:v>30% A 49% DE VACÍO</c:v>
                </c:pt>
                <c:pt idx="2">
                  <c:v>20% A 29% DE VACÍO</c:v>
                </c:pt>
                <c:pt idx="3">
                  <c:v>10% A 19% DE VACÍO</c:v>
                </c:pt>
                <c:pt idx="4">
                  <c:v>&lt;10% DE VACÍO</c:v>
                </c:pt>
              </c:strCache>
            </c:strRef>
          </c:cat>
          <c:val>
            <c:numRef>
              <c:f>'FORMULAS FEB'!$CU$14:$CU$18</c:f>
              <c:numCache>
                <c:formatCode>0.0%</c:formatCode>
                <c:ptCount val="5"/>
                <c:pt idx="0">
                  <c:v>0.47263681592039802</c:v>
                </c:pt>
                <c:pt idx="1">
                  <c:v>9.950248756218906E-2</c:v>
                </c:pt>
                <c:pt idx="2">
                  <c:v>0.14427860696517414</c:v>
                </c:pt>
                <c:pt idx="3">
                  <c:v>0.15422885572139303</c:v>
                </c:pt>
                <c:pt idx="4">
                  <c:v>0.12935323383084577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4456320"/>
        <c:axId val="204457856"/>
        <c:axId val="0"/>
      </c:bar3DChart>
      <c:catAx>
        <c:axId val="2044563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457856"/>
        <c:crosses val="autoZero"/>
        <c:auto val="1"/>
        <c:lblAlgn val="ctr"/>
        <c:lblOffset val="100"/>
        <c:noMultiLvlLbl val="0"/>
      </c:catAx>
      <c:valAx>
        <c:axId val="2044578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456320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PORCENTAJE QUE RECORREN DE VACÍO LAS UNIDADES. </a:t>
            </a:r>
          </a:p>
          <a:p>
            <a:pPr>
              <a:defRPr sz="1400"/>
            </a:pPr>
            <a:r>
              <a:rPr lang="en-US" sz="1200"/>
              <a:t>PROPIETARIOS CON DOS UNIDADES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</a:t>
            </a:r>
            <a:r>
              <a:rPr lang="en-US" sz="800" baseline="0"/>
              <a:t> SOBRE EL TOTAL DE RESPUESTAS PARA PORCENTAJE QUE RECORRE EN VACÍO LA UNIDAD (100% = 158)]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FEB'!$CT$21</c:f>
              <c:strCache>
                <c:ptCount val="1"/>
                <c:pt idx="0">
                  <c:v>PORCENTAJE QUE RECORREN DE VACÍO LAS UNIDADES. PROPIETARIOS CON DOS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FEB'!$CT$23:$CT$27</c:f>
              <c:strCache>
                <c:ptCount val="5"/>
                <c:pt idx="0">
                  <c:v>50% DE VACÍO</c:v>
                </c:pt>
                <c:pt idx="1">
                  <c:v>30% A 49% DE VACÍO</c:v>
                </c:pt>
                <c:pt idx="2">
                  <c:v>20% A 29% DE VACÍO</c:v>
                </c:pt>
                <c:pt idx="3">
                  <c:v>10% A 19% DE VACÍO</c:v>
                </c:pt>
                <c:pt idx="4">
                  <c:v>&lt;10% DE VACÍO</c:v>
                </c:pt>
              </c:strCache>
            </c:strRef>
          </c:cat>
          <c:val>
            <c:numRef>
              <c:f>'FORMULAS FEB'!$CU$23:$CU$27</c:f>
              <c:numCache>
                <c:formatCode>0.0%</c:formatCode>
                <c:ptCount val="5"/>
                <c:pt idx="0">
                  <c:v>0.54430379746835444</c:v>
                </c:pt>
                <c:pt idx="1">
                  <c:v>8.8607594936708861E-2</c:v>
                </c:pt>
                <c:pt idx="2">
                  <c:v>0.13924050632911392</c:v>
                </c:pt>
                <c:pt idx="3">
                  <c:v>0.11392405063291139</c:v>
                </c:pt>
                <c:pt idx="4">
                  <c:v>0.11392405063291139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4478720"/>
        <c:axId val="204484608"/>
        <c:axId val="0"/>
      </c:bar3DChart>
      <c:catAx>
        <c:axId val="2044787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484608"/>
        <c:crosses val="autoZero"/>
        <c:auto val="1"/>
        <c:lblAlgn val="ctr"/>
        <c:lblOffset val="100"/>
        <c:noMultiLvlLbl val="0"/>
      </c:catAx>
      <c:valAx>
        <c:axId val="2044846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478720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PORCENTAJE QUE RECORREN DE VACÍO LAS UNIDADES. </a:t>
            </a:r>
          </a:p>
          <a:p>
            <a:pPr>
              <a:defRPr sz="1400"/>
            </a:pPr>
            <a:r>
              <a:rPr lang="en-US" sz="1200"/>
              <a:t>PROPIETARIOS CON TRES A CINCO UNIDADES</a:t>
            </a:r>
            <a:endParaRPr lang="en-US" sz="1400"/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PARA PORCENTAJE QUE RECORRE</a:t>
            </a:r>
            <a:r>
              <a:rPr lang="en-US" sz="800" baseline="0"/>
              <a:t> EN VACÍO LA UNIDAD (100% = 316)]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FEB'!$CT$30</c:f>
              <c:strCache>
                <c:ptCount val="1"/>
                <c:pt idx="0">
                  <c:v>PORCENTAJE QUE RECORREN DE VACÍO LAS UNIDADES. PROPIETARIOS CON TRES A CINCO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FEB'!$CT$32:$CT$36</c:f>
              <c:strCache>
                <c:ptCount val="5"/>
                <c:pt idx="0">
                  <c:v>50% DE VACÍO</c:v>
                </c:pt>
                <c:pt idx="1">
                  <c:v>30% A 49% DE VACÍO</c:v>
                </c:pt>
                <c:pt idx="2">
                  <c:v>20% A 29% DE VACÍO</c:v>
                </c:pt>
                <c:pt idx="3">
                  <c:v>10% A 19% DE VACÍO</c:v>
                </c:pt>
                <c:pt idx="4">
                  <c:v>&lt;10% DE VACÍO</c:v>
                </c:pt>
              </c:strCache>
            </c:strRef>
          </c:cat>
          <c:val>
            <c:numRef>
              <c:f>'FORMULAS FEB'!$CU$32:$CU$36</c:f>
              <c:numCache>
                <c:formatCode>0.0%</c:formatCode>
                <c:ptCount val="5"/>
                <c:pt idx="0">
                  <c:v>0.66139240506329111</c:v>
                </c:pt>
                <c:pt idx="1">
                  <c:v>0.18037974683544303</c:v>
                </c:pt>
                <c:pt idx="2">
                  <c:v>4.746835443037975E-2</c:v>
                </c:pt>
                <c:pt idx="3">
                  <c:v>8.2278481012658222E-2</c:v>
                </c:pt>
                <c:pt idx="4">
                  <c:v>2.8481012658227847E-2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4517760"/>
        <c:axId val="204519296"/>
        <c:axId val="0"/>
      </c:bar3DChart>
      <c:catAx>
        <c:axId val="2045177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519296"/>
        <c:crosses val="autoZero"/>
        <c:auto val="1"/>
        <c:lblAlgn val="ctr"/>
        <c:lblOffset val="100"/>
        <c:noMultiLvlLbl val="0"/>
      </c:catAx>
      <c:valAx>
        <c:axId val="2045192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517760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PORCENTAJE QUE RECORREN DE VACÍO LAS UNIDADES. </a:t>
            </a:r>
          </a:p>
          <a:p>
            <a:pPr>
              <a:defRPr sz="1400"/>
            </a:pPr>
            <a:r>
              <a:rPr lang="en-US" sz="1200"/>
              <a:t>PROPIETARIOS CON SEIS A TREINTA UNIDADES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PARA PORCENTAQUE QUE RECORRE EN VACÍO LA UNIDAD (100%</a:t>
            </a:r>
            <a:r>
              <a:rPr lang="en-US" sz="800" baseline="0"/>
              <a:t> = 276)]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FEB'!$CT$39</c:f>
              <c:strCache>
                <c:ptCount val="1"/>
                <c:pt idx="0">
                  <c:v>PORCENTAJE QUE RECORREN DE VACÍO LAS UNIDADES. PROPIETARIOS CON SEIS A TREINTA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FEB'!$CT$41:$CT$45</c:f>
              <c:strCache>
                <c:ptCount val="5"/>
                <c:pt idx="0">
                  <c:v>50% DE VACÍO</c:v>
                </c:pt>
                <c:pt idx="1">
                  <c:v>30% A 49% DE VACÍO</c:v>
                </c:pt>
                <c:pt idx="2">
                  <c:v>20% A 29% DE VACÍO</c:v>
                </c:pt>
                <c:pt idx="3">
                  <c:v>10% A 19% DE VACÍO</c:v>
                </c:pt>
                <c:pt idx="4">
                  <c:v>&lt;10% DE VACÍO</c:v>
                </c:pt>
              </c:strCache>
            </c:strRef>
          </c:cat>
          <c:val>
            <c:numRef>
              <c:f>'FORMULAS FEB'!$CU$41:$CU$45</c:f>
              <c:numCache>
                <c:formatCode>0.0%</c:formatCode>
                <c:ptCount val="5"/>
                <c:pt idx="0">
                  <c:v>0.71014492753623193</c:v>
                </c:pt>
                <c:pt idx="1">
                  <c:v>0.10144927536231885</c:v>
                </c:pt>
                <c:pt idx="2">
                  <c:v>0.11956521739130435</c:v>
                </c:pt>
                <c:pt idx="3">
                  <c:v>1.8115942028985508E-2</c:v>
                </c:pt>
                <c:pt idx="4">
                  <c:v>5.0724637681159424E-2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5150464"/>
        <c:axId val="205152256"/>
        <c:axId val="0"/>
      </c:bar3DChart>
      <c:catAx>
        <c:axId val="2051504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152256"/>
        <c:crosses val="autoZero"/>
        <c:auto val="1"/>
        <c:lblAlgn val="ctr"/>
        <c:lblOffset val="100"/>
        <c:noMultiLvlLbl val="0"/>
      </c:catAx>
      <c:valAx>
        <c:axId val="2051522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150464"/>
        <c:crosses val="autoZero"/>
        <c:crossBetween val="between"/>
      </c:valAx>
    </c:plotArea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00"/>
            </a:pPr>
            <a:r>
              <a:rPr lang="es-MX" sz="1050"/>
              <a:t>CUENTA CON PERSONAL PARA ADMINISTRACIÓN SEGÚN TAMAÑO DE LA FLOTA</a:t>
            </a:r>
          </a:p>
          <a:p>
            <a:pPr>
              <a:defRPr sz="700"/>
            </a:pPr>
            <a:r>
              <a:rPr lang="es-MX" sz="9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033040304886422E-2"/>
          <c:y val="0.19969191592963667"/>
          <c:w val="0.8051817657165915"/>
          <c:h val="0.6761190750968708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FEB'!$DF$4</c:f>
              <c:strCache>
                <c:ptCount val="1"/>
                <c:pt idx="0">
                  <c:v>SÍ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-4.1739135007368439E-3"/>
                  <c:y val="0.18000004724410695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'FORMULAS FEB'!$DG$3:$DJ$3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FEB'!$DG$4:$DJ$4</c:f>
              <c:numCache>
                <c:formatCode>0.0%</c:formatCode>
                <c:ptCount val="4"/>
                <c:pt idx="0">
                  <c:v>9.9009900990099015E-2</c:v>
                </c:pt>
                <c:pt idx="1">
                  <c:v>0.18823529411764706</c:v>
                </c:pt>
                <c:pt idx="2">
                  <c:v>0.5</c:v>
                </c:pt>
                <c:pt idx="3">
                  <c:v>0.8529411764705882</c:v>
                </c:pt>
              </c:numCache>
            </c:numRef>
          </c:val>
        </c:ser>
        <c:ser>
          <c:idx val="1"/>
          <c:order val="1"/>
          <c:tx>
            <c:strRef>
              <c:f>'FORMULAS FEB'!$DF$5</c:f>
              <c:strCache>
                <c:ptCount val="1"/>
                <c:pt idx="0">
                  <c:v>NO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0.20666672090990057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1"/>
              <c:layout>
                <c:manualLayout>
                  <c:x val="0"/>
                  <c:y val="0.21666672353457306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'FORMULAS FEB'!$DG$3:$DJ$3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FEB'!$DG$5:$DJ$5</c:f>
              <c:numCache>
                <c:formatCode>0.0%</c:formatCode>
                <c:ptCount val="4"/>
                <c:pt idx="0">
                  <c:v>0.90099009900990101</c:v>
                </c:pt>
                <c:pt idx="1">
                  <c:v>0.81176470588235294</c:v>
                </c:pt>
                <c:pt idx="2">
                  <c:v>0.5</c:v>
                </c:pt>
                <c:pt idx="3">
                  <c:v>0.14705882352941177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5187712"/>
        <c:axId val="205205888"/>
        <c:axId val="0"/>
      </c:bar3DChart>
      <c:catAx>
        <c:axId val="2051877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205888"/>
        <c:crosses val="autoZero"/>
        <c:auto val="1"/>
        <c:lblAlgn val="ctr"/>
        <c:lblOffset val="100"/>
        <c:noMultiLvlLbl val="0"/>
      </c:catAx>
      <c:valAx>
        <c:axId val="20520588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1877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GASTOS ANUALES POR UNIDAD SEGÚN TAMAÑO DE LA FLOTA</a:t>
            </a:r>
          </a:p>
          <a:p>
            <a:pPr>
              <a:defRPr sz="1400"/>
            </a:pPr>
            <a:r>
              <a:rPr lang="es-MX" sz="1400"/>
              <a:t>GASTOS POR OPERADOR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6869197630227734E-2"/>
          <c:y val="0.21102890314062428"/>
          <c:w val="0.74369348822249748"/>
          <c:h val="0.6576567725136391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FEB'!$DG$10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FEB'!$DF$11:$DF$17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FEB'!$DG$11:$DG$17</c:f>
              <c:numCache>
                <c:formatCode>0.0%</c:formatCode>
                <c:ptCount val="7"/>
                <c:pt idx="0">
                  <c:v>0.58373205741626799</c:v>
                </c:pt>
                <c:pt idx="1">
                  <c:v>4.784688995215311E-2</c:v>
                </c:pt>
                <c:pt idx="2">
                  <c:v>0.10526315789473684</c:v>
                </c:pt>
                <c:pt idx="3">
                  <c:v>0.10526315789473684</c:v>
                </c:pt>
                <c:pt idx="4">
                  <c:v>8.1339712918660281E-2</c:v>
                </c:pt>
                <c:pt idx="5">
                  <c:v>1.4354066985645933E-2</c:v>
                </c:pt>
                <c:pt idx="6">
                  <c:v>6.2200956937799042E-2</c:v>
                </c:pt>
              </c:numCache>
            </c:numRef>
          </c:val>
        </c:ser>
        <c:ser>
          <c:idx val="1"/>
          <c:order val="1"/>
          <c:tx>
            <c:strRef>
              <c:f>'FORMULAS FEB'!$DH$10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FEB'!$DF$11:$DF$17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FEB'!$DH$11:$DH$17</c:f>
              <c:numCache>
                <c:formatCode>0.0%</c:formatCode>
                <c:ptCount val="7"/>
                <c:pt idx="0">
                  <c:v>0.14374999999999999</c:v>
                </c:pt>
                <c:pt idx="1">
                  <c:v>3.125E-2</c:v>
                </c:pt>
                <c:pt idx="2">
                  <c:v>0.21249999999999999</c:v>
                </c:pt>
                <c:pt idx="3">
                  <c:v>0.26874999999999999</c:v>
                </c:pt>
                <c:pt idx="4">
                  <c:v>0.2</c:v>
                </c:pt>
                <c:pt idx="5">
                  <c:v>2.5000000000000001E-2</c:v>
                </c:pt>
                <c:pt idx="6">
                  <c:v>0.11874999999999999</c:v>
                </c:pt>
              </c:numCache>
            </c:numRef>
          </c:val>
        </c:ser>
        <c:ser>
          <c:idx val="2"/>
          <c:order val="2"/>
          <c:tx>
            <c:strRef>
              <c:f>'FORMULAS FEB'!$DI$10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FEB'!$DF$11:$DF$17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FEB'!$DI$11:$DI$17</c:f>
              <c:numCache>
                <c:formatCode>0.0%</c:formatCode>
                <c:ptCount val="7"/>
                <c:pt idx="0">
                  <c:v>3.4055727554179564E-2</c:v>
                </c:pt>
                <c:pt idx="1">
                  <c:v>5.2631578947368418E-2</c:v>
                </c:pt>
                <c:pt idx="2">
                  <c:v>0.31269349845201239</c:v>
                </c:pt>
                <c:pt idx="3">
                  <c:v>0.23839009287925697</c:v>
                </c:pt>
                <c:pt idx="4">
                  <c:v>0.21362229102167182</c:v>
                </c:pt>
                <c:pt idx="5">
                  <c:v>3.7151702786377708E-2</c:v>
                </c:pt>
                <c:pt idx="6">
                  <c:v>0.11145510835913312</c:v>
                </c:pt>
              </c:numCache>
            </c:numRef>
          </c:val>
        </c:ser>
        <c:ser>
          <c:idx val="3"/>
          <c:order val="3"/>
          <c:tx>
            <c:strRef>
              <c:f>'FORMULAS FEB'!$DJ$10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FEB'!$DF$11:$DF$17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FEB'!$DJ$11:$DJ$17</c:f>
              <c:numCache>
                <c:formatCode>0.0%</c:formatCode>
                <c:ptCount val="7"/>
                <c:pt idx="0">
                  <c:v>9.0277777777777776E-2</c:v>
                </c:pt>
                <c:pt idx="1">
                  <c:v>3.4722222222222224E-2</c:v>
                </c:pt>
                <c:pt idx="2">
                  <c:v>0.30902777777777779</c:v>
                </c:pt>
                <c:pt idx="3">
                  <c:v>0.2986111111111111</c:v>
                </c:pt>
                <c:pt idx="4">
                  <c:v>4.8611111111111112E-2</c:v>
                </c:pt>
                <c:pt idx="5">
                  <c:v>1.3888888888888888E-2</c:v>
                </c:pt>
                <c:pt idx="6">
                  <c:v>0.2048611111111111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5247616"/>
        <c:axId val="205249152"/>
        <c:axId val="0"/>
      </c:bar3DChart>
      <c:catAx>
        <c:axId val="2052476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249152"/>
        <c:crosses val="autoZero"/>
        <c:auto val="1"/>
        <c:lblAlgn val="ctr"/>
        <c:lblOffset val="100"/>
        <c:noMultiLvlLbl val="0"/>
      </c:catAx>
      <c:valAx>
        <c:axId val="20524915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2476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GÉNERO</a:t>
            </a:r>
            <a:endParaRPr lang="en-US" sz="1100"/>
          </a:p>
        </c:rich>
      </c:tx>
      <c:overlay val="0"/>
    </c:title>
    <c:autoTitleDeleted val="0"/>
    <c:view3D>
      <c:rotX val="30"/>
      <c:rotY val="5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FORMULAS!$B$18</c:f>
              <c:strCache>
                <c:ptCount val="1"/>
                <c:pt idx="0">
                  <c:v>GÉNERO</c:v>
                </c:pt>
              </c:strCache>
            </c:strRef>
          </c:tx>
          <c:explosion val="25"/>
          <c:dLbls>
            <c:dLbl>
              <c:idx val="0"/>
              <c:spPr/>
              <c:txPr>
                <a:bodyPr/>
                <a:lstStyle/>
                <a:p>
                  <a:pPr>
                    <a:defRPr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5984361329833814E-2"/>
                  <c:y val="-8.53448527267427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FORMULAS!$B$19:$B$20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FORMULAS!$D$19:$D$20</c:f>
              <c:numCache>
                <c:formatCode>0.0%</c:formatCode>
                <c:ptCount val="2"/>
                <c:pt idx="0">
                  <c:v>0.97323600973236013</c:v>
                </c:pt>
                <c:pt idx="1">
                  <c:v>2.6763990267639901E-2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OPINIÓN SOBRE EL PROGRAMA DE CHATARRIZACIÓN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1515059982485566E-2"/>
          <c:y val="0.11546824485637577"/>
          <c:w val="0.87585647557071711"/>
          <c:h val="0.75814818143835083"/>
        </c:manualLayout>
      </c:layout>
      <c:bar3DChart>
        <c:barDir val="col"/>
        <c:grouping val="clustered"/>
        <c:varyColors val="1"/>
        <c:ser>
          <c:idx val="0"/>
          <c:order val="0"/>
          <c:tx>
            <c:strRef>
              <c:f>FORMULAS!$AH$27</c:f>
              <c:strCache>
                <c:ptCount val="1"/>
                <c:pt idx="0">
                  <c:v>OPINIÓN SOBRE EL PROGRAMA DE CHATARRIZACIÓN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FORMULAS!$AH$28:$AH$33</c:f>
              <c:strCache>
                <c:ptCount val="6"/>
                <c:pt idx="0">
                  <c:v>PAGAN POCO</c:v>
                </c:pt>
                <c:pt idx="1">
                  <c:v>ES BUEN PROGRAMA</c:v>
                </c:pt>
                <c:pt idx="2">
                  <c:v>NO ES BUENO</c:v>
                </c:pt>
                <c:pt idx="3">
                  <c:v>DEBE MEJORAR</c:v>
                </c:pt>
                <c:pt idx="4">
                  <c:v>SE NECESITA CAPITAL</c:v>
                </c:pt>
                <c:pt idx="5">
                  <c:v>CREDITO CARO</c:v>
                </c:pt>
              </c:strCache>
            </c:strRef>
          </c:cat>
          <c:val>
            <c:numRef>
              <c:f>FORMULAS!$AI$28:$AI$33</c:f>
              <c:numCache>
                <c:formatCode>General</c:formatCode>
                <c:ptCount val="6"/>
                <c:pt idx="0">
                  <c:v>72</c:v>
                </c:pt>
                <c:pt idx="1">
                  <c:v>25</c:v>
                </c:pt>
                <c:pt idx="2">
                  <c:v>22</c:v>
                </c:pt>
                <c:pt idx="3">
                  <c:v>8</c:v>
                </c:pt>
                <c:pt idx="4">
                  <c:v>4</c:v>
                </c:pt>
                <c:pt idx="5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70692992"/>
        <c:axId val="170694528"/>
        <c:axId val="0"/>
      </c:bar3DChart>
      <c:catAx>
        <c:axId val="1706929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1000" b="1" i="1" baseline="0"/>
            </a:pPr>
            <a:endParaRPr lang="es-MX"/>
          </a:p>
        </c:txPr>
        <c:crossAx val="170694528"/>
        <c:crosses val="autoZero"/>
        <c:auto val="1"/>
        <c:lblAlgn val="ctr"/>
        <c:lblOffset val="100"/>
        <c:noMultiLvlLbl val="0"/>
      </c:catAx>
      <c:valAx>
        <c:axId val="170694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70692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GASTOS ANUALES POR UNIDAD SEGÚN TAMAÑO DE LA FLOTA </a:t>
            </a:r>
          </a:p>
          <a:p>
            <a:pPr>
              <a:defRPr sz="1400"/>
            </a:pPr>
            <a:r>
              <a:rPr lang="es-MX" sz="1200"/>
              <a:t>GASTOS POR AYUDANTES</a:t>
            </a:r>
            <a:r>
              <a:rPr lang="es-MX" sz="1400"/>
              <a:t> 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866321500380908E-2"/>
          <c:y val="0.2616251968503937"/>
          <c:w val="0.60497762548845613"/>
          <c:h val="0.6141858267716536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FEB'!$DG$22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0.10666666666666673"/>
                </c:manualLayout>
              </c:layout>
              <c:spPr/>
              <c:txPr>
                <a:bodyPr rot="-5400000" vert="horz"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FEB'!$DF$23:$DF$25</c:f>
              <c:strCache>
                <c:ptCount val="3"/>
                <c:pt idx="0">
                  <c:v>&lt; DE $50,000</c:v>
                </c:pt>
                <c:pt idx="1">
                  <c:v>ENTRE $50,001 Y $75,000</c:v>
                </c:pt>
                <c:pt idx="2">
                  <c:v>&gt; DE $75,000</c:v>
                </c:pt>
              </c:strCache>
            </c:strRef>
          </c:cat>
          <c:val>
            <c:numRef>
              <c:f>'FORMULAS FEB'!$DG$23:$DG$25</c:f>
              <c:numCache>
                <c:formatCode>0.0%</c:formatCode>
                <c:ptCount val="3"/>
                <c:pt idx="0">
                  <c:v>0.9138755980861244</c:v>
                </c:pt>
                <c:pt idx="1">
                  <c:v>6.2200956937799042E-2</c:v>
                </c:pt>
                <c:pt idx="2">
                  <c:v>2.3923444976076555E-2</c:v>
                </c:pt>
              </c:numCache>
            </c:numRef>
          </c:val>
        </c:ser>
        <c:ser>
          <c:idx val="1"/>
          <c:order val="1"/>
          <c:tx>
            <c:strRef>
              <c:f>'FORMULAS FEB'!$DH$22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FEB'!$DF$23:$DF$25</c:f>
              <c:strCache>
                <c:ptCount val="3"/>
                <c:pt idx="0">
                  <c:v>&lt; DE $50,000</c:v>
                </c:pt>
                <c:pt idx="1">
                  <c:v>ENTRE $50,001 Y $75,000</c:v>
                </c:pt>
                <c:pt idx="2">
                  <c:v>&gt; DE $75,000</c:v>
                </c:pt>
              </c:strCache>
            </c:strRef>
          </c:cat>
          <c:val>
            <c:numRef>
              <c:f>'FORMULAS FEB'!$DH$23:$DH$25</c:f>
              <c:numCache>
                <c:formatCode>0.0%</c:formatCode>
                <c:ptCount val="3"/>
                <c:pt idx="0">
                  <c:v>0.8125</c:v>
                </c:pt>
                <c:pt idx="1">
                  <c:v>0.1</c:v>
                </c:pt>
                <c:pt idx="2">
                  <c:v>8.7499999999999994E-2</c:v>
                </c:pt>
              </c:numCache>
            </c:numRef>
          </c:val>
        </c:ser>
        <c:ser>
          <c:idx val="2"/>
          <c:order val="2"/>
          <c:tx>
            <c:strRef>
              <c:f>'FORMULAS FEB'!$DI$22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FEB'!$DF$23:$DF$25</c:f>
              <c:strCache>
                <c:ptCount val="3"/>
                <c:pt idx="0">
                  <c:v>&lt; DE $50,000</c:v>
                </c:pt>
                <c:pt idx="1">
                  <c:v>ENTRE $50,001 Y $75,000</c:v>
                </c:pt>
                <c:pt idx="2">
                  <c:v>&gt; DE $75,000</c:v>
                </c:pt>
              </c:strCache>
            </c:strRef>
          </c:cat>
          <c:val>
            <c:numRef>
              <c:f>'FORMULAS FEB'!$DI$23:$DI$25</c:f>
              <c:numCache>
                <c:formatCode>0.0%</c:formatCode>
                <c:ptCount val="3"/>
                <c:pt idx="0">
                  <c:v>0.69969040247678016</c:v>
                </c:pt>
                <c:pt idx="1">
                  <c:v>0.11764705882352941</c:v>
                </c:pt>
                <c:pt idx="2">
                  <c:v>0.1826625386996904</c:v>
                </c:pt>
              </c:numCache>
            </c:numRef>
          </c:val>
        </c:ser>
        <c:ser>
          <c:idx val="3"/>
          <c:order val="3"/>
          <c:tx>
            <c:strRef>
              <c:f>'FORMULAS FEB'!$DJ$22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0833336750875489E-3"/>
                  <c:y val="0.10666666666666673"/>
                </c:manualLayout>
              </c:layout>
              <c:spPr/>
              <c:txPr>
                <a:bodyPr rot="-5400000" vert="horz"/>
                <a:lstStyle/>
                <a:p>
                  <a:pPr>
                    <a:defRPr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FEB'!$DF$23:$DF$25</c:f>
              <c:strCache>
                <c:ptCount val="3"/>
                <c:pt idx="0">
                  <c:v>&lt; DE $50,000</c:v>
                </c:pt>
                <c:pt idx="1">
                  <c:v>ENTRE $50,001 Y $75,000</c:v>
                </c:pt>
                <c:pt idx="2">
                  <c:v>&gt; DE $75,000</c:v>
                </c:pt>
              </c:strCache>
            </c:strRef>
          </c:cat>
          <c:val>
            <c:numRef>
              <c:f>'FORMULAS FEB'!$DJ$23:$DJ$25</c:f>
              <c:numCache>
                <c:formatCode>0.0%</c:formatCode>
                <c:ptCount val="3"/>
                <c:pt idx="0">
                  <c:v>0.84375</c:v>
                </c:pt>
                <c:pt idx="1">
                  <c:v>4.8611111111111112E-2</c:v>
                </c:pt>
                <c:pt idx="2">
                  <c:v>0.1076388888888889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5328768"/>
        <c:axId val="205330304"/>
        <c:axId val="0"/>
      </c:bar3DChart>
      <c:catAx>
        <c:axId val="2053287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330304"/>
        <c:crosses val="autoZero"/>
        <c:auto val="1"/>
        <c:lblAlgn val="ctr"/>
        <c:lblOffset val="100"/>
        <c:noMultiLvlLbl val="0"/>
      </c:catAx>
      <c:valAx>
        <c:axId val="20533030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32876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zero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GASTOS ANUALES POR UNIDAD SEGÚN TAMAÑO DE LA FLOTA </a:t>
            </a:r>
          </a:p>
          <a:p>
            <a:pPr>
              <a:defRPr sz="1400"/>
            </a:pPr>
            <a:r>
              <a:rPr lang="es-MX" sz="1200"/>
              <a:t>GASTOS EN LLANTAS</a:t>
            </a:r>
            <a:endParaRPr lang="es-MX" sz="1400"/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FEB'!$DG$30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FEB'!$DF$31:$DF$37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FEB'!$DG$31:$DG$37</c:f>
              <c:numCache>
                <c:formatCode>0.0%</c:formatCode>
                <c:ptCount val="7"/>
                <c:pt idx="0">
                  <c:v>0.5</c:v>
                </c:pt>
                <c:pt idx="1">
                  <c:v>0.32524271844660196</c:v>
                </c:pt>
                <c:pt idx="2">
                  <c:v>0.11650485436893204</c:v>
                </c:pt>
                <c:pt idx="3">
                  <c:v>4.8543689320388345E-3</c:v>
                </c:pt>
                <c:pt idx="4">
                  <c:v>1.9417475728155338E-2</c:v>
                </c:pt>
                <c:pt idx="5">
                  <c:v>4.8543689320388345E-3</c:v>
                </c:pt>
                <c:pt idx="6">
                  <c:v>2.9126213592233011E-2</c:v>
                </c:pt>
              </c:numCache>
            </c:numRef>
          </c:val>
        </c:ser>
        <c:ser>
          <c:idx val="1"/>
          <c:order val="1"/>
          <c:tx>
            <c:strRef>
              <c:f>'FORMULAS FEB'!$DH$30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FEB'!$DF$31:$DF$37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FEB'!$DH$31:$DH$37</c:f>
              <c:numCache>
                <c:formatCode>0.0%</c:formatCode>
                <c:ptCount val="7"/>
                <c:pt idx="0">
                  <c:v>0.33116883116883117</c:v>
                </c:pt>
                <c:pt idx="1">
                  <c:v>0.33766233766233766</c:v>
                </c:pt>
                <c:pt idx="2">
                  <c:v>0.19480519480519481</c:v>
                </c:pt>
                <c:pt idx="3">
                  <c:v>5.844155844155844E-2</c:v>
                </c:pt>
                <c:pt idx="4">
                  <c:v>5.1948051948051951E-2</c:v>
                </c:pt>
                <c:pt idx="5">
                  <c:v>0</c:v>
                </c:pt>
                <c:pt idx="6">
                  <c:v>2.5974025974025976E-2</c:v>
                </c:pt>
              </c:numCache>
            </c:numRef>
          </c:val>
        </c:ser>
        <c:ser>
          <c:idx val="2"/>
          <c:order val="2"/>
          <c:tx>
            <c:strRef>
              <c:f>'FORMULAS FEB'!$DI$30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FEB'!$DF$31:$DF$37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FEB'!$DI$31:$DI$37</c:f>
              <c:numCache>
                <c:formatCode>0.0%</c:formatCode>
                <c:ptCount val="7"/>
                <c:pt idx="0">
                  <c:v>0.42452830188679247</c:v>
                </c:pt>
                <c:pt idx="1">
                  <c:v>0.18867924528301888</c:v>
                </c:pt>
                <c:pt idx="2">
                  <c:v>0.1918238993710692</c:v>
                </c:pt>
                <c:pt idx="3">
                  <c:v>1.2578616352201259E-2</c:v>
                </c:pt>
                <c:pt idx="4">
                  <c:v>7.5471698113207544E-2</c:v>
                </c:pt>
                <c:pt idx="5">
                  <c:v>0</c:v>
                </c:pt>
                <c:pt idx="6">
                  <c:v>0.1069182389937107</c:v>
                </c:pt>
              </c:numCache>
            </c:numRef>
          </c:val>
        </c:ser>
        <c:ser>
          <c:idx val="3"/>
          <c:order val="3"/>
          <c:tx>
            <c:strRef>
              <c:f>'FORMULAS FEB'!$DJ$30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FEB'!$DF$31:$DF$37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FEB'!$DJ$31:$DJ$37</c:f>
              <c:numCache>
                <c:formatCode>0.0%</c:formatCode>
                <c:ptCount val="7"/>
                <c:pt idx="0">
                  <c:v>0.30303030303030304</c:v>
                </c:pt>
                <c:pt idx="1">
                  <c:v>0.24621212121212122</c:v>
                </c:pt>
                <c:pt idx="2">
                  <c:v>0.24621212121212122</c:v>
                </c:pt>
                <c:pt idx="3">
                  <c:v>1.893939393939394E-2</c:v>
                </c:pt>
                <c:pt idx="4">
                  <c:v>0.14393939393939395</c:v>
                </c:pt>
                <c:pt idx="5">
                  <c:v>0</c:v>
                </c:pt>
                <c:pt idx="6">
                  <c:v>4.1666666666666664E-2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5367936"/>
        <c:axId val="205382016"/>
        <c:axId val="0"/>
      </c:bar3DChart>
      <c:catAx>
        <c:axId val="2053679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382016"/>
        <c:crosses val="autoZero"/>
        <c:auto val="1"/>
        <c:lblAlgn val="ctr"/>
        <c:lblOffset val="100"/>
        <c:noMultiLvlLbl val="0"/>
      </c:catAx>
      <c:valAx>
        <c:axId val="20538201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36793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GASTOS ANUALES POR UNIDAD SEGÚN TAMAÑO DE LA FLOTA </a:t>
            </a:r>
          </a:p>
          <a:p>
            <a:pPr>
              <a:defRPr sz="1400"/>
            </a:pPr>
            <a:r>
              <a:rPr lang="es-MX" sz="1200"/>
              <a:t>GASTOS EN LLANTAS UNIDADES C2</a:t>
            </a:r>
          </a:p>
          <a:p>
            <a:pPr>
              <a:defRPr sz="1400"/>
            </a:pPr>
            <a:r>
              <a:rPr lang="es-MX" sz="1000" b="1" i="0" baseline="0"/>
              <a:t>ENCUESTA A PROPIETARIOS</a:t>
            </a:r>
            <a:endParaRPr lang="es-MX" sz="1000"/>
          </a:p>
        </c:rich>
      </c:tx>
      <c:layout>
        <c:manualLayout>
          <c:xMode val="edge"/>
          <c:yMode val="edge"/>
          <c:x val="0.24590826117281792"/>
          <c:y val="2.4000005039371154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FEB'!$DG$43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FEB'!$DF$44:$DF$50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FEB'!$DG$44:$DG$50</c:f>
              <c:numCache>
                <c:formatCode>0.0%</c:formatCode>
                <c:ptCount val="7"/>
                <c:pt idx="0">
                  <c:v>0.6097560975609756</c:v>
                </c:pt>
                <c:pt idx="1">
                  <c:v>0.24390243902439024</c:v>
                </c:pt>
                <c:pt idx="2">
                  <c:v>7.3170731707317069E-2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7.3170731707317069E-2</c:v>
                </c:pt>
              </c:numCache>
            </c:numRef>
          </c:val>
        </c:ser>
        <c:ser>
          <c:idx val="1"/>
          <c:order val="1"/>
          <c:tx>
            <c:strRef>
              <c:f>'FORMULAS FEB'!$DH$43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FEB'!$DF$44:$DF$50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FEB'!$DH$44:$DH$50</c:f>
              <c:numCache>
                <c:formatCode>0.0%</c:formatCode>
                <c:ptCount val="7"/>
                <c:pt idx="0">
                  <c:v>0.52083333333333337</c:v>
                </c:pt>
                <c:pt idx="1">
                  <c:v>0.33333333333333331</c:v>
                </c:pt>
                <c:pt idx="2">
                  <c:v>4.1666666666666664E-2</c:v>
                </c:pt>
                <c:pt idx="3">
                  <c:v>6.25E-2</c:v>
                </c:pt>
                <c:pt idx="4">
                  <c:v>0</c:v>
                </c:pt>
                <c:pt idx="5">
                  <c:v>0</c:v>
                </c:pt>
                <c:pt idx="6">
                  <c:v>4.1666666666666664E-2</c:v>
                </c:pt>
              </c:numCache>
            </c:numRef>
          </c:val>
        </c:ser>
        <c:ser>
          <c:idx val="2"/>
          <c:order val="2"/>
          <c:tx>
            <c:strRef>
              <c:f>'FORMULAS FEB'!$DI$43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FEB'!$DF$44:$DF$50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FEB'!$DI$44:$DI$50</c:f>
              <c:numCache>
                <c:formatCode>0.0%</c:formatCode>
                <c:ptCount val="7"/>
                <c:pt idx="0">
                  <c:v>0.86956521739130432</c:v>
                </c:pt>
                <c:pt idx="1">
                  <c:v>8.6956521739130432E-2</c:v>
                </c:pt>
                <c:pt idx="2">
                  <c:v>4.3478260869565216E-2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3"/>
          <c:order val="3"/>
          <c:tx>
            <c:strRef>
              <c:f>'FORMULAS FEB'!$DJ$43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FEB'!$DF$44:$DF$50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FEB'!$DJ$44:$DJ$50</c:f>
              <c:numCache>
                <c:formatCode>0.0%</c:formatCode>
                <c:ptCount val="7"/>
                <c:pt idx="0">
                  <c:v>0.46808510638297873</c:v>
                </c:pt>
                <c:pt idx="1">
                  <c:v>0.21276595744680851</c:v>
                </c:pt>
                <c:pt idx="2">
                  <c:v>0.1702127659574468</c:v>
                </c:pt>
                <c:pt idx="3">
                  <c:v>0</c:v>
                </c:pt>
                <c:pt idx="4">
                  <c:v>0.14893617021276595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5436032"/>
        <c:axId val="205437568"/>
        <c:axId val="0"/>
      </c:bar3DChart>
      <c:catAx>
        <c:axId val="2054360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437568"/>
        <c:crosses val="autoZero"/>
        <c:auto val="1"/>
        <c:lblAlgn val="ctr"/>
        <c:lblOffset val="100"/>
        <c:noMultiLvlLbl val="0"/>
      </c:catAx>
      <c:valAx>
        <c:axId val="20543756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4360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GASTOS ANUALES POR UNIDAD SEGÚN TAMAÑO DE LA FLOTA </a:t>
            </a:r>
          </a:p>
          <a:p>
            <a:pPr>
              <a:defRPr sz="1400"/>
            </a:pPr>
            <a:r>
              <a:rPr lang="es-MX" sz="1200"/>
              <a:t>GASTOS EN LLANTAS UNIDADES C3</a:t>
            </a:r>
            <a:endParaRPr lang="es-MX" sz="1400"/>
          </a:p>
          <a:p>
            <a:pPr>
              <a:defRPr sz="1400"/>
            </a:pPr>
            <a:r>
              <a:rPr lang="es-MX" sz="1000" b="1" i="0" baseline="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FEB'!$DG$56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FEB'!$DF$57:$DF$63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FEB'!$DG$57:$DG$63</c:f>
              <c:numCache>
                <c:formatCode>0.0%</c:formatCode>
                <c:ptCount val="7"/>
                <c:pt idx="0">
                  <c:v>0.65853658536585369</c:v>
                </c:pt>
                <c:pt idx="1">
                  <c:v>0.26829268292682928</c:v>
                </c:pt>
                <c:pt idx="2">
                  <c:v>4.878048780487805E-2</c:v>
                </c:pt>
                <c:pt idx="3">
                  <c:v>0</c:v>
                </c:pt>
                <c:pt idx="4">
                  <c:v>1.2195121951219513E-2</c:v>
                </c:pt>
                <c:pt idx="5">
                  <c:v>0</c:v>
                </c:pt>
                <c:pt idx="6">
                  <c:v>1.2195121951219513E-2</c:v>
                </c:pt>
              </c:numCache>
            </c:numRef>
          </c:val>
        </c:ser>
        <c:ser>
          <c:idx val="1"/>
          <c:order val="1"/>
          <c:tx>
            <c:strRef>
              <c:f>'FORMULAS FEB'!$DH$56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FEB'!$DF$57:$DF$63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FEB'!$DH$57:$DH$63</c:f>
              <c:numCache>
                <c:formatCode>0.0%</c:formatCode>
                <c:ptCount val="7"/>
                <c:pt idx="0">
                  <c:v>0.61111111111111116</c:v>
                </c:pt>
                <c:pt idx="1">
                  <c:v>0.30555555555555558</c:v>
                </c:pt>
                <c:pt idx="2">
                  <c:v>2.7777777777777776E-2</c:v>
                </c:pt>
                <c:pt idx="3">
                  <c:v>5.5555555555555552E-2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FEB'!$DI$56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FEB'!$DF$57:$DF$63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FEB'!$DI$57:$DI$63</c:f>
              <c:numCache>
                <c:formatCode>0.0%</c:formatCode>
                <c:ptCount val="7"/>
                <c:pt idx="0">
                  <c:v>0.53448275862068961</c:v>
                </c:pt>
                <c:pt idx="1">
                  <c:v>0.15517241379310345</c:v>
                </c:pt>
                <c:pt idx="2">
                  <c:v>0.18965517241379309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0.1206896551724138</c:v>
                </c:pt>
              </c:numCache>
            </c:numRef>
          </c:val>
        </c:ser>
        <c:ser>
          <c:idx val="3"/>
          <c:order val="3"/>
          <c:tx>
            <c:strRef>
              <c:f>'FORMULAS FEB'!$DJ$56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FEB'!$DF$57:$DF$63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FEB'!$DJ$57:$DJ$63</c:f>
              <c:numCache>
                <c:formatCode>0.0%</c:formatCode>
                <c:ptCount val="7"/>
                <c:pt idx="0">
                  <c:v>0.65</c:v>
                </c:pt>
                <c:pt idx="1">
                  <c:v>0.1</c:v>
                </c:pt>
                <c:pt idx="2">
                  <c:v>0</c:v>
                </c:pt>
                <c:pt idx="3">
                  <c:v>0</c:v>
                </c:pt>
                <c:pt idx="4">
                  <c:v>0.25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5553024"/>
        <c:axId val="205567104"/>
        <c:axId val="0"/>
      </c:bar3DChart>
      <c:catAx>
        <c:axId val="2055530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567104"/>
        <c:crosses val="autoZero"/>
        <c:auto val="1"/>
        <c:lblAlgn val="ctr"/>
        <c:lblOffset val="100"/>
        <c:noMultiLvlLbl val="0"/>
      </c:catAx>
      <c:valAx>
        <c:axId val="20556710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5530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rgbClr val="9BBB59">
        <a:lumMod val="20000"/>
        <a:lumOff val="80000"/>
        <a:alpha val="50000"/>
      </a:srgb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GASTOS ANUALES POR UNIDAD SEGÚN TAMAÑO DE LA FLOTA </a:t>
            </a:r>
          </a:p>
          <a:p>
            <a:pPr>
              <a:defRPr sz="1400"/>
            </a:pPr>
            <a:r>
              <a:rPr lang="es-MX" sz="1200"/>
              <a:t>GASTOS EN LLANTAS UNIDADES T2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FEB'!$DG$69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FEB'!$DF$70:$DF$76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FEB'!$DG$70:$DG$76</c:f>
              <c:numCache>
                <c:formatCode>0.0%</c:formatCode>
                <c:ptCount val="7"/>
                <c:pt idx="0">
                  <c:v>0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'FORMULAS FEB'!$DH$69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FEB'!$DF$70:$DF$76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FEB'!$DH$70:$DH$76</c:f>
              <c:numCache>
                <c:formatCode>0.0%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0.2857142857142857</c:v>
                </c:pt>
                <c:pt idx="3">
                  <c:v>0.14285714285714285</c:v>
                </c:pt>
                <c:pt idx="4">
                  <c:v>0.5714285714285714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FEB'!$DI$69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FEB'!$DF$70:$DF$76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FEB'!$DI$70:$DI$76</c:f>
              <c:numCache>
                <c:formatCode>0.0%</c:formatCode>
                <c:ptCount val="7"/>
                <c:pt idx="0">
                  <c:v>0.35714285714285715</c:v>
                </c:pt>
                <c:pt idx="1">
                  <c:v>0</c:v>
                </c:pt>
                <c:pt idx="2">
                  <c:v>0.25</c:v>
                </c:pt>
                <c:pt idx="3">
                  <c:v>0</c:v>
                </c:pt>
                <c:pt idx="4">
                  <c:v>0.32142857142857145</c:v>
                </c:pt>
                <c:pt idx="5">
                  <c:v>0</c:v>
                </c:pt>
                <c:pt idx="6">
                  <c:v>7.1428571428571425E-2</c:v>
                </c:pt>
              </c:numCache>
            </c:numRef>
          </c:val>
        </c:ser>
        <c:ser>
          <c:idx val="3"/>
          <c:order val="3"/>
          <c:tx>
            <c:strRef>
              <c:f>'FORMULAS FEB'!$DJ$69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2.3583815887627022E-2"/>
                  <c:y val="9.997806117555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FEB'!$DF$70:$DF$76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FEB'!$DJ$70:$DJ$76</c:f>
              <c:numCache>
                <c:formatCode>0.0%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5612544"/>
        <c:axId val="205614080"/>
        <c:axId val="0"/>
      </c:bar3DChart>
      <c:catAx>
        <c:axId val="2056125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614080"/>
        <c:crosses val="autoZero"/>
        <c:auto val="1"/>
        <c:lblAlgn val="ctr"/>
        <c:lblOffset val="100"/>
        <c:noMultiLvlLbl val="0"/>
      </c:catAx>
      <c:valAx>
        <c:axId val="20561408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6125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GASTOS ANUALES POR UNIDAD SEGÚN TAMAÑO DE LA FLOTA </a:t>
            </a:r>
          </a:p>
          <a:p>
            <a:pPr>
              <a:defRPr sz="1400"/>
            </a:pPr>
            <a:r>
              <a:rPr lang="es-MX" sz="1200"/>
              <a:t>GASTOS EN LLANTAS UNIDADES T3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FEB'!$DG$82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FEB'!$DF$83:$DF$89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FEB'!$DG$83:$DG$89</c:f>
              <c:numCache>
                <c:formatCode>0.0%</c:formatCode>
                <c:ptCount val="7"/>
                <c:pt idx="0">
                  <c:v>0.29629629629629628</c:v>
                </c:pt>
                <c:pt idx="1">
                  <c:v>0.41975308641975306</c:v>
                </c:pt>
                <c:pt idx="2">
                  <c:v>0.20987654320987653</c:v>
                </c:pt>
                <c:pt idx="3">
                  <c:v>1.2345679012345678E-2</c:v>
                </c:pt>
                <c:pt idx="4">
                  <c:v>2.4691358024691357E-2</c:v>
                </c:pt>
                <c:pt idx="5">
                  <c:v>1.2345679012345678E-2</c:v>
                </c:pt>
                <c:pt idx="6">
                  <c:v>2.4691358024691357E-2</c:v>
                </c:pt>
              </c:numCache>
            </c:numRef>
          </c:val>
        </c:ser>
        <c:ser>
          <c:idx val="1"/>
          <c:order val="1"/>
          <c:tx>
            <c:strRef>
              <c:f>'FORMULAS FEB'!$DH$82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FEB'!$DF$83:$DF$89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FEB'!$DH$83:$DH$89</c:f>
              <c:numCache>
                <c:formatCode>0.0%</c:formatCode>
                <c:ptCount val="7"/>
                <c:pt idx="0">
                  <c:v>6.3492063492063489E-2</c:v>
                </c:pt>
                <c:pt idx="1">
                  <c:v>0.3968253968253968</c:v>
                </c:pt>
                <c:pt idx="2">
                  <c:v>0.3968253968253968</c:v>
                </c:pt>
                <c:pt idx="3">
                  <c:v>4.7619047619047616E-2</c:v>
                </c:pt>
                <c:pt idx="4">
                  <c:v>6.3492063492063489E-2</c:v>
                </c:pt>
                <c:pt idx="5">
                  <c:v>0</c:v>
                </c:pt>
                <c:pt idx="6">
                  <c:v>3.1746031746031744E-2</c:v>
                </c:pt>
              </c:numCache>
            </c:numRef>
          </c:val>
        </c:ser>
        <c:ser>
          <c:idx val="2"/>
          <c:order val="2"/>
          <c:tx>
            <c:strRef>
              <c:f>'FORMULAS FEB'!$DI$82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FEB'!$DF$83:$DF$89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FEB'!$DI$83:$DI$89</c:f>
              <c:numCache>
                <c:formatCode>0.0%</c:formatCode>
                <c:ptCount val="7"/>
                <c:pt idx="0">
                  <c:v>0.20858895705521471</c:v>
                </c:pt>
                <c:pt idx="1">
                  <c:v>0.27607361963190186</c:v>
                </c:pt>
                <c:pt idx="2">
                  <c:v>0.24539877300613497</c:v>
                </c:pt>
                <c:pt idx="3">
                  <c:v>2.4539877300613498E-2</c:v>
                </c:pt>
                <c:pt idx="4">
                  <c:v>9.202453987730061E-2</c:v>
                </c:pt>
                <c:pt idx="5">
                  <c:v>0</c:v>
                </c:pt>
                <c:pt idx="6">
                  <c:v>0.15337423312883436</c:v>
                </c:pt>
              </c:numCache>
            </c:numRef>
          </c:val>
        </c:ser>
        <c:ser>
          <c:idx val="3"/>
          <c:order val="3"/>
          <c:tx>
            <c:strRef>
              <c:f>'FORMULAS FEB'!$DJ$82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FEB'!$DF$83:$DF$89</c:f>
              <c:strCache>
                <c:ptCount val="7"/>
                <c:pt idx="0">
                  <c:v>&lt; DE $50,000</c:v>
                </c:pt>
                <c:pt idx="1">
                  <c:v>ENTRE $50,001 Y $75,000</c:v>
                </c:pt>
                <c:pt idx="2">
                  <c:v>ENTRE $75,001 Y $100,000</c:v>
                </c:pt>
                <c:pt idx="3">
                  <c:v>ENTRE $100,001 Y $125,000</c:v>
                </c:pt>
                <c:pt idx="4">
                  <c:v>ENTRE $125,001 Y $150,000</c:v>
                </c:pt>
                <c:pt idx="5">
                  <c:v>ENTRE $150,001 Y $175,000</c:v>
                </c:pt>
                <c:pt idx="6">
                  <c:v>&gt; DE $175,000</c:v>
                </c:pt>
              </c:strCache>
            </c:strRef>
          </c:cat>
          <c:val>
            <c:numRef>
              <c:f>'FORMULAS FEB'!$DJ$83:$DJ$89</c:f>
              <c:numCache>
                <c:formatCode>0.0%</c:formatCode>
                <c:ptCount val="7"/>
                <c:pt idx="0">
                  <c:v>0.2356020942408377</c:v>
                </c:pt>
                <c:pt idx="1">
                  <c:v>0.24607329842931938</c:v>
                </c:pt>
                <c:pt idx="2">
                  <c:v>0.29842931937172773</c:v>
                </c:pt>
                <c:pt idx="3">
                  <c:v>2.6178010471204188E-2</c:v>
                </c:pt>
                <c:pt idx="4">
                  <c:v>0.13612565445026178</c:v>
                </c:pt>
                <c:pt idx="5">
                  <c:v>0</c:v>
                </c:pt>
                <c:pt idx="6">
                  <c:v>5.7591623036649213E-2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5680640"/>
        <c:axId val="205682176"/>
        <c:axId val="0"/>
      </c:bar3DChart>
      <c:catAx>
        <c:axId val="2056806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682176"/>
        <c:crosses val="autoZero"/>
        <c:auto val="1"/>
        <c:lblAlgn val="ctr"/>
        <c:lblOffset val="100"/>
        <c:noMultiLvlLbl val="0"/>
      </c:catAx>
      <c:valAx>
        <c:axId val="20568217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68064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GASTOS ANUALES POR UNIDAD SEGÚN TAMAÑO DE LA FLOTA</a:t>
            </a:r>
          </a:p>
          <a:p>
            <a:pPr>
              <a:defRPr sz="1400"/>
            </a:pPr>
            <a:r>
              <a:rPr lang="es-MX" sz="1200"/>
              <a:t>GASTOS EN REPARACIONES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6408133892266434E-2"/>
          <c:y val="0.24862401998242797"/>
          <c:w val="0.75214712104886472"/>
          <c:h val="0.684437708080158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FEB'!$DG$95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FEB'!$DF$96:$DF$99</c:f>
              <c:strCache>
                <c:ptCount val="4"/>
                <c:pt idx="0">
                  <c:v>&lt; $25,000</c:v>
                </c:pt>
                <c:pt idx="1">
                  <c:v>ENTRE $25,001 Y $50,000</c:v>
                </c:pt>
                <c:pt idx="2">
                  <c:v>ENTRE $50,001 Y $75,000</c:v>
                </c:pt>
                <c:pt idx="3">
                  <c:v>&gt; $75,000</c:v>
                </c:pt>
              </c:strCache>
            </c:strRef>
          </c:cat>
          <c:val>
            <c:numRef>
              <c:f>'FORMULAS FEB'!$DG$96:$DG$99</c:f>
              <c:numCache>
                <c:formatCode>0.0%</c:formatCode>
                <c:ptCount val="4"/>
                <c:pt idx="0">
                  <c:v>0.61386138613861385</c:v>
                </c:pt>
                <c:pt idx="1">
                  <c:v>0.34158415841584161</c:v>
                </c:pt>
                <c:pt idx="2">
                  <c:v>2.9702970297029702E-2</c:v>
                </c:pt>
                <c:pt idx="3">
                  <c:v>1.4851485148514851E-2</c:v>
                </c:pt>
              </c:numCache>
            </c:numRef>
          </c:val>
        </c:ser>
        <c:ser>
          <c:idx val="1"/>
          <c:order val="1"/>
          <c:tx>
            <c:strRef>
              <c:f>'FORMULAS FEB'!$DH$95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FEB'!$DF$96:$DF$99</c:f>
              <c:strCache>
                <c:ptCount val="4"/>
                <c:pt idx="0">
                  <c:v>&lt; $25,000</c:v>
                </c:pt>
                <c:pt idx="1">
                  <c:v>ENTRE $25,001 Y $50,000</c:v>
                </c:pt>
                <c:pt idx="2">
                  <c:v>ENTRE $50,001 Y $75,000</c:v>
                </c:pt>
                <c:pt idx="3">
                  <c:v>&gt; $75,000</c:v>
                </c:pt>
              </c:strCache>
            </c:strRef>
          </c:cat>
          <c:val>
            <c:numRef>
              <c:f>'FORMULAS FEB'!$DH$96:$DH$99</c:f>
              <c:numCache>
                <c:formatCode>0.0%</c:formatCode>
                <c:ptCount val="4"/>
                <c:pt idx="0">
                  <c:v>0.60389610389610393</c:v>
                </c:pt>
                <c:pt idx="1">
                  <c:v>0.33766233766233766</c:v>
                </c:pt>
                <c:pt idx="2">
                  <c:v>1.948051948051948E-2</c:v>
                </c:pt>
                <c:pt idx="3">
                  <c:v>3.896103896103896E-2</c:v>
                </c:pt>
              </c:numCache>
            </c:numRef>
          </c:val>
        </c:ser>
        <c:ser>
          <c:idx val="2"/>
          <c:order val="2"/>
          <c:tx>
            <c:strRef>
              <c:f>'FORMULAS FEB'!$DI$95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FEB'!$DF$96:$DF$99</c:f>
              <c:strCache>
                <c:ptCount val="4"/>
                <c:pt idx="0">
                  <c:v>&lt; $25,000</c:v>
                </c:pt>
                <c:pt idx="1">
                  <c:v>ENTRE $25,001 Y $50,000</c:v>
                </c:pt>
                <c:pt idx="2">
                  <c:v>ENTRE $50,001 Y $75,000</c:v>
                </c:pt>
                <c:pt idx="3">
                  <c:v>&gt; $75,000</c:v>
                </c:pt>
              </c:strCache>
            </c:strRef>
          </c:cat>
          <c:val>
            <c:numRef>
              <c:f>'FORMULAS FEB'!$DI$96:$DI$99</c:f>
              <c:numCache>
                <c:formatCode>0.0%</c:formatCode>
                <c:ptCount val="4"/>
                <c:pt idx="0">
                  <c:v>0.64668769716088326</c:v>
                </c:pt>
                <c:pt idx="1">
                  <c:v>0.25867507886435331</c:v>
                </c:pt>
                <c:pt idx="2">
                  <c:v>6.3091482649842268E-2</c:v>
                </c:pt>
                <c:pt idx="3">
                  <c:v>3.1545741324921134E-2</c:v>
                </c:pt>
              </c:numCache>
            </c:numRef>
          </c:val>
        </c:ser>
        <c:ser>
          <c:idx val="3"/>
          <c:order val="3"/>
          <c:tx>
            <c:strRef>
              <c:f>'FORMULAS FEB'!$DJ$95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FEB'!$DF$96:$DF$99</c:f>
              <c:strCache>
                <c:ptCount val="4"/>
                <c:pt idx="0">
                  <c:v>&lt; $25,000</c:v>
                </c:pt>
                <c:pt idx="1">
                  <c:v>ENTRE $25,001 Y $50,000</c:v>
                </c:pt>
                <c:pt idx="2">
                  <c:v>ENTRE $50,001 Y $75,000</c:v>
                </c:pt>
                <c:pt idx="3">
                  <c:v>&gt; $75,000</c:v>
                </c:pt>
              </c:strCache>
            </c:strRef>
          </c:cat>
          <c:val>
            <c:numRef>
              <c:f>'FORMULAS FEB'!$DJ$96:$DJ$99</c:f>
              <c:numCache>
                <c:formatCode>0.0%</c:formatCode>
                <c:ptCount val="4"/>
                <c:pt idx="0">
                  <c:v>0.40530303030303028</c:v>
                </c:pt>
                <c:pt idx="1">
                  <c:v>0.37878787878787878</c:v>
                </c:pt>
                <c:pt idx="2">
                  <c:v>0.10227272727272728</c:v>
                </c:pt>
                <c:pt idx="3">
                  <c:v>0.11363636363636363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5801728"/>
        <c:axId val="205819904"/>
        <c:axId val="0"/>
      </c:bar3DChart>
      <c:catAx>
        <c:axId val="2058017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819904"/>
        <c:crosses val="autoZero"/>
        <c:auto val="1"/>
        <c:lblAlgn val="ctr"/>
        <c:lblOffset val="100"/>
        <c:noMultiLvlLbl val="0"/>
      </c:catAx>
      <c:valAx>
        <c:axId val="20581990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8017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GASTOS ANUALES POR UNIDAD SEGÚN TAMAÑO DE LA FLOTA</a:t>
            </a:r>
          </a:p>
          <a:p>
            <a:pPr>
              <a:defRPr sz="1400"/>
            </a:pPr>
            <a:r>
              <a:rPr lang="es-MX" sz="1200"/>
              <a:t>GASTOS EN SEGUROS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FEB'!$DG$105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FEB'!$DF$106:$DF$111</c:f>
              <c:strCache>
                <c:ptCount val="6"/>
                <c:pt idx="0">
                  <c:v>&lt; $5,000</c:v>
                </c:pt>
                <c:pt idx="1">
                  <c:v>ENTRE $5,001 Y $10,000</c:v>
                </c:pt>
                <c:pt idx="2">
                  <c:v>ENTRE $10,001 Y $20,000</c:v>
                </c:pt>
                <c:pt idx="3">
                  <c:v>ENTRE $20,001 Y $30,000</c:v>
                </c:pt>
                <c:pt idx="4">
                  <c:v>ENTRE $30,001 Y $50,000</c:v>
                </c:pt>
                <c:pt idx="5">
                  <c:v>&gt; $50,000</c:v>
                </c:pt>
              </c:strCache>
            </c:strRef>
          </c:cat>
          <c:val>
            <c:numRef>
              <c:f>'FORMULAS FEB'!$DG$106:$DG$111</c:f>
              <c:numCache>
                <c:formatCode>0.0%</c:formatCode>
                <c:ptCount val="6"/>
                <c:pt idx="0">
                  <c:v>0.31578947368421051</c:v>
                </c:pt>
                <c:pt idx="1">
                  <c:v>0.14832535885167464</c:v>
                </c:pt>
                <c:pt idx="2">
                  <c:v>0.33014354066985646</c:v>
                </c:pt>
                <c:pt idx="3">
                  <c:v>0.13875598086124402</c:v>
                </c:pt>
                <c:pt idx="4">
                  <c:v>6.2200956937799042E-2</c:v>
                </c:pt>
                <c:pt idx="5">
                  <c:v>4.7846889952153108E-3</c:v>
                </c:pt>
              </c:numCache>
            </c:numRef>
          </c:val>
        </c:ser>
        <c:ser>
          <c:idx val="1"/>
          <c:order val="1"/>
          <c:tx>
            <c:strRef>
              <c:f>'FORMULAS FEB'!$DH$105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FEB'!$DF$106:$DF$111</c:f>
              <c:strCache>
                <c:ptCount val="6"/>
                <c:pt idx="0">
                  <c:v>&lt; $5,000</c:v>
                </c:pt>
                <c:pt idx="1">
                  <c:v>ENTRE $5,001 Y $10,000</c:v>
                </c:pt>
                <c:pt idx="2">
                  <c:v>ENTRE $10,001 Y $20,000</c:v>
                </c:pt>
                <c:pt idx="3">
                  <c:v>ENTRE $20,001 Y $30,000</c:v>
                </c:pt>
                <c:pt idx="4">
                  <c:v>ENTRE $30,001 Y $50,000</c:v>
                </c:pt>
                <c:pt idx="5">
                  <c:v>&gt; $50,000</c:v>
                </c:pt>
              </c:strCache>
            </c:strRef>
          </c:cat>
          <c:val>
            <c:numRef>
              <c:f>'FORMULAS FEB'!$DH$106:$DH$111</c:f>
              <c:numCache>
                <c:formatCode>0.0%</c:formatCode>
                <c:ptCount val="6"/>
                <c:pt idx="0">
                  <c:v>0.125</c:v>
                </c:pt>
                <c:pt idx="1">
                  <c:v>0.27500000000000002</c:v>
                </c:pt>
                <c:pt idx="2">
                  <c:v>0.33124999999999999</c:v>
                </c:pt>
                <c:pt idx="3">
                  <c:v>0.19375000000000001</c:v>
                </c:pt>
                <c:pt idx="4">
                  <c:v>6.8750000000000006E-2</c:v>
                </c:pt>
                <c:pt idx="5">
                  <c:v>6.2500000000000003E-3</c:v>
                </c:pt>
              </c:numCache>
            </c:numRef>
          </c:val>
        </c:ser>
        <c:ser>
          <c:idx val="2"/>
          <c:order val="2"/>
          <c:tx>
            <c:strRef>
              <c:f>'FORMULAS FEB'!$DI$105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FEB'!$DF$106:$DF$111</c:f>
              <c:strCache>
                <c:ptCount val="6"/>
                <c:pt idx="0">
                  <c:v>&lt; $5,000</c:v>
                </c:pt>
                <c:pt idx="1">
                  <c:v>ENTRE $5,001 Y $10,000</c:v>
                </c:pt>
                <c:pt idx="2">
                  <c:v>ENTRE $10,001 Y $20,000</c:v>
                </c:pt>
                <c:pt idx="3">
                  <c:v>ENTRE $20,001 Y $30,000</c:v>
                </c:pt>
                <c:pt idx="4">
                  <c:v>ENTRE $30,001 Y $50,000</c:v>
                </c:pt>
                <c:pt idx="5">
                  <c:v>&gt; $50,000</c:v>
                </c:pt>
              </c:strCache>
            </c:strRef>
          </c:cat>
          <c:val>
            <c:numRef>
              <c:f>'FORMULAS FEB'!$DI$106:$DI$111</c:f>
              <c:numCache>
                <c:formatCode>0.0%</c:formatCode>
                <c:ptCount val="6"/>
                <c:pt idx="0">
                  <c:v>3.7151702786377708E-2</c:v>
                </c:pt>
                <c:pt idx="1">
                  <c:v>0.4148606811145511</c:v>
                </c:pt>
                <c:pt idx="2">
                  <c:v>0.28792569659442724</c:v>
                </c:pt>
                <c:pt idx="3">
                  <c:v>7.7399380804953566E-2</c:v>
                </c:pt>
                <c:pt idx="4">
                  <c:v>0.1609907120743034</c:v>
                </c:pt>
                <c:pt idx="5">
                  <c:v>2.1671826625386997E-2</c:v>
                </c:pt>
              </c:numCache>
            </c:numRef>
          </c:val>
        </c:ser>
        <c:ser>
          <c:idx val="3"/>
          <c:order val="3"/>
          <c:tx>
            <c:strRef>
              <c:f>'FORMULAS FEB'!$DJ$105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FEB'!$DF$106:$DF$111</c:f>
              <c:strCache>
                <c:ptCount val="6"/>
                <c:pt idx="0">
                  <c:v>&lt; $5,000</c:v>
                </c:pt>
                <c:pt idx="1">
                  <c:v>ENTRE $5,001 Y $10,000</c:v>
                </c:pt>
                <c:pt idx="2">
                  <c:v>ENTRE $10,001 Y $20,000</c:v>
                </c:pt>
                <c:pt idx="3">
                  <c:v>ENTRE $20,001 Y $30,000</c:v>
                </c:pt>
                <c:pt idx="4">
                  <c:v>ENTRE $30,001 Y $50,000</c:v>
                </c:pt>
                <c:pt idx="5">
                  <c:v>&gt; $50,000</c:v>
                </c:pt>
              </c:strCache>
            </c:strRef>
          </c:cat>
          <c:val>
            <c:numRef>
              <c:f>'FORMULAS FEB'!$DJ$106:$DJ$111</c:f>
              <c:numCache>
                <c:formatCode>0.0%</c:formatCode>
                <c:ptCount val="6"/>
                <c:pt idx="0">
                  <c:v>9.375E-2</c:v>
                </c:pt>
                <c:pt idx="1">
                  <c:v>0.3125</c:v>
                </c:pt>
                <c:pt idx="2">
                  <c:v>0.33333333333333331</c:v>
                </c:pt>
                <c:pt idx="3">
                  <c:v>2.7777777777777776E-2</c:v>
                </c:pt>
                <c:pt idx="4">
                  <c:v>0.1076388888888889</c:v>
                </c:pt>
                <c:pt idx="5">
                  <c:v>0.125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5878016"/>
        <c:axId val="205879552"/>
        <c:axId val="0"/>
      </c:bar3DChart>
      <c:catAx>
        <c:axId val="2058780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879552"/>
        <c:crosses val="autoZero"/>
        <c:auto val="1"/>
        <c:lblAlgn val="ctr"/>
        <c:lblOffset val="100"/>
        <c:noMultiLvlLbl val="0"/>
      </c:catAx>
      <c:valAx>
        <c:axId val="20587955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8780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GASTOS ANUALES POR UNIDAD SEGÚN TAMAÑO DE LA FLOTA</a:t>
            </a:r>
          </a:p>
          <a:p>
            <a:pPr>
              <a:defRPr sz="1400"/>
            </a:pPr>
            <a:r>
              <a:rPr lang="es-MX" sz="1200"/>
              <a:t>GASTOS EN ACCIDENTES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FEB'!$DG$116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FEB'!$DF$117:$DF$122</c:f>
              <c:strCache>
                <c:ptCount val="6"/>
                <c:pt idx="0">
                  <c:v>&lt; $5,000</c:v>
                </c:pt>
                <c:pt idx="1">
                  <c:v>ENTRE $5,001 Y $10,000</c:v>
                </c:pt>
                <c:pt idx="2">
                  <c:v>ENTRE $10,001 Y $20,000</c:v>
                </c:pt>
                <c:pt idx="3">
                  <c:v>ENTRE $20,001 Y $30,000</c:v>
                </c:pt>
                <c:pt idx="4">
                  <c:v>ENTRE $30,001 Y $50,000</c:v>
                </c:pt>
                <c:pt idx="5">
                  <c:v>&gt; $50,000</c:v>
                </c:pt>
              </c:strCache>
            </c:strRef>
          </c:cat>
          <c:val>
            <c:numRef>
              <c:f>'FORMULAS FEB'!$DG$117:$DG$122</c:f>
              <c:numCache>
                <c:formatCode>0.0%</c:formatCode>
                <c:ptCount val="6"/>
                <c:pt idx="0">
                  <c:v>0.95215311004784686</c:v>
                </c:pt>
                <c:pt idx="1">
                  <c:v>2.8708133971291867E-2</c:v>
                </c:pt>
                <c:pt idx="2">
                  <c:v>1.9138755980861243E-2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'FORMULAS FEB'!$DH$116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FEB'!$DF$117:$DF$122</c:f>
              <c:strCache>
                <c:ptCount val="6"/>
                <c:pt idx="0">
                  <c:v>&lt; $5,000</c:v>
                </c:pt>
                <c:pt idx="1">
                  <c:v>ENTRE $5,001 Y $10,000</c:v>
                </c:pt>
                <c:pt idx="2">
                  <c:v>ENTRE $10,001 Y $20,000</c:v>
                </c:pt>
                <c:pt idx="3">
                  <c:v>ENTRE $20,001 Y $30,000</c:v>
                </c:pt>
                <c:pt idx="4">
                  <c:v>ENTRE $30,001 Y $50,000</c:v>
                </c:pt>
                <c:pt idx="5">
                  <c:v>&gt; $50,000</c:v>
                </c:pt>
              </c:strCache>
            </c:strRef>
          </c:cat>
          <c:val>
            <c:numRef>
              <c:f>'FORMULAS FEB'!$DH$117:$DH$122</c:f>
              <c:numCache>
                <c:formatCode>0.0%</c:formatCode>
                <c:ptCount val="6"/>
                <c:pt idx="0">
                  <c:v>0.97499999999999998</c:v>
                </c:pt>
                <c:pt idx="1">
                  <c:v>1.8749999999999999E-2</c:v>
                </c:pt>
                <c:pt idx="2">
                  <c:v>6.2500000000000003E-3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FEB'!$DI$116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FEB'!$DF$117:$DF$122</c:f>
              <c:strCache>
                <c:ptCount val="6"/>
                <c:pt idx="0">
                  <c:v>&lt; $5,000</c:v>
                </c:pt>
                <c:pt idx="1">
                  <c:v>ENTRE $5,001 Y $10,000</c:v>
                </c:pt>
                <c:pt idx="2">
                  <c:v>ENTRE $10,001 Y $20,000</c:v>
                </c:pt>
                <c:pt idx="3">
                  <c:v>ENTRE $20,001 Y $30,000</c:v>
                </c:pt>
                <c:pt idx="4">
                  <c:v>ENTRE $30,001 Y $50,000</c:v>
                </c:pt>
                <c:pt idx="5">
                  <c:v>&gt; $50,000</c:v>
                </c:pt>
              </c:strCache>
            </c:strRef>
          </c:cat>
          <c:val>
            <c:numRef>
              <c:f>'FORMULAS FEB'!$DI$117:$DI$122</c:f>
              <c:numCache>
                <c:formatCode>0.0%</c:formatCode>
                <c:ptCount val="6"/>
                <c:pt idx="0">
                  <c:v>0.94117647058823528</c:v>
                </c:pt>
                <c:pt idx="1">
                  <c:v>2.1671826625386997E-2</c:v>
                </c:pt>
                <c:pt idx="2">
                  <c:v>2.4767801857585141E-2</c:v>
                </c:pt>
                <c:pt idx="3">
                  <c:v>9.2879256965944269E-3</c:v>
                </c:pt>
                <c:pt idx="4">
                  <c:v>0</c:v>
                </c:pt>
                <c:pt idx="5">
                  <c:v>3.0959752321981426E-3</c:v>
                </c:pt>
              </c:numCache>
            </c:numRef>
          </c:val>
        </c:ser>
        <c:ser>
          <c:idx val="3"/>
          <c:order val="3"/>
          <c:tx>
            <c:strRef>
              <c:f>'FORMULAS FEB'!$DJ$116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FEB'!$DF$117:$DF$122</c:f>
              <c:strCache>
                <c:ptCount val="6"/>
                <c:pt idx="0">
                  <c:v>&lt; $5,000</c:v>
                </c:pt>
                <c:pt idx="1">
                  <c:v>ENTRE $5,001 Y $10,000</c:v>
                </c:pt>
                <c:pt idx="2">
                  <c:v>ENTRE $10,001 Y $20,000</c:v>
                </c:pt>
                <c:pt idx="3">
                  <c:v>ENTRE $20,001 Y $30,000</c:v>
                </c:pt>
                <c:pt idx="4">
                  <c:v>ENTRE $30,001 Y $50,000</c:v>
                </c:pt>
                <c:pt idx="5">
                  <c:v>&gt; $50,000</c:v>
                </c:pt>
              </c:strCache>
            </c:strRef>
          </c:cat>
          <c:val>
            <c:numRef>
              <c:f>'FORMULAS FEB'!$DJ$117:$DJ$122</c:f>
              <c:numCache>
                <c:formatCode>0.0%</c:formatCode>
                <c:ptCount val="6"/>
                <c:pt idx="0">
                  <c:v>0.8125</c:v>
                </c:pt>
                <c:pt idx="1">
                  <c:v>3.472222222222222E-3</c:v>
                </c:pt>
                <c:pt idx="2">
                  <c:v>1.0416666666666666E-2</c:v>
                </c:pt>
                <c:pt idx="3">
                  <c:v>6.25E-2</c:v>
                </c:pt>
                <c:pt idx="4">
                  <c:v>9.0277777777777776E-2</c:v>
                </c:pt>
                <c:pt idx="5">
                  <c:v>2.0833333333333332E-2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5986816"/>
        <c:axId val="206004992"/>
        <c:axId val="0"/>
      </c:bar3DChart>
      <c:catAx>
        <c:axId val="2059868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6004992"/>
        <c:crosses val="autoZero"/>
        <c:auto val="1"/>
        <c:lblAlgn val="ctr"/>
        <c:lblOffset val="100"/>
        <c:noMultiLvlLbl val="0"/>
      </c:catAx>
      <c:valAx>
        <c:axId val="20600499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986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FRECUENCIA DE PAGO DEL SERVICIO SEGÚN TAMAÑO DE FLOTA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6538855442726917E-2"/>
          <c:y val="0.22016715846390938"/>
          <c:w val="0.74750515086465952"/>
          <c:h val="0.6802825598703964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FEB'!$DS$3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FEB'!$DR$4:$DR$8</c:f>
              <c:strCache>
                <c:ptCount val="5"/>
                <c:pt idx="0">
                  <c:v>Contra entrega</c:v>
                </c:pt>
                <c:pt idx="1">
                  <c:v>Semanalmente o a 10 días</c:v>
                </c:pt>
                <c:pt idx="2">
                  <c:v>Quincenalmente o 21 días</c:v>
                </c:pt>
                <c:pt idx="3">
                  <c:v>Por mes o a 30 días</c:v>
                </c:pt>
                <c:pt idx="4">
                  <c:v>Mas de 30 días</c:v>
                </c:pt>
              </c:strCache>
            </c:strRef>
          </c:cat>
          <c:val>
            <c:numRef>
              <c:f>'FORMULAS FEB'!$DS$4:$DS$8</c:f>
              <c:numCache>
                <c:formatCode>0.0%</c:formatCode>
                <c:ptCount val="5"/>
                <c:pt idx="0">
                  <c:v>0.48207171314741037</c:v>
                </c:pt>
                <c:pt idx="1">
                  <c:v>0.16334661354581673</c:v>
                </c:pt>
                <c:pt idx="2">
                  <c:v>0.16334661354581673</c:v>
                </c:pt>
                <c:pt idx="3">
                  <c:v>0.16733067729083664</c:v>
                </c:pt>
                <c:pt idx="4">
                  <c:v>2.3904382470119521E-2</c:v>
                </c:pt>
              </c:numCache>
            </c:numRef>
          </c:val>
        </c:ser>
        <c:ser>
          <c:idx val="1"/>
          <c:order val="1"/>
          <c:tx>
            <c:strRef>
              <c:f>'FORMULAS FEB'!$DT$3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FEB'!$DR$4:$DR$8</c:f>
              <c:strCache>
                <c:ptCount val="5"/>
                <c:pt idx="0">
                  <c:v>Contra entrega</c:v>
                </c:pt>
                <c:pt idx="1">
                  <c:v>Semanalmente o a 10 días</c:v>
                </c:pt>
                <c:pt idx="2">
                  <c:v>Quincenalmente o 21 días</c:v>
                </c:pt>
                <c:pt idx="3">
                  <c:v>Por mes o a 30 días</c:v>
                </c:pt>
                <c:pt idx="4">
                  <c:v>Mas de 30 días</c:v>
                </c:pt>
              </c:strCache>
            </c:strRef>
          </c:cat>
          <c:val>
            <c:numRef>
              <c:f>'FORMULAS FEB'!$DT$4:$DT$8</c:f>
              <c:numCache>
                <c:formatCode>0.0%</c:formatCode>
                <c:ptCount val="5"/>
                <c:pt idx="0">
                  <c:v>0.2846153846153846</c:v>
                </c:pt>
                <c:pt idx="1">
                  <c:v>0.15384615384615385</c:v>
                </c:pt>
                <c:pt idx="2">
                  <c:v>0.26153846153846155</c:v>
                </c:pt>
                <c:pt idx="3">
                  <c:v>0.24615384615384617</c:v>
                </c:pt>
                <c:pt idx="4">
                  <c:v>5.3846153846153849E-2</c:v>
                </c:pt>
              </c:numCache>
            </c:numRef>
          </c:val>
        </c:ser>
        <c:ser>
          <c:idx val="2"/>
          <c:order val="2"/>
          <c:tx>
            <c:strRef>
              <c:f>'FORMULAS FEB'!$DU$3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FEB'!$DR$4:$DR$8</c:f>
              <c:strCache>
                <c:ptCount val="5"/>
                <c:pt idx="0">
                  <c:v>Contra entrega</c:v>
                </c:pt>
                <c:pt idx="1">
                  <c:v>Semanalmente o a 10 días</c:v>
                </c:pt>
                <c:pt idx="2">
                  <c:v>Quincenalmente o 21 días</c:v>
                </c:pt>
                <c:pt idx="3">
                  <c:v>Por mes o a 30 días</c:v>
                </c:pt>
                <c:pt idx="4">
                  <c:v>Mas de 30 días</c:v>
                </c:pt>
              </c:strCache>
            </c:strRef>
          </c:cat>
          <c:val>
            <c:numRef>
              <c:f>'FORMULAS FEB'!$DU$4:$DU$8</c:f>
              <c:numCache>
                <c:formatCode>0.0%</c:formatCode>
                <c:ptCount val="5"/>
                <c:pt idx="0">
                  <c:v>0.32</c:v>
                </c:pt>
                <c:pt idx="1">
                  <c:v>0.13333333333333333</c:v>
                </c:pt>
                <c:pt idx="2">
                  <c:v>0.19333333333333333</c:v>
                </c:pt>
                <c:pt idx="3">
                  <c:v>0.29333333333333333</c:v>
                </c:pt>
                <c:pt idx="4">
                  <c:v>0.06</c:v>
                </c:pt>
              </c:numCache>
            </c:numRef>
          </c:val>
        </c:ser>
        <c:ser>
          <c:idx val="3"/>
          <c:order val="3"/>
          <c:tx>
            <c:strRef>
              <c:f>'FORMULAS FEB'!$DV$3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FEB'!$DR$4:$DR$8</c:f>
              <c:strCache>
                <c:ptCount val="5"/>
                <c:pt idx="0">
                  <c:v>Contra entrega</c:v>
                </c:pt>
                <c:pt idx="1">
                  <c:v>Semanalmente o a 10 días</c:v>
                </c:pt>
                <c:pt idx="2">
                  <c:v>Quincenalmente o 21 días</c:v>
                </c:pt>
                <c:pt idx="3">
                  <c:v>Por mes o a 30 días</c:v>
                </c:pt>
                <c:pt idx="4">
                  <c:v>Mas de 30 días</c:v>
                </c:pt>
              </c:strCache>
            </c:strRef>
          </c:cat>
          <c:val>
            <c:numRef>
              <c:f>'FORMULAS FEB'!$DV$4:$DV$8</c:f>
              <c:numCache>
                <c:formatCode>0.0%</c:formatCode>
                <c:ptCount val="5"/>
                <c:pt idx="0">
                  <c:v>0.22033898305084745</c:v>
                </c:pt>
                <c:pt idx="1">
                  <c:v>0.10169491525423729</c:v>
                </c:pt>
                <c:pt idx="2">
                  <c:v>0.25423728813559321</c:v>
                </c:pt>
                <c:pt idx="3">
                  <c:v>0.32203389830508472</c:v>
                </c:pt>
                <c:pt idx="4">
                  <c:v>0.10169491525423729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6050816"/>
        <c:axId val="206052352"/>
        <c:axId val="0"/>
      </c:bar3DChart>
      <c:catAx>
        <c:axId val="2060508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6052352"/>
        <c:crosses val="autoZero"/>
        <c:auto val="1"/>
        <c:lblAlgn val="ctr"/>
        <c:lblOffset val="100"/>
        <c:noMultiLvlLbl val="0"/>
      </c:catAx>
      <c:valAx>
        <c:axId val="20605235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6050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RAZÓN POR LA QUE SÍ PARTICIPA EN EL PROGRAMA DE CHATARRIZACIÓN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FORMULAS!$AH$21</c:f>
              <c:strCache>
                <c:ptCount val="1"/>
                <c:pt idx="0">
                  <c:v>RAZÓN POR LA QUE SÍ PARTICIPA EN EL PROGRAMA DE CHATARRIZACIÓN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</c:dPt>
          <c:dPt>
            <c:idx val="1"/>
            <c:bubble3D val="0"/>
            <c:spPr>
              <a:solidFill>
                <a:srgbClr val="F79646">
                  <a:lumMod val="60000"/>
                  <a:lumOff val="40000"/>
                </a:srgbClr>
              </a:solidFill>
            </c:spPr>
          </c:dPt>
          <c:dLbls>
            <c:txPr>
              <a:bodyPr/>
              <a:lstStyle/>
              <a:p>
                <a:pPr>
                  <a:defRPr sz="950" b="1" i="1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FORMULAS!$AH$22:$AH$23</c:f>
              <c:strCache>
                <c:ptCount val="2"/>
                <c:pt idx="0">
                  <c:v>LO SOLICITO EL CLIENTE</c:v>
                </c:pt>
                <c:pt idx="1">
                  <c:v>CAMBIO DE UNIDAD VIEJA</c:v>
                </c:pt>
              </c:strCache>
            </c:strRef>
          </c:cat>
          <c:val>
            <c:numRef>
              <c:f>FORMULAS!$AI$22:$AI$23</c:f>
              <c:numCache>
                <c:formatCode>0.0%</c:formatCode>
                <c:ptCount val="2"/>
                <c:pt idx="0">
                  <c:v>0.15</c:v>
                </c:pt>
                <c:pt idx="1">
                  <c:v>0.85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MEDIO DE OBTENCIÓN DEL CRÉDITO SEGÚN TAMAÑO DE LA FLOTA</a:t>
            </a:r>
          </a:p>
          <a:p>
            <a:pPr>
              <a:defRPr sz="1400"/>
            </a:pPr>
            <a:r>
              <a:rPr lang="es-MX" sz="12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6538861633055847E-2"/>
          <c:y val="0.23201287451564526"/>
          <c:w val="0.74750512321949214"/>
          <c:h val="0.6816045573626136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FEB'!$DS$12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FEB'!$DR$13:$DR$17</c:f>
              <c:strCache>
                <c:ptCount val="5"/>
                <c:pt idx="0">
                  <c:v>Crédito automotriz</c:v>
                </c:pt>
                <c:pt idx="1">
                  <c:v>Tarjeta de crédito</c:v>
                </c:pt>
                <c:pt idx="2">
                  <c:v>Empeño o Prestamista</c:v>
                </c:pt>
                <c:pt idx="3">
                  <c:v>Del Sistema Financiero</c:v>
                </c:pt>
                <c:pt idx="4">
                  <c:v>Un amigo o Familiar</c:v>
                </c:pt>
              </c:strCache>
            </c:strRef>
          </c:cat>
          <c:val>
            <c:numRef>
              <c:f>'FORMULAS FEB'!$DS$13:$DS$17</c:f>
              <c:numCache>
                <c:formatCode>0.0%</c:formatCode>
                <c:ptCount val="5"/>
                <c:pt idx="0">
                  <c:v>0.1070110701107011</c:v>
                </c:pt>
                <c:pt idx="1">
                  <c:v>0.16605166051660517</c:v>
                </c:pt>
                <c:pt idx="2">
                  <c:v>0.24354243542435425</c:v>
                </c:pt>
                <c:pt idx="3">
                  <c:v>0.28044280442804426</c:v>
                </c:pt>
                <c:pt idx="4">
                  <c:v>0.2029520295202952</c:v>
                </c:pt>
              </c:numCache>
            </c:numRef>
          </c:val>
        </c:ser>
        <c:ser>
          <c:idx val="1"/>
          <c:order val="1"/>
          <c:tx>
            <c:strRef>
              <c:f>'FORMULAS FEB'!$DT$12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FEB'!$DR$13:$DR$17</c:f>
              <c:strCache>
                <c:ptCount val="5"/>
                <c:pt idx="0">
                  <c:v>Crédito automotriz</c:v>
                </c:pt>
                <c:pt idx="1">
                  <c:v>Tarjeta de crédito</c:v>
                </c:pt>
                <c:pt idx="2">
                  <c:v>Empeño o Prestamista</c:v>
                </c:pt>
                <c:pt idx="3">
                  <c:v>Del Sistema Financiero</c:v>
                </c:pt>
                <c:pt idx="4">
                  <c:v>Un amigo o Familiar</c:v>
                </c:pt>
              </c:strCache>
            </c:strRef>
          </c:cat>
          <c:val>
            <c:numRef>
              <c:f>'FORMULAS FEB'!$DT$13:$DT$17</c:f>
              <c:numCache>
                <c:formatCode>0.0%</c:formatCode>
                <c:ptCount val="5"/>
                <c:pt idx="0">
                  <c:v>0.14655172413793102</c:v>
                </c:pt>
                <c:pt idx="1">
                  <c:v>0.30172413793103448</c:v>
                </c:pt>
                <c:pt idx="2">
                  <c:v>6.0344827586206899E-2</c:v>
                </c:pt>
                <c:pt idx="3">
                  <c:v>0.30172413793103448</c:v>
                </c:pt>
                <c:pt idx="4">
                  <c:v>0.18965517241379309</c:v>
                </c:pt>
              </c:numCache>
            </c:numRef>
          </c:val>
        </c:ser>
        <c:ser>
          <c:idx val="2"/>
          <c:order val="2"/>
          <c:tx>
            <c:strRef>
              <c:f>'FORMULAS FEB'!$DU$12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FEB'!$DR$13:$DR$17</c:f>
              <c:strCache>
                <c:ptCount val="5"/>
                <c:pt idx="0">
                  <c:v>Crédito automotriz</c:v>
                </c:pt>
                <c:pt idx="1">
                  <c:v>Tarjeta de crédito</c:v>
                </c:pt>
                <c:pt idx="2">
                  <c:v>Empeño o Prestamista</c:v>
                </c:pt>
                <c:pt idx="3">
                  <c:v>Del Sistema Financiero</c:v>
                </c:pt>
                <c:pt idx="4">
                  <c:v>Un amigo o Familiar</c:v>
                </c:pt>
              </c:strCache>
            </c:strRef>
          </c:cat>
          <c:val>
            <c:numRef>
              <c:f>'FORMULAS FEB'!$DU$13:$DU$17</c:f>
              <c:numCache>
                <c:formatCode>0.0%</c:formatCode>
                <c:ptCount val="5"/>
                <c:pt idx="0">
                  <c:v>0.21897810218978103</c:v>
                </c:pt>
                <c:pt idx="1">
                  <c:v>0.40875912408759124</c:v>
                </c:pt>
                <c:pt idx="2">
                  <c:v>7.2992700729927001E-2</c:v>
                </c:pt>
                <c:pt idx="3">
                  <c:v>0.23357664233576642</c:v>
                </c:pt>
                <c:pt idx="4">
                  <c:v>6.569343065693431E-2</c:v>
                </c:pt>
              </c:numCache>
            </c:numRef>
          </c:val>
        </c:ser>
        <c:ser>
          <c:idx val="3"/>
          <c:order val="3"/>
          <c:tx>
            <c:strRef>
              <c:f>'FORMULAS FEB'!$DV$12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FEB'!$DR$13:$DR$17</c:f>
              <c:strCache>
                <c:ptCount val="5"/>
                <c:pt idx="0">
                  <c:v>Crédito automotriz</c:v>
                </c:pt>
                <c:pt idx="1">
                  <c:v>Tarjeta de crédito</c:v>
                </c:pt>
                <c:pt idx="2">
                  <c:v>Empeño o Prestamista</c:v>
                </c:pt>
                <c:pt idx="3">
                  <c:v>Del Sistema Financiero</c:v>
                </c:pt>
                <c:pt idx="4">
                  <c:v>Un amigo o Familiar</c:v>
                </c:pt>
              </c:strCache>
            </c:strRef>
          </c:cat>
          <c:val>
            <c:numRef>
              <c:f>'FORMULAS FEB'!$DV$13:$DV$17</c:f>
              <c:numCache>
                <c:formatCode>0.0%</c:formatCode>
                <c:ptCount val="5"/>
                <c:pt idx="0">
                  <c:v>0.17142857142857143</c:v>
                </c:pt>
                <c:pt idx="1">
                  <c:v>0.42857142857142855</c:v>
                </c:pt>
                <c:pt idx="2">
                  <c:v>2.8571428571428571E-2</c:v>
                </c:pt>
                <c:pt idx="3">
                  <c:v>0.25714285714285712</c:v>
                </c:pt>
                <c:pt idx="4">
                  <c:v>0.11428571428571428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6107008"/>
        <c:axId val="206108544"/>
        <c:axId val="0"/>
      </c:bar3DChart>
      <c:catAx>
        <c:axId val="2061070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6108544"/>
        <c:crosses val="autoZero"/>
        <c:auto val="1"/>
        <c:lblAlgn val="ctr"/>
        <c:lblOffset val="100"/>
        <c:noMultiLvlLbl val="0"/>
      </c:catAx>
      <c:valAx>
        <c:axId val="20610854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61070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CRÉDITOS EN LOS ÚLTIMOS 12 MESES SEGÚN TAMAÑO DE LA FLOTA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6342999532905433E-2"/>
          <c:y val="0.23672631870161726"/>
          <c:w val="0.67917845905044683"/>
          <c:h val="0.663501245784827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FEB'!$DS$21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0"/>
                  <c:y val="0.10444096565614992"/>
                </c:manualLayout>
              </c:layout>
              <c:spPr/>
              <c:txPr>
                <a:bodyPr rot="-5400000" vert="horz"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FEB'!$DR$22:$DR$24</c:f>
              <c:strCache>
                <c:ptCount val="3"/>
                <c:pt idx="0">
                  <c:v>Para Capital de trabajo</c:v>
                </c:pt>
                <c:pt idx="1">
                  <c:v>Para Autofinancimiento de una unidad</c:v>
                </c:pt>
                <c:pt idx="2">
                  <c:v>Ninguno</c:v>
                </c:pt>
              </c:strCache>
            </c:strRef>
          </c:cat>
          <c:val>
            <c:numRef>
              <c:f>'FORMULAS FEB'!$DS$22:$DS$24</c:f>
              <c:numCache>
                <c:formatCode>0.0%</c:formatCode>
                <c:ptCount val="3"/>
                <c:pt idx="0">
                  <c:v>5.5555555555555552E-2</c:v>
                </c:pt>
                <c:pt idx="1">
                  <c:v>5.5555555555555552E-2</c:v>
                </c:pt>
                <c:pt idx="2">
                  <c:v>0.88888888888888884</c:v>
                </c:pt>
              </c:numCache>
            </c:numRef>
          </c:val>
        </c:ser>
        <c:ser>
          <c:idx val="1"/>
          <c:order val="1"/>
          <c:tx>
            <c:strRef>
              <c:f>'FORMULAS FEB'!$DT$21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FEB'!$DR$22:$DR$24</c:f>
              <c:strCache>
                <c:ptCount val="3"/>
                <c:pt idx="0">
                  <c:v>Para Capital de trabajo</c:v>
                </c:pt>
                <c:pt idx="1">
                  <c:v>Para Autofinancimiento de una unidad</c:v>
                </c:pt>
                <c:pt idx="2">
                  <c:v>Ninguno</c:v>
                </c:pt>
              </c:strCache>
            </c:strRef>
          </c:cat>
          <c:val>
            <c:numRef>
              <c:f>'FORMULAS FEB'!$DT$22:$DT$24</c:f>
              <c:numCache>
                <c:formatCode>0.0%</c:formatCode>
                <c:ptCount val="3"/>
                <c:pt idx="0">
                  <c:v>0.55555555555555558</c:v>
                </c:pt>
                <c:pt idx="1">
                  <c:v>0</c:v>
                </c:pt>
                <c:pt idx="2">
                  <c:v>0.44444444444444442</c:v>
                </c:pt>
              </c:numCache>
            </c:numRef>
          </c:val>
        </c:ser>
        <c:ser>
          <c:idx val="2"/>
          <c:order val="2"/>
          <c:tx>
            <c:strRef>
              <c:f>'FORMULAS FEB'!$DU$21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FEB'!$DR$22:$DR$24</c:f>
              <c:strCache>
                <c:ptCount val="3"/>
                <c:pt idx="0">
                  <c:v>Para Capital de trabajo</c:v>
                </c:pt>
                <c:pt idx="1">
                  <c:v>Para Autofinancimiento de una unidad</c:v>
                </c:pt>
                <c:pt idx="2">
                  <c:v>Ninguno</c:v>
                </c:pt>
              </c:strCache>
            </c:strRef>
          </c:cat>
          <c:val>
            <c:numRef>
              <c:f>'FORMULAS FEB'!$DU$22:$DU$24</c:f>
              <c:numCache>
                <c:formatCode>0.0%</c:formatCode>
                <c:ptCount val="3"/>
                <c:pt idx="0">
                  <c:v>0.43478260869565216</c:v>
                </c:pt>
                <c:pt idx="1">
                  <c:v>0.17391304347826086</c:v>
                </c:pt>
                <c:pt idx="2">
                  <c:v>0.39130434782608697</c:v>
                </c:pt>
              </c:numCache>
            </c:numRef>
          </c:val>
        </c:ser>
        <c:ser>
          <c:idx val="3"/>
          <c:order val="3"/>
          <c:tx>
            <c:strRef>
              <c:f>'FORMULAS FEB'!$DV$21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FEB'!$DR$22:$DR$24</c:f>
              <c:strCache>
                <c:ptCount val="3"/>
                <c:pt idx="0">
                  <c:v>Para Capital de trabajo</c:v>
                </c:pt>
                <c:pt idx="1">
                  <c:v>Para Autofinancimiento de una unidad</c:v>
                </c:pt>
                <c:pt idx="2">
                  <c:v>Ninguno</c:v>
                </c:pt>
              </c:strCache>
            </c:strRef>
          </c:cat>
          <c:val>
            <c:numRef>
              <c:f>'FORMULAS FEB'!$DV$22:$DV$24</c:f>
              <c:numCache>
                <c:formatCode>0.0%</c:formatCode>
                <c:ptCount val="3"/>
                <c:pt idx="0">
                  <c:v>0.27272727272727271</c:v>
                </c:pt>
                <c:pt idx="1">
                  <c:v>0.18181818181818182</c:v>
                </c:pt>
                <c:pt idx="2">
                  <c:v>0.54545454545454541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6236672"/>
        <c:axId val="206242560"/>
        <c:axId val="0"/>
      </c:bar3DChart>
      <c:catAx>
        <c:axId val="2062366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6242560"/>
        <c:crosses val="autoZero"/>
        <c:auto val="1"/>
        <c:lblAlgn val="ctr"/>
        <c:lblOffset val="100"/>
        <c:noMultiLvlLbl val="0"/>
      </c:catAx>
      <c:valAx>
        <c:axId val="20624256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62366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MARCA DE MOTOR</a:t>
            </a:r>
          </a:p>
          <a:p>
            <a:pPr>
              <a:defRPr sz="1400"/>
            </a:pPr>
            <a:r>
              <a:rPr lang="en-US" sz="1000"/>
              <a:t>ENCUESTAS A PROPIETARIOS Y A CONDUCTORES</a:t>
            </a:r>
          </a:p>
          <a:p>
            <a:pPr>
              <a:defRPr sz="1400"/>
            </a:pPr>
            <a:r>
              <a:rPr lang="en-US" sz="800"/>
              <a:t>[% SOBRE EL TOTAL DE RESPUESTAS DE PROPIETARIOS (100% = 980)]</a:t>
            </a:r>
          </a:p>
          <a:p>
            <a:pPr>
              <a:defRPr sz="1400"/>
            </a:pPr>
            <a:r>
              <a:rPr lang="en-US" sz="800"/>
              <a:t>[% SOBRE EL TOTAL DE RESPUESTAS DE CONDUCTORES (100% = 435)]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38570163842131E-2"/>
          <c:y val="0.16638282921120792"/>
          <c:w val="0.88557732813229117"/>
          <c:h val="0.61694672254112604"/>
        </c:manualLayout>
      </c:layout>
      <c:bar3DChart>
        <c:barDir val="col"/>
        <c:grouping val="clustered"/>
        <c:varyColors val="1"/>
        <c:ser>
          <c:idx val="0"/>
          <c:order val="0"/>
          <c:tx>
            <c:strRef>
              <c:f>'FORMULAS C+P'!$AK$46</c:f>
              <c:strCache>
                <c:ptCount val="1"/>
                <c:pt idx="0">
                  <c:v>PROPIETARIOS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C+P'!$AJ$47:$AJ$59</c:f>
              <c:strCache>
                <c:ptCount val="13"/>
                <c:pt idx="0">
                  <c:v>CUMMINS</c:v>
                </c:pt>
                <c:pt idx="1">
                  <c:v>INTERNATIONAL</c:v>
                </c:pt>
                <c:pt idx="2">
                  <c:v>KENWORTH</c:v>
                </c:pt>
                <c:pt idx="3">
                  <c:v>DETROIT</c:v>
                </c:pt>
                <c:pt idx="4">
                  <c:v>FORD</c:v>
                </c:pt>
                <c:pt idx="5">
                  <c:v>FREIGHTLINER</c:v>
                </c:pt>
                <c:pt idx="6">
                  <c:v>CATERPILLAR</c:v>
                </c:pt>
                <c:pt idx="7">
                  <c:v>DINA</c:v>
                </c:pt>
                <c:pt idx="8">
                  <c:v>MERCEDES BENZ</c:v>
                </c:pt>
                <c:pt idx="9">
                  <c:v>VOLVO</c:v>
                </c:pt>
                <c:pt idx="10">
                  <c:v>PERKINS</c:v>
                </c:pt>
                <c:pt idx="11">
                  <c:v>CHEVROLET</c:v>
                </c:pt>
                <c:pt idx="12">
                  <c:v>OTRAS MARCAS</c:v>
                </c:pt>
              </c:strCache>
            </c:strRef>
          </c:cat>
          <c:val>
            <c:numRef>
              <c:f>'FORMULAS C+P'!$AK$47:$AK$59</c:f>
              <c:numCache>
                <c:formatCode>0.0%</c:formatCode>
                <c:ptCount val="13"/>
                <c:pt idx="0">
                  <c:v>0.32857142857142857</c:v>
                </c:pt>
                <c:pt idx="1">
                  <c:v>0.13877551020408163</c:v>
                </c:pt>
                <c:pt idx="2">
                  <c:v>0.13469387755102041</c:v>
                </c:pt>
                <c:pt idx="3">
                  <c:v>7.3469387755102047E-2</c:v>
                </c:pt>
                <c:pt idx="4">
                  <c:v>7.4489795918367352E-2</c:v>
                </c:pt>
                <c:pt idx="5">
                  <c:v>6.7346938775510207E-2</c:v>
                </c:pt>
                <c:pt idx="6">
                  <c:v>4.4897959183673466E-2</c:v>
                </c:pt>
                <c:pt idx="7">
                  <c:v>3.4693877551020408E-2</c:v>
                </c:pt>
                <c:pt idx="8">
                  <c:v>1.3265306122448979E-2</c:v>
                </c:pt>
                <c:pt idx="9">
                  <c:v>1.9387755102040816E-2</c:v>
                </c:pt>
                <c:pt idx="10">
                  <c:v>1.7346938775510204E-2</c:v>
                </c:pt>
                <c:pt idx="11">
                  <c:v>1.020408163265306E-2</c:v>
                </c:pt>
                <c:pt idx="12">
                  <c:v>4.2857142857142858E-2</c:v>
                </c:pt>
              </c:numCache>
            </c:numRef>
          </c:val>
        </c:ser>
        <c:ser>
          <c:idx val="1"/>
          <c:order val="1"/>
          <c:tx>
            <c:strRef>
              <c:f>'FORMULAS C+P'!$AL$46</c:f>
              <c:strCache>
                <c:ptCount val="1"/>
                <c:pt idx="0">
                  <c:v>CONDUCTORES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C+P'!$AJ$47:$AJ$59</c:f>
              <c:strCache>
                <c:ptCount val="13"/>
                <c:pt idx="0">
                  <c:v>CUMMINS</c:v>
                </c:pt>
                <c:pt idx="1">
                  <c:v>INTERNATIONAL</c:v>
                </c:pt>
                <c:pt idx="2">
                  <c:v>KENWORTH</c:v>
                </c:pt>
                <c:pt idx="3">
                  <c:v>DETROIT</c:v>
                </c:pt>
                <c:pt idx="4">
                  <c:v>FORD</c:v>
                </c:pt>
                <c:pt idx="5">
                  <c:v>FREIGHTLINER</c:v>
                </c:pt>
                <c:pt idx="6">
                  <c:v>CATERPILLAR</c:v>
                </c:pt>
                <c:pt idx="7">
                  <c:v>DINA</c:v>
                </c:pt>
                <c:pt idx="8">
                  <c:v>MERCEDES BENZ</c:v>
                </c:pt>
                <c:pt idx="9">
                  <c:v>VOLVO</c:v>
                </c:pt>
                <c:pt idx="10">
                  <c:v>PERKINS</c:v>
                </c:pt>
                <c:pt idx="11">
                  <c:v>CHEVROLET</c:v>
                </c:pt>
                <c:pt idx="12">
                  <c:v>OTRAS MARCAS</c:v>
                </c:pt>
              </c:strCache>
            </c:strRef>
          </c:cat>
          <c:val>
            <c:numRef>
              <c:f>'FORMULAS C+P'!$AL$47:$AL$59</c:f>
              <c:numCache>
                <c:formatCode>0.0%</c:formatCode>
                <c:ptCount val="13"/>
                <c:pt idx="0">
                  <c:v>0.4206896551724138</c:v>
                </c:pt>
                <c:pt idx="1">
                  <c:v>9.4252873563218389E-2</c:v>
                </c:pt>
                <c:pt idx="2">
                  <c:v>0.11724137931034483</c:v>
                </c:pt>
                <c:pt idx="3">
                  <c:v>0.11494252873563218</c:v>
                </c:pt>
                <c:pt idx="4">
                  <c:v>3.2183908045977011E-2</c:v>
                </c:pt>
                <c:pt idx="5">
                  <c:v>4.5977011494252873E-2</c:v>
                </c:pt>
                <c:pt idx="6">
                  <c:v>2.2988505747126436E-2</c:v>
                </c:pt>
                <c:pt idx="7">
                  <c:v>2.7586206896551724E-2</c:v>
                </c:pt>
                <c:pt idx="8">
                  <c:v>5.057471264367816E-2</c:v>
                </c:pt>
                <c:pt idx="9">
                  <c:v>1.1494252873563218E-2</c:v>
                </c:pt>
                <c:pt idx="10">
                  <c:v>0</c:v>
                </c:pt>
                <c:pt idx="11">
                  <c:v>1.1494252873563218E-2</c:v>
                </c:pt>
                <c:pt idx="12">
                  <c:v>5.057471264367816E-2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6298112"/>
        <c:axId val="206312192"/>
        <c:axId val="0"/>
      </c:bar3DChart>
      <c:catAx>
        <c:axId val="2062981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1" baseline="0"/>
            </a:pPr>
            <a:endParaRPr lang="es-MX"/>
          </a:p>
        </c:txPr>
        <c:crossAx val="206312192"/>
        <c:crosses val="autoZero"/>
        <c:auto val="1"/>
        <c:lblAlgn val="ctr"/>
        <c:lblOffset val="100"/>
        <c:noMultiLvlLbl val="0"/>
      </c:catAx>
      <c:valAx>
        <c:axId val="206312192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6298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120332650839788"/>
          <c:y val="0.94977824714729764"/>
          <c:w val="0.64090527585093593"/>
          <c:h val="3.634883943178091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EQUIPAMIENTO DE LAS UNIDADES</a:t>
            </a:r>
          </a:p>
          <a:p>
            <a:pPr>
              <a:defRPr sz="1400"/>
            </a:pPr>
            <a:r>
              <a:rPr lang="en-US" sz="1000"/>
              <a:t>ENCUESTAS</a:t>
            </a:r>
            <a:r>
              <a:rPr lang="en-US" sz="1000" baseline="0"/>
              <a:t> A PROPIETARIOS Y A CONDUCTORES</a:t>
            </a:r>
          </a:p>
          <a:p>
            <a:pPr>
              <a:defRPr sz="1400"/>
            </a:pPr>
            <a:r>
              <a:rPr lang="en-US" sz="800" baseline="0"/>
              <a:t>[TOTAL DE RESPUESTAS DE PROPIETARIOS = 1844]</a:t>
            </a:r>
          </a:p>
          <a:p>
            <a:pPr>
              <a:defRPr sz="1400"/>
            </a:pPr>
            <a:r>
              <a:rPr lang="en-US" sz="800" baseline="0"/>
              <a:t>[TOTAL DE RESPUESTAS DE CONDUCTORES = 1046]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C+P'!$AW$3</c:f>
              <c:strCache>
                <c:ptCount val="1"/>
                <c:pt idx="0">
                  <c:v>PROPIETARIOS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C+P'!$AU$4:$AU$10</c:f>
              <c:strCache>
                <c:ptCount val="7"/>
                <c:pt idx="0">
                  <c:v>Enfriamiento de cabina</c:v>
                </c:pt>
                <c:pt idx="1">
                  <c:v>Inflado automático de llantas</c:v>
                </c:pt>
                <c:pt idx="2">
                  <c:v>Faldones traseros</c:v>
                </c:pt>
                <c:pt idx="3">
                  <c:v>Reducción de peso muerto</c:v>
                </c:pt>
                <c:pt idx="4">
                  <c:v>GPS para rastreo</c:v>
                </c:pt>
                <c:pt idx="5">
                  <c:v>GPS para ruta</c:v>
                </c:pt>
                <c:pt idx="6">
                  <c:v>Ninguna</c:v>
                </c:pt>
              </c:strCache>
            </c:strRef>
          </c:cat>
          <c:val>
            <c:numRef>
              <c:f>'FORMULAS C+P'!$AW$4:$AW$10</c:f>
              <c:numCache>
                <c:formatCode>#,##0</c:formatCode>
                <c:ptCount val="7"/>
                <c:pt idx="0">
                  <c:v>569</c:v>
                </c:pt>
                <c:pt idx="1">
                  <c:v>86</c:v>
                </c:pt>
                <c:pt idx="2">
                  <c:v>325</c:v>
                </c:pt>
                <c:pt idx="3">
                  <c:v>81</c:v>
                </c:pt>
                <c:pt idx="4">
                  <c:v>530</c:v>
                </c:pt>
                <c:pt idx="5">
                  <c:v>157</c:v>
                </c:pt>
                <c:pt idx="6">
                  <c:v>96</c:v>
                </c:pt>
              </c:numCache>
            </c:numRef>
          </c:val>
        </c:ser>
        <c:ser>
          <c:idx val="1"/>
          <c:order val="1"/>
          <c:tx>
            <c:strRef>
              <c:f>'FORMULAS C+P'!$AX$3</c:f>
              <c:strCache>
                <c:ptCount val="1"/>
                <c:pt idx="0">
                  <c:v>CONDUCTORES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6793719474728684E-3"/>
                  <c:y val="-4.888832412679697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9.67937194747286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54869951159565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67937194747286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7422869505451171E-2"/>
                  <c:y val="2.6666666666667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9358743894945737E-2"/>
                  <c:y val="-5.33333333333334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161524633696744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C+P'!$AU$4:$AU$10</c:f>
              <c:strCache>
                <c:ptCount val="7"/>
                <c:pt idx="0">
                  <c:v>Enfriamiento de cabina</c:v>
                </c:pt>
                <c:pt idx="1">
                  <c:v>Inflado automático de llantas</c:v>
                </c:pt>
                <c:pt idx="2">
                  <c:v>Faldones traseros</c:v>
                </c:pt>
                <c:pt idx="3">
                  <c:v>Reducción de peso muerto</c:v>
                </c:pt>
                <c:pt idx="4">
                  <c:v>GPS para rastreo</c:v>
                </c:pt>
                <c:pt idx="5">
                  <c:v>GPS para ruta</c:v>
                </c:pt>
                <c:pt idx="6">
                  <c:v>Ninguna</c:v>
                </c:pt>
              </c:strCache>
            </c:strRef>
          </c:cat>
          <c:val>
            <c:numRef>
              <c:f>'FORMULAS C+P'!$AX$4:$AX$10</c:f>
              <c:numCache>
                <c:formatCode>#,##0</c:formatCode>
                <c:ptCount val="7"/>
                <c:pt idx="0">
                  <c:v>277</c:v>
                </c:pt>
                <c:pt idx="1">
                  <c:v>17</c:v>
                </c:pt>
                <c:pt idx="2">
                  <c:v>116</c:v>
                </c:pt>
                <c:pt idx="3">
                  <c:v>12</c:v>
                </c:pt>
                <c:pt idx="4">
                  <c:v>274</c:v>
                </c:pt>
                <c:pt idx="5">
                  <c:v>55</c:v>
                </c:pt>
                <c:pt idx="6">
                  <c:v>295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6330880"/>
        <c:axId val="206332672"/>
        <c:axId val="0"/>
      </c:bar3DChart>
      <c:catAx>
        <c:axId val="2063308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1" baseline="0">
                <a:latin typeface="Arial" pitchFamily="34" charset="0"/>
              </a:defRPr>
            </a:pPr>
            <a:endParaRPr lang="es-MX"/>
          </a:p>
        </c:txPr>
        <c:crossAx val="206332672"/>
        <c:crosses val="autoZero"/>
        <c:auto val="1"/>
        <c:lblAlgn val="ctr"/>
        <c:lblOffset val="100"/>
        <c:noMultiLvlLbl val="0"/>
      </c:catAx>
      <c:valAx>
        <c:axId val="206332672"/>
        <c:scaling>
          <c:orientation val="minMax"/>
        </c:scaling>
        <c:delete val="0"/>
        <c:axPos val="l"/>
        <c:majorGridlines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s-MX"/>
          </a:p>
        </c:txPr>
        <c:crossAx val="206330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755769934590343"/>
          <c:y val="0.95021228346456688"/>
          <c:w val="0.62855844580077591"/>
          <c:h val="2.977553805774279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EQUIPAMIENTO SEGÚN AÑO </a:t>
            </a:r>
            <a:r>
              <a:rPr lang="es-MX" sz="1400" i="0" u="none"/>
              <a:t>MODELO </a:t>
            </a:r>
            <a:r>
              <a:rPr lang="es-MX" sz="1400" i="1" u="sng"/>
              <a:t>DE LA UNIDAD</a:t>
            </a:r>
          </a:p>
          <a:p>
            <a:pPr>
              <a:defRPr sz="1400"/>
            </a:pPr>
            <a:r>
              <a:rPr lang="es-MX" sz="1000" i="0" u="none"/>
              <a:t>ENCUESTA A PROPIETARIOS</a:t>
            </a:r>
          </a:p>
          <a:p>
            <a:pPr>
              <a:defRPr sz="1400"/>
            </a:pPr>
            <a:r>
              <a:rPr lang="es-MX" sz="800" i="0" u="none"/>
              <a:t>[TOTAL</a:t>
            </a:r>
            <a:r>
              <a:rPr lang="es-MX" sz="800" i="0" u="none" baseline="0"/>
              <a:t> DE RESPUESTAS A EQUIPAMIENTO DE LA UNIDAD = 1844</a:t>
            </a:r>
            <a:r>
              <a:rPr lang="es-MX" sz="1400" i="0" u="none" baseline="0"/>
              <a:t>]</a:t>
            </a:r>
            <a:endParaRPr lang="es-MX" sz="1400" i="0" u="none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9725418938017371E-2"/>
          <c:y val="0.17608708844414417"/>
          <c:w val="0.92897950736927182"/>
          <c:h val="0.6595739711455507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FEB'!$DR$29</c:f>
              <c:strCache>
                <c:ptCount val="1"/>
                <c:pt idx="0">
                  <c:v>ENFRIAMIENTO DE CABINA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FEB'!$DS$28:$DY$28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FEB'!$DS$29:$DY$29</c:f>
              <c:numCache>
                <c:formatCode>General</c:formatCode>
                <c:ptCount val="7"/>
                <c:pt idx="0">
                  <c:v>39</c:v>
                </c:pt>
                <c:pt idx="1">
                  <c:v>15</c:v>
                </c:pt>
                <c:pt idx="2">
                  <c:v>46</c:v>
                </c:pt>
                <c:pt idx="3">
                  <c:v>139</c:v>
                </c:pt>
                <c:pt idx="4">
                  <c:v>91</c:v>
                </c:pt>
                <c:pt idx="5">
                  <c:v>162</c:v>
                </c:pt>
                <c:pt idx="6">
                  <c:v>77</c:v>
                </c:pt>
              </c:numCache>
            </c:numRef>
          </c:val>
        </c:ser>
        <c:ser>
          <c:idx val="1"/>
          <c:order val="1"/>
          <c:tx>
            <c:strRef>
              <c:f>'FORMULAS FEB'!$DR$30</c:f>
              <c:strCache>
                <c:ptCount val="1"/>
                <c:pt idx="0">
                  <c:v>INFLADO AUTOMÁTICO DE LLANTAS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FEB'!$DS$28:$DY$28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FEB'!$DS$30:$DY$30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  <c:pt idx="4">
                  <c:v>14</c:v>
                </c:pt>
                <c:pt idx="5">
                  <c:v>33</c:v>
                </c:pt>
                <c:pt idx="6">
                  <c:v>31</c:v>
                </c:pt>
              </c:numCache>
            </c:numRef>
          </c:val>
        </c:ser>
        <c:ser>
          <c:idx val="2"/>
          <c:order val="2"/>
          <c:tx>
            <c:strRef>
              <c:f>'FORMULAS FEB'!$DR$31</c:f>
              <c:strCache>
                <c:ptCount val="1"/>
                <c:pt idx="0">
                  <c:v>FALDONES TRASEROS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FEB'!$DS$28:$DY$28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FEB'!$DS$31:$DY$31</c:f>
              <c:numCache>
                <c:formatCode>General</c:formatCode>
                <c:ptCount val="7"/>
                <c:pt idx="0">
                  <c:v>36</c:v>
                </c:pt>
                <c:pt idx="1">
                  <c:v>9</c:v>
                </c:pt>
                <c:pt idx="2">
                  <c:v>11</c:v>
                </c:pt>
                <c:pt idx="3">
                  <c:v>51</c:v>
                </c:pt>
                <c:pt idx="4">
                  <c:v>39</c:v>
                </c:pt>
                <c:pt idx="5">
                  <c:v>91</c:v>
                </c:pt>
                <c:pt idx="6">
                  <c:v>88</c:v>
                </c:pt>
              </c:numCache>
            </c:numRef>
          </c:val>
        </c:ser>
        <c:ser>
          <c:idx val="3"/>
          <c:order val="3"/>
          <c:tx>
            <c:strRef>
              <c:f>'FORMULAS FEB'!$DR$32</c:f>
              <c:strCache>
                <c:ptCount val="1"/>
                <c:pt idx="0">
                  <c:v>REDUCCIÓN DE PESO MUERTO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FEB'!$DS$28:$DY$28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FEB'!$DS$32:$DY$32</c:f>
              <c:numCache>
                <c:formatCode>General</c:formatCode>
                <c:ptCount val="7"/>
                <c:pt idx="0">
                  <c:v>14</c:v>
                </c:pt>
                <c:pt idx="1">
                  <c:v>0</c:v>
                </c:pt>
                <c:pt idx="2">
                  <c:v>4</c:v>
                </c:pt>
                <c:pt idx="3">
                  <c:v>8</c:v>
                </c:pt>
                <c:pt idx="4">
                  <c:v>6</c:v>
                </c:pt>
                <c:pt idx="5">
                  <c:v>21</c:v>
                </c:pt>
                <c:pt idx="6">
                  <c:v>28</c:v>
                </c:pt>
              </c:numCache>
            </c:numRef>
          </c:val>
        </c:ser>
        <c:ser>
          <c:idx val="4"/>
          <c:order val="4"/>
          <c:tx>
            <c:strRef>
              <c:f>'FORMULAS FEB'!$DR$33</c:f>
              <c:strCache>
                <c:ptCount val="1"/>
                <c:pt idx="0">
                  <c:v>GPS PARA RASTREO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FEB'!$DS$28:$DY$28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FEB'!$DS$33:$DY$33</c:f>
              <c:numCache>
                <c:formatCode>General</c:formatCode>
                <c:ptCount val="7"/>
                <c:pt idx="0">
                  <c:v>71</c:v>
                </c:pt>
                <c:pt idx="1">
                  <c:v>18</c:v>
                </c:pt>
                <c:pt idx="2">
                  <c:v>35</c:v>
                </c:pt>
                <c:pt idx="3">
                  <c:v>87</c:v>
                </c:pt>
                <c:pt idx="4">
                  <c:v>60</c:v>
                </c:pt>
                <c:pt idx="5">
                  <c:v>163</c:v>
                </c:pt>
                <c:pt idx="6">
                  <c:v>96</c:v>
                </c:pt>
              </c:numCache>
            </c:numRef>
          </c:val>
        </c:ser>
        <c:ser>
          <c:idx val="5"/>
          <c:order val="5"/>
          <c:tx>
            <c:strRef>
              <c:f>'FORMULAS FEB'!$DR$34</c:f>
              <c:strCache>
                <c:ptCount val="1"/>
                <c:pt idx="0">
                  <c:v>GPS PARA RUTA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FEB'!$DS$28:$DY$28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FEB'!$DS$34:$DY$34</c:f>
              <c:numCache>
                <c:formatCode>General</c:formatCode>
                <c:ptCount val="7"/>
                <c:pt idx="0">
                  <c:v>1</c:v>
                </c:pt>
                <c:pt idx="1">
                  <c:v>6</c:v>
                </c:pt>
                <c:pt idx="2">
                  <c:v>1</c:v>
                </c:pt>
                <c:pt idx="3">
                  <c:v>23</c:v>
                </c:pt>
                <c:pt idx="4">
                  <c:v>11</c:v>
                </c:pt>
                <c:pt idx="5">
                  <c:v>48</c:v>
                </c:pt>
                <c:pt idx="6">
                  <c:v>67</c:v>
                </c:pt>
              </c:numCache>
            </c:numRef>
          </c:val>
        </c:ser>
        <c:ser>
          <c:idx val="6"/>
          <c:order val="6"/>
          <c:tx>
            <c:strRef>
              <c:f>'FORMULAS FEB'!$DR$35</c:f>
              <c:strCache>
                <c:ptCount val="1"/>
                <c:pt idx="0">
                  <c:v>NINGUNO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FEB'!$DS$28:$DY$28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FEB'!$DS$35:$DY$35</c:f>
              <c:numCache>
                <c:formatCode>General</c:formatCode>
                <c:ptCount val="7"/>
                <c:pt idx="0">
                  <c:v>22</c:v>
                </c:pt>
                <c:pt idx="1">
                  <c:v>4</c:v>
                </c:pt>
                <c:pt idx="2">
                  <c:v>22</c:v>
                </c:pt>
                <c:pt idx="3">
                  <c:v>38</c:v>
                </c:pt>
                <c:pt idx="4">
                  <c:v>7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6427264"/>
        <c:axId val="206428800"/>
        <c:axId val="0"/>
      </c:bar3DChart>
      <c:catAx>
        <c:axId val="2064272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6428800"/>
        <c:crosses val="autoZero"/>
        <c:auto val="1"/>
        <c:lblAlgn val="ctr"/>
        <c:lblOffset val="100"/>
        <c:noMultiLvlLbl val="0"/>
      </c:catAx>
      <c:valAx>
        <c:axId val="20642880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6427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5371592973955177E-2"/>
          <c:y val="0.90097718416060357"/>
          <c:w val="0.87103866343630165"/>
          <c:h val="9.6880305315048543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EQUIPAMIENTO SEGÚN TIPO DE UNIDAD</a:t>
            </a:r>
          </a:p>
          <a:p>
            <a:pPr>
              <a:defRPr sz="1400"/>
            </a:pPr>
            <a:r>
              <a:rPr lang="es-MX" sz="1200"/>
              <a:t>ENCUESTA A PROPIETARIOS</a:t>
            </a:r>
          </a:p>
          <a:p>
            <a:pPr>
              <a:defRPr sz="1400"/>
            </a:pPr>
            <a:r>
              <a:rPr lang="es-MX" sz="800"/>
              <a:t>[TOTAL DE RESPUESTAS A EQUIPAMIENTO DE LA UNIDAD = 1844</a:t>
            </a:r>
            <a:r>
              <a:rPr lang="es-MX" sz="1400"/>
              <a:t>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9683023880302343E-2"/>
          <c:y val="0.14449578537741431"/>
          <c:w val="0.91624846986103958"/>
          <c:h val="0.7084056389091809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FEB'!$DR$40</c:f>
              <c:strCache>
                <c:ptCount val="1"/>
                <c:pt idx="0">
                  <c:v>ENFRIAMIENTO DE CABINA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FEB'!$DS$39:$DV$39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FEB'!$DS$40:$DV$40</c:f>
              <c:numCache>
                <c:formatCode>General</c:formatCode>
                <c:ptCount val="4"/>
                <c:pt idx="0">
                  <c:v>83</c:v>
                </c:pt>
                <c:pt idx="1">
                  <c:v>82</c:v>
                </c:pt>
                <c:pt idx="2">
                  <c:v>38</c:v>
                </c:pt>
                <c:pt idx="3">
                  <c:v>366</c:v>
                </c:pt>
              </c:numCache>
            </c:numRef>
          </c:val>
        </c:ser>
        <c:ser>
          <c:idx val="1"/>
          <c:order val="1"/>
          <c:tx>
            <c:strRef>
              <c:f>'FORMULAS FEB'!$DR$41</c:f>
              <c:strCache>
                <c:ptCount val="1"/>
                <c:pt idx="0">
                  <c:v>INFLADO AUTOMÁTICO DE LLANTAS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FEB'!$DS$39:$DV$39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FEB'!$DS$41:$DV$41</c:f>
              <c:numCache>
                <c:formatCode>General</c:formatCode>
                <c:ptCount val="4"/>
                <c:pt idx="0">
                  <c:v>0</c:v>
                </c:pt>
                <c:pt idx="1">
                  <c:v>8</c:v>
                </c:pt>
                <c:pt idx="2">
                  <c:v>6</c:v>
                </c:pt>
                <c:pt idx="3">
                  <c:v>72</c:v>
                </c:pt>
              </c:numCache>
            </c:numRef>
          </c:val>
        </c:ser>
        <c:ser>
          <c:idx val="2"/>
          <c:order val="2"/>
          <c:tx>
            <c:strRef>
              <c:f>'FORMULAS FEB'!$DR$42</c:f>
              <c:strCache>
                <c:ptCount val="1"/>
                <c:pt idx="0">
                  <c:v>FALDONES TRASEROS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FEB'!$DS$39:$DV$39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FEB'!$DS$42:$DV$42</c:f>
              <c:numCache>
                <c:formatCode>General</c:formatCode>
                <c:ptCount val="4"/>
                <c:pt idx="0">
                  <c:v>61</c:v>
                </c:pt>
                <c:pt idx="1">
                  <c:v>55</c:v>
                </c:pt>
                <c:pt idx="2">
                  <c:v>34</c:v>
                </c:pt>
                <c:pt idx="3">
                  <c:v>175</c:v>
                </c:pt>
              </c:numCache>
            </c:numRef>
          </c:val>
        </c:ser>
        <c:ser>
          <c:idx val="3"/>
          <c:order val="3"/>
          <c:tx>
            <c:strRef>
              <c:f>'FORMULAS FEB'!$DR$43</c:f>
              <c:strCache>
                <c:ptCount val="1"/>
                <c:pt idx="0">
                  <c:v>REDUCCIÓN DE PESO MUERTO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FEB'!$DS$39:$DV$39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FEB'!$DS$43:$DV$43</c:f>
              <c:numCache>
                <c:formatCode>General</c:formatCode>
                <c:ptCount val="4"/>
                <c:pt idx="0">
                  <c:v>4</c:v>
                </c:pt>
                <c:pt idx="1">
                  <c:v>18</c:v>
                </c:pt>
                <c:pt idx="2">
                  <c:v>3</c:v>
                </c:pt>
                <c:pt idx="3">
                  <c:v>56</c:v>
                </c:pt>
              </c:numCache>
            </c:numRef>
          </c:val>
        </c:ser>
        <c:ser>
          <c:idx val="4"/>
          <c:order val="4"/>
          <c:tx>
            <c:strRef>
              <c:f>'FORMULAS FEB'!$DR$44</c:f>
              <c:strCache>
                <c:ptCount val="1"/>
                <c:pt idx="0">
                  <c:v>GPS PARA RASTREO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FEB'!$DS$39:$DV$39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FEB'!$DS$44:$DV$44</c:f>
              <c:numCache>
                <c:formatCode>General</c:formatCode>
                <c:ptCount val="4"/>
                <c:pt idx="0">
                  <c:v>95</c:v>
                </c:pt>
                <c:pt idx="1">
                  <c:v>65</c:v>
                </c:pt>
                <c:pt idx="2">
                  <c:v>41</c:v>
                </c:pt>
                <c:pt idx="3">
                  <c:v>329</c:v>
                </c:pt>
              </c:numCache>
            </c:numRef>
          </c:val>
        </c:ser>
        <c:ser>
          <c:idx val="5"/>
          <c:order val="5"/>
          <c:tx>
            <c:strRef>
              <c:f>'FORMULAS FEB'!$DR$45</c:f>
              <c:strCache>
                <c:ptCount val="1"/>
                <c:pt idx="0">
                  <c:v>GPS PARA RUTA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FEB'!$DS$39:$DV$39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FEB'!$DS$45:$DV$45</c:f>
              <c:numCache>
                <c:formatCode>General</c:formatCode>
                <c:ptCount val="4"/>
                <c:pt idx="0">
                  <c:v>25</c:v>
                </c:pt>
                <c:pt idx="1">
                  <c:v>9</c:v>
                </c:pt>
                <c:pt idx="2">
                  <c:v>8</c:v>
                </c:pt>
                <c:pt idx="3">
                  <c:v>115</c:v>
                </c:pt>
              </c:numCache>
            </c:numRef>
          </c:val>
        </c:ser>
        <c:ser>
          <c:idx val="6"/>
          <c:order val="6"/>
          <c:tx>
            <c:strRef>
              <c:f>'FORMULAS FEB'!$DR$46</c:f>
              <c:strCache>
                <c:ptCount val="1"/>
                <c:pt idx="0">
                  <c:v>NINGUNO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FEB'!$DS$39:$DV$39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FEB'!$DS$46:$DV$46</c:f>
              <c:numCache>
                <c:formatCode>General</c:formatCode>
                <c:ptCount val="4"/>
                <c:pt idx="0">
                  <c:v>29</c:v>
                </c:pt>
                <c:pt idx="1">
                  <c:v>38</c:v>
                </c:pt>
                <c:pt idx="2">
                  <c:v>0</c:v>
                </c:pt>
                <c:pt idx="3">
                  <c:v>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4856320"/>
        <c:axId val="204866304"/>
        <c:axId val="0"/>
      </c:bar3DChart>
      <c:catAx>
        <c:axId val="2048563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866304"/>
        <c:crosses val="autoZero"/>
        <c:auto val="1"/>
        <c:lblAlgn val="ctr"/>
        <c:lblOffset val="100"/>
        <c:noMultiLvlLbl val="0"/>
      </c:catAx>
      <c:valAx>
        <c:axId val="2048663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856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7681729684509328E-2"/>
          <c:y val="0.91468881812153113"/>
          <c:w val="0.92902051039153355"/>
          <c:h val="8.4383131747351472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OTRAS MEDIDAS PARA REDUCIR EL CONSUMO DE COMBUSTIBLE</a:t>
            </a:r>
          </a:p>
          <a:p>
            <a:pPr>
              <a:defRPr sz="1400"/>
            </a:pPr>
            <a:r>
              <a:rPr lang="es-MX" sz="1000"/>
              <a:t>ENCUESTA</a:t>
            </a:r>
            <a:r>
              <a:rPr lang="es-MX" sz="1000" baseline="0"/>
              <a:t> A PROPIETARIOS Y A CONDUCTORES</a:t>
            </a:r>
          </a:p>
          <a:p>
            <a:pPr>
              <a:defRPr sz="1400"/>
            </a:pPr>
            <a:r>
              <a:rPr lang="es-MX" sz="800" baseline="0"/>
              <a:t>[TOTAL DE RESPUESTAS DE PROPIETARIOS = 1328]</a:t>
            </a:r>
          </a:p>
          <a:p>
            <a:pPr>
              <a:defRPr sz="1400"/>
            </a:pPr>
            <a:r>
              <a:rPr lang="es-MX" sz="800" baseline="0"/>
              <a:t>[TOTAL DE RESPUESTAS DE CONDUCTORES = 484]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'FORMULAS C+P'!$AW$21</c:f>
              <c:strCache>
                <c:ptCount val="1"/>
                <c:pt idx="0">
                  <c:v>PROPIETARIOS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C+P'!$AU$22:$AU$24</c:f>
              <c:strCache>
                <c:ptCount val="3"/>
                <c:pt idx="0">
                  <c:v>Usa lubricante de baja fricción</c:v>
                </c:pt>
                <c:pt idx="1">
                  <c:v>Usa conducción eficiente</c:v>
                </c:pt>
                <c:pt idx="2">
                  <c:v>Ninguna</c:v>
                </c:pt>
              </c:strCache>
            </c:strRef>
          </c:cat>
          <c:val>
            <c:numRef>
              <c:f>'FORMULAS C+P'!$AW$22:$AW$24</c:f>
              <c:numCache>
                <c:formatCode>#,##0</c:formatCode>
                <c:ptCount val="3"/>
                <c:pt idx="0">
                  <c:v>418</c:v>
                </c:pt>
                <c:pt idx="1">
                  <c:v>330</c:v>
                </c:pt>
                <c:pt idx="2">
                  <c:v>96</c:v>
                </c:pt>
              </c:numCache>
            </c:numRef>
          </c:val>
        </c:ser>
        <c:ser>
          <c:idx val="2"/>
          <c:order val="1"/>
          <c:tx>
            <c:strRef>
              <c:f>'FORMULAS C+P'!$AX$21</c:f>
              <c:strCache>
                <c:ptCount val="1"/>
                <c:pt idx="0">
                  <c:v>CONDUCTORES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C+P'!$AU$22:$AU$24</c:f>
              <c:strCache>
                <c:ptCount val="3"/>
                <c:pt idx="0">
                  <c:v>Usa lubricante de baja fricción</c:v>
                </c:pt>
                <c:pt idx="1">
                  <c:v>Usa conducción eficiente</c:v>
                </c:pt>
                <c:pt idx="2">
                  <c:v>Ninguna</c:v>
                </c:pt>
              </c:strCache>
            </c:strRef>
          </c:cat>
          <c:val>
            <c:numRef>
              <c:f>'FORMULAS C+P'!$AX$22:$AX$24</c:f>
              <c:numCache>
                <c:formatCode>#,##0</c:formatCode>
                <c:ptCount val="3"/>
                <c:pt idx="0">
                  <c:v>73</c:v>
                </c:pt>
                <c:pt idx="1">
                  <c:v>116</c:v>
                </c:pt>
                <c:pt idx="2">
                  <c:v>295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4900992"/>
        <c:axId val="204910976"/>
        <c:axId val="0"/>
      </c:bar3DChart>
      <c:catAx>
        <c:axId val="2049009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910976"/>
        <c:crosses val="autoZero"/>
        <c:auto val="1"/>
        <c:lblAlgn val="ctr"/>
        <c:lblOffset val="100"/>
        <c:noMultiLvlLbl val="0"/>
      </c:catAx>
      <c:valAx>
        <c:axId val="204910976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49009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MANTENIMIENTO DE LAS UNIDADES SEGÚN AÑO MODELO DEL MOTOR. </a:t>
            </a:r>
          </a:p>
          <a:p>
            <a:pPr>
              <a:defRPr sz="1400"/>
            </a:pPr>
            <a:r>
              <a:rPr lang="es-MX" sz="1200"/>
              <a:t>FRECUENCIA DE CAMBIO DE ACEITE 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805021542118588E-2"/>
          <c:y val="0.2131167429062524"/>
          <c:w val="0.77853477937899274"/>
          <c:h val="0.687993701016448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FEB'!$EE$3</c:f>
              <c:strCache>
                <c:ptCount val="1"/>
                <c:pt idx="0">
                  <c:v>Anterior a 1991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FEB'!$ED$4:$ED$10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FEB'!$EE$4:$EE$10</c:f>
              <c:numCache>
                <c:formatCode>0.0%</c:formatCode>
                <c:ptCount val="7"/>
                <c:pt idx="0">
                  <c:v>0.14423076923076922</c:v>
                </c:pt>
                <c:pt idx="1">
                  <c:v>0.42307692307692307</c:v>
                </c:pt>
                <c:pt idx="2">
                  <c:v>0.13461538461538461</c:v>
                </c:pt>
                <c:pt idx="3">
                  <c:v>0.16346153846153846</c:v>
                </c:pt>
                <c:pt idx="4">
                  <c:v>9.6153846153846159E-2</c:v>
                </c:pt>
                <c:pt idx="5">
                  <c:v>2.8846153846153848E-2</c:v>
                </c:pt>
                <c:pt idx="6">
                  <c:v>9.6153846153846159E-3</c:v>
                </c:pt>
              </c:numCache>
            </c:numRef>
          </c:val>
        </c:ser>
        <c:ser>
          <c:idx val="1"/>
          <c:order val="1"/>
          <c:tx>
            <c:strRef>
              <c:f>'FORMULAS FEB'!$EF$3</c:f>
              <c:strCache>
                <c:ptCount val="1"/>
                <c:pt idx="0">
                  <c:v>1991 a 1993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FEB'!$ED$4:$ED$10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FEB'!$EF$4:$EF$10</c:f>
              <c:numCache>
                <c:formatCode>0.0%</c:formatCode>
                <c:ptCount val="7"/>
                <c:pt idx="0">
                  <c:v>0.2</c:v>
                </c:pt>
                <c:pt idx="1">
                  <c:v>0.2</c:v>
                </c:pt>
                <c:pt idx="2">
                  <c:v>0.24</c:v>
                </c:pt>
                <c:pt idx="3">
                  <c:v>0.1</c:v>
                </c:pt>
                <c:pt idx="4">
                  <c:v>0.04</c:v>
                </c:pt>
                <c:pt idx="5">
                  <c:v>0.02</c:v>
                </c:pt>
                <c:pt idx="6">
                  <c:v>0.2</c:v>
                </c:pt>
              </c:numCache>
            </c:numRef>
          </c:val>
        </c:ser>
        <c:ser>
          <c:idx val="2"/>
          <c:order val="2"/>
          <c:tx>
            <c:strRef>
              <c:f>'FORMULAS FEB'!$EG$3</c:f>
              <c:strCache>
                <c:ptCount val="1"/>
                <c:pt idx="0">
                  <c:v>1994 a 1997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FEB'!$ED$4:$ED$10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FEB'!$EG$4:$EG$10</c:f>
              <c:numCache>
                <c:formatCode>0.0%</c:formatCode>
                <c:ptCount val="7"/>
                <c:pt idx="0">
                  <c:v>0.11009174311926606</c:v>
                </c:pt>
                <c:pt idx="1">
                  <c:v>0.21100917431192662</c:v>
                </c:pt>
                <c:pt idx="2">
                  <c:v>0.33027522935779818</c:v>
                </c:pt>
                <c:pt idx="3">
                  <c:v>0.1834862385321101</c:v>
                </c:pt>
                <c:pt idx="4">
                  <c:v>0.11009174311926606</c:v>
                </c:pt>
                <c:pt idx="5">
                  <c:v>3.669724770642202E-2</c:v>
                </c:pt>
                <c:pt idx="6">
                  <c:v>1.834862385321101E-2</c:v>
                </c:pt>
              </c:numCache>
            </c:numRef>
          </c:val>
        </c:ser>
        <c:ser>
          <c:idx val="3"/>
          <c:order val="3"/>
          <c:tx>
            <c:strRef>
              <c:f>'FORMULAS FEB'!$EH$3</c:f>
              <c:strCache>
                <c:ptCount val="1"/>
                <c:pt idx="0">
                  <c:v>1998 a 2003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FEB'!$ED$4:$ED$10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FEB'!$EH$4:$EH$10</c:f>
              <c:numCache>
                <c:formatCode>0.0%</c:formatCode>
                <c:ptCount val="7"/>
                <c:pt idx="0">
                  <c:v>7.7551020408163265E-2</c:v>
                </c:pt>
                <c:pt idx="1">
                  <c:v>0.22448979591836735</c:v>
                </c:pt>
                <c:pt idx="2">
                  <c:v>0.28979591836734692</c:v>
                </c:pt>
                <c:pt idx="3">
                  <c:v>0.24489795918367346</c:v>
                </c:pt>
                <c:pt idx="4">
                  <c:v>0.12653061224489795</c:v>
                </c:pt>
                <c:pt idx="5">
                  <c:v>8.1632653061224497E-3</c:v>
                </c:pt>
                <c:pt idx="6">
                  <c:v>2.8571428571428571E-2</c:v>
                </c:pt>
              </c:numCache>
            </c:numRef>
          </c:val>
        </c:ser>
        <c:ser>
          <c:idx val="4"/>
          <c:order val="4"/>
          <c:tx>
            <c:strRef>
              <c:f>'FORMULAS FEB'!$EI$3</c:f>
              <c:strCache>
                <c:ptCount val="1"/>
                <c:pt idx="0">
                  <c:v>2004 a 2006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FEB'!$ED$4:$ED$10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FEB'!$EI$4:$EI$10</c:f>
              <c:numCache>
                <c:formatCode>0.0%</c:formatCode>
                <c:ptCount val="7"/>
                <c:pt idx="0">
                  <c:v>0.11486486486486487</c:v>
                </c:pt>
                <c:pt idx="1">
                  <c:v>0.27702702702702703</c:v>
                </c:pt>
                <c:pt idx="2">
                  <c:v>0.32432432432432434</c:v>
                </c:pt>
                <c:pt idx="3">
                  <c:v>0.20945945945945946</c:v>
                </c:pt>
                <c:pt idx="4">
                  <c:v>6.7567567567567571E-2</c:v>
                </c:pt>
                <c:pt idx="5">
                  <c:v>6.7567567567567571E-3</c:v>
                </c:pt>
                <c:pt idx="6">
                  <c:v>0</c:v>
                </c:pt>
              </c:numCache>
            </c:numRef>
          </c:val>
        </c:ser>
        <c:ser>
          <c:idx val="5"/>
          <c:order val="5"/>
          <c:tx>
            <c:strRef>
              <c:f>'FORMULAS FEB'!$EJ$3</c:f>
              <c:strCache>
                <c:ptCount val="1"/>
                <c:pt idx="0">
                  <c:v>2007 a 2010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FEB'!$ED$4:$ED$10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FEB'!$EJ$4:$EJ$10</c:f>
              <c:numCache>
                <c:formatCode>0.0%</c:formatCode>
                <c:ptCount val="7"/>
                <c:pt idx="0">
                  <c:v>0.10714285714285714</c:v>
                </c:pt>
                <c:pt idx="1">
                  <c:v>0.2857142857142857</c:v>
                </c:pt>
                <c:pt idx="2">
                  <c:v>0.35267857142857145</c:v>
                </c:pt>
                <c:pt idx="3">
                  <c:v>0.12946428571428573</c:v>
                </c:pt>
                <c:pt idx="4">
                  <c:v>5.8035714285714288E-2</c:v>
                </c:pt>
                <c:pt idx="5">
                  <c:v>4.4642857142857144E-2</c:v>
                </c:pt>
                <c:pt idx="6">
                  <c:v>2.2321428571428572E-2</c:v>
                </c:pt>
              </c:numCache>
            </c:numRef>
          </c:val>
        </c:ser>
        <c:ser>
          <c:idx val="6"/>
          <c:order val="6"/>
          <c:tx>
            <c:strRef>
              <c:f>'FORMULAS FEB'!$EK$3</c:f>
              <c:strCache>
                <c:ptCount val="1"/>
                <c:pt idx="0">
                  <c:v>2011 en adelante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FEB'!$ED$4:$ED$10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FEB'!$EK$4:$EK$10</c:f>
              <c:numCache>
                <c:formatCode>0.0%</c:formatCode>
                <c:ptCount val="7"/>
                <c:pt idx="0">
                  <c:v>0.13</c:v>
                </c:pt>
                <c:pt idx="1">
                  <c:v>0.41</c:v>
                </c:pt>
                <c:pt idx="2">
                  <c:v>0.09</c:v>
                </c:pt>
                <c:pt idx="3">
                  <c:v>0.06</c:v>
                </c:pt>
                <c:pt idx="4">
                  <c:v>0.03</c:v>
                </c:pt>
                <c:pt idx="5">
                  <c:v>0.11</c:v>
                </c:pt>
                <c:pt idx="6">
                  <c:v>0.17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5058816"/>
        <c:axId val="205060352"/>
        <c:axId val="0"/>
      </c:bar3DChart>
      <c:catAx>
        <c:axId val="2050588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060352"/>
        <c:crosses val="autoZero"/>
        <c:auto val="1"/>
        <c:lblAlgn val="ctr"/>
        <c:lblOffset val="100"/>
        <c:noMultiLvlLbl val="0"/>
      </c:catAx>
      <c:valAx>
        <c:axId val="20506035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5058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MANTENIMIENTO DE LAS UNIDADES SEGÚN AÑO MODELO DEL MOTOR. </a:t>
            </a:r>
          </a:p>
          <a:p>
            <a:pPr>
              <a:defRPr sz="1400"/>
            </a:pPr>
            <a:r>
              <a:rPr lang="es-MX" sz="1200"/>
              <a:t>FRECUENCIA DE AFINACIÓN DE MOTOR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685255913067047E-2"/>
          <c:y val="0.212967277061437"/>
          <c:w val="0.77947819347668423"/>
          <c:h val="0.7069251814931201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FEB'!$EE$15</c:f>
              <c:strCache>
                <c:ptCount val="1"/>
                <c:pt idx="0">
                  <c:v>Anterior a 1991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FEB'!$ED$16:$ED$22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FEB'!$EE$16:$EE$22</c:f>
              <c:numCache>
                <c:formatCode>0.0%</c:formatCode>
                <c:ptCount val="7"/>
                <c:pt idx="0">
                  <c:v>9.6153846153846159E-2</c:v>
                </c:pt>
                <c:pt idx="1">
                  <c:v>0.22115384615384615</c:v>
                </c:pt>
                <c:pt idx="2">
                  <c:v>0.17307692307692307</c:v>
                </c:pt>
                <c:pt idx="3">
                  <c:v>7.6923076923076927E-2</c:v>
                </c:pt>
                <c:pt idx="4">
                  <c:v>0.15384615384615385</c:v>
                </c:pt>
                <c:pt idx="5">
                  <c:v>4.807692307692308E-2</c:v>
                </c:pt>
                <c:pt idx="6">
                  <c:v>0.23076923076923078</c:v>
                </c:pt>
              </c:numCache>
            </c:numRef>
          </c:val>
        </c:ser>
        <c:ser>
          <c:idx val="1"/>
          <c:order val="1"/>
          <c:tx>
            <c:strRef>
              <c:f>'FORMULAS FEB'!$EF$15</c:f>
              <c:strCache>
                <c:ptCount val="1"/>
                <c:pt idx="0">
                  <c:v>1991 a 1993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FEB'!$ED$16:$ED$22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FEB'!$EF$16:$EF$22</c:f>
              <c:numCache>
                <c:formatCode>0.0%</c:formatCode>
                <c:ptCount val="7"/>
                <c:pt idx="0">
                  <c:v>6.25E-2</c:v>
                </c:pt>
                <c:pt idx="1">
                  <c:v>0.20833333333333334</c:v>
                </c:pt>
                <c:pt idx="2">
                  <c:v>0.125</c:v>
                </c:pt>
                <c:pt idx="3">
                  <c:v>0.125</c:v>
                </c:pt>
                <c:pt idx="4">
                  <c:v>4.1666666666666664E-2</c:v>
                </c:pt>
                <c:pt idx="5">
                  <c:v>0.14583333333333334</c:v>
                </c:pt>
                <c:pt idx="6">
                  <c:v>0.29166666666666669</c:v>
                </c:pt>
              </c:numCache>
            </c:numRef>
          </c:val>
        </c:ser>
        <c:ser>
          <c:idx val="2"/>
          <c:order val="2"/>
          <c:tx>
            <c:strRef>
              <c:f>'FORMULAS FEB'!$EG$15</c:f>
              <c:strCache>
                <c:ptCount val="1"/>
                <c:pt idx="0">
                  <c:v>1994 a 1997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FEB'!$ED$16:$ED$22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FEB'!$EG$16:$EG$22</c:f>
              <c:numCache>
                <c:formatCode>0.0%</c:formatCode>
                <c:ptCount val="7"/>
                <c:pt idx="0">
                  <c:v>9.2592592592592587E-3</c:v>
                </c:pt>
                <c:pt idx="1">
                  <c:v>7.407407407407407E-2</c:v>
                </c:pt>
                <c:pt idx="2">
                  <c:v>0.30555555555555558</c:v>
                </c:pt>
                <c:pt idx="3">
                  <c:v>0.20370370370370369</c:v>
                </c:pt>
                <c:pt idx="4">
                  <c:v>0.12037037037037036</c:v>
                </c:pt>
                <c:pt idx="5">
                  <c:v>0.12037037037037036</c:v>
                </c:pt>
                <c:pt idx="6">
                  <c:v>0.16666666666666666</c:v>
                </c:pt>
              </c:numCache>
            </c:numRef>
          </c:val>
        </c:ser>
        <c:ser>
          <c:idx val="3"/>
          <c:order val="3"/>
          <c:tx>
            <c:strRef>
              <c:f>'FORMULAS FEB'!$EH$15</c:f>
              <c:strCache>
                <c:ptCount val="1"/>
                <c:pt idx="0">
                  <c:v>1998 a 2003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FEB'!$ED$16:$ED$22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FEB'!$EH$16:$EH$22</c:f>
              <c:numCache>
                <c:formatCode>0.0%</c:formatCode>
                <c:ptCount val="7"/>
                <c:pt idx="0">
                  <c:v>1.6393442622950821E-2</c:v>
                </c:pt>
                <c:pt idx="1">
                  <c:v>8.1967213114754092E-2</c:v>
                </c:pt>
                <c:pt idx="2">
                  <c:v>0.22131147540983606</c:v>
                </c:pt>
                <c:pt idx="3">
                  <c:v>0.23360655737704919</c:v>
                </c:pt>
                <c:pt idx="4">
                  <c:v>0.1721311475409836</c:v>
                </c:pt>
                <c:pt idx="5">
                  <c:v>9.8360655737704916E-2</c:v>
                </c:pt>
                <c:pt idx="6">
                  <c:v>0.17622950819672131</c:v>
                </c:pt>
              </c:numCache>
            </c:numRef>
          </c:val>
        </c:ser>
        <c:ser>
          <c:idx val="4"/>
          <c:order val="4"/>
          <c:tx>
            <c:strRef>
              <c:f>'FORMULAS FEB'!$EI$15</c:f>
              <c:strCache>
                <c:ptCount val="1"/>
                <c:pt idx="0">
                  <c:v>2004 a 2006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FEB'!$ED$16:$ED$22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FEB'!$EI$16:$EI$22</c:f>
              <c:numCache>
                <c:formatCode>0.0%</c:formatCode>
                <c:ptCount val="7"/>
                <c:pt idx="0">
                  <c:v>9.45945945945946E-2</c:v>
                </c:pt>
                <c:pt idx="1">
                  <c:v>0.1554054054054054</c:v>
                </c:pt>
                <c:pt idx="2">
                  <c:v>0.22972972972972974</c:v>
                </c:pt>
                <c:pt idx="3">
                  <c:v>0.10810810810810811</c:v>
                </c:pt>
                <c:pt idx="4">
                  <c:v>6.7567567567567571E-2</c:v>
                </c:pt>
                <c:pt idx="5">
                  <c:v>0.14864864864864866</c:v>
                </c:pt>
                <c:pt idx="6">
                  <c:v>0.19594594594594594</c:v>
                </c:pt>
              </c:numCache>
            </c:numRef>
          </c:val>
        </c:ser>
        <c:ser>
          <c:idx val="5"/>
          <c:order val="5"/>
          <c:tx>
            <c:strRef>
              <c:f>'FORMULAS FEB'!$EJ$15</c:f>
              <c:strCache>
                <c:ptCount val="1"/>
                <c:pt idx="0">
                  <c:v>2007 a 2010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2.1238937207404704E-2"/>
                  <c:y val="7.3105157655217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FEB'!$ED$16:$ED$22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FEB'!$EJ$16:$EJ$22</c:f>
              <c:numCache>
                <c:formatCode>0.0%</c:formatCode>
                <c:ptCount val="7"/>
                <c:pt idx="0">
                  <c:v>1.3392857142857142E-2</c:v>
                </c:pt>
                <c:pt idx="1">
                  <c:v>0.20982142857142858</c:v>
                </c:pt>
                <c:pt idx="2">
                  <c:v>0.39285714285714285</c:v>
                </c:pt>
                <c:pt idx="3">
                  <c:v>0.10267857142857142</c:v>
                </c:pt>
                <c:pt idx="4">
                  <c:v>5.3571428571428568E-2</c:v>
                </c:pt>
                <c:pt idx="5">
                  <c:v>8.9285714285714288E-2</c:v>
                </c:pt>
                <c:pt idx="6">
                  <c:v>0.13839285714285715</c:v>
                </c:pt>
              </c:numCache>
            </c:numRef>
          </c:val>
        </c:ser>
        <c:ser>
          <c:idx val="6"/>
          <c:order val="6"/>
          <c:tx>
            <c:strRef>
              <c:f>'FORMULAS FEB'!$EK$15</c:f>
              <c:strCache>
                <c:ptCount val="1"/>
                <c:pt idx="0">
                  <c:v>2011 en adelante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FEB'!$ED$16:$ED$22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FEB'!$EK$16:$EK$22</c:f>
              <c:numCache>
                <c:formatCode>0.0%</c:formatCode>
                <c:ptCount val="7"/>
                <c:pt idx="0">
                  <c:v>0.03</c:v>
                </c:pt>
                <c:pt idx="1">
                  <c:v>0.26</c:v>
                </c:pt>
                <c:pt idx="2">
                  <c:v>0.14000000000000001</c:v>
                </c:pt>
                <c:pt idx="3">
                  <c:v>0.28000000000000003</c:v>
                </c:pt>
                <c:pt idx="4">
                  <c:v>0.03</c:v>
                </c:pt>
                <c:pt idx="5">
                  <c:v>0.1</c:v>
                </c:pt>
                <c:pt idx="6">
                  <c:v>0.16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6826112"/>
        <c:axId val="206930304"/>
        <c:axId val="0"/>
      </c:bar3DChart>
      <c:catAx>
        <c:axId val="2068261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6930304"/>
        <c:crosses val="autoZero"/>
        <c:auto val="1"/>
        <c:lblAlgn val="ctr"/>
        <c:lblOffset val="100"/>
        <c:noMultiLvlLbl val="0"/>
      </c:catAx>
      <c:valAx>
        <c:axId val="20693030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68261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MANTENIMIENTO DE LAS UNIDADES SEGÚN AÑO MODELO DEL MOTOR. </a:t>
            </a:r>
          </a:p>
          <a:p>
            <a:pPr>
              <a:defRPr sz="1400"/>
            </a:pPr>
            <a:r>
              <a:rPr lang="es-MX" sz="1200"/>
              <a:t>FRECUENCIA DE CAMBIO DE FRENOS</a:t>
            </a:r>
          </a:p>
          <a:p>
            <a:pPr>
              <a:defRPr sz="1400"/>
            </a:pPr>
            <a:r>
              <a:rPr lang="es-MX" sz="1000"/>
              <a:t>ENCUESTA</a:t>
            </a:r>
            <a:r>
              <a:rPr lang="es-MX" sz="1000" baseline="0"/>
              <a:t> A PROPIETARIOS</a:t>
            </a:r>
            <a:endParaRPr lang="es-MX" sz="1000"/>
          </a:p>
        </c:rich>
      </c:tx>
      <c:layout>
        <c:manualLayout>
          <c:xMode val="edge"/>
          <c:yMode val="edge"/>
          <c:x val="0.16516344200028171"/>
          <c:y val="6.4620366372036301E-3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297783302513884E-2"/>
          <c:y val="0.20688761517605064"/>
          <c:w val="0.78086338931955879"/>
          <c:h val="0.7128610132948356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FEB'!$EE$28</c:f>
              <c:strCache>
                <c:ptCount val="1"/>
                <c:pt idx="0">
                  <c:v>Anterior a 1991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FEB'!$ED$29:$ED$35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FEB'!$EE$29:$EE$35</c:f>
              <c:numCache>
                <c:formatCode>0.0%</c:formatCode>
                <c:ptCount val="7"/>
                <c:pt idx="0">
                  <c:v>0.15384615384615385</c:v>
                </c:pt>
                <c:pt idx="1">
                  <c:v>5.7692307692307696E-2</c:v>
                </c:pt>
                <c:pt idx="2">
                  <c:v>7.6923076923076927E-2</c:v>
                </c:pt>
                <c:pt idx="3">
                  <c:v>3.8461538461538464E-2</c:v>
                </c:pt>
                <c:pt idx="4">
                  <c:v>0.17307692307692307</c:v>
                </c:pt>
                <c:pt idx="5">
                  <c:v>3.8461538461538464E-2</c:v>
                </c:pt>
                <c:pt idx="6">
                  <c:v>0.46153846153846156</c:v>
                </c:pt>
              </c:numCache>
            </c:numRef>
          </c:val>
        </c:ser>
        <c:ser>
          <c:idx val="1"/>
          <c:order val="1"/>
          <c:tx>
            <c:strRef>
              <c:f>'FORMULAS FEB'!$EF$28</c:f>
              <c:strCache>
                <c:ptCount val="1"/>
                <c:pt idx="0">
                  <c:v>1991 a 1993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FEB'!$ED$29:$ED$35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FEB'!$EF$29:$EF$35</c:f>
              <c:numCache>
                <c:formatCode>0.0%</c:formatCode>
                <c:ptCount val="7"/>
                <c:pt idx="0">
                  <c:v>0.1276595744680851</c:v>
                </c:pt>
                <c:pt idx="1">
                  <c:v>6.3829787234042548E-2</c:v>
                </c:pt>
                <c:pt idx="2">
                  <c:v>0.10638297872340426</c:v>
                </c:pt>
                <c:pt idx="3">
                  <c:v>2.1276595744680851E-2</c:v>
                </c:pt>
                <c:pt idx="4">
                  <c:v>0.1276595744680851</c:v>
                </c:pt>
                <c:pt idx="5">
                  <c:v>8.5106382978723402E-2</c:v>
                </c:pt>
                <c:pt idx="6">
                  <c:v>0.46808510638297873</c:v>
                </c:pt>
              </c:numCache>
            </c:numRef>
          </c:val>
        </c:ser>
        <c:ser>
          <c:idx val="2"/>
          <c:order val="2"/>
          <c:tx>
            <c:strRef>
              <c:f>'FORMULAS FEB'!$EG$28</c:f>
              <c:strCache>
                <c:ptCount val="1"/>
                <c:pt idx="0">
                  <c:v>1994 a 1997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FEB'!$ED$29:$ED$35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FEB'!$EG$29:$EG$35</c:f>
              <c:numCache>
                <c:formatCode>0.0%</c:formatCode>
                <c:ptCount val="7"/>
                <c:pt idx="0">
                  <c:v>5.7142857142857141E-2</c:v>
                </c:pt>
                <c:pt idx="1">
                  <c:v>6.6666666666666666E-2</c:v>
                </c:pt>
                <c:pt idx="2">
                  <c:v>0.14285714285714285</c:v>
                </c:pt>
                <c:pt idx="3">
                  <c:v>0.10476190476190476</c:v>
                </c:pt>
                <c:pt idx="4">
                  <c:v>9.5238095238095233E-2</c:v>
                </c:pt>
                <c:pt idx="5">
                  <c:v>7.6190476190476197E-2</c:v>
                </c:pt>
                <c:pt idx="6">
                  <c:v>0.45714285714285713</c:v>
                </c:pt>
              </c:numCache>
            </c:numRef>
          </c:val>
        </c:ser>
        <c:ser>
          <c:idx val="3"/>
          <c:order val="3"/>
          <c:tx>
            <c:strRef>
              <c:f>'FORMULAS FEB'!$EH$28</c:f>
              <c:strCache>
                <c:ptCount val="1"/>
                <c:pt idx="0">
                  <c:v>1998 a 2003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FEB'!$ED$29:$ED$35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FEB'!$EH$29:$EH$35</c:f>
              <c:numCache>
                <c:formatCode>0.0%</c:formatCode>
                <c:ptCount val="7"/>
                <c:pt idx="0">
                  <c:v>5.3497942386831275E-2</c:v>
                </c:pt>
                <c:pt idx="1">
                  <c:v>7.8189300411522639E-2</c:v>
                </c:pt>
                <c:pt idx="2">
                  <c:v>7.407407407407407E-2</c:v>
                </c:pt>
                <c:pt idx="3">
                  <c:v>3.7037037037037035E-2</c:v>
                </c:pt>
                <c:pt idx="4">
                  <c:v>0.1111111111111111</c:v>
                </c:pt>
                <c:pt idx="5">
                  <c:v>8.2304526748971193E-2</c:v>
                </c:pt>
                <c:pt idx="6">
                  <c:v>0.56378600823045266</c:v>
                </c:pt>
              </c:numCache>
            </c:numRef>
          </c:val>
        </c:ser>
        <c:ser>
          <c:idx val="4"/>
          <c:order val="4"/>
          <c:tx>
            <c:strRef>
              <c:f>'FORMULAS FEB'!$EI$28</c:f>
              <c:strCache>
                <c:ptCount val="1"/>
                <c:pt idx="0">
                  <c:v>2004 a 2006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FEB'!$ED$29:$ED$35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FEB'!$EI$29:$EI$35</c:f>
              <c:numCache>
                <c:formatCode>0.0%</c:formatCode>
                <c:ptCount val="7"/>
                <c:pt idx="0">
                  <c:v>0.1095890410958904</c:v>
                </c:pt>
                <c:pt idx="1">
                  <c:v>0.1095890410958904</c:v>
                </c:pt>
                <c:pt idx="2">
                  <c:v>5.4794520547945202E-2</c:v>
                </c:pt>
                <c:pt idx="3">
                  <c:v>2.0547945205479451E-2</c:v>
                </c:pt>
                <c:pt idx="4">
                  <c:v>6.1643835616438353E-2</c:v>
                </c:pt>
                <c:pt idx="5">
                  <c:v>3.4246575342465752E-2</c:v>
                </c:pt>
                <c:pt idx="6">
                  <c:v>0.6095890410958904</c:v>
                </c:pt>
              </c:numCache>
            </c:numRef>
          </c:val>
        </c:ser>
        <c:ser>
          <c:idx val="5"/>
          <c:order val="5"/>
          <c:tx>
            <c:strRef>
              <c:f>'FORMULAS FEB'!$EJ$28</c:f>
              <c:strCache>
                <c:ptCount val="1"/>
                <c:pt idx="0">
                  <c:v>2007 a 2010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FEB'!$ED$29:$ED$35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FEB'!$EJ$29:$EJ$35</c:f>
              <c:numCache>
                <c:formatCode>0.0%</c:formatCode>
                <c:ptCount val="7"/>
                <c:pt idx="0">
                  <c:v>6.6964285714285712E-2</c:v>
                </c:pt>
                <c:pt idx="1">
                  <c:v>0.1875</c:v>
                </c:pt>
                <c:pt idx="2">
                  <c:v>3.125E-2</c:v>
                </c:pt>
                <c:pt idx="3">
                  <c:v>1.3392857142857142E-2</c:v>
                </c:pt>
                <c:pt idx="4">
                  <c:v>3.125E-2</c:v>
                </c:pt>
                <c:pt idx="5">
                  <c:v>2.2321428571428572E-2</c:v>
                </c:pt>
                <c:pt idx="6">
                  <c:v>0.6473214285714286</c:v>
                </c:pt>
              </c:numCache>
            </c:numRef>
          </c:val>
        </c:ser>
        <c:ser>
          <c:idx val="6"/>
          <c:order val="6"/>
          <c:tx>
            <c:strRef>
              <c:f>'FORMULAS FEB'!$EK$28</c:f>
              <c:strCache>
                <c:ptCount val="1"/>
                <c:pt idx="0">
                  <c:v>2011 en adelante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FEB'!$ED$29:$ED$35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FEB'!$EK$29:$EK$35</c:f>
              <c:numCache>
                <c:formatCode>0.0%</c:formatCode>
                <c:ptCount val="7"/>
                <c:pt idx="0">
                  <c:v>7.0000000000000007E-2</c:v>
                </c:pt>
                <c:pt idx="1">
                  <c:v>0.22</c:v>
                </c:pt>
                <c:pt idx="2">
                  <c:v>0</c:v>
                </c:pt>
                <c:pt idx="3">
                  <c:v>0</c:v>
                </c:pt>
                <c:pt idx="4">
                  <c:v>0.14000000000000001</c:v>
                </c:pt>
                <c:pt idx="5">
                  <c:v>0.13</c:v>
                </c:pt>
                <c:pt idx="6">
                  <c:v>0.44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6615296"/>
        <c:axId val="206616832"/>
        <c:axId val="0"/>
      </c:bar3DChart>
      <c:catAx>
        <c:axId val="2066152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6616832"/>
        <c:crosses val="autoZero"/>
        <c:auto val="1"/>
        <c:lblAlgn val="ctr"/>
        <c:lblOffset val="100"/>
        <c:noMultiLvlLbl val="0"/>
      </c:catAx>
      <c:valAx>
        <c:axId val="20661683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66152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SUGERENCIAS PARA MEJORA DEL PROGRAMA DE CHATARRIZACIÓN</a:t>
            </a:r>
          </a:p>
          <a:p>
            <a:pPr>
              <a:defRPr sz="1400"/>
            </a:pPr>
            <a:r>
              <a:rPr lang="en-US" sz="1200"/>
              <a:t>ENCUESTA A PROPIETARIOS</a:t>
            </a:r>
          </a:p>
          <a:p>
            <a:pPr>
              <a:defRPr sz="1400"/>
            </a:pPr>
            <a:r>
              <a:rPr lang="en-US" sz="800"/>
              <a:t>[PORCENTAJE</a:t>
            </a:r>
            <a:r>
              <a:rPr lang="en-US" sz="800" baseline="0"/>
              <a:t> SOBRE EL TOTAL DE RESPUESTAS OBTENIDAS (100% = 188)]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502981304043823"/>
          <c:y val="0.11788181649707534"/>
          <c:w val="0.81273391026924868"/>
          <c:h val="0.70505893659844643"/>
        </c:manualLayout>
      </c:layout>
      <c:bar3DChart>
        <c:barDir val="col"/>
        <c:grouping val="clustered"/>
        <c:varyColors val="1"/>
        <c:ser>
          <c:idx val="1"/>
          <c:order val="0"/>
          <c:tx>
            <c:strRef>
              <c:f>FORMULAS!$AH$38</c:f>
              <c:strCache>
                <c:ptCount val="1"/>
                <c:pt idx="0">
                  <c:v>SUGERENCIAS PARA MEJORA DEL PROGRAMA DE CHATARRIZACIÓN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1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FORMULAS!$AH$39:$AH$43</c:f>
              <c:strCache>
                <c:ptCount val="5"/>
                <c:pt idx="0">
                  <c:v>QUE SEA EN EFECTIVO</c:v>
                </c:pt>
                <c:pt idx="1">
                  <c:v>QUE SEA HONESTO Y PRACTICO</c:v>
                </c:pt>
                <c:pt idx="2">
                  <c:v>MÁS Y MEJORES CREDITOS</c:v>
                </c:pt>
                <c:pt idx="3">
                  <c:v>DARLO A CONOCER</c:v>
                </c:pt>
                <c:pt idx="4">
                  <c:v>MEJORAR CONDICIONES</c:v>
                </c:pt>
              </c:strCache>
            </c:strRef>
          </c:cat>
          <c:val>
            <c:numRef>
              <c:f>FORMULAS!$AI$39:$AI$43</c:f>
              <c:numCache>
                <c:formatCode>0.0%</c:formatCode>
                <c:ptCount val="5"/>
                <c:pt idx="0">
                  <c:v>2.6595744680851064E-2</c:v>
                </c:pt>
                <c:pt idx="1">
                  <c:v>3.7234042553191488E-2</c:v>
                </c:pt>
                <c:pt idx="2">
                  <c:v>0.1276595744680851</c:v>
                </c:pt>
                <c:pt idx="3">
                  <c:v>0.31914893617021278</c:v>
                </c:pt>
                <c:pt idx="4">
                  <c:v>0.48936170212765956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0825216"/>
        <c:axId val="170826752"/>
        <c:axId val="0"/>
      </c:bar3DChart>
      <c:catAx>
        <c:axId val="170825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 b="1" i="0" baseline="0"/>
            </a:pPr>
            <a:endParaRPr lang="es-MX"/>
          </a:p>
        </c:txPr>
        <c:crossAx val="170826752"/>
        <c:crosses val="autoZero"/>
        <c:auto val="1"/>
        <c:lblAlgn val="ctr"/>
        <c:lblOffset val="100"/>
        <c:noMultiLvlLbl val="0"/>
      </c:catAx>
      <c:valAx>
        <c:axId val="1708267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7082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MANTENIMIENTO DE LAS UNIDADES SEGÚN AÑO MODELO DEL MOTOR. </a:t>
            </a:r>
          </a:p>
          <a:p>
            <a:pPr>
              <a:defRPr sz="1400"/>
            </a:pPr>
            <a:r>
              <a:rPr lang="es-MX" sz="1200"/>
              <a:t>FRECUENCIA DE CAMBIO DE LLANTAS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452195517737014E-2"/>
          <c:y val="0.19827149906987421"/>
          <c:w val="0.78031137311818"/>
          <c:h val="0.721477156623433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FEB'!$EE$41</c:f>
              <c:strCache>
                <c:ptCount val="1"/>
                <c:pt idx="0">
                  <c:v>Anterior a 1991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FEB'!$ED$42:$ED$48</c:f>
              <c:strCache>
                <c:ptCount val="7"/>
                <c:pt idx="0">
                  <c:v>&lt;50,000 KM</c:v>
                </c:pt>
                <c:pt idx="1">
                  <c:v>ENTRE 50,001 Y 75,000 KM</c:v>
                </c:pt>
                <c:pt idx="2">
                  <c:v>ENTRE 75,001 Y 100,000 KM</c:v>
                </c:pt>
                <c:pt idx="3">
                  <c:v>ENTRE 100,001 Y 115,000 KM</c:v>
                </c:pt>
                <c:pt idx="4">
                  <c:v>ENTRE 115,001 Y 125,000 KM</c:v>
                </c:pt>
                <c:pt idx="5">
                  <c:v>ENTRE 125,001 Y 150,000 KM</c:v>
                </c:pt>
                <c:pt idx="6">
                  <c:v>&gt; 150,000 KM</c:v>
                </c:pt>
              </c:strCache>
            </c:strRef>
          </c:cat>
          <c:val>
            <c:numRef>
              <c:f>'FORMULAS FEB'!$EE$42:$EE$48</c:f>
              <c:numCache>
                <c:formatCode>0.0%</c:formatCode>
                <c:ptCount val="7"/>
                <c:pt idx="0">
                  <c:v>7.6923076923076927E-2</c:v>
                </c:pt>
                <c:pt idx="1">
                  <c:v>0.23076923076923078</c:v>
                </c:pt>
                <c:pt idx="2">
                  <c:v>0.16346153846153846</c:v>
                </c:pt>
                <c:pt idx="3">
                  <c:v>3.8461538461538464E-2</c:v>
                </c:pt>
                <c:pt idx="4">
                  <c:v>0.25961538461538464</c:v>
                </c:pt>
                <c:pt idx="5">
                  <c:v>0.16346153846153846</c:v>
                </c:pt>
                <c:pt idx="6">
                  <c:v>6.7307692307692304E-2</c:v>
                </c:pt>
              </c:numCache>
            </c:numRef>
          </c:val>
        </c:ser>
        <c:ser>
          <c:idx val="1"/>
          <c:order val="1"/>
          <c:tx>
            <c:strRef>
              <c:f>'FORMULAS FEB'!$EF$41</c:f>
              <c:strCache>
                <c:ptCount val="1"/>
                <c:pt idx="0">
                  <c:v>1991 a 1993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FEB'!$ED$42:$ED$48</c:f>
              <c:strCache>
                <c:ptCount val="7"/>
                <c:pt idx="0">
                  <c:v>&lt;50,000 KM</c:v>
                </c:pt>
                <c:pt idx="1">
                  <c:v>ENTRE 50,001 Y 75,000 KM</c:v>
                </c:pt>
                <c:pt idx="2">
                  <c:v>ENTRE 75,001 Y 100,000 KM</c:v>
                </c:pt>
                <c:pt idx="3">
                  <c:v>ENTRE 100,001 Y 115,000 KM</c:v>
                </c:pt>
                <c:pt idx="4">
                  <c:v>ENTRE 115,001 Y 125,000 KM</c:v>
                </c:pt>
                <c:pt idx="5">
                  <c:v>ENTRE 125,001 Y 150,000 KM</c:v>
                </c:pt>
                <c:pt idx="6">
                  <c:v>&gt; 150,000 KM</c:v>
                </c:pt>
              </c:strCache>
            </c:strRef>
          </c:cat>
          <c:val>
            <c:numRef>
              <c:f>'FORMULAS FEB'!$EF$42:$EF$48</c:f>
              <c:numCache>
                <c:formatCode>0.0%</c:formatCode>
                <c:ptCount val="7"/>
                <c:pt idx="0">
                  <c:v>0.125</c:v>
                </c:pt>
                <c:pt idx="1">
                  <c:v>4.1666666666666664E-2</c:v>
                </c:pt>
                <c:pt idx="2">
                  <c:v>0.16666666666666666</c:v>
                </c:pt>
                <c:pt idx="3">
                  <c:v>0</c:v>
                </c:pt>
                <c:pt idx="4">
                  <c:v>0.41666666666666669</c:v>
                </c:pt>
                <c:pt idx="5">
                  <c:v>0.20833333333333334</c:v>
                </c:pt>
                <c:pt idx="6">
                  <c:v>4.1666666666666664E-2</c:v>
                </c:pt>
              </c:numCache>
            </c:numRef>
          </c:val>
        </c:ser>
        <c:ser>
          <c:idx val="2"/>
          <c:order val="2"/>
          <c:tx>
            <c:strRef>
              <c:f>'FORMULAS FEB'!$EG$41</c:f>
              <c:strCache>
                <c:ptCount val="1"/>
                <c:pt idx="0">
                  <c:v>1994 a 1997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FEB'!$ED$42:$ED$48</c:f>
              <c:strCache>
                <c:ptCount val="7"/>
                <c:pt idx="0">
                  <c:v>&lt;50,000 KM</c:v>
                </c:pt>
                <c:pt idx="1">
                  <c:v>ENTRE 50,001 Y 75,000 KM</c:v>
                </c:pt>
                <c:pt idx="2">
                  <c:v>ENTRE 75,001 Y 100,000 KM</c:v>
                </c:pt>
                <c:pt idx="3">
                  <c:v>ENTRE 100,001 Y 115,000 KM</c:v>
                </c:pt>
                <c:pt idx="4">
                  <c:v>ENTRE 115,001 Y 125,000 KM</c:v>
                </c:pt>
                <c:pt idx="5">
                  <c:v>ENTRE 125,001 Y 150,000 KM</c:v>
                </c:pt>
                <c:pt idx="6">
                  <c:v>&gt; 150,000 KM</c:v>
                </c:pt>
              </c:strCache>
            </c:strRef>
          </c:cat>
          <c:val>
            <c:numRef>
              <c:f>'FORMULAS FEB'!$EG$42:$EG$48</c:f>
              <c:numCache>
                <c:formatCode>0.0%</c:formatCode>
                <c:ptCount val="7"/>
                <c:pt idx="0">
                  <c:v>7.6190476190476197E-2</c:v>
                </c:pt>
                <c:pt idx="1">
                  <c:v>5.7142857142857141E-2</c:v>
                </c:pt>
                <c:pt idx="2">
                  <c:v>0.24761904761904763</c:v>
                </c:pt>
                <c:pt idx="3">
                  <c:v>2.8571428571428571E-2</c:v>
                </c:pt>
                <c:pt idx="4">
                  <c:v>0.16190476190476191</c:v>
                </c:pt>
                <c:pt idx="5">
                  <c:v>0.35238095238095241</c:v>
                </c:pt>
                <c:pt idx="6">
                  <c:v>7.6190476190476197E-2</c:v>
                </c:pt>
              </c:numCache>
            </c:numRef>
          </c:val>
        </c:ser>
        <c:ser>
          <c:idx val="3"/>
          <c:order val="3"/>
          <c:tx>
            <c:strRef>
              <c:f>'FORMULAS FEB'!$EH$41</c:f>
              <c:strCache>
                <c:ptCount val="1"/>
                <c:pt idx="0">
                  <c:v>1998 a 2003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FEB'!$ED$42:$ED$48</c:f>
              <c:strCache>
                <c:ptCount val="7"/>
                <c:pt idx="0">
                  <c:v>&lt;50,000 KM</c:v>
                </c:pt>
                <c:pt idx="1">
                  <c:v>ENTRE 50,001 Y 75,000 KM</c:v>
                </c:pt>
                <c:pt idx="2">
                  <c:v>ENTRE 75,001 Y 100,000 KM</c:v>
                </c:pt>
                <c:pt idx="3">
                  <c:v>ENTRE 100,001 Y 115,000 KM</c:v>
                </c:pt>
                <c:pt idx="4">
                  <c:v>ENTRE 115,001 Y 125,000 KM</c:v>
                </c:pt>
                <c:pt idx="5">
                  <c:v>ENTRE 125,001 Y 150,000 KM</c:v>
                </c:pt>
                <c:pt idx="6">
                  <c:v>&gt; 150,000 KM</c:v>
                </c:pt>
              </c:strCache>
            </c:strRef>
          </c:cat>
          <c:val>
            <c:numRef>
              <c:f>'FORMULAS FEB'!$EH$42:$EH$48</c:f>
              <c:numCache>
                <c:formatCode>0.0%</c:formatCode>
                <c:ptCount val="7"/>
                <c:pt idx="0">
                  <c:v>4.5081967213114756E-2</c:v>
                </c:pt>
                <c:pt idx="1">
                  <c:v>4.9180327868852458E-2</c:v>
                </c:pt>
                <c:pt idx="2">
                  <c:v>0.26229508196721313</c:v>
                </c:pt>
                <c:pt idx="3">
                  <c:v>3.2786885245901641E-2</c:v>
                </c:pt>
                <c:pt idx="4">
                  <c:v>0.27049180327868855</c:v>
                </c:pt>
                <c:pt idx="5">
                  <c:v>0.26229508196721313</c:v>
                </c:pt>
                <c:pt idx="6">
                  <c:v>7.7868852459016397E-2</c:v>
                </c:pt>
              </c:numCache>
            </c:numRef>
          </c:val>
        </c:ser>
        <c:ser>
          <c:idx val="4"/>
          <c:order val="4"/>
          <c:tx>
            <c:strRef>
              <c:f>'FORMULAS FEB'!$EI$41</c:f>
              <c:strCache>
                <c:ptCount val="1"/>
                <c:pt idx="0">
                  <c:v>2004 a 2006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FEB'!$ED$42:$ED$48</c:f>
              <c:strCache>
                <c:ptCount val="7"/>
                <c:pt idx="0">
                  <c:v>&lt;50,000 KM</c:v>
                </c:pt>
                <c:pt idx="1">
                  <c:v>ENTRE 50,001 Y 75,000 KM</c:v>
                </c:pt>
                <c:pt idx="2">
                  <c:v>ENTRE 75,001 Y 100,000 KM</c:v>
                </c:pt>
                <c:pt idx="3">
                  <c:v>ENTRE 100,001 Y 115,000 KM</c:v>
                </c:pt>
                <c:pt idx="4">
                  <c:v>ENTRE 115,001 Y 125,000 KM</c:v>
                </c:pt>
                <c:pt idx="5">
                  <c:v>ENTRE 125,001 Y 150,000 KM</c:v>
                </c:pt>
                <c:pt idx="6">
                  <c:v>&gt; 150,000 KM</c:v>
                </c:pt>
              </c:strCache>
            </c:strRef>
          </c:cat>
          <c:val>
            <c:numRef>
              <c:f>'FORMULAS FEB'!$EI$42:$EI$48</c:f>
              <c:numCache>
                <c:formatCode>0.0%</c:formatCode>
                <c:ptCount val="7"/>
                <c:pt idx="0">
                  <c:v>5.4794520547945202E-2</c:v>
                </c:pt>
                <c:pt idx="1">
                  <c:v>0.15753424657534246</c:v>
                </c:pt>
                <c:pt idx="2">
                  <c:v>0.29452054794520549</c:v>
                </c:pt>
                <c:pt idx="3">
                  <c:v>4.7945205479452052E-2</c:v>
                </c:pt>
                <c:pt idx="4">
                  <c:v>0.19863013698630136</c:v>
                </c:pt>
                <c:pt idx="5">
                  <c:v>0.17123287671232876</c:v>
                </c:pt>
                <c:pt idx="6">
                  <c:v>7.5342465753424653E-2</c:v>
                </c:pt>
              </c:numCache>
            </c:numRef>
          </c:val>
        </c:ser>
        <c:ser>
          <c:idx val="5"/>
          <c:order val="5"/>
          <c:tx>
            <c:strRef>
              <c:f>'FORMULAS FEB'!$EJ$41</c:f>
              <c:strCache>
                <c:ptCount val="1"/>
                <c:pt idx="0">
                  <c:v>2007 a 2010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FEB'!$ED$42:$ED$48</c:f>
              <c:strCache>
                <c:ptCount val="7"/>
                <c:pt idx="0">
                  <c:v>&lt;50,000 KM</c:v>
                </c:pt>
                <c:pt idx="1">
                  <c:v>ENTRE 50,001 Y 75,000 KM</c:v>
                </c:pt>
                <c:pt idx="2">
                  <c:v>ENTRE 75,001 Y 100,000 KM</c:v>
                </c:pt>
                <c:pt idx="3">
                  <c:v>ENTRE 100,001 Y 115,000 KM</c:v>
                </c:pt>
                <c:pt idx="4">
                  <c:v>ENTRE 115,001 Y 125,000 KM</c:v>
                </c:pt>
                <c:pt idx="5">
                  <c:v>ENTRE 125,001 Y 150,000 KM</c:v>
                </c:pt>
                <c:pt idx="6">
                  <c:v>&gt; 150,000 KM</c:v>
                </c:pt>
              </c:strCache>
            </c:strRef>
          </c:cat>
          <c:val>
            <c:numRef>
              <c:f>'FORMULAS FEB'!$EJ$42:$EJ$48</c:f>
              <c:numCache>
                <c:formatCode>0.0%</c:formatCode>
                <c:ptCount val="7"/>
                <c:pt idx="0">
                  <c:v>4.9107142857142856E-2</c:v>
                </c:pt>
                <c:pt idx="1">
                  <c:v>9.8214285714285712E-2</c:v>
                </c:pt>
                <c:pt idx="2">
                  <c:v>0.23214285714285715</c:v>
                </c:pt>
                <c:pt idx="3">
                  <c:v>4.0178571428571432E-2</c:v>
                </c:pt>
                <c:pt idx="4">
                  <c:v>0.26339285714285715</c:v>
                </c:pt>
                <c:pt idx="5">
                  <c:v>0.17857142857142858</c:v>
                </c:pt>
                <c:pt idx="6">
                  <c:v>0.13839285714285715</c:v>
                </c:pt>
              </c:numCache>
            </c:numRef>
          </c:val>
        </c:ser>
        <c:ser>
          <c:idx val="6"/>
          <c:order val="6"/>
          <c:tx>
            <c:strRef>
              <c:f>'FORMULAS FEB'!$EK$41</c:f>
              <c:strCache>
                <c:ptCount val="1"/>
                <c:pt idx="0">
                  <c:v>2011 en adelante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FEB'!$ED$42:$ED$48</c:f>
              <c:strCache>
                <c:ptCount val="7"/>
                <c:pt idx="0">
                  <c:v>&lt;50,000 KM</c:v>
                </c:pt>
                <c:pt idx="1">
                  <c:v>ENTRE 50,001 Y 75,000 KM</c:v>
                </c:pt>
                <c:pt idx="2">
                  <c:v>ENTRE 75,001 Y 100,000 KM</c:v>
                </c:pt>
                <c:pt idx="3">
                  <c:v>ENTRE 100,001 Y 115,000 KM</c:v>
                </c:pt>
                <c:pt idx="4">
                  <c:v>ENTRE 115,001 Y 125,000 KM</c:v>
                </c:pt>
                <c:pt idx="5">
                  <c:v>ENTRE 125,001 Y 150,000 KM</c:v>
                </c:pt>
                <c:pt idx="6">
                  <c:v>&gt; 150,000 KM</c:v>
                </c:pt>
              </c:strCache>
            </c:strRef>
          </c:cat>
          <c:val>
            <c:numRef>
              <c:f>'FORMULAS FEB'!$EK$42:$EK$48</c:f>
              <c:numCache>
                <c:formatCode>0.0%</c:formatCode>
                <c:ptCount val="7"/>
                <c:pt idx="0">
                  <c:v>2.6315789473684209E-2</c:v>
                </c:pt>
                <c:pt idx="1">
                  <c:v>0.14473684210526316</c:v>
                </c:pt>
                <c:pt idx="2">
                  <c:v>0.21052631578947367</c:v>
                </c:pt>
                <c:pt idx="3">
                  <c:v>5.2631578947368418E-2</c:v>
                </c:pt>
                <c:pt idx="4">
                  <c:v>0.28947368421052633</c:v>
                </c:pt>
                <c:pt idx="5">
                  <c:v>0.22368421052631579</c:v>
                </c:pt>
                <c:pt idx="6">
                  <c:v>5.2631578947368418E-2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6682752"/>
        <c:axId val="206688640"/>
        <c:axId val="0"/>
      </c:bar3DChart>
      <c:catAx>
        <c:axId val="2066827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6688640"/>
        <c:crosses val="autoZero"/>
        <c:auto val="1"/>
        <c:lblAlgn val="ctr"/>
        <c:lblOffset val="100"/>
        <c:noMultiLvlLbl val="0"/>
      </c:catAx>
      <c:valAx>
        <c:axId val="20668864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668275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MANTENIMIENTO DE LAS UNIDADES SEGÚN TIPO DE UNIDAD. </a:t>
            </a:r>
          </a:p>
          <a:p>
            <a:pPr>
              <a:defRPr sz="1400"/>
            </a:pPr>
            <a:r>
              <a:rPr lang="es-MX" sz="1200"/>
              <a:t>FRECUENCIA DE CAMBIO DE ACEITE</a:t>
            </a:r>
            <a:endParaRPr lang="es-MX" sz="1400"/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067628940299122E-2"/>
          <c:y val="0.22775510754910192"/>
          <c:w val="0.87227231895993451"/>
          <c:h val="0.6724724569373430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FEB'!$EE$54</c:f>
              <c:strCache>
                <c:ptCount val="1"/>
                <c:pt idx="0">
                  <c:v>C2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FEB'!$ED$55:$ED$61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FEB'!$EE$55:$EE$61</c:f>
              <c:numCache>
                <c:formatCode>0.0%</c:formatCode>
                <c:ptCount val="7"/>
                <c:pt idx="0">
                  <c:v>0.21904761904761905</c:v>
                </c:pt>
                <c:pt idx="1">
                  <c:v>0.31904761904761902</c:v>
                </c:pt>
                <c:pt idx="2">
                  <c:v>0.22857142857142856</c:v>
                </c:pt>
                <c:pt idx="3">
                  <c:v>0.12380952380952381</c:v>
                </c:pt>
                <c:pt idx="4">
                  <c:v>4.7619047619047616E-2</c:v>
                </c:pt>
                <c:pt idx="5">
                  <c:v>4.7619047619047616E-2</c:v>
                </c:pt>
                <c:pt idx="6">
                  <c:v>1.4285714285714285E-2</c:v>
                </c:pt>
              </c:numCache>
            </c:numRef>
          </c:val>
        </c:ser>
        <c:ser>
          <c:idx val="1"/>
          <c:order val="1"/>
          <c:tx>
            <c:strRef>
              <c:f>'FORMULAS FEB'!$EF$54</c:f>
              <c:strCache>
                <c:ptCount val="1"/>
                <c:pt idx="0">
                  <c:v>C3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FEB'!$ED$55:$ED$61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FEB'!$EF$55:$EF$61</c:f>
              <c:numCache>
                <c:formatCode>0.0%</c:formatCode>
                <c:ptCount val="7"/>
                <c:pt idx="0">
                  <c:v>0.12244897959183673</c:v>
                </c:pt>
                <c:pt idx="1">
                  <c:v>0.26020408163265307</c:v>
                </c:pt>
                <c:pt idx="2">
                  <c:v>0.23469387755102042</c:v>
                </c:pt>
                <c:pt idx="3">
                  <c:v>0.19897959183673469</c:v>
                </c:pt>
                <c:pt idx="4">
                  <c:v>0.1683673469387755</c:v>
                </c:pt>
                <c:pt idx="5">
                  <c:v>1.020408163265306E-2</c:v>
                </c:pt>
                <c:pt idx="6">
                  <c:v>5.1020408163265302E-3</c:v>
                </c:pt>
              </c:numCache>
            </c:numRef>
          </c:val>
        </c:ser>
        <c:ser>
          <c:idx val="2"/>
          <c:order val="2"/>
          <c:tx>
            <c:strRef>
              <c:f>'FORMULAS FEB'!$EG$54</c:f>
              <c:strCache>
                <c:ptCount val="1"/>
                <c:pt idx="0">
                  <c:v>T2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FEB'!$ED$55:$ED$61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FEB'!$EG$55:$EG$61</c:f>
              <c:numCache>
                <c:formatCode>0.0%</c:formatCode>
                <c:ptCount val="7"/>
                <c:pt idx="0">
                  <c:v>0.16279069767441862</c:v>
                </c:pt>
                <c:pt idx="1">
                  <c:v>0.48837209302325579</c:v>
                </c:pt>
                <c:pt idx="2">
                  <c:v>0.23255813953488372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0.11627906976744186</c:v>
                </c:pt>
              </c:numCache>
            </c:numRef>
          </c:val>
        </c:ser>
        <c:ser>
          <c:idx val="3"/>
          <c:order val="3"/>
          <c:tx>
            <c:strRef>
              <c:f>'FORMULAS FEB'!$EH$54</c:f>
              <c:strCache>
                <c:ptCount val="1"/>
                <c:pt idx="0">
                  <c:v>T3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FEB'!$ED$55:$ED$61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FEB'!$EH$55:$EH$61</c:f>
              <c:numCache>
                <c:formatCode>0.0%</c:formatCode>
                <c:ptCount val="7"/>
                <c:pt idx="0">
                  <c:v>6.2146892655367235E-2</c:v>
                </c:pt>
                <c:pt idx="1">
                  <c:v>0.26177024482109229</c:v>
                </c:pt>
                <c:pt idx="2">
                  <c:v>0.31073446327683618</c:v>
                </c:pt>
                <c:pt idx="3">
                  <c:v>0.19397363465160075</c:v>
                </c:pt>
                <c:pt idx="4">
                  <c:v>7.1563088512241052E-2</c:v>
                </c:pt>
                <c:pt idx="5">
                  <c:v>3.7664783427495289E-2</c:v>
                </c:pt>
                <c:pt idx="6">
                  <c:v>6.2146892655367235E-2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6751232"/>
        <c:axId val="206752768"/>
        <c:axId val="0"/>
      </c:bar3DChart>
      <c:catAx>
        <c:axId val="2067512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6752768"/>
        <c:crosses val="autoZero"/>
        <c:auto val="1"/>
        <c:lblAlgn val="ctr"/>
        <c:lblOffset val="100"/>
        <c:noMultiLvlLbl val="0"/>
      </c:catAx>
      <c:valAx>
        <c:axId val="20675276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675123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MANTENIMIENTO DE LAS UNIDADES SEGÚN TIPO DE UNIDAD. </a:t>
            </a:r>
          </a:p>
          <a:p>
            <a:pPr>
              <a:defRPr sz="1400"/>
            </a:pPr>
            <a:r>
              <a:rPr lang="es-MX" sz="1200"/>
              <a:t>FRECUENCIA DE AFINACIÓN DE MOTOR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763336049968295E-2"/>
          <c:y val="0.21874485022647999"/>
          <c:w val="0.8708171935957586"/>
          <c:h val="0.6819260557075075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FEB'!$EE$65</c:f>
              <c:strCache>
                <c:ptCount val="1"/>
                <c:pt idx="0">
                  <c:v>C2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FEB'!$ED$66:$ED$72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FEB'!$EE$66:$EE$72</c:f>
              <c:numCache>
                <c:formatCode>0.0%</c:formatCode>
                <c:ptCount val="7"/>
                <c:pt idx="0">
                  <c:v>8.1339712918660281E-2</c:v>
                </c:pt>
                <c:pt idx="1">
                  <c:v>0.35885167464114831</c:v>
                </c:pt>
                <c:pt idx="2">
                  <c:v>0.21052631578947367</c:v>
                </c:pt>
                <c:pt idx="3">
                  <c:v>8.6124401913875603E-2</c:v>
                </c:pt>
                <c:pt idx="4">
                  <c:v>7.1770334928229665E-2</c:v>
                </c:pt>
                <c:pt idx="5">
                  <c:v>0.10526315789473684</c:v>
                </c:pt>
                <c:pt idx="6">
                  <c:v>8.6124401913875603E-2</c:v>
                </c:pt>
              </c:numCache>
            </c:numRef>
          </c:val>
        </c:ser>
        <c:ser>
          <c:idx val="1"/>
          <c:order val="1"/>
          <c:tx>
            <c:strRef>
              <c:f>'FORMULAS FEB'!$EF$65</c:f>
              <c:strCache>
                <c:ptCount val="1"/>
                <c:pt idx="0">
                  <c:v>C3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FEB'!$ED$66:$ED$72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FEB'!$EF$66:$EF$72</c:f>
              <c:numCache>
                <c:formatCode>0.0%</c:formatCode>
                <c:ptCount val="7"/>
                <c:pt idx="0">
                  <c:v>7.6923076923076927E-2</c:v>
                </c:pt>
                <c:pt idx="1">
                  <c:v>0.14871794871794872</c:v>
                </c:pt>
                <c:pt idx="2">
                  <c:v>0.15384615384615385</c:v>
                </c:pt>
                <c:pt idx="3">
                  <c:v>0.14871794871794872</c:v>
                </c:pt>
                <c:pt idx="4">
                  <c:v>0.2153846153846154</c:v>
                </c:pt>
                <c:pt idx="5">
                  <c:v>0.12820512820512819</c:v>
                </c:pt>
                <c:pt idx="6">
                  <c:v>0.12820512820512819</c:v>
                </c:pt>
              </c:numCache>
            </c:numRef>
          </c:val>
        </c:ser>
        <c:ser>
          <c:idx val="2"/>
          <c:order val="2"/>
          <c:tx>
            <c:strRef>
              <c:f>'FORMULAS FEB'!$EG$65</c:f>
              <c:strCache>
                <c:ptCount val="1"/>
                <c:pt idx="0">
                  <c:v>T2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FEB'!$ED$66:$ED$72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FEB'!$EG$66:$EG$72</c:f>
              <c:numCache>
                <c:formatCode>0.0%</c:formatCode>
                <c:ptCount val="7"/>
                <c:pt idx="0">
                  <c:v>9.3023255813953487E-2</c:v>
                </c:pt>
                <c:pt idx="1">
                  <c:v>0.2558139534883721</c:v>
                </c:pt>
                <c:pt idx="2">
                  <c:v>0.18604651162790697</c:v>
                </c:pt>
                <c:pt idx="3">
                  <c:v>0.34883720930232559</c:v>
                </c:pt>
                <c:pt idx="4">
                  <c:v>0</c:v>
                </c:pt>
                <c:pt idx="5">
                  <c:v>0</c:v>
                </c:pt>
                <c:pt idx="6">
                  <c:v>0.11627906976744186</c:v>
                </c:pt>
              </c:numCache>
            </c:numRef>
          </c:val>
        </c:ser>
        <c:ser>
          <c:idx val="3"/>
          <c:order val="3"/>
          <c:tx>
            <c:strRef>
              <c:f>'FORMULAS FEB'!$EH$65</c:f>
              <c:strCache>
                <c:ptCount val="1"/>
                <c:pt idx="0">
                  <c:v>T3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FEB'!$ED$66:$ED$72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FEB'!$EH$66:$EH$72</c:f>
              <c:numCache>
                <c:formatCode>0.0%</c:formatCode>
                <c:ptCount val="7"/>
                <c:pt idx="0">
                  <c:v>3.780718336483932E-3</c:v>
                </c:pt>
                <c:pt idx="1">
                  <c:v>7.9395085066162566E-2</c:v>
                </c:pt>
                <c:pt idx="2">
                  <c:v>0.31190926275992437</c:v>
                </c:pt>
                <c:pt idx="3">
                  <c:v>0.18525519848771266</c:v>
                </c:pt>
                <c:pt idx="4">
                  <c:v>7.7504725897920609E-2</c:v>
                </c:pt>
                <c:pt idx="5">
                  <c:v>0.10207939508506617</c:v>
                </c:pt>
                <c:pt idx="6">
                  <c:v>0.24007561436672967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7282560"/>
        <c:axId val="207284096"/>
        <c:axId val="0"/>
      </c:bar3DChart>
      <c:catAx>
        <c:axId val="2072825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284096"/>
        <c:crosses val="autoZero"/>
        <c:auto val="1"/>
        <c:lblAlgn val="ctr"/>
        <c:lblOffset val="100"/>
        <c:noMultiLvlLbl val="0"/>
      </c:catAx>
      <c:valAx>
        <c:axId val="20728409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2825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MANTENIMIENTO DE LAS UNIDADES SEGÚN TIPO DE UNIDAD. </a:t>
            </a:r>
          </a:p>
          <a:p>
            <a:pPr>
              <a:defRPr sz="1400"/>
            </a:pPr>
            <a:r>
              <a:rPr lang="es-MX" sz="1200"/>
              <a:t>FRECUENCIA DE CAMBIO DE FRENOS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920098248527192E-2"/>
          <c:y val="0.22789016768467518"/>
          <c:w val="0.87048931330231771"/>
          <c:h val="0.6734384221249516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FEB'!$EE$76</c:f>
              <c:strCache>
                <c:ptCount val="1"/>
                <c:pt idx="0">
                  <c:v>C2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FEB'!$ED$77:$ED$83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FEB'!$EE$77:$EE$83</c:f>
              <c:numCache>
                <c:formatCode>0.0%</c:formatCode>
                <c:ptCount val="7"/>
                <c:pt idx="0">
                  <c:v>0.14634146341463414</c:v>
                </c:pt>
                <c:pt idx="1">
                  <c:v>0.29268292682926828</c:v>
                </c:pt>
                <c:pt idx="2">
                  <c:v>6.3414634146341464E-2</c:v>
                </c:pt>
                <c:pt idx="3">
                  <c:v>1.9512195121951219E-2</c:v>
                </c:pt>
                <c:pt idx="4">
                  <c:v>3.4146341463414637E-2</c:v>
                </c:pt>
                <c:pt idx="5">
                  <c:v>6.3414634146341464E-2</c:v>
                </c:pt>
                <c:pt idx="6">
                  <c:v>0.38048780487804879</c:v>
                </c:pt>
              </c:numCache>
            </c:numRef>
          </c:val>
        </c:ser>
        <c:ser>
          <c:idx val="1"/>
          <c:order val="1"/>
          <c:tx>
            <c:strRef>
              <c:f>'FORMULAS FEB'!$EF$76</c:f>
              <c:strCache>
                <c:ptCount val="1"/>
                <c:pt idx="0">
                  <c:v>C3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FEB'!$ED$77:$ED$83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FEB'!$EF$77:$EF$83</c:f>
              <c:numCache>
                <c:formatCode>0.0%</c:formatCode>
                <c:ptCount val="7"/>
                <c:pt idx="0">
                  <c:v>0.1134020618556701</c:v>
                </c:pt>
                <c:pt idx="1">
                  <c:v>6.1855670103092786E-2</c:v>
                </c:pt>
                <c:pt idx="2">
                  <c:v>6.7010309278350513E-2</c:v>
                </c:pt>
                <c:pt idx="3">
                  <c:v>1.5463917525773196E-2</c:v>
                </c:pt>
                <c:pt idx="4">
                  <c:v>9.2783505154639179E-2</c:v>
                </c:pt>
                <c:pt idx="5">
                  <c:v>7.2164948453608241E-2</c:v>
                </c:pt>
                <c:pt idx="6">
                  <c:v>0.57731958762886593</c:v>
                </c:pt>
              </c:numCache>
            </c:numRef>
          </c:val>
        </c:ser>
        <c:ser>
          <c:idx val="2"/>
          <c:order val="2"/>
          <c:tx>
            <c:strRef>
              <c:f>'FORMULAS FEB'!$EG$76</c:f>
              <c:strCache>
                <c:ptCount val="1"/>
                <c:pt idx="0">
                  <c:v>T2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FEB'!$ED$77:$ED$83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FEB'!$EG$77:$EG$83</c:f>
              <c:numCache>
                <c:formatCode>0.0%</c:formatCode>
                <c:ptCount val="7"/>
                <c:pt idx="0">
                  <c:v>2.3255813953488372E-2</c:v>
                </c:pt>
                <c:pt idx="1">
                  <c:v>0.18604651162790697</c:v>
                </c:pt>
                <c:pt idx="2">
                  <c:v>0.13953488372093023</c:v>
                </c:pt>
                <c:pt idx="3">
                  <c:v>0.16279069767441862</c:v>
                </c:pt>
                <c:pt idx="4">
                  <c:v>2.3255813953488372E-2</c:v>
                </c:pt>
                <c:pt idx="5">
                  <c:v>0</c:v>
                </c:pt>
                <c:pt idx="6">
                  <c:v>0.46511627906976744</c:v>
                </c:pt>
              </c:numCache>
            </c:numRef>
          </c:val>
        </c:ser>
        <c:ser>
          <c:idx val="3"/>
          <c:order val="3"/>
          <c:tx>
            <c:strRef>
              <c:f>'FORMULAS FEB'!$EH$76</c:f>
              <c:strCache>
                <c:ptCount val="1"/>
                <c:pt idx="0">
                  <c:v>T3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FEB'!$ED$77:$ED$83</c:f>
              <c:strCache>
                <c:ptCount val="7"/>
                <c:pt idx="0">
                  <c:v>&lt;10,000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&gt; 40,000 KM</c:v>
                </c:pt>
              </c:strCache>
            </c:strRef>
          </c:cat>
          <c:val>
            <c:numRef>
              <c:f>'FORMULAS FEB'!$EH$77:$EH$83</c:f>
              <c:numCache>
                <c:formatCode>0.0%</c:formatCode>
                <c:ptCount val="7"/>
                <c:pt idx="0">
                  <c:v>4.9335863377609111E-2</c:v>
                </c:pt>
                <c:pt idx="1">
                  <c:v>6.6413662239089177E-2</c:v>
                </c:pt>
                <c:pt idx="2">
                  <c:v>5.5028462998102469E-2</c:v>
                </c:pt>
                <c:pt idx="3">
                  <c:v>3.2258064516129031E-2</c:v>
                </c:pt>
                <c:pt idx="4">
                  <c:v>0.12333965844402277</c:v>
                </c:pt>
                <c:pt idx="5">
                  <c:v>6.0721062618595827E-2</c:v>
                </c:pt>
                <c:pt idx="6">
                  <c:v>0.61290322580645162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7371264"/>
        <c:axId val="207401728"/>
        <c:axId val="0"/>
      </c:bar3DChart>
      <c:catAx>
        <c:axId val="2073712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401728"/>
        <c:crosses val="autoZero"/>
        <c:auto val="1"/>
        <c:lblAlgn val="ctr"/>
        <c:lblOffset val="100"/>
        <c:noMultiLvlLbl val="0"/>
      </c:catAx>
      <c:valAx>
        <c:axId val="20740172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3712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MANTENIMIENTO DE LAS UNIDADES SEGÚN TIPO DE UNIDAD. </a:t>
            </a:r>
          </a:p>
          <a:p>
            <a:pPr>
              <a:defRPr sz="1400"/>
            </a:pPr>
            <a:r>
              <a:rPr lang="es-MX" sz="1200"/>
              <a:t>FRECUENCIA DE CAMBIO DE LLANTAS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8799796413281091E-2"/>
          <c:y val="0.24222606585662299"/>
          <c:w val="0.87065345348941747"/>
          <c:h val="0.6656241408481614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FEB'!$EE$88</c:f>
              <c:strCache>
                <c:ptCount val="1"/>
                <c:pt idx="0">
                  <c:v>C2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FEB'!$ED$89:$ED$95</c:f>
              <c:strCache>
                <c:ptCount val="7"/>
                <c:pt idx="0">
                  <c:v>&lt;50,000 KM</c:v>
                </c:pt>
                <c:pt idx="1">
                  <c:v>ENTRE 50,001 Y 75,000 KM</c:v>
                </c:pt>
                <c:pt idx="2">
                  <c:v>ENTRE 75,001 Y 100,000 KM</c:v>
                </c:pt>
                <c:pt idx="3">
                  <c:v>ENTRE 100,001 Y 115,000 KM</c:v>
                </c:pt>
                <c:pt idx="4">
                  <c:v>ENTRE 115,001 Y 125,000 KM</c:v>
                </c:pt>
                <c:pt idx="5">
                  <c:v>ENTRE 125,001 Y 150,000 KM</c:v>
                </c:pt>
                <c:pt idx="6">
                  <c:v>&gt; 150,000 KM</c:v>
                </c:pt>
              </c:strCache>
            </c:strRef>
          </c:cat>
          <c:val>
            <c:numRef>
              <c:f>'FORMULAS FEB'!$EE$89:$EE$95</c:f>
              <c:numCache>
                <c:formatCode>0.0%</c:formatCode>
                <c:ptCount val="7"/>
                <c:pt idx="0">
                  <c:v>0.12195121951219512</c:v>
                </c:pt>
                <c:pt idx="1">
                  <c:v>0.2</c:v>
                </c:pt>
                <c:pt idx="2">
                  <c:v>0.29756097560975608</c:v>
                </c:pt>
                <c:pt idx="3">
                  <c:v>3.4146341463414637E-2</c:v>
                </c:pt>
                <c:pt idx="4">
                  <c:v>0.2097560975609756</c:v>
                </c:pt>
                <c:pt idx="5">
                  <c:v>0.10731707317073171</c:v>
                </c:pt>
                <c:pt idx="6">
                  <c:v>3.4146341463414637E-2</c:v>
                </c:pt>
              </c:numCache>
            </c:numRef>
          </c:val>
        </c:ser>
        <c:ser>
          <c:idx val="1"/>
          <c:order val="1"/>
          <c:tx>
            <c:strRef>
              <c:f>'FORMULAS FEB'!$EF$88</c:f>
              <c:strCache>
                <c:ptCount val="1"/>
                <c:pt idx="0">
                  <c:v>C3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FEB'!$ED$89:$ED$95</c:f>
              <c:strCache>
                <c:ptCount val="7"/>
                <c:pt idx="0">
                  <c:v>&lt;50,000 KM</c:v>
                </c:pt>
                <c:pt idx="1">
                  <c:v>ENTRE 50,001 Y 75,000 KM</c:v>
                </c:pt>
                <c:pt idx="2">
                  <c:v>ENTRE 75,001 Y 100,000 KM</c:v>
                </c:pt>
                <c:pt idx="3">
                  <c:v>ENTRE 100,001 Y 115,000 KM</c:v>
                </c:pt>
                <c:pt idx="4">
                  <c:v>ENTRE 115,001 Y 125,000 KM</c:v>
                </c:pt>
                <c:pt idx="5">
                  <c:v>ENTRE 125,001 Y 150,000 KM</c:v>
                </c:pt>
                <c:pt idx="6">
                  <c:v>&gt; 150,000 KM</c:v>
                </c:pt>
              </c:strCache>
            </c:strRef>
          </c:cat>
          <c:val>
            <c:numRef>
              <c:f>'FORMULAS FEB'!$EF$89:$EF$95</c:f>
              <c:numCache>
                <c:formatCode>0.0%</c:formatCode>
                <c:ptCount val="7"/>
                <c:pt idx="0">
                  <c:v>7.2164948453608241E-2</c:v>
                </c:pt>
                <c:pt idx="1">
                  <c:v>0.12886597938144329</c:v>
                </c:pt>
                <c:pt idx="2">
                  <c:v>0.23711340206185566</c:v>
                </c:pt>
                <c:pt idx="3">
                  <c:v>3.608247422680412E-2</c:v>
                </c:pt>
                <c:pt idx="4">
                  <c:v>0.19587628865979381</c:v>
                </c:pt>
                <c:pt idx="5">
                  <c:v>0.24742268041237114</c:v>
                </c:pt>
                <c:pt idx="6">
                  <c:v>8.7628865979381437E-2</c:v>
                </c:pt>
              </c:numCache>
            </c:numRef>
          </c:val>
        </c:ser>
        <c:ser>
          <c:idx val="2"/>
          <c:order val="2"/>
          <c:tx>
            <c:strRef>
              <c:f>'FORMULAS FEB'!$EG$88</c:f>
              <c:strCache>
                <c:ptCount val="1"/>
                <c:pt idx="0">
                  <c:v>T2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FEB'!$ED$89:$ED$95</c:f>
              <c:strCache>
                <c:ptCount val="7"/>
                <c:pt idx="0">
                  <c:v>&lt;50,000 KM</c:v>
                </c:pt>
                <c:pt idx="1">
                  <c:v>ENTRE 50,001 Y 75,000 KM</c:v>
                </c:pt>
                <c:pt idx="2">
                  <c:v>ENTRE 75,001 Y 100,000 KM</c:v>
                </c:pt>
                <c:pt idx="3">
                  <c:v>ENTRE 100,001 Y 115,000 KM</c:v>
                </c:pt>
                <c:pt idx="4">
                  <c:v>ENTRE 115,001 Y 125,000 KM</c:v>
                </c:pt>
                <c:pt idx="5">
                  <c:v>ENTRE 125,001 Y 150,000 KM</c:v>
                </c:pt>
                <c:pt idx="6">
                  <c:v>&gt; 150,000 KM</c:v>
                </c:pt>
              </c:strCache>
            </c:strRef>
          </c:cat>
          <c:val>
            <c:numRef>
              <c:f>'FORMULAS FEB'!$EG$89:$EG$95</c:f>
              <c:numCache>
                <c:formatCode>0.0%</c:formatCode>
                <c:ptCount val="7"/>
                <c:pt idx="0">
                  <c:v>4.6511627906976744E-2</c:v>
                </c:pt>
                <c:pt idx="1">
                  <c:v>0.16279069767441862</c:v>
                </c:pt>
                <c:pt idx="2">
                  <c:v>0.2558139534883721</c:v>
                </c:pt>
                <c:pt idx="3">
                  <c:v>2.3255813953488372E-2</c:v>
                </c:pt>
                <c:pt idx="4">
                  <c:v>4.6511627906976744E-2</c:v>
                </c:pt>
                <c:pt idx="5">
                  <c:v>0.34883720930232559</c:v>
                </c:pt>
                <c:pt idx="6">
                  <c:v>0.11627906976744186</c:v>
                </c:pt>
              </c:numCache>
            </c:numRef>
          </c:val>
        </c:ser>
        <c:ser>
          <c:idx val="3"/>
          <c:order val="3"/>
          <c:tx>
            <c:strRef>
              <c:f>'FORMULAS FEB'!$EH$88</c:f>
              <c:strCache>
                <c:ptCount val="1"/>
                <c:pt idx="0">
                  <c:v>T3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FEB'!$ED$89:$ED$95</c:f>
              <c:strCache>
                <c:ptCount val="7"/>
                <c:pt idx="0">
                  <c:v>&lt;50,000 KM</c:v>
                </c:pt>
                <c:pt idx="1">
                  <c:v>ENTRE 50,001 Y 75,000 KM</c:v>
                </c:pt>
                <c:pt idx="2">
                  <c:v>ENTRE 75,001 Y 100,000 KM</c:v>
                </c:pt>
                <c:pt idx="3">
                  <c:v>ENTRE 100,001 Y 115,000 KM</c:v>
                </c:pt>
                <c:pt idx="4">
                  <c:v>ENTRE 115,001 Y 125,000 KM</c:v>
                </c:pt>
                <c:pt idx="5">
                  <c:v>ENTRE 125,001 Y 150,000 KM</c:v>
                </c:pt>
                <c:pt idx="6">
                  <c:v>&gt; 150,000 KM</c:v>
                </c:pt>
              </c:strCache>
            </c:strRef>
          </c:cat>
          <c:val>
            <c:numRef>
              <c:f>'FORMULAS FEB'!$EH$89:$EH$95</c:f>
              <c:numCache>
                <c:formatCode>0.0%</c:formatCode>
                <c:ptCount val="7"/>
                <c:pt idx="0">
                  <c:v>2.4667931688804556E-2</c:v>
                </c:pt>
                <c:pt idx="1">
                  <c:v>5.1233396584440226E-2</c:v>
                </c:pt>
                <c:pt idx="2">
                  <c:v>0.2049335863377609</c:v>
                </c:pt>
                <c:pt idx="3">
                  <c:v>3.7950664136622389E-2</c:v>
                </c:pt>
                <c:pt idx="4">
                  <c:v>0.29791271347248577</c:v>
                </c:pt>
                <c:pt idx="5">
                  <c:v>0.23719165085388993</c:v>
                </c:pt>
                <c:pt idx="6">
                  <c:v>0.10056925996204934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7509376"/>
        <c:axId val="207510912"/>
        <c:axId val="0"/>
      </c:bar3DChart>
      <c:catAx>
        <c:axId val="2075093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510912"/>
        <c:crosses val="autoZero"/>
        <c:auto val="1"/>
        <c:lblAlgn val="ctr"/>
        <c:lblOffset val="100"/>
        <c:noMultiLvlLbl val="0"/>
      </c:catAx>
      <c:valAx>
        <c:axId val="20751091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5093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MOTIVACIÓN PARA COMPRA O CAMBIO DE UNIDAD SEGÚN TAMAÑO DE LA FLOTA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086743642054277E-2"/>
          <c:y val="0.21819124191281233"/>
          <c:w val="0.72719489987387465"/>
          <c:h val="0.675375063877431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FEB'!$EW$3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FEB'!$EV$4:$EV$10</c:f>
              <c:strCache>
                <c:ptCount val="7"/>
                <c:pt idx="0">
                  <c:v>Cuando están viejas</c:v>
                </c:pt>
                <c:pt idx="1">
                  <c:v>Acceso a crédito</c:v>
                </c:pt>
                <c:pt idx="2">
                  <c:v>Cuando es buena Oferta</c:v>
                </c:pt>
                <c:pt idx="3">
                  <c:v>Cuando el cliente lo pide</c:v>
                </c:pt>
                <c:pt idx="4">
                  <c:v>Tiene Capital disponible</c:v>
                </c:pt>
                <c:pt idx="5">
                  <c:v>No necesita/No ha cambiado</c:v>
                </c:pt>
                <c:pt idx="6">
                  <c:v>Otras razones</c:v>
                </c:pt>
              </c:strCache>
            </c:strRef>
          </c:cat>
          <c:val>
            <c:numRef>
              <c:f>'FORMULAS FEB'!$EW$4:$EW$10</c:f>
              <c:numCache>
                <c:formatCode>0.0%</c:formatCode>
                <c:ptCount val="7"/>
                <c:pt idx="0">
                  <c:v>0.39080459770114945</c:v>
                </c:pt>
                <c:pt idx="1">
                  <c:v>0.1417624521072797</c:v>
                </c:pt>
                <c:pt idx="2">
                  <c:v>7.2796934865900387E-2</c:v>
                </c:pt>
                <c:pt idx="3">
                  <c:v>8.8122605363984668E-2</c:v>
                </c:pt>
                <c:pt idx="4">
                  <c:v>0.2413793103448276</c:v>
                </c:pt>
                <c:pt idx="5">
                  <c:v>2.2988505747126436E-2</c:v>
                </c:pt>
                <c:pt idx="6">
                  <c:v>4.2145593869731802E-2</c:v>
                </c:pt>
              </c:numCache>
            </c:numRef>
          </c:val>
        </c:ser>
        <c:ser>
          <c:idx val="1"/>
          <c:order val="1"/>
          <c:tx>
            <c:strRef>
              <c:f>'FORMULAS FEB'!$EX$3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FEB'!$EV$4:$EV$10</c:f>
              <c:strCache>
                <c:ptCount val="7"/>
                <c:pt idx="0">
                  <c:v>Cuando están viejas</c:v>
                </c:pt>
                <c:pt idx="1">
                  <c:v>Acceso a crédito</c:v>
                </c:pt>
                <c:pt idx="2">
                  <c:v>Cuando es buena Oferta</c:v>
                </c:pt>
                <c:pt idx="3">
                  <c:v>Cuando el cliente lo pide</c:v>
                </c:pt>
                <c:pt idx="4">
                  <c:v>Tiene Capital disponible</c:v>
                </c:pt>
                <c:pt idx="5">
                  <c:v>No necesita/No ha cambiado</c:v>
                </c:pt>
                <c:pt idx="6">
                  <c:v>Otras razones</c:v>
                </c:pt>
              </c:strCache>
            </c:strRef>
          </c:cat>
          <c:val>
            <c:numRef>
              <c:f>'FORMULAS FEB'!$EX$4:$EX$10</c:f>
              <c:numCache>
                <c:formatCode>0.0%</c:formatCode>
                <c:ptCount val="7"/>
                <c:pt idx="0">
                  <c:v>0.29104477611940299</c:v>
                </c:pt>
                <c:pt idx="1">
                  <c:v>0.11940298507462686</c:v>
                </c:pt>
                <c:pt idx="2">
                  <c:v>0.14925373134328357</c:v>
                </c:pt>
                <c:pt idx="3">
                  <c:v>0.18656716417910449</c:v>
                </c:pt>
                <c:pt idx="4">
                  <c:v>0.2537313432835821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FEB'!$EY$3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FEB'!$EV$4:$EV$10</c:f>
              <c:strCache>
                <c:ptCount val="7"/>
                <c:pt idx="0">
                  <c:v>Cuando están viejas</c:v>
                </c:pt>
                <c:pt idx="1">
                  <c:v>Acceso a crédito</c:v>
                </c:pt>
                <c:pt idx="2">
                  <c:v>Cuando es buena Oferta</c:v>
                </c:pt>
                <c:pt idx="3">
                  <c:v>Cuando el cliente lo pide</c:v>
                </c:pt>
                <c:pt idx="4">
                  <c:v>Tiene Capital disponible</c:v>
                </c:pt>
                <c:pt idx="5">
                  <c:v>No necesita/No ha cambiado</c:v>
                </c:pt>
                <c:pt idx="6">
                  <c:v>Otras razones</c:v>
                </c:pt>
              </c:strCache>
            </c:strRef>
          </c:cat>
          <c:val>
            <c:numRef>
              <c:f>'FORMULAS FEB'!$EY$4:$EY$10</c:f>
              <c:numCache>
                <c:formatCode>0.0%</c:formatCode>
                <c:ptCount val="7"/>
                <c:pt idx="0">
                  <c:v>0.29032258064516131</c:v>
                </c:pt>
                <c:pt idx="1">
                  <c:v>7.7419354838709681E-2</c:v>
                </c:pt>
                <c:pt idx="2">
                  <c:v>5.8064516129032261E-2</c:v>
                </c:pt>
                <c:pt idx="3">
                  <c:v>0.26451612903225807</c:v>
                </c:pt>
                <c:pt idx="4">
                  <c:v>0.29032258064516131</c:v>
                </c:pt>
                <c:pt idx="5">
                  <c:v>1.2903225806451613E-2</c:v>
                </c:pt>
                <c:pt idx="6">
                  <c:v>6.4516129032258064E-3</c:v>
                </c:pt>
              </c:numCache>
            </c:numRef>
          </c:val>
        </c:ser>
        <c:ser>
          <c:idx val="3"/>
          <c:order val="3"/>
          <c:tx>
            <c:strRef>
              <c:f>'FORMULAS FEB'!$EZ$3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FEB'!$EV$4:$EV$10</c:f>
              <c:strCache>
                <c:ptCount val="7"/>
                <c:pt idx="0">
                  <c:v>Cuando están viejas</c:v>
                </c:pt>
                <c:pt idx="1">
                  <c:v>Acceso a crédito</c:v>
                </c:pt>
                <c:pt idx="2">
                  <c:v>Cuando es buena Oferta</c:v>
                </c:pt>
                <c:pt idx="3">
                  <c:v>Cuando el cliente lo pide</c:v>
                </c:pt>
                <c:pt idx="4">
                  <c:v>Tiene Capital disponible</c:v>
                </c:pt>
                <c:pt idx="5">
                  <c:v>No necesita/No ha cambiado</c:v>
                </c:pt>
                <c:pt idx="6">
                  <c:v>Otras razones</c:v>
                </c:pt>
              </c:strCache>
            </c:strRef>
          </c:cat>
          <c:val>
            <c:numRef>
              <c:f>'FORMULAS FEB'!$EZ$4:$EZ$10</c:f>
              <c:numCache>
                <c:formatCode>0.0%</c:formatCode>
                <c:ptCount val="7"/>
                <c:pt idx="0">
                  <c:v>0.37037037037037035</c:v>
                </c:pt>
                <c:pt idx="1">
                  <c:v>0.12962962962962962</c:v>
                </c:pt>
                <c:pt idx="2">
                  <c:v>5.5555555555555552E-2</c:v>
                </c:pt>
                <c:pt idx="3">
                  <c:v>0.14814814814814814</c:v>
                </c:pt>
                <c:pt idx="4">
                  <c:v>0.29629629629629628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7454976"/>
        <c:axId val="207456512"/>
        <c:axId val="0"/>
      </c:bar3DChart>
      <c:catAx>
        <c:axId val="2074549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456512"/>
        <c:crosses val="autoZero"/>
        <c:auto val="1"/>
        <c:lblAlgn val="ctr"/>
        <c:lblOffset val="100"/>
        <c:noMultiLvlLbl val="0"/>
      </c:catAx>
      <c:valAx>
        <c:axId val="20745651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45497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DISPOSICIÓN A LA CONTRATACIÓN DE CRÉDITOS SEGÚN TAMAÑO DE LA FLOTA</a:t>
            </a:r>
          </a:p>
          <a:p>
            <a:pPr>
              <a:defRPr sz="1400"/>
            </a:pPr>
            <a:r>
              <a:rPr lang="es-MX" sz="1000"/>
              <a:t>ENCUESTA</a:t>
            </a:r>
            <a:r>
              <a:rPr lang="es-MX" sz="1000" baseline="0"/>
              <a:t> A PROPIETARIOS</a:t>
            </a:r>
            <a:endParaRPr lang="es-MX" sz="10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607380291980457E-2"/>
          <c:y val="0.18945296283670918"/>
          <c:w val="0.72486980730968908"/>
          <c:h val="0.7306987819242828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FEB'!$EW$15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FEB'!$EV$16:$EV$20</c:f>
              <c:strCache>
                <c:ptCount val="5"/>
                <c:pt idx="0">
                  <c:v>Para compra de unidades nuevas</c:v>
                </c:pt>
                <c:pt idx="1">
                  <c:v>Para compra de unidades usadas</c:v>
                </c:pt>
                <c:pt idx="2">
                  <c:v>Para mejora de unidades</c:v>
                </c:pt>
                <c:pt idx="3">
                  <c:v>Para Operación del negocio</c:v>
                </c:pt>
                <c:pt idx="4">
                  <c:v>Ninguno</c:v>
                </c:pt>
              </c:strCache>
            </c:strRef>
          </c:cat>
          <c:val>
            <c:numRef>
              <c:f>'FORMULAS FEB'!$EW$16:$EW$20</c:f>
              <c:numCache>
                <c:formatCode>0.0%</c:formatCode>
                <c:ptCount val="5"/>
                <c:pt idx="0">
                  <c:v>0.39207048458149779</c:v>
                </c:pt>
                <c:pt idx="1">
                  <c:v>0.34801762114537443</c:v>
                </c:pt>
                <c:pt idx="2">
                  <c:v>0.14977973568281938</c:v>
                </c:pt>
                <c:pt idx="3">
                  <c:v>3.5242290748898682E-2</c:v>
                </c:pt>
                <c:pt idx="4">
                  <c:v>7.4889867841409691E-2</c:v>
                </c:pt>
              </c:numCache>
            </c:numRef>
          </c:val>
        </c:ser>
        <c:ser>
          <c:idx val="1"/>
          <c:order val="1"/>
          <c:tx>
            <c:strRef>
              <c:f>'FORMULAS FEB'!$EX$15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FEB'!$EV$16:$EV$20</c:f>
              <c:strCache>
                <c:ptCount val="5"/>
                <c:pt idx="0">
                  <c:v>Para compra de unidades nuevas</c:v>
                </c:pt>
                <c:pt idx="1">
                  <c:v>Para compra de unidades usadas</c:v>
                </c:pt>
                <c:pt idx="2">
                  <c:v>Para mejora de unidades</c:v>
                </c:pt>
                <c:pt idx="3">
                  <c:v>Para Operación del negocio</c:v>
                </c:pt>
                <c:pt idx="4">
                  <c:v>Ninguno</c:v>
                </c:pt>
              </c:strCache>
            </c:strRef>
          </c:cat>
          <c:val>
            <c:numRef>
              <c:f>'FORMULAS FEB'!$EX$16:$EX$20</c:f>
              <c:numCache>
                <c:formatCode>0.0%</c:formatCode>
                <c:ptCount val="5"/>
                <c:pt idx="0">
                  <c:v>0.50476190476190474</c:v>
                </c:pt>
                <c:pt idx="1">
                  <c:v>0.20952380952380953</c:v>
                </c:pt>
                <c:pt idx="2">
                  <c:v>0.15238095238095239</c:v>
                </c:pt>
                <c:pt idx="3">
                  <c:v>8.5714285714285715E-2</c:v>
                </c:pt>
                <c:pt idx="4">
                  <c:v>4.7619047619047616E-2</c:v>
                </c:pt>
              </c:numCache>
            </c:numRef>
          </c:val>
        </c:ser>
        <c:ser>
          <c:idx val="2"/>
          <c:order val="2"/>
          <c:tx>
            <c:strRef>
              <c:f>'FORMULAS FEB'!$EY$15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FEB'!$EV$16:$EV$20</c:f>
              <c:strCache>
                <c:ptCount val="5"/>
                <c:pt idx="0">
                  <c:v>Para compra de unidades nuevas</c:v>
                </c:pt>
                <c:pt idx="1">
                  <c:v>Para compra de unidades usadas</c:v>
                </c:pt>
                <c:pt idx="2">
                  <c:v>Para mejora de unidades</c:v>
                </c:pt>
                <c:pt idx="3">
                  <c:v>Para Operación del negocio</c:v>
                </c:pt>
                <c:pt idx="4">
                  <c:v>Ninguno</c:v>
                </c:pt>
              </c:strCache>
            </c:strRef>
          </c:cat>
          <c:val>
            <c:numRef>
              <c:f>'FORMULAS FEB'!$EY$16:$EY$20</c:f>
              <c:numCache>
                <c:formatCode>0.0%</c:formatCode>
                <c:ptCount val="5"/>
                <c:pt idx="0">
                  <c:v>0.5855855855855856</c:v>
                </c:pt>
                <c:pt idx="1">
                  <c:v>0.12612612612612611</c:v>
                </c:pt>
                <c:pt idx="2">
                  <c:v>0.13513513513513514</c:v>
                </c:pt>
                <c:pt idx="3">
                  <c:v>0.10810810810810811</c:v>
                </c:pt>
                <c:pt idx="4">
                  <c:v>4.5045045045045043E-2</c:v>
                </c:pt>
              </c:numCache>
            </c:numRef>
          </c:val>
        </c:ser>
        <c:ser>
          <c:idx val="3"/>
          <c:order val="3"/>
          <c:tx>
            <c:strRef>
              <c:f>'FORMULAS FEB'!$EZ$15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FEB'!$EV$16:$EV$20</c:f>
              <c:strCache>
                <c:ptCount val="5"/>
                <c:pt idx="0">
                  <c:v>Para compra de unidades nuevas</c:v>
                </c:pt>
                <c:pt idx="1">
                  <c:v>Para compra de unidades usadas</c:v>
                </c:pt>
                <c:pt idx="2">
                  <c:v>Para mejora de unidades</c:v>
                </c:pt>
                <c:pt idx="3">
                  <c:v>Para Operación del negocio</c:v>
                </c:pt>
                <c:pt idx="4">
                  <c:v>Ninguno</c:v>
                </c:pt>
              </c:strCache>
            </c:strRef>
          </c:cat>
          <c:val>
            <c:numRef>
              <c:f>'FORMULAS FEB'!$EZ$16:$EZ$20</c:f>
              <c:numCache>
                <c:formatCode>0.0%</c:formatCode>
                <c:ptCount val="5"/>
                <c:pt idx="0">
                  <c:v>0.58139534883720934</c:v>
                </c:pt>
                <c:pt idx="1">
                  <c:v>9.3023255813953487E-2</c:v>
                </c:pt>
                <c:pt idx="2">
                  <c:v>0.11627906976744186</c:v>
                </c:pt>
                <c:pt idx="3">
                  <c:v>0.13953488372093023</c:v>
                </c:pt>
                <c:pt idx="4">
                  <c:v>6.9767441860465115E-2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7629312"/>
        <c:axId val="207643392"/>
        <c:axId val="0"/>
      </c:bar3DChart>
      <c:catAx>
        <c:axId val="2076293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643392"/>
        <c:crosses val="autoZero"/>
        <c:auto val="1"/>
        <c:lblAlgn val="ctr"/>
        <c:lblOffset val="100"/>
        <c:noMultiLvlLbl val="0"/>
      </c:catAx>
      <c:valAx>
        <c:axId val="20764339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6293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OPINIÓN SOBRE EL PROGRAMA DE CHATARRIZACIÓN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519981100576916E-2"/>
          <c:y val="0.17300256017946683"/>
          <c:w val="0.72526012022768416"/>
          <c:h val="0.7468270548786586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FEB'!$EW$24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FEB'!$EV$25:$EV$30</c:f>
              <c:strCache>
                <c:ptCount val="6"/>
                <c:pt idx="0">
                  <c:v>PAGAN POCO</c:v>
                </c:pt>
                <c:pt idx="1">
                  <c:v>ES BUEN PROGRAMA</c:v>
                </c:pt>
                <c:pt idx="2">
                  <c:v>NO ES BUENO</c:v>
                </c:pt>
                <c:pt idx="3">
                  <c:v>DEBE MEJORAR</c:v>
                </c:pt>
                <c:pt idx="4">
                  <c:v>SE NECESITA CAPITAL</c:v>
                </c:pt>
                <c:pt idx="5">
                  <c:v>CRÉDITO CARO</c:v>
                </c:pt>
              </c:strCache>
            </c:strRef>
          </c:cat>
          <c:val>
            <c:numRef>
              <c:f>'FORMULAS FEB'!$EW$25:$EW$30</c:f>
              <c:numCache>
                <c:formatCode>0.0%</c:formatCode>
                <c:ptCount val="6"/>
                <c:pt idx="0">
                  <c:v>0.58823529411764708</c:v>
                </c:pt>
                <c:pt idx="1">
                  <c:v>0.20588235294117646</c:v>
                </c:pt>
                <c:pt idx="2">
                  <c:v>5.8823529411764705E-2</c:v>
                </c:pt>
                <c:pt idx="3">
                  <c:v>2.9411764705882353E-2</c:v>
                </c:pt>
                <c:pt idx="4">
                  <c:v>0</c:v>
                </c:pt>
                <c:pt idx="5">
                  <c:v>0.11764705882352941</c:v>
                </c:pt>
              </c:numCache>
            </c:numRef>
          </c:val>
        </c:ser>
        <c:ser>
          <c:idx val="1"/>
          <c:order val="1"/>
          <c:tx>
            <c:strRef>
              <c:f>'FORMULAS FEB'!$EX$24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FEB'!$EV$25:$EV$30</c:f>
              <c:strCache>
                <c:ptCount val="6"/>
                <c:pt idx="0">
                  <c:v>PAGAN POCO</c:v>
                </c:pt>
                <c:pt idx="1">
                  <c:v>ES BUEN PROGRAMA</c:v>
                </c:pt>
                <c:pt idx="2">
                  <c:v>NO ES BUENO</c:v>
                </c:pt>
                <c:pt idx="3">
                  <c:v>DEBE MEJORAR</c:v>
                </c:pt>
                <c:pt idx="4">
                  <c:v>SE NECESITA CAPITAL</c:v>
                </c:pt>
                <c:pt idx="5">
                  <c:v>CRÉDITO CARO</c:v>
                </c:pt>
              </c:strCache>
            </c:strRef>
          </c:cat>
          <c:val>
            <c:numRef>
              <c:f>'FORMULAS FEB'!$EX$25:$EX$30</c:f>
              <c:numCache>
                <c:formatCode>0.0%</c:formatCode>
                <c:ptCount val="6"/>
                <c:pt idx="0">
                  <c:v>0.56000000000000005</c:v>
                </c:pt>
                <c:pt idx="1">
                  <c:v>0.16</c:v>
                </c:pt>
                <c:pt idx="2">
                  <c:v>0.12</c:v>
                </c:pt>
                <c:pt idx="3">
                  <c:v>0.08</c:v>
                </c:pt>
                <c:pt idx="4">
                  <c:v>0.08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FEB'!$EY$24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FEB'!$EV$25:$EV$30</c:f>
              <c:strCache>
                <c:ptCount val="6"/>
                <c:pt idx="0">
                  <c:v>PAGAN POCO</c:v>
                </c:pt>
                <c:pt idx="1">
                  <c:v>ES BUEN PROGRAMA</c:v>
                </c:pt>
                <c:pt idx="2">
                  <c:v>NO ES BUENO</c:v>
                </c:pt>
                <c:pt idx="3">
                  <c:v>DEBE MEJORAR</c:v>
                </c:pt>
                <c:pt idx="4">
                  <c:v>SE NECESITA CAPITAL</c:v>
                </c:pt>
                <c:pt idx="5">
                  <c:v>CRÉDITO CARO</c:v>
                </c:pt>
              </c:strCache>
            </c:strRef>
          </c:cat>
          <c:val>
            <c:numRef>
              <c:f>'FORMULAS FEB'!$EY$25:$EY$30</c:f>
              <c:numCache>
                <c:formatCode>0.0%</c:formatCode>
                <c:ptCount val="6"/>
                <c:pt idx="0">
                  <c:v>0.52777777777777779</c:v>
                </c:pt>
                <c:pt idx="1">
                  <c:v>0.19444444444444445</c:v>
                </c:pt>
                <c:pt idx="2">
                  <c:v>5.5555555555555552E-2</c:v>
                </c:pt>
                <c:pt idx="3">
                  <c:v>5.5555555555555552E-2</c:v>
                </c:pt>
                <c:pt idx="4">
                  <c:v>5.5555555555555552E-2</c:v>
                </c:pt>
                <c:pt idx="5">
                  <c:v>0.1111111111111111</c:v>
                </c:pt>
              </c:numCache>
            </c:numRef>
          </c:val>
        </c:ser>
        <c:ser>
          <c:idx val="3"/>
          <c:order val="3"/>
          <c:tx>
            <c:strRef>
              <c:f>'FORMULAS FEB'!$EZ$24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FEB'!$EV$25:$EV$30</c:f>
              <c:strCache>
                <c:ptCount val="6"/>
                <c:pt idx="0">
                  <c:v>PAGAN POCO</c:v>
                </c:pt>
                <c:pt idx="1">
                  <c:v>ES BUEN PROGRAMA</c:v>
                </c:pt>
                <c:pt idx="2">
                  <c:v>NO ES BUENO</c:v>
                </c:pt>
                <c:pt idx="3">
                  <c:v>DEBE MEJORAR</c:v>
                </c:pt>
                <c:pt idx="4">
                  <c:v>SE NECESITA CAPITAL</c:v>
                </c:pt>
                <c:pt idx="5">
                  <c:v>CRÉDITO CARO</c:v>
                </c:pt>
              </c:strCache>
            </c:strRef>
          </c:cat>
          <c:val>
            <c:numRef>
              <c:f>'FORMULAS FEB'!$EZ$25:$EZ$30</c:f>
              <c:numCache>
                <c:formatCode>0.0%</c:formatCode>
                <c:ptCount val="6"/>
                <c:pt idx="0">
                  <c:v>0.42307692307692307</c:v>
                </c:pt>
                <c:pt idx="1">
                  <c:v>0.26923076923076922</c:v>
                </c:pt>
                <c:pt idx="2">
                  <c:v>0.23076923076923078</c:v>
                </c:pt>
                <c:pt idx="3">
                  <c:v>3.8461538461538464E-2</c:v>
                </c:pt>
                <c:pt idx="4">
                  <c:v>0</c:v>
                </c:pt>
                <c:pt idx="5">
                  <c:v>3.8461538461538464E-2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7697408"/>
        <c:axId val="207698944"/>
        <c:axId val="0"/>
      </c:bar3DChart>
      <c:catAx>
        <c:axId val="2076974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698944"/>
        <c:crosses val="autoZero"/>
        <c:auto val="1"/>
        <c:lblAlgn val="ctr"/>
        <c:lblOffset val="100"/>
        <c:noMultiLvlLbl val="0"/>
      </c:catAx>
      <c:valAx>
        <c:axId val="207698944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69740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GENERACIÓN DE RESERVAS FINANCIERAS SEGÚN NIVEL EDUCATIVO</a:t>
            </a:r>
          </a:p>
          <a:p>
            <a:pPr>
              <a:defRPr sz="1400"/>
            </a:pPr>
            <a:r>
              <a:rPr lang="es-MX" sz="1200"/>
              <a:t>RESERVA PARA COMPRA DE UNIDAD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FEB'!$EV$35</c:f>
              <c:strCache>
                <c:ptCount val="1"/>
                <c:pt idx="0">
                  <c:v>SIN ESTUDIOS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FEB'!$EW$34:$EX$34</c:f>
              <c:strCache>
                <c:ptCount val="2"/>
                <c:pt idx="0">
                  <c:v>RESERVA PARA COMPRA DE UNIDAD</c:v>
                </c:pt>
                <c:pt idx="1">
                  <c:v>NO RESERVA PARA COMPRA DE UNIDAD</c:v>
                </c:pt>
              </c:strCache>
            </c:strRef>
          </c:cat>
          <c:val>
            <c:numRef>
              <c:f>'FORMULAS FEB'!$EW$35:$EX$35</c:f>
              <c:numCache>
                <c:formatCode>General</c:formatCode>
                <c:ptCount val="2"/>
                <c:pt idx="0">
                  <c:v>0</c:v>
                </c:pt>
                <c:pt idx="1">
                  <c:v>16</c:v>
                </c:pt>
              </c:numCache>
            </c:numRef>
          </c:val>
        </c:ser>
        <c:ser>
          <c:idx val="1"/>
          <c:order val="1"/>
          <c:tx>
            <c:strRef>
              <c:f>'FORMULAS FEB'!$EV$36</c:f>
              <c:strCache>
                <c:ptCount val="1"/>
                <c:pt idx="0">
                  <c:v>PRIMARIA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FEB'!$EW$34:$EX$34</c:f>
              <c:strCache>
                <c:ptCount val="2"/>
                <c:pt idx="0">
                  <c:v>RESERVA PARA COMPRA DE UNIDAD</c:v>
                </c:pt>
                <c:pt idx="1">
                  <c:v>NO RESERVA PARA COMPRA DE UNIDAD</c:v>
                </c:pt>
              </c:strCache>
            </c:strRef>
          </c:cat>
          <c:val>
            <c:numRef>
              <c:f>'FORMULAS FEB'!$EW$36:$EX$36</c:f>
              <c:numCache>
                <c:formatCode>General</c:formatCode>
                <c:ptCount val="2"/>
                <c:pt idx="0">
                  <c:v>13</c:v>
                </c:pt>
                <c:pt idx="1">
                  <c:v>61</c:v>
                </c:pt>
              </c:numCache>
            </c:numRef>
          </c:val>
        </c:ser>
        <c:ser>
          <c:idx val="2"/>
          <c:order val="2"/>
          <c:tx>
            <c:strRef>
              <c:f>'FORMULAS FEB'!$EV$37</c:f>
              <c:strCache>
                <c:ptCount val="1"/>
                <c:pt idx="0">
                  <c:v>SECUNDARIA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FEB'!$EW$34:$EX$34</c:f>
              <c:strCache>
                <c:ptCount val="2"/>
                <c:pt idx="0">
                  <c:v>RESERVA PARA COMPRA DE UNIDAD</c:v>
                </c:pt>
                <c:pt idx="1">
                  <c:v>NO RESERVA PARA COMPRA DE UNIDAD</c:v>
                </c:pt>
              </c:strCache>
            </c:strRef>
          </c:cat>
          <c:val>
            <c:numRef>
              <c:f>'FORMULAS FEB'!$EW$37:$EX$37</c:f>
              <c:numCache>
                <c:formatCode>General</c:formatCode>
                <c:ptCount val="2"/>
                <c:pt idx="0">
                  <c:v>25</c:v>
                </c:pt>
                <c:pt idx="1">
                  <c:v>92</c:v>
                </c:pt>
              </c:numCache>
            </c:numRef>
          </c:val>
        </c:ser>
        <c:ser>
          <c:idx val="3"/>
          <c:order val="3"/>
          <c:tx>
            <c:strRef>
              <c:f>'FORMULAS FEB'!$EV$38</c:f>
              <c:strCache>
                <c:ptCount val="1"/>
                <c:pt idx="0">
                  <c:v>PREPARATORIA / BACHILLERATO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FEB'!$EW$34:$EX$34</c:f>
              <c:strCache>
                <c:ptCount val="2"/>
                <c:pt idx="0">
                  <c:v>RESERVA PARA COMPRA DE UNIDAD</c:v>
                </c:pt>
                <c:pt idx="1">
                  <c:v>NO RESERVA PARA COMPRA DE UNIDAD</c:v>
                </c:pt>
              </c:strCache>
            </c:strRef>
          </c:cat>
          <c:val>
            <c:numRef>
              <c:f>'FORMULAS FEB'!$EW$38:$EX$38</c:f>
              <c:numCache>
                <c:formatCode>General</c:formatCode>
                <c:ptCount val="2"/>
                <c:pt idx="0">
                  <c:v>41</c:v>
                </c:pt>
                <c:pt idx="1">
                  <c:v>69</c:v>
                </c:pt>
              </c:numCache>
            </c:numRef>
          </c:val>
        </c:ser>
        <c:ser>
          <c:idx val="4"/>
          <c:order val="4"/>
          <c:tx>
            <c:strRef>
              <c:f>'FORMULAS FEB'!$EV$39</c:f>
              <c:strCache>
                <c:ptCount val="1"/>
                <c:pt idx="0">
                  <c:v>LICENCIATURA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1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FEB'!$EW$34:$EX$34</c:f>
              <c:strCache>
                <c:ptCount val="2"/>
                <c:pt idx="0">
                  <c:v>RESERVA PARA COMPRA DE UNIDAD</c:v>
                </c:pt>
                <c:pt idx="1">
                  <c:v>NO RESERVA PARA COMPRA DE UNIDAD</c:v>
                </c:pt>
              </c:strCache>
            </c:strRef>
          </c:cat>
          <c:val>
            <c:numRef>
              <c:f>'FORMULAS FEB'!$EW$39:$EX$39</c:f>
              <c:numCache>
                <c:formatCode>General</c:formatCode>
                <c:ptCount val="2"/>
                <c:pt idx="0">
                  <c:v>50</c:v>
                </c:pt>
                <c:pt idx="1">
                  <c:v>39</c:v>
                </c:pt>
              </c:numCache>
            </c:numRef>
          </c:val>
        </c:ser>
        <c:ser>
          <c:idx val="5"/>
          <c:order val="5"/>
          <c:tx>
            <c:strRef>
              <c:f>'FORMULAS FEB'!$EV$40</c:f>
              <c:strCache>
                <c:ptCount val="1"/>
                <c:pt idx="0">
                  <c:v>OTROS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FEB'!$EW$34:$EX$34</c:f>
              <c:strCache>
                <c:ptCount val="2"/>
                <c:pt idx="0">
                  <c:v>RESERVA PARA COMPRA DE UNIDAD</c:v>
                </c:pt>
                <c:pt idx="1">
                  <c:v>NO RESERVA PARA COMPRA DE UNIDAD</c:v>
                </c:pt>
              </c:strCache>
            </c:strRef>
          </c:cat>
          <c:val>
            <c:numRef>
              <c:f>'FORMULAS FEB'!$EW$40:$EX$40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7780096"/>
        <c:axId val="207785984"/>
        <c:axId val="0"/>
      </c:bar3DChart>
      <c:catAx>
        <c:axId val="2077800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785984"/>
        <c:crosses val="autoZero"/>
        <c:auto val="1"/>
        <c:lblAlgn val="ctr"/>
        <c:lblOffset val="100"/>
        <c:noMultiLvlLbl val="0"/>
      </c:catAx>
      <c:valAx>
        <c:axId val="20778598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78009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GENERACIÓN DE RESERVAS FINANCIERAS SEGÚN NIVEL EDUCATIVO</a:t>
            </a:r>
          </a:p>
          <a:p>
            <a:pPr>
              <a:defRPr sz="1400"/>
            </a:pPr>
            <a:r>
              <a:rPr lang="es-MX" sz="1200"/>
              <a:t>RESERVA PARA AHORRO</a:t>
            </a:r>
          </a:p>
          <a:p>
            <a:pPr>
              <a:defRPr sz="1400"/>
            </a:pPr>
            <a:r>
              <a:rPr lang="es-MX" sz="1000"/>
              <a:t>ENCUESTA</a:t>
            </a:r>
            <a:r>
              <a:rPr lang="es-MX" sz="1000" baseline="0"/>
              <a:t> A PROPIETARIOS</a:t>
            </a:r>
            <a:endParaRPr lang="es-MX" sz="10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2"/>
          <c:order val="0"/>
          <c:tx>
            <c:strRef>
              <c:f>'FORMULAS FEB'!$EV$35</c:f>
              <c:strCache>
                <c:ptCount val="1"/>
                <c:pt idx="0">
                  <c:v>SIN ESTUDIOS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5.3507230427834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5151515151515715E-3"/>
                  <c:y val="-1.0701446085566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FEB'!$EY$34:$EZ$34</c:f>
              <c:strCache>
                <c:ptCount val="2"/>
                <c:pt idx="0">
                  <c:v>RESERVA PARA AHORRO</c:v>
                </c:pt>
                <c:pt idx="1">
                  <c:v>NO RESERVA PARA AHORRO</c:v>
                </c:pt>
              </c:strCache>
            </c:strRef>
          </c:cat>
          <c:val>
            <c:numRef>
              <c:f>'FORMULAS FEB'!$EY$35:$EZ$35</c:f>
              <c:numCache>
                <c:formatCode>General</c:formatCode>
                <c:ptCount val="2"/>
                <c:pt idx="0">
                  <c:v>1</c:v>
                </c:pt>
                <c:pt idx="1">
                  <c:v>15</c:v>
                </c:pt>
              </c:numCache>
            </c:numRef>
          </c:val>
        </c:ser>
        <c:ser>
          <c:idx val="3"/>
          <c:order val="1"/>
          <c:tx>
            <c:strRef>
              <c:f>'FORMULAS FEB'!$EV$36</c:f>
              <c:strCache>
                <c:ptCount val="1"/>
                <c:pt idx="0">
                  <c:v>PRIMARIA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5151515151515165E-3"/>
                  <c:y val="-1.872753064974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0303030303029783E-3"/>
                  <c:y val="-1.6052169128350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FEB'!$EY$34:$EZ$34</c:f>
              <c:strCache>
                <c:ptCount val="2"/>
                <c:pt idx="0">
                  <c:v>RESERVA PARA AHORRO</c:v>
                </c:pt>
                <c:pt idx="1">
                  <c:v>NO RESERVA PARA AHORRO</c:v>
                </c:pt>
              </c:strCache>
            </c:strRef>
          </c:cat>
          <c:val>
            <c:numRef>
              <c:f>'FORMULAS FEB'!$EY$36:$EZ$36</c:f>
              <c:numCache>
                <c:formatCode>General</c:formatCode>
                <c:ptCount val="2"/>
                <c:pt idx="0">
                  <c:v>31</c:v>
                </c:pt>
                <c:pt idx="1">
                  <c:v>43</c:v>
                </c:pt>
              </c:numCache>
            </c:numRef>
          </c:val>
        </c:ser>
        <c:ser>
          <c:idx val="0"/>
          <c:order val="2"/>
          <c:tx>
            <c:strRef>
              <c:f>'FORMULAS FEB'!$EV$37</c:f>
              <c:strCache>
                <c:ptCount val="1"/>
                <c:pt idx="0">
                  <c:v>SECUNDARIA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5151515151515165E-3"/>
                  <c:y val="-1.872753064974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5151515151515165E-3"/>
                  <c:y val="-2.4078253692525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FEB'!$EY$34:$EZ$34</c:f>
              <c:strCache>
                <c:ptCount val="2"/>
                <c:pt idx="0">
                  <c:v>RESERVA PARA AHORRO</c:v>
                </c:pt>
                <c:pt idx="1">
                  <c:v>NO RESERVA PARA AHORRO</c:v>
                </c:pt>
              </c:strCache>
            </c:strRef>
          </c:cat>
          <c:val>
            <c:numRef>
              <c:f>'FORMULAS FEB'!$EY$37:$EZ$37</c:f>
              <c:numCache>
                <c:formatCode>General</c:formatCode>
                <c:ptCount val="2"/>
                <c:pt idx="0">
                  <c:v>46</c:v>
                </c:pt>
                <c:pt idx="1">
                  <c:v>71</c:v>
                </c:pt>
              </c:numCache>
            </c:numRef>
          </c:val>
        </c:ser>
        <c:ser>
          <c:idx val="1"/>
          <c:order val="3"/>
          <c:tx>
            <c:strRef>
              <c:f>'FORMULAS FEB'!$EV$38</c:f>
              <c:strCache>
                <c:ptCount val="1"/>
                <c:pt idx="0">
                  <c:v>PREPARATORIA / BACHILLERATO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3.0303030303030312E-3"/>
                  <c:y val="-1.6052169128350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606060606060617E-2"/>
                  <c:y val="-5.3507230427834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FEB'!$EY$34:$EZ$34</c:f>
              <c:strCache>
                <c:ptCount val="2"/>
                <c:pt idx="0">
                  <c:v>RESERVA PARA AHORRO</c:v>
                </c:pt>
                <c:pt idx="1">
                  <c:v>NO RESERVA PARA AHORRO</c:v>
                </c:pt>
              </c:strCache>
            </c:strRef>
          </c:cat>
          <c:val>
            <c:numRef>
              <c:f>'FORMULAS FEB'!$EY$38:$EZ$38</c:f>
              <c:numCache>
                <c:formatCode>General</c:formatCode>
                <c:ptCount val="2"/>
                <c:pt idx="0">
                  <c:v>65</c:v>
                </c:pt>
                <c:pt idx="1">
                  <c:v>45</c:v>
                </c:pt>
              </c:numCache>
            </c:numRef>
          </c:val>
        </c:ser>
        <c:ser>
          <c:idx val="4"/>
          <c:order val="4"/>
          <c:tx>
            <c:strRef>
              <c:f>'FORMULAS FEB'!$EV$39</c:f>
              <c:strCache>
                <c:ptCount val="1"/>
                <c:pt idx="0">
                  <c:v>LICENCIATURA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4.5454545454545487E-3"/>
                  <c:y val="-2.67536152139170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2121212121212118E-2"/>
                  <c:y val="-2.6753615213917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FEB'!$EY$34:$EZ$34</c:f>
              <c:strCache>
                <c:ptCount val="2"/>
                <c:pt idx="0">
                  <c:v>RESERVA PARA AHORRO</c:v>
                </c:pt>
                <c:pt idx="1">
                  <c:v>NO RESERVA PARA AHORRO</c:v>
                </c:pt>
              </c:strCache>
            </c:strRef>
          </c:cat>
          <c:val>
            <c:numRef>
              <c:f>'FORMULAS FEB'!$EY$39:$EZ$39</c:f>
              <c:numCache>
                <c:formatCode>General</c:formatCode>
                <c:ptCount val="2"/>
                <c:pt idx="0">
                  <c:v>76</c:v>
                </c:pt>
                <c:pt idx="1">
                  <c:v>13</c:v>
                </c:pt>
              </c:numCache>
            </c:numRef>
          </c:val>
        </c:ser>
        <c:ser>
          <c:idx val="5"/>
          <c:order val="5"/>
          <c:tx>
            <c:strRef>
              <c:f>'FORMULAS FEB'!$EV$40</c:f>
              <c:strCache>
                <c:ptCount val="1"/>
                <c:pt idx="0">
                  <c:v>OTROS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2121212121212118E-2"/>
                  <c:y val="-5.3507230427834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5151515151515162E-2"/>
                  <c:y val="-1.3376807606958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200"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FEB'!$EY$34:$EZ$34</c:f>
              <c:strCache>
                <c:ptCount val="2"/>
                <c:pt idx="0">
                  <c:v>RESERVA PARA AHORRO</c:v>
                </c:pt>
                <c:pt idx="1">
                  <c:v>NO RESERVA PARA AHORRO</c:v>
                </c:pt>
              </c:strCache>
            </c:strRef>
          </c:cat>
          <c:val>
            <c:numRef>
              <c:f>'FORMULAS FEB'!$EY$40:$EZ$40</c:f>
              <c:numCache>
                <c:formatCode>General</c:formatCode>
                <c:ptCount val="2"/>
                <c:pt idx="0">
                  <c:v>3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7846016"/>
        <c:axId val="207864192"/>
        <c:axId val="0"/>
      </c:bar3DChart>
      <c:catAx>
        <c:axId val="2078460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864192"/>
        <c:crosses val="autoZero"/>
        <c:auto val="1"/>
        <c:lblAlgn val="ctr"/>
        <c:lblOffset val="100"/>
        <c:noMultiLvlLbl val="0"/>
      </c:catAx>
      <c:valAx>
        <c:axId val="20786419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8460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CONOCE EL PROGRAMA DE MODERNIZACIÓN DEL TRANSPORTE DE NAFIN</a:t>
            </a:r>
          </a:p>
        </c:rich>
      </c:tx>
      <c:overlay val="0"/>
    </c:title>
    <c:autoTitleDeleted val="0"/>
    <c:view3D>
      <c:rotX val="30"/>
      <c:rotY val="9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FORMULAS!$AL$2</c:f>
              <c:strCache>
                <c:ptCount val="1"/>
                <c:pt idx="0">
                  <c:v>CONOCE EL PROGRAMA DE MODERNIZACIÓN DEL TRANSPORTE DE NAFIN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dPt>
            <c:idx val="1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</c:dPt>
          <c:dLbls>
            <c:dLbl>
              <c:idx val="0"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FORMULAS!$AL$3:$AL$4</c:f>
              <c:strCache>
                <c:ptCount val="2"/>
                <c:pt idx="0">
                  <c:v>No</c:v>
                </c:pt>
                <c:pt idx="1">
                  <c:v>Sí</c:v>
                </c:pt>
              </c:strCache>
            </c:strRef>
          </c:cat>
          <c:val>
            <c:numRef>
              <c:f>FORMULAS!$AM$3:$AM$4</c:f>
              <c:numCache>
                <c:formatCode>0.0%</c:formatCode>
                <c:ptCount val="2"/>
                <c:pt idx="0">
                  <c:v>0.87104622871046233</c:v>
                </c:pt>
                <c:pt idx="1">
                  <c:v>0.12895377128953772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CONTRATACIÓN DE CRÉDITO SEGÚN NIVEL DE ESCOLARIDAD</a:t>
            </a:r>
          </a:p>
          <a:p>
            <a:pPr>
              <a:defRPr sz="1400"/>
            </a:pPr>
            <a:r>
              <a:rPr lang="es-MX" sz="12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519981100576916E-2"/>
          <c:y val="0.20618827621720642"/>
          <c:w val="0.6864894976796867"/>
          <c:h val="0.695126669387756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FEB'!$EV$45</c:f>
              <c:strCache>
                <c:ptCount val="1"/>
                <c:pt idx="0">
                  <c:v>SIN ESTUDIOS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FEB'!$EW$44:$FA$44</c:f>
              <c:strCache>
                <c:ptCount val="5"/>
                <c:pt idx="0">
                  <c:v>Para compra de unidades nuevas</c:v>
                </c:pt>
                <c:pt idx="1">
                  <c:v>Para compra de unidades usadas</c:v>
                </c:pt>
                <c:pt idx="2">
                  <c:v>Para mejora de unidades</c:v>
                </c:pt>
                <c:pt idx="3">
                  <c:v>Para Operación del negocio</c:v>
                </c:pt>
                <c:pt idx="4">
                  <c:v>Ninguno</c:v>
                </c:pt>
              </c:strCache>
            </c:strRef>
          </c:cat>
          <c:val>
            <c:numRef>
              <c:f>'FORMULAS FEB'!$EW$45:$FA$45</c:f>
              <c:numCache>
                <c:formatCode>0.0%</c:formatCode>
                <c:ptCount val="5"/>
                <c:pt idx="0">
                  <c:v>3.0303030303030304E-2</c:v>
                </c:pt>
                <c:pt idx="1">
                  <c:v>6.7796610169491525E-2</c:v>
                </c:pt>
                <c:pt idx="2">
                  <c:v>1.4285714285714285E-2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'FORMULAS FEB'!$EV$46</c:f>
              <c:strCache>
                <c:ptCount val="1"/>
                <c:pt idx="0">
                  <c:v>PRIMARIA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FEB'!$EW$44:$FA$44</c:f>
              <c:strCache>
                <c:ptCount val="5"/>
                <c:pt idx="0">
                  <c:v>Para compra de unidades nuevas</c:v>
                </c:pt>
                <c:pt idx="1">
                  <c:v>Para compra de unidades usadas</c:v>
                </c:pt>
                <c:pt idx="2">
                  <c:v>Para mejora de unidades</c:v>
                </c:pt>
                <c:pt idx="3">
                  <c:v>Para Operación del negocio</c:v>
                </c:pt>
                <c:pt idx="4">
                  <c:v>Ninguno</c:v>
                </c:pt>
              </c:strCache>
            </c:strRef>
          </c:cat>
          <c:val>
            <c:numRef>
              <c:f>'FORMULAS FEB'!$EW$46:$FA$46</c:f>
              <c:numCache>
                <c:formatCode>0.0%</c:formatCode>
                <c:ptCount val="5"/>
                <c:pt idx="0">
                  <c:v>8.6580086580086577E-2</c:v>
                </c:pt>
                <c:pt idx="1">
                  <c:v>0.34745762711864409</c:v>
                </c:pt>
                <c:pt idx="2">
                  <c:v>0.17142857142857143</c:v>
                </c:pt>
                <c:pt idx="3">
                  <c:v>0.11428571428571428</c:v>
                </c:pt>
                <c:pt idx="4">
                  <c:v>0.16666666666666666</c:v>
                </c:pt>
              </c:numCache>
            </c:numRef>
          </c:val>
        </c:ser>
        <c:ser>
          <c:idx val="2"/>
          <c:order val="2"/>
          <c:tx>
            <c:strRef>
              <c:f>'FORMULAS FEB'!$EV$47</c:f>
              <c:strCache>
                <c:ptCount val="1"/>
                <c:pt idx="0">
                  <c:v>SECUNDARIA</c:v>
                </c:pt>
              </c:strCache>
            </c:strRef>
          </c:tx>
          <c:invertIfNegative val="0"/>
          <c:dLbls>
            <c:dLbl>
              <c:idx val="4"/>
              <c:layout>
                <c:manualLayout>
                  <c:x val="2.7234040119815499E-2"/>
                  <c:y val="7.9463618489536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FEB'!$EW$44:$FA$44</c:f>
              <c:strCache>
                <c:ptCount val="5"/>
                <c:pt idx="0">
                  <c:v>Para compra de unidades nuevas</c:v>
                </c:pt>
                <c:pt idx="1">
                  <c:v>Para compra de unidades usadas</c:v>
                </c:pt>
                <c:pt idx="2">
                  <c:v>Para mejora de unidades</c:v>
                </c:pt>
                <c:pt idx="3">
                  <c:v>Para Operación del negocio</c:v>
                </c:pt>
                <c:pt idx="4">
                  <c:v>Ninguno</c:v>
                </c:pt>
              </c:strCache>
            </c:strRef>
          </c:cat>
          <c:val>
            <c:numRef>
              <c:f>'FORMULAS FEB'!$EW$47:$FA$47</c:f>
              <c:numCache>
                <c:formatCode>0.0%</c:formatCode>
                <c:ptCount val="5"/>
                <c:pt idx="0">
                  <c:v>0.22510822510822512</c:v>
                </c:pt>
                <c:pt idx="1">
                  <c:v>0.36440677966101692</c:v>
                </c:pt>
                <c:pt idx="2">
                  <c:v>0.2</c:v>
                </c:pt>
                <c:pt idx="3">
                  <c:v>0.14285714285714285</c:v>
                </c:pt>
                <c:pt idx="4">
                  <c:v>0.5</c:v>
                </c:pt>
              </c:numCache>
            </c:numRef>
          </c:val>
        </c:ser>
        <c:ser>
          <c:idx val="3"/>
          <c:order val="3"/>
          <c:tx>
            <c:strRef>
              <c:f>'FORMULAS FEB'!$EV$48</c:f>
              <c:strCache>
                <c:ptCount val="1"/>
                <c:pt idx="0">
                  <c:v>PREPARATORIA / BACHILLERATO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FEB'!$EW$44:$FA$44</c:f>
              <c:strCache>
                <c:ptCount val="5"/>
                <c:pt idx="0">
                  <c:v>Para compra de unidades nuevas</c:v>
                </c:pt>
                <c:pt idx="1">
                  <c:v>Para compra de unidades usadas</c:v>
                </c:pt>
                <c:pt idx="2">
                  <c:v>Para mejora de unidades</c:v>
                </c:pt>
                <c:pt idx="3">
                  <c:v>Para Operación del negocio</c:v>
                </c:pt>
                <c:pt idx="4">
                  <c:v>Ninguno</c:v>
                </c:pt>
              </c:strCache>
            </c:strRef>
          </c:cat>
          <c:val>
            <c:numRef>
              <c:f>'FORMULAS FEB'!$EW$48:$FA$48</c:f>
              <c:numCache>
                <c:formatCode>0.0%</c:formatCode>
                <c:ptCount val="5"/>
                <c:pt idx="0">
                  <c:v>0.31601731601731603</c:v>
                </c:pt>
                <c:pt idx="1">
                  <c:v>0.1440677966101695</c:v>
                </c:pt>
                <c:pt idx="2">
                  <c:v>0.45714285714285713</c:v>
                </c:pt>
                <c:pt idx="3">
                  <c:v>0.34285714285714286</c:v>
                </c:pt>
                <c:pt idx="4">
                  <c:v>0.2</c:v>
                </c:pt>
              </c:numCache>
            </c:numRef>
          </c:val>
        </c:ser>
        <c:ser>
          <c:idx val="4"/>
          <c:order val="4"/>
          <c:tx>
            <c:strRef>
              <c:f>'FORMULAS FEB'!$EV$49</c:f>
              <c:strCache>
                <c:ptCount val="1"/>
                <c:pt idx="0">
                  <c:v>LICENCIATURA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FEB'!$EW$44:$FA$44</c:f>
              <c:strCache>
                <c:ptCount val="5"/>
                <c:pt idx="0">
                  <c:v>Para compra de unidades nuevas</c:v>
                </c:pt>
                <c:pt idx="1">
                  <c:v>Para compra de unidades usadas</c:v>
                </c:pt>
                <c:pt idx="2">
                  <c:v>Para mejora de unidades</c:v>
                </c:pt>
                <c:pt idx="3">
                  <c:v>Para Operación del negocio</c:v>
                </c:pt>
                <c:pt idx="4">
                  <c:v>Ninguno</c:v>
                </c:pt>
              </c:strCache>
            </c:strRef>
          </c:cat>
          <c:val>
            <c:numRef>
              <c:f>'FORMULAS FEB'!$EW$49:$FA$49</c:f>
              <c:numCache>
                <c:formatCode>0.0%</c:formatCode>
                <c:ptCount val="5"/>
                <c:pt idx="0">
                  <c:v>0.33333333333333331</c:v>
                </c:pt>
                <c:pt idx="1">
                  <c:v>6.7796610169491525E-2</c:v>
                </c:pt>
                <c:pt idx="2">
                  <c:v>0.15714285714285714</c:v>
                </c:pt>
                <c:pt idx="3">
                  <c:v>0.37142857142857144</c:v>
                </c:pt>
                <c:pt idx="4">
                  <c:v>0.13333333333333333</c:v>
                </c:pt>
              </c:numCache>
            </c:numRef>
          </c:val>
        </c:ser>
        <c:ser>
          <c:idx val="5"/>
          <c:order val="5"/>
          <c:tx>
            <c:strRef>
              <c:f>'FORMULAS FEB'!$EV$50</c:f>
              <c:strCache>
                <c:ptCount val="1"/>
                <c:pt idx="0">
                  <c:v>OTROS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FEB'!$EW$44:$FA$44</c:f>
              <c:strCache>
                <c:ptCount val="5"/>
                <c:pt idx="0">
                  <c:v>Para compra de unidades nuevas</c:v>
                </c:pt>
                <c:pt idx="1">
                  <c:v>Para compra de unidades usadas</c:v>
                </c:pt>
                <c:pt idx="2">
                  <c:v>Para mejora de unidades</c:v>
                </c:pt>
                <c:pt idx="3">
                  <c:v>Para Operación del negocio</c:v>
                </c:pt>
                <c:pt idx="4">
                  <c:v>Ninguno</c:v>
                </c:pt>
              </c:strCache>
            </c:strRef>
          </c:cat>
          <c:val>
            <c:numRef>
              <c:f>'FORMULAS FEB'!$EW$50:$FA$50</c:f>
              <c:numCache>
                <c:formatCode>0.0%</c:formatCode>
                <c:ptCount val="5"/>
                <c:pt idx="0">
                  <c:v>8.658008658008658E-3</c:v>
                </c:pt>
                <c:pt idx="1">
                  <c:v>8.4745762711864406E-3</c:v>
                </c:pt>
                <c:pt idx="2">
                  <c:v>0</c:v>
                </c:pt>
                <c:pt idx="3">
                  <c:v>2.8571428571428571E-2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7084544"/>
        <c:axId val="207090432"/>
        <c:axId val="0"/>
      </c:bar3DChart>
      <c:catAx>
        <c:axId val="2070845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090432"/>
        <c:crosses val="autoZero"/>
        <c:auto val="1"/>
        <c:lblAlgn val="ctr"/>
        <c:lblOffset val="100"/>
        <c:noMultiLvlLbl val="0"/>
      </c:catAx>
      <c:valAx>
        <c:axId val="20709043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0845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FORMA DE ADQUISICIÓN SEGÚN AÑO MODELO </a:t>
            </a:r>
            <a:r>
              <a:rPr lang="es-MX" sz="1400" i="1" u="sng"/>
              <a:t>DE LA UNIDAD</a:t>
            </a:r>
          </a:p>
          <a:p>
            <a:pPr>
              <a:defRPr sz="1400"/>
            </a:pPr>
            <a:r>
              <a:rPr lang="es-MX" sz="1000" i="0" u="none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78288882709989E-2"/>
          <c:y val="0.22636171954393514"/>
          <c:w val="0.73514809669272885"/>
          <c:h val="0.6737125341807892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FEB'!$EV$56</c:f>
              <c:strCache>
                <c:ptCount val="1"/>
                <c:pt idx="0">
                  <c:v>HERENCIA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FEB'!$EW$55:$FC$55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FEB'!$EW$56:$FC$56</c:f>
              <c:numCache>
                <c:formatCode>0.0%</c:formatCode>
                <c:ptCount val="7"/>
                <c:pt idx="0">
                  <c:v>0.13636363636363635</c:v>
                </c:pt>
                <c:pt idx="1">
                  <c:v>3.8461538461538464E-2</c:v>
                </c:pt>
                <c:pt idx="2">
                  <c:v>0.16831683168316833</c:v>
                </c:pt>
                <c:pt idx="3">
                  <c:v>2.3041474654377881E-2</c:v>
                </c:pt>
                <c:pt idx="4">
                  <c:v>0.13178294573643412</c:v>
                </c:pt>
                <c:pt idx="5">
                  <c:v>9.2233009708737865E-2</c:v>
                </c:pt>
                <c:pt idx="6">
                  <c:v>7.0707070707070704E-2</c:v>
                </c:pt>
              </c:numCache>
            </c:numRef>
          </c:val>
        </c:ser>
        <c:ser>
          <c:idx val="1"/>
          <c:order val="1"/>
          <c:tx>
            <c:strRef>
              <c:f>'FORMULAS FEB'!$EV$57</c:f>
              <c:strCache>
                <c:ptCount val="1"/>
                <c:pt idx="0">
                  <c:v>CONTADO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FEB'!$EW$55:$FC$55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FEB'!$EW$57:$FC$57</c:f>
              <c:numCache>
                <c:formatCode>0.0%</c:formatCode>
                <c:ptCount val="7"/>
                <c:pt idx="0">
                  <c:v>0.47727272727272729</c:v>
                </c:pt>
                <c:pt idx="1">
                  <c:v>0.30769230769230771</c:v>
                </c:pt>
                <c:pt idx="2">
                  <c:v>0.30693069306930693</c:v>
                </c:pt>
                <c:pt idx="3">
                  <c:v>0.24884792626728111</c:v>
                </c:pt>
                <c:pt idx="4">
                  <c:v>0.24806201550387597</c:v>
                </c:pt>
                <c:pt idx="5">
                  <c:v>0.3155339805825243</c:v>
                </c:pt>
                <c:pt idx="6">
                  <c:v>0.45454545454545453</c:v>
                </c:pt>
              </c:numCache>
            </c:numRef>
          </c:val>
        </c:ser>
        <c:ser>
          <c:idx val="2"/>
          <c:order val="2"/>
          <c:tx>
            <c:strRef>
              <c:f>'FORMULAS FEB'!$EV$58</c:f>
              <c:strCache>
                <c:ptCount val="1"/>
                <c:pt idx="0">
                  <c:v>EN RENTA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FEB'!$EW$55:$FC$55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FEB'!$EW$58:$FC$58</c:f>
              <c:numCache>
                <c:formatCode>0.0%</c:formatCode>
                <c:ptCount val="7"/>
                <c:pt idx="0">
                  <c:v>5.681818181818182E-3</c:v>
                </c:pt>
                <c:pt idx="1">
                  <c:v>0</c:v>
                </c:pt>
                <c:pt idx="2">
                  <c:v>9.9009900990099011E-3</c:v>
                </c:pt>
                <c:pt idx="3">
                  <c:v>4.608294930875576E-3</c:v>
                </c:pt>
                <c:pt idx="4">
                  <c:v>7.7519379844961239E-3</c:v>
                </c:pt>
                <c:pt idx="5">
                  <c:v>4.8543689320388345E-3</c:v>
                </c:pt>
                <c:pt idx="6">
                  <c:v>0.16161616161616163</c:v>
                </c:pt>
              </c:numCache>
            </c:numRef>
          </c:val>
        </c:ser>
        <c:ser>
          <c:idx val="3"/>
          <c:order val="3"/>
          <c:tx>
            <c:strRef>
              <c:f>'FORMULAS FEB'!$EV$59</c:f>
              <c:strCache>
                <c:ptCount val="1"/>
                <c:pt idx="0">
                  <c:v>PRESTADA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FEB'!$EW$55:$FC$55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FEB'!$EW$59:$FC$59</c:f>
              <c:numCache>
                <c:formatCode>0.0%</c:formatCode>
                <c:ptCount val="7"/>
                <c:pt idx="0">
                  <c:v>6.25E-2</c:v>
                </c:pt>
                <c:pt idx="1">
                  <c:v>0</c:v>
                </c:pt>
                <c:pt idx="2">
                  <c:v>1.9801980198019802E-2</c:v>
                </c:pt>
                <c:pt idx="3">
                  <c:v>9.2165898617511521E-3</c:v>
                </c:pt>
                <c:pt idx="4">
                  <c:v>7.7519379844961239E-3</c:v>
                </c:pt>
                <c:pt idx="5">
                  <c:v>4.8543689320388345E-3</c:v>
                </c:pt>
                <c:pt idx="6">
                  <c:v>8.0808080808080815E-2</c:v>
                </c:pt>
              </c:numCache>
            </c:numRef>
          </c:val>
        </c:ser>
        <c:ser>
          <c:idx val="4"/>
          <c:order val="4"/>
          <c:tx>
            <c:strRef>
              <c:f>'FORMULAS FEB'!$EV$60</c:f>
              <c:strCache>
                <c:ptCount val="1"/>
                <c:pt idx="0">
                  <c:v>POR CRÉDITO Y PAGADA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2.4311489523805879E-2"/>
                  <c:y val="8.8508919316865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FEB'!$EW$55:$FC$55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FEB'!$EW$60:$FC$60</c:f>
              <c:numCache>
                <c:formatCode>0.0%</c:formatCode>
                <c:ptCount val="7"/>
                <c:pt idx="0">
                  <c:v>0.28409090909090912</c:v>
                </c:pt>
                <c:pt idx="1">
                  <c:v>0.57692307692307687</c:v>
                </c:pt>
                <c:pt idx="2">
                  <c:v>0.44554455445544555</c:v>
                </c:pt>
                <c:pt idx="3">
                  <c:v>0.68663594470046085</c:v>
                </c:pt>
                <c:pt idx="4">
                  <c:v>0.54263565891472865</c:v>
                </c:pt>
                <c:pt idx="5">
                  <c:v>0.39805825242718446</c:v>
                </c:pt>
                <c:pt idx="6">
                  <c:v>5.0505050505050504E-2</c:v>
                </c:pt>
              </c:numCache>
            </c:numRef>
          </c:val>
        </c:ser>
        <c:ser>
          <c:idx val="5"/>
          <c:order val="5"/>
          <c:tx>
            <c:strRef>
              <c:f>'FORMULAS FEB'!$EV$61</c:f>
              <c:strCache>
                <c:ptCount val="1"/>
                <c:pt idx="0">
                  <c:v>EN PROCESO DE PAGO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FEB'!$EW$55:$FC$55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FEB'!$EW$61:$FC$61</c:f>
              <c:numCache>
                <c:formatCode>0.0%</c:formatCode>
                <c:ptCount val="7"/>
                <c:pt idx="0">
                  <c:v>3.4090909090909088E-2</c:v>
                </c:pt>
                <c:pt idx="1">
                  <c:v>7.6923076923076927E-2</c:v>
                </c:pt>
                <c:pt idx="2">
                  <c:v>4.9504950495049507E-2</c:v>
                </c:pt>
                <c:pt idx="3">
                  <c:v>2.7649769585253458E-2</c:v>
                </c:pt>
                <c:pt idx="4">
                  <c:v>6.2015503875968991E-2</c:v>
                </c:pt>
                <c:pt idx="5">
                  <c:v>0.18446601941747573</c:v>
                </c:pt>
                <c:pt idx="6">
                  <c:v>0.18181818181818182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7163392"/>
        <c:axId val="207164928"/>
        <c:axId val="0"/>
      </c:bar3DChart>
      <c:catAx>
        <c:axId val="2071633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164928"/>
        <c:crosses val="autoZero"/>
        <c:auto val="1"/>
        <c:lblAlgn val="ctr"/>
        <c:lblOffset val="100"/>
        <c:noMultiLvlLbl val="0"/>
      </c:catAx>
      <c:valAx>
        <c:axId val="20716492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1633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PARTICIPACIÓN EN EL PROGRAMA DE CHATARRIZACIÓN SEGÚN CARGA QUE TRANSPORTA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CARGA</a:t>
            </a:r>
            <a:r>
              <a:rPr lang="en-US" sz="800" baseline="0"/>
              <a:t> QUE TRANSPORTA, </a:t>
            </a:r>
          </a:p>
          <a:p>
            <a:pPr>
              <a:defRPr sz="1400"/>
            </a:pPr>
            <a:r>
              <a:rPr lang="en-US" sz="800"/>
              <a:t>DE LOS PROPIETARIOS QUE SÍ PARTICIPAN EN EL PROGRAMA (100% = 51)]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FEB'!$EW$66</c:f>
              <c:strCache>
                <c:ptCount val="1"/>
                <c:pt idx="0">
                  <c:v>PORCENTAJE</c:v>
                </c:pt>
              </c:strCache>
            </c:strRef>
          </c:tx>
          <c:explosion val="25"/>
          <c:dLbls>
            <c:dLbl>
              <c:idx val="0"/>
              <c:spPr/>
              <c:txPr>
                <a:bodyPr/>
                <a:lstStyle/>
                <a:p>
                  <a:pPr>
                    <a:defRPr b="1" i="0" baseline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15056321552679477"/>
                  <c:y val="-0.1345355358048195"/>
                </c:manualLayout>
              </c:layout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4.6089736696185407E-2"/>
                  <c:y val="-2.735025711595569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0664096807294528E-3"/>
                  <c:y val="-3.42062514873408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cat>
            <c:strRef>
              <c:f>'FORMULAS FEB'!$EV$67:$EV$74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FEB'!$EW$67:$EW$74</c:f>
              <c:numCache>
                <c:formatCode>0.0%</c:formatCode>
                <c:ptCount val="8"/>
                <c:pt idx="0">
                  <c:v>0.13725490196078433</c:v>
                </c:pt>
                <c:pt idx="1">
                  <c:v>0.13725490196078433</c:v>
                </c:pt>
                <c:pt idx="2">
                  <c:v>9.8039215686274508E-2</c:v>
                </c:pt>
                <c:pt idx="3">
                  <c:v>1.9607843137254902E-2</c:v>
                </c:pt>
                <c:pt idx="4">
                  <c:v>0.11764705882352941</c:v>
                </c:pt>
                <c:pt idx="5">
                  <c:v>0.11764705882352941</c:v>
                </c:pt>
                <c:pt idx="6">
                  <c:v>9.8039215686274508E-2</c:v>
                </c:pt>
                <c:pt idx="7">
                  <c:v>0.27450980392156865</c:v>
                </c:pt>
              </c:numCache>
            </c:numRef>
          </c:val>
        </c:ser>
        <c:ser>
          <c:idx val="1"/>
          <c:order val="1"/>
          <c:tx>
            <c:strRef>
              <c:f>'FORMULAS FEB'!$EX$66</c:f>
              <c:strCache>
                <c:ptCount val="1"/>
                <c:pt idx="0">
                  <c:v>PROPIETARIOS</c:v>
                </c:pt>
              </c:strCache>
            </c:strRef>
          </c:tx>
          <c:explosion val="25"/>
          <c:cat>
            <c:strRef>
              <c:f>'FORMULAS FEB'!$EV$67:$EV$74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FEB'!$EX$67:$EX$74</c:f>
              <c:numCache>
                <c:formatCode>General</c:formatCode>
                <c:ptCount val="8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  <c:pt idx="7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plotVisOnly val="1"/>
    <c:dispBlanksAs val="zero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PARTICIPACIÓN EN EL PROGRAMA DE CHATARRIZACIÓN SEGÚN TAMAÑO DE LA FLOTA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[PARTICIPAN 20 PROPIETARIOS]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FEB'!$EV$80</c:f>
              <c:strCache>
                <c:ptCount val="1"/>
                <c:pt idx="0">
                  <c:v>PARTICIPA</c:v>
                </c:pt>
              </c:strCache>
            </c:strRef>
          </c:tx>
          <c:explosion val="25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FEB'!$EW$79:$EZ$79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FEB'!$EW$80:$EZ$80</c:f>
              <c:numCache>
                <c:formatCode>General</c:formatCode>
                <c:ptCount val="4"/>
                <c:pt idx="0">
                  <c:v>5</c:v>
                </c:pt>
                <c:pt idx="1">
                  <c:v>2</c:v>
                </c:pt>
                <c:pt idx="2">
                  <c:v>9</c:v>
                </c:pt>
                <c:pt idx="3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LA UNIDAD CARGADA [km/lt]</a:t>
            </a:r>
          </a:p>
          <a:p>
            <a:pPr>
              <a:defRPr sz="1400"/>
            </a:pPr>
            <a:r>
              <a:rPr lang="en-US" sz="1000"/>
              <a:t>ENCUESTAS A PROPIETARIOS Y A CONDUCTORES</a:t>
            </a:r>
          </a:p>
          <a:p>
            <a:pPr>
              <a:defRPr sz="1400"/>
            </a:pPr>
            <a:r>
              <a:rPr lang="en-US" sz="800"/>
              <a:t>[TOTAL DE RESPUESTAS DE</a:t>
            </a:r>
            <a:r>
              <a:rPr lang="en-US" sz="800" baseline="0"/>
              <a:t> PROPIETARIOS = 980; </a:t>
            </a:r>
          </a:p>
          <a:p>
            <a:pPr>
              <a:defRPr sz="1400"/>
            </a:pPr>
            <a:r>
              <a:rPr lang="en-US" sz="800" baseline="0"/>
              <a:t>TOTAL DE RESPUESTAS DE CONDUCTORES = 452]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2"/>
          <c:order val="0"/>
          <c:tx>
            <c:strRef>
              <c:f>'FORMULAS C+P'!$X$16</c:f>
              <c:strCache>
                <c:ptCount val="1"/>
                <c:pt idx="0">
                  <c:v>PROPIETARIOS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C+P'!$U$17:$U$25</c:f>
              <c:strCache>
                <c:ptCount val="9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4.01 A 5.0</c:v>
                </c:pt>
                <c:pt idx="8">
                  <c:v>&gt;5.0</c:v>
                </c:pt>
              </c:strCache>
            </c:strRef>
          </c:cat>
          <c:val>
            <c:numRef>
              <c:f>'FORMULAS C+P'!$X$17:$X$25</c:f>
              <c:numCache>
                <c:formatCode>General</c:formatCode>
                <c:ptCount val="9"/>
                <c:pt idx="0">
                  <c:v>42</c:v>
                </c:pt>
                <c:pt idx="1">
                  <c:v>139</c:v>
                </c:pt>
                <c:pt idx="2">
                  <c:v>179</c:v>
                </c:pt>
                <c:pt idx="3">
                  <c:v>153</c:v>
                </c:pt>
                <c:pt idx="4">
                  <c:v>189</c:v>
                </c:pt>
                <c:pt idx="5">
                  <c:v>89</c:v>
                </c:pt>
                <c:pt idx="6">
                  <c:v>117</c:v>
                </c:pt>
                <c:pt idx="7">
                  <c:v>53</c:v>
                </c:pt>
                <c:pt idx="8">
                  <c:v>19</c:v>
                </c:pt>
              </c:numCache>
            </c:numRef>
          </c:val>
        </c:ser>
        <c:ser>
          <c:idx val="3"/>
          <c:order val="1"/>
          <c:tx>
            <c:strRef>
              <c:f>'FORMULAS C+P'!$Y$16</c:f>
              <c:strCache>
                <c:ptCount val="1"/>
                <c:pt idx="0">
                  <c:v>CONDUCTORES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C+P'!$U$17:$U$25</c:f>
              <c:strCache>
                <c:ptCount val="9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4.01 A 5.0</c:v>
                </c:pt>
                <c:pt idx="8">
                  <c:v>&gt;5.0</c:v>
                </c:pt>
              </c:strCache>
            </c:strRef>
          </c:cat>
          <c:val>
            <c:numRef>
              <c:f>'FORMULAS C+P'!$Y$17:$Y$25</c:f>
              <c:numCache>
                <c:formatCode>General</c:formatCode>
                <c:ptCount val="9"/>
                <c:pt idx="0">
                  <c:v>33</c:v>
                </c:pt>
                <c:pt idx="1">
                  <c:v>57</c:v>
                </c:pt>
                <c:pt idx="2">
                  <c:v>42</c:v>
                </c:pt>
                <c:pt idx="3">
                  <c:v>34</c:v>
                </c:pt>
                <c:pt idx="4">
                  <c:v>162</c:v>
                </c:pt>
                <c:pt idx="5">
                  <c:v>71</c:v>
                </c:pt>
                <c:pt idx="6">
                  <c:v>37</c:v>
                </c:pt>
                <c:pt idx="7">
                  <c:v>12</c:v>
                </c:pt>
                <c:pt idx="8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8194560"/>
        <c:axId val="208204544"/>
        <c:axId val="0"/>
      </c:bar3DChart>
      <c:catAx>
        <c:axId val="2081945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204544"/>
        <c:crosses val="autoZero"/>
        <c:auto val="1"/>
        <c:lblAlgn val="ctr"/>
        <c:lblOffset val="100"/>
        <c:noMultiLvlLbl val="0"/>
      </c:catAx>
      <c:valAx>
        <c:axId val="2082045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19456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LA UNIDAD EN VACÍO [km/lt]</a:t>
            </a:r>
          </a:p>
          <a:p>
            <a:pPr>
              <a:defRPr sz="1400"/>
            </a:pPr>
            <a:r>
              <a:rPr lang="en-US" sz="1000"/>
              <a:t>ENCUESTAS A PROPIETARIOS Y A CONDUCTORES</a:t>
            </a:r>
          </a:p>
          <a:p>
            <a:pPr>
              <a:defRPr sz="1400"/>
            </a:pPr>
            <a:r>
              <a:rPr lang="en-US" sz="800" b="1" i="0" baseline="0">
                <a:effectLst/>
              </a:rPr>
              <a:t>[TOTAL DE RESPUESTAS DE PROPIETARIOS = 980; </a:t>
            </a:r>
            <a:endParaRPr lang="es-MX" sz="800">
              <a:effectLst/>
            </a:endParaRPr>
          </a:p>
          <a:p>
            <a:pPr>
              <a:defRPr sz="1400"/>
            </a:pPr>
            <a:r>
              <a:rPr lang="en-US" sz="800" b="1" i="0" baseline="0">
                <a:effectLst/>
              </a:rPr>
              <a:t>TOTAL DE RESPUESTAS DE CONDUCTORES = 452]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2"/>
          <c:order val="0"/>
          <c:tx>
            <c:strRef>
              <c:f>'FORMULAS C+P'!$X$32</c:f>
              <c:strCache>
                <c:ptCount val="1"/>
                <c:pt idx="0">
                  <c:v>PROPIETARIOS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C+P'!$U$33:$U$41</c:f>
              <c:strCache>
                <c:ptCount val="9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4.01 A 6.0</c:v>
                </c:pt>
                <c:pt idx="8">
                  <c:v>&gt;6.0</c:v>
                </c:pt>
              </c:strCache>
            </c:strRef>
          </c:cat>
          <c:val>
            <c:numRef>
              <c:f>'FORMULAS C+P'!$X$33:$X$41</c:f>
              <c:numCache>
                <c:formatCode>General</c:formatCode>
                <c:ptCount val="9"/>
                <c:pt idx="0">
                  <c:v>28</c:v>
                </c:pt>
                <c:pt idx="1">
                  <c:v>138</c:v>
                </c:pt>
                <c:pt idx="2">
                  <c:v>123</c:v>
                </c:pt>
                <c:pt idx="3">
                  <c:v>166</c:v>
                </c:pt>
                <c:pt idx="4">
                  <c:v>168</c:v>
                </c:pt>
                <c:pt idx="5">
                  <c:v>123</c:v>
                </c:pt>
                <c:pt idx="6">
                  <c:v>100</c:v>
                </c:pt>
                <c:pt idx="7">
                  <c:v>103</c:v>
                </c:pt>
                <c:pt idx="8">
                  <c:v>31</c:v>
                </c:pt>
              </c:numCache>
            </c:numRef>
          </c:val>
        </c:ser>
        <c:ser>
          <c:idx val="3"/>
          <c:order val="1"/>
          <c:tx>
            <c:strRef>
              <c:f>'FORMULAS C+P'!$Y$32</c:f>
              <c:strCache>
                <c:ptCount val="1"/>
                <c:pt idx="0">
                  <c:v>CONDUCTORES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C+P'!$U$33:$U$41</c:f>
              <c:strCache>
                <c:ptCount val="9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4.01 A 6.0</c:v>
                </c:pt>
                <c:pt idx="8">
                  <c:v>&gt;6.0</c:v>
                </c:pt>
              </c:strCache>
            </c:strRef>
          </c:cat>
          <c:val>
            <c:numRef>
              <c:f>'FORMULAS C+P'!$Y$33:$Y$41</c:f>
              <c:numCache>
                <c:formatCode>General</c:formatCode>
                <c:ptCount val="9"/>
                <c:pt idx="0">
                  <c:v>22</c:v>
                </c:pt>
                <c:pt idx="1">
                  <c:v>62</c:v>
                </c:pt>
                <c:pt idx="2">
                  <c:v>20</c:v>
                </c:pt>
                <c:pt idx="3">
                  <c:v>44</c:v>
                </c:pt>
                <c:pt idx="4">
                  <c:v>137</c:v>
                </c:pt>
                <c:pt idx="5">
                  <c:v>85</c:v>
                </c:pt>
                <c:pt idx="6">
                  <c:v>58</c:v>
                </c:pt>
                <c:pt idx="7">
                  <c:v>21</c:v>
                </c:pt>
                <c:pt idx="8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7895168"/>
        <c:axId val="207909248"/>
        <c:axId val="0"/>
      </c:bar3DChart>
      <c:catAx>
        <c:axId val="2078951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909248"/>
        <c:crosses val="autoZero"/>
        <c:auto val="1"/>
        <c:lblAlgn val="ctr"/>
        <c:lblOffset val="100"/>
        <c:noMultiLvlLbl val="0"/>
      </c:catAx>
      <c:valAx>
        <c:axId val="207909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89516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AÑO MODELO DE MOTOR POR TIPO DE UNIDAD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519988429701307E-2"/>
          <c:y val="0.12704510726218651"/>
          <c:w val="0.8713261740124324"/>
          <c:h val="0.8193720509151184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FEB'!$FN$3</c:f>
              <c:strCache>
                <c:ptCount val="1"/>
                <c:pt idx="0">
                  <c:v>C2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FEB'!$FM$4:$FM$10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FEB'!$FN$4:$FN$10</c:f>
              <c:numCache>
                <c:formatCode>0.0%</c:formatCode>
                <c:ptCount val="7"/>
                <c:pt idx="0">
                  <c:v>1.5306122448979591E-2</c:v>
                </c:pt>
                <c:pt idx="1">
                  <c:v>1.4285714285714285E-2</c:v>
                </c:pt>
                <c:pt idx="2">
                  <c:v>1.8367346938775512E-2</c:v>
                </c:pt>
                <c:pt idx="3">
                  <c:v>5.5102040816326532E-2</c:v>
                </c:pt>
                <c:pt idx="4">
                  <c:v>0.05</c:v>
                </c:pt>
                <c:pt idx="5">
                  <c:v>4.6938775510204082E-2</c:v>
                </c:pt>
                <c:pt idx="6">
                  <c:v>1.4285714285714285E-2</c:v>
                </c:pt>
              </c:numCache>
            </c:numRef>
          </c:val>
        </c:ser>
        <c:ser>
          <c:idx val="1"/>
          <c:order val="1"/>
          <c:tx>
            <c:strRef>
              <c:f>'FORMULAS FEB'!$FO$3</c:f>
              <c:strCache>
                <c:ptCount val="1"/>
                <c:pt idx="0">
                  <c:v>C3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FEB'!$FM$4:$FM$10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FEB'!$FO$4:$FO$10</c:f>
              <c:numCache>
                <c:formatCode>0.0%</c:formatCode>
                <c:ptCount val="7"/>
                <c:pt idx="0">
                  <c:v>4.6938775510204082E-2</c:v>
                </c:pt>
                <c:pt idx="1">
                  <c:v>7.1428571428571426E-3</c:v>
                </c:pt>
                <c:pt idx="2">
                  <c:v>3.6734693877551024E-2</c:v>
                </c:pt>
                <c:pt idx="3">
                  <c:v>4.6938775510204082E-2</c:v>
                </c:pt>
                <c:pt idx="4">
                  <c:v>2.5510204081632654E-2</c:v>
                </c:pt>
                <c:pt idx="5">
                  <c:v>2.7551020408163266E-2</c:v>
                </c:pt>
                <c:pt idx="6">
                  <c:v>9.1836734693877559E-3</c:v>
                </c:pt>
              </c:numCache>
            </c:numRef>
          </c:val>
        </c:ser>
        <c:ser>
          <c:idx val="2"/>
          <c:order val="2"/>
          <c:tx>
            <c:strRef>
              <c:f>'FORMULAS FEB'!$FP$3</c:f>
              <c:strCache>
                <c:ptCount val="1"/>
                <c:pt idx="0">
                  <c:v>T2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FEB'!$FM$4:$FM$10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FEB'!$FP$4:$FP$10</c:f>
              <c:numCache>
                <c:formatCode>0.0%</c:formatCode>
                <c:ptCount val="7"/>
                <c:pt idx="0">
                  <c:v>0</c:v>
                </c:pt>
                <c:pt idx="1">
                  <c:v>1.0204081632653062E-3</c:v>
                </c:pt>
                <c:pt idx="2">
                  <c:v>5.1020408163265302E-3</c:v>
                </c:pt>
                <c:pt idx="3">
                  <c:v>0</c:v>
                </c:pt>
                <c:pt idx="4">
                  <c:v>5.1020408163265302E-3</c:v>
                </c:pt>
                <c:pt idx="5">
                  <c:v>2.4489795918367346E-2</c:v>
                </c:pt>
                <c:pt idx="6">
                  <c:v>8.1632653061224497E-3</c:v>
                </c:pt>
              </c:numCache>
            </c:numRef>
          </c:val>
        </c:ser>
        <c:ser>
          <c:idx val="3"/>
          <c:order val="3"/>
          <c:tx>
            <c:strRef>
              <c:f>'FORMULAS FEB'!$FQ$3</c:f>
              <c:strCache>
                <c:ptCount val="1"/>
                <c:pt idx="0">
                  <c:v>T3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FEB'!$FM$4:$FM$10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FEB'!$FQ$4:$FQ$10</c:f>
              <c:numCache>
                <c:formatCode>0.0%</c:formatCode>
                <c:ptCount val="7"/>
                <c:pt idx="0">
                  <c:v>4.3877551020408162E-2</c:v>
                </c:pt>
                <c:pt idx="1">
                  <c:v>2.8571428571428571E-2</c:v>
                </c:pt>
                <c:pt idx="2">
                  <c:v>5.1020408163265307E-2</c:v>
                </c:pt>
                <c:pt idx="3">
                  <c:v>0.14795918367346939</c:v>
                </c:pt>
                <c:pt idx="4">
                  <c:v>7.040816326530612E-2</c:v>
                </c:pt>
                <c:pt idx="5">
                  <c:v>0.12959183673469388</c:v>
                </c:pt>
                <c:pt idx="6">
                  <c:v>7.040816326530612E-2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7979264"/>
        <c:axId val="207980800"/>
        <c:axId val="0"/>
      </c:bar3DChart>
      <c:catAx>
        <c:axId val="2079792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980800"/>
        <c:crosses val="autoZero"/>
        <c:auto val="1"/>
        <c:lblAlgn val="ctr"/>
        <c:lblOffset val="100"/>
        <c:noMultiLvlLbl val="0"/>
      </c:catAx>
      <c:valAx>
        <c:axId val="20798080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797926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AÑO MODELO DE MOTOR </a:t>
            </a:r>
          </a:p>
          <a:p>
            <a:pPr>
              <a:defRPr sz="1400"/>
            </a:pPr>
            <a:r>
              <a:rPr lang="en-US" sz="1200"/>
              <a:t>UNIDADES TIPO C2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UNIDADES TIPO C2 (100% = 210)]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FEB'!$FM$14</c:f>
              <c:strCache>
                <c:ptCount val="1"/>
                <c:pt idx="0">
                  <c:v>AÑO MODELO DE MOTOR UNIDADES TIPO C2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FEB'!$FM$16:$FM$22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FEB'!$FN$16:$FN$22</c:f>
              <c:numCache>
                <c:formatCode>0.0%</c:formatCode>
                <c:ptCount val="7"/>
                <c:pt idx="0">
                  <c:v>7.1428571428571425E-2</c:v>
                </c:pt>
                <c:pt idx="1">
                  <c:v>6.6666666666666666E-2</c:v>
                </c:pt>
                <c:pt idx="2">
                  <c:v>8.5714285714285715E-2</c:v>
                </c:pt>
                <c:pt idx="3">
                  <c:v>0.25714285714285712</c:v>
                </c:pt>
                <c:pt idx="4">
                  <c:v>0.23333333333333334</c:v>
                </c:pt>
                <c:pt idx="5">
                  <c:v>0.21904761904761905</c:v>
                </c:pt>
                <c:pt idx="6">
                  <c:v>6.6666666666666666E-2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8002048"/>
        <c:axId val="208012032"/>
        <c:axId val="0"/>
      </c:bar3DChart>
      <c:catAx>
        <c:axId val="2080020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012032"/>
        <c:crosses val="autoZero"/>
        <c:auto val="1"/>
        <c:lblAlgn val="ctr"/>
        <c:lblOffset val="100"/>
        <c:noMultiLvlLbl val="0"/>
      </c:catAx>
      <c:valAx>
        <c:axId val="2080120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00204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AÑO MODELO DE MOTOR </a:t>
            </a:r>
          </a:p>
          <a:p>
            <a:pPr>
              <a:defRPr sz="1400"/>
            </a:pPr>
            <a:r>
              <a:rPr lang="en-US" sz="1200"/>
              <a:t>UNIDADES TIPO C3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UNIDADES TIPO C3 (100% = 196)]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FEB'!$FM$25</c:f>
              <c:strCache>
                <c:ptCount val="1"/>
                <c:pt idx="0">
                  <c:v>AÑO MODELO DE MOTOR UNIDADES TIPO C3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FEB'!$FM$27:$FM$33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FEB'!$FN$27:$FN$33</c:f>
              <c:numCache>
                <c:formatCode>0.0%</c:formatCode>
                <c:ptCount val="7"/>
                <c:pt idx="0">
                  <c:v>0.23469387755102042</c:v>
                </c:pt>
                <c:pt idx="1">
                  <c:v>3.5714285714285712E-2</c:v>
                </c:pt>
                <c:pt idx="2">
                  <c:v>0.18367346938775511</c:v>
                </c:pt>
                <c:pt idx="3">
                  <c:v>0.23469387755102042</c:v>
                </c:pt>
                <c:pt idx="4">
                  <c:v>0.12755102040816327</c:v>
                </c:pt>
                <c:pt idx="5">
                  <c:v>0.13775510204081631</c:v>
                </c:pt>
                <c:pt idx="6">
                  <c:v>4.5918367346938778E-2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8053376"/>
        <c:axId val="208054912"/>
        <c:axId val="0"/>
      </c:bar3DChart>
      <c:catAx>
        <c:axId val="2080533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054912"/>
        <c:crosses val="autoZero"/>
        <c:auto val="1"/>
        <c:lblAlgn val="ctr"/>
        <c:lblOffset val="100"/>
        <c:noMultiLvlLbl val="0"/>
      </c:catAx>
      <c:valAx>
        <c:axId val="2080549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05337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AÑO MODELO DE MOTOR </a:t>
            </a:r>
          </a:p>
          <a:p>
            <a:pPr>
              <a:defRPr sz="1400"/>
            </a:pPr>
            <a:r>
              <a:rPr lang="en-US" sz="1200"/>
              <a:t>UNIDADES TIPO T2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UNIDADES TIPO T2 (100% = 43)]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FEB'!$FM$36</c:f>
              <c:strCache>
                <c:ptCount val="1"/>
                <c:pt idx="0">
                  <c:v>AÑO MODELO DE MOTOR UNIDADES TIPO T2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FEB'!$FM$38:$FM$44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FEB'!$FN$38:$FN$44</c:f>
              <c:numCache>
                <c:formatCode>0.0%</c:formatCode>
                <c:ptCount val="7"/>
                <c:pt idx="0">
                  <c:v>0</c:v>
                </c:pt>
                <c:pt idx="1">
                  <c:v>2.3255813953488372E-2</c:v>
                </c:pt>
                <c:pt idx="2">
                  <c:v>0.11627906976744186</c:v>
                </c:pt>
                <c:pt idx="3">
                  <c:v>0</c:v>
                </c:pt>
                <c:pt idx="4">
                  <c:v>0.11627906976744186</c:v>
                </c:pt>
                <c:pt idx="5">
                  <c:v>0.55813953488372092</c:v>
                </c:pt>
                <c:pt idx="6">
                  <c:v>0.18604651162790697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8063104"/>
        <c:axId val="208081280"/>
        <c:axId val="0"/>
      </c:bar3DChart>
      <c:catAx>
        <c:axId val="2080631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081280"/>
        <c:crosses val="autoZero"/>
        <c:auto val="1"/>
        <c:lblAlgn val="ctr"/>
        <c:lblOffset val="100"/>
        <c:noMultiLvlLbl val="0"/>
      </c:catAx>
      <c:valAx>
        <c:axId val="2080812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06310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SÍ CONOCE EL PROGRAMA DE MODERNIZACIÓN DEL TRANSPORTE DE NAFIN</a:t>
            </a:r>
          </a:p>
        </c:rich>
      </c:tx>
      <c:layout>
        <c:manualLayout>
          <c:xMode val="edge"/>
          <c:yMode val="edge"/>
          <c:x val="0.11404855643044615"/>
          <c:y val="2.7777777777778734E-2"/>
        </c:manualLayout>
      </c:layout>
      <c:overlay val="0"/>
    </c:title>
    <c:autoTitleDeleted val="0"/>
    <c:view3D>
      <c:rotX val="30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FORMULAS!$AL$8</c:f>
              <c:strCache>
                <c:ptCount val="1"/>
                <c:pt idx="0">
                  <c:v>SÍ CONOCE EL PROGRAMA DE MODERNIZACIÓN DEL TRANSPORTE DE NAFIN</c:v>
                </c:pt>
              </c:strCache>
            </c:strRef>
          </c:tx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</c:dPt>
          <c:dLbls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FORMULAS!$AL$9:$AL$10</c:f>
              <c:strCache>
                <c:ptCount val="2"/>
                <c:pt idx="0">
                  <c:v>PARTICIPA</c:v>
                </c:pt>
                <c:pt idx="1">
                  <c:v>NO PARTICIPA</c:v>
                </c:pt>
              </c:strCache>
            </c:strRef>
          </c:cat>
          <c:val>
            <c:numRef>
              <c:f>FORMULAS!$AM$9:$AM$10</c:f>
              <c:numCache>
                <c:formatCode>0.0%</c:formatCode>
                <c:ptCount val="2"/>
                <c:pt idx="0">
                  <c:v>0</c:v>
                </c:pt>
                <c:pt idx="1">
                  <c:v>0.12895377128953772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AÑO MODELO DE MOTOR </a:t>
            </a:r>
          </a:p>
          <a:p>
            <a:pPr>
              <a:defRPr sz="1400"/>
            </a:pPr>
            <a:r>
              <a:rPr lang="en-US" sz="1200"/>
              <a:t>UNIDADES TIPO T3</a:t>
            </a:r>
          </a:p>
          <a:p>
            <a:pPr>
              <a:defRPr sz="1400"/>
            </a:pPr>
            <a:r>
              <a:rPr lang="en-US" sz="1000"/>
              <a:t>ENCUESTA</a:t>
            </a:r>
            <a:r>
              <a:rPr lang="en-US" sz="1000" baseline="0"/>
              <a:t> A PROPIETARIOS</a:t>
            </a:r>
          </a:p>
          <a:p>
            <a:pPr>
              <a:defRPr sz="1400"/>
            </a:pPr>
            <a:r>
              <a:rPr lang="en-US" sz="800" baseline="0"/>
              <a:t>[% SOBRE EL TOTAL DE UNIDADES TIPO T3 (100 = 531)]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FEB'!$FM$47</c:f>
              <c:strCache>
                <c:ptCount val="1"/>
                <c:pt idx="0">
                  <c:v>AÑO MODELO DE MOTOR UNIDADES TIPO T3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FEB'!$FM$49:$FM$55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FEB'!$FN$49:$FN$55</c:f>
              <c:numCache>
                <c:formatCode>0.0%</c:formatCode>
                <c:ptCount val="7"/>
                <c:pt idx="0">
                  <c:v>8.0979284369114876E-2</c:v>
                </c:pt>
                <c:pt idx="1">
                  <c:v>5.2730696798493411E-2</c:v>
                </c:pt>
                <c:pt idx="2">
                  <c:v>9.4161958568738227E-2</c:v>
                </c:pt>
                <c:pt idx="3">
                  <c:v>0.27306967984934089</c:v>
                </c:pt>
                <c:pt idx="4">
                  <c:v>0.12994350282485875</c:v>
                </c:pt>
                <c:pt idx="5">
                  <c:v>0.2391713747645951</c:v>
                </c:pt>
                <c:pt idx="6">
                  <c:v>0.12994350282485875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8114432"/>
        <c:axId val="208115968"/>
        <c:axId val="0"/>
      </c:bar3DChart>
      <c:catAx>
        <c:axId val="2081144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115968"/>
        <c:crosses val="autoZero"/>
        <c:auto val="1"/>
        <c:lblAlgn val="ctr"/>
        <c:lblOffset val="100"/>
        <c:noMultiLvlLbl val="0"/>
      </c:catAx>
      <c:valAx>
        <c:axId val="2081159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11443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COMBUSTIBLE QUE UTILIZAN </a:t>
            </a:r>
          </a:p>
          <a:p>
            <a:pPr>
              <a:defRPr sz="1400"/>
            </a:pPr>
            <a:r>
              <a:rPr lang="en-US" sz="1200"/>
              <a:t>UNIDADES C3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COMBUSTIBLE QUE UTILIZAN LAS UNIDADES C3 (100% = 196)]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FEB'!$N$15</c:f>
              <c:strCache>
                <c:ptCount val="1"/>
                <c:pt idx="0">
                  <c:v>COMBUSTIBLE QUE UTILIZAN LAS UNIDADES C3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FEB'!$O$16:$Q$16</c:f>
              <c:strCache>
                <c:ptCount val="3"/>
                <c:pt idx="0">
                  <c:v>DIESEL</c:v>
                </c:pt>
                <c:pt idx="1">
                  <c:v>GASOLINA</c:v>
                </c:pt>
                <c:pt idx="2">
                  <c:v>GAS</c:v>
                </c:pt>
              </c:strCache>
            </c:strRef>
          </c:cat>
          <c:val>
            <c:numRef>
              <c:f>'FORMULAS FEB'!$O$17:$Q$17</c:f>
              <c:numCache>
                <c:formatCode>0.0%</c:formatCode>
                <c:ptCount val="3"/>
                <c:pt idx="0">
                  <c:v>0.98979591836734693</c:v>
                </c:pt>
                <c:pt idx="1">
                  <c:v>1.020408163265306E-2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8603776"/>
        <c:axId val="208605568"/>
        <c:axId val="0"/>
      </c:bar3DChart>
      <c:catAx>
        <c:axId val="2086037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605568"/>
        <c:crosses val="autoZero"/>
        <c:auto val="1"/>
        <c:lblAlgn val="ctr"/>
        <c:lblOffset val="100"/>
        <c:noMultiLvlLbl val="0"/>
      </c:catAx>
      <c:valAx>
        <c:axId val="2086055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60377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KILÓMETROS RECORRIDOS POR LA UNIDAD SEGÚN TAMAÑO DE LA FLOTA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[% SOBRE EL TOTAL DE RESPUESTAS A KILÓMETROS RECORRIDOS POR LA UNIDAD (100% = 971)]</a:t>
            </a:r>
          </a:p>
        </c:rich>
      </c:tx>
      <c:layout>
        <c:manualLayout>
          <c:xMode val="edge"/>
          <c:yMode val="edge"/>
          <c:x val="0.22717761385128668"/>
          <c:y val="1.0846722487715456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FEB'!$FN$60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FEB'!$FM$61:$FM$67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 KM</c:v>
                </c:pt>
              </c:strCache>
            </c:strRef>
          </c:cat>
          <c:val>
            <c:numRef>
              <c:f>'FORMULAS FEB'!$FN$61:$FN$67</c:f>
              <c:numCache>
                <c:formatCode>0.0%</c:formatCode>
                <c:ptCount val="7"/>
                <c:pt idx="0">
                  <c:v>1.132852729145211E-2</c:v>
                </c:pt>
                <c:pt idx="1">
                  <c:v>2.7806385169927908E-2</c:v>
                </c:pt>
                <c:pt idx="2">
                  <c:v>8.8568486096807411E-2</c:v>
                </c:pt>
                <c:pt idx="3">
                  <c:v>4.325437693099897E-2</c:v>
                </c:pt>
                <c:pt idx="4">
                  <c:v>1.8537590113285273E-2</c:v>
                </c:pt>
                <c:pt idx="5">
                  <c:v>9.2687950566426366E-3</c:v>
                </c:pt>
                <c:pt idx="6">
                  <c:v>1.3388259526261586E-2</c:v>
                </c:pt>
              </c:numCache>
            </c:numRef>
          </c:val>
        </c:ser>
        <c:ser>
          <c:idx val="1"/>
          <c:order val="1"/>
          <c:tx>
            <c:strRef>
              <c:f>'FORMULAS FEB'!$FO$60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FEB'!$FM$61:$FM$67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 KM</c:v>
                </c:pt>
              </c:strCache>
            </c:strRef>
          </c:cat>
          <c:val>
            <c:numRef>
              <c:f>'FORMULAS FEB'!$FO$61:$FO$67</c:f>
              <c:numCache>
                <c:formatCode>0.0%</c:formatCode>
                <c:ptCount val="7"/>
                <c:pt idx="0">
                  <c:v>1.7507723995880537E-2</c:v>
                </c:pt>
                <c:pt idx="1">
                  <c:v>1.9567456230690009E-2</c:v>
                </c:pt>
                <c:pt idx="2">
                  <c:v>7.312049433573635E-2</c:v>
                </c:pt>
                <c:pt idx="3">
                  <c:v>2.4716786817713696E-2</c:v>
                </c:pt>
                <c:pt idx="4">
                  <c:v>9.2687950566426366E-3</c:v>
                </c:pt>
                <c:pt idx="5">
                  <c:v>1.0298661174047374E-2</c:v>
                </c:pt>
                <c:pt idx="6">
                  <c:v>4.1194644696189494E-3</c:v>
                </c:pt>
              </c:numCache>
            </c:numRef>
          </c:val>
        </c:ser>
        <c:ser>
          <c:idx val="2"/>
          <c:order val="2"/>
          <c:tx>
            <c:strRef>
              <c:f>'FORMULAS FEB'!$FP$60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FEB'!$FM$61:$FM$67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 KM</c:v>
                </c:pt>
              </c:strCache>
            </c:strRef>
          </c:cat>
          <c:val>
            <c:numRef>
              <c:f>'FORMULAS FEB'!$FP$61:$FP$67</c:f>
              <c:numCache>
                <c:formatCode>0.0%</c:formatCode>
                <c:ptCount val="7"/>
                <c:pt idx="0">
                  <c:v>7.5180226570545836E-2</c:v>
                </c:pt>
                <c:pt idx="1">
                  <c:v>7.1060762100926878E-2</c:v>
                </c:pt>
                <c:pt idx="2">
                  <c:v>0.1101956745623069</c:v>
                </c:pt>
                <c:pt idx="3">
                  <c:v>3.9134912461380018E-2</c:v>
                </c:pt>
                <c:pt idx="4">
                  <c:v>3.0895983522142123E-2</c:v>
                </c:pt>
                <c:pt idx="5">
                  <c:v>2.0597322348094747E-3</c:v>
                </c:pt>
                <c:pt idx="6">
                  <c:v>4.1194644696189494E-3</c:v>
                </c:pt>
              </c:numCache>
            </c:numRef>
          </c:val>
        </c:ser>
        <c:ser>
          <c:idx val="3"/>
          <c:order val="3"/>
          <c:tx>
            <c:strRef>
              <c:f>'FORMULAS FEB'!$FQ$60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FEB'!$FM$61:$FM$67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 KM</c:v>
                </c:pt>
              </c:strCache>
            </c:strRef>
          </c:cat>
          <c:val>
            <c:numRef>
              <c:f>'FORMULAS FEB'!$FQ$61:$FQ$67</c:f>
              <c:numCache>
                <c:formatCode>0.0%</c:formatCode>
                <c:ptCount val="7"/>
                <c:pt idx="0">
                  <c:v>6.591143151390319E-2</c:v>
                </c:pt>
                <c:pt idx="1">
                  <c:v>6.6941297631307933E-2</c:v>
                </c:pt>
                <c:pt idx="2">
                  <c:v>8.4449021627188467E-2</c:v>
                </c:pt>
                <c:pt idx="3">
                  <c:v>3.3985581874356331E-2</c:v>
                </c:pt>
                <c:pt idx="4">
                  <c:v>4.0164778578784761E-2</c:v>
                </c:pt>
                <c:pt idx="5">
                  <c:v>3.089598352214212E-3</c:v>
                </c:pt>
                <c:pt idx="6">
                  <c:v>2.0597322348094747E-3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8662912"/>
        <c:axId val="208664448"/>
        <c:axId val="0"/>
      </c:bar3DChart>
      <c:catAx>
        <c:axId val="2086629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664448"/>
        <c:crosses val="autoZero"/>
        <c:auto val="1"/>
        <c:lblAlgn val="ctr"/>
        <c:lblOffset val="100"/>
        <c:noMultiLvlLbl val="0"/>
      </c:catAx>
      <c:valAx>
        <c:axId val="20866444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6629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RECORRIDOS POR LA UNIDAD</a:t>
            </a:r>
          </a:p>
          <a:p>
            <a:pPr>
              <a:defRPr sz="1400"/>
            </a:pPr>
            <a:r>
              <a:rPr lang="en-US" sz="1200"/>
              <a:t>PROPIETARIOS CON UNA UNIDAD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DE PROPIETARIOS CON UNA UNIDAD (100% = 206)]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FEB'!$FM$71</c:f>
              <c:strCache>
                <c:ptCount val="1"/>
                <c:pt idx="0">
                  <c:v>KILÓMETROS RECORRIDOS PROPIETARIOS CON 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FEB'!$FM$73:$FM$79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 KM</c:v>
                </c:pt>
              </c:strCache>
            </c:strRef>
          </c:cat>
          <c:val>
            <c:numRef>
              <c:f>'FORMULAS FEB'!$FN$73:$FN$79</c:f>
              <c:numCache>
                <c:formatCode>0.0%</c:formatCode>
                <c:ptCount val="7"/>
                <c:pt idx="0">
                  <c:v>5.3398058252427182E-2</c:v>
                </c:pt>
                <c:pt idx="1">
                  <c:v>0.13106796116504854</c:v>
                </c:pt>
                <c:pt idx="2">
                  <c:v>0.41747572815533979</c:v>
                </c:pt>
                <c:pt idx="3">
                  <c:v>0.20388349514563106</c:v>
                </c:pt>
                <c:pt idx="4">
                  <c:v>8.7378640776699032E-2</c:v>
                </c:pt>
                <c:pt idx="5">
                  <c:v>4.3689320388349516E-2</c:v>
                </c:pt>
                <c:pt idx="6">
                  <c:v>6.3106796116504854E-2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2333184"/>
        <c:axId val="202355456"/>
        <c:axId val="0"/>
      </c:bar3DChart>
      <c:catAx>
        <c:axId val="2023331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355456"/>
        <c:crosses val="autoZero"/>
        <c:auto val="1"/>
        <c:lblAlgn val="ctr"/>
        <c:lblOffset val="100"/>
        <c:noMultiLvlLbl val="0"/>
      </c:catAx>
      <c:valAx>
        <c:axId val="2023554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233318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RECORRIDOS POR LA UNIDAD </a:t>
            </a:r>
          </a:p>
          <a:p>
            <a:pPr>
              <a:defRPr sz="1400"/>
            </a:pPr>
            <a:r>
              <a:rPr lang="en-US" sz="1200"/>
              <a:t>PROPIETARIOS CON DOS UNIDADES</a:t>
            </a:r>
            <a:endParaRPr lang="en-US" sz="1400"/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DE PROPIETARIOS CON DOS UNIDADES</a:t>
            </a:r>
            <a:r>
              <a:rPr lang="en-US" sz="800" baseline="0"/>
              <a:t> (100% = 154)]</a:t>
            </a:r>
            <a:r>
              <a:rPr lang="en-US" sz="800"/>
              <a:t> 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FEB'!$FM$82</c:f>
              <c:strCache>
                <c:ptCount val="1"/>
                <c:pt idx="0">
                  <c:v>KILÓMETROS RECORRIDOS PROPIETARIOS CON DOS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FEB'!$FM$84:$FM$90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 KM</c:v>
                </c:pt>
              </c:strCache>
            </c:strRef>
          </c:cat>
          <c:val>
            <c:numRef>
              <c:f>'FORMULAS FEB'!$FN$84:$FN$90</c:f>
              <c:numCache>
                <c:formatCode>0.0%</c:formatCode>
                <c:ptCount val="7"/>
                <c:pt idx="0">
                  <c:v>0.11038961038961038</c:v>
                </c:pt>
                <c:pt idx="1">
                  <c:v>0.12337662337662338</c:v>
                </c:pt>
                <c:pt idx="2">
                  <c:v>0.46103896103896103</c:v>
                </c:pt>
                <c:pt idx="3">
                  <c:v>0.15584415584415584</c:v>
                </c:pt>
                <c:pt idx="4">
                  <c:v>5.844155844155844E-2</c:v>
                </c:pt>
                <c:pt idx="5">
                  <c:v>6.4935064935064929E-2</c:v>
                </c:pt>
                <c:pt idx="6">
                  <c:v>2.5974025974025976E-2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8410112"/>
        <c:axId val="208411648"/>
        <c:axId val="0"/>
      </c:bar3DChart>
      <c:catAx>
        <c:axId val="2084101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411648"/>
        <c:crosses val="autoZero"/>
        <c:auto val="1"/>
        <c:lblAlgn val="ctr"/>
        <c:lblOffset val="100"/>
        <c:noMultiLvlLbl val="0"/>
      </c:catAx>
      <c:valAx>
        <c:axId val="2084116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41011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RECORRIDOS POR LA UNIDAD</a:t>
            </a:r>
          </a:p>
          <a:p>
            <a:pPr>
              <a:defRPr sz="1400"/>
            </a:pPr>
            <a:r>
              <a:rPr lang="en-US" sz="1200"/>
              <a:t>PROPIETARIOS CON TRES A CINCO UNIDADES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DE PROPIETARIOS CON TRES A CINCO</a:t>
            </a:r>
            <a:r>
              <a:rPr lang="en-US" sz="800" baseline="0"/>
              <a:t> UNIDADES (100% = 323)]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FEB'!$FM$93</c:f>
              <c:strCache>
                <c:ptCount val="1"/>
                <c:pt idx="0">
                  <c:v>KILÓMETROS RECORRIDOS PROPIETARIOS CON TRES A CINCO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FEB'!$FM$95:$FM$101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 KM</c:v>
                </c:pt>
              </c:strCache>
            </c:strRef>
          </c:cat>
          <c:val>
            <c:numRef>
              <c:f>'FORMULAS FEB'!$FN$95:$FN$101</c:f>
              <c:numCache>
                <c:formatCode>0.0%</c:formatCode>
                <c:ptCount val="7"/>
                <c:pt idx="0">
                  <c:v>0.2260061919504644</c:v>
                </c:pt>
                <c:pt idx="1">
                  <c:v>0.21362229102167182</c:v>
                </c:pt>
                <c:pt idx="2">
                  <c:v>0.33126934984520123</c:v>
                </c:pt>
                <c:pt idx="3">
                  <c:v>0.11764705882352941</c:v>
                </c:pt>
                <c:pt idx="4">
                  <c:v>9.2879256965944276E-2</c:v>
                </c:pt>
                <c:pt idx="5">
                  <c:v>6.1919504643962852E-3</c:v>
                </c:pt>
                <c:pt idx="6">
                  <c:v>1.238390092879257E-2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8449536"/>
        <c:axId val="208451072"/>
        <c:axId val="0"/>
      </c:bar3DChart>
      <c:catAx>
        <c:axId val="2084495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451072"/>
        <c:crosses val="autoZero"/>
        <c:auto val="1"/>
        <c:lblAlgn val="ctr"/>
        <c:lblOffset val="100"/>
        <c:noMultiLvlLbl val="0"/>
      </c:catAx>
      <c:valAx>
        <c:axId val="2084510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44953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RECORRIDOS POR LA UNIDAD</a:t>
            </a:r>
          </a:p>
          <a:p>
            <a:pPr>
              <a:defRPr sz="1400"/>
            </a:pPr>
            <a:r>
              <a:rPr lang="en-US" sz="1200"/>
              <a:t>PROPIETARIOS CON SEIS A TREINTA UNIDADES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DE PROPIETARIOS CON SEIS A TREINTA UNIDADES (100</a:t>
            </a:r>
            <a:r>
              <a:rPr lang="en-US" sz="800" baseline="0"/>
              <a:t> % = 288)]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FEB'!$FM$104</c:f>
              <c:strCache>
                <c:ptCount val="1"/>
                <c:pt idx="0">
                  <c:v>KILÓMETROS RECORRIDOS PROPIETARIOS CON SEIS A TREINTA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FEB'!$FM$106:$FM$112</c:f>
              <c:strCache>
                <c:ptCount val="7"/>
                <c:pt idx="0">
                  <c:v>&lt;250,000</c:v>
                </c:pt>
                <c:pt idx="1">
                  <c:v>250,000 A 500,000</c:v>
                </c:pt>
                <c:pt idx="2">
                  <c:v>500,001 A 1'000,000</c:v>
                </c:pt>
                <c:pt idx="3">
                  <c:v>1'000,001 A 1'500,000</c:v>
                </c:pt>
                <c:pt idx="4">
                  <c:v>1'500,001 A 2'000,000</c:v>
                </c:pt>
                <c:pt idx="5">
                  <c:v>2'000,001 A 2'500,000</c:v>
                </c:pt>
                <c:pt idx="6">
                  <c:v>&gt;2'500,000 KM</c:v>
                </c:pt>
              </c:strCache>
            </c:strRef>
          </c:cat>
          <c:val>
            <c:numRef>
              <c:f>'FORMULAS FEB'!$FN$106:$FN$112</c:f>
              <c:numCache>
                <c:formatCode>0.0%</c:formatCode>
                <c:ptCount val="7"/>
                <c:pt idx="0">
                  <c:v>0.22222222222222221</c:v>
                </c:pt>
                <c:pt idx="1">
                  <c:v>0.22569444444444445</c:v>
                </c:pt>
                <c:pt idx="2">
                  <c:v>0.28472222222222221</c:v>
                </c:pt>
                <c:pt idx="3">
                  <c:v>0.11458333333333333</c:v>
                </c:pt>
                <c:pt idx="4">
                  <c:v>0.13541666666666666</c:v>
                </c:pt>
                <c:pt idx="5">
                  <c:v>1.0416666666666666E-2</c:v>
                </c:pt>
                <c:pt idx="6">
                  <c:v>6.9444444444444441E-3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8537472"/>
        <c:axId val="208539008"/>
        <c:axId val="0"/>
      </c:bar3DChart>
      <c:catAx>
        <c:axId val="2085374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539008"/>
        <c:crosses val="autoZero"/>
        <c:auto val="1"/>
        <c:lblAlgn val="ctr"/>
        <c:lblOffset val="100"/>
        <c:noMultiLvlLbl val="0"/>
      </c:catAx>
      <c:valAx>
        <c:axId val="2085390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53747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KILÓMETROS RECORRIDOS SEGÚN AÑO MODELO </a:t>
            </a:r>
            <a:r>
              <a:rPr lang="es-MX" sz="1400" i="1" u="sng"/>
              <a:t>DE LA UNIDAD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1400"/>
              <a:t>[</a:t>
            </a:r>
            <a:r>
              <a:rPr lang="es-MX" sz="800"/>
              <a:t>TOTAL DE RESPUESTAS DE PROPIETARIOS A KILÓMETROS RECORRIDOS POR LA UNIDAD = 971)]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'FORMULAS FEB'!$FM$117</c:f>
              <c:strCache>
                <c:ptCount val="1"/>
                <c:pt idx="0">
                  <c:v>&lt;250,000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FEB'!$FN$116:$FT$116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FEB'!$FN$117:$FT$117</c:f>
              <c:numCache>
                <c:formatCode>General</c:formatCode>
                <c:ptCount val="7"/>
                <c:pt idx="0">
                  <c:v>5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18</c:v>
                </c:pt>
                <c:pt idx="5">
                  <c:v>43</c:v>
                </c:pt>
                <c:pt idx="6">
                  <c:v>86</c:v>
                </c:pt>
              </c:numCache>
            </c:numRef>
          </c:val>
        </c:ser>
        <c:ser>
          <c:idx val="1"/>
          <c:order val="1"/>
          <c:tx>
            <c:strRef>
              <c:f>'FORMULAS FEB'!$FM$118</c:f>
              <c:strCache>
                <c:ptCount val="1"/>
                <c:pt idx="0">
                  <c:v>250,000 A 500,000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FEB'!$FN$116:$FT$116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FEB'!$FN$118:$FT$118</c:f>
              <c:numCache>
                <c:formatCode>General</c:formatCode>
                <c:ptCount val="7"/>
                <c:pt idx="0">
                  <c:v>8</c:v>
                </c:pt>
                <c:pt idx="1">
                  <c:v>3</c:v>
                </c:pt>
                <c:pt idx="2">
                  <c:v>19</c:v>
                </c:pt>
                <c:pt idx="3">
                  <c:v>17</c:v>
                </c:pt>
                <c:pt idx="4">
                  <c:v>31</c:v>
                </c:pt>
                <c:pt idx="5">
                  <c:v>93</c:v>
                </c:pt>
                <c:pt idx="6">
                  <c:v>9</c:v>
                </c:pt>
              </c:numCache>
            </c:numRef>
          </c:val>
        </c:ser>
        <c:ser>
          <c:idx val="2"/>
          <c:order val="2"/>
          <c:tx>
            <c:strRef>
              <c:f>'FORMULAS FEB'!$FM$119</c:f>
              <c:strCache>
                <c:ptCount val="1"/>
                <c:pt idx="0">
                  <c:v>500,001 A 1'000,000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FEB'!$FN$116:$FT$116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FEB'!$FN$119:$FT$119</c:f>
              <c:numCache>
                <c:formatCode>General</c:formatCode>
                <c:ptCount val="7"/>
                <c:pt idx="0">
                  <c:v>24</c:v>
                </c:pt>
                <c:pt idx="1">
                  <c:v>17</c:v>
                </c:pt>
                <c:pt idx="2">
                  <c:v>36</c:v>
                </c:pt>
                <c:pt idx="3">
                  <c:v>123</c:v>
                </c:pt>
                <c:pt idx="4">
                  <c:v>74</c:v>
                </c:pt>
                <c:pt idx="5">
                  <c:v>68</c:v>
                </c:pt>
                <c:pt idx="6">
                  <c:v>4</c:v>
                </c:pt>
              </c:numCache>
            </c:numRef>
          </c:val>
        </c:ser>
        <c:ser>
          <c:idx val="3"/>
          <c:order val="3"/>
          <c:tx>
            <c:strRef>
              <c:f>'FORMULAS FEB'!$FM$120</c:f>
              <c:strCache>
                <c:ptCount val="1"/>
                <c:pt idx="0">
                  <c:v>1'000,001 A 1'500,000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FEB'!$FN$116:$FT$116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FEB'!$FN$120:$FT$120</c:f>
              <c:numCache>
                <c:formatCode>General</c:formatCode>
                <c:ptCount val="7"/>
                <c:pt idx="0">
                  <c:v>41</c:v>
                </c:pt>
                <c:pt idx="1">
                  <c:v>8</c:v>
                </c:pt>
                <c:pt idx="2">
                  <c:v>34</c:v>
                </c:pt>
                <c:pt idx="3">
                  <c:v>49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</c:ser>
        <c:ser>
          <c:idx val="4"/>
          <c:order val="4"/>
          <c:tx>
            <c:strRef>
              <c:f>'FORMULAS FEB'!$FM$121</c:f>
              <c:strCache>
                <c:ptCount val="1"/>
                <c:pt idx="0">
                  <c:v>1'500,001 A 2'000,000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FEB'!$FN$116:$FT$116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FEB'!$FN$121:$FT$121</c:f>
              <c:numCache>
                <c:formatCode>General</c:formatCode>
                <c:ptCount val="7"/>
                <c:pt idx="0">
                  <c:v>59</c:v>
                </c:pt>
                <c:pt idx="1">
                  <c:v>14</c:v>
                </c:pt>
                <c:pt idx="2">
                  <c:v>6</c:v>
                </c:pt>
                <c:pt idx="3">
                  <c:v>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5"/>
          <c:order val="5"/>
          <c:tx>
            <c:strRef>
              <c:f>'FORMULAS FEB'!$FM$122</c:f>
              <c:strCache>
                <c:ptCount val="1"/>
                <c:pt idx="0">
                  <c:v>2'000,001 A 2'500,000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FEB'!$FN$116:$FT$116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FEB'!$FN$122:$FT$122</c:f>
              <c:numCache>
                <c:formatCode>General</c:formatCode>
                <c:ptCount val="7"/>
                <c:pt idx="0">
                  <c:v>21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ser>
          <c:idx val="6"/>
          <c:order val="6"/>
          <c:tx>
            <c:strRef>
              <c:f>'FORMULAS FEB'!$FM$123</c:f>
              <c:strCache>
                <c:ptCount val="1"/>
                <c:pt idx="0">
                  <c:v>&gt;2'500,000 KM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FEB'!$FN$116:$FT$116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FEB'!$FN$123:$FT$123</c:f>
              <c:numCache>
                <c:formatCode>General</c:formatCode>
                <c:ptCount val="7"/>
                <c:pt idx="0">
                  <c:v>16</c:v>
                </c:pt>
                <c:pt idx="1">
                  <c:v>4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8944128"/>
        <c:axId val="208958208"/>
        <c:axId val="0"/>
      </c:bar3DChart>
      <c:catAx>
        <c:axId val="2089441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958208"/>
        <c:crosses val="autoZero"/>
        <c:auto val="1"/>
        <c:lblAlgn val="ctr"/>
        <c:lblOffset val="100"/>
        <c:noMultiLvlLbl val="0"/>
      </c:catAx>
      <c:valAx>
        <c:axId val="2089582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944128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ESCOLARIDAD DE LOS PROPIETARIOS SEGÚN TAMAÑO DE LA FLOTA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8568411613650921E-2"/>
          <c:y val="0.18127162590336587"/>
          <c:w val="0.78310007043643781"/>
          <c:h val="0.5989627753699000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FEB'!$BW$35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FEB'!$BV$36:$BV$41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PREPARATORIA/BACHILLERATO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FEB'!$BW$36:$BW$41</c:f>
              <c:numCache>
                <c:formatCode>0.0%</c:formatCode>
                <c:ptCount val="6"/>
                <c:pt idx="0">
                  <c:v>6.9306930693069313E-2</c:v>
                </c:pt>
                <c:pt idx="1">
                  <c:v>0.23762376237623761</c:v>
                </c:pt>
                <c:pt idx="2">
                  <c:v>0.3910891089108911</c:v>
                </c:pt>
                <c:pt idx="3">
                  <c:v>0.21287128712871287</c:v>
                </c:pt>
                <c:pt idx="4">
                  <c:v>7.9207920792079209E-2</c:v>
                </c:pt>
                <c:pt idx="5">
                  <c:v>9.9009900990099011E-3</c:v>
                </c:pt>
              </c:numCache>
            </c:numRef>
          </c:val>
        </c:ser>
        <c:ser>
          <c:idx val="1"/>
          <c:order val="1"/>
          <c:tx>
            <c:strRef>
              <c:f>'FORMULAS FEB'!$BX$35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FEB'!$BV$36:$BV$41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PREPARATORIA/BACHILLERATO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FEB'!$BX$36:$BX$41</c:f>
              <c:numCache>
                <c:formatCode>0.0%</c:formatCode>
                <c:ptCount val="6"/>
                <c:pt idx="0">
                  <c:v>1.1764705882352941E-2</c:v>
                </c:pt>
                <c:pt idx="1">
                  <c:v>0.17647058823529413</c:v>
                </c:pt>
                <c:pt idx="2">
                  <c:v>0.25882352941176473</c:v>
                </c:pt>
                <c:pt idx="3">
                  <c:v>0.35294117647058826</c:v>
                </c:pt>
                <c:pt idx="4">
                  <c:v>0.2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'FORMULAS FEB'!$BY$35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FEB'!$BV$36:$BV$41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PREPARATORIA/BACHILLERATO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FEB'!$BY$36:$BY$41</c:f>
              <c:numCache>
                <c:formatCode>0.0%</c:formatCode>
                <c:ptCount val="6"/>
                <c:pt idx="0">
                  <c:v>1.1111111111111112E-2</c:v>
                </c:pt>
                <c:pt idx="1">
                  <c:v>0.1</c:v>
                </c:pt>
                <c:pt idx="2">
                  <c:v>0.12222222222222222</c:v>
                </c:pt>
                <c:pt idx="3">
                  <c:v>0.31111111111111112</c:v>
                </c:pt>
                <c:pt idx="4">
                  <c:v>0.44444444444444442</c:v>
                </c:pt>
                <c:pt idx="5">
                  <c:v>1.1111111111111112E-2</c:v>
                </c:pt>
              </c:numCache>
            </c:numRef>
          </c:val>
        </c:ser>
        <c:ser>
          <c:idx val="3"/>
          <c:order val="3"/>
          <c:tx>
            <c:strRef>
              <c:f>'FORMULAS FEB'!$BZ$35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FEB'!$BV$36:$BV$41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PREPARATORIA/BACHILLERATO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FEB'!$BZ$36:$BZ$41</c:f>
              <c:numCache>
                <c:formatCode>0.0%</c:formatCode>
                <c:ptCount val="6"/>
                <c:pt idx="0">
                  <c:v>0</c:v>
                </c:pt>
                <c:pt idx="1">
                  <c:v>5.8823529411764705E-2</c:v>
                </c:pt>
                <c:pt idx="2">
                  <c:v>0.14705882352941177</c:v>
                </c:pt>
                <c:pt idx="3">
                  <c:v>0.26470588235294118</c:v>
                </c:pt>
                <c:pt idx="4">
                  <c:v>0.47058823529411764</c:v>
                </c:pt>
                <c:pt idx="5">
                  <c:v>5.8823529411764705E-2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9012224"/>
        <c:axId val="209013760"/>
        <c:axId val="0"/>
      </c:bar3DChart>
      <c:catAx>
        <c:axId val="2090122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9013760"/>
        <c:crosses val="autoZero"/>
        <c:auto val="1"/>
        <c:lblAlgn val="ctr"/>
        <c:lblOffset val="100"/>
        <c:noMultiLvlLbl val="0"/>
      </c:catAx>
      <c:valAx>
        <c:axId val="20901376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es-MX"/>
          </a:p>
        </c:txPr>
        <c:crossAx val="20901222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ESCOLARIDAD DE LOS PROPIETARIOS 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FEB'!$BV$22</c:f>
              <c:strCache>
                <c:ptCount val="1"/>
                <c:pt idx="0">
                  <c:v>ESCOLARIDAD DE LOS PROPIETARIOS SEGÚN TAMAÑO DE LA FLOTA</c:v>
                </c:pt>
              </c:strCache>
            </c:strRef>
          </c:tx>
          <c:explosion val="25"/>
          <c:dLbls>
            <c:dLbl>
              <c:idx val="1"/>
              <c:spPr/>
              <c:txPr>
                <a:bodyPr/>
                <a:lstStyle/>
                <a:p>
                  <a:pPr>
                    <a:defRPr sz="12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tx>
                <c:rich>
                  <a:bodyPr/>
                  <a:lstStyle/>
                  <a:p>
                    <a:pPr>
                      <a:defRPr sz="1200" b="1" i="0" baseline="0">
                        <a:solidFill>
                          <a:schemeClr val="bg1"/>
                        </a:solidFill>
                      </a:defRPr>
                    </a:pPr>
                    <a:r>
                      <a:rPr lang="en-US" sz="1200" b="1" i="0" baseline="0">
                        <a:solidFill>
                          <a:schemeClr val="bg1"/>
                        </a:solidFill>
                      </a:rPr>
                      <a:t>PREPARATORIA / BACHILLERATO, 110</a:t>
                    </a:r>
                    <a:endParaRPr lang="en-US" baseline="0">
                      <a:solidFill>
                        <a:schemeClr val="bg1"/>
                      </a:solidFill>
                    </a:endParaRPr>
                  </a:p>
                </c:rich>
              </c:tx>
              <c:spPr/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FEB'!$BT$24:$BT$29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PREPARATORIA/BACHILLERATO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FEB'!$BU$24:$BU$29</c:f>
              <c:numCache>
                <c:formatCode>General</c:formatCode>
                <c:ptCount val="6"/>
                <c:pt idx="0">
                  <c:v>16</c:v>
                </c:pt>
                <c:pt idx="1">
                  <c:v>74</c:v>
                </c:pt>
                <c:pt idx="2">
                  <c:v>117</c:v>
                </c:pt>
                <c:pt idx="3">
                  <c:v>110</c:v>
                </c:pt>
                <c:pt idx="4">
                  <c:v>89</c:v>
                </c:pt>
                <c:pt idx="5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RAZÓN POR LA QUE NO PARTICIPA EN EL PROGRAMA DE MODERNIZACIÓN DEL TRANSPORTE DE NAFIN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0"/>
          <c:order val="0"/>
          <c:tx>
            <c:strRef>
              <c:f>FORMULAS!$AL$28</c:f>
              <c:strCache>
                <c:ptCount val="1"/>
                <c:pt idx="0">
                  <c:v>RAZÓN POR LA QUE NO PARTICIPA EN EL PROGRAMA DE MODERNIZACIÓN DEL TRANSPORTE DE NAFIN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FORMULAS!$AL$29:$AL$35</c:f>
              <c:strCache>
                <c:ptCount val="7"/>
                <c:pt idx="0">
                  <c:v>NO LO NECESITA</c:v>
                </c:pt>
                <c:pt idx="1">
                  <c:v>UNIDADES EN BUENAS CONDICIONES</c:v>
                </c:pt>
                <c:pt idx="2">
                  <c:v>NO LE INTERESA</c:v>
                </c:pt>
                <c:pt idx="3">
                  <c:v>LOS REQUISITOS SON COMPLICADOS Y NO SE PUEDEN CUMPLIR</c:v>
                </c:pt>
                <c:pt idx="4">
                  <c:v>ES CARO</c:v>
                </c:pt>
                <c:pt idx="5">
                  <c:v>NO ES CIERTO SU PROGRAMA</c:v>
                </c:pt>
                <c:pt idx="6">
                  <c:v>EL PROVEEDOR TIENE FINANCIERA Y HAN TRABAJADO BIEN</c:v>
                </c:pt>
              </c:strCache>
            </c:strRef>
          </c:cat>
          <c:val>
            <c:numRef>
              <c:f>FORMULAS!$AM$29:$AM$35</c:f>
              <c:numCache>
                <c:formatCode>0.0%</c:formatCode>
                <c:ptCount val="7"/>
                <c:pt idx="0">
                  <c:v>0.45098039215686275</c:v>
                </c:pt>
                <c:pt idx="1">
                  <c:v>0.17647058823529413</c:v>
                </c:pt>
                <c:pt idx="2">
                  <c:v>0.15686274509803921</c:v>
                </c:pt>
                <c:pt idx="3">
                  <c:v>7.8431372549019607E-2</c:v>
                </c:pt>
                <c:pt idx="4">
                  <c:v>5.8823529411764705E-2</c:v>
                </c:pt>
                <c:pt idx="5">
                  <c:v>5.8823529411764705E-2</c:v>
                </c:pt>
                <c:pt idx="6">
                  <c:v>1.9607843137254902E-2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0931328"/>
        <c:axId val="170932864"/>
        <c:axId val="0"/>
      </c:bar3DChart>
      <c:catAx>
        <c:axId val="170931328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 rot="-540000"/>
          <a:lstStyle/>
          <a:p>
            <a:pPr>
              <a:defRPr sz="750" b="1" i="1" baseline="0"/>
            </a:pPr>
            <a:endParaRPr lang="es-MX"/>
          </a:p>
        </c:txPr>
        <c:crossAx val="170932864"/>
        <c:crosses val="autoZero"/>
        <c:auto val="1"/>
        <c:lblAlgn val="ctr"/>
        <c:lblOffset val="100"/>
        <c:noMultiLvlLbl val="0"/>
      </c:catAx>
      <c:valAx>
        <c:axId val="170932864"/>
        <c:scaling>
          <c:orientation val="minMax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70931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CARGA QUE TRANSPORTA SEGÚN TAMAÑO DE FLOTA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1000"/>
              <a:t>[% SOBRE EL TOTAL DE RESPUESTAS A CARGA QUE TRANSPORTA</a:t>
            </a:r>
            <a:r>
              <a:rPr lang="es-MX" sz="1000" baseline="0"/>
              <a:t> (100% =  753)]</a:t>
            </a:r>
            <a:endParaRPr lang="es-MX" sz="10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'FORMULAS FEB'!$B$45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FEB'!$A$46:$A$53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FEB'!$B$46:$B$53</c:f>
              <c:numCache>
                <c:formatCode>0.0%</c:formatCode>
                <c:ptCount val="8"/>
                <c:pt idx="0">
                  <c:v>0.10358565737051793</c:v>
                </c:pt>
                <c:pt idx="1">
                  <c:v>6.5073041168658696E-2</c:v>
                </c:pt>
                <c:pt idx="2">
                  <c:v>2.2576361221779549E-2</c:v>
                </c:pt>
                <c:pt idx="3">
                  <c:v>4.5152722443559098E-2</c:v>
                </c:pt>
                <c:pt idx="4">
                  <c:v>6.3745019920318724E-2</c:v>
                </c:pt>
                <c:pt idx="5">
                  <c:v>8.3665338645418322E-2</c:v>
                </c:pt>
                <c:pt idx="6">
                  <c:v>2.7888446215139442E-2</c:v>
                </c:pt>
                <c:pt idx="7">
                  <c:v>5.1792828685258967E-2</c:v>
                </c:pt>
              </c:numCache>
            </c:numRef>
          </c:val>
        </c:ser>
        <c:ser>
          <c:idx val="1"/>
          <c:order val="1"/>
          <c:tx>
            <c:strRef>
              <c:f>'FORMULAS FEB'!$C$45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FEB'!$A$46:$A$53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FEB'!$C$46:$C$53</c:f>
              <c:numCache>
                <c:formatCode>0.0%</c:formatCode>
                <c:ptCount val="8"/>
                <c:pt idx="0">
                  <c:v>3.1872509960159362E-2</c:v>
                </c:pt>
                <c:pt idx="1">
                  <c:v>2.3904382470119521E-2</c:v>
                </c:pt>
                <c:pt idx="2">
                  <c:v>1.0624169986719787E-2</c:v>
                </c:pt>
                <c:pt idx="3">
                  <c:v>1.7264276228419653E-2</c:v>
                </c:pt>
                <c:pt idx="4">
                  <c:v>4.1168658698539175E-2</c:v>
                </c:pt>
                <c:pt idx="5">
                  <c:v>2.2576361221779549E-2</c:v>
                </c:pt>
                <c:pt idx="6">
                  <c:v>1.0624169986719787E-2</c:v>
                </c:pt>
                <c:pt idx="7">
                  <c:v>3.3200531208499334E-2</c:v>
                </c:pt>
              </c:numCache>
            </c:numRef>
          </c:val>
        </c:ser>
        <c:ser>
          <c:idx val="2"/>
          <c:order val="2"/>
          <c:tx>
            <c:strRef>
              <c:f>'FORMULAS FEB'!$D$45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FEB'!$A$46:$A$53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FEB'!$D$46:$D$53</c:f>
              <c:numCache>
                <c:formatCode>0.0%</c:formatCode>
                <c:ptCount val="8"/>
                <c:pt idx="0">
                  <c:v>3.9840637450199202E-2</c:v>
                </c:pt>
                <c:pt idx="1">
                  <c:v>2.1248339973439574E-2</c:v>
                </c:pt>
                <c:pt idx="2">
                  <c:v>2.5232403718459494E-2</c:v>
                </c:pt>
                <c:pt idx="3">
                  <c:v>2.5232403718459494E-2</c:v>
                </c:pt>
                <c:pt idx="4">
                  <c:v>5.5776892430278883E-2</c:v>
                </c:pt>
                <c:pt idx="5">
                  <c:v>1.7264276228419653E-2</c:v>
                </c:pt>
                <c:pt idx="6">
                  <c:v>3.3200531208499334E-2</c:v>
                </c:pt>
                <c:pt idx="7">
                  <c:v>2.5232403718459494E-2</c:v>
                </c:pt>
              </c:numCache>
            </c:numRef>
          </c:val>
        </c:ser>
        <c:ser>
          <c:idx val="3"/>
          <c:order val="3"/>
          <c:tx>
            <c:strRef>
              <c:f>'FORMULAS FEB'!$E$45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FEB'!$A$46:$A$53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FEB'!$E$46:$E$53</c:f>
              <c:numCache>
                <c:formatCode>0.0%</c:formatCode>
                <c:ptCount val="8"/>
                <c:pt idx="0">
                  <c:v>1.0624169986719787E-2</c:v>
                </c:pt>
                <c:pt idx="1">
                  <c:v>9.2961487383798145E-3</c:v>
                </c:pt>
                <c:pt idx="2">
                  <c:v>9.2961487383798145E-3</c:v>
                </c:pt>
                <c:pt idx="3">
                  <c:v>1.0624169986719787E-2</c:v>
                </c:pt>
                <c:pt idx="4">
                  <c:v>2.3904382470119521E-2</c:v>
                </c:pt>
                <c:pt idx="5">
                  <c:v>1.0624169986719787E-2</c:v>
                </c:pt>
                <c:pt idx="6">
                  <c:v>1.1952191235059761E-2</c:v>
                </c:pt>
                <c:pt idx="7">
                  <c:v>1.5936254980079681E-2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8710656"/>
        <c:axId val="208728832"/>
        <c:axId val="0"/>
      </c:bar3DChart>
      <c:catAx>
        <c:axId val="20871065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728832"/>
        <c:crosses val="autoZero"/>
        <c:auto val="1"/>
        <c:lblAlgn val="ctr"/>
        <c:lblOffset val="100"/>
        <c:noMultiLvlLbl val="0"/>
      </c:catAx>
      <c:valAx>
        <c:axId val="208728832"/>
        <c:scaling>
          <c:orientation val="minMax"/>
        </c:scaling>
        <c:delete val="0"/>
        <c:axPos val="b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71065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900" b="1" i="0" baseline="0"/>
          </a:pPr>
          <a:endParaRPr lang="es-MX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FACTOR DE MAYOR IMPORTANCIA PARA FIJAR LA RUTA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</a:t>
            </a:r>
            <a:r>
              <a:rPr lang="en-US" sz="800" baseline="0"/>
              <a:t> EL TOTAL DE RESPUESTAS A GRADO DE MAYOR IMPORTANCIA PARA FIJAR LA RUTA (100% = 443)]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C+P'!$B$28</c:f>
              <c:strCache>
                <c:ptCount val="1"/>
                <c:pt idx="0">
                  <c:v>FACTOR DE MAYOR IMPORTANCIA PARA FIJAR LA RUTA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2500010252626442E-3"/>
                  <c:y val="-9.94715216427578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C+P'!$B$30:$B$33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C+P'!$C$30:$C$33</c:f>
              <c:numCache>
                <c:formatCode>0.0%</c:formatCode>
                <c:ptCount val="4"/>
                <c:pt idx="0">
                  <c:v>0.58239277652370203</c:v>
                </c:pt>
                <c:pt idx="1">
                  <c:v>0.11060948081264109</c:v>
                </c:pt>
                <c:pt idx="2">
                  <c:v>0.21670428893905191</c:v>
                </c:pt>
                <c:pt idx="3">
                  <c:v>9.0293453724604969E-2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8758272"/>
        <c:axId val="208759808"/>
        <c:axId val="0"/>
      </c:bar3DChart>
      <c:catAx>
        <c:axId val="2087582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759808"/>
        <c:crosses val="autoZero"/>
        <c:auto val="1"/>
        <c:lblAlgn val="ctr"/>
        <c:lblOffset val="100"/>
        <c:noMultiLvlLbl val="0"/>
      </c:catAx>
      <c:valAx>
        <c:axId val="2087598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75827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FACTOR DE IMPORTANCIA MEDIA - ALTA PARA FIJAR LA RUTA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IMPORTANCIA MEDIA - ALTA PARA FIJAR LA RUTA (100% = 448)]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C+P'!$B$37</c:f>
              <c:strCache>
                <c:ptCount val="1"/>
                <c:pt idx="0">
                  <c:v>FACTOR DE IMPORTANCIA MEDIA - ALTA PARA FIJAR LA RUTA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0"/>
                  <c:y val="-1.6682306876683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C+P'!$B$39:$B$42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C+P'!$C$39:$C$42</c:f>
              <c:numCache>
                <c:formatCode>0.0%</c:formatCode>
                <c:ptCount val="4"/>
                <c:pt idx="0">
                  <c:v>0.28348214285714285</c:v>
                </c:pt>
                <c:pt idx="1">
                  <c:v>0.25669642857142855</c:v>
                </c:pt>
                <c:pt idx="2">
                  <c:v>0.45982142857142855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8789504"/>
        <c:axId val="208791040"/>
        <c:axId val="0"/>
      </c:bar3DChart>
      <c:catAx>
        <c:axId val="2087895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791040"/>
        <c:crosses val="autoZero"/>
        <c:auto val="1"/>
        <c:lblAlgn val="ctr"/>
        <c:lblOffset val="100"/>
        <c:noMultiLvlLbl val="0"/>
      </c:catAx>
      <c:valAx>
        <c:axId val="2087910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78950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FACTOR DE IMPORTANCIA MEDIA - BAJA PARA FIJAR LA RUTA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IMPORTANCIA MEDIA - BAJA PARA FIJAR LA RUTA (100% = 448)]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C+P'!$B$46</c:f>
              <c:strCache>
                <c:ptCount val="1"/>
                <c:pt idx="0">
                  <c:v>FACTOR DE IMPORTANCIA MEDIA - BAJA PARA FIJAR LA RUTA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-9.97816850062436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C+P'!$B$48:$B$51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C+P'!$C$48:$C$51</c:f>
              <c:numCache>
                <c:formatCode>0.0%</c:formatCode>
                <c:ptCount val="4"/>
                <c:pt idx="0">
                  <c:v>0.140625</c:v>
                </c:pt>
                <c:pt idx="1">
                  <c:v>0.5580357142857143</c:v>
                </c:pt>
                <c:pt idx="2">
                  <c:v>0.3013392857142857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8812288"/>
        <c:axId val="208830464"/>
        <c:axId val="0"/>
      </c:bar3DChart>
      <c:catAx>
        <c:axId val="2088122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830464"/>
        <c:crosses val="autoZero"/>
        <c:auto val="1"/>
        <c:lblAlgn val="ctr"/>
        <c:lblOffset val="100"/>
        <c:noMultiLvlLbl val="0"/>
      </c:catAx>
      <c:valAx>
        <c:axId val="2088304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812288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FACTOR DE MÁS BAJA IMPORTANCIA PARA FIJAR LA RUTA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PARA LA MÁS</a:t>
            </a:r>
            <a:r>
              <a:rPr lang="en-US" sz="800" baseline="0"/>
              <a:t> BAJA IMPORTANCIA PARA FIJAR LA RUTA (100% = 45)]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C+P'!$B$55</c:f>
              <c:strCache>
                <c:ptCount val="1"/>
                <c:pt idx="0">
                  <c:v>FACTOR DE MÁS BAJA IMPORTANCIA PARA FIJAR LA RUTA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C+P'!$B$57:$B$60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C+P'!$C$57:$C$60</c:f>
              <c:numCache>
                <c:formatCode>0.0%</c:formatCode>
                <c:ptCount val="4"/>
                <c:pt idx="0">
                  <c:v>0</c:v>
                </c:pt>
                <c:pt idx="1">
                  <c:v>0.75555555555555554</c:v>
                </c:pt>
                <c:pt idx="2">
                  <c:v>0.24444444444444444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8859904"/>
        <c:axId val="208861440"/>
        <c:axId val="0"/>
      </c:bar3DChart>
      <c:catAx>
        <c:axId val="2088599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861440"/>
        <c:crosses val="autoZero"/>
        <c:auto val="1"/>
        <c:lblAlgn val="ctr"/>
        <c:lblOffset val="100"/>
        <c:noMultiLvlLbl val="0"/>
      </c:catAx>
      <c:valAx>
        <c:axId val="2088614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85990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TIPOS DE UNIDADES DE ARRASTRE 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UNIDADES DE ARRASTRE (100% = 1,362)]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FEB'!$FY$2</c:f>
              <c:strCache>
                <c:ptCount val="1"/>
                <c:pt idx="0">
                  <c:v>TIPOS DE UNIDADES DE ARRASTRE ENCUESTA A PROPIETARIOS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FEB'!$FY$4:$FY$10</c:f>
              <c:strCache>
                <c:ptCount val="7"/>
                <c:pt idx="0">
                  <c:v>Caja seca</c:v>
                </c:pt>
                <c:pt idx="1">
                  <c:v>Refrigeradas</c:v>
                </c:pt>
                <c:pt idx="2">
                  <c:v>Tanque / Hazmat</c:v>
                </c:pt>
                <c:pt idx="3">
                  <c:v>Plataforma</c:v>
                </c:pt>
                <c:pt idx="4">
                  <c:v>Tolva / Volteo / Góndola</c:v>
                </c:pt>
                <c:pt idx="5">
                  <c:v>Redilas / Jaula</c:v>
                </c:pt>
                <c:pt idx="6">
                  <c:v>Remolque Otro tipo</c:v>
                </c:pt>
              </c:strCache>
            </c:strRef>
          </c:cat>
          <c:val>
            <c:numRef>
              <c:f>'FORMULAS FEB'!$FZ$4:$FZ$10</c:f>
              <c:numCache>
                <c:formatCode>0.0%</c:formatCode>
                <c:ptCount val="7"/>
                <c:pt idx="0">
                  <c:v>0.35462555066079293</c:v>
                </c:pt>
                <c:pt idx="1">
                  <c:v>0.20264317180616739</c:v>
                </c:pt>
                <c:pt idx="2">
                  <c:v>6.6813509544787084E-2</c:v>
                </c:pt>
                <c:pt idx="3">
                  <c:v>9.1776798825256981E-2</c:v>
                </c:pt>
                <c:pt idx="4">
                  <c:v>4.6255506607929514E-2</c:v>
                </c:pt>
                <c:pt idx="5">
                  <c:v>0.10792951541850221</c:v>
                </c:pt>
                <c:pt idx="6">
                  <c:v>0.12995594713656389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8894976"/>
        <c:axId val="208904960"/>
        <c:axId val="0"/>
      </c:bar3DChart>
      <c:catAx>
        <c:axId val="2088949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904960"/>
        <c:crosses val="autoZero"/>
        <c:auto val="1"/>
        <c:lblAlgn val="ctr"/>
        <c:lblOffset val="100"/>
        <c:noMultiLvlLbl val="0"/>
      </c:catAx>
      <c:valAx>
        <c:axId val="20890496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889497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TIPOS DE UNIDADES DE ARRASTRE</a:t>
            </a:r>
          </a:p>
          <a:p>
            <a:pPr>
              <a:defRPr sz="1400"/>
            </a:pPr>
            <a:r>
              <a:rPr lang="en-US" sz="1000"/>
              <a:t>ENCUESTA A CONDUCTORES</a:t>
            </a:r>
          </a:p>
          <a:p>
            <a:pPr>
              <a:defRPr sz="1400"/>
            </a:pPr>
            <a:r>
              <a:rPr lang="en-US" sz="800"/>
              <a:t>[% SOBRE EL TOTAL DE RESPUESTAS A UNIDADES DE ARRASTRE (100%</a:t>
            </a:r>
            <a:r>
              <a:rPr lang="en-US" sz="800" baseline="0"/>
              <a:t> = 337)]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FEB'!$FY$16</c:f>
              <c:strCache>
                <c:ptCount val="1"/>
                <c:pt idx="0">
                  <c:v>TIPOS DE UNIDADES DE ARRASTRE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FEB'!$FY$18:$FY$24</c:f>
              <c:strCache>
                <c:ptCount val="7"/>
                <c:pt idx="0">
                  <c:v>Caja seca</c:v>
                </c:pt>
                <c:pt idx="1">
                  <c:v>Refrigeradas</c:v>
                </c:pt>
                <c:pt idx="2">
                  <c:v>Tanque / Hazmat</c:v>
                </c:pt>
                <c:pt idx="3">
                  <c:v>Plataforma</c:v>
                </c:pt>
                <c:pt idx="4">
                  <c:v>Tolva / Volteo / Góndola</c:v>
                </c:pt>
                <c:pt idx="5">
                  <c:v>Redilas / Jaula</c:v>
                </c:pt>
                <c:pt idx="6">
                  <c:v>Remolque Otro tipo</c:v>
                </c:pt>
              </c:strCache>
            </c:strRef>
          </c:cat>
          <c:val>
            <c:numRef>
              <c:f>'FORMULAS FEB'!$FZ$18:$FZ$24</c:f>
              <c:numCache>
                <c:formatCode>0.0%</c:formatCode>
                <c:ptCount val="7"/>
                <c:pt idx="0">
                  <c:v>0.72106824925816027</c:v>
                </c:pt>
                <c:pt idx="1">
                  <c:v>0.13649851632047477</c:v>
                </c:pt>
                <c:pt idx="2">
                  <c:v>0.12166172106824925</c:v>
                </c:pt>
                <c:pt idx="3">
                  <c:v>0</c:v>
                </c:pt>
                <c:pt idx="4">
                  <c:v>0</c:v>
                </c:pt>
                <c:pt idx="5">
                  <c:v>2.967359050445104E-3</c:v>
                </c:pt>
                <c:pt idx="6">
                  <c:v>1.7804154302670624E-2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95953792"/>
        <c:axId val="195955328"/>
        <c:axId val="0"/>
      </c:bar3DChart>
      <c:catAx>
        <c:axId val="1959537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5955328"/>
        <c:crosses val="autoZero"/>
        <c:auto val="1"/>
        <c:lblAlgn val="ctr"/>
        <c:lblOffset val="100"/>
        <c:noMultiLvlLbl val="0"/>
      </c:catAx>
      <c:valAx>
        <c:axId val="1959553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595379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QUE RECORREN POR MES </a:t>
            </a:r>
          </a:p>
          <a:p>
            <a:pPr>
              <a:defRPr sz="1400"/>
            </a:pPr>
            <a:r>
              <a:rPr lang="en-US" sz="1200"/>
              <a:t>UNIDADES TIPO C2 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</a:t>
            </a:r>
            <a:r>
              <a:rPr lang="en-US" sz="800" baseline="0"/>
              <a:t> A KILÓMETROS POR MES UNIDADES TIPO C2 (100% = 209)]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FEB'!$GE$2</c:f>
              <c:strCache>
                <c:ptCount val="1"/>
                <c:pt idx="0">
                  <c:v>KILÓMETROS QUE RECORREN POR MES UNIDADES TIPO C2 ENCUESTA A PROPIETARIOS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FEB'!$GE$3:$GE$8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  KM</c:v>
                </c:pt>
              </c:strCache>
            </c:strRef>
          </c:cat>
          <c:val>
            <c:numRef>
              <c:f>'FORMULAS FEB'!$GF$3:$GF$8</c:f>
              <c:numCache>
                <c:formatCode>0.0%</c:formatCode>
                <c:ptCount val="6"/>
                <c:pt idx="0">
                  <c:v>0.78947368421052633</c:v>
                </c:pt>
                <c:pt idx="1">
                  <c:v>0.20574162679425836</c:v>
                </c:pt>
                <c:pt idx="2">
                  <c:v>4.7846889952153108E-3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5988480"/>
        <c:axId val="195990272"/>
        <c:axId val="0"/>
      </c:bar3DChart>
      <c:catAx>
        <c:axId val="1959884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5990272"/>
        <c:crosses val="autoZero"/>
        <c:auto val="1"/>
        <c:lblAlgn val="ctr"/>
        <c:lblOffset val="100"/>
        <c:noMultiLvlLbl val="0"/>
      </c:catAx>
      <c:valAx>
        <c:axId val="1959902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598848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QUE RECORREN POR MES </a:t>
            </a:r>
          </a:p>
          <a:p>
            <a:pPr>
              <a:defRPr sz="1400"/>
            </a:pPr>
            <a:r>
              <a:rPr lang="en-US" sz="1200"/>
              <a:t>UNIDADES TIPO C3 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KILÓMETROS POR MES UNIDADES TIPO C3 (100% = 196)]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FEB'!$GE$14</c:f>
              <c:strCache>
                <c:ptCount val="1"/>
                <c:pt idx="0">
                  <c:v>KILÓMETROS QUE RECORREN POR MES UNIDADES TIPO C3 ENCUESTA A PROPIETARIOS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FEB'!$GE$15:$GE$20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  KM</c:v>
                </c:pt>
              </c:strCache>
            </c:strRef>
          </c:cat>
          <c:val>
            <c:numRef>
              <c:f>'FORMULAS FEB'!$GF$15:$GF$20</c:f>
              <c:numCache>
                <c:formatCode>0.0%</c:formatCode>
                <c:ptCount val="6"/>
                <c:pt idx="0">
                  <c:v>0.55497382198952883</c:v>
                </c:pt>
                <c:pt idx="1">
                  <c:v>0.26178010471204188</c:v>
                </c:pt>
                <c:pt idx="2">
                  <c:v>0.18324607329842932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9860096"/>
        <c:axId val="209861632"/>
        <c:axId val="0"/>
      </c:bar3DChart>
      <c:catAx>
        <c:axId val="2098600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9861632"/>
        <c:crosses val="autoZero"/>
        <c:auto val="1"/>
        <c:lblAlgn val="ctr"/>
        <c:lblOffset val="100"/>
        <c:noMultiLvlLbl val="0"/>
      </c:catAx>
      <c:valAx>
        <c:axId val="2098616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9860096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QUE RECORREN POR MES </a:t>
            </a:r>
          </a:p>
          <a:p>
            <a:pPr>
              <a:defRPr sz="1400"/>
            </a:pPr>
            <a:r>
              <a:rPr lang="en-US" sz="1200"/>
              <a:t>UNIDADES TIPO T2 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KILÓMETROS POR MES UNIDADES TIPO T2 (100% = 43)]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FEB'!$GE$26</c:f>
              <c:strCache>
                <c:ptCount val="1"/>
                <c:pt idx="0">
                  <c:v>KILÓMETROS QUE RECORREN POR MES UNIDADES TIPO T2 ENCUESTA A PROPIETARIOS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FEB'!$GE$27:$GE$32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 KM</c:v>
                </c:pt>
              </c:strCache>
            </c:strRef>
          </c:cat>
          <c:val>
            <c:numRef>
              <c:f>'FORMULAS FEB'!$GF$27:$GF$32</c:f>
              <c:numCache>
                <c:formatCode>0.0%</c:formatCode>
                <c:ptCount val="6"/>
                <c:pt idx="0">
                  <c:v>0.18604651162790697</c:v>
                </c:pt>
                <c:pt idx="1">
                  <c:v>0.72093023255813948</c:v>
                </c:pt>
                <c:pt idx="2">
                  <c:v>4.6511627906976744E-2</c:v>
                </c:pt>
                <c:pt idx="3">
                  <c:v>4.6511627906976744E-2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9887232"/>
        <c:axId val="209888768"/>
        <c:axId val="0"/>
      </c:bar3DChart>
      <c:catAx>
        <c:axId val="2098872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9888768"/>
        <c:crosses val="autoZero"/>
        <c:auto val="1"/>
        <c:lblAlgn val="ctr"/>
        <c:lblOffset val="100"/>
        <c:noMultiLvlLbl val="0"/>
      </c:catAx>
      <c:valAx>
        <c:axId val="2098887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988723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OPINIÓN DEL PROGRAMA DE MODERNIZACIÓN DEL TRANSPORTE DE NAFIN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1"/>
        <c:ser>
          <c:idx val="1"/>
          <c:order val="0"/>
          <c:tx>
            <c:strRef>
              <c:f>FORMULAS!$AL$14</c:f>
              <c:strCache>
                <c:ptCount val="1"/>
                <c:pt idx="0">
                  <c:v>OPINIÓN DEL PROGRAMA DE MODERNIZACIÓN DEL TRANSPORTE DE NAFIN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FORMULAS!$AL$15:$AL$19</c:f>
              <c:strCache>
                <c:ptCount val="5"/>
                <c:pt idx="0">
                  <c:v>BUEN PROGRAMA</c:v>
                </c:pt>
                <c:pt idx="1">
                  <c:v>BAJO INCENTIVO</c:v>
                </c:pt>
                <c:pt idx="2">
                  <c:v>NO SIRVE</c:v>
                </c:pt>
                <c:pt idx="3">
                  <c:v>MUCHOS REQUISITOS</c:v>
                </c:pt>
                <c:pt idx="4">
                  <c:v>NO HAY APOYO AL SECTOR PEQUEÑO</c:v>
                </c:pt>
              </c:strCache>
            </c:strRef>
          </c:cat>
          <c:val>
            <c:numRef>
              <c:f>FORMULAS!$AM$15:$AM$19</c:f>
              <c:numCache>
                <c:formatCode>0.0%</c:formatCode>
                <c:ptCount val="5"/>
                <c:pt idx="0">
                  <c:v>0.47058823529411764</c:v>
                </c:pt>
                <c:pt idx="1">
                  <c:v>0.37254901960784315</c:v>
                </c:pt>
                <c:pt idx="2">
                  <c:v>7.8431372549019607E-2</c:v>
                </c:pt>
                <c:pt idx="3">
                  <c:v>3.9215686274509803E-2</c:v>
                </c:pt>
                <c:pt idx="4">
                  <c:v>3.9215686274509803E-2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70953728"/>
        <c:axId val="170963712"/>
        <c:axId val="0"/>
      </c:bar3DChart>
      <c:catAx>
        <c:axId val="170953728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800" b="1" i="0" baseline="0"/>
            </a:pPr>
            <a:endParaRPr lang="es-MX"/>
          </a:p>
        </c:txPr>
        <c:crossAx val="170963712"/>
        <c:crosses val="autoZero"/>
        <c:auto val="1"/>
        <c:lblAlgn val="ctr"/>
        <c:lblOffset val="100"/>
        <c:noMultiLvlLbl val="0"/>
      </c:catAx>
      <c:valAx>
        <c:axId val="170963712"/>
        <c:scaling>
          <c:orientation val="minMax"/>
        </c:scaling>
        <c:delete val="0"/>
        <c:axPos val="b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1" baseline="0"/>
            </a:pPr>
            <a:endParaRPr lang="es-MX"/>
          </a:p>
        </c:txPr>
        <c:crossAx val="1709537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KILÓMETROS QUE RECORREN POR MES </a:t>
            </a:r>
          </a:p>
          <a:p>
            <a:pPr>
              <a:defRPr sz="1400"/>
            </a:pPr>
            <a:r>
              <a:rPr lang="en-US" sz="1200"/>
              <a:t>UNIDADES TIPO T3 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KILÓMETROS POR MES UNIDADES TIPO T3 (100% = 524)]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FEB'!$GE$38</c:f>
              <c:strCache>
                <c:ptCount val="1"/>
                <c:pt idx="0">
                  <c:v>KILÓMETROS QUE RECORREN POR MES UNIDADES TIPO T3 ENCUESTA A PROPIETARIOS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FEB'!$GE$39:$GE$44</c:f>
              <c:strCache>
                <c:ptCount val="6"/>
                <c:pt idx="0">
                  <c:v>&lt;2,500</c:v>
                </c:pt>
                <c:pt idx="1">
                  <c:v>2,500 A 5,000</c:v>
                </c:pt>
                <c:pt idx="2">
                  <c:v>5,001 A 7,500</c:v>
                </c:pt>
                <c:pt idx="3">
                  <c:v>7,501 A 10,000</c:v>
                </c:pt>
                <c:pt idx="4">
                  <c:v>10,001 A 12,500</c:v>
                </c:pt>
                <c:pt idx="5">
                  <c:v>&gt;12,500  KM</c:v>
                </c:pt>
              </c:strCache>
            </c:strRef>
          </c:cat>
          <c:val>
            <c:numRef>
              <c:f>'FORMULAS FEB'!$GF$39:$GF$44</c:f>
              <c:numCache>
                <c:formatCode>0.0%</c:formatCode>
                <c:ptCount val="6"/>
                <c:pt idx="0">
                  <c:v>0.45038167938931295</c:v>
                </c:pt>
                <c:pt idx="1">
                  <c:v>0.42748091603053434</c:v>
                </c:pt>
                <c:pt idx="2">
                  <c:v>7.8244274809160311E-2</c:v>
                </c:pt>
                <c:pt idx="3">
                  <c:v>4.3893129770992363E-2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036864"/>
        <c:axId val="196046848"/>
        <c:axId val="0"/>
      </c:bar3DChart>
      <c:catAx>
        <c:axId val="1960368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6046848"/>
        <c:crosses val="autoZero"/>
        <c:auto val="1"/>
        <c:lblAlgn val="ctr"/>
        <c:lblOffset val="100"/>
        <c:noMultiLvlLbl val="0"/>
      </c:catAx>
      <c:valAx>
        <c:axId val="1960468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96036864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  <a:alpha val="50000"/>
      </a:schemeClr>
    </a:solidFill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CARGA QUE TRANSPORTA SEGÚN TAMAÑO DE FLOTA 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[% SOBRE EL TOTAL DE RESPUESTAS A CARGA QUE TRANSPORTA (100% = 753)]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8095763234672008E-2"/>
          <c:y val="0.13370060945771609"/>
          <c:w val="0.90385031859581011"/>
          <c:h val="0.49024992214956181"/>
        </c:manualLayout>
      </c:layout>
      <c:bar3DChart>
        <c:barDir val="col"/>
        <c:grouping val="stacked"/>
        <c:varyColors val="0"/>
        <c:ser>
          <c:idx val="3"/>
          <c:order val="0"/>
          <c:tx>
            <c:strRef>
              <c:f>'FORMULAS FEB'!$E$45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FEB'!$A$46:$A$53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FEB'!$E$46:$E$53</c:f>
              <c:numCache>
                <c:formatCode>0.0%</c:formatCode>
                <c:ptCount val="8"/>
                <c:pt idx="0">
                  <c:v>1.0624169986719787E-2</c:v>
                </c:pt>
                <c:pt idx="1">
                  <c:v>9.2961487383798145E-3</c:v>
                </c:pt>
                <c:pt idx="2">
                  <c:v>9.2961487383798145E-3</c:v>
                </c:pt>
                <c:pt idx="3">
                  <c:v>1.0624169986719787E-2</c:v>
                </c:pt>
                <c:pt idx="4">
                  <c:v>2.3904382470119521E-2</c:v>
                </c:pt>
                <c:pt idx="5">
                  <c:v>1.0624169986719787E-2</c:v>
                </c:pt>
                <c:pt idx="6">
                  <c:v>1.1952191235059761E-2</c:v>
                </c:pt>
                <c:pt idx="7">
                  <c:v>1.5936254980079681E-2</c:v>
                </c:pt>
              </c:numCache>
            </c:numRef>
          </c:val>
        </c:ser>
        <c:ser>
          <c:idx val="2"/>
          <c:order val="1"/>
          <c:tx>
            <c:strRef>
              <c:f>'FORMULAS FEB'!$D$45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FEB'!$A$46:$A$53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FEB'!$D$46:$D$53</c:f>
              <c:numCache>
                <c:formatCode>0.0%</c:formatCode>
                <c:ptCount val="8"/>
                <c:pt idx="0">
                  <c:v>3.9840637450199202E-2</c:v>
                </c:pt>
                <c:pt idx="1">
                  <c:v>2.1248339973439574E-2</c:v>
                </c:pt>
                <c:pt idx="2">
                  <c:v>2.5232403718459494E-2</c:v>
                </c:pt>
                <c:pt idx="3">
                  <c:v>2.5232403718459494E-2</c:v>
                </c:pt>
                <c:pt idx="4">
                  <c:v>5.5776892430278883E-2</c:v>
                </c:pt>
                <c:pt idx="5">
                  <c:v>1.7264276228419653E-2</c:v>
                </c:pt>
                <c:pt idx="6">
                  <c:v>3.3200531208499334E-2</c:v>
                </c:pt>
                <c:pt idx="7">
                  <c:v>2.5232403718459494E-2</c:v>
                </c:pt>
              </c:numCache>
            </c:numRef>
          </c:val>
        </c:ser>
        <c:ser>
          <c:idx val="1"/>
          <c:order val="2"/>
          <c:tx>
            <c:strRef>
              <c:f>'FORMULAS FEB'!$C$45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FEB'!$A$46:$A$53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FEB'!$C$46:$C$53</c:f>
              <c:numCache>
                <c:formatCode>0.0%</c:formatCode>
                <c:ptCount val="8"/>
                <c:pt idx="0">
                  <c:v>3.1872509960159362E-2</c:v>
                </c:pt>
                <c:pt idx="1">
                  <c:v>2.3904382470119521E-2</c:v>
                </c:pt>
                <c:pt idx="2">
                  <c:v>1.0624169986719787E-2</c:v>
                </c:pt>
                <c:pt idx="3">
                  <c:v>1.7264276228419653E-2</c:v>
                </c:pt>
                <c:pt idx="4">
                  <c:v>4.1168658698539175E-2</c:v>
                </c:pt>
                <c:pt idx="5">
                  <c:v>2.2576361221779549E-2</c:v>
                </c:pt>
                <c:pt idx="6">
                  <c:v>1.0624169986719787E-2</c:v>
                </c:pt>
                <c:pt idx="7">
                  <c:v>3.3200531208499334E-2</c:v>
                </c:pt>
              </c:numCache>
            </c:numRef>
          </c:val>
        </c:ser>
        <c:ser>
          <c:idx val="0"/>
          <c:order val="3"/>
          <c:tx>
            <c:strRef>
              <c:f>'FORMULAS FEB'!$B$45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FEB'!$A$46:$A$53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FEB'!$B$46:$B$53</c:f>
              <c:numCache>
                <c:formatCode>0.0%</c:formatCode>
                <c:ptCount val="8"/>
                <c:pt idx="0">
                  <c:v>0.10358565737051793</c:v>
                </c:pt>
                <c:pt idx="1">
                  <c:v>6.5073041168658696E-2</c:v>
                </c:pt>
                <c:pt idx="2">
                  <c:v>2.2576361221779549E-2</c:v>
                </c:pt>
                <c:pt idx="3">
                  <c:v>4.5152722443559098E-2</c:v>
                </c:pt>
                <c:pt idx="4">
                  <c:v>6.3745019920318724E-2</c:v>
                </c:pt>
                <c:pt idx="5">
                  <c:v>8.3665338645418322E-2</c:v>
                </c:pt>
                <c:pt idx="6">
                  <c:v>2.7888446215139442E-2</c:v>
                </c:pt>
                <c:pt idx="7">
                  <c:v>5.1792828685258967E-2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55"/>
        <c:shape val="box"/>
        <c:axId val="209920384"/>
        <c:axId val="209921920"/>
        <c:axId val="0"/>
      </c:bar3DChart>
      <c:catAx>
        <c:axId val="2099203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9921920"/>
        <c:crosses val="autoZero"/>
        <c:auto val="1"/>
        <c:lblAlgn val="ctr"/>
        <c:lblOffset val="100"/>
        <c:noMultiLvlLbl val="0"/>
      </c:catAx>
      <c:valAx>
        <c:axId val="20992192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9920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"/>
          <c:y val="0.95393033497931401"/>
          <c:w val="0.98206426230193677"/>
          <c:h val="3.6907691623292847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CARGA QUE TRANSPORTA SEGÚN TAMAÑO DE FLOTA 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[TOTAL DE RESPUESTAS  A CARGA QUE TRANSPORTA = 753]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025974173585733E-2"/>
          <c:y val="0.12871613607081125"/>
          <c:w val="0.88752560812530279"/>
          <c:h val="0.48475386280696131"/>
        </c:manualLayout>
      </c:layout>
      <c:barChart>
        <c:barDir val="col"/>
        <c:grouping val="percentStacked"/>
        <c:varyColors val="0"/>
        <c:ser>
          <c:idx val="3"/>
          <c:order val="0"/>
          <c:tx>
            <c:strRef>
              <c:f>'FORMULAS FEB'!$R$45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FEB'!$N$46:$N$53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FEB'!$R$46:$R$53</c:f>
              <c:numCache>
                <c:formatCode>General</c:formatCode>
                <c:ptCount val="8"/>
                <c:pt idx="0">
                  <c:v>8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18</c:v>
                </c:pt>
                <c:pt idx="5">
                  <c:v>8</c:v>
                </c:pt>
                <c:pt idx="6">
                  <c:v>9</c:v>
                </c:pt>
                <c:pt idx="7">
                  <c:v>12</c:v>
                </c:pt>
              </c:numCache>
            </c:numRef>
          </c:val>
        </c:ser>
        <c:ser>
          <c:idx val="2"/>
          <c:order val="1"/>
          <c:tx>
            <c:strRef>
              <c:f>'FORMULAS FEB'!$Q$45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FEB'!$N$46:$N$53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FEB'!$Q$46:$Q$53</c:f>
              <c:numCache>
                <c:formatCode>General</c:formatCode>
                <c:ptCount val="8"/>
                <c:pt idx="0">
                  <c:v>30</c:v>
                </c:pt>
                <c:pt idx="1">
                  <c:v>16</c:v>
                </c:pt>
                <c:pt idx="2">
                  <c:v>19</c:v>
                </c:pt>
                <c:pt idx="3">
                  <c:v>19</c:v>
                </c:pt>
                <c:pt idx="4">
                  <c:v>42</c:v>
                </c:pt>
                <c:pt idx="5">
                  <c:v>13</c:v>
                </c:pt>
                <c:pt idx="6">
                  <c:v>25</c:v>
                </c:pt>
                <c:pt idx="7">
                  <c:v>19</c:v>
                </c:pt>
              </c:numCache>
            </c:numRef>
          </c:val>
        </c:ser>
        <c:ser>
          <c:idx val="1"/>
          <c:order val="2"/>
          <c:tx>
            <c:strRef>
              <c:f>'FORMULAS FEB'!$P$45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FEB'!$N$46:$N$53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FEB'!$P$46:$P$53</c:f>
              <c:numCache>
                <c:formatCode>General</c:formatCode>
                <c:ptCount val="8"/>
                <c:pt idx="0">
                  <c:v>24</c:v>
                </c:pt>
                <c:pt idx="1">
                  <c:v>18</c:v>
                </c:pt>
                <c:pt idx="2">
                  <c:v>8</c:v>
                </c:pt>
                <c:pt idx="3">
                  <c:v>13</c:v>
                </c:pt>
                <c:pt idx="4">
                  <c:v>31</c:v>
                </c:pt>
                <c:pt idx="5">
                  <c:v>17</c:v>
                </c:pt>
                <c:pt idx="6">
                  <c:v>8</c:v>
                </c:pt>
                <c:pt idx="7">
                  <c:v>25</c:v>
                </c:pt>
              </c:numCache>
            </c:numRef>
          </c:val>
        </c:ser>
        <c:ser>
          <c:idx val="0"/>
          <c:order val="3"/>
          <c:tx>
            <c:strRef>
              <c:f>'FORMULAS FEB'!$O$45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FEB'!$N$46:$N$53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producción/ensamble</c:v>
                </c:pt>
                <c:pt idx="5">
                  <c:v>Transporta Granos</c:v>
                </c:pt>
                <c:pt idx="6">
                  <c:v>Productos refrigerados</c:v>
                </c:pt>
                <c:pt idx="7">
                  <c:v>Otros productos</c:v>
                </c:pt>
              </c:strCache>
            </c:strRef>
          </c:cat>
          <c:val>
            <c:numRef>
              <c:f>'FORMULAS FEB'!$O$46:$O$53</c:f>
              <c:numCache>
                <c:formatCode>General</c:formatCode>
                <c:ptCount val="8"/>
                <c:pt idx="0">
                  <c:v>78</c:v>
                </c:pt>
                <c:pt idx="1">
                  <c:v>49</c:v>
                </c:pt>
                <c:pt idx="2">
                  <c:v>17</c:v>
                </c:pt>
                <c:pt idx="3">
                  <c:v>34</c:v>
                </c:pt>
                <c:pt idx="4">
                  <c:v>48</c:v>
                </c:pt>
                <c:pt idx="5">
                  <c:v>63</c:v>
                </c:pt>
                <c:pt idx="6">
                  <c:v>21</c:v>
                </c:pt>
                <c:pt idx="7">
                  <c:v>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9975168"/>
        <c:axId val="209976704"/>
      </c:barChart>
      <c:catAx>
        <c:axId val="2099751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9976704"/>
        <c:crosses val="autoZero"/>
        <c:auto val="1"/>
        <c:lblAlgn val="ctr"/>
        <c:lblOffset val="100"/>
        <c:noMultiLvlLbl val="0"/>
      </c:catAx>
      <c:valAx>
        <c:axId val="209976704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99751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0461151443488888E-4"/>
          <c:y val="0.95400233963154002"/>
          <c:w val="0.98602017399227848"/>
          <c:h val="3.9084773643844738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 SEGÚN TAMAÑO DE LA FLOTA </a:t>
            </a:r>
          </a:p>
          <a:p>
            <a:pPr>
              <a:defRPr sz="1400"/>
            </a:pPr>
            <a:r>
              <a:rPr lang="en-US" sz="1200"/>
              <a:t>PRODUCTOS PERECEDEROS. 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PARA PRODUCTOS PERECEDEROS (100% = 140)]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FEB'!$E$56</c:f>
              <c:strCache>
                <c:ptCount val="1"/>
                <c:pt idx="0">
                  <c:v>CARGA QUE TRANSPORTA SEGÚN TAMAÑO DE LA FLOTA PRODUCTOS PERECEDEROS. ENCUESTA A PROPIETARIOS</c:v>
                </c:pt>
              </c:strCache>
            </c:strRef>
          </c:tx>
          <c:explosion val="25"/>
          <c:dLbls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'FORMULAS FEB'!$F$57:$I$57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FEB'!$F$58:$I$58</c:f>
              <c:numCache>
                <c:formatCode>0.0%</c:formatCode>
                <c:ptCount val="4"/>
                <c:pt idx="0">
                  <c:v>0.55714285714285716</c:v>
                </c:pt>
                <c:pt idx="1">
                  <c:v>0.17142857142857143</c:v>
                </c:pt>
                <c:pt idx="2">
                  <c:v>0.21428571428571427</c:v>
                </c:pt>
                <c:pt idx="3">
                  <c:v>5.7142857142857141E-2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 SEGÚN TAMAÑO DE LA FLOTA </a:t>
            </a:r>
          </a:p>
          <a:p>
            <a:pPr>
              <a:defRPr sz="1400"/>
            </a:pPr>
            <a:r>
              <a:rPr lang="en-US" sz="1200"/>
              <a:t>ALIMENTOS NO PERECEDEROS. 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ALIMENTOS NO PERECEDEROS (100% = 90)]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FEB'!$E$60</c:f>
              <c:strCache>
                <c:ptCount val="1"/>
                <c:pt idx="0">
                  <c:v>CARGA QUE TRANSPORTA SEGÚN TAMAÑO DE LA FLOTA ALIMENTOS NO PERECEDEROS. ENCUESTA A PROPIETARIOS</c:v>
                </c:pt>
              </c:strCache>
            </c:strRef>
          </c:tx>
          <c:explosion val="25"/>
          <c:dLbls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'FORMULAS FEB'!$F$61:$I$61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FEB'!$F$62:$I$62</c:f>
              <c:numCache>
                <c:formatCode>0.0%</c:formatCode>
                <c:ptCount val="4"/>
                <c:pt idx="0">
                  <c:v>0.5444444444444444</c:v>
                </c:pt>
                <c:pt idx="1">
                  <c:v>0.2</c:v>
                </c:pt>
                <c:pt idx="2">
                  <c:v>0.17777777777777778</c:v>
                </c:pt>
                <c:pt idx="3">
                  <c:v>7.7777777777777779E-2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 SEGÚN TAMAÑO DE LA FLOTA </a:t>
            </a:r>
          </a:p>
          <a:p>
            <a:pPr>
              <a:defRPr sz="1400"/>
            </a:pPr>
            <a:r>
              <a:rPr lang="en-US" sz="1200"/>
              <a:t>QUÍMICOS Y PELIGROSOS. 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QUÍMICOS Y PELIGROSOS (100% = )]</a:t>
            </a:r>
          </a:p>
        </c:rich>
      </c:tx>
      <c:overlay val="0"/>
    </c:title>
    <c:autoTitleDeleted val="0"/>
    <c:view3D>
      <c:rotX val="30"/>
      <c:rotY val="5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FEB'!$E$64</c:f>
              <c:strCache>
                <c:ptCount val="1"/>
                <c:pt idx="0">
                  <c:v>CARGA QUE TRANSPORTA SEGÚN TAMAÑO DE LA FLOTA QUÍMICOS Y PELIGROSOS. ENCUESTA A PROPIETARIOS</c:v>
                </c:pt>
              </c:strCache>
            </c:strRef>
          </c:tx>
          <c:explosion val="25"/>
          <c:dLbls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'FORMULAS FEB'!$F$65:$I$65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FEB'!$F$66:$I$66</c:f>
              <c:numCache>
                <c:formatCode>0.0%</c:formatCode>
                <c:ptCount val="4"/>
                <c:pt idx="0">
                  <c:v>0.33333333333333331</c:v>
                </c:pt>
                <c:pt idx="1">
                  <c:v>0.15686274509803921</c:v>
                </c:pt>
                <c:pt idx="2">
                  <c:v>0.37254901960784315</c:v>
                </c:pt>
                <c:pt idx="3">
                  <c:v>0.13725490196078433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 SEGÚN TAMAÑO DE LA FLOTA </a:t>
            </a:r>
          </a:p>
          <a:p>
            <a:pPr>
              <a:defRPr sz="1400"/>
            </a:pPr>
            <a:r>
              <a:rPr lang="en-US" sz="1200"/>
              <a:t>MATERIALES PARA CONSTRUCCIÓN. 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</a:t>
            </a:r>
            <a:r>
              <a:rPr lang="en-US" sz="800" baseline="0"/>
              <a:t> SOBRE EL TOTAL DE RESPUESTAS A MATERIALES DE CONSTRUCCIÓN (100% = 74)]</a:t>
            </a:r>
            <a:endParaRPr lang="en-US" sz="800"/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FEB'!$E$68</c:f>
              <c:strCache>
                <c:ptCount val="1"/>
                <c:pt idx="0">
                  <c:v>CARGA QUE TRANSPORTA SEGÚN TAMAÑO DE LA FLOTA MATERIALES PARA CONSTRUCCIÓN. ENCUESTA A PROPIETARIOS</c:v>
                </c:pt>
              </c:strCache>
            </c:strRef>
          </c:tx>
          <c:explosion val="25"/>
          <c:dLbls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'FORMULAS FEB'!$F$69:$I$69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FEB'!$F$70:$I$70</c:f>
              <c:numCache>
                <c:formatCode>0.0%</c:formatCode>
                <c:ptCount val="4"/>
                <c:pt idx="0">
                  <c:v>0.45945945945945948</c:v>
                </c:pt>
                <c:pt idx="1">
                  <c:v>0.17567567567567569</c:v>
                </c:pt>
                <c:pt idx="2">
                  <c:v>0.25675675675675674</c:v>
                </c:pt>
                <c:pt idx="3">
                  <c:v>0.10810810810810811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 SEGÚN TAMAÑO DE LA FLOTA </a:t>
            </a:r>
          </a:p>
          <a:p>
            <a:pPr>
              <a:defRPr sz="1400"/>
            </a:pPr>
            <a:r>
              <a:rPr lang="en-US" sz="1200"/>
              <a:t>MATERIAS PRIMAS PARA PRODUCCIÓN/ENSAMBLE. 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MATERIAS PRIMAS PARA PRODUCCIÓN/ENSAMBLE (100% = 139)]</a:t>
            </a:r>
          </a:p>
        </c:rich>
      </c:tx>
      <c:overlay val="0"/>
    </c:title>
    <c:autoTitleDeleted val="0"/>
    <c:view3D>
      <c:rotX val="30"/>
      <c:rotY val="4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FEB'!$E$72</c:f>
              <c:strCache>
                <c:ptCount val="1"/>
                <c:pt idx="0">
                  <c:v>CARGA QUE TRANSPORTA SEGÚN TAMAÑO DE LA FLOTA MATERIAS PRIMAS PARA PRODUCCIÓN/ENSAMBLE. ENCUESTA A PROPIETARIOS</c:v>
                </c:pt>
              </c:strCache>
            </c:strRef>
          </c:tx>
          <c:explosion val="25"/>
          <c:dLbls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'FORMULAS FEB'!$F$73:$I$73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FEB'!$F$74:$I$74</c:f>
              <c:numCache>
                <c:formatCode>0.0%</c:formatCode>
                <c:ptCount val="4"/>
                <c:pt idx="0">
                  <c:v>0.34532374100719426</c:v>
                </c:pt>
                <c:pt idx="1">
                  <c:v>0.22302158273381295</c:v>
                </c:pt>
                <c:pt idx="2">
                  <c:v>0.30215827338129497</c:v>
                </c:pt>
                <c:pt idx="3">
                  <c:v>0.12949640287769784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 SEGÚN TAMAÑO DE LA FLOTA </a:t>
            </a:r>
          </a:p>
          <a:p>
            <a:pPr>
              <a:defRPr sz="1400"/>
            </a:pPr>
            <a:r>
              <a:rPr lang="en-US" sz="1200"/>
              <a:t>GRANOS. 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TRANSPORTA GRANOS (100% = 101)]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FEB'!$E$76</c:f>
              <c:strCache>
                <c:ptCount val="1"/>
                <c:pt idx="0">
                  <c:v>CARGA QUE TRANSPORTA SEGÚN TAMAÑO DE LA FLOTA GRANOS. ENCUESTA A PROPIETARIOS</c:v>
                </c:pt>
              </c:strCache>
            </c:strRef>
          </c:tx>
          <c:explosion val="25"/>
          <c:dLbls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'FORMULAS FEB'!$F$77:$I$77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FEB'!$F$78:$I$78</c:f>
              <c:numCache>
                <c:formatCode>0.0%</c:formatCode>
                <c:ptCount val="4"/>
                <c:pt idx="0">
                  <c:v>0.62376237623762376</c:v>
                </c:pt>
                <c:pt idx="1">
                  <c:v>0.16831683168316833</c:v>
                </c:pt>
                <c:pt idx="2">
                  <c:v>0.12871287128712872</c:v>
                </c:pt>
                <c:pt idx="3">
                  <c:v>7.9207920792079209E-2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 SEGÚN TAMAÑO DE LA FLOTA </a:t>
            </a:r>
          </a:p>
          <a:p>
            <a:pPr>
              <a:defRPr sz="1400"/>
            </a:pPr>
            <a:r>
              <a:rPr lang="en-US" sz="1200"/>
              <a:t>PRODUCTOS REFRIGERADOS</a:t>
            </a:r>
            <a:r>
              <a:rPr lang="en-US" sz="1400"/>
              <a:t>. 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PRODUCTOS REFRIGERADOS (100% =</a:t>
            </a:r>
            <a:r>
              <a:rPr lang="en-US" sz="800" baseline="0"/>
              <a:t> 63)]</a:t>
            </a:r>
            <a:endParaRPr lang="en-US" sz="800"/>
          </a:p>
        </c:rich>
      </c:tx>
      <c:overlay val="0"/>
    </c:title>
    <c:autoTitleDeleted val="0"/>
    <c:view3D>
      <c:rotX val="30"/>
      <c:rotY val="6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FEB'!$E$80</c:f>
              <c:strCache>
                <c:ptCount val="1"/>
                <c:pt idx="0">
                  <c:v>CARGA QUE TRANSPORTA SEGÚN TAMAÑO DE LA FLOTA PRODUCTOS REFRIGERADOS. ENCUESTA A PROPIETARIOS</c:v>
                </c:pt>
              </c:strCache>
            </c:strRef>
          </c:tx>
          <c:explosion val="25"/>
          <c:dLbls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'FORMULAS FEB'!$F$81:$I$81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FEB'!$F$82:$I$82</c:f>
              <c:numCache>
                <c:formatCode>0.0%</c:formatCode>
                <c:ptCount val="4"/>
                <c:pt idx="0">
                  <c:v>0.33333333333333331</c:v>
                </c:pt>
                <c:pt idx="1">
                  <c:v>0.12698412698412698</c:v>
                </c:pt>
                <c:pt idx="2">
                  <c:v>0.3968253968253968</c:v>
                </c:pt>
                <c:pt idx="3">
                  <c:v>0.14285714285714285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KILOMETRAJE ACTUAL DE LA UNIDAD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FORMULAS!$AQ$2</c:f>
              <c:strCache>
                <c:ptCount val="1"/>
                <c:pt idx="0">
                  <c:v>KILOMETRAJE ACTUAL DE LA UNIDAD</c:v>
                </c:pt>
              </c:strCache>
            </c:strRef>
          </c:tx>
          <c:explosion val="25"/>
          <c:dPt>
            <c:idx val="5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</c:dPt>
          <c:dPt>
            <c:idx val="7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</c:dPt>
          <c:dLbls>
            <c:dLbl>
              <c:idx val="2"/>
              <c:spPr/>
              <c:txPr>
                <a:bodyPr/>
                <a:lstStyle/>
                <a:p>
                  <a:pPr>
                    <a:defRPr sz="85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1"/>
              <c:spPr/>
              <c:txPr>
                <a:bodyPr/>
                <a:lstStyle/>
                <a:p>
                  <a:pPr>
                    <a:defRPr sz="85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50"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FORMULAS!$AQ$3:$AQ$14</c:f>
              <c:strCache>
                <c:ptCount val="12"/>
                <c:pt idx="0">
                  <c:v>NO CONTESTA/NO SABE</c:v>
                </c:pt>
                <c:pt idx="1">
                  <c:v>ODÓMETRO DAÑADO</c:v>
                </c:pt>
                <c:pt idx="2">
                  <c:v>&lt;100,000</c:v>
                </c:pt>
                <c:pt idx="3">
                  <c:v>101,000 A 200,000</c:v>
                </c:pt>
                <c:pt idx="4">
                  <c:v>201,000 A 300,000</c:v>
                </c:pt>
                <c:pt idx="5">
                  <c:v>301,000 A 400,000</c:v>
                </c:pt>
                <c:pt idx="6">
                  <c:v>401,000 A 500,000</c:v>
                </c:pt>
                <c:pt idx="7">
                  <c:v>501,000 A 750,000</c:v>
                </c:pt>
                <c:pt idx="8">
                  <c:v>750,000 A 1'000,000</c:v>
                </c:pt>
                <c:pt idx="9">
                  <c:v>1'000,001 A 1'500,000</c:v>
                </c:pt>
                <c:pt idx="10">
                  <c:v>1'500,001 A 2'000,000</c:v>
                </c:pt>
                <c:pt idx="11">
                  <c:v>&gt;2'000,000</c:v>
                </c:pt>
              </c:strCache>
            </c:strRef>
          </c:cat>
          <c:val>
            <c:numRef>
              <c:f>FORMULAS!$AR$3:$AR$14</c:f>
              <c:numCache>
                <c:formatCode>0.0%</c:formatCode>
                <c:ptCount val="12"/>
                <c:pt idx="0">
                  <c:v>5.1020408163265302E-3</c:v>
                </c:pt>
                <c:pt idx="1">
                  <c:v>4.0816326530612249E-3</c:v>
                </c:pt>
                <c:pt idx="2">
                  <c:v>6.1224489795918366E-2</c:v>
                </c:pt>
                <c:pt idx="3">
                  <c:v>7.1428571428571425E-2</c:v>
                </c:pt>
                <c:pt idx="4">
                  <c:v>4.3877551020408162E-2</c:v>
                </c:pt>
                <c:pt idx="5">
                  <c:v>9.1836734693877556E-2</c:v>
                </c:pt>
                <c:pt idx="6">
                  <c:v>5.6122448979591837E-2</c:v>
                </c:pt>
                <c:pt idx="7">
                  <c:v>0.18979591836734694</c:v>
                </c:pt>
                <c:pt idx="8">
                  <c:v>0.16734693877551021</c:v>
                </c:pt>
                <c:pt idx="9">
                  <c:v>0.14183673469387756</c:v>
                </c:pt>
                <c:pt idx="10">
                  <c:v>0.10204081632653061</c:v>
                </c:pt>
                <c:pt idx="11">
                  <c:v>6.5306122448979598E-2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CARGA QUE TRANSPORTA SEGÚN TAMAÑO DE LA FLOTA </a:t>
            </a:r>
          </a:p>
          <a:p>
            <a:pPr>
              <a:defRPr sz="1400"/>
            </a:pPr>
            <a:r>
              <a:rPr lang="en-US" sz="1200"/>
              <a:t>OTROS PRODUCTOS. 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OTROS PRODUCTOS (100% = 95)]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FEB'!$E$84</c:f>
              <c:strCache>
                <c:ptCount val="1"/>
                <c:pt idx="0">
                  <c:v>CARGA QUE TRANSPORTA SEGÚN TAMAÑO DE LA FLOTA OTROS PRODUCTOS. ENCUESTA A PROPIETARIOS</c:v>
                </c:pt>
              </c:strCache>
            </c:strRef>
          </c:tx>
          <c:explosion val="25"/>
          <c:dLbls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'FORMULAS FEB'!$F$85:$I$85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TRES A CINCO UNIDADES</c:v>
                </c:pt>
                <c:pt idx="3">
                  <c:v>SEIS A TREINTA UNIDADES</c:v>
                </c:pt>
              </c:strCache>
            </c:strRef>
          </c:cat>
          <c:val>
            <c:numRef>
              <c:f>'FORMULAS FEB'!$F$86:$I$86</c:f>
              <c:numCache>
                <c:formatCode>0.0%</c:formatCode>
                <c:ptCount val="4"/>
                <c:pt idx="0">
                  <c:v>0.41052631578947368</c:v>
                </c:pt>
                <c:pt idx="1">
                  <c:v>0.26315789473684209</c:v>
                </c:pt>
                <c:pt idx="2">
                  <c:v>0.2</c:v>
                </c:pt>
                <c:pt idx="3">
                  <c:v>0.12631578947368421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zero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QUIÉN FIJA LA RUTA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[TOTAL</a:t>
            </a:r>
            <a:r>
              <a:rPr lang="en-US" sz="800" baseline="0"/>
              <a:t> DE RESPUESTAS A QUIÉN FIJA LA RUTA = 451]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4"/>
          <c:order val="0"/>
          <c:tx>
            <c:strRef>
              <c:f>'FORMULAS FEB'!$CH$12</c:f>
              <c:strCache>
                <c:ptCount val="1"/>
                <c:pt idx="0">
                  <c:v>QUIÉN FIJA LA RUTA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FEB'!$CH$14:$CH$17</c:f>
              <c:strCache>
                <c:ptCount val="4"/>
                <c:pt idx="0">
                  <c:v>El Conductor</c:v>
                </c:pt>
                <c:pt idx="1">
                  <c:v>El Dueño</c:v>
                </c:pt>
                <c:pt idx="2">
                  <c:v>El Cliente</c:v>
                </c:pt>
                <c:pt idx="3">
                  <c:v>Ambos (Cliente y Dueño)</c:v>
                </c:pt>
              </c:strCache>
            </c:strRef>
          </c:cat>
          <c:val>
            <c:numRef>
              <c:f>'FORMULAS FEB'!$CM$14:$CM$17</c:f>
              <c:numCache>
                <c:formatCode>General</c:formatCode>
                <c:ptCount val="4"/>
                <c:pt idx="0">
                  <c:v>19</c:v>
                </c:pt>
                <c:pt idx="1">
                  <c:v>206</c:v>
                </c:pt>
                <c:pt idx="2">
                  <c:v>141</c:v>
                </c:pt>
                <c:pt idx="3">
                  <c:v>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0329984"/>
        <c:axId val="210331520"/>
        <c:axId val="0"/>
      </c:bar3DChart>
      <c:catAx>
        <c:axId val="2103299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10331520"/>
        <c:crosses val="autoZero"/>
        <c:auto val="1"/>
        <c:lblAlgn val="ctr"/>
        <c:lblOffset val="100"/>
        <c:noMultiLvlLbl val="0"/>
      </c:catAx>
      <c:valAx>
        <c:axId val="2103315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10329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FACTOR DE MAYOR IMPORTANCIA PARA FIJAR LA RUTA </a:t>
            </a:r>
          </a:p>
          <a:p>
            <a:pPr>
              <a:defRPr sz="1400"/>
            </a:pPr>
            <a:r>
              <a:rPr lang="es-MX" sz="1200"/>
              <a:t>SEGÚN TAMAÑO DE LA FLOTA. 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[TOTAL</a:t>
            </a:r>
            <a:r>
              <a:rPr lang="es-MX" sz="800" baseline="0"/>
              <a:t> DE RESPUESTAS A MAYOR IMPORTANCIA =  410]</a:t>
            </a:r>
            <a:endParaRPr lang="es-MX" sz="8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294782744656331E-2"/>
          <c:y val="0.18994253581366288"/>
          <c:w val="0.88343531865672431"/>
          <c:h val="0.70223266797200368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'FORMULAS FEB'!$CN$22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0" baseline="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FEB'!$CH$23:$CH$26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FEB'!$CN$23:$CN$26</c:f>
              <c:numCache>
                <c:formatCode>General</c:formatCode>
                <c:ptCount val="4"/>
                <c:pt idx="0">
                  <c:v>89</c:v>
                </c:pt>
                <c:pt idx="1">
                  <c:v>35</c:v>
                </c:pt>
                <c:pt idx="2">
                  <c:v>64</c:v>
                </c:pt>
                <c:pt idx="3">
                  <c:v>14</c:v>
                </c:pt>
              </c:numCache>
            </c:numRef>
          </c:val>
        </c:ser>
        <c:ser>
          <c:idx val="6"/>
          <c:order val="1"/>
          <c:tx>
            <c:strRef>
              <c:f>'FORMULAS FEB'!$CO$22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FEB'!$CH$23:$CH$26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FEB'!$CO$23:$CO$26</c:f>
              <c:numCache>
                <c:formatCode>General</c:formatCode>
                <c:ptCount val="4"/>
                <c:pt idx="0">
                  <c:v>44</c:v>
                </c:pt>
                <c:pt idx="1">
                  <c:v>9</c:v>
                </c:pt>
                <c:pt idx="2">
                  <c:v>10</c:v>
                </c:pt>
                <c:pt idx="3">
                  <c:v>21</c:v>
                </c:pt>
              </c:numCache>
            </c:numRef>
          </c:val>
        </c:ser>
        <c:ser>
          <c:idx val="7"/>
          <c:order val="2"/>
          <c:tx>
            <c:strRef>
              <c:f>'FORMULAS FEB'!$CP$22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FEB'!$CH$23:$CH$26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FEB'!$CP$23:$CP$26</c:f>
              <c:numCache>
                <c:formatCode>General</c:formatCode>
                <c:ptCount val="4"/>
                <c:pt idx="0">
                  <c:v>30</c:v>
                </c:pt>
                <c:pt idx="1">
                  <c:v>17</c:v>
                </c:pt>
                <c:pt idx="2">
                  <c:v>18</c:v>
                </c:pt>
                <c:pt idx="3">
                  <c:v>25</c:v>
                </c:pt>
              </c:numCache>
            </c:numRef>
          </c:val>
        </c:ser>
        <c:ser>
          <c:idx val="8"/>
          <c:order val="3"/>
          <c:tx>
            <c:strRef>
              <c:f>'FORMULAS FEB'!$CQ$22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3.5897450392671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FEB'!$CH$23:$CH$26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FEB'!$CQ$23:$CQ$26</c:f>
              <c:numCache>
                <c:formatCode>General</c:formatCode>
                <c:ptCount val="4"/>
                <c:pt idx="0">
                  <c:v>2</c:v>
                </c:pt>
                <c:pt idx="1">
                  <c:v>8</c:v>
                </c:pt>
                <c:pt idx="2">
                  <c:v>11</c:v>
                </c:pt>
                <c:pt idx="3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10404864"/>
        <c:axId val="210406400"/>
      </c:barChart>
      <c:catAx>
        <c:axId val="2104048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10406400"/>
        <c:crosses val="autoZero"/>
        <c:auto val="1"/>
        <c:lblAlgn val="ctr"/>
        <c:lblOffset val="100"/>
        <c:noMultiLvlLbl val="0"/>
      </c:catAx>
      <c:valAx>
        <c:axId val="210406400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10404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2.1061231305987897E-3"/>
          <c:y val="0.95210698651604542"/>
          <c:w val="0.98541824078796192"/>
          <c:h val="4.4440155235273664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FACTOR DE IMPORTANCIA MEDIA - ALTA PARA FIJAR LA RUTA </a:t>
            </a:r>
          </a:p>
          <a:p>
            <a:pPr>
              <a:defRPr sz="1400"/>
            </a:pPr>
            <a:r>
              <a:rPr lang="es-MX" sz="1200"/>
              <a:t>SEGÚN TAMAÑO DE LA FLOTA. 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[TOTAL DE RESPUESTAS A IMPORTANCIA MEDIA ALTA = 410]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761226023050052E-2"/>
          <c:y val="0.21558348475671321"/>
          <c:w val="0.88065813530744941"/>
          <c:h val="0.66120714718352558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'FORMULAS FEB'!$CN$31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dLbl>
              <c:idx val="3"/>
              <c:spPr/>
              <c:txPr>
                <a:bodyPr/>
                <a:lstStyle/>
                <a:p>
                  <a:pPr>
                    <a:defRPr sz="1200" b="1" i="0" baseline="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FEB'!$CH$32:$CH$35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FEB'!$CN$32:$CN$35</c:f>
              <c:numCache>
                <c:formatCode>General</c:formatCode>
                <c:ptCount val="4"/>
                <c:pt idx="0">
                  <c:v>56</c:v>
                </c:pt>
                <c:pt idx="1">
                  <c:v>70</c:v>
                </c:pt>
                <c:pt idx="2">
                  <c:v>76</c:v>
                </c:pt>
                <c:pt idx="3">
                  <c:v>0</c:v>
                </c:pt>
              </c:numCache>
            </c:numRef>
          </c:val>
        </c:ser>
        <c:ser>
          <c:idx val="6"/>
          <c:order val="1"/>
          <c:tx>
            <c:strRef>
              <c:f>'FORMULAS FEB'!$CO$31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-3.8461538461538554E-2"/>
                </c:manualLayout>
              </c:layout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accent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tx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FEB'!$CH$32:$CH$35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FEB'!$CO$32:$CO$35</c:f>
              <c:numCache>
                <c:formatCode>General</c:formatCode>
                <c:ptCount val="4"/>
                <c:pt idx="0">
                  <c:v>21</c:v>
                </c:pt>
                <c:pt idx="1">
                  <c:v>28</c:v>
                </c:pt>
                <c:pt idx="2">
                  <c:v>35</c:v>
                </c:pt>
                <c:pt idx="3">
                  <c:v>0</c:v>
                </c:pt>
              </c:numCache>
            </c:numRef>
          </c:val>
        </c:ser>
        <c:ser>
          <c:idx val="7"/>
          <c:order val="2"/>
          <c:tx>
            <c:strRef>
              <c:f>'FORMULAS FEB'!$CP$31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-7.1794871794871901E-2"/>
                </c:manualLayout>
              </c:layout>
              <c:spPr/>
              <c:txPr>
                <a:bodyPr/>
                <a:lstStyle/>
                <a:p>
                  <a:pPr>
                    <a:defRPr sz="1200" b="1" i="0" baseline="0">
                      <a:solidFill>
                        <a:srgbClr val="C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FEB'!$CH$32:$CH$35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FEB'!$CP$32:$CP$35</c:f>
              <c:numCache>
                <c:formatCode>General</c:formatCode>
                <c:ptCount val="4"/>
                <c:pt idx="0">
                  <c:v>28</c:v>
                </c:pt>
                <c:pt idx="1">
                  <c:v>29</c:v>
                </c:pt>
                <c:pt idx="2">
                  <c:v>33</c:v>
                </c:pt>
                <c:pt idx="3">
                  <c:v>0</c:v>
                </c:pt>
              </c:numCache>
            </c:numRef>
          </c:val>
        </c:ser>
        <c:ser>
          <c:idx val="8"/>
          <c:order val="3"/>
          <c:tx>
            <c:strRef>
              <c:f>'FORMULAS FEB'!$CQ$31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-0.11282051282051292"/>
                </c:manualLayout>
              </c:layout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FEB'!$CH$32:$CH$35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FEB'!$CQ$32:$CQ$35</c:f>
              <c:numCache>
                <c:formatCode>General</c:formatCode>
                <c:ptCount val="4"/>
                <c:pt idx="0">
                  <c:v>17</c:v>
                </c:pt>
                <c:pt idx="1">
                  <c:v>8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9740544"/>
        <c:axId val="209742080"/>
      </c:barChart>
      <c:catAx>
        <c:axId val="2097405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9742080"/>
        <c:crosses val="autoZero"/>
        <c:auto val="1"/>
        <c:lblAlgn val="ctr"/>
        <c:lblOffset val="100"/>
        <c:noMultiLvlLbl val="0"/>
      </c:catAx>
      <c:valAx>
        <c:axId val="209742080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9740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4.1912418361361123E-4"/>
          <c:y val="0.92902988088027461"/>
          <c:w val="0.97866583797004925"/>
          <c:h val="4.9568342418736124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FACTOR DE IMPORTANCIA MEDIA - BAJA PARA FIJAR LA RUTA </a:t>
            </a:r>
          </a:p>
          <a:p>
            <a:pPr>
              <a:defRPr sz="1400"/>
            </a:pPr>
            <a:r>
              <a:rPr lang="es-MX" sz="1200"/>
              <a:t>SEGÚN TAMAÑO DE LA FLOTA. 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[TOTAL DE RESPUESTAS A IMPORTANCIA MEDIA - BAJA = 410]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449652140690968E-2"/>
          <c:y val="0.18392995678157897"/>
          <c:w val="0.8915409927068555"/>
          <c:h val="0.71641671085491831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'FORMULAS FEB'!$CN$40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dLbl>
              <c:idx val="3"/>
              <c:spPr/>
              <c:txPr>
                <a:bodyPr/>
                <a:lstStyle/>
                <a:p>
                  <a:pPr>
                    <a:defRPr sz="1200" b="1" i="0" baseline="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FEB'!$CH$41:$CH$44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FEB'!$CN$41:$CN$44</c:f>
              <c:numCache>
                <c:formatCode>General</c:formatCode>
                <c:ptCount val="4"/>
                <c:pt idx="0">
                  <c:v>50</c:v>
                </c:pt>
                <c:pt idx="1">
                  <c:v>93</c:v>
                </c:pt>
                <c:pt idx="2">
                  <c:v>59</c:v>
                </c:pt>
                <c:pt idx="3">
                  <c:v>0</c:v>
                </c:pt>
              </c:numCache>
            </c:numRef>
          </c:val>
        </c:ser>
        <c:ser>
          <c:idx val="6"/>
          <c:order val="1"/>
          <c:tx>
            <c:strRef>
              <c:f>'FORMULAS FEB'!$CO$40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-4.3381175864956149E-2"/>
                </c:manualLayout>
              </c:layout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accent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FEB'!$CH$41:$CH$44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FEB'!$CO$41:$CO$44</c:f>
              <c:numCache>
                <c:formatCode>General</c:formatCode>
                <c:ptCount val="4"/>
                <c:pt idx="0">
                  <c:v>16</c:v>
                </c:pt>
                <c:pt idx="1">
                  <c:v>38</c:v>
                </c:pt>
                <c:pt idx="2">
                  <c:v>30</c:v>
                </c:pt>
                <c:pt idx="3">
                  <c:v>0</c:v>
                </c:pt>
              </c:numCache>
            </c:numRef>
          </c:val>
        </c:ser>
        <c:ser>
          <c:idx val="7"/>
          <c:order val="2"/>
          <c:tx>
            <c:strRef>
              <c:f>'FORMULAS FEB'!$CP$40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-7.655501623227555E-2"/>
                </c:manualLayout>
              </c:layout>
              <c:spPr/>
              <c:txPr>
                <a:bodyPr/>
                <a:lstStyle/>
                <a:p>
                  <a:pPr>
                    <a:defRPr sz="1200" b="1" i="0" baseline="0">
                      <a:solidFill>
                        <a:srgbClr val="C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FEB'!$CH$41:$CH$44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FEB'!$CP$41:$CP$44</c:f>
              <c:numCache>
                <c:formatCode>General</c:formatCode>
                <c:ptCount val="4"/>
                <c:pt idx="0">
                  <c:v>26</c:v>
                </c:pt>
                <c:pt idx="1">
                  <c:v>37</c:v>
                </c:pt>
                <c:pt idx="2">
                  <c:v>27</c:v>
                </c:pt>
                <c:pt idx="3">
                  <c:v>0</c:v>
                </c:pt>
              </c:numCache>
            </c:numRef>
          </c:val>
        </c:ser>
        <c:ser>
          <c:idx val="8"/>
          <c:order val="3"/>
          <c:tx>
            <c:strRef>
              <c:f>'FORMULAS FEB'!$CQ$40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-0.11228069047400414"/>
                </c:manualLayout>
              </c:layout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FEB'!$CH$41:$CH$44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FEB'!$CQ$41:$CQ$44</c:f>
              <c:numCache>
                <c:formatCode>General</c:formatCode>
                <c:ptCount val="4"/>
                <c:pt idx="0">
                  <c:v>12</c:v>
                </c:pt>
                <c:pt idx="1">
                  <c:v>14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10727296"/>
        <c:axId val="210728832"/>
      </c:barChart>
      <c:catAx>
        <c:axId val="2107272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10728832"/>
        <c:crosses val="autoZero"/>
        <c:auto val="1"/>
        <c:lblAlgn val="ctr"/>
        <c:lblOffset val="100"/>
        <c:noMultiLvlLbl val="0"/>
      </c:catAx>
      <c:valAx>
        <c:axId val="210728832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107272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1.5715225675069829E-4"/>
          <c:y val="0.95249550264396132"/>
          <c:w val="0.9790095109923741"/>
          <c:h val="4.6779334485744187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FACTOR DE MENOR IMPORTANCIA PARA FIJAR LA RUTA </a:t>
            </a:r>
          </a:p>
          <a:p>
            <a:pPr>
              <a:defRPr sz="1400"/>
            </a:pPr>
            <a:r>
              <a:rPr lang="es-MX" sz="1200"/>
              <a:t>SEGÚN TAMAÑO DE LA FLOTA. 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  <a:p>
            <a:pPr>
              <a:defRPr sz="1400"/>
            </a:pPr>
            <a:r>
              <a:rPr lang="es-MX" sz="800"/>
              <a:t>[TOTAL DE RESPUESTAS A MENOR IMPORTANCIA = 71]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761212887547825E-2"/>
          <c:y val="0.16942963860286703"/>
          <c:w val="0.88274965840149566"/>
          <c:h val="0.72018150615788445"/>
        </c:manualLayout>
      </c:layout>
      <c:barChart>
        <c:barDir val="col"/>
        <c:grouping val="percentStacked"/>
        <c:varyColors val="0"/>
        <c:ser>
          <c:idx val="5"/>
          <c:order val="0"/>
          <c:tx>
            <c:strRef>
              <c:f>'FORMULAS FEB'!$CN$49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0"/>
                  <c:y val="-4.3589743589743692E-2"/>
                </c:manualLayout>
              </c:layout>
              <c:spPr/>
              <c:txPr>
                <a:bodyPr/>
                <a:lstStyle/>
                <a:p>
                  <a:pPr>
                    <a:defRPr sz="1200" baseline="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FEB'!$CH$50:$CH$53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FEB'!$CN$50:$CN$53</c:f>
              <c:numCache>
                <c:formatCode>General</c:formatCode>
                <c:ptCount val="4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</c:ser>
        <c:ser>
          <c:idx val="6"/>
          <c:order val="1"/>
          <c:tx>
            <c:strRef>
              <c:f>'FORMULAS FEB'!$CO$49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4.1830068803875783E-3"/>
                  <c:y val="-7.6923076923077011E-2"/>
                </c:manualLayout>
              </c:layout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accent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FEB'!$CH$50:$CH$53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FEB'!$CO$50:$CO$53</c:f>
              <c:numCache>
                <c:formatCode>General</c:formatCode>
                <c:ptCount val="4"/>
                <c:pt idx="0">
                  <c:v>3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ser>
          <c:idx val="7"/>
          <c:order val="2"/>
          <c:tx>
            <c:strRef>
              <c:f>'FORMULAS FEB'!$CP$49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dLbl>
              <c:idx val="3"/>
              <c:layout>
                <c:manualLayout>
                  <c:x val="-2.0915034401937883E-3"/>
                  <c:y val="-0.11025641025641041"/>
                </c:manualLayout>
              </c:layout>
              <c:spPr/>
              <c:txPr>
                <a:bodyPr/>
                <a:lstStyle/>
                <a:p>
                  <a:pPr>
                    <a:defRPr sz="1200" baseline="0">
                      <a:solidFill>
                        <a:srgbClr val="C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FEB'!$CH$50:$CH$53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FEB'!$CP$50:$CP$53</c:f>
              <c:numCache>
                <c:formatCode>General</c:formatCode>
                <c:ptCount val="4"/>
                <c:pt idx="0">
                  <c:v>6</c:v>
                </c:pt>
                <c:pt idx="1">
                  <c:v>7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</c:ser>
        <c:ser>
          <c:idx val="8"/>
          <c:order val="3"/>
          <c:tx>
            <c:strRef>
              <c:f>'FORMULAS FEB'!$CQ$49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1" baseline="0"/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200" b="1" i="1" baseline="0"/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200" b="1" i="1" baseline="0"/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0915034401937883E-3"/>
                  <c:y val="-0.15384615384615402"/>
                </c:manualLayout>
              </c:layout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FEB'!$CH$50:$CH$53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FEB'!$CQ$50:$CQ$53</c:f>
              <c:numCache>
                <c:formatCode>General</c:formatCode>
                <c:ptCount val="4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9818752"/>
        <c:axId val="209820288"/>
      </c:barChart>
      <c:catAx>
        <c:axId val="209818752"/>
        <c:scaling>
          <c:orientation val="minMax"/>
        </c:scaling>
        <c:delete val="0"/>
        <c:axPos val="b"/>
        <c:majorTickMark val="none"/>
        <c:minorTickMark val="none"/>
        <c:tickLblPos val="nextTo"/>
        <c:crossAx val="209820288"/>
        <c:crosses val="autoZero"/>
        <c:auto val="1"/>
        <c:lblAlgn val="ctr"/>
        <c:lblOffset val="100"/>
        <c:noMultiLvlLbl val="0"/>
      </c:catAx>
      <c:valAx>
        <c:axId val="209820288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2098187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4.1928879990026687E-4"/>
          <c:y val="0.94441449626489016"/>
          <c:w val="0.9849401871187432"/>
          <c:h val="5.469654754694127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b="1" i="0" baseline="0"/>
      </a:pPr>
      <a:endParaRPr lang="es-MX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RESERVA PARA COMPRA DE UNIDAD</a:t>
            </a:r>
          </a:p>
          <a:p>
            <a:pPr>
              <a:defRPr sz="1400"/>
            </a:pPr>
            <a:r>
              <a:rPr lang="es-MX" sz="1200"/>
              <a:t>SEGÚN</a:t>
            </a:r>
            <a:r>
              <a:rPr lang="es-MX" sz="1200" baseline="0"/>
              <a:t> NIVEL DE EDUCACIÓN</a:t>
            </a:r>
          </a:p>
          <a:p>
            <a:pPr>
              <a:defRPr sz="1400"/>
            </a:pPr>
            <a:r>
              <a:rPr lang="es-MX" sz="1000" baseline="0"/>
              <a:t>ENCUESTA A PROPIETARIOS</a:t>
            </a:r>
          </a:p>
          <a:p>
            <a:pPr>
              <a:defRPr sz="1400"/>
            </a:pPr>
            <a:r>
              <a:rPr lang="es-MX" sz="800" baseline="0"/>
              <a:t>[% SOBRE EL TOTAL DE RESPUESTAS A RESERVA PARA COMPRA DE UNIDAD (100%= 130)]</a:t>
            </a:r>
            <a:endParaRPr lang="es-MX" sz="800"/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FEB'!$EW$34</c:f>
              <c:strCache>
                <c:ptCount val="1"/>
                <c:pt idx="0">
                  <c:v>RESERVA PARA COMPRA DE UNIDAD</c:v>
                </c:pt>
              </c:strCache>
            </c:strRef>
          </c:tx>
          <c:explosion val="25"/>
          <c:dLbls>
            <c:dLbl>
              <c:idx val="0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5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'FORMULAS FEB'!$EV$35:$EV$40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FEB'!$EW$35:$EW$40</c:f>
              <c:numCache>
                <c:formatCode>General</c:formatCode>
                <c:ptCount val="6"/>
                <c:pt idx="0">
                  <c:v>0</c:v>
                </c:pt>
                <c:pt idx="1">
                  <c:v>13</c:v>
                </c:pt>
                <c:pt idx="2">
                  <c:v>25</c:v>
                </c:pt>
                <c:pt idx="3">
                  <c:v>41</c:v>
                </c:pt>
                <c:pt idx="4">
                  <c:v>50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zero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NO RESERVA PARA COMPRA DE UNIDAD</a:t>
            </a:r>
          </a:p>
          <a:p>
            <a:pPr>
              <a:defRPr sz="1400"/>
            </a:pPr>
            <a:r>
              <a:rPr lang="en-US" sz="1200"/>
              <a:t>SEGÚN NIVEL DE EDUCACIÓN</a:t>
            </a:r>
          </a:p>
          <a:p>
            <a:pPr>
              <a:defRPr sz="1400"/>
            </a:pPr>
            <a:r>
              <a:rPr lang="en-US" sz="1000"/>
              <a:t>ENCUESTA</a:t>
            </a:r>
            <a:r>
              <a:rPr lang="en-US" sz="1000" baseline="0"/>
              <a:t> A PROPIETARIOS</a:t>
            </a:r>
          </a:p>
          <a:p>
            <a:pPr>
              <a:defRPr sz="1400"/>
            </a:pPr>
            <a:r>
              <a:rPr lang="en-US" sz="800" baseline="0"/>
              <a:t>[% SOBRE EL TOTAL DE RESPUESTAS A NO RESERVA PARA COMPRA DE UNIDAD (100% = 279)]</a:t>
            </a:r>
            <a:endParaRPr lang="en-US" sz="800"/>
          </a:p>
        </c:rich>
      </c:tx>
      <c:overlay val="0"/>
    </c:title>
    <c:autoTitleDeleted val="0"/>
    <c:view3D>
      <c:rotX val="30"/>
      <c:rotY val="29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1"/>
          <c:order val="0"/>
          <c:tx>
            <c:strRef>
              <c:f>'FORMULAS FEB'!$EX$34</c:f>
              <c:strCache>
                <c:ptCount val="1"/>
                <c:pt idx="0">
                  <c:v>NO RESERVA PARA COMPRA DE UNIDAD</c:v>
                </c:pt>
              </c:strCache>
            </c:strRef>
          </c:tx>
          <c:explosion val="25"/>
          <c:dLbls>
            <c:dLbl>
              <c:idx val="0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5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'FORMULAS FEB'!$EV$35:$EV$40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FEB'!$EX$35:$EX$40</c:f>
              <c:numCache>
                <c:formatCode>General</c:formatCode>
                <c:ptCount val="6"/>
                <c:pt idx="0">
                  <c:v>16</c:v>
                </c:pt>
                <c:pt idx="1">
                  <c:v>61</c:v>
                </c:pt>
                <c:pt idx="2">
                  <c:v>92</c:v>
                </c:pt>
                <c:pt idx="3">
                  <c:v>69</c:v>
                </c:pt>
                <c:pt idx="4">
                  <c:v>39</c:v>
                </c:pt>
                <c:pt idx="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zero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RESERVA PARA AHORRO</a:t>
            </a:r>
          </a:p>
          <a:p>
            <a:pPr>
              <a:defRPr sz="1400"/>
            </a:pPr>
            <a:r>
              <a:rPr lang="en-US" sz="1200"/>
              <a:t>SEGÚN NIVEL</a:t>
            </a:r>
            <a:r>
              <a:rPr lang="en-US" sz="1200" baseline="0"/>
              <a:t> DE EDUCACIÓN</a:t>
            </a:r>
          </a:p>
          <a:p>
            <a:pPr>
              <a:defRPr sz="1400"/>
            </a:pPr>
            <a:r>
              <a:rPr lang="en-US" sz="1000" baseline="0"/>
              <a:t>ENCUESTA A PROPIETARIOS</a:t>
            </a:r>
          </a:p>
          <a:p>
            <a:pPr>
              <a:defRPr sz="1400"/>
            </a:pPr>
            <a:r>
              <a:rPr lang="en-US" sz="800" baseline="0"/>
              <a:t>[% SOBRE EL TOTAL DE RESPUESTAS A RESERVA PARA AHORRO (100% = 222)]</a:t>
            </a:r>
            <a:endParaRPr lang="en-US" sz="800"/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2"/>
          <c:order val="0"/>
          <c:tx>
            <c:strRef>
              <c:f>'FORMULAS FEB'!$EY$34</c:f>
              <c:strCache>
                <c:ptCount val="1"/>
                <c:pt idx="0">
                  <c:v>RESERVA PARA AHORRO</c:v>
                </c:pt>
              </c:strCache>
            </c:strRef>
          </c:tx>
          <c:explosion val="25"/>
          <c:dLbls>
            <c:dLbl>
              <c:idx val="0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5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'FORMULAS FEB'!$EV$35:$EV$40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FEB'!$EY$35:$EY$40</c:f>
              <c:numCache>
                <c:formatCode>General</c:formatCode>
                <c:ptCount val="6"/>
                <c:pt idx="0">
                  <c:v>1</c:v>
                </c:pt>
                <c:pt idx="1">
                  <c:v>31</c:v>
                </c:pt>
                <c:pt idx="2">
                  <c:v>46</c:v>
                </c:pt>
                <c:pt idx="3">
                  <c:v>65</c:v>
                </c:pt>
                <c:pt idx="4">
                  <c:v>76</c:v>
                </c:pt>
                <c:pt idx="5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zero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NO RESERVA PARA AHORRO</a:t>
            </a:r>
          </a:p>
          <a:p>
            <a:pPr>
              <a:defRPr sz="1400"/>
            </a:pPr>
            <a:r>
              <a:rPr lang="en-US" sz="1200"/>
              <a:t>SEGÚN NIVEL DE EDUCACIÓN</a:t>
            </a:r>
          </a:p>
          <a:p>
            <a:pPr>
              <a:defRPr sz="1400"/>
            </a:pPr>
            <a:r>
              <a:rPr lang="en-US" sz="1000"/>
              <a:t>ENCUESTA A PROPIETARIOS</a:t>
            </a:r>
          </a:p>
          <a:p>
            <a:pPr>
              <a:defRPr sz="1400"/>
            </a:pPr>
            <a:r>
              <a:rPr lang="en-US" sz="800"/>
              <a:t>[% SOBRE EL TOTAL DE RESPUESTAS A NO RESERVA PARA AHORRO (100% = 187)]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3"/>
          <c:order val="0"/>
          <c:tx>
            <c:strRef>
              <c:f>'FORMULAS FEB'!$EZ$34</c:f>
              <c:strCache>
                <c:ptCount val="1"/>
                <c:pt idx="0">
                  <c:v>NO RESERVA PARA AHORRO</c:v>
                </c:pt>
              </c:strCache>
            </c:strRef>
          </c:tx>
          <c:explosion val="25"/>
          <c:dLbls>
            <c:dLbl>
              <c:idx val="2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5"/>
              <c:spPr/>
              <c:txPr>
                <a:bodyPr/>
                <a:lstStyle/>
                <a:p>
                  <a:pPr>
                    <a:defRPr sz="1200" b="1" i="1" baseline="0">
                      <a:solidFill>
                        <a:schemeClr val="tx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'FORMULAS FEB'!$EV$35:$EV$40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FEB'!$EZ$35:$EZ$40</c:f>
              <c:numCache>
                <c:formatCode>General</c:formatCode>
                <c:ptCount val="6"/>
                <c:pt idx="0">
                  <c:v>15</c:v>
                </c:pt>
                <c:pt idx="1">
                  <c:v>43</c:v>
                </c:pt>
                <c:pt idx="2">
                  <c:v>71</c:v>
                </c:pt>
                <c:pt idx="3">
                  <c:v>45</c:v>
                </c:pt>
                <c:pt idx="4">
                  <c:v>13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zero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ADQUIERE LA UNIDAD</a:t>
            </a:r>
          </a:p>
        </c:rich>
      </c:tx>
      <c:layout>
        <c:manualLayout>
          <c:xMode val="edge"/>
          <c:yMode val="edge"/>
          <c:x val="0.33617366579178415"/>
          <c:y val="2.7777777777778734E-2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FORMULAS!$AQ$17</c:f>
              <c:strCache>
                <c:ptCount val="1"/>
                <c:pt idx="0">
                  <c:v>ADQUIERE LA UNIDAD</c:v>
                </c:pt>
              </c:strCache>
            </c:strRef>
          </c:tx>
          <c:explosion val="25"/>
          <c:dLbls>
            <c:txPr>
              <a:bodyPr/>
              <a:lstStyle/>
              <a:p>
                <a:pPr>
                  <a:defRPr b="1" i="0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FORMULAS!$AQ$18:$AQ$20</c:f>
              <c:strCache>
                <c:ptCount val="3"/>
                <c:pt idx="0">
                  <c:v>NUEVA</c:v>
                </c:pt>
                <c:pt idx="1">
                  <c:v>SEMINUEVA 1 - 5 AÑOS</c:v>
                </c:pt>
                <c:pt idx="2">
                  <c:v>USADA MÁS DE 5 AÑOS</c:v>
                </c:pt>
              </c:strCache>
            </c:strRef>
          </c:cat>
          <c:val>
            <c:numRef>
              <c:f>FORMULAS!$AR$18:$AR$20</c:f>
              <c:numCache>
                <c:formatCode>0.0%</c:formatCode>
                <c:ptCount val="3"/>
                <c:pt idx="0">
                  <c:v>0.45714285714285713</c:v>
                </c:pt>
                <c:pt idx="1">
                  <c:v>0.24285714285714285</c:v>
                </c:pt>
                <c:pt idx="2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GENERACIÓN DE RESERVAS FINANCIERAS PARA COMPRA DE UNIDAD </a:t>
            </a:r>
          </a:p>
          <a:p>
            <a:pPr>
              <a:defRPr sz="1400"/>
            </a:pPr>
            <a:r>
              <a:rPr lang="es-MX" sz="1200"/>
              <a:t>SEGÚN NIVEL EDUCATIVO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697469420096073E-2"/>
          <c:y val="0.29967842984047588"/>
          <c:w val="0.64397339011868826"/>
          <c:h val="0.6097578757028517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FEB'!$FB$35</c:f>
              <c:strCache>
                <c:ptCount val="1"/>
                <c:pt idx="0">
                  <c:v>SIN ESTUDIOS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0"/>
                  <c:y val="0.11165005138646979"/>
                </c:manualLayout>
              </c:layout>
              <c:spPr/>
              <c:txPr>
                <a:bodyPr rot="-5400000" vert="horz"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FEB'!$FC$34:$FD$34</c:f>
              <c:strCache>
                <c:ptCount val="2"/>
                <c:pt idx="0">
                  <c:v>RESERVA PARA COMPRA DE UNIDAD</c:v>
                </c:pt>
                <c:pt idx="1">
                  <c:v>NO RESERVA PARA COMPRA DE UNIDAD</c:v>
                </c:pt>
              </c:strCache>
            </c:strRef>
          </c:cat>
          <c:val>
            <c:numRef>
              <c:f>'FORMULAS FEB'!$FC$35:$FD$35</c:f>
              <c:numCache>
                <c:formatCode>0.0%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</c:ser>
        <c:ser>
          <c:idx val="1"/>
          <c:order val="1"/>
          <c:tx>
            <c:strRef>
              <c:f>'FORMULAS FEB'!$FB$36</c:f>
              <c:strCache>
                <c:ptCount val="1"/>
                <c:pt idx="0">
                  <c:v>PRIMARIA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FEB'!$FC$34:$FD$34</c:f>
              <c:strCache>
                <c:ptCount val="2"/>
                <c:pt idx="0">
                  <c:v>RESERVA PARA COMPRA DE UNIDAD</c:v>
                </c:pt>
                <c:pt idx="1">
                  <c:v>NO RESERVA PARA COMPRA DE UNIDAD</c:v>
                </c:pt>
              </c:strCache>
            </c:strRef>
          </c:cat>
          <c:val>
            <c:numRef>
              <c:f>'FORMULAS FEB'!$FC$36:$FD$36</c:f>
              <c:numCache>
                <c:formatCode>0.0%</c:formatCode>
                <c:ptCount val="2"/>
                <c:pt idx="0">
                  <c:v>0.17567567567567569</c:v>
                </c:pt>
                <c:pt idx="1">
                  <c:v>0.82432432432432434</c:v>
                </c:pt>
              </c:numCache>
            </c:numRef>
          </c:val>
        </c:ser>
        <c:ser>
          <c:idx val="2"/>
          <c:order val="2"/>
          <c:tx>
            <c:strRef>
              <c:f>'FORMULAS FEB'!$FB$37</c:f>
              <c:strCache>
                <c:ptCount val="1"/>
                <c:pt idx="0">
                  <c:v>SECUNDARIA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FEB'!$FC$34:$FD$34</c:f>
              <c:strCache>
                <c:ptCount val="2"/>
                <c:pt idx="0">
                  <c:v>RESERVA PARA COMPRA DE UNIDAD</c:v>
                </c:pt>
                <c:pt idx="1">
                  <c:v>NO RESERVA PARA COMPRA DE UNIDAD</c:v>
                </c:pt>
              </c:strCache>
            </c:strRef>
          </c:cat>
          <c:val>
            <c:numRef>
              <c:f>'FORMULAS FEB'!$FC$37:$FD$37</c:f>
              <c:numCache>
                <c:formatCode>0.0%</c:formatCode>
                <c:ptCount val="2"/>
                <c:pt idx="0">
                  <c:v>0.21367521367521367</c:v>
                </c:pt>
                <c:pt idx="1">
                  <c:v>0.78632478632478631</c:v>
                </c:pt>
              </c:numCache>
            </c:numRef>
          </c:val>
        </c:ser>
        <c:ser>
          <c:idx val="3"/>
          <c:order val="3"/>
          <c:tx>
            <c:strRef>
              <c:f>'FORMULAS FEB'!$FB$38</c:f>
              <c:strCache>
                <c:ptCount val="1"/>
                <c:pt idx="0">
                  <c:v>PREPARATORIA / BACHILLERATO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FEB'!$FC$34:$FD$34</c:f>
              <c:strCache>
                <c:ptCount val="2"/>
                <c:pt idx="0">
                  <c:v>RESERVA PARA COMPRA DE UNIDAD</c:v>
                </c:pt>
                <c:pt idx="1">
                  <c:v>NO RESERVA PARA COMPRA DE UNIDAD</c:v>
                </c:pt>
              </c:strCache>
            </c:strRef>
          </c:cat>
          <c:val>
            <c:numRef>
              <c:f>'FORMULAS FEB'!$FC$38:$FD$38</c:f>
              <c:numCache>
                <c:formatCode>0.0%</c:formatCode>
                <c:ptCount val="2"/>
                <c:pt idx="0">
                  <c:v>0.37272727272727274</c:v>
                </c:pt>
                <c:pt idx="1">
                  <c:v>0.62727272727272732</c:v>
                </c:pt>
              </c:numCache>
            </c:numRef>
          </c:val>
        </c:ser>
        <c:ser>
          <c:idx val="4"/>
          <c:order val="4"/>
          <c:tx>
            <c:strRef>
              <c:f>'FORMULAS FEB'!$FB$39</c:f>
              <c:strCache>
                <c:ptCount val="1"/>
                <c:pt idx="0">
                  <c:v>LICENCIATURA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FEB'!$FC$34:$FD$34</c:f>
              <c:strCache>
                <c:ptCount val="2"/>
                <c:pt idx="0">
                  <c:v>RESERVA PARA COMPRA DE UNIDAD</c:v>
                </c:pt>
                <c:pt idx="1">
                  <c:v>NO RESERVA PARA COMPRA DE UNIDAD</c:v>
                </c:pt>
              </c:strCache>
            </c:strRef>
          </c:cat>
          <c:val>
            <c:numRef>
              <c:f>'FORMULAS FEB'!$FC$39:$FD$39</c:f>
              <c:numCache>
                <c:formatCode>0.0%</c:formatCode>
                <c:ptCount val="2"/>
                <c:pt idx="0">
                  <c:v>0.5617977528089888</c:v>
                </c:pt>
                <c:pt idx="1">
                  <c:v>0.43820224719101125</c:v>
                </c:pt>
              </c:numCache>
            </c:numRef>
          </c:val>
        </c:ser>
        <c:ser>
          <c:idx val="5"/>
          <c:order val="5"/>
          <c:tx>
            <c:strRef>
              <c:f>'FORMULAS FEB'!$FB$40</c:f>
              <c:strCache>
                <c:ptCount val="1"/>
                <c:pt idx="0">
                  <c:v>OTROS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FEB'!$FC$34:$FD$34</c:f>
              <c:strCache>
                <c:ptCount val="2"/>
                <c:pt idx="0">
                  <c:v>RESERVA PARA COMPRA DE UNIDAD</c:v>
                </c:pt>
                <c:pt idx="1">
                  <c:v>NO RESERVA PARA COMPRA DE UNIDAD</c:v>
                </c:pt>
              </c:strCache>
            </c:strRef>
          </c:cat>
          <c:val>
            <c:numRef>
              <c:f>'FORMULAS FEB'!$FC$40:$FD$40</c:f>
              <c:numCache>
                <c:formatCode>0.0%</c:formatCode>
                <c:ptCount val="2"/>
                <c:pt idx="0">
                  <c:v>0.33333333333333331</c:v>
                </c:pt>
                <c:pt idx="1">
                  <c:v>0.66666666666666663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1007744"/>
        <c:axId val="211009536"/>
        <c:axId val="0"/>
      </c:bar3DChart>
      <c:catAx>
        <c:axId val="2110077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11009536"/>
        <c:crosses val="autoZero"/>
        <c:auto val="1"/>
        <c:lblAlgn val="ctr"/>
        <c:lblOffset val="100"/>
        <c:noMultiLvlLbl val="0"/>
      </c:catAx>
      <c:valAx>
        <c:axId val="211009536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110077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GENERACIÓN DE RESERVAS FINANCIERAS PARA AHORRO</a:t>
            </a:r>
          </a:p>
          <a:p>
            <a:pPr>
              <a:defRPr sz="1400"/>
            </a:pPr>
            <a:r>
              <a:rPr lang="es-MX" sz="1200"/>
              <a:t>SEGÚN NIVEL EDUCATIVO</a:t>
            </a:r>
          </a:p>
          <a:p>
            <a:pPr>
              <a:defRPr sz="1400"/>
            </a:pPr>
            <a:r>
              <a:rPr lang="es-MX" sz="8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218110236220479E-2"/>
          <c:y val="0.29562468311014367"/>
          <c:w val="0.64619855643044666"/>
          <c:h val="0.63801881556661011"/>
        </c:manualLayout>
      </c:layout>
      <c:bar3DChart>
        <c:barDir val="col"/>
        <c:grouping val="clustered"/>
        <c:varyColors val="0"/>
        <c:ser>
          <c:idx val="2"/>
          <c:order val="0"/>
          <c:tx>
            <c:strRef>
              <c:f>'FORMULAS FEB'!$FB$35</c:f>
              <c:strCache>
                <c:ptCount val="1"/>
                <c:pt idx="0">
                  <c:v>SIN ESTUDIOS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3.3333333333333344E-3"/>
                  <c:y val="0.10065391675341272"/>
                </c:manualLayout>
              </c:layout>
              <c:spPr/>
              <c:txPr>
                <a:bodyPr rot="-5400000" vert="horz"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FEB'!$FE$34:$FF$34</c:f>
              <c:strCache>
                <c:ptCount val="2"/>
                <c:pt idx="0">
                  <c:v>RESERVA PARA AHORRO</c:v>
                </c:pt>
                <c:pt idx="1">
                  <c:v>NO RESERVA PARA AHORRO</c:v>
                </c:pt>
              </c:strCache>
            </c:strRef>
          </c:cat>
          <c:val>
            <c:numRef>
              <c:f>'FORMULAS FEB'!$FE$35:$FF$35</c:f>
              <c:numCache>
                <c:formatCode>0.0%</c:formatCode>
                <c:ptCount val="2"/>
                <c:pt idx="0">
                  <c:v>6.25E-2</c:v>
                </c:pt>
                <c:pt idx="1">
                  <c:v>0.9375</c:v>
                </c:pt>
              </c:numCache>
            </c:numRef>
          </c:val>
        </c:ser>
        <c:ser>
          <c:idx val="3"/>
          <c:order val="1"/>
          <c:tx>
            <c:strRef>
              <c:f>'FORMULAS FEB'!$FB$36</c:f>
              <c:strCache>
                <c:ptCount val="1"/>
                <c:pt idx="0">
                  <c:v>PRIMARIA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FEB'!$FE$34:$FF$34</c:f>
              <c:strCache>
                <c:ptCount val="2"/>
                <c:pt idx="0">
                  <c:v>RESERVA PARA AHORRO</c:v>
                </c:pt>
                <c:pt idx="1">
                  <c:v>NO RESERVA PARA AHORRO</c:v>
                </c:pt>
              </c:strCache>
            </c:strRef>
          </c:cat>
          <c:val>
            <c:numRef>
              <c:f>'FORMULAS FEB'!$FE$36:$FF$36</c:f>
              <c:numCache>
                <c:formatCode>0.0%</c:formatCode>
                <c:ptCount val="2"/>
                <c:pt idx="0">
                  <c:v>0.41891891891891891</c:v>
                </c:pt>
                <c:pt idx="1">
                  <c:v>0.58108108108108103</c:v>
                </c:pt>
              </c:numCache>
            </c:numRef>
          </c:val>
        </c:ser>
        <c:ser>
          <c:idx val="0"/>
          <c:order val="2"/>
          <c:tx>
            <c:strRef>
              <c:f>'FORMULAS FEB'!$FB$37</c:f>
              <c:strCache>
                <c:ptCount val="1"/>
                <c:pt idx="0">
                  <c:v>SECUNDARIA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FEB'!$FE$34:$FF$34</c:f>
              <c:strCache>
                <c:ptCount val="2"/>
                <c:pt idx="0">
                  <c:v>RESERVA PARA AHORRO</c:v>
                </c:pt>
                <c:pt idx="1">
                  <c:v>NO RESERVA PARA AHORRO</c:v>
                </c:pt>
              </c:strCache>
            </c:strRef>
          </c:cat>
          <c:val>
            <c:numRef>
              <c:f>'FORMULAS FEB'!$FE$37:$FF$37</c:f>
              <c:numCache>
                <c:formatCode>0.0%</c:formatCode>
                <c:ptCount val="2"/>
                <c:pt idx="0">
                  <c:v>0.39316239316239315</c:v>
                </c:pt>
                <c:pt idx="1">
                  <c:v>0.60683760683760679</c:v>
                </c:pt>
              </c:numCache>
            </c:numRef>
          </c:val>
        </c:ser>
        <c:ser>
          <c:idx val="1"/>
          <c:order val="3"/>
          <c:tx>
            <c:strRef>
              <c:f>'FORMULAS FEB'!$FB$38</c:f>
              <c:strCache>
                <c:ptCount val="1"/>
                <c:pt idx="0">
                  <c:v>PREPARATORIA / BACHILLERATO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FEB'!$FE$34:$FF$34</c:f>
              <c:strCache>
                <c:ptCount val="2"/>
                <c:pt idx="0">
                  <c:v>RESERVA PARA AHORRO</c:v>
                </c:pt>
                <c:pt idx="1">
                  <c:v>NO RESERVA PARA AHORRO</c:v>
                </c:pt>
              </c:strCache>
            </c:strRef>
          </c:cat>
          <c:val>
            <c:numRef>
              <c:f>'FORMULAS FEB'!$FE$38:$FF$38</c:f>
              <c:numCache>
                <c:formatCode>0.0%</c:formatCode>
                <c:ptCount val="2"/>
                <c:pt idx="0">
                  <c:v>0.59090909090909094</c:v>
                </c:pt>
                <c:pt idx="1">
                  <c:v>0.40909090909090912</c:v>
                </c:pt>
              </c:numCache>
            </c:numRef>
          </c:val>
        </c:ser>
        <c:ser>
          <c:idx val="4"/>
          <c:order val="4"/>
          <c:tx>
            <c:strRef>
              <c:f>'FORMULAS FEB'!$FB$39</c:f>
              <c:strCache>
                <c:ptCount val="1"/>
                <c:pt idx="0">
                  <c:v>LICENCIATURA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FEB'!$FE$34:$FF$34</c:f>
              <c:strCache>
                <c:ptCount val="2"/>
                <c:pt idx="0">
                  <c:v>RESERVA PARA AHORRO</c:v>
                </c:pt>
                <c:pt idx="1">
                  <c:v>NO RESERVA PARA AHORRO</c:v>
                </c:pt>
              </c:strCache>
            </c:strRef>
          </c:cat>
          <c:val>
            <c:numRef>
              <c:f>'FORMULAS FEB'!$FE$39:$FF$39</c:f>
              <c:numCache>
                <c:formatCode>0.0%</c:formatCode>
                <c:ptCount val="2"/>
                <c:pt idx="0">
                  <c:v>0.8539325842696629</c:v>
                </c:pt>
                <c:pt idx="1">
                  <c:v>0.14606741573033707</c:v>
                </c:pt>
              </c:numCache>
            </c:numRef>
          </c:val>
        </c:ser>
        <c:ser>
          <c:idx val="5"/>
          <c:order val="5"/>
          <c:tx>
            <c:strRef>
              <c:f>'FORMULAS FEB'!$FB$40</c:f>
              <c:strCache>
                <c:ptCount val="1"/>
                <c:pt idx="0">
                  <c:v>OTROS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6.6666666666666688E-3"/>
                  <c:y val="0.11389785316833544"/>
                </c:manualLayout>
              </c:layout>
              <c:spPr/>
              <c:txPr>
                <a:bodyPr rot="-5400000" vert="horz"/>
                <a:lstStyle/>
                <a:p>
                  <a:pPr>
                    <a:defRPr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FEB'!$FE$34:$FF$34</c:f>
              <c:strCache>
                <c:ptCount val="2"/>
                <c:pt idx="0">
                  <c:v>RESERVA PARA AHORRO</c:v>
                </c:pt>
                <c:pt idx="1">
                  <c:v>NO RESERVA PARA AHORRO</c:v>
                </c:pt>
              </c:strCache>
            </c:strRef>
          </c:cat>
          <c:val>
            <c:numRef>
              <c:f>'FORMULAS FEB'!$FE$40:$FF$40</c:f>
              <c:numCache>
                <c:formatCode>0.0%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11156992"/>
        <c:axId val="211158528"/>
        <c:axId val="0"/>
      </c:bar3DChart>
      <c:catAx>
        <c:axId val="2111569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11158528"/>
        <c:crosses val="autoZero"/>
        <c:auto val="1"/>
        <c:lblAlgn val="ctr"/>
        <c:lblOffset val="100"/>
        <c:noMultiLvlLbl val="0"/>
      </c:catAx>
      <c:valAx>
        <c:axId val="21115852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111569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AÑO MODELO DE MOTOR, SEGÚN TAMAÑO DE LA FLOTA</a:t>
            </a:r>
          </a:p>
          <a:p>
            <a:pPr>
              <a:defRPr sz="1400"/>
            </a:pPr>
            <a:r>
              <a:rPr lang="es-MX" sz="1000"/>
              <a:t>ENCUESTA</a:t>
            </a:r>
            <a:r>
              <a:rPr lang="es-MX" sz="1000" baseline="0"/>
              <a:t> A PROPIETARIOS</a:t>
            </a:r>
            <a:br>
              <a:rPr lang="es-MX" sz="1000" baseline="0"/>
            </a:br>
            <a:r>
              <a:rPr lang="es-MX" sz="800" baseline="0"/>
              <a:t>[% SOBRE EL TOTAL DE RESPUESTAS PARA AÑO MODELO DEL MOTOR (100% = 980)]</a:t>
            </a:r>
            <a:endParaRPr lang="es-MX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'FORMULAS FEB'!$AL$58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FEB'!$AK$59:$AK$65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FEB'!$AL$59:$AL$65</c:f>
              <c:numCache>
                <c:formatCode>0.0%</c:formatCode>
                <c:ptCount val="7"/>
                <c:pt idx="0">
                  <c:v>3.0612244897959183E-2</c:v>
                </c:pt>
                <c:pt idx="1">
                  <c:v>9.1836734693877559E-3</c:v>
                </c:pt>
                <c:pt idx="2">
                  <c:v>2.6530612244897958E-2</c:v>
                </c:pt>
                <c:pt idx="3">
                  <c:v>8.4693877551020411E-2</c:v>
                </c:pt>
                <c:pt idx="4">
                  <c:v>2.8571428571428571E-2</c:v>
                </c:pt>
                <c:pt idx="5">
                  <c:v>2.3469387755102041E-2</c:v>
                </c:pt>
                <c:pt idx="6">
                  <c:v>1.020408163265306E-2</c:v>
                </c:pt>
              </c:numCache>
            </c:numRef>
          </c:val>
        </c:ser>
        <c:ser>
          <c:idx val="1"/>
          <c:order val="1"/>
          <c:tx>
            <c:strRef>
              <c:f>'FORMULAS FEB'!$AM$58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FEB'!$AK$59:$AK$65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FEB'!$AM$59:$AM$65</c:f>
              <c:numCache>
                <c:formatCode>0.0%</c:formatCode>
                <c:ptCount val="7"/>
                <c:pt idx="0">
                  <c:v>1.8367346938775512E-2</c:v>
                </c:pt>
                <c:pt idx="1">
                  <c:v>8.1632653061224497E-3</c:v>
                </c:pt>
                <c:pt idx="2">
                  <c:v>1.8367346938775512E-2</c:v>
                </c:pt>
                <c:pt idx="3">
                  <c:v>4.1836734693877553E-2</c:v>
                </c:pt>
                <c:pt idx="4">
                  <c:v>3.4693877551020408E-2</c:v>
                </c:pt>
                <c:pt idx="5">
                  <c:v>3.5714285714285712E-2</c:v>
                </c:pt>
                <c:pt idx="6">
                  <c:v>6.1224489795918364E-3</c:v>
                </c:pt>
              </c:numCache>
            </c:numRef>
          </c:val>
        </c:ser>
        <c:ser>
          <c:idx val="2"/>
          <c:order val="2"/>
          <c:tx>
            <c:strRef>
              <c:f>'FORMULAS FEB'!$AN$58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FEB'!$AK$59:$AK$65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FEB'!$AN$59:$AN$65</c:f>
              <c:numCache>
                <c:formatCode>0.0%</c:formatCode>
                <c:ptCount val="7"/>
                <c:pt idx="0">
                  <c:v>3.8775510204081633E-2</c:v>
                </c:pt>
                <c:pt idx="1">
                  <c:v>1.6326530612244899E-2</c:v>
                </c:pt>
                <c:pt idx="2">
                  <c:v>3.7755102040816328E-2</c:v>
                </c:pt>
                <c:pt idx="3">
                  <c:v>5.2040816326530612E-2</c:v>
                </c:pt>
                <c:pt idx="4">
                  <c:v>4.7959183673469387E-2</c:v>
                </c:pt>
                <c:pt idx="5">
                  <c:v>0.10408163265306122</c:v>
                </c:pt>
                <c:pt idx="6">
                  <c:v>3.2653061224489799E-2</c:v>
                </c:pt>
              </c:numCache>
            </c:numRef>
          </c:val>
        </c:ser>
        <c:ser>
          <c:idx val="3"/>
          <c:order val="3"/>
          <c:tx>
            <c:strRef>
              <c:f>'FORMULAS FEB'!$AO$58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FEB'!$AK$59:$AK$65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FEB'!$AO$59:$AO$65</c:f>
              <c:numCache>
                <c:formatCode>0.0%</c:formatCode>
                <c:ptCount val="7"/>
                <c:pt idx="0">
                  <c:v>1.8367346938775512E-2</c:v>
                </c:pt>
                <c:pt idx="1">
                  <c:v>1.7346938775510204E-2</c:v>
                </c:pt>
                <c:pt idx="2">
                  <c:v>2.8571428571428571E-2</c:v>
                </c:pt>
                <c:pt idx="3">
                  <c:v>7.1428571428571425E-2</c:v>
                </c:pt>
                <c:pt idx="4">
                  <c:v>3.9795918367346937E-2</c:v>
                </c:pt>
                <c:pt idx="5">
                  <c:v>6.5306122448979598E-2</c:v>
                </c:pt>
                <c:pt idx="6">
                  <c:v>5.3061224489795916E-2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gapDepth val="55"/>
        <c:shape val="box"/>
        <c:axId val="211212544"/>
        <c:axId val="211218432"/>
        <c:axId val="0"/>
      </c:bar3DChart>
      <c:catAx>
        <c:axId val="2112125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11218432"/>
        <c:crosses val="autoZero"/>
        <c:auto val="1"/>
        <c:lblAlgn val="ctr"/>
        <c:lblOffset val="100"/>
        <c:noMultiLvlLbl val="0"/>
      </c:catAx>
      <c:valAx>
        <c:axId val="211218432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1121254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 b="1" i="0" baseline="0">
                <a:effectLst/>
              </a:rPr>
              <a:t>AÑO MODELO DE MOTOR, SEGÚN TAMAÑO DE LA FLOTA</a:t>
            </a:r>
            <a:endParaRPr lang="es-MX" sz="1400">
              <a:effectLst/>
            </a:endParaRPr>
          </a:p>
          <a:p>
            <a:pPr>
              <a:defRPr sz="1400"/>
            </a:pPr>
            <a:r>
              <a:rPr lang="es-MX" sz="1000" b="1" i="0" baseline="0">
                <a:effectLst/>
              </a:rPr>
              <a:t>ENCUESTA A PROPIETARIOS</a:t>
            </a:r>
            <a:br>
              <a:rPr lang="es-MX" sz="1000" b="1" i="0" baseline="0">
                <a:effectLst/>
              </a:rPr>
            </a:br>
            <a:r>
              <a:rPr lang="es-MX" sz="800" b="1" i="0" baseline="0">
                <a:effectLst/>
              </a:rPr>
              <a:t>[% SOBRE EL TOTAL DE RESPUESTAS PARA AÑO MODELO DEL MOTOR (100% = 980)]</a:t>
            </a:r>
            <a:endParaRPr lang="es-MX" sz="800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'FORMULAS FEB'!$AL$58</c:f>
              <c:strCache>
                <c:ptCount val="1"/>
                <c:pt idx="0">
                  <c:v>UNA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0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FEB'!$AK$59:$AK$65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FEB'!$AL$59:$AL$65</c:f>
              <c:numCache>
                <c:formatCode>0.0%</c:formatCode>
                <c:ptCount val="7"/>
                <c:pt idx="0">
                  <c:v>3.0612244897959183E-2</c:v>
                </c:pt>
                <c:pt idx="1">
                  <c:v>9.1836734693877559E-3</c:v>
                </c:pt>
                <c:pt idx="2">
                  <c:v>2.6530612244897958E-2</c:v>
                </c:pt>
                <c:pt idx="3">
                  <c:v>8.4693877551020411E-2</c:v>
                </c:pt>
                <c:pt idx="4">
                  <c:v>2.8571428571428571E-2</c:v>
                </c:pt>
                <c:pt idx="5">
                  <c:v>2.3469387755102041E-2</c:v>
                </c:pt>
                <c:pt idx="6">
                  <c:v>1.020408163265306E-2</c:v>
                </c:pt>
              </c:numCache>
            </c:numRef>
          </c:val>
        </c:ser>
        <c:ser>
          <c:idx val="1"/>
          <c:order val="1"/>
          <c:tx>
            <c:strRef>
              <c:f>'FORMULAS FEB'!$AM$58</c:f>
              <c:strCache>
                <c:ptCount val="1"/>
                <c:pt idx="0">
                  <c:v>DOS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FEB'!$AK$59:$AK$65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FEB'!$AM$59:$AM$65</c:f>
              <c:numCache>
                <c:formatCode>0.0%</c:formatCode>
                <c:ptCount val="7"/>
                <c:pt idx="0">
                  <c:v>1.8367346938775512E-2</c:v>
                </c:pt>
                <c:pt idx="1">
                  <c:v>8.1632653061224497E-3</c:v>
                </c:pt>
                <c:pt idx="2">
                  <c:v>1.8367346938775512E-2</c:v>
                </c:pt>
                <c:pt idx="3">
                  <c:v>4.1836734693877553E-2</c:v>
                </c:pt>
                <c:pt idx="4">
                  <c:v>3.4693877551020408E-2</c:v>
                </c:pt>
                <c:pt idx="5">
                  <c:v>3.5714285714285712E-2</c:v>
                </c:pt>
                <c:pt idx="6">
                  <c:v>6.1224489795918364E-3</c:v>
                </c:pt>
              </c:numCache>
            </c:numRef>
          </c:val>
        </c:ser>
        <c:ser>
          <c:idx val="2"/>
          <c:order val="2"/>
          <c:tx>
            <c:strRef>
              <c:f>'FORMULAS FEB'!$AN$58</c:f>
              <c:strCache>
                <c:ptCount val="1"/>
                <c:pt idx="0">
                  <c:v>TRES A CINCO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FEB'!$AK$59:$AK$65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FEB'!$AN$59:$AN$65</c:f>
              <c:numCache>
                <c:formatCode>0.0%</c:formatCode>
                <c:ptCount val="7"/>
                <c:pt idx="0">
                  <c:v>3.8775510204081633E-2</c:v>
                </c:pt>
                <c:pt idx="1">
                  <c:v>1.6326530612244899E-2</c:v>
                </c:pt>
                <c:pt idx="2">
                  <c:v>3.7755102040816328E-2</c:v>
                </c:pt>
                <c:pt idx="3">
                  <c:v>5.2040816326530612E-2</c:v>
                </c:pt>
                <c:pt idx="4">
                  <c:v>4.7959183673469387E-2</c:v>
                </c:pt>
                <c:pt idx="5">
                  <c:v>0.10408163265306122</c:v>
                </c:pt>
                <c:pt idx="6">
                  <c:v>3.2653061224489799E-2</c:v>
                </c:pt>
              </c:numCache>
            </c:numRef>
          </c:val>
        </c:ser>
        <c:ser>
          <c:idx val="3"/>
          <c:order val="3"/>
          <c:tx>
            <c:strRef>
              <c:f>'FORMULAS FEB'!$AO$58</c:f>
              <c:strCache>
                <c:ptCount val="1"/>
                <c:pt idx="0">
                  <c:v>SEIS A TREINTA UNIDADES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FEB'!$AK$59:$AK$65</c:f>
              <c:strCache>
                <c:ptCount val="7"/>
                <c:pt idx="0">
                  <c:v>Anterior a 1991</c:v>
                </c:pt>
                <c:pt idx="1">
                  <c:v>1991 a 1993</c:v>
                </c:pt>
                <c:pt idx="2">
                  <c:v>1994 a 1997</c:v>
                </c:pt>
                <c:pt idx="3">
                  <c:v>1998 a 2003</c:v>
                </c:pt>
                <c:pt idx="4">
                  <c:v>2004 a 2006</c:v>
                </c:pt>
                <c:pt idx="5">
                  <c:v>2007 a 2010</c:v>
                </c:pt>
                <c:pt idx="6">
                  <c:v>2011 en adelante</c:v>
                </c:pt>
              </c:strCache>
            </c:strRef>
          </c:cat>
          <c:val>
            <c:numRef>
              <c:f>'FORMULAS FEB'!$AO$59:$AO$65</c:f>
              <c:numCache>
                <c:formatCode>0.0%</c:formatCode>
                <c:ptCount val="7"/>
                <c:pt idx="0">
                  <c:v>1.8367346938775512E-2</c:v>
                </c:pt>
                <c:pt idx="1">
                  <c:v>1.7346938775510204E-2</c:v>
                </c:pt>
                <c:pt idx="2">
                  <c:v>2.8571428571428571E-2</c:v>
                </c:pt>
                <c:pt idx="3">
                  <c:v>7.1428571428571425E-2</c:v>
                </c:pt>
                <c:pt idx="4">
                  <c:v>3.9795918367346937E-2</c:v>
                </c:pt>
                <c:pt idx="5">
                  <c:v>6.5306122448979598E-2</c:v>
                </c:pt>
                <c:pt idx="6">
                  <c:v>5.3061224489795916E-2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10624512"/>
        <c:axId val="210626048"/>
      </c:barChart>
      <c:catAx>
        <c:axId val="2106245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10626048"/>
        <c:crosses val="autoZero"/>
        <c:auto val="1"/>
        <c:lblAlgn val="ctr"/>
        <c:lblOffset val="100"/>
        <c:noMultiLvlLbl val="0"/>
      </c:catAx>
      <c:valAx>
        <c:axId val="210626048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1062451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+mn-lt"/>
              </a:defRPr>
            </a:pPr>
            <a:r>
              <a:rPr lang="es-MX" sz="1400" b="1" i="0" u="none" strike="noStrike" baseline="0">
                <a:effectLst/>
                <a:latin typeface="+mn-lt"/>
                <a:cs typeface="Arial" panose="020B0604020202020204" pitchFamily="34" charset="0"/>
              </a:rPr>
              <a:t>FORMA DE ADQUISICIÓN SEGÚN AÑO MODELO</a:t>
            </a:r>
            <a:r>
              <a:rPr lang="es-MX" sz="1400" b="0" i="0" u="none" strike="noStrike" baseline="0">
                <a:effectLst/>
                <a:latin typeface="+mn-lt"/>
                <a:cs typeface="Arial" panose="020B0604020202020204" pitchFamily="34" charset="0"/>
              </a:rPr>
              <a:t> </a:t>
            </a:r>
            <a:r>
              <a:rPr lang="es-MX" sz="1400" b="1" i="1" u="sng" strike="noStrike" baseline="0">
                <a:effectLst/>
                <a:latin typeface="+mn-lt"/>
                <a:cs typeface="Arial" panose="020B0604020202020204" pitchFamily="34" charset="0"/>
              </a:rPr>
              <a:t>DE LA UNIDAD</a:t>
            </a:r>
          </a:p>
          <a:p>
            <a:pPr>
              <a:defRPr>
                <a:latin typeface="+mn-lt"/>
              </a:defRPr>
            </a:pPr>
            <a:r>
              <a:rPr lang="es-MX" sz="1000" b="1" i="0" u="none" strike="noStrike" baseline="0">
                <a:latin typeface="+mn-lt"/>
              </a:rPr>
              <a:t> ENCUESTA A PROPIETARIOS</a:t>
            </a:r>
            <a:endParaRPr lang="es-MX" sz="1000" b="1">
              <a:latin typeface="+mn-lt"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6547058817732143E-2"/>
          <c:y val="0.19593986106509034"/>
          <c:w val="0.75759313883465706"/>
          <c:h val="0.7256301574517186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FEB'!$EW$84</c:f>
              <c:strCache>
                <c:ptCount val="1"/>
                <c:pt idx="0">
                  <c:v>Anterior a 1991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FEB'!$EV$85:$EV$90</c:f>
              <c:strCache>
                <c:ptCount val="6"/>
                <c:pt idx="0">
                  <c:v>HERENCIA</c:v>
                </c:pt>
                <c:pt idx="1">
                  <c:v>CONTADO</c:v>
                </c:pt>
                <c:pt idx="2">
                  <c:v>EN RENTA</c:v>
                </c:pt>
                <c:pt idx="3">
                  <c:v>PRESTADA</c:v>
                </c:pt>
                <c:pt idx="4">
                  <c:v>POR CRÉDITO Y PAGADA</c:v>
                </c:pt>
                <c:pt idx="5">
                  <c:v>EN PROCESO DE PAGO</c:v>
                </c:pt>
              </c:strCache>
            </c:strRef>
          </c:cat>
          <c:val>
            <c:numRef>
              <c:f>'FORMULAS FEB'!$EW$85:$EW$90</c:f>
              <c:numCache>
                <c:formatCode>0.0%</c:formatCode>
                <c:ptCount val="6"/>
                <c:pt idx="0">
                  <c:v>0.26373626373626374</c:v>
                </c:pt>
                <c:pt idx="1">
                  <c:v>0.25688073394495414</c:v>
                </c:pt>
                <c:pt idx="2">
                  <c:v>4.7619047619047616E-2</c:v>
                </c:pt>
                <c:pt idx="3">
                  <c:v>0.44</c:v>
                </c:pt>
                <c:pt idx="4">
                  <c:v>0.11600928074245939</c:v>
                </c:pt>
                <c:pt idx="5">
                  <c:v>7.0588235294117646E-2</c:v>
                </c:pt>
              </c:numCache>
            </c:numRef>
          </c:val>
        </c:ser>
        <c:ser>
          <c:idx val="1"/>
          <c:order val="1"/>
          <c:tx>
            <c:strRef>
              <c:f>'FORMULAS FEB'!$EX$84</c:f>
              <c:strCache>
                <c:ptCount val="1"/>
                <c:pt idx="0">
                  <c:v>1991 a 1993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FEB'!$EV$85:$EV$90</c:f>
              <c:strCache>
                <c:ptCount val="6"/>
                <c:pt idx="0">
                  <c:v>HERENCIA</c:v>
                </c:pt>
                <c:pt idx="1">
                  <c:v>CONTADO</c:v>
                </c:pt>
                <c:pt idx="2">
                  <c:v>EN RENTA</c:v>
                </c:pt>
                <c:pt idx="3">
                  <c:v>PRESTADA</c:v>
                </c:pt>
                <c:pt idx="4">
                  <c:v>POR CRÉDITO Y PAGADA</c:v>
                </c:pt>
                <c:pt idx="5">
                  <c:v>EN PROCESO DE PAGO</c:v>
                </c:pt>
              </c:strCache>
            </c:strRef>
          </c:cat>
          <c:val>
            <c:numRef>
              <c:f>'FORMULAS FEB'!$EX$85:$EX$90</c:f>
              <c:numCache>
                <c:formatCode>0.0%</c:formatCode>
                <c:ptCount val="6"/>
                <c:pt idx="0">
                  <c:v>2.197802197802198E-2</c:v>
                </c:pt>
                <c:pt idx="1">
                  <c:v>4.8929663608562692E-2</c:v>
                </c:pt>
                <c:pt idx="2">
                  <c:v>0</c:v>
                </c:pt>
                <c:pt idx="3">
                  <c:v>0</c:v>
                </c:pt>
                <c:pt idx="4">
                  <c:v>6.9605568445475635E-2</c:v>
                </c:pt>
                <c:pt idx="5">
                  <c:v>4.7058823529411764E-2</c:v>
                </c:pt>
              </c:numCache>
            </c:numRef>
          </c:val>
        </c:ser>
        <c:ser>
          <c:idx val="2"/>
          <c:order val="2"/>
          <c:tx>
            <c:strRef>
              <c:f>'FORMULAS FEB'!$EY$84</c:f>
              <c:strCache>
                <c:ptCount val="1"/>
                <c:pt idx="0">
                  <c:v>1994 a 1997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FEB'!$EV$85:$EV$90</c:f>
              <c:strCache>
                <c:ptCount val="6"/>
                <c:pt idx="0">
                  <c:v>HERENCIA</c:v>
                </c:pt>
                <c:pt idx="1">
                  <c:v>CONTADO</c:v>
                </c:pt>
                <c:pt idx="2">
                  <c:v>EN RENTA</c:v>
                </c:pt>
                <c:pt idx="3">
                  <c:v>PRESTADA</c:v>
                </c:pt>
                <c:pt idx="4">
                  <c:v>POR CRÉDITO Y PAGADA</c:v>
                </c:pt>
                <c:pt idx="5">
                  <c:v>EN PROCESO DE PAGO</c:v>
                </c:pt>
              </c:strCache>
            </c:strRef>
          </c:cat>
          <c:val>
            <c:numRef>
              <c:f>'FORMULAS FEB'!$EY$85:$EY$90</c:f>
              <c:numCache>
                <c:formatCode>0.0%</c:formatCode>
                <c:ptCount val="6"/>
                <c:pt idx="0">
                  <c:v>0.18681318681318682</c:v>
                </c:pt>
                <c:pt idx="1">
                  <c:v>9.480122324159021E-2</c:v>
                </c:pt>
                <c:pt idx="2">
                  <c:v>4.7619047619047616E-2</c:v>
                </c:pt>
                <c:pt idx="3">
                  <c:v>0.08</c:v>
                </c:pt>
                <c:pt idx="4">
                  <c:v>0.10440835266821345</c:v>
                </c:pt>
                <c:pt idx="5">
                  <c:v>5.8823529411764705E-2</c:v>
                </c:pt>
              </c:numCache>
            </c:numRef>
          </c:val>
        </c:ser>
        <c:ser>
          <c:idx val="3"/>
          <c:order val="3"/>
          <c:tx>
            <c:strRef>
              <c:f>'FORMULAS FEB'!$EZ$84</c:f>
              <c:strCache>
                <c:ptCount val="1"/>
                <c:pt idx="0">
                  <c:v>1998 a 2003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FEB'!$EV$85:$EV$90</c:f>
              <c:strCache>
                <c:ptCount val="6"/>
                <c:pt idx="0">
                  <c:v>HERENCIA</c:v>
                </c:pt>
                <c:pt idx="1">
                  <c:v>CONTADO</c:v>
                </c:pt>
                <c:pt idx="2">
                  <c:v>EN RENTA</c:v>
                </c:pt>
                <c:pt idx="3">
                  <c:v>PRESTADA</c:v>
                </c:pt>
                <c:pt idx="4">
                  <c:v>POR CRÉDITO Y PAGADA</c:v>
                </c:pt>
                <c:pt idx="5">
                  <c:v>EN PROCESO DE PAGO</c:v>
                </c:pt>
              </c:strCache>
            </c:strRef>
          </c:cat>
          <c:val>
            <c:numRef>
              <c:f>'FORMULAS FEB'!$EZ$85:$EZ$90</c:f>
              <c:numCache>
                <c:formatCode>0.0%</c:formatCode>
                <c:ptCount val="6"/>
                <c:pt idx="0">
                  <c:v>5.4945054945054944E-2</c:v>
                </c:pt>
                <c:pt idx="1">
                  <c:v>0.16513761467889909</c:v>
                </c:pt>
                <c:pt idx="2">
                  <c:v>4.7619047619047616E-2</c:v>
                </c:pt>
                <c:pt idx="3">
                  <c:v>0.08</c:v>
                </c:pt>
                <c:pt idx="4">
                  <c:v>0.345707656612529</c:v>
                </c:pt>
                <c:pt idx="5">
                  <c:v>7.0588235294117646E-2</c:v>
                </c:pt>
              </c:numCache>
            </c:numRef>
          </c:val>
        </c:ser>
        <c:ser>
          <c:idx val="4"/>
          <c:order val="4"/>
          <c:tx>
            <c:strRef>
              <c:f>'FORMULAS FEB'!$FA$84</c:f>
              <c:strCache>
                <c:ptCount val="1"/>
                <c:pt idx="0">
                  <c:v>2004 a 2006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FEB'!$EV$85:$EV$90</c:f>
              <c:strCache>
                <c:ptCount val="6"/>
                <c:pt idx="0">
                  <c:v>HERENCIA</c:v>
                </c:pt>
                <c:pt idx="1">
                  <c:v>CONTADO</c:v>
                </c:pt>
                <c:pt idx="2">
                  <c:v>EN RENTA</c:v>
                </c:pt>
                <c:pt idx="3">
                  <c:v>PRESTADA</c:v>
                </c:pt>
                <c:pt idx="4">
                  <c:v>POR CRÉDITO Y PAGADA</c:v>
                </c:pt>
                <c:pt idx="5">
                  <c:v>EN PROCESO DE PAGO</c:v>
                </c:pt>
              </c:strCache>
            </c:strRef>
          </c:cat>
          <c:val>
            <c:numRef>
              <c:f>'FORMULAS FEB'!$FA$85:$FA$90</c:f>
              <c:numCache>
                <c:formatCode>0.0%</c:formatCode>
                <c:ptCount val="6"/>
                <c:pt idx="0">
                  <c:v>0.18681318681318682</c:v>
                </c:pt>
                <c:pt idx="1">
                  <c:v>9.7859327217125383E-2</c:v>
                </c:pt>
                <c:pt idx="2">
                  <c:v>4.7619047619047616E-2</c:v>
                </c:pt>
                <c:pt idx="3">
                  <c:v>0.04</c:v>
                </c:pt>
                <c:pt idx="4">
                  <c:v>0.16241299303944315</c:v>
                </c:pt>
                <c:pt idx="5">
                  <c:v>9.4117647058823528E-2</c:v>
                </c:pt>
              </c:numCache>
            </c:numRef>
          </c:val>
        </c:ser>
        <c:ser>
          <c:idx val="5"/>
          <c:order val="5"/>
          <c:tx>
            <c:strRef>
              <c:f>'FORMULAS FEB'!$FB$84</c:f>
              <c:strCache>
                <c:ptCount val="1"/>
                <c:pt idx="0">
                  <c:v>2007 a 2010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FEB'!$EV$85:$EV$90</c:f>
              <c:strCache>
                <c:ptCount val="6"/>
                <c:pt idx="0">
                  <c:v>HERENCIA</c:v>
                </c:pt>
                <c:pt idx="1">
                  <c:v>CONTADO</c:v>
                </c:pt>
                <c:pt idx="2">
                  <c:v>EN RENTA</c:v>
                </c:pt>
                <c:pt idx="3">
                  <c:v>PRESTADA</c:v>
                </c:pt>
                <c:pt idx="4">
                  <c:v>POR CRÉDITO Y PAGADA</c:v>
                </c:pt>
                <c:pt idx="5">
                  <c:v>EN PROCESO DE PAGO</c:v>
                </c:pt>
              </c:strCache>
            </c:strRef>
          </c:cat>
          <c:val>
            <c:numRef>
              <c:f>'FORMULAS FEB'!$FB$85:$FB$90</c:f>
              <c:numCache>
                <c:formatCode>0.0%</c:formatCode>
                <c:ptCount val="6"/>
                <c:pt idx="0">
                  <c:v>0.2087912087912088</c:v>
                </c:pt>
                <c:pt idx="1">
                  <c:v>0.19877675840978593</c:v>
                </c:pt>
                <c:pt idx="2">
                  <c:v>4.7619047619047616E-2</c:v>
                </c:pt>
                <c:pt idx="3">
                  <c:v>0.04</c:v>
                </c:pt>
                <c:pt idx="4">
                  <c:v>0.1902552204176334</c:v>
                </c:pt>
                <c:pt idx="5">
                  <c:v>0.44705882352941179</c:v>
                </c:pt>
              </c:numCache>
            </c:numRef>
          </c:val>
        </c:ser>
        <c:ser>
          <c:idx val="6"/>
          <c:order val="6"/>
          <c:tx>
            <c:strRef>
              <c:f>'FORMULAS FEB'!$FC$84</c:f>
              <c:strCache>
                <c:ptCount val="1"/>
                <c:pt idx="0">
                  <c:v>2011 en adelante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2.0860497149996216E-2"/>
                  <c:y val="6.5258863196238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FEB'!$EV$85:$EV$90</c:f>
              <c:strCache>
                <c:ptCount val="6"/>
                <c:pt idx="0">
                  <c:v>HERENCIA</c:v>
                </c:pt>
                <c:pt idx="1">
                  <c:v>CONTADO</c:v>
                </c:pt>
                <c:pt idx="2">
                  <c:v>EN RENTA</c:v>
                </c:pt>
                <c:pt idx="3">
                  <c:v>PRESTADA</c:v>
                </c:pt>
                <c:pt idx="4">
                  <c:v>POR CRÉDITO Y PAGADA</c:v>
                </c:pt>
                <c:pt idx="5">
                  <c:v>EN PROCESO DE PAGO</c:v>
                </c:pt>
              </c:strCache>
            </c:strRef>
          </c:cat>
          <c:val>
            <c:numRef>
              <c:f>'FORMULAS FEB'!$FC$85:$FC$90</c:f>
              <c:numCache>
                <c:formatCode>0.0%</c:formatCode>
                <c:ptCount val="6"/>
                <c:pt idx="0">
                  <c:v>7.6923076923076927E-2</c:v>
                </c:pt>
                <c:pt idx="1">
                  <c:v>0.13761467889908258</c:v>
                </c:pt>
                <c:pt idx="2">
                  <c:v>0.76190476190476186</c:v>
                </c:pt>
                <c:pt idx="3">
                  <c:v>0.32</c:v>
                </c:pt>
                <c:pt idx="4">
                  <c:v>1.1600928074245939E-2</c:v>
                </c:pt>
                <c:pt idx="5">
                  <c:v>0.21176470588235294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0691584"/>
        <c:axId val="210693120"/>
        <c:axId val="0"/>
      </c:bar3DChart>
      <c:catAx>
        <c:axId val="2106915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10693120"/>
        <c:crosses val="autoZero"/>
        <c:auto val="1"/>
        <c:lblAlgn val="ctr"/>
        <c:lblOffset val="100"/>
        <c:noMultiLvlLbl val="0"/>
      </c:catAx>
      <c:valAx>
        <c:axId val="210693120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106915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CONTRATACIÓN DE CRÉDITO SEGÚN NIVEL DE ESCOLARIDAD</a:t>
            </a:r>
          </a:p>
          <a:p>
            <a:pPr>
              <a:defRPr sz="1400"/>
            </a:pPr>
            <a:r>
              <a:rPr lang="es-MX" sz="1000"/>
              <a:t>ENCUESTA A PROPIETARIOS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6326744047543773E-2"/>
          <c:y val="0.2502625743627177"/>
          <c:w val="0.71066869608582772"/>
          <c:h val="0.6595616423214036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FEB'!$EW$95</c:f>
              <c:strCache>
                <c:ptCount val="1"/>
                <c:pt idx="0">
                  <c:v>Para compra de unidades nuevas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FEB'!$EV$96:$EV$101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FEB'!$EW$96:$EW$101</c:f>
              <c:numCache>
                <c:formatCode>0.0%</c:formatCode>
                <c:ptCount val="6"/>
                <c:pt idx="0">
                  <c:v>0.4375</c:v>
                </c:pt>
                <c:pt idx="1">
                  <c:v>0.24390243902439024</c:v>
                </c:pt>
                <c:pt idx="2">
                  <c:v>0.40310077519379844</c:v>
                </c:pt>
                <c:pt idx="3">
                  <c:v>0.52142857142857146</c:v>
                </c:pt>
                <c:pt idx="4">
                  <c:v>0.68141592920353977</c:v>
                </c:pt>
                <c:pt idx="5">
                  <c:v>0.5</c:v>
                </c:pt>
              </c:numCache>
            </c:numRef>
          </c:val>
        </c:ser>
        <c:ser>
          <c:idx val="1"/>
          <c:order val="1"/>
          <c:tx>
            <c:strRef>
              <c:f>'FORMULAS FEB'!$EX$95</c:f>
              <c:strCache>
                <c:ptCount val="1"/>
                <c:pt idx="0">
                  <c:v>Para compra de unidades usadas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FEB'!$EV$96:$EV$101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FEB'!$EX$96:$EX$101</c:f>
              <c:numCache>
                <c:formatCode>0.0%</c:formatCode>
                <c:ptCount val="6"/>
                <c:pt idx="0">
                  <c:v>0.5</c:v>
                </c:pt>
                <c:pt idx="1">
                  <c:v>0.5</c:v>
                </c:pt>
                <c:pt idx="2">
                  <c:v>0.33333333333333331</c:v>
                </c:pt>
                <c:pt idx="3">
                  <c:v>0.12142857142857143</c:v>
                </c:pt>
                <c:pt idx="4">
                  <c:v>7.0796460176991149E-2</c:v>
                </c:pt>
                <c:pt idx="5">
                  <c:v>0.25</c:v>
                </c:pt>
              </c:numCache>
            </c:numRef>
          </c:val>
        </c:ser>
        <c:ser>
          <c:idx val="2"/>
          <c:order val="2"/>
          <c:tx>
            <c:strRef>
              <c:f>'FORMULAS FEB'!$EY$95</c:f>
              <c:strCache>
                <c:ptCount val="1"/>
                <c:pt idx="0">
                  <c:v>Para mejora de unidades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FEB'!$EV$96:$EV$101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FEB'!$EY$96:$EY$101</c:f>
              <c:numCache>
                <c:formatCode>0.0%</c:formatCode>
                <c:ptCount val="6"/>
                <c:pt idx="0">
                  <c:v>6.25E-2</c:v>
                </c:pt>
                <c:pt idx="1">
                  <c:v>0.14634146341463414</c:v>
                </c:pt>
                <c:pt idx="2">
                  <c:v>0.10852713178294573</c:v>
                </c:pt>
                <c:pt idx="3">
                  <c:v>0.22857142857142856</c:v>
                </c:pt>
                <c:pt idx="4">
                  <c:v>9.7345132743362831E-2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strRef>
              <c:f>'FORMULAS FEB'!$EZ$95</c:f>
              <c:strCache>
                <c:ptCount val="1"/>
                <c:pt idx="0">
                  <c:v>Para Operación del negocio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FEB'!$EV$96:$EV$101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FEB'!$EZ$96:$EZ$101</c:f>
              <c:numCache>
                <c:formatCode>0.0%</c:formatCode>
                <c:ptCount val="6"/>
                <c:pt idx="0">
                  <c:v>0</c:v>
                </c:pt>
                <c:pt idx="1">
                  <c:v>4.878048780487805E-2</c:v>
                </c:pt>
                <c:pt idx="2">
                  <c:v>3.875968992248062E-2</c:v>
                </c:pt>
                <c:pt idx="3">
                  <c:v>8.5714285714285715E-2</c:v>
                </c:pt>
                <c:pt idx="4">
                  <c:v>0.11504424778761062</c:v>
                </c:pt>
                <c:pt idx="5">
                  <c:v>0.25</c:v>
                </c:pt>
              </c:numCache>
            </c:numRef>
          </c:val>
        </c:ser>
        <c:ser>
          <c:idx val="4"/>
          <c:order val="4"/>
          <c:tx>
            <c:strRef>
              <c:f>'FORMULAS FEB'!$FA$95</c:f>
              <c:strCache>
                <c:ptCount val="1"/>
                <c:pt idx="0">
                  <c:v>Ninguno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FEB'!$EV$96:$EV$101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FEB'!$FA$96:$FA$101</c:f>
              <c:numCache>
                <c:formatCode>0.0%</c:formatCode>
                <c:ptCount val="6"/>
                <c:pt idx="0">
                  <c:v>0</c:v>
                </c:pt>
                <c:pt idx="1">
                  <c:v>6.097560975609756E-2</c:v>
                </c:pt>
                <c:pt idx="2">
                  <c:v>0.11627906976744186</c:v>
                </c:pt>
                <c:pt idx="3">
                  <c:v>4.2857142857142858E-2</c:v>
                </c:pt>
                <c:pt idx="4">
                  <c:v>3.5398230088495575E-2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1620992"/>
        <c:axId val="211622528"/>
        <c:axId val="0"/>
      </c:bar3DChart>
      <c:catAx>
        <c:axId val="2116209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11622528"/>
        <c:crosses val="autoZero"/>
        <c:auto val="1"/>
        <c:lblAlgn val="ctr"/>
        <c:lblOffset val="100"/>
        <c:noMultiLvlLbl val="0"/>
      </c:catAx>
      <c:valAx>
        <c:axId val="211622528"/>
        <c:scaling>
          <c:orientation val="minMax"/>
        </c:scaling>
        <c:delete val="0"/>
        <c:axPos val="l"/>
        <c:majorGridlines/>
        <c:numFmt formatCode="0.0%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116209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ANTIGÜEDAD PROMEDIO DE LAS UNIDADES SEGÚN TAMAÑO DE LA FLOTA DEL PROPIETARIO</a:t>
            </a:r>
          </a:p>
          <a:p>
            <a:pPr>
              <a:defRPr sz="1400"/>
            </a:pPr>
            <a:r>
              <a:rPr lang="en-US" sz="1000"/>
              <a:t>ENCUESTAS</a:t>
            </a:r>
            <a:r>
              <a:rPr lang="en-US" sz="1000" baseline="0"/>
              <a:t> A PROPIETARIOS Y A CONDUCTORES</a:t>
            </a:r>
            <a:endParaRPr lang="en-US" sz="1000"/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'DATOS 2'!$O$1442</c:f>
              <c:strCache>
                <c:ptCount val="1"/>
                <c:pt idx="0">
                  <c:v>ANTIGÜEDAD PROMEDIO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'DATOS 2'!$N$1443:$N$1448</c:f>
              <c:strCache>
                <c:ptCount val="6"/>
                <c:pt idx="0">
                  <c:v>UNA UNIDAD</c:v>
                </c:pt>
                <c:pt idx="1">
                  <c:v>DOS UNIDADES</c:v>
                </c:pt>
                <c:pt idx="2">
                  <c:v>TRES A CINCO</c:v>
                </c:pt>
                <c:pt idx="3">
                  <c:v>SEIS A TREINTA</c:v>
                </c:pt>
                <c:pt idx="4">
                  <c:v>DOS A TREINTA</c:v>
                </c:pt>
                <c:pt idx="5">
                  <c:v>TODAS</c:v>
                </c:pt>
              </c:strCache>
            </c:strRef>
          </c:cat>
          <c:val>
            <c:numRef>
              <c:f>'DATOS 2'!$O$1443:$O$1448</c:f>
              <c:numCache>
                <c:formatCode>#,##0.0</c:formatCode>
                <c:ptCount val="6"/>
                <c:pt idx="0">
                  <c:v>16.872727272727271</c:v>
                </c:pt>
                <c:pt idx="1">
                  <c:v>14.643153526970954</c:v>
                </c:pt>
                <c:pt idx="2">
                  <c:v>13.067326732673267</c:v>
                </c:pt>
                <c:pt idx="3">
                  <c:v>11.781553398058252</c:v>
                </c:pt>
                <c:pt idx="4">
                  <c:v>12.937823834196891</c:v>
                </c:pt>
                <c:pt idx="5">
                  <c:v>13.692951849267271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0257920"/>
        <c:axId val="200259456"/>
        <c:axId val="0"/>
      </c:bar3DChart>
      <c:catAx>
        <c:axId val="2002579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0259456"/>
        <c:crosses val="autoZero"/>
        <c:auto val="1"/>
        <c:lblAlgn val="ctr"/>
        <c:lblOffset val="100"/>
        <c:noMultiLvlLbl val="0"/>
      </c:catAx>
      <c:valAx>
        <c:axId val="200259456"/>
        <c:scaling>
          <c:orientation val="minMax"/>
          <c:min val="10"/>
        </c:scaling>
        <c:delete val="0"/>
        <c:axPos val="l"/>
        <c:majorGridlines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200257920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40000"/>
        <a:lumOff val="60000"/>
        <a:alpha val="80000"/>
      </a:schemeClr>
    </a:solidFill>
  </c:sp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FORMA COMO ADQUIRIÓ LA UNIDAD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FORMULAS!$BB$2</c:f>
              <c:strCache>
                <c:ptCount val="1"/>
                <c:pt idx="0">
                  <c:v>FORMA COMO ADQUIRIÓ LA UNIDAD</c:v>
                </c:pt>
              </c:strCache>
            </c:strRef>
          </c:tx>
          <c:explosion val="25"/>
          <c:dPt>
            <c:idx val="1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Lbls>
            <c:dLbl>
              <c:idx val="5"/>
              <c:layout>
                <c:manualLayout>
                  <c:x val="-9.3427219818866522E-2"/>
                  <c:y val="2.89256946329981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900" b="1" i="1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FORMULAS!$BB$3:$BB$8</c:f>
              <c:strCache>
                <c:ptCount val="6"/>
                <c:pt idx="0">
                  <c:v>Herencia</c:v>
                </c:pt>
                <c:pt idx="1">
                  <c:v>Contado</c:v>
                </c:pt>
                <c:pt idx="2">
                  <c:v>En renta</c:v>
                </c:pt>
                <c:pt idx="3">
                  <c:v>Prestada</c:v>
                </c:pt>
                <c:pt idx="4">
                  <c:v>Por crédito y pagada</c:v>
                </c:pt>
                <c:pt idx="5">
                  <c:v>Por crédito y en proceso de pago</c:v>
                </c:pt>
              </c:strCache>
            </c:strRef>
          </c:cat>
          <c:val>
            <c:numRef>
              <c:f>FORMULAS!$BC$3:$BC$8</c:f>
              <c:numCache>
                <c:formatCode>0.0%</c:formatCode>
                <c:ptCount val="6"/>
                <c:pt idx="0">
                  <c:v>9.285714285714286E-2</c:v>
                </c:pt>
                <c:pt idx="1">
                  <c:v>0.33367346938775511</c:v>
                </c:pt>
                <c:pt idx="2">
                  <c:v>2.1428571428571429E-2</c:v>
                </c:pt>
                <c:pt idx="3">
                  <c:v>2.5510204081632654E-2</c:v>
                </c:pt>
                <c:pt idx="4">
                  <c:v>0.43979591836734694</c:v>
                </c:pt>
                <c:pt idx="5">
                  <c:v>8.673469387755102E-2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ESCOLARIDAD</a:t>
            </a:r>
            <a:endParaRPr lang="en-US" sz="1100"/>
          </a:p>
        </c:rich>
      </c:tx>
      <c:overlay val="0"/>
    </c:title>
    <c:autoTitleDeleted val="0"/>
    <c:view3D>
      <c:rotX val="30"/>
      <c:rotY val="9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FORMULAS!$B$23</c:f>
              <c:strCache>
                <c:ptCount val="1"/>
                <c:pt idx="0">
                  <c:v>ESCOLARIDAD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9.2222222222222566E-3"/>
                  <c:y val="0.1062306794983961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15526312335958006"/>
                  <c:y val="-0.10886300670749489"/>
                </c:manualLayout>
              </c:layout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8486001749781283E-2"/>
                  <c:y val="-5.609944590259551E-2"/>
                </c:manualLayout>
              </c:layout>
              <c:spPr/>
              <c:txPr>
                <a:bodyPr/>
                <a:lstStyle/>
                <a:p>
                  <a:pPr>
                    <a:defRPr b="1" i="0" baseline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12199650043744645"/>
                  <c:y val="-7.31346602508019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3.192235345581803E-2"/>
                  <c:y val="-0.2750798337707788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5368547681539821E-3"/>
                  <c:y val="-0.1111523038786820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FORMULAS!$B$24:$B$29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FORMULAS!$D$24:$D$29</c:f>
              <c:numCache>
                <c:formatCode>0.0%</c:formatCode>
                <c:ptCount val="6"/>
                <c:pt idx="0">
                  <c:v>3.8929440389294405E-2</c:v>
                </c:pt>
                <c:pt idx="1">
                  <c:v>0.18004866180048662</c:v>
                </c:pt>
                <c:pt idx="2">
                  <c:v>0.28467153284671531</c:v>
                </c:pt>
                <c:pt idx="3">
                  <c:v>0.26763990267639903</c:v>
                </c:pt>
                <c:pt idx="4">
                  <c:v>0.21654501216545013</c:v>
                </c:pt>
                <c:pt idx="5">
                  <c:v>1.2165450121654502E-2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COMBUSTIBLE QUE UTILIZA LA UNIDAD</a:t>
            </a:r>
          </a:p>
        </c:rich>
      </c:tx>
      <c:overlay val="0"/>
    </c:title>
    <c:autoTitleDeleted val="0"/>
    <c:view3D>
      <c:rotX val="30"/>
      <c:rotY val="9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FORMULAS!$AU$2</c:f>
              <c:strCache>
                <c:ptCount val="1"/>
                <c:pt idx="0">
                  <c:v>COMBUSTIBLE QUE UTILIZA LA UNIDAD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Lbls>
            <c:dLbl>
              <c:idx val="2"/>
              <c:layout>
                <c:manualLayout>
                  <c:x val="2.5738631986070241E-2"/>
                  <c:y val="5.13211942257218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0110842309094992E-3"/>
                  <c:y val="1.1876968503937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7.2267336445957994E-3"/>
                  <c:y val="-0.1433313648293969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 b="1" i="1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FORMULAS!$AU$3:$AU$5</c:f>
              <c:strCache>
                <c:ptCount val="3"/>
                <c:pt idx="0">
                  <c:v>DIESEL</c:v>
                </c:pt>
                <c:pt idx="1">
                  <c:v>GASOLINA</c:v>
                </c:pt>
                <c:pt idx="2">
                  <c:v>GAS</c:v>
                </c:pt>
              </c:strCache>
            </c:strRef>
          </c:cat>
          <c:val>
            <c:numRef>
              <c:f>FORMULAS!$AV$3:$AV$5</c:f>
              <c:numCache>
                <c:formatCode>0.0%</c:formatCode>
                <c:ptCount val="3"/>
                <c:pt idx="0">
                  <c:v>0.91836734693877553</c:v>
                </c:pt>
                <c:pt idx="1">
                  <c:v>7.4489795918367352E-2</c:v>
                </c:pt>
                <c:pt idx="2">
                  <c:v>7.1428571428571426E-3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RENDIMIENTO DE LA UNIDAD CARGADA [km/lt]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9319522979090914E-2"/>
          <c:y val="0.11787041325716638"/>
          <c:w val="0.89919414776122242"/>
          <c:h val="0.73342236632185687"/>
        </c:manualLayout>
      </c:layout>
      <c:bar3DChart>
        <c:barDir val="col"/>
        <c:grouping val="clustered"/>
        <c:varyColors val="1"/>
        <c:ser>
          <c:idx val="0"/>
          <c:order val="0"/>
          <c:tx>
            <c:strRef>
              <c:f>FORMULAS!$AW$11</c:f>
              <c:strCache>
                <c:ptCount val="1"/>
                <c:pt idx="0">
                  <c:v>CARGADA</c:v>
                </c:pt>
              </c:strCache>
            </c:strRef>
          </c:tx>
          <c:invertIfNegative val="0"/>
          <c:dLbls>
            <c:dLbl>
              <c:idx val="19"/>
              <c:layout>
                <c:manualLayout>
                  <c:x val="0"/>
                  <c:y val="-1.307189542483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>
                    <a:solidFill>
                      <a:sysClr val="windowText" lastClr="0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FORMULAS!$AU$12:$AU$20</c:f>
              <c:strCache>
                <c:ptCount val="9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4.01 A 5.0</c:v>
                </c:pt>
                <c:pt idx="8">
                  <c:v>&gt; 5.0</c:v>
                </c:pt>
              </c:strCache>
            </c:strRef>
          </c:cat>
          <c:val>
            <c:numRef>
              <c:f>FORMULAS!$AV$12:$AV$20</c:f>
              <c:numCache>
                <c:formatCode>0.00%</c:formatCode>
                <c:ptCount val="9"/>
                <c:pt idx="0">
                  <c:v>6.224489795918367E-2</c:v>
                </c:pt>
                <c:pt idx="1">
                  <c:v>0.12244897959183673</c:v>
                </c:pt>
                <c:pt idx="2">
                  <c:v>0.18265306122448979</c:v>
                </c:pt>
                <c:pt idx="3">
                  <c:v>0.15612244897959185</c:v>
                </c:pt>
                <c:pt idx="4">
                  <c:v>0.19285714285714287</c:v>
                </c:pt>
                <c:pt idx="5">
                  <c:v>9.0816326530612251E-2</c:v>
                </c:pt>
                <c:pt idx="6">
                  <c:v>0.11938775510204082</c:v>
                </c:pt>
                <c:pt idx="7">
                  <c:v>5.4081632653061228E-2</c:v>
                </c:pt>
                <c:pt idx="8">
                  <c:v>1.9387755102040816E-2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5966848"/>
        <c:axId val="175972736"/>
        <c:axId val="0"/>
      </c:bar3DChart>
      <c:catAx>
        <c:axId val="1759668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b="1" i="0" baseline="0"/>
            </a:pPr>
            <a:endParaRPr lang="es-MX"/>
          </a:p>
        </c:txPr>
        <c:crossAx val="175972736"/>
        <c:crosses val="autoZero"/>
        <c:auto val="1"/>
        <c:lblAlgn val="ctr"/>
        <c:lblOffset val="100"/>
        <c:noMultiLvlLbl val="0"/>
      </c:catAx>
      <c:valAx>
        <c:axId val="17597273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75966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SUGERENCIAS PARA MEJORA DEL PROGRAMA DE MODERNIZACIÓN DEL TRANSPORTE</a:t>
            </a:r>
            <a:r>
              <a:rPr lang="en-US" sz="1200" baseline="0"/>
              <a:t> DE NAFIN</a:t>
            </a:r>
            <a:endParaRPr lang="en-US" sz="12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FORMULAS!$AL$40</c:f>
              <c:strCache>
                <c:ptCount val="1"/>
                <c:pt idx="0">
                  <c:v>SUGERENCIAS PARA MEJORA DEL PROGRAMA DE MODERNIZACIÓN DEL TRANSPORTE DE NAFIN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FORMULAS!$AL$41:$AL$45</c:f>
              <c:strCache>
                <c:ptCount val="5"/>
                <c:pt idx="0">
                  <c:v>QUE SEA HONESTO</c:v>
                </c:pt>
                <c:pt idx="1">
                  <c:v>MENOS INTERESES</c:v>
                </c:pt>
                <c:pt idx="2">
                  <c:v>MAS ACCESO AL PEQUEÑO TRANSPORTISTA</c:v>
                </c:pt>
                <c:pt idx="3">
                  <c:v>MEJORES INCENTIVOS</c:v>
                </c:pt>
                <c:pt idx="4">
                  <c:v>DARLO A CONOCER</c:v>
                </c:pt>
              </c:strCache>
            </c:strRef>
          </c:cat>
          <c:val>
            <c:numRef>
              <c:f>FORMULAS!$AM$41:$AM$45</c:f>
              <c:numCache>
                <c:formatCode>0.0%</c:formatCode>
                <c:ptCount val="5"/>
                <c:pt idx="0">
                  <c:v>1.0238907849829351E-2</c:v>
                </c:pt>
                <c:pt idx="1">
                  <c:v>4.4368600682593858E-2</c:v>
                </c:pt>
                <c:pt idx="2">
                  <c:v>0.14334470989761092</c:v>
                </c:pt>
                <c:pt idx="3">
                  <c:v>0.21160409556313994</c:v>
                </c:pt>
                <c:pt idx="4">
                  <c:v>0.59044368600682595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76005888"/>
        <c:axId val="176007424"/>
        <c:axId val="0"/>
      </c:bar3DChart>
      <c:catAx>
        <c:axId val="1760058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1" baseline="0"/>
            </a:pPr>
            <a:endParaRPr lang="es-MX"/>
          </a:p>
        </c:txPr>
        <c:crossAx val="176007424"/>
        <c:crosses val="autoZero"/>
        <c:auto val="1"/>
        <c:lblAlgn val="ctr"/>
        <c:lblOffset val="100"/>
        <c:noMultiLvlLbl val="0"/>
      </c:catAx>
      <c:valAx>
        <c:axId val="17600742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76005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FRECUENCIA DE CAMBIO DE ACEITE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FORMULAS!$BF$2</c:f>
              <c:strCache>
                <c:ptCount val="1"/>
                <c:pt idx="0">
                  <c:v>FRECUENCIA DE CAMBIO DE ACEITE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FORMULAS!$BF$3:$BF$9</c:f>
              <c:strCache>
                <c:ptCount val="7"/>
                <c:pt idx="0">
                  <c:v>Menor de 7,500 km</c:v>
                </c:pt>
                <c:pt idx="1">
                  <c:v>Entre 7,500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30,000 km</c:v>
                </c:pt>
                <c:pt idx="5">
                  <c:v>Entre 30,001 y 40,000 km</c:v>
                </c:pt>
                <c:pt idx="6">
                  <c:v>Mayor a 40,000 km</c:v>
                </c:pt>
              </c:strCache>
            </c:strRef>
          </c:cat>
          <c:val>
            <c:numRef>
              <c:f>FORMULAS!$BH$3:$BH$9</c:f>
              <c:numCache>
                <c:formatCode>#,##0</c:formatCode>
                <c:ptCount val="7"/>
                <c:pt idx="0" formatCode="General">
                  <c:v>72</c:v>
                </c:pt>
                <c:pt idx="1">
                  <c:v>316</c:v>
                </c:pt>
                <c:pt idx="2">
                  <c:v>269</c:v>
                </c:pt>
                <c:pt idx="3">
                  <c:v>168</c:v>
                </c:pt>
                <c:pt idx="4">
                  <c:v>81</c:v>
                </c:pt>
                <c:pt idx="5">
                  <c:v>32</c:v>
                </c:pt>
                <c:pt idx="6" formatCode="General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6110208"/>
        <c:axId val="176116096"/>
        <c:axId val="0"/>
      </c:bar3DChart>
      <c:catAx>
        <c:axId val="176110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76116096"/>
        <c:crosses val="autoZero"/>
        <c:auto val="1"/>
        <c:lblAlgn val="ctr"/>
        <c:lblOffset val="100"/>
        <c:noMultiLvlLbl val="0"/>
      </c:catAx>
      <c:valAx>
        <c:axId val="17611609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61102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FRECUENCIA DE CAMBIO DE LLANTAS</a:t>
            </a:r>
          </a:p>
        </c:rich>
      </c:tx>
      <c:overlay val="0"/>
    </c:title>
    <c:autoTitleDeleted val="0"/>
    <c:view3D>
      <c:rotX val="30"/>
      <c:rotY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FORMULAS!$BF$12</c:f>
              <c:strCache>
                <c:ptCount val="1"/>
                <c:pt idx="0">
                  <c:v>FRECUENCIA DE CAMBIO DE LLANTAS</c:v>
                </c:pt>
              </c:strCache>
            </c:strRef>
          </c:tx>
          <c:explosion val="21"/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Lbls>
            <c:dLbl>
              <c:idx val="0"/>
              <c:layout>
                <c:manualLayout>
                  <c:x val="-0.11846434820647422"/>
                  <c:y val="-0.12742198891805187"/>
                </c:manualLayout>
              </c:layout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5.9488188976377962E-2"/>
                  <c:y val="-2.9396325459317666E-3"/>
                </c:manualLayout>
              </c:layout>
              <c:spPr/>
              <c:txPr>
                <a:bodyPr/>
                <a:lstStyle/>
                <a:p>
                  <a:pPr>
                    <a:defRPr b="1" i="0" baseline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5.6045494313210854E-2"/>
                  <c:y val="-2.939632545931766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0.16570056867891467"/>
                  <c:y val="-8.27938174394867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4.261745406824171E-2"/>
                  <c:y val="-0.2053525080198308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5.2698162729658785E-2"/>
                  <c:y val="-5.80285797608630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FORMULAS!$BF$13:$BF$19</c:f>
              <c:strCache>
                <c:ptCount val="7"/>
                <c:pt idx="0">
                  <c:v>Menor de 70,000 km</c:v>
                </c:pt>
                <c:pt idx="1">
                  <c:v>Entre 70,001 y 75,000 km</c:v>
                </c:pt>
                <c:pt idx="2">
                  <c:v>Entre 75,001 y 100,000 km</c:v>
                </c:pt>
                <c:pt idx="3">
                  <c:v>Entre 100,001 y 125,000 km</c:v>
                </c:pt>
                <c:pt idx="4">
                  <c:v>Mayor a 125,000 km</c:v>
                </c:pt>
                <c:pt idx="5">
                  <c:v>Unidades Nuevas</c:v>
                </c:pt>
                <c:pt idx="6">
                  <c:v>Variable</c:v>
                </c:pt>
              </c:strCache>
            </c:strRef>
          </c:cat>
          <c:val>
            <c:numRef>
              <c:f>FORMULAS!$BH$13:$BH$19</c:f>
              <c:numCache>
                <c:formatCode>#,##0</c:formatCode>
                <c:ptCount val="7"/>
                <c:pt idx="0" formatCode="General">
                  <c:v>121</c:v>
                </c:pt>
                <c:pt idx="1">
                  <c:v>33</c:v>
                </c:pt>
                <c:pt idx="2">
                  <c:v>96</c:v>
                </c:pt>
                <c:pt idx="3">
                  <c:v>405</c:v>
                </c:pt>
                <c:pt idx="4">
                  <c:v>292</c:v>
                </c:pt>
                <c:pt idx="5">
                  <c:v>24</c:v>
                </c:pt>
                <c:pt idx="6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PROPIETARIOS </a:t>
            </a:r>
          </a:p>
          <a:p>
            <a:pPr>
              <a:defRPr/>
            </a:pPr>
            <a:r>
              <a:rPr lang="en-US" sz="1400"/>
              <a:t>FRECUENCIA CON QUE SE AFINA MOTOR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FORMULAS!$BF$24</c:f>
              <c:strCache>
                <c:ptCount val="1"/>
                <c:pt idx="0">
                  <c:v>FRECUENCIA CON QUE SE AFINA MOTOR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5"/>
            <c:invertIfNegative val="0"/>
            <c:bubble3D val="0"/>
            <c:spPr>
              <a:solidFill>
                <a:srgbClr val="7030A0"/>
              </a:solidFill>
            </c:spPr>
          </c:dPt>
          <c:dPt>
            <c:idx val="6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7"/>
            <c:invertIfNegative val="0"/>
            <c:bubble3D val="0"/>
            <c:spPr>
              <a:solidFill>
                <a:srgbClr val="00B050"/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Lbls>
            <c:dLbl>
              <c:idx val="0"/>
              <c:layout>
                <c:manualLayout>
                  <c:x val="2.7777777777778364E-3"/>
                  <c:y val="-9.7222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7670126874279125E-3"/>
                  <c:y val="-0.246446964841605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6116878123798568E-3"/>
                  <c:y val="-0.29408914728682284"/>
                </c:manualLayout>
              </c:layout>
              <c:numFmt formatCode="@" sourceLinked="0"/>
              <c:spPr>
                <a:noFill/>
                <a:effectLst/>
              </c:spPr>
              <c:txPr>
                <a:bodyPr anchor="t" anchorCtr="1"/>
                <a:lstStyle/>
                <a:p>
                  <a:pPr>
                    <a:defRPr b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6116878123798568E-3"/>
                  <c:y val="-0.25656759293169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9.6116878123798568E-3"/>
                  <c:y val="-0.29338929835805588"/>
                </c:manualLayout>
              </c:layout>
              <c:numFmt formatCode="@" sourceLinked="0"/>
              <c:spPr>
                <a:noFill/>
                <a:effectLst/>
              </c:spPr>
              <c:txPr>
                <a:bodyPr anchor="t" anchorCtr="1"/>
                <a:lstStyle/>
                <a:p>
                  <a:pPr>
                    <a:defRPr b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7777777777778364E-3"/>
                  <c:y val="-0.10648148148148254"/>
                </c:manualLayout>
              </c:layout>
              <c:numFmt formatCode="@" sourceLinked="0"/>
              <c:spPr>
                <a:noFill/>
                <a:effectLst/>
              </c:spPr>
              <c:txPr>
                <a:bodyPr anchor="t" anchorCtr="1"/>
                <a:lstStyle/>
                <a:p>
                  <a:pPr>
                    <a:defRPr b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7.8703703703703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1.0185067526416321E-16"/>
                  <c:y val="-5.5555555555555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"/>
                  <c:y val="-6.6645112311542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@" sourceLinked="0"/>
            <c:spPr>
              <a:noFill/>
              <a:effectLst/>
            </c:spPr>
            <c:txPr>
              <a:bodyPr anchor="t" anchorCtr="1"/>
              <a:lstStyle/>
              <a:p>
                <a:pPr>
                  <a:defRPr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FORMULAS!$BF$25:$BF$32</c:f>
              <c:strCache>
                <c:ptCount val="8"/>
                <c:pt idx="0">
                  <c:v>Menor de 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50,000 km</c:v>
                </c:pt>
                <c:pt idx="5">
                  <c:v>Entre 50,001 y 125,000 km</c:v>
                </c:pt>
                <c:pt idx="6">
                  <c:v>Mayor a 125,000 km</c:v>
                </c:pt>
                <c:pt idx="7">
                  <c:v>Variable</c:v>
                </c:pt>
              </c:strCache>
            </c:strRef>
          </c:cat>
          <c:val>
            <c:numRef>
              <c:f>FORMULAS!$BH$25:$BH$32</c:f>
              <c:numCache>
                <c:formatCode>#,##0</c:formatCode>
                <c:ptCount val="8"/>
                <c:pt idx="0" formatCode="General">
                  <c:v>38</c:v>
                </c:pt>
                <c:pt idx="1">
                  <c:v>157</c:v>
                </c:pt>
                <c:pt idx="2">
                  <c:v>247</c:v>
                </c:pt>
                <c:pt idx="3">
                  <c:v>160</c:v>
                </c:pt>
                <c:pt idx="4">
                  <c:v>247</c:v>
                </c:pt>
                <c:pt idx="5">
                  <c:v>110</c:v>
                </c:pt>
                <c:pt idx="6">
                  <c:v>17</c:v>
                </c:pt>
                <c:pt idx="7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76215552"/>
        <c:axId val="176217088"/>
        <c:axId val="0"/>
      </c:bar3DChart>
      <c:catAx>
        <c:axId val="17621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217088"/>
        <c:crosses val="autoZero"/>
        <c:auto val="1"/>
        <c:lblAlgn val="ctr"/>
        <c:lblOffset val="100"/>
        <c:noMultiLvlLbl val="0"/>
      </c:catAx>
      <c:valAx>
        <c:axId val="1762170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6215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PROPIETARIO</a:t>
            </a:r>
          </a:p>
          <a:p>
            <a:pPr>
              <a:defRPr/>
            </a:pPr>
            <a:r>
              <a:rPr lang="en-US" sz="1400"/>
              <a:t>FRECUENCIA DE CAMBIO DE FRENOS</a:t>
            </a:r>
          </a:p>
        </c:rich>
      </c:tx>
      <c:overlay val="0"/>
    </c:title>
    <c:autoTitleDeleted val="0"/>
    <c:view3D>
      <c:rotX val="30"/>
      <c:rotY val="9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FORMULAS!$BF$37</c:f>
              <c:strCache>
                <c:ptCount val="1"/>
                <c:pt idx="0">
                  <c:v>FRECUENCIA DE CAMBIO DE FRENOS</c:v>
                </c:pt>
              </c:strCache>
            </c:strRef>
          </c:tx>
          <c:spPr>
            <a:effectLst>
              <a:outerShdw sx="1000" sy="1000" algn="ctr" rotWithShape="0">
                <a:srgbClr val="000000"/>
              </a:outerShdw>
            </a:effectLst>
            <a:scene3d>
              <a:camera prst="orthographicFront"/>
              <a:lightRig rig="threePt" dir="t"/>
            </a:scene3d>
            <a:sp3d prstMaterial="matte">
              <a:bevelT w="0"/>
            </a:sp3d>
          </c:spPr>
          <c:explosion val="6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effectLst>
                <a:outerShdw sx="1000" sy="1000" algn="ctr" rotWithShape="0">
                  <a:srgbClr val="000000"/>
                </a:outerShdw>
              </a:effectLst>
              <a:scene3d>
                <a:camera prst="orthographicFront"/>
                <a:lightRig rig="threePt" dir="t"/>
              </a:scene3d>
              <a:sp3d prstMaterial="matte">
                <a:bevelT w="0"/>
              </a:sp3d>
            </c:spPr>
          </c:dPt>
          <c:dPt>
            <c:idx val="4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effectLst>
                <a:outerShdw sx="1000" sy="1000" algn="ctr" rotWithShape="0">
                  <a:srgbClr val="000000"/>
                </a:outerShdw>
              </a:effectLst>
              <a:scene3d>
                <a:camera prst="orthographicFront"/>
                <a:lightRig rig="threePt" dir="t"/>
              </a:scene3d>
              <a:sp3d prstMaterial="matte">
                <a:bevelT w="0"/>
              </a:sp3d>
            </c:spPr>
          </c:dPt>
          <c:dPt>
            <c:idx val="5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effectLst>
                <a:outerShdw sx="1000" sy="1000" algn="ctr" rotWithShape="0">
                  <a:srgbClr val="000000"/>
                </a:outerShdw>
              </a:effectLst>
              <a:scene3d>
                <a:camera prst="orthographicFront"/>
                <a:lightRig rig="threePt" dir="t"/>
              </a:scene3d>
              <a:sp3d prstMaterial="matte">
                <a:bevelT w="0"/>
              </a:sp3d>
            </c:spPr>
          </c:dPt>
          <c:dPt>
            <c:idx val="6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effectLst>
                <a:outerShdw sx="1000" sy="1000" algn="ctr" rotWithShape="0">
                  <a:srgbClr val="000000"/>
                </a:outerShdw>
              </a:effectLst>
              <a:scene3d>
                <a:camera prst="orthographicFront"/>
                <a:lightRig rig="threePt" dir="t"/>
              </a:scene3d>
              <a:sp3d prstMaterial="matte">
                <a:bevelT w="0"/>
              </a:sp3d>
            </c:spPr>
          </c:dPt>
          <c:dLbls>
            <c:dLbl>
              <c:idx val="0"/>
              <c:layout>
                <c:manualLayout>
                  <c:x val="0"/>
                  <c:y val="-0.1007051937414431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4281762077037669E-2"/>
                  <c:y val="6.08547223168858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17811879300560404"/>
                  <c:y val="6.354366581170531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5019707207207241E-2"/>
                  <c:y val="-0.197562164068899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FORMULAS!$BF$38:$BF$45</c:f>
              <c:strCache>
                <c:ptCount val="8"/>
                <c:pt idx="0">
                  <c:v>Menor de 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50,000 km</c:v>
                </c:pt>
                <c:pt idx="5">
                  <c:v>Entre 50,001 y 100,000 km</c:v>
                </c:pt>
                <c:pt idx="6">
                  <c:v>Mayor a 125,000 km</c:v>
                </c:pt>
                <c:pt idx="7">
                  <c:v>Variable</c:v>
                </c:pt>
              </c:strCache>
            </c:strRef>
          </c:cat>
          <c:val>
            <c:numRef>
              <c:f>FORMULAS!$BH$38:$BH$45</c:f>
              <c:numCache>
                <c:formatCode>#,##0</c:formatCode>
                <c:ptCount val="8"/>
                <c:pt idx="0" formatCode="General">
                  <c:v>79</c:v>
                </c:pt>
                <c:pt idx="1">
                  <c:v>115</c:v>
                </c:pt>
                <c:pt idx="2">
                  <c:v>61</c:v>
                </c:pt>
                <c:pt idx="3">
                  <c:v>31</c:v>
                </c:pt>
                <c:pt idx="4">
                  <c:v>241</c:v>
                </c:pt>
                <c:pt idx="5">
                  <c:v>241</c:v>
                </c:pt>
                <c:pt idx="6">
                  <c:v>201</c:v>
                </c:pt>
                <c:pt idx="7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FRECUENCIA DE CAMBIO FILTRO DE PARTICULAS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FORMULAS!$BF$50</c:f>
              <c:strCache>
                <c:ptCount val="1"/>
                <c:pt idx="0">
                  <c:v>FRECUENCIA DE CAMBIO FILTRO DE PARTICULAS</c:v>
                </c:pt>
              </c:strCache>
            </c:strRef>
          </c:tx>
          <c:dLbls>
            <c:dLbl>
              <c:idx val="0"/>
              <c:layout>
                <c:manualLayout>
                  <c:x val="0.19042514693587231"/>
                  <c:y val="2.71758530183729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4.8981743763804271E-2"/>
                  <c:y val="5.388451443569559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.0%" sourceLinked="0"/>
              <c:spPr/>
              <c:txPr>
                <a:bodyPr/>
                <a:lstStyle/>
                <a:p>
                  <a:pPr>
                    <a:defRPr b="1" i="0" baseline="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7.6413100898045594E-2"/>
                  <c:y val="-4.89299212598425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0.12592809813194941"/>
                  <c:y val="-2.06569553805774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FORMULAS!$BF$51:$BF$59</c:f>
              <c:strCache>
                <c:ptCount val="9"/>
                <c:pt idx="0">
                  <c:v>Menor de 10,000 km</c:v>
                </c:pt>
                <c:pt idx="1">
                  <c:v>Entre 10,001 y 15,000 km</c:v>
                </c:pt>
                <c:pt idx="2">
                  <c:v>Entre 15,001 y 20,000 km</c:v>
                </c:pt>
                <c:pt idx="3">
                  <c:v>Entre 20,001 y 25,000 km</c:v>
                </c:pt>
                <c:pt idx="4">
                  <c:v>Entre 25,001 y 50,000 km</c:v>
                </c:pt>
                <c:pt idx="5">
                  <c:v>Entre 50,001 y 100,000 km</c:v>
                </c:pt>
                <c:pt idx="6">
                  <c:v>Mayor a 125,000 km</c:v>
                </c:pt>
                <c:pt idx="7">
                  <c:v>Variable/No ha cambiado</c:v>
                </c:pt>
                <c:pt idx="8">
                  <c:v>No Contesta / No usa</c:v>
                </c:pt>
              </c:strCache>
            </c:strRef>
          </c:cat>
          <c:val>
            <c:numRef>
              <c:f>FORMULAS!$BH$51:$BH$59</c:f>
              <c:numCache>
                <c:formatCode>#,##0</c:formatCode>
                <c:ptCount val="9"/>
                <c:pt idx="0" formatCode="General">
                  <c:v>26</c:v>
                </c:pt>
                <c:pt idx="1">
                  <c:v>176</c:v>
                </c:pt>
                <c:pt idx="2">
                  <c:v>261</c:v>
                </c:pt>
                <c:pt idx="3">
                  <c:v>196</c:v>
                </c:pt>
                <c:pt idx="4">
                  <c:v>171</c:v>
                </c:pt>
                <c:pt idx="5">
                  <c:v>38</c:v>
                </c:pt>
                <c:pt idx="6">
                  <c:v>4</c:v>
                </c:pt>
                <c:pt idx="7">
                  <c:v>27</c:v>
                </c:pt>
                <c:pt idx="8">
                  <c:v>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RENDIMIENTO DE LA UNIDAD DE VACÍO [km/lt]</a:t>
            </a:r>
          </a:p>
        </c:rich>
      </c:tx>
      <c:layout>
        <c:manualLayout>
          <c:xMode val="edge"/>
          <c:yMode val="edge"/>
          <c:x val="0.258724963974301"/>
          <c:y val="2.1192649485965501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FORMULAS!$AX$11</c:f>
              <c:strCache>
                <c:ptCount val="1"/>
                <c:pt idx="0">
                  <c:v>RENDIMIENTO DE LA UNIDAD DE VACÍO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FORMULAS!$AX$12:$AX$20</c:f>
              <c:strCache>
                <c:ptCount val="9"/>
                <c:pt idx="0">
                  <c:v>&lt; 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4.01 A 6.0</c:v>
                </c:pt>
                <c:pt idx="8">
                  <c:v>&gt;6.0</c:v>
                </c:pt>
              </c:strCache>
            </c:strRef>
          </c:cat>
          <c:val>
            <c:numRef>
              <c:f>FORMULAS!$AY$12:$AY$20</c:f>
              <c:numCache>
                <c:formatCode>0.00%</c:formatCode>
                <c:ptCount val="9"/>
                <c:pt idx="0">
                  <c:v>2.8571428571428571E-2</c:v>
                </c:pt>
                <c:pt idx="1">
                  <c:v>0.14081632653061224</c:v>
                </c:pt>
                <c:pt idx="2">
                  <c:v>0.12551020408163266</c:v>
                </c:pt>
                <c:pt idx="3">
                  <c:v>0.16938775510204082</c:v>
                </c:pt>
                <c:pt idx="4">
                  <c:v>0.17142857142857143</c:v>
                </c:pt>
                <c:pt idx="5">
                  <c:v>0.12551020408163266</c:v>
                </c:pt>
                <c:pt idx="6">
                  <c:v>0.10204081632653061</c:v>
                </c:pt>
                <c:pt idx="7">
                  <c:v>0.10510204081632653</c:v>
                </c:pt>
                <c:pt idx="8">
                  <c:v>3.1632653061224487E-2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3184768"/>
        <c:axId val="183207040"/>
        <c:axId val="0"/>
      </c:bar3DChart>
      <c:catAx>
        <c:axId val="1831847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b="1" i="0" baseline="0"/>
            </a:pPr>
            <a:endParaRPr lang="es-MX"/>
          </a:p>
        </c:txPr>
        <c:crossAx val="183207040"/>
        <c:crosses val="autoZero"/>
        <c:auto val="1"/>
        <c:lblAlgn val="ctr"/>
        <c:lblOffset val="100"/>
        <c:noMultiLvlLbl val="0"/>
      </c:catAx>
      <c:valAx>
        <c:axId val="18320704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3184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EQUIPAMIENTO DE LA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FORMULAS!$BB$11</c:f>
              <c:strCache>
                <c:ptCount val="1"/>
                <c:pt idx="0">
                  <c:v>EQUIPAMIENTO DE LA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FORMULAS!$BB$12:$BB$22</c:f>
              <c:strCache>
                <c:ptCount val="11"/>
                <c:pt idx="0">
                  <c:v>Cuenta con enfriamiento de cabina</c:v>
                </c:pt>
                <c:pt idx="1">
                  <c:v>Cuenta con filtro de partículas</c:v>
                </c:pt>
                <c:pt idx="2">
                  <c:v>Cuenta con inflado automático de llantas</c:v>
                </c:pt>
                <c:pt idx="3">
                  <c:v>Usa catalizadores</c:v>
                </c:pt>
                <c:pt idx="4">
                  <c:v>Usa lubricante de baja fricción</c:v>
                </c:pt>
                <c:pt idx="5">
                  <c:v>Cuenta con faldones traseros</c:v>
                </c:pt>
                <c:pt idx="6">
                  <c:v>Usa reducción de peso muerto</c:v>
                </c:pt>
                <c:pt idx="7">
                  <c:v>Usa conducción eficiente</c:v>
                </c:pt>
                <c:pt idx="8">
                  <c:v>Cuenta con GPS para rastreo</c:v>
                </c:pt>
                <c:pt idx="9">
                  <c:v>Cuenta con GPS para ruta</c:v>
                </c:pt>
                <c:pt idx="10">
                  <c:v>Ninguna</c:v>
                </c:pt>
              </c:strCache>
            </c:strRef>
          </c:cat>
          <c:val>
            <c:numRef>
              <c:f>FORMULAS!$BC$12:$BC$22</c:f>
              <c:numCache>
                <c:formatCode>General</c:formatCode>
                <c:ptCount val="11"/>
                <c:pt idx="0">
                  <c:v>569</c:v>
                </c:pt>
                <c:pt idx="1">
                  <c:v>460</c:v>
                </c:pt>
                <c:pt idx="2">
                  <c:v>86</c:v>
                </c:pt>
                <c:pt idx="3">
                  <c:v>413</c:v>
                </c:pt>
                <c:pt idx="4">
                  <c:v>418</c:v>
                </c:pt>
                <c:pt idx="5">
                  <c:v>325</c:v>
                </c:pt>
                <c:pt idx="6">
                  <c:v>81</c:v>
                </c:pt>
                <c:pt idx="7">
                  <c:v>330</c:v>
                </c:pt>
                <c:pt idx="8">
                  <c:v>530</c:v>
                </c:pt>
                <c:pt idx="9">
                  <c:v>157</c:v>
                </c:pt>
                <c:pt idx="10">
                  <c:v>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3244288"/>
        <c:axId val="183245824"/>
        <c:axId val="0"/>
      </c:bar3DChart>
      <c:catAx>
        <c:axId val="1832442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3245824"/>
        <c:crosses val="autoZero"/>
        <c:auto val="1"/>
        <c:lblAlgn val="ctr"/>
        <c:lblOffset val="100"/>
        <c:noMultiLvlLbl val="0"/>
      </c:catAx>
      <c:valAx>
        <c:axId val="183245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3244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LUGAR DE RESIDENCIA</a:t>
            </a:r>
            <a:endParaRPr lang="en-US" sz="11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849105026920429"/>
          <c:y val="6.8855670594091894E-2"/>
          <c:w val="0.76687700445212248"/>
          <c:h val="0.89809670132357544"/>
        </c:manualLayout>
      </c:layout>
      <c:bar3DChart>
        <c:barDir val="bar"/>
        <c:grouping val="clustered"/>
        <c:varyColors val="1"/>
        <c:ser>
          <c:idx val="0"/>
          <c:order val="0"/>
          <c:tx>
            <c:strRef>
              <c:f>FORMULAS!$C$37</c:f>
              <c:strCache>
                <c:ptCount val="1"/>
                <c:pt idx="0">
                  <c:v>CANTIDAD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FORMULAS!$B$38:$B$64</c:f>
              <c:strCache>
                <c:ptCount val="27"/>
                <c:pt idx="0">
                  <c:v>SINALOA</c:v>
                </c:pt>
                <c:pt idx="1">
                  <c:v>GUANAJUATO</c:v>
                </c:pt>
                <c:pt idx="2">
                  <c:v>VERACRUZ</c:v>
                </c:pt>
                <c:pt idx="3">
                  <c:v>EDO. MEX.</c:v>
                </c:pt>
                <c:pt idx="4">
                  <c:v>QUERÉTARO</c:v>
                </c:pt>
                <c:pt idx="5">
                  <c:v>D.F.</c:v>
                </c:pt>
                <c:pt idx="6">
                  <c:v>PUEBLA</c:v>
                </c:pt>
                <c:pt idx="7">
                  <c:v>NUEVO LEON</c:v>
                </c:pt>
                <c:pt idx="8">
                  <c:v>OAXACA</c:v>
                </c:pt>
                <c:pt idx="9">
                  <c:v>JALISCO</c:v>
                </c:pt>
                <c:pt idx="10">
                  <c:v>TAMAULIPAS</c:v>
                </c:pt>
                <c:pt idx="11">
                  <c:v>CHIHUAHUA</c:v>
                </c:pt>
                <c:pt idx="12">
                  <c:v>HIDALGO</c:v>
                </c:pt>
                <c:pt idx="13">
                  <c:v>MICHOACAN</c:v>
                </c:pt>
                <c:pt idx="14">
                  <c:v>ZACATECAS</c:v>
                </c:pt>
                <c:pt idx="15">
                  <c:v>COAHUILA</c:v>
                </c:pt>
                <c:pt idx="16">
                  <c:v>SONORA</c:v>
                </c:pt>
                <c:pt idx="17">
                  <c:v>COLIMA</c:v>
                </c:pt>
                <c:pt idx="18">
                  <c:v>MORELOS</c:v>
                </c:pt>
                <c:pt idx="19">
                  <c:v>NAYARIT</c:v>
                </c:pt>
                <c:pt idx="20">
                  <c:v>AGUASCALIENTES</c:v>
                </c:pt>
                <c:pt idx="21">
                  <c:v>SAN LUIS POTOSI</c:v>
                </c:pt>
                <c:pt idx="22">
                  <c:v>TLAXCALA</c:v>
                </c:pt>
                <c:pt idx="23">
                  <c:v>CHIAPAS</c:v>
                </c:pt>
                <c:pt idx="24">
                  <c:v>GUERRERO</c:v>
                </c:pt>
                <c:pt idx="25">
                  <c:v>TABASCO</c:v>
                </c:pt>
                <c:pt idx="26">
                  <c:v>YUCATÁN</c:v>
                </c:pt>
              </c:strCache>
            </c:strRef>
          </c:cat>
          <c:val>
            <c:numRef>
              <c:f>FORMULAS!$C$38:$C$64</c:f>
              <c:numCache>
                <c:formatCode>General</c:formatCode>
                <c:ptCount val="27"/>
                <c:pt idx="0">
                  <c:v>70</c:v>
                </c:pt>
                <c:pt idx="1">
                  <c:v>49</c:v>
                </c:pt>
                <c:pt idx="2">
                  <c:v>49</c:v>
                </c:pt>
                <c:pt idx="3">
                  <c:v>47</c:v>
                </c:pt>
                <c:pt idx="4">
                  <c:v>30</c:v>
                </c:pt>
                <c:pt idx="5">
                  <c:v>26</c:v>
                </c:pt>
                <c:pt idx="6">
                  <c:v>20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15</c:v>
                </c:pt>
                <c:pt idx="11">
                  <c:v>7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46682624"/>
        <c:axId val="146684160"/>
        <c:axId val="0"/>
      </c:bar3DChart>
      <c:catAx>
        <c:axId val="146682624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sz="900" b="1" i="1" baseline="0"/>
            </a:pPr>
            <a:endParaRPr lang="es-MX"/>
          </a:p>
        </c:txPr>
        <c:crossAx val="146684160"/>
        <c:crosses val="autoZero"/>
        <c:auto val="1"/>
        <c:lblAlgn val="ctr"/>
        <c:lblOffset val="100"/>
        <c:noMultiLvlLbl val="0"/>
      </c:catAx>
      <c:valAx>
        <c:axId val="1466841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466826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OPINIÓN DEL PROGRAMA TRANSPORTE LIMPIO</a:t>
            </a:r>
          </a:p>
          <a:p>
            <a:pPr>
              <a:defRPr sz="1400"/>
            </a:pPr>
            <a:r>
              <a:rPr lang="en-US" sz="1200"/>
              <a:t>ENCUESTA A PROPIETARIOS</a:t>
            </a:r>
          </a:p>
          <a:p>
            <a:pPr>
              <a:defRPr sz="1400"/>
            </a:pPr>
            <a:r>
              <a:rPr lang="en-US" sz="800"/>
              <a:t>[PORCENTAJES</a:t>
            </a:r>
            <a:r>
              <a:rPr lang="en-US" sz="800" baseline="0"/>
              <a:t> SOBRE EL TOTAL DE RESPUESTAS (100% = 55)]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FORMULAS!$Z$56</c:f>
              <c:strCache>
                <c:ptCount val="1"/>
                <c:pt idx="0">
                  <c:v>OPINIÓN DEL PROGRAMA TRANSPORTE LIMPIO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FORMULAS!$Z$57:$Z$66</c:f>
              <c:strCache>
                <c:ptCount val="10"/>
                <c:pt idx="0">
                  <c:v>NO CONTESTA</c:v>
                </c:pt>
                <c:pt idx="1">
                  <c:v>ES BUENO</c:v>
                </c:pt>
                <c:pt idx="2">
                  <c:v>MALA/NO SIRVE</c:v>
                </c:pt>
                <c:pt idx="3">
                  <c:v>MEJORA EL AMBIENTE</c:v>
                </c:pt>
                <c:pt idx="4">
                  <c:v>DEBERIA SER OBLIGATORIO</c:v>
                </c:pt>
                <c:pt idx="5">
                  <c:v>DEBIO IMPLEMENTARSE ANTES</c:v>
                </c:pt>
                <c:pt idx="6">
                  <c:v>TODOS DEBERIAN CUMPLIR</c:v>
                </c:pt>
                <c:pt idx="7">
                  <c:v>AHORRA GASTOS</c:v>
                </c:pt>
                <c:pt idx="8">
                  <c:v>FALTA INFORMACION</c:v>
                </c:pt>
                <c:pt idx="9">
                  <c:v>PODRIA MEJORAR</c:v>
                </c:pt>
              </c:strCache>
            </c:strRef>
          </c:cat>
          <c:val>
            <c:numRef>
              <c:f>FORMULAS!$AA$57:$AA$66</c:f>
              <c:numCache>
                <c:formatCode>0.0%</c:formatCode>
                <c:ptCount val="10"/>
                <c:pt idx="0">
                  <c:v>7.2727272727272724E-2</c:v>
                </c:pt>
                <c:pt idx="1">
                  <c:v>0.38181818181818183</c:v>
                </c:pt>
                <c:pt idx="2">
                  <c:v>0.30909090909090908</c:v>
                </c:pt>
                <c:pt idx="3">
                  <c:v>0.12727272727272726</c:v>
                </c:pt>
                <c:pt idx="4">
                  <c:v>5.4545454545454543E-2</c:v>
                </c:pt>
                <c:pt idx="5">
                  <c:v>3.6363636363636362E-2</c:v>
                </c:pt>
                <c:pt idx="6">
                  <c:v>3.6363636363636362E-2</c:v>
                </c:pt>
                <c:pt idx="7">
                  <c:v>1.8181818181818181E-2</c:v>
                </c:pt>
                <c:pt idx="8">
                  <c:v>1.8181818181818181E-2</c:v>
                </c:pt>
                <c:pt idx="9">
                  <c:v>1.8181818181818181E-2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3262592"/>
        <c:axId val="183293056"/>
        <c:axId val="0"/>
      </c:bar3DChart>
      <c:catAx>
        <c:axId val="183262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3293056"/>
        <c:crosses val="autoZero"/>
        <c:auto val="1"/>
        <c:lblAlgn val="ctr"/>
        <c:lblOffset val="100"/>
        <c:noMultiLvlLbl val="0"/>
      </c:catAx>
      <c:valAx>
        <c:axId val="1832930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3262592"/>
        <c:crosses val="autoZero"/>
        <c:crossBetween val="between"/>
      </c:valAx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9843150879519078E-2"/>
          <c:y val="0.18685986271310356"/>
          <c:w val="0.93532613053023439"/>
          <c:h val="0.6530550157022522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FORMULAS!$Z$4</c:f>
              <c:strCache>
                <c:ptCount val="1"/>
                <c:pt idx="0">
                  <c:v>MAYOR IMPORTANCIA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FORMULAS!$AA$3:$AF$3</c:f>
              <c:strCache>
                <c:ptCount val="6"/>
                <c:pt idx="0">
                  <c:v>Plazo</c:v>
                </c:pt>
                <c:pt idx="1">
                  <c:v>Enganche</c:v>
                </c:pt>
                <c:pt idx="2">
                  <c:v>Pago mensual</c:v>
                </c:pt>
                <c:pt idx="3">
                  <c:v>Requisitos</c:v>
                </c:pt>
                <c:pt idx="4">
                  <c:v>Garantías</c:v>
                </c:pt>
                <c:pt idx="5">
                  <c:v>Tasa de interés</c:v>
                </c:pt>
              </c:strCache>
            </c:strRef>
          </c:cat>
          <c:val>
            <c:numRef>
              <c:f>FORMULAS!$AA$4:$AF$4</c:f>
              <c:numCache>
                <c:formatCode>General</c:formatCode>
                <c:ptCount val="6"/>
                <c:pt idx="0">
                  <c:v>55</c:v>
                </c:pt>
                <c:pt idx="1">
                  <c:v>144</c:v>
                </c:pt>
                <c:pt idx="2">
                  <c:v>67</c:v>
                </c:pt>
                <c:pt idx="3">
                  <c:v>42</c:v>
                </c:pt>
                <c:pt idx="4">
                  <c:v>10</c:v>
                </c:pt>
                <c:pt idx="5">
                  <c:v>88</c:v>
                </c:pt>
              </c:numCache>
            </c:numRef>
          </c:val>
        </c:ser>
        <c:ser>
          <c:idx val="1"/>
          <c:order val="1"/>
          <c:tx>
            <c:strRef>
              <c:f>FORMULAS!$Z$5</c:f>
              <c:strCache>
                <c:ptCount val="1"/>
                <c:pt idx="0">
                  <c:v>MUY IMPORTANTE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FORMULAS!$AA$3:$AF$3</c:f>
              <c:strCache>
                <c:ptCount val="6"/>
                <c:pt idx="0">
                  <c:v>Plazo</c:v>
                </c:pt>
                <c:pt idx="1">
                  <c:v>Enganche</c:v>
                </c:pt>
                <c:pt idx="2">
                  <c:v>Pago mensual</c:v>
                </c:pt>
                <c:pt idx="3">
                  <c:v>Requisitos</c:v>
                </c:pt>
                <c:pt idx="4">
                  <c:v>Garantías</c:v>
                </c:pt>
                <c:pt idx="5">
                  <c:v>Tasa de interés</c:v>
                </c:pt>
              </c:strCache>
            </c:strRef>
          </c:cat>
          <c:val>
            <c:numRef>
              <c:f>FORMULAS!$AA$5:$AF$5</c:f>
              <c:numCache>
                <c:formatCode>General</c:formatCode>
                <c:ptCount val="6"/>
                <c:pt idx="0">
                  <c:v>77</c:v>
                </c:pt>
                <c:pt idx="1">
                  <c:v>75</c:v>
                </c:pt>
                <c:pt idx="2">
                  <c:v>94</c:v>
                </c:pt>
                <c:pt idx="3">
                  <c:v>30</c:v>
                </c:pt>
                <c:pt idx="4">
                  <c:v>57</c:v>
                </c:pt>
                <c:pt idx="5">
                  <c:v>73</c:v>
                </c:pt>
              </c:numCache>
            </c:numRef>
          </c:val>
        </c:ser>
        <c:ser>
          <c:idx val="2"/>
          <c:order val="2"/>
          <c:tx>
            <c:strRef>
              <c:f>FORMULAS!$Z$6</c:f>
              <c:strCache>
                <c:ptCount val="1"/>
                <c:pt idx="0">
                  <c:v>IMPORTANTE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</c:spPr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FORMULAS!$AA$3:$AF$3</c:f>
              <c:strCache>
                <c:ptCount val="6"/>
                <c:pt idx="0">
                  <c:v>Plazo</c:v>
                </c:pt>
                <c:pt idx="1">
                  <c:v>Enganche</c:v>
                </c:pt>
                <c:pt idx="2">
                  <c:v>Pago mensual</c:v>
                </c:pt>
                <c:pt idx="3">
                  <c:v>Requisitos</c:v>
                </c:pt>
                <c:pt idx="4">
                  <c:v>Garantías</c:v>
                </c:pt>
                <c:pt idx="5">
                  <c:v>Tasa de interés</c:v>
                </c:pt>
              </c:strCache>
            </c:strRef>
          </c:cat>
          <c:val>
            <c:numRef>
              <c:f>FORMULAS!$AA$6:$AF$6</c:f>
              <c:numCache>
                <c:formatCode>General</c:formatCode>
                <c:ptCount val="6"/>
                <c:pt idx="0">
                  <c:v>106</c:v>
                </c:pt>
                <c:pt idx="1">
                  <c:v>94</c:v>
                </c:pt>
                <c:pt idx="2">
                  <c:v>54</c:v>
                </c:pt>
                <c:pt idx="3">
                  <c:v>48</c:v>
                </c:pt>
                <c:pt idx="4">
                  <c:v>45</c:v>
                </c:pt>
                <c:pt idx="5">
                  <c:v>59</c:v>
                </c:pt>
              </c:numCache>
            </c:numRef>
          </c:val>
        </c:ser>
        <c:ser>
          <c:idx val="3"/>
          <c:order val="3"/>
          <c:tx>
            <c:strRef>
              <c:f>FORMULAS!$Z$7</c:f>
              <c:strCache>
                <c:ptCount val="1"/>
                <c:pt idx="0">
                  <c:v>NO TAN IMPORTANTE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FORMULAS!$AA$3:$AF$3</c:f>
              <c:strCache>
                <c:ptCount val="6"/>
                <c:pt idx="0">
                  <c:v>Plazo</c:v>
                </c:pt>
                <c:pt idx="1">
                  <c:v>Enganche</c:v>
                </c:pt>
                <c:pt idx="2">
                  <c:v>Pago mensual</c:v>
                </c:pt>
                <c:pt idx="3">
                  <c:v>Requisitos</c:v>
                </c:pt>
                <c:pt idx="4">
                  <c:v>Garantías</c:v>
                </c:pt>
                <c:pt idx="5">
                  <c:v>Tasa de interés</c:v>
                </c:pt>
              </c:strCache>
            </c:strRef>
          </c:cat>
          <c:val>
            <c:numRef>
              <c:f>FORMULAS!$AA$7:$AF$7</c:f>
              <c:numCache>
                <c:formatCode>General</c:formatCode>
                <c:ptCount val="6"/>
                <c:pt idx="0">
                  <c:v>73</c:v>
                </c:pt>
                <c:pt idx="1">
                  <c:v>51</c:v>
                </c:pt>
                <c:pt idx="2">
                  <c:v>103</c:v>
                </c:pt>
                <c:pt idx="3">
                  <c:v>74</c:v>
                </c:pt>
                <c:pt idx="4">
                  <c:v>53</c:v>
                </c:pt>
                <c:pt idx="5">
                  <c:v>52</c:v>
                </c:pt>
              </c:numCache>
            </c:numRef>
          </c:val>
        </c:ser>
        <c:ser>
          <c:idx val="4"/>
          <c:order val="4"/>
          <c:tx>
            <c:strRef>
              <c:f>FORMULAS!$Z$8</c:f>
              <c:strCache>
                <c:ptCount val="1"/>
                <c:pt idx="0">
                  <c:v>POCO IMPORTANTE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accent5">
                  <a:lumMod val="75000"/>
                </a:schemeClr>
              </a:solidFill>
            </a:ln>
          </c:spPr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FORMULAS!$AA$3:$AF$3</c:f>
              <c:strCache>
                <c:ptCount val="6"/>
                <c:pt idx="0">
                  <c:v>Plazo</c:v>
                </c:pt>
                <c:pt idx="1">
                  <c:v>Enganche</c:v>
                </c:pt>
                <c:pt idx="2">
                  <c:v>Pago mensual</c:v>
                </c:pt>
                <c:pt idx="3">
                  <c:v>Requisitos</c:v>
                </c:pt>
                <c:pt idx="4">
                  <c:v>Garantías</c:v>
                </c:pt>
                <c:pt idx="5">
                  <c:v>Tasa de interés</c:v>
                </c:pt>
              </c:strCache>
            </c:strRef>
          </c:cat>
          <c:val>
            <c:numRef>
              <c:f>FORMULAS!$AA$8:$AF$8</c:f>
              <c:numCache>
                <c:formatCode>General</c:formatCode>
                <c:ptCount val="6"/>
                <c:pt idx="0">
                  <c:v>56</c:v>
                </c:pt>
                <c:pt idx="1">
                  <c:v>34</c:v>
                </c:pt>
                <c:pt idx="2">
                  <c:v>36</c:v>
                </c:pt>
                <c:pt idx="3">
                  <c:v>115</c:v>
                </c:pt>
                <c:pt idx="4">
                  <c:v>112</c:v>
                </c:pt>
                <c:pt idx="5">
                  <c:v>53</c:v>
                </c:pt>
              </c:numCache>
            </c:numRef>
          </c:val>
        </c:ser>
        <c:ser>
          <c:idx val="5"/>
          <c:order val="5"/>
          <c:tx>
            <c:strRef>
              <c:f>FORMULAS!$Z$9</c:f>
              <c:strCache>
                <c:ptCount val="1"/>
                <c:pt idx="0">
                  <c:v>MENOR IMPORTANCIA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FORMULAS!$AA$3:$AF$3</c:f>
              <c:strCache>
                <c:ptCount val="6"/>
                <c:pt idx="0">
                  <c:v>Plazo</c:v>
                </c:pt>
                <c:pt idx="1">
                  <c:v>Enganche</c:v>
                </c:pt>
                <c:pt idx="2">
                  <c:v>Pago mensual</c:v>
                </c:pt>
                <c:pt idx="3">
                  <c:v>Requisitos</c:v>
                </c:pt>
                <c:pt idx="4">
                  <c:v>Garantías</c:v>
                </c:pt>
                <c:pt idx="5">
                  <c:v>Tasa de interés</c:v>
                </c:pt>
              </c:strCache>
            </c:strRef>
          </c:cat>
          <c:val>
            <c:numRef>
              <c:f>FORMULAS!$AA$9:$AF$9</c:f>
              <c:numCache>
                <c:formatCode>General</c:formatCode>
                <c:ptCount val="6"/>
                <c:pt idx="0">
                  <c:v>39</c:v>
                </c:pt>
                <c:pt idx="1">
                  <c:v>8</c:v>
                </c:pt>
                <c:pt idx="2">
                  <c:v>52</c:v>
                </c:pt>
                <c:pt idx="3">
                  <c:v>97</c:v>
                </c:pt>
                <c:pt idx="4">
                  <c:v>129</c:v>
                </c:pt>
                <c:pt idx="5">
                  <c:v>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3336320"/>
        <c:axId val="183370880"/>
        <c:axId val="0"/>
      </c:bar3DChart>
      <c:catAx>
        <c:axId val="1833363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3370880"/>
        <c:crosses val="autoZero"/>
        <c:auto val="1"/>
        <c:lblAlgn val="ctr"/>
        <c:lblOffset val="100"/>
        <c:noMultiLvlLbl val="0"/>
      </c:catAx>
      <c:valAx>
        <c:axId val="183370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3336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3104976753499973E-2"/>
          <c:y val="0.91048220460985441"/>
          <c:w val="0.88024623165032467"/>
          <c:h val="8.775591714501256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SUGERENCIAS PARA EL PROGRAMA LIMPIO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FORMULAS!$Z$71</c:f>
              <c:strCache>
                <c:ptCount val="1"/>
                <c:pt idx="0">
                  <c:v>SUGERENCIAS PARA EL PROGRAMA LIMPIO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1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FORMULAS!$Z$72:$Z$76</c:f>
              <c:strCache>
                <c:ptCount val="5"/>
                <c:pt idx="0">
                  <c:v>DARLO A CONOCER</c:v>
                </c:pt>
                <c:pt idx="1">
                  <c:v>DAR INCENTIVOS ECONÓMICOS</c:v>
                </c:pt>
                <c:pt idx="2">
                  <c:v>NO CONTESTA</c:v>
                </c:pt>
                <c:pt idx="3">
                  <c:v>QUE SEA OBLIGATORIO</c:v>
                </c:pt>
                <c:pt idx="4">
                  <c:v>HONESTIDAD EN SU APLICACIÓN</c:v>
                </c:pt>
              </c:strCache>
            </c:strRef>
          </c:cat>
          <c:val>
            <c:numRef>
              <c:f>FORMULAS!$AA$72:$AA$76</c:f>
              <c:numCache>
                <c:formatCode>0.0%</c:formatCode>
                <c:ptCount val="5"/>
                <c:pt idx="0">
                  <c:v>0.72556390977443608</c:v>
                </c:pt>
                <c:pt idx="1">
                  <c:v>0.20300751879699247</c:v>
                </c:pt>
                <c:pt idx="2">
                  <c:v>3.7593984962406013E-2</c:v>
                </c:pt>
                <c:pt idx="3">
                  <c:v>2.6315789473684209E-2</c:v>
                </c:pt>
                <c:pt idx="4">
                  <c:v>7.5187969924812026E-3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3388416"/>
        <c:axId val="183390208"/>
        <c:axId val="0"/>
      </c:bar3DChart>
      <c:catAx>
        <c:axId val="1833884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3390208"/>
        <c:crosses val="autoZero"/>
        <c:auto val="1"/>
        <c:lblAlgn val="ctr"/>
        <c:lblOffset val="100"/>
        <c:noMultiLvlLbl val="0"/>
      </c:catAx>
      <c:valAx>
        <c:axId val="183390208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33884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GASTOS ANUALES POR OPERADOR POR UNIDAD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FORMULAS!$BK$2</c:f>
              <c:strCache>
                <c:ptCount val="1"/>
                <c:pt idx="0">
                  <c:v>GASTOS ANUALES POR OPERADOR POR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FORMULAS!$BK$3:$BK$9</c:f>
              <c:strCache>
                <c:ptCount val="7"/>
                <c:pt idx="0">
                  <c:v>&lt;$50,000</c:v>
                </c:pt>
                <c:pt idx="1">
                  <c:v>$50,001 A $75,000</c:v>
                </c:pt>
                <c:pt idx="2">
                  <c:v>$75,001 A $100,000</c:v>
                </c:pt>
                <c:pt idx="3">
                  <c:v>$100,001 A $125,000</c:v>
                </c:pt>
                <c:pt idx="4">
                  <c:v>$125,001 A $150,000</c:v>
                </c:pt>
                <c:pt idx="5">
                  <c:v>$150,001 A $175,000</c:v>
                </c:pt>
                <c:pt idx="6">
                  <c:v>&gt;$175,000</c:v>
                </c:pt>
              </c:strCache>
            </c:strRef>
          </c:cat>
          <c:val>
            <c:numRef>
              <c:f>FORMULAS!$BL$3:$BL$9</c:f>
              <c:numCache>
                <c:formatCode>0.0%</c:formatCode>
                <c:ptCount val="7"/>
                <c:pt idx="0">
                  <c:v>0.18571428571428572</c:v>
                </c:pt>
                <c:pt idx="1">
                  <c:v>4.2857142857142858E-2</c:v>
                </c:pt>
                <c:pt idx="2">
                  <c:v>0.24897959183673468</c:v>
                </c:pt>
                <c:pt idx="3">
                  <c:v>0.23469387755102042</c:v>
                </c:pt>
                <c:pt idx="4">
                  <c:v>0.11938775510204082</c:v>
                </c:pt>
                <c:pt idx="5">
                  <c:v>3.6734693877551024E-2</c:v>
                </c:pt>
                <c:pt idx="6">
                  <c:v>0.13163265306122449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3419264"/>
        <c:axId val="183420800"/>
        <c:axId val="0"/>
      </c:bar3DChart>
      <c:catAx>
        <c:axId val="1834192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3420800"/>
        <c:crosses val="autoZero"/>
        <c:auto val="1"/>
        <c:lblAlgn val="ctr"/>
        <c:lblOffset val="100"/>
        <c:noMultiLvlLbl val="0"/>
      </c:catAx>
      <c:valAx>
        <c:axId val="183420800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1" baseline="0"/>
            </a:pPr>
            <a:endParaRPr lang="es-MX"/>
          </a:p>
        </c:txPr>
        <c:crossAx val="183419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GASTOS ANUALES POR AYUDANTES POR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FORMULAS!$BK$13</c:f>
              <c:strCache>
                <c:ptCount val="1"/>
                <c:pt idx="0">
                  <c:v>GASTOS ANUALES POR AYUDANTES POR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1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FORMULAS!$BK$14:$BK$19</c:f>
              <c:strCache>
                <c:ptCount val="6"/>
                <c:pt idx="0">
                  <c:v>$0.00</c:v>
                </c:pt>
                <c:pt idx="1">
                  <c:v>&lt;$50,000</c:v>
                </c:pt>
                <c:pt idx="2">
                  <c:v>$50,001 A $75,000</c:v>
                </c:pt>
                <c:pt idx="3">
                  <c:v>$75,001 A $100,000</c:v>
                </c:pt>
                <c:pt idx="4">
                  <c:v>$100,001 A $125,000</c:v>
                </c:pt>
                <c:pt idx="5">
                  <c:v>&gt;$125,000</c:v>
                </c:pt>
              </c:strCache>
            </c:strRef>
          </c:cat>
          <c:val>
            <c:numRef>
              <c:f>FORMULAS!$BL$14:$BL$19</c:f>
              <c:numCache>
                <c:formatCode>0.0%</c:formatCode>
                <c:ptCount val="6"/>
                <c:pt idx="0">
                  <c:v>0.69795918367346943</c:v>
                </c:pt>
                <c:pt idx="1">
                  <c:v>0.10816326530612246</c:v>
                </c:pt>
                <c:pt idx="2">
                  <c:v>8.2653061224489802E-2</c:v>
                </c:pt>
                <c:pt idx="3">
                  <c:v>5.1020408163265307E-2</c:v>
                </c:pt>
                <c:pt idx="4">
                  <c:v>5.7142857142857141E-2</c:v>
                </c:pt>
                <c:pt idx="5">
                  <c:v>3.0612244897959182E-3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3507200"/>
        <c:axId val="183517184"/>
        <c:axId val="0"/>
      </c:bar3DChart>
      <c:catAx>
        <c:axId val="1835072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3517184"/>
        <c:crosses val="autoZero"/>
        <c:auto val="1"/>
        <c:lblAlgn val="ctr"/>
        <c:lblOffset val="100"/>
        <c:noMultiLvlLbl val="0"/>
      </c:catAx>
      <c:valAx>
        <c:axId val="18351718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3507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GASTOS ANUALES EN LLANTAS POR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FORMULAS!$BK$23</c:f>
              <c:strCache>
                <c:ptCount val="1"/>
                <c:pt idx="0">
                  <c:v>GASTOS ANUALES EN LLANTAS POR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FORMULAS!$BK$24:$BK$29</c:f>
              <c:strCache>
                <c:ptCount val="6"/>
                <c:pt idx="0">
                  <c:v>&lt;$50,000</c:v>
                </c:pt>
                <c:pt idx="1">
                  <c:v>$50,001 A $75,000</c:v>
                </c:pt>
                <c:pt idx="2">
                  <c:v>$75,001 A $100,000</c:v>
                </c:pt>
                <c:pt idx="3">
                  <c:v>$100,001 A $125,000</c:v>
                </c:pt>
                <c:pt idx="4">
                  <c:v>$125,000 A $175,000</c:v>
                </c:pt>
                <c:pt idx="5">
                  <c:v>&gt;$175,000</c:v>
                </c:pt>
              </c:strCache>
            </c:strRef>
          </c:cat>
          <c:val>
            <c:numRef>
              <c:f>FORMULAS!$BL$24:$BL$29</c:f>
              <c:numCache>
                <c:formatCode>0.0%</c:formatCode>
                <c:ptCount val="6"/>
                <c:pt idx="0">
                  <c:v>0.39171974522292996</c:v>
                </c:pt>
                <c:pt idx="1">
                  <c:v>0.25477707006369427</c:v>
                </c:pt>
                <c:pt idx="2">
                  <c:v>0.16666666666666666</c:v>
                </c:pt>
                <c:pt idx="3">
                  <c:v>4.8832271762208071E-2</c:v>
                </c:pt>
                <c:pt idx="4">
                  <c:v>7.9617834394904455E-2</c:v>
                </c:pt>
                <c:pt idx="5">
                  <c:v>5.8386411889596604E-2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3558528"/>
        <c:axId val="183560064"/>
        <c:axId val="0"/>
      </c:bar3DChart>
      <c:catAx>
        <c:axId val="1835585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3560064"/>
        <c:crosses val="autoZero"/>
        <c:auto val="1"/>
        <c:lblAlgn val="ctr"/>
        <c:lblOffset val="100"/>
        <c:noMultiLvlLbl val="0"/>
      </c:catAx>
      <c:valAx>
        <c:axId val="18356006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3558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GASTOS ANUALES EN REPARACIONES POR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FORMULAS!$BK$33</c:f>
              <c:strCache>
                <c:ptCount val="1"/>
                <c:pt idx="0">
                  <c:v>GASTOS ANUALES EN REPARACIONES POR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FORMULAS!$BK$34:$BK$40</c:f>
              <c:strCache>
                <c:ptCount val="7"/>
                <c:pt idx="0">
                  <c:v>$0.00</c:v>
                </c:pt>
                <c:pt idx="1">
                  <c:v>&lt;$25,000</c:v>
                </c:pt>
                <c:pt idx="2">
                  <c:v>$25001 A $50,000</c:v>
                </c:pt>
                <c:pt idx="3">
                  <c:v>$50,001 A $75,000</c:v>
                </c:pt>
                <c:pt idx="4">
                  <c:v>$75,001 A $100,000</c:v>
                </c:pt>
                <c:pt idx="5">
                  <c:v>$100,001 A $125,000</c:v>
                </c:pt>
                <c:pt idx="6">
                  <c:v>&gt;$125,000</c:v>
                </c:pt>
              </c:strCache>
            </c:strRef>
          </c:cat>
          <c:val>
            <c:numRef>
              <c:f>FORMULAS!$BL$34:$BL$40</c:f>
              <c:numCache>
                <c:formatCode>0.0%</c:formatCode>
                <c:ptCount val="7"/>
                <c:pt idx="0">
                  <c:v>4.2689434364994666E-3</c:v>
                </c:pt>
                <c:pt idx="1">
                  <c:v>0.56029882604055492</c:v>
                </c:pt>
                <c:pt idx="2">
                  <c:v>0.31590181430096054</c:v>
                </c:pt>
                <c:pt idx="3">
                  <c:v>6.7235859124866598E-2</c:v>
                </c:pt>
                <c:pt idx="4">
                  <c:v>8.5378868729989333E-3</c:v>
                </c:pt>
                <c:pt idx="5">
                  <c:v>3.5218783351120594E-2</c:v>
                </c:pt>
                <c:pt idx="6">
                  <c:v>8.5378868729989333E-3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3585024"/>
        <c:axId val="183595008"/>
        <c:axId val="0"/>
      </c:bar3DChart>
      <c:catAx>
        <c:axId val="1835850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3595008"/>
        <c:crosses val="autoZero"/>
        <c:auto val="1"/>
        <c:lblAlgn val="ctr"/>
        <c:lblOffset val="100"/>
        <c:noMultiLvlLbl val="0"/>
      </c:catAx>
      <c:valAx>
        <c:axId val="183595008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35850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GASTOS ANUALES EN SEGUROS POR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FORMULAS!$BK$44</c:f>
              <c:strCache>
                <c:ptCount val="1"/>
                <c:pt idx="0">
                  <c:v>GASTOS ANUALES EN SEGUROS POR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FORMULAS!$BK$45:$BK$51</c:f>
              <c:strCache>
                <c:ptCount val="7"/>
                <c:pt idx="0">
                  <c:v>&lt;$5,000</c:v>
                </c:pt>
                <c:pt idx="1">
                  <c:v>$5,001 A $10,000</c:v>
                </c:pt>
                <c:pt idx="2">
                  <c:v>$10,001 A $20,000</c:v>
                </c:pt>
                <c:pt idx="3">
                  <c:v>$20,001 A $30,000</c:v>
                </c:pt>
                <c:pt idx="4">
                  <c:v>$30,001 A $50,000</c:v>
                </c:pt>
                <c:pt idx="5">
                  <c:v>$50,001 A $150,000</c:v>
                </c:pt>
                <c:pt idx="6">
                  <c:v>&gt;$150,000</c:v>
                </c:pt>
              </c:strCache>
            </c:strRef>
          </c:cat>
          <c:val>
            <c:numRef>
              <c:f>FORMULAS!$BL$45:$BL$51</c:f>
              <c:numCache>
                <c:formatCode>0.0%</c:formatCode>
                <c:ptCount val="7"/>
                <c:pt idx="0">
                  <c:v>0.12755102040816327</c:v>
                </c:pt>
                <c:pt idx="1">
                  <c:v>0.22959183673469388</c:v>
                </c:pt>
                <c:pt idx="2">
                  <c:v>0.37244897959183676</c:v>
                </c:pt>
                <c:pt idx="3">
                  <c:v>9.4897959183673469E-2</c:v>
                </c:pt>
                <c:pt idx="4">
                  <c:v>0.12857142857142856</c:v>
                </c:pt>
                <c:pt idx="5">
                  <c:v>1.8367346938775512E-2</c:v>
                </c:pt>
                <c:pt idx="6">
                  <c:v>2.8571428571428571E-2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3628160"/>
        <c:axId val="183629696"/>
        <c:axId val="0"/>
      </c:bar3DChart>
      <c:catAx>
        <c:axId val="1836281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3629696"/>
        <c:crosses val="autoZero"/>
        <c:auto val="1"/>
        <c:lblAlgn val="ctr"/>
        <c:lblOffset val="100"/>
        <c:noMultiLvlLbl val="0"/>
      </c:catAx>
      <c:valAx>
        <c:axId val="18362969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3628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GASTOS ANUALES EN ACCIDENTES POR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FORMULAS!$BK$55</c:f>
              <c:strCache>
                <c:ptCount val="1"/>
                <c:pt idx="0">
                  <c:v>GASTOS ANUALES EN ACCIDENTES POR UNIDAD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FORMULAS!$BK$56:$BK$62</c:f>
              <c:strCache>
                <c:ptCount val="7"/>
                <c:pt idx="0">
                  <c:v>&lt;$5,000</c:v>
                </c:pt>
                <c:pt idx="1">
                  <c:v>$5,001 A $10,000</c:v>
                </c:pt>
                <c:pt idx="2">
                  <c:v>$10,001 A $20,000</c:v>
                </c:pt>
                <c:pt idx="3">
                  <c:v>$20,001 A $30,000</c:v>
                </c:pt>
                <c:pt idx="4">
                  <c:v>$30,001 A $50,000</c:v>
                </c:pt>
                <c:pt idx="5">
                  <c:v>$50,001 A $150,000</c:v>
                </c:pt>
                <c:pt idx="6">
                  <c:v>&gt;$150,000</c:v>
                </c:pt>
              </c:strCache>
            </c:strRef>
          </c:cat>
          <c:val>
            <c:numRef>
              <c:f>FORMULAS!$BL$56:$BL$62</c:f>
              <c:numCache>
                <c:formatCode>0.0%</c:formatCode>
                <c:ptCount val="7"/>
                <c:pt idx="0">
                  <c:v>0.91122448979591841</c:v>
                </c:pt>
                <c:pt idx="1">
                  <c:v>1.4285714285714285E-2</c:v>
                </c:pt>
                <c:pt idx="2">
                  <c:v>1.9387755102040816E-2</c:v>
                </c:pt>
                <c:pt idx="3">
                  <c:v>2.1428571428571429E-2</c:v>
                </c:pt>
                <c:pt idx="4">
                  <c:v>1.020408163265306E-2</c:v>
                </c:pt>
                <c:pt idx="5">
                  <c:v>1.7346938775510204E-2</c:v>
                </c:pt>
                <c:pt idx="6">
                  <c:v>6.1224489795918364E-3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83662848"/>
        <c:axId val="183668736"/>
        <c:axId val="0"/>
      </c:bar3DChart>
      <c:catAx>
        <c:axId val="1836628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3668736"/>
        <c:crosses val="autoZero"/>
        <c:auto val="1"/>
        <c:lblAlgn val="ctr"/>
        <c:lblOffset val="100"/>
        <c:noMultiLvlLbl val="0"/>
      </c:catAx>
      <c:valAx>
        <c:axId val="18366873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3662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CUENTA CON PERSONAL PARA ADMINISTRACIÓN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FORMULAS!$N$67</c:f>
              <c:strCache>
                <c:ptCount val="1"/>
                <c:pt idx="0">
                  <c:v>SI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4.8965311739392274E-2"/>
                </c:manualLayout>
              </c:layout>
              <c:spPr/>
              <c:txPr>
                <a:bodyPr rot="-5400000" vert="horz"/>
                <a:lstStyle/>
                <a:p>
                  <a:pPr>
                    <a:defRPr b="1" i="0" baseline="0">
                      <a:solidFill>
                        <a:schemeClr val="accent1">
                          <a:lumMod val="50000"/>
                        </a:schemeClr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1"/>
              <c:layout>
                <c:manualLayout>
                  <c:x val="1.3888888888888944E-2"/>
                  <c:y val="0.2553191254982593"/>
                </c:manualLayout>
              </c:layout>
              <c:spPr/>
              <c:txPr>
                <a:bodyPr rot="-5400000" vert="horz"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FORMULAS!$O$66:$P$66</c:f>
              <c:strCache>
                <c:ptCount val="2"/>
                <c:pt idx="0">
                  <c:v>HOMBRE CAMIÓN</c:v>
                </c:pt>
                <c:pt idx="1">
                  <c:v>PEQUEÑO TRANSPORTISTA</c:v>
                </c:pt>
              </c:strCache>
            </c:strRef>
          </c:cat>
          <c:val>
            <c:numRef>
              <c:f>FORMULAS!$O$67:$P$67</c:f>
              <c:numCache>
                <c:formatCode>0.0%</c:formatCode>
                <c:ptCount val="2"/>
                <c:pt idx="0">
                  <c:v>0.21428571428571427</c:v>
                </c:pt>
                <c:pt idx="1">
                  <c:v>0.87878787878787878</c:v>
                </c:pt>
              </c:numCache>
            </c:numRef>
          </c:val>
        </c:ser>
        <c:ser>
          <c:idx val="1"/>
          <c:order val="1"/>
          <c:tx>
            <c:strRef>
              <c:f>FORMULAS!$N$68</c:f>
              <c:strCache>
                <c:ptCount val="1"/>
                <c:pt idx="0">
                  <c:v>NO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8.3333333333333367E-3"/>
                  <c:y val="0.25182160323115982"/>
                </c:manualLayout>
              </c:layout>
              <c:spPr/>
              <c:txPr>
                <a:bodyPr rot="-5400000" vert="horz"/>
                <a:lstStyle/>
                <a:p>
                  <a:pPr>
                    <a:defRPr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1"/>
              <c:layout>
                <c:manualLayout>
                  <c:x val="3.6111111111111205E-2"/>
                  <c:y val="-3.4975222670994524E-2"/>
                </c:manualLayout>
              </c:layout>
              <c:spPr/>
              <c:txPr>
                <a:bodyPr rot="-5400000" vert="horz"/>
                <a:lstStyle/>
                <a:p>
                  <a:pPr>
                    <a:defRPr b="1" i="1" baseline="0">
                      <a:solidFill>
                        <a:srgbClr val="C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FORMULAS!$O$66:$P$66</c:f>
              <c:strCache>
                <c:ptCount val="2"/>
                <c:pt idx="0">
                  <c:v>HOMBRE CAMIÓN</c:v>
                </c:pt>
                <c:pt idx="1">
                  <c:v>PEQUEÑO TRANSPORTISTA</c:v>
                </c:pt>
              </c:strCache>
            </c:strRef>
          </c:cat>
          <c:val>
            <c:numRef>
              <c:f>FORMULAS!$O$68:$P$68</c:f>
              <c:numCache>
                <c:formatCode>0.0%</c:formatCode>
                <c:ptCount val="2"/>
                <c:pt idx="0">
                  <c:v>0.7857142857142857</c:v>
                </c:pt>
                <c:pt idx="1">
                  <c:v>0.12121212121212122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6911744"/>
        <c:axId val="186925824"/>
        <c:axId val="0"/>
      </c:bar3DChart>
      <c:catAx>
        <c:axId val="1869117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6925824"/>
        <c:crosses val="autoZero"/>
        <c:auto val="1"/>
        <c:lblAlgn val="ctr"/>
        <c:lblOffset val="100"/>
        <c:noMultiLvlLbl val="0"/>
      </c:catAx>
      <c:valAx>
        <c:axId val="186925824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69117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AÑOS MANEJANDO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FORMULAS!$F$2</c:f>
              <c:strCache>
                <c:ptCount val="1"/>
                <c:pt idx="0">
                  <c:v>AÑOS MANEJANDO</c:v>
                </c:pt>
              </c:strCache>
            </c:strRef>
          </c:tx>
          <c:explosion val="25"/>
          <c:dPt>
            <c:idx val="5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4388451443569557E-2"/>
                  <c:y val="-0.1901068095654709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7763998250218742E-2"/>
                  <c:y val="0.1279538495188101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FORMULAS!$F$3:$F$8</c:f>
              <c:strCache>
                <c:ptCount val="6"/>
                <c:pt idx="0">
                  <c:v>0 A 5</c:v>
                </c:pt>
                <c:pt idx="1">
                  <c:v>6 A 10</c:v>
                </c:pt>
                <c:pt idx="2">
                  <c:v>11 A 15</c:v>
                </c:pt>
                <c:pt idx="3">
                  <c:v>16 A 20</c:v>
                </c:pt>
                <c:pt idx="4">
                  <c:v>21 A 25</c:v>
                </c:pt>
                <c:pt idx="5">
                  <c:v>&gt;25</c:v>
                </c:pt>
              </c:strCache>
            </c:strRef>
          </c:cat>
          <c:val>
            <c:numRef>
              <c:f>FORMULAS!$G$3:$G$8</c:f>
              <c:numCache>
                <c:formatCode>0%</c:formatCode>
                <c:ptCount val="6"/>
                <c:pt idx="0">
                  <c:v>0.17761557177615572</c:v>
                </c:pt>
                <c:pt idx="1">
                  <c:v>0.12165450121654502</c:v>
                </c:pt>
                <c:pt idx="2">
                  <c:v>2.9197080291970802E-2</c:v>
                </c:pt>
                <c:pt idx="3">
                  <c:v>0.12652068126520682</c:v>
                </c:pt>
                <c:pt idx="4">
                  <c:v>0.16058394160583941</c:v>
                </c:pt>
                <c:pt idx="5">
                  <c:v>0.38442822384428221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75962379702541"/>
          <c:y val="0.15245792443574971"/>
          <c:w val="0.83549168853893263"/>
          <c:h val="0.473977052352330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FORMULAS!$T$50</c:f>
              <c:strCache>
                <c:ptCount val="1"/>
                <c:pt idx="0">
                  <c:v>PT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FORMULAS!$S$51:$S$57</c:f>
              <c:strCache>
                <c:ptCount val="7"/>
                <c:pt idx="0">
                  <c:v>Cuando están viejas</c:v>
                </c:pt>
                <c:pt idx="1">
                  <c:v>Acceso a crédito</c:v>
                </c:pt>
                <c:pt idx="2">
                  <c:v>Cuando es buena oferta</c:v>
                </c:pt>
                <c:pt idx="3">
                  <c:v>Cuando el cliente lo pide</c:v>
                </c:pt>
                <c:pt idx="4">
                  <c:v>Cuando tiene Capital disponible</c:v>
                </c:pt>
                <c:pt idx="5">
                  <c:v>Por otras razones</c:v>
                </c:pt>
                <c:pt idx="6">
                  <c:v>No necesita / No ha cambiado</c:v>
                </c:pt>
              </c:strCache>
            </c:strRef>
          </c:cat>
          <c:val>
            <c:numRef>
              <c:f>FORMULAS!$T$51:$T$57</c:f>
              <c:numCache>
                <c:formatCode>0.0%</c:formatCode>
                <c:ptCount val="7"/>
                <c:pt idx="0">
                  <c:v>0.33634719710669075</c:v>
                </c:pt>
                <c:pt idx="1">
                  <c:v>0.11754068716094032</c:v>
                </c:pt>
                <c:pt idx="2">
                  <c:v>8.8607594936708861E-2</c:v>
                </c:pt>
                <c:pt idx="3">
                  <c:v>0.16094032549728751</c:v>
                </c:pt>
                <c:pt idx="4">
                  <c:v>0.25678119349005424</c:v>
                </c:pt>
                <c:pt idx="5">
                  <c:v>1.4466546112115732E-2</c:v>
                </c:pt>
                <c:pt idx="6">
                  <c:v>2.5316455696202531E-2</c:v>
                </c:pt>
              </c:numCache>
            </c:numRef>
          </c:val>
        </c:ser>
        <c:ser>
          <c:idx val="1"/>
          <c:order val="1"/>
          <c:tx>
            <c:strRef>
              <c:f>FORMULAS!$U$50</c:f>
              <c:strCache>
                <c:ptCount val="1"/>
                <c:pt idx="0">
                  <c:v>HC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1.66666666666667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111111111111112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388888888888894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FORMULAS!$S$51:$S$57</c:f>
              <c:strCache>
                <c:ptCount val="7"/>
                <c:pt idx="0">
                  <c:v>Cuando están viejas</c:v>
                </c:pt>
                <c:pt idx="1">
                  <c:v>Acceso a crédito</c:v>
                </c:pt>
                <c:pt idx="2">
                  <c:v>Cuando es buena oferta</c:v>
                </c:pt>
                <c:pt idx="3">
                  <c:v>Cuando el cliente lo pide</c:v>
                </c:pt>
                <c:pt idx="4">
                  <c:v>Cuando tiene Capital disponible</c:v>
                </c:pt>
                <c:pt idx="5">
                  <c:v>Por otras razones</c:v>
                </c:pt>
                <c:pt idx="6">
                  <c:v>No necesita / No ha cambiado</c:v>
                </c:pt>
              </c:strCache>
            </c:strRef>
          </c:cat>
          <c:val>
            <c:numRef>
              <c:f>FORMULAS!$U$51:$U$57</c:f>
              <c:numCache>
                <c:formatCode>0.0%</c:formatCode>
                <c:ptCount val="7"/>
                <c:pt idx="0">
                  <c:v>0.37037037037037035</c:v>
                </c:pt>
                <c:pt idx="1">
                  <c:v>0.12962962962962962</c:v>
                </c:pt>
                <c:pt idx="2">
                  <c:v>3.7037037037037035E-2</c:v>
                </c:pt>
                <c:pt idx="3">
                  <c:v>0.14814814814814814</c:v>
                </c:pt>
                <c:pt idx="4">
                  <c:v>0.29629629629629628</c:v>
                </c:pt>
                <c:pt idx="5">
                  <c:v>1.8518518518518517E-2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6964224"/>
        <c:axId val="186970112"/>
        <c:axId val="0"/>
      </c:bar3DChart>
      <c:catAx>
        <c:axId val="1869642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6970112"/>
        <c:crosses val="autoZero"/>
        <c:auto val="1"/>
        <c:lblAlgn val="ctr"/>
        <c:lblOffset val="100"/>
        <c:noMultiLvlLbl val="0"/>
      </c:catAx>
      <c:valAx>
        <c:axId val="18697011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6964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848753280839958"/>
          <c:y val="0.94745274843919469"/>
          <c:w val="0.54873468941382364"/>
          <c:h val="4.4376941574714883E-2"/>
        </c:manualLayout>
      </c:layout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PROPIETARIOS</a:t>
            </a:r>
            <a:r>
              <a:rPr lang="en-US" sz="1600"/>
              <a:t> </a:t>
            </a:r>
          </a:p>
          <a:p>
            <a:pPr>
              <a:defRPr/>
            </a:pPr>
            <a:r>
              <a:rPr lang="en-US" sz="1200"/>
              <a:t>EDAD</a:t>
            </a:r>
            <a:endParaRPr lang="en-US" sz="1600"/>
          </a:p>
        </c:rich>
      </c:tx>
      <c:overlay val="0"/>
    </c:title>
    <c:autoTitleDeleted val="0"/>
    <c:view3D>
      <c:rotX val="30"/>
      <c:rotY val="0"/>
      <c:depthPercent val="1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2'!$B$4:$B$8</c:f>
              <c:strCache>
                <c:ptCount val="1"/>
                <c:pt idx="0">
                  <c:v>&lt;35 35 A 45 46 A 55 56 A 60 &gt;60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</c:dPt>
          <c:dPt>
            <c:idx val="1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</c:dPt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'FORMULAS 2'!$B$4:$B$8</c:f>
              <c:strCache>
                <c:ptCount val="5"/>
                <c:pt idx="0">
                  <c:v>&lt;35</c:v>
                </c:pt>
                <c:pt idx="1">
                  <c:v>35 A 45</c:v>
                </c:pt>
                <c:pt idx="2">
                  <c:v>46 A 55</c:v>
                </c:pt>
                <c:pt idx="3">
                  <c:v>56 A 60</c:v>
                </c:pt>
                <c:pt idx="4">
                  <c:v>&gt;60</c:v>
                </c:pt>
              </c:strCache>
            </c:strRef>
          </c:cat>
          <c:val>
            <c:numRef>
              <c:f>'FORMULAS 2'!$D$4:$D$8</c:f>
              <c:numCache>
                <c:formatCode>0.0%</c:formatCode>
                <c:ptCount val="5"/>
                <c:pt idx="0">
                  <c:v>0.10462287104622871</c:v>
                </c:pt>
                <c:pt idx="1">
                  <c:v>0.31143552311435524</c:v>
                </c:pt>
                <c:pt idx="2">
                  <c:v>0.37469586374695862</c:v>
                </c:pt>
                <c:pt idx="3">
                  <c:v>0.10218978102189781</c:v>
                </c:pt>
                <c:pt idx="4">
                  <c:v>0.1070559610705596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/>
              <a:t>PROPIETARIOS</a:t>
            </a:r>
            <a:r>
              <a:rPr lang="en-US" sz="1600" baseline="0"/>
              <a:t> </a:t>
            </a:r>
          </a:p>
          <a:p>
            <a:pPr>
              <a:defRPr/>
            </a:pPr>
            <a:r>
              <a:rPr lang="en-US" sz="1400" baseline="0"/>
              <a:t>PRODUCTOS QUE MUEVE</a:t>
            </a:r>
            <a:endParaRPr lang="en-US"/>
          </a:p>
        </c:rich>
      </c:tx>
      <c:layout>
        <c:manualLayout>
          <c:xMode val="edge"/>
          <c:yMode val="edge"/>
          <c:x val="0.31631787177046028"/>
          <c:y val="4.4969083754918523E-2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2'!$B$13</c:f>
              <c:strCache>
                <c:ptCount val="1"/>
                <c:pt idx="0">
                  <c:v>PRODUCTOS QUE MUEVE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0.1566196244700182"/>
                  <c:y val="8.5248324541956522E-2"/>
                </c:manualLayout>
              </c:layout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7565112053301031E-3"/>
                  <c:y val="-0.1276988058034558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4.6992630728851521E-2"/>
                  <c:y val="-0.2153861853849579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2'!$B$14:$B$22</c:f>
              <c:strCache>
                <c:ptCount val="9"/>
                <c:pt idx="0">
                  <c:v>Productos perecederos</c:v>
                </c:pt>
                <c:pt idx="1">
                  <c:v>Alimentos no perecederos</c:v>
                </c:pt>
                <c:pt idx="2">
                  <c:v>Materiales para construcción</c:v>
                </c:pt>
                <c:pt idx="3">
                  <c:v>Materias primas para producción</c:v>
                </c:pt>
                <c:pt idx="4">
                  <c:v>Granos</c:v>
                </c:pt>
                <c:pt idx="5">
                  <c:v>Materias primas para ensamble</c:v>
                </c:pt>
                <c:pt idx="6">
                  <c:v>Productos refrigerados</c:v>
                </c:pt>
                <c:pt idx="7">
                  <c:v>Materiales peligrosos y Químicos</c:v>
                </c:pt>
                <c:pt idx="8">
                  <c:v>Transporta Otros</c:v>
                </c:pt>
              </c:strCache>
            </c:strRef>
          </c:cat>
          <c:val>
            <c:numRef>
              <c:f>'FORMULAS 2'!$C$14:$C$22</c:f>
              <c:numCache>
                <c:formatCode>0.0%</c:formatCode>
                <c:ptCount val="9"/>
                <c:pt idx="0">
                  <c:v>0.1907356948228883</c:v>
                </c:pt>
                <c:pt idx="1">
                  <c:v>0.1226158038147139</c:v>
                </c:pt>
                <c:pt idx="2">
                  <c:v>0.1008174386920981</c:v>
                </c:pt>
                <c:pt idx="3">
                  <c:v>0.11307901907356949</c:v>
                </c:pt>
                <c:pt idx="4">
                  <c:v>0.13760217983651227</c:v>
                </c:pt>
                <c:pt idx="5">
                  <c:v>7.6294277929155316E-2</c:v>
                </c:pt>
                <c:pt idx="6">
                  <c:v>8.5831062670299732E-2</c:v>
                </c:pt>
                <c:pt idx="7">
                  <c:v>6.9482288828337874E-2</c:v>
                </c:pt>
                <c:pt idx="8">
                  <c:v>0.10354223433242507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PROPIETARIO</a:t>
            </a:r>
            <a:endParaRPr lang="en-US"/>
          </a:p>
          <a:p>
            <a:pPr>
              <a:defRPr/>
            </a:pPr>
            <a:r>
              <a:rPr lang="en-US" sz="1200"/>
              <a:t>MEDIO DE OBTENCIÓN DEL CRÉDITO</a:t>
            </a:r>
          </a:p>
        </c:rich>
      </c:tx>
      <c:overlay val="0"/>
    </c:title>
    <c:autoTitleDeleted val="0"/>
    <c:view3D>
      <c:rotX val="3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2'!$B$59</c:f>
              <c:strCache>
                <c:ptCount val="1"/>
                <c:pt idx="0">
                  <c:v>MEDIO DE OBTENCIÓN DEL CRÉDITO</c:v>
                </c:pt>
              </c:strCache>
            </c:strRef>
          </c:tx>
          <c:explosion val="25"/>
          <c:dPt>
            <c:idx val="1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cat>
            <c:strRef>
              <c:f>'FORMULAS 2'!$B$60:$B$64</c:f>
              <c:strCache>
                <c:ptCount val="5"/>
                <c:pt idx="0">
                  <c:v>Crédito Automotriz</c:v>
                </c:pt>
                <c:pt idx="1">
                  <c:v>Tarjeta de crédito</c:v>
                </c:pt>
                <c:pt idx="2">
                  <c:v>Empeño o prestamista</c:v>
                </c:pt>
                <c:pt idx="3">
                  <c:v>Del Sistema Financiero</c:v>
                </c:pt>
                <c:pt idx="4">
                  <c:v>Un amigo o familiar</c:v>
                </c:pt>
              </c:strCache>
            </c:strRef>
          </c:cat>
          <c:val>
            <c:numRef>
              <c:f>'FORMULAS 2'!$C$60:$C$64</c:f>
              <c:numCache>
                <c:formatCode>0.0%</c:formatCode>
                <c:ptCount val="5"/>
                <c:pt idx="0">
                  <c:v>0.15045871559633028</c:v>
                </c:pt>
                <c:pt idx="1">
                  <c:v>0.27706422018348625</c:v>
                </c:pt>
                <c:pt idx="2">
                  <c:v>0.15412844036697249</c:v>
                </c:pt>
                <c:pt idx="3">
                  <c:v>0.25321100917431194</c:v>
                </c:pt>
                <c:pt idx="4">
                  <c:v>0.16513761467889909</c:v>
                </c:pt>
              </c:numCache>
            </c:numRef>
          </c:val>
        </c:ser>
        <c:ser>
          <c:idx val="1"/>
          <c:order val="1"/>
          <c:tx>
            <c:strRef>
              <c:f>'FORMULAS 2'!$B$59</c:f>
              <c:strCache>
                <c:ptCount val="1"/>
                <c:pt idx="0">
                  <c:v>MEDIO DE OBTENCIÓN DEL CRÉDITO</c:v>
                </c:pt>
              </c:strCache>
            </c:strRef>
          </c:tx>
          <c:explosion val="25"/>
          <c:cat>
            <c:strRef>
              <c:f>'FORMULAS 2'!$B$60:$B$64</c:f>
              <c:strCache>
                <c:ptCount val="5"/>
                <c:pt idx="0">
                  <c:v>Crédito Automotriz</c:v>
                </c:pt>
                <c:pt idx="1">
                  <c:v>Tarjeta de crédito</c:v>
                </c:pt>
                <c:pt idx="2">
                  <c:v>Empeño o prestamista</c:v>
                </c:pt>
                <c:pt idx="3">
                  <c:v>Del Sistema Financiero</c:v>
                </c:pt>
                <c:pt idx="4">
                  <c:v>Un amigo o familiar</c:v>
                </c:pt>
              </c:strCache>
            </c:strRef>
          </c:cat>
          <c:val>
            <c:numRef>
              <c:f>'FORMULAS 2'!$D$60:$D$64</c:f>
              <c:numCache>
                <c:formatCode>General</c:formatCode>
                <c:ptCount val="5"/>
                <c:pt idx="0">
                  <c:v>82</c:v>
                </c:pt>
                <c:pt idx="1">
                  <c:v>151</c:v>
                </c:pt>
                <c:pt idx="2">
                  <c:v>84</c:v>
                </c:pt>
                <c:pt idx="3">
                  <c:v>138</c:v>
                </c:pt>
                <c:pt idx="4">
                  <c:v>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plotVisOnly val="1"/>
    <c:dispBlanksAs val="zero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UNIDADES DE ARRASTRE</a:t>
            </a:r>
          </a:p>
        </c:rich>
      </c:tx>
      <c:overlay val="0"/>
    </c:title>
    <c:autoTitleDeleted val="0"/>
    <c:view3D>
      <c:rotX val="30"/>
      <c:rotY val="5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2'!$B$68</c:f>
              <c:strCache>
                <c:ptCount val="1"/>
                <c:pt idx="0">
                  <c:v>UNIDADES DE ARRASTRE</c:v>
                </c:pt>
              </c:strCache>
            </c:strRef>
          </c:tx>
          <c:explosion val="22"/>
          <c:dLbls>
            <c:dLbl>
              <c:idx val="0"/>
              <c:spPr/>
              <c:txPr>
                <a:bodyPr/>
                <a:lstStyle/>
                <a:p>
                  <a:pPr>
                    <a:defRPr sz="11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8884880994449149"/>
                  <c:y val="-0.19783618791517921"/>
                </c:manualLayout>
              </c:layout>
              <c:spPr/>
              <c:txPr>
                <a:bodyPr/>
                <a:lstStyle/>
                <a:p>
                  <a:pPr>
                    <a:defRPr sz="11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1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6435806578945197E-2"/>
                  <c:y val="-3.47744600231218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9010912814784463E-2"/>
                  <c:y val="-3.19478892391686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4.5965106003429776E-2"/>
                  <c:y val="-1.82513288277964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1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cat>
            <c:strRef>
              <c:f>'FORMULAS 2'!$B$69:$B$75</c:f>
              <c:strCache>
                <c:ptCount val="7"/>
                <c:pt idx="0">
                  <c:v>Caja seca</c:v>
                </c:pt>
                <c:pt idx="1">
                  <c:v>Remolque, plataforma o góndola</c:v>
                </c:pt>
                <c:pt idx="2">
                  <c:v>Refrigeradas</c:v>
                </c:pt>
                <c:pt idx="3">
                  <c:v>Tanque</c:v>
                </c:pt>
                <c:pt idx="4">
                  <c:v>Volteo o tolva</c:v>
                </c:pt>
                <c:pt idx="5">
                  <c:v>Redilas o jaula</c:v>
                </c:pt>
                <c:pt idx="6">
                  <c:v>Otro tipo</c:v>
                </c:pt>
              </c:strCache>
            </c:strRef>
          </c:cat>
          <c:val>
            <c:numRef>
              <c:f>'FORMULAS 2'!$C$69:$C$75</c:f>
              <c:numCache>
                <c:formatCode>0.0%</c:formatCode>
                <c:ptCount val="7"/>
                <c:pt idx="0">
                  <c:v>0.35462555066079293</c:v>
                </c:pt>
                <c:pt idx="1">
                  <c:v>0.23348017621145375</c:v>
                </c:pt>
                <c:pt idx="2">
                  <c:v>0.20264317180616739</c:v>
                </c:pt>
                <c:pt idx="3">
                  <c:v>6.6079295154185022E-2</c:v>
                </c:pt>
                <c:pt idx="4">
                  <c:v>3.3039647577092511E-2</c:v>
                </c:pt>
                <c:pt idx="5">
                  <c:v>0.10792951541850221</c:v>
                </c:pt>
                <c:pt idx="6">
                  <c:v>2.2026431718061676E-3</c:v>
                </c:pt>
              </c:numCache>
            </c:numRef>
          </c:val>
        </c:ser>
        <c:ser>
          <c:idx val="1"/>
          <c:order val="1"/>
          <c:explosion val="25"/>
          <c:cat>
            <c:strRef>
              <c:f>'FORMULAS 2'!$B$69:$B$75</c:f>
              <c:strCache>
                <c:ptCount val="7"/>
                <c:pt idx="0">
                  <c:v>Caja seca</c:v>
                </c:pt>
                <c:pt idx="1">
                  <c:v>Remolque, plataforma o góndola</c:v>
                </c:pt>
                <c:pt idx="2">
                  <c:v>Refrigeradas</c:v>
                </c:pt>
                <c:pt idx="3">
                  <c:v>Tanque</c:v>
                </c:pt>
                <c:pt idx="4">
                  <c:v>Volteo o tolva</c:v>
                </c:pt>
                <c:pt idx="5">
                  <c:v>Redilas o jaula</c:v>
                </c:pt>
                <c:pt idx="6">
                  <c:v>Otro tipo</c:v>
                </c:pt>
              </c:strCache>
            </c:strRef>
          </c:cat>
          <c:val>
            <c:numRef>
              <c:f>'FORMULAS 2'!$D$69:$D$75</c:f>
              <c:numCache>
                <c:formatCode>General</c:formatCode>
                <c:ptCount val="7"/>
                <c:pt idx="0">
                  <c:v>483</c:v>
                </c:pt>
                <c:pt idx="1">
                  <c:v>318</c:v>
                </c:pt>
                <c:pt idx="2">
                  <c:v>276</c:v>
                </c:pt>
                <c:pt idx="3">
                  <c:v>90</c:v>
                </c:pt>
                <c:pt idx="4">
                  <c:v>45</c:v>
                </c:pt>
                <c:pt idx="5">
                  <c:v>147</c:v>
                </c:pt>
                <c:pt idx="6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</c:plotArea>
    <c:plotVisOnly val="1"/>
    <c:dispBlanksAs val="zero"/>
    <c:showDLblsOverMax val="0"/>
  </c:chart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CLIENTES REGULARES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2'!$B$26</c:f>
              <c:strCache>
                <c:ptCount val="1"/>
                <c:pt idx="0">
                  <c:v>CLIENTES REGULARES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2'!$B$27:$B$39</c:f>
              <c:strCache>
                <c:ptCount val="1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&gt;10</c:v>
                </c:pt>
                <c:pt idx="12">
                  <c:v>NO CONTESTA</c:v>
                </c:pt>
              </c:strCache>
            </c:strRef>
          </c:cat>
          <c:val>
            <c:numRef>
              <c:f>'FORMULAS 2'!$C$27:$C$39</c:f>
              <c:numCache>
                <c:formatCode>0.0%</c:formatCode>
                <c:ptCount val="13"/>
                <c:pt idx="0">
                  <c:v>0.11922141119221411</c:v>
                </c:pt>
                <c:pt idx="1">
                  <c:v>0.15815085158150852</c:v>
                </c:pt>
                <c:pt idx="2">
                  <c:v>9.9756690997566913E-2</c:v>
                </c:pt>
                <c:pt idx="3">
                  <c:v>0.13868613138686131</c:v>
                </c:pt>
                <c:pt idx="4">
                  <c:v>9.002433090024331E-2</c:v>
                </c:pt>
                <c:pt idx="5">
                  <c:v>9.4890510948905105E-2</c:v>
                </c:pt>
                <c:pt idx="6">
                  <c:v>7.785888077858881E-2</c:v>
                </c:pt>
                <c:pt idx="7">
                  <c:v>3.4063260340632603E-2</c:v>
                </c:pt>
                <c:pt idx="8">
                  <c:v>4.6228710462287104E-2</c:v>
                </c:pt>
                <c:pt idx="9">
                  <c:v>1.2165450121654502E-2</c:v>
                </c:pt>
                <c:pt idx="10">
                  <c:v>9.9756690997566913E-2</c:v>
                </c:pt>
                <c:pt idx="11">
                  <c:v>1.4598540145985401E-2</c:v>
                </c:pt>
                <c:pt idx="12">
                  <c:v>1.4598540145985401E-2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4836864"/>
        <c:axId val="144838656"/>
        <c:axId val="0"/>
      </c:bar3DChart>
      <c:catAx>
        <c:axId val="144836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44838656"/>
        <c:crosses val="autoZero"/>
        <c:auto val="1"/>
        <c:lblAlgn val="ctr"/>
        <c:lblOffset val="100"/>
        <c:noMultiLvlLbl val="0"/>
      </c:catAx>
      <c:valAx>
        <c:axId val="1448386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1448368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DE CADA 10 VIAJES, CUÁNTOS SON PARA CLIENTES REGULARES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471764496475136"/>
          <c:y val="0.17499589355018996"/>
          <c:w val="0.8383710348664376"/>
          <c:h val="0.61226794571724841"/>
        </c:manualLayout>
      </c:layout>
      <c:bar3DChart>
        <c:barDir val="col"/>
        <c:grouping val="clustered"/>
        <c:varyColors val="1"/>
        <c:ser>
          <c:idx val="0"/>
          <c:order val="0"/>
          <c:tx>
            <c:strRef>
              <c:f>'FORMULAS 2'!$E$26</c:f>
              <c:strCache>
                <c:ptCount val="1"/>
                <c:pt idx="0">
                  <c:v>VIAJES DE CADA 10 CON CLIENTES REGULARES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2'!$E$27:$E$38</c:f>
              <c:strCach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NO CONTESTA</c:v>
                </c:pt>
              </c:strCache>
            </c:strRef>
          </c:cat>
          <c:val>
            <c:numRef>
              <c:f>'FORMULAS 2'!$F$27:$F$38</c:f>
              <c:numCache>
                <c:formatCode>0.0%</c:formatCode>
                <c:ptCount val="12"/>
                <c:pt idx="0">
                  <c:v>0.11922141119221411</c:v>
                </c:pt>
                <c:pt idx="1">
                  <c:v>1.9464720194647202E-2</c:v>
                </c:pt>
                <c:pt idx="2">
                  <c:v>2.4330900243309003E-3</c:v>
                </c:pt>
                <c:pt idx="3">
                  <c:v>2.4330900243309004E-2</c:v>
                </c:pt>
                <c:pt idx="4">
                  <c:v>1.7031630170316302E-2</c:v>
                </c:pt>
                <c:pt idx="5">
                  <c:v>8.2725060827250604E-2</c:v>
                </c:pt>
                <c:pt idx="6">
                  <c:v>5.5961070559610707E-2</c:v>
                </c:pt>
                <c:pt idx="7">
                  <c:v>1.4598540145985401E-2</c:v>
                </c:pt>
                <c:pt idx="8">
                  <c:v>9.4890510948905105E-2</c:v>
                </c:pt>
                <c:pt idx="9">
                  <c:v>3.1630170316301706E-2</c:v>
                </c:pt>
                <c:pt idx="10">
                  <c:v>0.52311435523114358</c:v>
                </c:pt>
                <c:pt idx="11">
                  <c:v>1.4598540145985401E-2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4880000"/>
        <c:axId val="144881536"/>
        <c:axId val="0"/>
      </c:bar3DChart>
      <c:catAx>
        <c:axId val="144880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44881536"/>
        <c:crosses val="autoZero"/>
        <c:auto val="1"/>
        <c:lblAlgn val="ctr"/>
        <c:lblOffset val="100"/>
        <c:noMultiLvlLbl val="0"/>
      </c:catAx>
      <c:valAx>
        <c:axId val="14488153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44880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IMPORTANCIA DEL TIEMPO PARA FIJAR LA RUTA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2'!$H$3</c:f>
              <c:strCache>
                <c:ptCount val="1"/>
                <c:pt idx="0">
                  <c:v>IMPORTANCIA DEL TIEMPO PARA FIJAR LA RUTA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2'!$I$5:$I$8</c:f>
              <c:strCache>
                <c:ptCount val="4"/>
                <c:pt idx="0">
                  <c:v>MAYOR IMPORTANCIA</c:v>
                </c:pt>
                <c:pt idx="1">
                  <c:v>IMPORTANTE</c:v>
                </c:pt>
                <c:pt idx="2">
                  <c:v>IMPORTANCIA REGULAR</c:v>
                </c:pt>
                <c:pt idx="3">
                  <c:v>MENOR IMPORTANCIA</c:v>
                </c:pt>
              </c:strCache>
            </c:strRef>
          </c:cat>
          <c:val>
            <c:numRef>
              <c:f>'FORMULAS 2'!$J$5:$J$8</c:f>
              <c:numCache>
                <c:formatCode>General</c:formatCode>
                <c:ptCount val="4"/>
                <c:pt idx="0">
                  <c:v>165</c:v>
                </c:pt>
                <c:pt idx="1">
                  <c:v>122</c:v>
                </c:pt>
                <c:pt idx="2">
                  <c:v>104</c:v>
                </c:pt>
                <c:pt idx="3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4890496"/>
        <c:axId val="187662720"/>
        <c:axId val="0"/>
      </c:bar3DChart>
      <c:catAx>
        <c:axId val="1448904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7662720"/>
        <c:crosses val="autoZero"/>
        <c:auto val="1"/>
        <c:lblAlgn val="ctr"/>
        <c:lblOffset val="100"/>
        <c:noMultiLvlLbl val="0"/>
      </c:catAx>
      <c:valAx>
        <c:axId val="1876627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4890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IMPORTANCIA DE LA CUOTA DE PEAJE PARA FIJAR LA RUTA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2'!$L$3</c:f>
              <c:strCache>
                <c:ptCount val="1"/>
                <c:pt idx="0">
                  <c:v>IMPORTANCIA DE LA CUOTA DE PEAJE PARA FIJAR LA RUTA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2'!$M$5:$M$8</c:f>
              <c:strCache>
                <c:ptCount val="4"/>
                <c:pt idx="0">
                  <c:v>MAYOR IMPORTANCIA</c:v>
                </c:pt>
                <c:pt idx="1">
                  <c:v>IMPORTANTE</c:v>
                </c:pt>
                <c:pt idx="2">
                  <c:v>IMPORTANCIA REGULAR</c:v>
                </c:pt>
                <c:pt idx="3">
                  <c:v>MENOR IMPORTANCIA</c:v>
                </c:pt>
              </c:strCache>
            </c:strRef>
          </c:cat>
          <c:val>
            <c:numRef>
              <c:f>'FORMULAS 2'!$N$5:$N$8</c:f>
              <c:numCache>
                <c:formatCode>General</c:formatCode>
                <c:ptCount val="4"/>
                <c:pt idx="0">
                  <c:v>69</c:v>
                </c:pt>
                <c:pt idx="1">
                  <c:v>135</c:v>
                </c:pt>
                <c:pt idx="2">
                  <c:v>182</c:v>
                </c:pt>
                <c:pt idx="3">
                  <c:v>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7679488"/>
        <c:axId val="187681024"/>
        <c:axId val="0"/>
      </c:bar3DChart>
      <c:catAx>
        <c:axId val="1876794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7681024"/>
        <c:crosses val="autoZero"/>
        <c:auto val="1"/>
        <c:lblAlgn val="ctr"/>
        <c:lblOffset val="100"/>
        <c:noMultiLvlLbl val="0"/>
      </c:catAx>
      <c:valAx>
        <c:axId val="187681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7679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IMPORTANCIA DE LA DISTANCIA PARA FIJAR LA RUTA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2'!$H$14</c:f>
              <c:strCache>
                <c:ptCount val="1"/>
                <c:pt idx="0">
                  <c:v>IMPORTANCIA DE LA DISTANCIA PARA FIJAR LA RUTA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2'!$I$16:$I$19</c:f>
              <c:strCache>
                <c:ptCount val="4"/>
                <c:pt idx="0">
                  <c:v>MAYOR IMPORTANCIA</c:v>
                </c:pt>
                <c:pt idx="1">
                  <c:v>IMPORTANTE</c:v>
                </c:pt>
                <c:pt idx="2">
                  <c:v>IMPORTANCIA REGULAR</c:v>
                </c:pt>
                <c:pt idx="3">
                  <c:v>MENOR IMPORTANCIA</c:v>
                </c:pt>
              </c:strCache>
            </c:strRef>
          </c:cat>
          <c:val>
            <c:numRef>
              <c:f>'FORMULAS 2'!$J$16:$J$19</c:f>
              <c:numCache>
                <c:formatCode>General</c:formatCode>
                <c:ptCount val="4"/>
                <c:pt idx="0">
                  <c:v>103</c:v>
                </c:pt>
                <c:pt idx="1">
                  <c:v>153</c:v>
                </c:pt>
                <c:pt idx="2">
                  <c:v>124</c:v>
                </c:pt>
                <c:pt idx="3">
                  <c:v>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7710080"/>
        <c:axId val="187715968"/>
        <c:axId val="0"/>
      </c:bar3DChart>
      <c:catAx>
        <c:axId val="1877100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7715968"/>
        <c:crosses val="autoZero"/>
        <c:auto val="1"/>
        <c:lblAlgn val="ctr"/>
        <c:lblOffset val="100"/>
        <c:noMultiLvlLbl val="0"/>
      </c:catAx>
      <c:valAx>
        <c:axId val="187715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77100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CANTIDAD DE UNIDADES</a:t>
            </a:r>
          </a:p>
        </c:rich>
      </c:tx>
      <c:overlay val="0"/>
    </c:title>
    <c:autoTitleDeleted val="0"/>
    <c:view3D>
      <c:rotX val="30"/>
      <c:rotY val="4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FORMULAS!$F$10</c:f>
              <c:strCache>
                <c:ptCount val="1"/>
                <c:pt idx="0">
                  <c:v>CANTIDAD DE UNIDADES</c:v>
                </c:pt>
              </c:strCache>
            </c:strRef>
          </c:tx>
          <c:explosion val="25"/>
          <c:dLbls>
            <c:dLbl>
              <c:idx val="0"/>
              <c:spPr/>
              <c:txPr>
                <a:bodyPr/>
                <a:lstStyle/>
                <a:p>
                  <a:pPr>
                    <a:defRPr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FORMULAS!$F$11:$F$14</c:f>
              <c:strCache>
                <c:ptCount val="4"/>
                <c:pt idx="0">
                  <c:v>UNA UNIDAD</c:v>
                </c:pt>
                <c:pt idx="1">
                  <c:v>DOS UNIDADES</c:v>
                </c:pt>
                <c:pt idx="2">
                  <c:v>ENTRE 3 Y CINCO UNIDADES</c:v>
                </c:pt>
                <c:pt idx="3">
                  <c:v>ENTRE 6 Y 30 UNIDADES</c:v>
                </c:pt>
              </c:strCache>
            </c:strRef>
          </c:cat>
          <c:val>
            <c:numRef>
              <c:f>FORMULAS!$G$11:$G$14</c:f>
              <c:numCache>
                <c:formatCode>0%</c:formatCode>
                <c:ptCount val="4"/>
                <c:pt idx="0">
                  <c:v>0.49149999999999999</c:v>
                </c:pt>
                <c:pt idx="1">
                  <c:v>0.20680000000000001</c:v>
                </c:pt>
                <c:pt idx="2">
                  <c:v>0.219</c:v>
                </c:pt>
                <c:pt idx="3">
                  <c:v>8.2699999999999996E-2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IMPORTANCIA DE LA SEGURIDAD DEL CAMINO PARA FIJAR LA RUTA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2'!$L$14</c:f>
              <c:strCache>
                <c:ptCount val="1"/>
                <c:pt idx="0">
                  <c:v>IMPORTANCIA DE LA SEGURIDAD DEL CAMINO PARA FIJAR LA RUTA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2'!$M$16:$M$19</c:f>
              <c:strCache>
                <c:ptCount val="4"/>
                <c:pt idx="0">
                  <c:v>MAYOR IMPORTANCIA</c:v>
                </c:pt>
                <c:pt idx="1">
                  <c:v>IMPORTANTE</c:v>
                </c:pt>
                <c:pt idx="2">
                  <c:v>IMPORTANCIA REGULAR</c:v>
                </c:pt>
                <c:pt idx="3">
                  <c:v>MENOR IMPORTANCIA</c:v>
                </c:pt>
              </c:strCache>
            </c:strRef>
          </c:cat>
          <c:val>
            <c:numRef>
              <c:f>'FORMULAS 2'!$N$16:$N$19</c:f>
              <c:numCache>
                <c:formatCode>General</c:formatCode>
                <c:ptCount val="4"/>
                <c:pt idx="0">
                  <c:v>73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7749120"/>
        <c:axId val="187750656"/>
        <c:axId val="0"/>
      </c:bar3DChart>
      <c:catAx>
        <c:axId val="1877491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7750656"/>
        <c:crosses val="autoZero"/>
        <c:auto val="1"/>
        <c:lblAlgn val="ctr"/>
        <c:lblOffset val="100"/>
        <c:noMultiLvlLbl val="0"/>
      </c:catAx>
      <c:valAx>
        <c:axId val="187750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877491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</a:t>
            </a:r>
          </a:p>
          <a:p>
            <a:pPr>
              <a:defRPr sz="1400"/>
            </a:pPr>
            <a:r>
              <a:rPr lang="en-US" sz="1200"/>
              <a:t>CUÁNDO LE PAGAN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2'!$B$50</c:f>
              <c:strCache>
                <c:ptCount val="1"/>
                <c:pt idx="0">
                  <c:v>CUÁNDO LE PAGAN</c:v>
                </c:pt>
              </c:strCache>
            </c:strRef>
          </c:tx>
          <c:explosion val="25"/>
          <c:dLbls>
            <c:dLbl>
              <c:idx val="0"/>
              <c:spPr/>
              <c:txPr>
                <a:bodyPr/>
                <a:lstStyle/>
                <a:p>
                  <a:pPr>
                    <a:defRPr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2'!$B$51:$B$55</c:f>
              <c:strCache>
                <c:ptCount val="5"/>
                <c:pt idx="0">
                  <c:v>Contra entrega</c:v>
                </c:pt>
                <c:pt idx="1">
                  <c:v>Semanalmente o a 10 días</c:v>
                </c:pt>
                <c:pt idx="2">
                  <c:v>Quincenalmente</c:v>
                </c:pt>
                <c:pt idx="3">
                  <c:v>Por mes o a 30 días</c:v>
                </c:pt>
                <c:pt idx="4">
                  <c:v>Mas de 30 días</c:v>
                </c:pt>
              </c:strCache>
            </c:strRef>
          </c:cat>
          <c:val>
            <c:numRef>
              <c:f>'FORMULAS 2'!$C$51:$C$55</c:f>
              <c:numCache>
                <c:formatCode>0.0%</c:formatCode>
                <c:ptCount val="5"/>
                <c:pt idx="0">
                  <c:v>0.36993243243243246</c:v>
                </c:pt>
                <c:pt idx="1">
                  <c:v>0.14695945945945946</c:v>
                </c:pt>
                <c:pt idx="2">
                  <c:v>0.17398648648648649</c:v>
                </c:pt>
                <c:pt idx="3">
                  <c:v>0.23141891891891891</c:v>
                </c:pt>
                <c:pt idx="4">
                  <c:v>7.77027027027027E-2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 + CONDUCTORES</a:t>
            </a:r>
          </a:p>
          <a:p>
            <a:pPr>
              <a:defRPr sz="1400"/>
            </a:pPr>
            <a:r>
              <a:rPr lang="en-US" sz="1200"/>
              <a:t>PRODUCTOS QUE TRANSPORTA</a:t>
            </a:r>
          </a:p>
        </c:rich>
      </c:tx>
      <c:overlay val="0"/>
    </c:title>
    <c:autoTitleDeleted val="0"/>
    <c:view3D>
      <c:rotX val="30"/>
      <c:rotY val="6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C+P'!$A$2</c:f>
              <c:strCache>
                <c:ptCount val="1"/>
                <c:pt idx="0">
                  <c:v>PRODUCTOS QUE TRANSPORTA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0.11009456264775414"/>
                  <c:y val="-9.2297571070933088E-2"/>
                </c:manualLayout>
              </c:layout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450159155637528"/>
                  <c:y val="-0.15625204451778549"/>
                </c:manualLayout>
              </c:layout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6176727909011374"/>
                  <c:y val="3.4541096974309411E-2"/>
                </c:manualLayout>
              </c:layout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5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5162524897153815"/>
                  <c:y val="-6.572652865624102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C+P'!$B$4:$B$11</c:f>
              <c:strCache>
                <c:ptCount val="8"/>
                <c:pt idx="0">
                  <c:v>Productos perecederos</c:v>
                </c:pt>
                <c:pt idx="1">
                  <c:v>Alimentos no perecederos</c:v>
                </c:pt>
                <c:pt idx="2">
                  <c:v>Químicos y Peligrosos</c:v>
                </c:pt>
                <c:pt idx="3">
                  <c:v>Materiales para construcción</c:v>
                </c:pt>
                <c:pt idx="4">
                  <c:v>Materias primas para producción / ensamble</c:v>
                </c:pt>
                <c:pt idx="5">
                  <c:v>Granos</c:v>
                </c:pt>
                <c:pt idx="6">
                  <c:v>Productos refrigerados</c:v>
                </c:pt>
                <c:pt idx="7">
                  <c:v>Otros</c:v>
                </c:pt>
              </c:strCache>
            </c:strRef>
          </c:cat>
          <c:val>
            <c:numRef>
              <c:f>'FORMULAS C+P'!$C$4:$C$11</c:f>
              <c:numCache>
                <c:formatCode>0.0%</c:formatCode>
                <c:ptCount val="8"/>
                <c:pt idx="0">
                  <c:v>0.15736766809728184</c:v>
                </c:pt>
                <c:pt idx="1">
                  <c:v>0.11587982832618025</c:v>
                </c:pt>
                <c:pt idx="2">
                  <c:v>9.2989985693848351E-2</c:v>
                </c:pt>
                <c:pt idx="3">
                  <c:v>9.7997138769670963E-2</c:v>
                </c:pt>
                <c:pt idx="4">
                  <c:v>0.22532188841201717</c:v>
                </c:pt>
                <c:pt idx="5">
                  <c:v>0.11874105865522175</c:v>
                </c:pt>
                <c:pt idx="6">
                  <c:v>6.2947067238912732E-2</c:v>
                </c:pt>
                <c:pt idx="7">
                  <c:v>0.12875536480686695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 + CONDUCTORES</a:t>
            </a:r>
          </a:p>
          <a:p>
            <a:pPr>
              <a:defRPr sz="1400"/>
            </a:pPr>
            <a:r>
              <a:rPr lang="en-US" sz="1200"/>
              <a:t>QUIÉN FIJA LA RUTA</a:t>
            </a:r>
          </a:p>
        </c:rich>
      </c:tx>
      <c:overlay val="0"/>
    </c:title>
    <c:autoTitleDeleted val="0"/>
    <c:view3D>
      <c:rotX val="30"/>
      <c:rotY val="10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C+P'!$A$17</c:f>
              <c:strCache>
                <c:ptCount val="1"/>
                <c:pt idx="0">
                  <c:v>QUIÉN FIJA LA RUTA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0.10563667041619855"/>
                  <c:y val="-8.9639830626247266E-2"/>
                </c:manualLayout>
              </c:layout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448095238095238"/>
                  <c:y val="-0.25578716395991874"/>
                </c:manualLayout>
              </c:layout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7.2710348706411729E-2"/>
                  <c:y val="9.5519347651301101E-2"/>
                </c:manualLayout>
              </c:layout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327971503562046E-2"/>
                  <c:y val="-0.3041248340550614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2677165354330721E-3"/>
                  <c:y val="0.2543805168638482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C+P'!$B$19:$B$23</c:f>
              <c:strCache>
                <c:ptCount val="5"/>
                <c:pt idx="0">
                  <c:v>El conductor</c:v>
                </c:pt>
                <c:pt idx="1">
                  <c:v>El propietario</c:v>
                </c:pt>
                <c:pt idx="2">
                  <c:v>El cliente</c:v>
                </c:pt>
                <c:pt idx="3">
                  <c:v>El Cliente y el propietario</c:v>
                </c:pt>
                <c:pt idx="4">
                  <c:v>El propietario y el conductor</c:v>
                </c:pt>
              </c:strCache>
            </c:strRef>
          </c:cat>
          <c:val>
            <c:numRef>
              <c:f>'FORMULAS C+P'!$C$19:$C$23</c:f>
              <c:numCache>
                <c:formatCode>0.0%</c:formatCode>
                <c:ptCount val="5"/>
                <c:pt idx="0">
                  <c:v>3.7652270210409747E-2</c:v>
                </c:pt>
                <c:pt idx="1">
                  <c:v>0.4839424141749723</c:v>
                </c:pt>
                <c:pt idx="2">
                  <c:v>0.3687707641196013</c:v>
                </c:pt>
                <c:pt idx="3">
                  <c:v>9.413067552602436E-2</c:v>
                </c:pt>
                <c:pt idx="4">
                  <c:v>1.5503875968992248E-2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 + CONDUCTORES</a:t>
            </a:r>
          </a:p>
          <a:p>
            <a:pPr>
              <a:defRPr sz="1400"/>
            </a:pPr>
            <a:r>
              <a:rPr lang="en-US" sz="1200"/>
              <a:t>FACTOR DE MAYOR IMPORTANCIA PARA FIJAR LA RUTA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C+P'!$I$3</c:f>
              <c:strCache>
                <c:ptCount val="1"/>
                <c:pt idx="0">
                  <c:v>FACTOR DE MAYOR IMPORTANCIA PARA FIJAR LA RUTA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1556350626118094E-3"/>
                  <c:y val="-2.6700038210487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466905187835492E-2"/>
                  <c:y val="-2.6700038210487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1466905187835492E-2"/>
                  <c:y val="-3.0037542986798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6237328562910157E-2"/>
                  <c:y val="-2.0025028657865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C+P'!$I$5:$I$8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C+P'!$J$5:$J$8</c:f>
              <c:numCache>
                <c:formatCode>0.0%</c:formatCode>
                <c:ptCount val="4"/>
                <c:pt idx="0">
                  <c:v>0.15754189944134078</c:v>
                </c:pt>
                <c:pt idx="1">
                  <c:v>4.394785847299814E-2</c:v>
                </c:pt>
                <c:pt idx="2">
                  <c:v>7.4115456238361271E-2</c:v>
                </c:pt>
                <c:pt idx="3">
                  <c:v>4.2085661080074485E-2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7329536"/>
        <c:axId val="187335424"/>
        <c:axId val="0"/>
      </c:bar3DChart>
      <c:catAx>
        <c:axId val="1873295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7335424"/>
        <c:crosses val="autoZero"/>
        <c:auto val="1"/>
        <c:lblAlgn val="ctr"/>
        <c:lblOffset val="100"/>
        <c:noMultiLvlLbl val="0"/>
      </c:catAx>
      <c:valAx>
        <c:axId val="1873354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7329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 + CONDUCTORES</a:t>
            </a:r>
          </a:p>
          <a:p>
            <a:pPr>
              <a:defRPr sz="1400"/>
            </a:pPr>
            <a:r>
              <a:rPr lang="es-MX" sz="1200"/>
              <a:t>FACTOR DE IMPORTANCIA MEDIA - ALTA PARA FIJAR LA RUTA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C+P'!$I$13</c:f>
              <c:strCache>
                <c:ptCount val="1"/>
                <c:pt idx="0">
                  <c:v>FACTOR DE IMPORTANCIA MEDIA - ALTA PARA FIJAR LA RUTA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6607354685646523E-2"/>
                  <c:y val="-3.2128509540733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5587188612099654E-2"/>
                  <c:y val="-3.9268178327563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3724792408066436E-2"/>
                  <c:y val="-2.8558675147318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3.0842230130486391E-2"/>
                  <c:y val="-3.2128509540733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C+P'!$I$15:$I$18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C+P'!$J$15:$J$18</c:f>
              <c:numCache>
                <c:formatCode>0.0%</c:formatCode>
                <c:ptCount val="4"/>
                <c:pt idx="0">
                  <c:v>9.2737430167597765E-2</c:v>
                </c:pt>
                <c:pt idx="1">
                  <c:v>9.3109869646182494E-2</c:v>
                </c:pt>
                <c:pt idx="2">
                  <c:v>0.13370577281191806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236928"/>
        <c:axId val="188238464"/>
        <c:axId val="0"/>
      </c:bar3DChart>
      <c:catAx>
        <c:axId val="1882369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8238464"/>
        <c:crosses val="autoZero"/>
        <c:auto val="1"/>
        <c:lblAlgn val="ctr"/>
        <c:lblOffset val="100"/>
        <c:noMultiLvlLbl val="0"/>
      </c:catAx>
      <c:valAx>
        <c:axId val="1882384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8236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 + CONDUCTORES</a:t>
            </a:r>
          </a:p>
          <a:p>
            <a:pPr>
              <a:defRPr sz="1400"/>
            </a:pPr>
            <a:r>
              <a:rPr lang="en-US" sz="1200"/>
              <a:t>FACTOR DE IMPORTANCIA MEDIA - BAJA PARA FIJAR LA RUTA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C+P'!$I$23</c:f>
              <c:strCache>
                <c:ptCount val="1"/>
                <c:pt idx="0">
                  <c:v>FACTOR DE IMPORTANCIA MEDIA - BAJA PARA FIJAR LA RUTA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8268551236748971E-2"/>
                  <c:y val="-1.589193285445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413427561837456E-2"/>
                  <c:y val="-1.9070319425347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8268551236749127E-2"/>
                  <c:y val="-9.5351597126738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3.0624263839811542E-2"/>
                  <c:y val="-3.1783865708912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C+P'!$I$25:$I$28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C+P'!$J$25:$J$28</c:f>
              <c:numCache>
                <c:formatCode>0.0%</c:formatCode>
                <c:ptCount val="4"/>
                <c:pt idx="0">
                  <c:v>6.2197392923649904E-2</c:v>
                </c:pt>
                <c:pt idx="1">
                  <c:v>0.16089385474860335</c:v>
                </c:pt>
                <c:pt idx="2">
                  <c:v>9.6461824953445061E-2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279808"/>
        <c:axId val="188285696"/>
        <c:axId val="0"/>
      </c:bar3DChart>
      <c:catAx>
        <c:axId val="1882798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8285696"/>
        <c:crosses val="autoZero"/>
        <c:auto val="1"/>
        <c:lblAlgn val="ctr"/>
        <c:lblOffset val="100"/>
        <c:noMultiLvlLbl val="0"/>
      </c:catAx>
      <c:valAx>
        <c:axId val="18828569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8279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 + CONDUCTORES</a:t>
            </a:r>
          </a:p>
          <a:p>
            <a:pPr>
              <a:defRPr sz="1400"/>
            </a:pPr>
            <a:r>
              <a:rPr lang="en-US" sz="1200"/>
              <a:t>FACTOR DE MÁS BAJA IMPORTANCIA PARA FIJAR LA RUTA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C+P'!$I$33</c:f>
              <c:strCache>
                <c:ptCount val="1"/>
                <c:pt idx="0">
                  <c:v>FACTOR DE MÁS BAJA IMPORTANCIA PARA FIJAR LA RUTA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0052539404553606E-3"/>
                  <c:y val="-4.295745000830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4010507880910683E-2"/>
                  <c:y val="-2.9739773082669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8680677174547501E-2"/>
                  <c:y val="-2.3130934619853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3350846468184472E-2"/>
                  <c:y val="-4.62618692397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C+P'!$I$35:$I$38</c:f>
              <c:strCache>
                <c:ptCount val="4"/>
                <c:pt idx="0">
                  <c:v>Tiempo</c:v>
                </c:pt>
                <c:pt idx="1">
                  <c:v>Cuota</c:v>
                </c:pt>
                <c:pt idx="2">
                  <c:v>Distancia</c:v>
                </c:pt>
                <c:pt idx="3">
                  <c:v>Seguridad</c:v>
                </c:pt>
              </c:strCache>
            </c:strRef>
          </c:cat>
          <c:val>
            <c:numRef>
              <c:f>'FORMULAS C+P'!$J$35:$J$38</c:f>
              <c:numCache>
                <c:formatCode>0.0%</c:formatCode>
                <c:ptCount val="4"/>
                <c:pt idx="0">
                  <c:v>7.07635009310987E-3</c:v>
                </c:pt>
                <c:pt idx="1">
                  <c:v>2.160148975791434E-2</c:v>
                </c:pt>
                <c:pt idx="2">
                  <c:v>1.452513966480447E-2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298368"/>
        <c:axId val="188299904"/>
        <c:axId val="0"/>
      </c:bar3DChart>
      <c:catAx>
        <c:axId val="1882983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8299904"/>
        <c:crosses val="autoZero"/>
        <c:auto val="1"/>
        <c:lblAlgn val="ctr"/>
        <c:lblOffset val="100"/>
        <c:noMultiLvlLbl val="0"/>
      </c:catAx>
      <c:valAx>
        <c:axId val="1882999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8298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 + CONDUCTORES</a:t>
            </a:r>
          </a:p>
          <a:p>
            <a:pPr>
              <a:defRPr sz="1400"/>
            </a:pPr>
            <a:r>
              <a:rPr lang="en-US" sz="1200"/>
              <a:t>TIPO DE UNIDAD MOTRIZ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C+P'!$O$3</c:f>
              <c:strCache>
                <c:ptCount val="1"/>
                <c:pt idx="0">
                  <c:v>TIPO DE UNIDAD MOTRIZ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</c:dPt>
          <c:dPt>
            <c:idx val="1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Lbls>
            <c:txPr>
              <a:bodyPr/>
              <a:lstStyle/>
              <a:p>
                <a:pPr>
                  <a:defRPr sz="1200" b="1" i="1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C+P'!$O$4:$O$7</c:f>
              <c:strCache>
                <c:ptCount val="4"/>
                <c:pt idx="0">
                  <c:v>C2</c:v>
                </c:pt>
                <c:pt idx="1">
                  <c:v>C3</c:v>
                </c:pt>
                <c:pt idx="2">
                  <c:v>T2</c:v>
                </c:pt>
                <c:pt idx="3">
                  <c:v>T3</c:v>
                </c:pt>
              </c:strCache>
            </c:strRef>
          </c:cat>
          <c:val>
            <c:numRef>
              <c:f>'FORMULAS C+P'!$P$4:$P$7</c:f>
              <c:numCache>
                <c:formatCode>0.0%</c:formatCode>
                <c:ptCount val="4"/>
                <c:pt idx="0">
                  <c:v>0.22051639916259597</c:v>
                </c:pt>
                <c:pt idx="1">
                  <c:v>0.19539427773900908</c:v>
                </c:pt>
                <c:pt idx="2">
                  <c:v>3.9078855547801813E-2</c:v>
                </c:pt>
                <c:pt idx="3">
                  <c:v>0.54501046755059313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  <a:r>
              <a:rPr lang="es-MX" sz="1400" baseline="0"/>
              <a:t> + CONDUCTORES</a:t>
            </a:r>
          </a:p>
          <a:p>
            <a:pPr>
              <a:defRPr sz="1400"/>
            </a:pPr>
            <a:r>
              <a:rPr lang="es-MX" sz="1200"/>
              <a:t>COMBUSTIBLE QUE UTILIZA LA UNIDAD</a:t>
            </a:r>
          </a:p>
        </c:rich>
      </c:tx>
      <c:overlay val="0"/>
    </c:title>
    <c:autoTitleDeleted val="0"/>
    <c:view3D>
      <c:rotX val="30"/>
      <c:rotY val="4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C+P'!$O$13</c:f>
              <c:strCache>
                <c:ptCount val="1"/>
                <c:pt idx="0">
                  <c:v>COMBUSTIBLE QUE UTILIZA LA UNIDAD</c:v>
                </c:pt>
              </c:strCache>
            </c:strRef>
          </c:tx>
          <c:explosion val="25"/>
          <c:dLbls>
            <c:dLbl>
              <c:idx val="0"/>
              <c:spPr/>
              <c:txPr>
                <a:bodyPr/>
                <a:lstStyle/>
                <a:p>
                  <a:pPr>
                    <a:defRPr sz="1100"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1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C+P'!$O$15:$O$17</c:f>
              <c:strCache>
                <c:ptCount val="3"/>
                <c:pt idx="0">
                  <c:v>Diesel</c:v>
                </c:pt>
                <c:pt idx="1">
                  <c:v>Gasolina</c:v>
                </c:pt>
                <c:pt idx="2">
                  <c:v>Gas</c:v>
                </c:pt>
              </c:strCache>
            </c:strRef>
          </c:cat>
          <c:val>
            <c:numRef>
              <c:f>'FORMULAS C+P'!$P$15:$P$17</c:f>
              <c:numCache>
                <c:formatCode>0.0%</c:formatCode>
                <c:ptCount val="3"/>
                <c:pt idx="0">
                  <c:v>0.92672714584787164</c:v>
                </c:pt>
                <c:pt idx="1">
                  <c:v>6.6294487090020934E-2</c:v>
                </c:pt>
                <c:pt idx="2">
                  <c:v>6.9783670621074668E-3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MECANISMOS DE CONTRATACIÓN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FORMULAS!$J$2</c:f>
              <c:strCache>
                <c:ptCount val="1"/>
                <c:pt idx="0">
                  <c:v>COMO SE CONTRATA</c:v>
                </c:pt>
              </c:strCache>
            </c:strRef>
          </c:tx>
          <c:explosion val="25"/>
          <c:dLbls>
            <c:dLbl>
              <c:idx val="0"/>
              <c:layout>
                <c:manualLayout>
                  <c:x val="-0.2074767060367454"/>
                  <c:y val="4.8409886264216967E-2"/>
                </c:manualLayout>
              </c:layout>
              <c:spPr/>
              <c:txPr>
                <a:bodyPr/>
                <a:lstStyle/>
                <a:p>
                  <a:pPr>
                    <a:defRPr sz="11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100"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FORMULAS!$J$3:$J$4</c:f>
              <c:strCache>
                <c:ptCount val="2"/>
                <c:pt idx="0">
                  <c:v>Contrato firmado</c:v>
                </c:pt>
                <c:pt idx="1">
                  <c:v>De palabra</c:v>
                </c:pt>
              </c:strCache>
            </c:strRef>
          </c:cat>
          <c:val>
            <c:numRef>
              <c:f>FORMULAS!$K$3:$K$4</c:f>
              <c:numCache>
                <c:formatCode>0.0%</c:formatCode>
                <c:ptCount val="2"/>
                <c:pt idx="0">
                  <c:v>0.42004773269689738</c:v>
                </c:pt>
                <c:pt idx="1">
                  <c:v>0.57995226730310268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 + CONDUCTORES</a:t>
            </a:r>
          </a:p>
          <a:p>
            <a:pPr>
              <a:defRPr sz="1400"/>
            </a:pPr>
            <a:r>
              <a:rPr lang="en-US" sz="1200"/>
              <a:t>TIPOS DE UNIDADES DE ARRASTRE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C+P'!$O$23</c:f>
              <c:strCache>
                <c:ptCount val="1"/>
                <c:pt idx="0">
                  <c:v>TIPOS DE UNIDADES DE ARRASTRE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C+P'!$O$25:$O$31</c:f>
              <c:strCache>
                <c:ptCount val="7"/>
                <c:pt idx="0">
                  <c:v>Caja seca</c:v>
                </c:pt>
                <c:pt idx="1">
                  <c:v>Refrigeradas</c:v>
                </c:pt>
                <c:pt idx="2">
                  <c:v>Tanque / Hazmat</c:v>
                </c:pt>
                <c:pt idx="3">
                  <c:v>Plataforma</c:v>
                </c:pt>
                <c:pt idx="4">
                  <c:v>Tolva / Volteo / Góndola</c:v>
                </c:pt>
                <c:pt idx="5">
                  <c:v>Redilas / Jaula</c:v>
                </c:pt>
                <c:pt idx="6">
                  <c:v>Remolque Otro tipo</c:v>
                </c:pt>
              </c:strCache>
            </c:strRef>
          </c:cat>
          <c:val>
            <c:numRef>
              <c:f>'FORMULAS C+P'!$P$25:$P$31</c:f>
              <c:numCache>
                <c:formatCode>0.0%</c:formatCode>
                <c:ptCount val="7"/>
                <c:pt idx="0">
                  <c:v>0.42731018246027075</c:v>
                </c:pt>
                <c:pt idx="1">
                  <c:v>0.18952324896998235</c:v>
                </c:pt>
                <c:pt idx="2">
                  <c:v>7.7692760447321957E-2</c:v>
                </c:pt>
                <c:pt idx="3">
                  <c:v>7.3572689817539727E-2</c:v>
                </c:pt>
                <c:pt idx="4">
                  <c:v>3.7080635668040027E-2</c:v>
                </c:pt>
                <c:pt idx="5">
                  <c:v>8.7110064743967042E-2</c:v>
                </c:pt>
                <c:pt idx="6">
                  <c:v>0.10771041789287816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9413248"/>
        <c:axId val="189414784"/>
        <c:axId val="0"/>
      </c:bar3DChart>
      <c:catAx>
        <c:axId val="1894132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9414784"/>
        <c:crosses val="autoZero"/>
        <c:auto val="1"/>
        <c:lblAlgn val="ctr"/>
        <c:lblOffset val="100"/>
        <c:noMultiLvlLbl val="0"/>
      </c:catAx>
      <c:valAx>
        <c:axId val="1894147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9413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 + CONDUCTORES</a:t>
            </a:r>
          </a:p>
          <a:p>
            <a:pPr>
              <a:defRPr sz="1400"/>
            </a:pPr>
            <a:r>
              <a:rPr lang="en-US" sz="1200"/>
              <a:t>AÑO MODELO DE LA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1"/>
          <c:order val="0"/>
          <c:tx>
            <c:strRef>
              <c:f>'FORMULAS C+P'!$O$37</c:f>
              <c:strCache>
                <c:ptCount val="1"/>
                <c:pt idx="0">
                  <c:v>AÑO MODELO DE LA UNIDAD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C+P'!$O$51:$O$86</c:f>
              <c:strCache>
                <c:ptCount val="36"/>
                <c:pt idx="0">
                  <c:v>Anteriores a 1980</c:v>
                </c:pt>
                <c:pt idx="1">
                  <c:v>1980</c:v>
                </c:pt>
                <c:pt idx="2">
                  <c:v>1981</c:v>
                </c:pt>
                <c:pt idx="3">
                  <c:v>1982</c:v>
                </c:pt>
                <c:pt idx="4">
                  <c:v>1983</c:v>
                </c:pt>
                <c:pt idx="5">
                  <c:v>1984</c:v>
                </c:pt>
                <c:pt idx="6">
                  <c:v>1985</c:v>
                </c:pt>
                <c:pt idx="7">
                  <c:v>1986</c:v>
                </c:pt>
                <c:pt idx="8">
                  <c:v>1987</c:v>
                </c:pt>
                <c:pt idx="9">
                  <c:v>1988</c:v>
                </c:pt>
                <c:pt idx="10">
                  <c:v>1989</c:v>
                </c:pt>
                <c:pt idx="11">
                  <c:v>1990</c:v>
                </c:pt>
                <c:pt idx="12">
                  <c:v>1991</c:v>
                </c:pt>
                <c:pt idx="13">
                  <c:v>1992</c:v>
                </c:pt>
                <c:pt idx="14">
                  <c:v>1993</c:v>
                </c:pt>
                <c:pt idx="15">
                  <c:v>1994</c:v>
                </c:pt>
                <c:pt idx="16">
                  <c:v>1995</c:v>
                </c:pt>
                <c:pt idx="17">
                  <c:v>1996</c:v>
                </c:pt>
                <c:pt idx="18">
                  <c:v>1997</c:v>
                </c:pt>
                <c:pt idx="19">
                  <c:v>1998</c:v>
                </c:pt>
                <c:pt idx="20">
                  <c:v>1999</c:v>
                </c:pt>
                <c:pt idx="21">
                  <c:v>2000</c:v>
                </c:pt>
                <c:pt idx="22">
                  <c:v>2001</c:v>
                </c:pt>
                <c:pt idx="23">
                  <c:v>2002</c:v>
                </c:pt>
                <c:pt idx="24">
                  <c:v>2003</c:v>
                </c:pt>
                <c:pt idx="25">
                  <c:v>2004</c:v>
                </c:pt>
                <c:pt idx="26">
                  <c:v>2005</c:v>
                </c:pt>
                <c:pt idx="27">
                  <c:v>2006</c:v>
                </c:pt>
                <c:pt idx="28">
                  <c:v>2007</c:v>
                </c:pt>
                <c:pt idx="29">
                  <c:v>2008</c:v>
                </c:pt>
                <c:pt idx="30">
                  <c:v>2009</c:v>
                </c:pt>
                <c:pt idx="31">
                  <c:v>2010</c:v>
                </c:pt>
                <c:pt idx="32">
                  <c:v>2011</c:v>
                </c:pt>
                <c:pt idx="33">
                  <c:v>2012</c:v>
                </c:pt>
                <c:pt idx="34">
                  <c:v>2013</c:v>
                </c:pt>
                <c:pt idx="35">
                  <c:v>2014</c:v>
                </c:pt>
              </c:strCache>
            </c:strRef>
          </c:cat>
          <c:val>
            <c:numRef>
              <c:f>'FORMULAS C+P'!$P$51:$P$86</c:f>
              <c:numCache>
                <c:formatCode>0.0%</c:formatCode>
                <c:ptCount val="36"/>
                <c:pt idx="0">
                  <c:v>2.5819958129797628E-2</c:v>
                </c:pt>
                <c:pt idx="1">
                  <c:v>2.6517794836008374E-2</c:v>
                </c:pt>
                <c:pt idx="2">
                  <c:v>6.2805303558967204E-3</c:v>
                </c:pt>
                <c:pt idx="3">
                  <c:v>9.7697138869504534E-3</c:v>
                </c:pt>
                <c:pt idx="4">
                  <c:v>9.7697138869504534E-3</c:v>
                </c:pt>
                <c:pt idx="5">
                  <c:v>9.0718771807397069E-3</c:v>
                </c:pt>
                <c:pt idx="6">
                  <c:v>2.2330774598743892E-2</c:v>
                </c:pt>
                <c:pt idx="7">
                  <c:v>8.3740404745289605E-3</c:v>
                </c:pt>
                <c:pt idx="8">
                  <c:v>9.7697138869504534E-3</c:v>
                </c:pt>
                <c:pt idx="9">
                  <c:v>1.1165387299371946E-2</c:v>
                </c:pt>
                <c:pt idx="10">
                  <c:v>1.04675505931612E-2</c:v>
                </c:pt>
                <c:pt idx="11">
                  <c:v>2.4424284717376135E-2</c:v>
                </c:pt>
                <c:pt idx="12">
                  <c:v>1.1165387299371946E-2</c:v>
                </c:pt>
                <c:pt idx="13">
                  <c:v>1.6748080949057921E-2</c:v>
                </c:pt>
                <c:pt idx="14">
                  <c:v>1.6050244242847175E-2</c:v>
                </c:pt>
                <c:pt idx="15">
                  <c:v>2.09351011863224E-2</c:v>
                </c:pt>
                <c:pt idx="16">
                  <c:v>3.3496161898115842E-2</c:v>
                </c:pt>
                <c:pt idx="17">
                  <c:v>1.2561060711793441E-2</c:v>
                </c:pt>
                <c:pt idx="18">
                  <c:v>2.8611304954640614E-2</c:v>
                </c:pt>
                <c:pt idx="19">
                  <c:v>3.4193998604326585E-2</c:v>
                </c:pt>
                <c:pt idx="20">
                  <c:v>1.6748080949057921E-2</c:v>
                </c:pt>
                <c:pt idx="21">
                  <c:v>6.0711793440334963E-2</c:v>
                </c:pt>
                <c:pt idx="22">
                  <c:v>4.3963712491277042E-2</c:v>
                </c:pt>
                <c:pt idx="23">
                  <c:v>2.7913468248429867E-2</c:v>
                </c:pt>
                <c:pt idx="24">
                  <c:v>3.7683182135380321E-2</c:v>
                </c:pt>
                <c:pt idx="25">
                  <c:v>4.6755059316120028E-2</c:v>
                </c:pt>
                <c:pt idx="26">
                  <c:v>6.3503140265177949E-2</c:v>
                </c:pt>
                <c:pt idx="27">
                  <c:v>3.6985345429169578E-2</c:v>
                </c:pt>
                <c:pt idx="28">
                  <c:v>6.6294487090020934E-2</c:v>
                </c:pt>
                <c:pt idx="29">
                  <c:v>6.4200976971388699E-2</c:v>
                </c:pt>
                <c:pt idx="30">
                  <c:v>4.1870202372644799E-2</c:v>
                </c:pt>
                <c:pt idx="31">
                  <c:v>4.6755059316120028E-2</c:v>
                </c:pt>
                <c:pt idx="32">
                  <c:v>1.8143754361479414E-2</c:v>
                </c:pt>
                <c:pt idx="33">
                  <c:v>4.884856943475227E-2</c:v>
                </c:pt>
                <c:pt idx="34">
                  <c:v>1.8143754361479414E-2</c:v>
                </c:pt>
                <c:pt idx="35">
                  <c:v>1.3956734124214934E-2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9456384"/>
        <c:axId val="189457920"/>
        <c:axId val="0"/>
      </c:bar3DChart>
      <c:catAx>
        <c:axId val="189456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9457920"/>
        <c:crosses val="autoZero"/>
        <c:auto val="1"/>
        <c:lblAlgn val="ctr"/>
        <c:lblOffset val="100"/>
        <c:noMultiLvlLbl val="0"/>
      </c:catAx>
      <c:valAx>
        <c:axId val="18945792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9456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  <a:r>
              <a:rPr lang="es-MX" sz="1400" baseline="0"/>
              <a:t> + CONDUCTORES</a:t>
            </a:r>
          </a:p>
          <a:p>
            <a:pPr>
              <a:defRPr sz="1400"/>
            </a:pPr>
            <a:r>
              <a:rPr lang="es-MX" sz="1200"/>
              <a:t>KILOMETRAJE ACTUAL DE LA UNIDAD</a:t>
            </a:r>
          </a:p>
        </c:rich>
      </c:tx>
      <c:overlay val="0"/>
    </c:title>
    <c:autoTitleDeleted val="0"/>
    <c:view3D>
      <c:rotX val="30"/>
      <c:rotY val="7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C+P'!$U$3</c:f>
              <c:strCache>
                <c:ptCount val="1"/>
                <c:pt idx="0">
                  <c:v>KILOMETRAJE ACTUAL DE LA UNIDAD</c:v>
                </c:pt>
              </c:strCache>
            </c:strRef>
          </c:tx>
          <c:explosion val="25"/>
          <c:dLbls>
            <c:dLbl>
              <c:idx val="2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b="1" i="0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C+P'!$U$4:$U$12</c:f>
              <c:strCache>
                <c:ptCount val="9"/>
                <c:pt idx="0">
                  <c:v>NO CONTESTA/NO SABE</c:v>
                </c:pt>
                <c:pt idx="1">
                  <c:v>ODÓMETRO DAÑADO</c:v>
                </c:pt>
                <c:pt idx="2">
                  <c:v>&lt;250,000</c:v>
                </c:pt>
                <c:pt idx="3">
                  <c:v>250,000 A 500,000</c:v>
                </c:pt>
                <c:pt idx="4">
                  <c:v>500,001 A 1'000,000</c:v>
                </c:pt>
                <c:pt idx="5">
                  <c:v>1'000,001 A 1'500,000</c:v>
                </c:pt>
                <c:pt idx="6">
                  <c:v>1'500,001 A 2'000,000</c:v>
                </c:pt>
                <c:pt idx="7">
                  <c:v>2'000,001 A 2'500,000</c:v>
                </c:pt>
                <c:pt idx="8">
                  <c:v>&gt;2'500,000</c:v>
                </c:pt>
              </c:strCache>
            </c:strRef>
          </c:cat>
          <c:val>
            <c:numRef>
              <c:f>'FORMULAS C+P'!$V$4:$V$12</c:f>
              <c:numCache>
                <c:formatCode>0.0%</c:formatCode>
                <c:ptCount val="9"/>
                <c:pt idx="0">
                  <c:v>2.5819958129797628E-2</c:v>
                </c:pt>
                <c:pt idx="1">
                  <c:v>2.09351011863224E-2</c:v>
                </c:pt>
                <c:pt idx="2">
                  <c:v>0.14305652477320308</c:v>
                </c:pt>
                <c:pt idx="3">
                  <c:v>0.15352407536636428</c:v>
                </c:pt>
                <c:pt idx="4">
                  <c:v>0.38171667829727846</c:v>
                </c:pt>
                <c:pt idx="5">
                  <c:v>0.1270062805303559</c:v>
                </c:pt>
                <c:pt idx="6">
                  <c:v>9.0718771807397069E-2</c:v>
                </c:pt>
                <c:pt idx="7">
                  <c:v>3.1402651779483599E-2</c:v>
                </c:pt>
                <c:pt idx="8">
                  <c:v>2.5819958129797628E-2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LA UNIDAD CARGADA [km/lt]</a:t>
            </a:r>
          </a:p>
          <a:p>
            <a:pPr>
              <a:defRPr sz="1400"/>
            </a:pPr>
            <a:r>
              <a:rPr lang="en-US" sz="1000"/>
              <a:t>ENCUESTAS A PROPIETARIOS Y A CONDUCTORES</a:t>
            </a:r>
          </a:p>
          <a:p>
            <a:pPr>
              <a:defRPr sz="1400"/>
            </a:pPr>
            <a:r>
              <a:rPr lang="en-US" sz="800"/>
              <a:t>[TOTAL DE RESPUESTAS DE</a:t>
            </a:r>
            <a:r>
              <a:rPr lang="en-US" sz="800" baseline="0"/>
              <a:t> PROPIETARIOS = 980; </a:t>
            </a:r>
          </a:p>
          <a:p>
            <a:pPr>
              <a:defRPr sz="1400"/>
            </a:pPr>
            <a:r>
              <a:rPr lang="en-US" sz="800" baseline="0"/>
              <a:t>TOTAL DE RESPUESTAS DE CONDUCTORES = 452]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2"/>
          <c:order val="0"/>
          <c:tx>
            <c:strRef>
              <c:f>'FORMULAS C+P'!$X$16</c:f>
              <c:strCache>
                <c:ptCount val="1"/>
                <c:pt idx="0">
                  <c:v>PROPIETARIOS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C+P'!$U$17:$U$25</c:f>
              <c:strCache>
                <c:ptCount val="9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4.01 A 5.0</c:v>
                </c:pt>
                <c:pt idx="8">
                  <c:v>&gt;5.0</c:v>
                </c:pt>
              </c:strCache>
            </c:strRef>
          </c:cat>
          <c:val>
            <c:numRef>
              <c:f>'FORMULAS C+P'!$X$17:$X$25</c:f>
              <c:numCache>
                <c:formatCode>General</c:formatCode>
                <c:ptCount val="9"/>
                <c:pt idx="0">
                  <c:v>42</c:v>
                </c:pt>
                <c:pt idx="1">
                  <c:v>139</c:v>
                </c:pt>
                <c:pt idx="2">
                  <c:v>179</c:v>
                </c:pt>
                <c:pt idx="3">
                  <c:v>153</c:v>
                </c:pt>
                <c:pt idx="4">
                  <c:v>189</c:v>
                </c:pt>
                <c:pt idx="5">
                  <c:v>89</c:v>
                </c:pt>
                <c:pt idx="6">
                  <c:v>117</c:v>
                </c:pt>
                <c:pt idx="7">
                  <c:v>53</c:v>
                </c:pt>
                <c:pt idx="8">
                  <c:v>19</c:v>
                </c:pt>
              </c:numCache>
            </c:numRef>
          </c:val>
        </c:ser>
        <c:ser>
          <c:idx val="3"/>
          <c:order val="1"/>
          <c:tx>
            <c:strRef>
              <c:f>'FORMULAS C+P'!$Y$16</c:f>
              <c:strCache>
                <c:ptCount val="1"/>
                <c:pt idx="0">
                  <c:v>CONDUCTORES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C+P'!$U$17:$U$25</c:f>
              <c:strCache>
                <c:ptCount val="9"/>
                <c:pt idx="0">
                  <c:v>&lt; 1.6</c:v>
                </c:pt>
                <c:pt idx="1">
                  <c:v>1.6 A 1.9</c:v>
                </c:pt>
                <c:pt idx="2">
                  <c:v>1.91 A 2.0</c:v>
                </c:pt>
                <c:pt idx="3">
                  <c:v>2.01 A 2.2</c:v>
                </c:pt>
                <c:pt idx="4">
                  <c:v>2.21 A 2.5</c:v>
                </c:pt>
                <c:pt idx="5">
                  <c:v>2.51 A 3.0</c:v>
                </c:pt>
                <c:pt idx="6">
                  <c:v>3.01 A 4.0</c:v>
                </c:pt>
                <c:pt idx="7">
                  <c:v>4.01 A 5.0</c:v>
                </c:pt>
                <c:pt idx="8">
                  <c:v>&gt;5.0</c:v>
                </c:pt>
              </c:strCache>
            </c:strRef>
          </c:cat>
          <c:val>
            <c:numRef>
              <c:f>'FORMULAS C+P'!$Y$17:$Y$25</c:f>
              <c:numCache>
                <c:formatCode>General</c:formatCode>
                <c:ptCount val="9"/>
                <c:pt idx="0">
                  <c:v>33</c:v>
                </c:pt>
                <c:pt idx="1">
                  <c:v>57</c:v>
                </c:pt>
                <c:pt idx="2">
                  <c:v>42</c:v>
                </c:pt>
                <c:pt idx="3">
                  <c:v>34</c:v>
                </c:pt>
                <c:pt idx="4">
                  <c:v>162</c:v>
                </c:pt>
                <c:pt idx="5">
                  <c:v>71</c:v>
                </c:pt>
                <c:pt idx="6">
                  <c:v>37</c:v>
                </c:pt>
                <c:pt idx="7">
                  <c:v>12</c:v>
                </c:pt>
                <c:pt idx="8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189532800"/>
        <c:axId val="189542784"/>
        <c:axId val="0"/>
      </c:bar3DChart>
      <c:catAx>
        <c:axId val="1895328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9542784"/>
        <c:crosses val="autoZero"/>
        <c:auto val="1"/>
        <c:lblAlgn val="ctr"/>
        <c:lblOffset val="100"/>
        <c:noMultiLvlLbl val="0"/>
      </c:catAx>
      <c:valAx>
        <c:axId val="18954278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b="1" i="0" baseline="0"/>
            </a:pPr>
            <a:endParaRPr lang="es-MX"/>
          </a:p>
        </c:txPr>
        <c:crossAx val="18953280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RENDIMIENTO DE LA UNIDAD EN VACÍO [km/lt]</a:t>
            </a:r>
          </a:p>
          <a:p>
            <a:pPr>
              <a:defRPr sz="1400"/>
            </a:pPr>
            <a:r>
              <a:rPr lang="en-US" sz="1000"/>
              <a:t>ENCUESTAS A PROPIETARIOS Y A CONDUCTORES</a:t>
            </a:r>
          </a:p>
          <a:p>
            <a:pPr>
              <a:defRPr sz="1400"/>
            </a:pPr>
            <a:r>
              <a:rPr lang="en-US" sz="800" b="1" i="0" baseline="0">
                <a:effectLst/>
              </a:rPr>
              <a:t>[TOTAL DE RESPUESTAS DE PROPIETARIOS = 980; </a:t>
            </a:r>
            <a:endParaRPr lang="es-MX" sz="800">
              <a:effectLst/>
            </a:endParaRPr>
          </a:p>
          <a:p>
            <a:pPr>
              <a:defRPr sz="1400"/>
            </a:pPr>
            <a:r>
              <a:rPr lang="en-US" sz="800" b="1" i="0" baseline="0">
                <a:effectLst/>
              </a:rPr>
              <a:t>TOTAL DE RESPUESTAS DE CONDUCTORES = 452]</a:t>
            </a:r>
            <a:endParaRPr lang="en-US" sz="800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2"/>
          <c:order val="0"/>
          <c:tx>
            <c:strRef>
              <c:f>'FORMULAS C+P'!$X$32</c:f>
              <c:strCache>
                <c:ptCount val="1"/>
                <c:pt idx="0">
                  <c:v>PROPIETARIOS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0" baseline="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C+P'!$U$33:$U$41</c:f>
              <c:strCache>
                <c:ptCount val="9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4.01 A 6.0</c:v>
                </c:pt>
                <c:pt idx="8">
                  <c:v>&gt;6.0</c:v>
                </c:pt>
              </c:strCache>
            </c:strRef>
          </c:cat>
          <c:val>
            <c:numRef>
              <c:f>'FORMULAS C+P'!$X$33:$X$41</c:f>
              <c:numCache>
                <c:formatCode>General</c:formatCode>
                <c:ptCount val="9"/>
                <c:pt idx="0">
                  <c:v>28</c:v>
                </c:pt>
                <c:pt idx="1">
                  <c:v>138</c:v>
                </c:pt>
                <c:pt idx="2">
                  <c:v>123</c:v>
                </c:pt>
                <c:pt idx="3">
                  <c:v>166</c:v>
                </c:pt>
                <c:pt idx="4">
                  <c:v>168</c:v>
                </c:pt>
                <c:pt idx="5">
                  <c:v>123</c:v>
                </c:pt>
                <c:pt idx="6">
                  <c:v>100</c:v>
                </c:pt>
                <c:pt idx="7">
                  <c:v>103</c:v>
                </c:pt>
                <c:pt idx="8">
                  <c:v>31</c:v>
                </c:pt>
              </c:numCache>
            </c:numRef>
          </c:val>
        </c:ser>
        <c:ser>
          <c:idx val="3"/>
          <c:order val="1"/>
          <c:tx>
            <c:strRef>
              <c:f>'FORMULAS C+P'!$Y$32</c:f>
              <c:strCache>
                <c:ptCount val="1"/>
                <c:pt idx="0">
                  <c:v>CONDUCTORES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1" baseline="0">
                    <a:solidFill>
                      <a:schemeClr val="accent4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C+P'!$U$33:$U$41</c:f>
              <c:strCache>
                <c:ptCount val="9"/>
                <c:pt idx="0">
                  <c:v>&lt;1.9</c:v>
                </c:pt>
                <c:pt idx="1">
                  <c:v>1.91 A 2.2</c:v>
                </c:pt>
                <c:pt idx="2">
                  <c:v>2.21 A 2.4</c:v>
                </c:pt>
                <c:pt idx="3">
                  <c:v>2.41 A 2.6</c:v>
                </c:pt>
                <c:pt idx="4">
                  <c:v>2.61 A 2.8</c:v>
                </c:pt>
                <c:pt idx="5">
                  <c:v>2.81 A 3.2</c:v>
                </c:pt>
                <c:pt idx="6">
                  <c:v>3.21 A 4.0</c:v>
                </c:pt>
                <c:pt idx="7">
                  <c:v>4.01 A 6.0</c:v>
                </c:pt>
                <c:pt idx="8">
                  <c:v>&gt;6.0</c:v>
                </c:pt>
              </c:strCache>
            </c:strRef>
          </c:cat>
          <c:val>
            <c:numRef>
              <c:f>'FORMULAS C+P'!$Y$33:$Y$41</c:f>
              <c:numCache>
                <c:formatCode>General</c:formatCode>
                <c:ptCount val="9"/>
                <c:pt idx="0">
                  <c:v>22</c:v>
                </c:pt>
                <c:pt idx="1">
                  <c:v>62</c:v>
                </c:pt>
                <c:pt idx="2">
                  <c:v>20</c:v>
                </c:pt>
                <c:pt idx="3">
                  <c:v>44</c:v>
                </c:pt>
                <c:pt idx="4">
                  <c:v>137</c:v>
                </c:pt>
                <c:pt idx="5">
                  <c:v>85</c:v>
                </c:pt>
                <c:pt idx="6">
                  <c:v>58</c:v>
                </c:pt>
                <c:pt idx="7">
                  <c:v>21</c:v>
                </c:pt>
                <c:pt idx="8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189577856"/>
        <c:axId val="189591936"/>
        <c:axId val="0"/>
      </c:bar3DChart>
      <c:catAx>
        <c:axId val="18957785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9591936"/>
        <c:crosses val="autoZero"/>
        <c:auto val="1"/>
        <c:lblAlgn val="ctr"/>
        <c:lblOffset val="100"/>
        <c:noMultiLvlLbl val="0"/>
      </c:catAx>
      <c:valAx>
        <c:axId val="18959193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b="1" i="0" baseline="0"/>
            </a:pPr>
            <a:endParaRPr lang="es-MX"/>
          </a:p>
        </c:txPr>
        <c:crossAx val="1895778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 + CONDUCTORES</a:t>
            </a:r>
          </a:p>
          <a:p>
            <a:pPr>
              <a:defRPr sz="1400"/>
            </a:pPr>
            <a:r>
              <a:rPr lang="en-US" sz="1200"/>
              <a:t>MANTENIMIENTO. FRECUENCIA DE CAMBIO DE ACEITE (km)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C+P'!$AA$17</c:f>
              <c:strCache>
                <c:ptCount val="1"/>
                <c:pt idx="0">
                  <c:v>MANTENIMIENTO. FRECUENCIA DE CAMBIO DE ACEITE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1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C+P'!$AA$18:$AA$24</c:f>
              <c:strCache>
                <c:ptCount val="7"/>
                <c:pt idx="0">
                  <c:v>&lt;10,000</c:v>
                </c:pt>
                <c:pt idx="1">
                  <c:v>10,001 A 15,000</c:v>
                </c:pt>
                <c:pt idx="2">
                  <c:v>15,001 A 20,000</c:v>
                </c:pt>
                <c:pt idx="3">
                  <c:v>20,001 A 25,000</c:v>
                </c:pt>
                <c:pt idx="4">
                  <c:v>25,001 A 30,000</c:v>
                </c:pt>
                <c:pt idx="5">
                  <c:v>30,0001 A 40,000</c:v>
                </c:pt>
                <c:pt idx="6">
                  <c:v>&gt;40,000</c:v>
                </c:pt>
              </c:strCache>
            </c:strRef>
          </c:cat>
          <c:val>
            <c:numRef>
              <c:f>'FORMULAS C+P'!$AB$18:$AB$24</c:f>
              <c:numCache>
                <c:formatCode>0.0%</c:formatCode>
                <c:ptCount val="7"/>
                <c:pt idx="0">
                  <c:v>0.13165266106442577</c:v>
                </c:pt>
                <c:pt idx="1">
                  <c:v>0.16876750700280113</c:v>
                </c:pt>
                <c:pt idx="2">
                  <c:v>0.24159663865546219</c:v>
                </c:pt>
                <c:pt idx="3">
                  <c:v>0.22969187675070027</c:v>
                </c:pt>
                <c:pt idx="4">
                  <c:v>9.9439775910364139E-2</c:v>
                </c:pt>
                <c:pt idx="5">
                  <c:v>6.7927170868347334E-2</c:v>
                </c:pt>
                <c:pt idx="6">
                  <c:v>6.0924369747899158E-2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0362496"/>
        <c:axId val="120364032"/>
        <c:axId val="0"/>
      </c:bar3DChart>
      <c:catAx>
        <c:axId val="1203624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20364032"/>
        <c:crosses val="autoZero"/>
        <c:auto val="1"/>
        <c:lblAlgn val="ctr"/>
        <c:lblOffset val="100"/>
        <c:noMultiLvlLbl val="0"/>
      </c:catAx>
      <c:valAx>
        <c:axId val="1203640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203624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 + CONDUCTORES</a:t>
            </a:r>
          </a:p>
          <a:p>
            <a:pPr>
              <a:defRPr sz="1400"/>
            </a:pPr>
            <a:r>
              <a:rPr lang="en-US" sz="1200"/>
              <a:t>MANTENIMIENTO. FRECUENCIA DE CAMBIO DE FRENOS (km)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C+P'!$AA$28</c:f>
              <c:strCache>
                <c:ptCount val="1"/>
                <c:pt idx="0">
                  <c:v>MANTENIMIENTO. FRECUENCIA DE CAMBIO DE FRENOS (km)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1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C+P'!$AA$29:$AA$35</c:f>
              <c:strCache>
                <c:ptCount val="7"/>
                <c:pt idx="0">
                  <c:v>&lt;10,000</c:v>
                </c:pt>
                <c:pt idx="1">
                  <c:v>10,001 A 15,000</c:v>
                </c:pt>
                <c:pt idx="2">
                  <c:v>15,001 A 20,000</c:v>
                </c:pt>
                <c:pt idx="3">
                  <c:v>20,001 A 25,000</c:v>
                </c:pt>
                <c:pt idx="4">
                  <c:v>25,001 A 35,000</c:v>
                </c:pt>
                <c:pt idx="5">
                  <c:v>35,0001 A 60,000</c:v>
                </c:pt>
                <c:pt idx="6">
                  <c:v>&gt;60,000</c:v>
                </c:pt>
              </c:strCache>
            </c:strRef>
          </c:cat>
          <c:val>
            <c:numRef>
              <c:f>'FORMULAS C+P'!$AB$29:$AB$35</c:f>
              <c:numCache>
                <c:formatCode>0.0%</c:formatCode>
                <c:ptCount val="7"/>
                <c:pt idx="0">
                  <c:v>7.9318013343217197E-2</c:v>
                </c:pt>
                <c:pt idx="1">
                  <c:v>0.12676056338028169</c:v>
                </c:pt>
                <c:pt idx="2">
                  <c:v>0.11638250555967383</c:v>
                </c:pt>
                <c:pt idx="3">
                  <c:v>0.18532246108228317</c:v>
                </c:pt>
                <c:pt idx="4">
                  <c:v>0.17494440326167532</c:v>
                </c:pt>
                <c:pt idx="5">
                  <c:v>0.12601927353595255</c:v>
                </c:pt>
                <c:pt idx="6">
                  <c:v>0.19125277983691624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8366848"/>
        <c:axId val="188368384"/>
        <c:axId val="0"/>
      </c:bar3DChart>
      <c:catAx>
        <c:axId val="1883668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8368384"/>
        <c:crosses val="autoZero"/>
        <c:auto val="1"/>
        <c:lblAlgn val="ctr"/>
        <c:lblOffset val="100"/>
        <c:noMultiLvlLbl val="0"/>
      </c:catAx>
      <c:valAx>
        <c:axId val="1883683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88366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 + CONDUCTORES</a:t>
            </a:r>
          </a:p>
          <a:p>
            <a:pPr>
              <a:defRPr sz="1400"/>
            </a:pPr>
            <a:r>
              <a:rPr lang="en-US" sz="1200"/>
              <a:t>MANTENIMIENTO. FRECUENCIA DE AFINACIÓN DE MOTOR (km)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C+P'!$AA$40</c:f>
              <c:strCache>
                <c:ptCount val="1"/>
                <c:pt idx="0">
                  <c:v>MANTENIMIENTO. FRECUENCIA DE AFINACIÓN DE MOTOR (km)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1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C+P'!$AA$41:$AA$47</c:f>
              <c:strCache>
                <c:ptCount val="7"/>
                <c:pt idx="0">
                  <c:v>&lt;15,000</c:v>
                </c:pt>
                <c:pt idx="1">
                  <c:v>15,001 A 25,000</c:v>
                </c:pt>
                <c:pt idx="2">
                  <c:v>25,001 A 35,000</c:v>
                </c:pt>
                <c:pt idx="3">
                  <c:v>35,001 A 60,000</c:v>
                </c:pt>
                <c:pt idx="4">
                  <c:v>60,0001 A 80,000</c:v>
                </c:pt>
                <c:pt idx="5">
                  <c:v>80,001 A 110,000</c:v>
                </c:pt>
                <c:pt idx="6">
                  <c:v>&gt;110,000</c:v>
                </c:pt>
              </c:strCache>
            </c:strRef>
          </c:cat>
          <c:val>
            <c:numRef>
              <c:f>'FORMULAS C+P'!$AB$41:$AB$47</c:f>
              <c:numCache>
                <c:formatCode>0.0%</c:formatCode>
                <c:ptCount val="7"/>
                <c:pt idx="0">
                  <c:v>0.17961511047754811</c:v>
                </c:pt>
                <c:pt idx="1">
                  <c:v>0.1903064861012117</c:v>
                </c:pt>
                <c:pt idx="2">
                  <c:v>0.14967925873129009</c:v>
                </c:pt>
                <c:pt idx="3">
                  <c:v>0.15181753385602281</c:v>
                </c:pt>
                <c:pt idx="4">
                  <c:v>7.7690662865288668E-2</c:v>
                </c:pt>
                <c:pt idx="5">
                  <c:v>7.5552387740555949E-2</c:v>
                </c:pt>
                <c:pt idx="6">
                  <c:v>0.17533856022808267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0412032"/>
        <c:axId val="120413568"/>
        <c:axId val="0"/>
      </c:bar3DChart>
      <c:catAx>
        <c:axId val="120412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20413568"/>
        <c:crosses val="autoZero"/>
        <c:auto val="1"/>
        <c:lblAlgn val="ctr"/>
        <c:lblOffset val="100"/>
        <c:noMultiLvlLbl val="0"/>
      </c:catAx>
      <c:valAx>
        <c:axId val="1204135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20412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 + CONDUCTORES</a:t>
            </a:r>
          </a:p>
          <a:p>
            <a:pPr>
              <a:defRPr sz="1400"/>
            </a:pPr>
            <a:r>
              <a:rPr lang="en-US" sz="1200"/>
              <a:t>MANTENIMIENTO. FRECUENCIA DE CAMBIO DE LLANTAS (km)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C+P'!$AA$52</c:f>
              <c:strCache>
                <c:ptCount val="1"/>
                <c:pt idx="0">
                  <c:v>MANTENIMIENTO. FRECUENCIA DE CAMBIO DE LLANTAS (km)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1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C+P'!$AA$53:$AA$60</c:f>
              <c:strCache>
                <c:ptCount val="8"/>
                <c:pt idx="0">
                  <c:v>&lt;50,000</c:v>
                </c:pt>
                <c:pt idx="1">
                  <c:v>50,001 A 75,000</c:v>
                </c:pt>
                <c:pt idx="2">
                  <c:v>75,001 A 100,000</c:v>
                </c:pt>
                <c:pt idx="3">
                  <c:v>100,001 A 115,000</c:v>
                </c:pt>
                <c:pt idx="4">
                  <c:v>115,0001 A 125,000</c:v>
                </c:pt>
                <c:pt idx="5">
                  <c:v>125,001 A 150,000</c:v>
                </c:pt>
                <c:pt idx="6">
                  <c:v>150,001 A 175,000</c:v>
                </c:pt>
                <c:pt idx="7">
                  <c:v>&gt;175,000</c:v>
                </c:pt>
              </c:strCache>
            </c:strRef>
          </c:cat>
          <c:val>
            <c:numRef>
              <c:f>'FORMULAS C+P'!$AB$53:$AB$60</c:f>
              <c:numCache>
                <c:formatCode>0.0%</c:formatCode>
                <c:ptCount val="8"/>
                <c:pt idx="0">
                  <c:v>5.4586808188021231E-2</c:v>
                </c:pt>
                <c:pt idx="1">
                  <c:v>0.10993176648976498</c:v>
                </c:pt>
                <c:pt idx="2">
                  <c:v>0.11448066717210008</c:v>
                </c:pt>
                <c:pt idx="3">
                  <c:v>0.18119787717968158</c:v>
                </c:pt>
                <c:pt idx="4">
                  <c:v>0.21228203184230476</c:v>
                </c:pt>
                <c:pt idx="5">
                  <c:v>0.16755117513267628</c:v>
                </c:pt>
                <c:pt idx="6">
                  <c:v>7.657316148597422E-2</c:v>
                </c:pt>
                <c:pt idx="7">
                  <c:v>8.3396512509476883E-2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0467456"/>
        <c:axId val="120468992"/>
        <c:axId val="0"/>
      </c:bar3DChart>
      <c:catAx>
        <c:axId val="1204674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20468992"/>
        <c:crosses val="autoZero"/>
        <c:auto val="1"/>
        <c:lblAlgn val="ctr"/>
        <c:lblOffset val="100"/>
        <c:noMultiLvlLbl val="0"/>
      </c:catAx>
      <c:valAx>
        <c:axId val="12046899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20467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 + CONDUCTORES</a:t>
            </a:r>
          </a:p>
          <a:p>
            <a:pPr>
              <a:defRPr sz="1400"/>
            </a:pPr>
            <a:r>
              <a:rPr lang="en-US" sz="1200"/>
              <a:t>MANTENIMIENTO. FRECUENCIA DE CAMBIO DE FILTRO DE PARTÍCULAS(km)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0"/>
          <c:order val="0"/>
          <c:tx>
            <c:strRef>
              <c:f>'FORMULAS C+P'!$AA$66</c:f>
              <c:strCache>
                <c:ptCount val="1"/>
                <c:pt idx="0">
                  <c:v>MANTENIMIENTO. FRECUENCIA DE CAMBIO DE FILTRO DE PARTÍCULAS(km)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100" b="1" i="0" baseline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C+P'!$AA$67:$AA$73</c:f>
              <c:strCache>
                <c:ptCount val="7"/>
                <c:pt idx="0">
                  <c:v>&lt;10,000</c:v>
                </c:pt>
                <c:pt idx="1">
                  <c:v>10,001 A 15,000</c:v>
                </c:pt>
                <c:pt idx="2">
                  <c:v>15,001 A 20,000</c:v>
                </c:pt>
                <c:pt idx="3">
                  <c:v>20,001 A 25,000</c:v>
                </c:pt>
                <c:pt idx="4">
                  <c:v>25,001 A 30,000</c:v>
                </c:pt>
                <c:pt idx="5">
                  <c:v>30,0001 A 40,000</c:v>
                </c:pt>
                <c:pt idx="6">
                  <c:v>&gt;40,000</c:v>
                </c:pt>
              </c:strCache>
            </c:strRef>
          </c:cat>
          <c:val>
            <c:numRef>
              <c:f>'FORMULAS C+P'!$AB$67:$AB$73</c:f>
              <c:numCache>
                <c:formatCode>0.0%</c:formatCode>
                <c:ptCount val="7"/>
                <c:pt idx="0">
                  <c:v>3.9145907473309607E-2</c:v>
                </c:pt>
                <c:pt idx="1">
                  <c:v>0.16548042704626334</c:v>
                </c:pt>
                <c:pt idx="2">
                  <c:v>0.17882562277580072</c:v>
                </c:pt>
                <c:pt idx="3">
                  <c:v>0.24822064056939502</c:v>
                </c:pt>
                <c:pt idx="4">
                  <c:v>0.14145907473309607</c:v>
                </c:pt>
                <c:pt idx="5">
                  <c:v>0.11120996441281139</c:v>
                </c:pt>
                <c:pt idx="6">
                  <c:v>0.11565836298932385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0477568"/>
        <c:axId val="120479104"/>
        <c:axId val="0"/>
      </c:bar3DChart>
      <c:catAx>
        <c:axId val="1204775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20479104"/>
        <c:crosses val="autoZero"/>
        <c:auto val="1"/>
        <c:lblAlgn val="ctr"/>
        <c:lblOffset val="100"/>
        <c:noMultiLvlLbl val="0"/>
      </c:catAx>
      <c:valAx>
        <c:axId val="1204791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204775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</a:t>
            </a:r>
          </a:p>
          <a:p>
            <a:pPr>
              <a:defRPr sz="1400"/>
            </a:pPr>
            <a:r>
              <a:rPr lang="es-MX" sz="1200"/>
              <a:t>CON QUIÉN SE CONTRATA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FORMULAS!$J$8</c:f>
              <c:strCache>
                <c:ptCount val="1"/>
                <c:pt idx="0">
                  <c:v>CON QUIÉN SE CONTRATA</c:v>
                </c:pt>
              </c:strCache>
            </c:strRef>
          </c:tx>
          <c:explosion val="25"/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Lbls>
            <c:dLbl>
              <c:idx val="1"/>
              <c:spPr/>
              <c:txPr>
                <a:bodyPr/>
                <a:lstStyle/>
                <a:p>
                  <a:pPr>
                    <a:defRPr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FORMULAS!$J$9:$J$12</c:f>
              <c:strCache>
                <c:ptCount val="4"/>
                <c:pt idx="0">
                  <c:v>Empresa logística</c:v>
                </c:pt>
                <c:pt idx="1">
                  <c:v>Intermediario</c:v>
                </c:pt>
                <c:pt idx="2">
                  <c:v>Embarcador</c:v>
                </c:pt>
                <c:pt idx="3">
                  <c:v>Con el Cliente</c:v>
                </c:pt>
              </c:strCache>
            </c:strRef>
          </c:cat>
          <c:val>
            <c:numRef>
              <c:f>FORMULAS!$K$9:$K$12</c:f>
              <c:numCache>
                <c:formatCode>0.0%</c:formatCode>
                <c:ptCount val="4"/>
                <c:pt idx="0">
                  <c:v>0.11515151515151516</c:v>
                </c:pt>
                <c:pt idx="1">
                  <c:v>0.29494949494949496</c:v>
                </c:pt>
                <c:pt idx="2">
                  <c:v>0.19393939393939394</c:v>
                </c:pt>
                <c:pt idx="3">
                  <c:v>0.39595959595959596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 + CONDUCTORES</a:t>
            </a:r>
          </a:p>
          <a:p>
            <a:pPr>
              <a:defRPr sz="1400"/>
            </a:pPr>
            <a:r>
              <a:rPr lang="en-US" sz="1200"/>
              <a:t>ENTREVISTAS. TAMAÑO DE FLOTA</a:t>
            </a:r>
          </a:p>
        </c:rich>
      </c:tx>
      <c:layout>
        <c:manualLayout>
          <c:xMode val="edge"/>
          <c:yMode val="edge"/>
          <c:x val="0.28902670987211543"/>
          <c:y val="1.3180925851064881E-2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C+P'!$AJ$3</c:f>
              <c:strCache>
                <c:ptCount val="1"/>
                <c:pt idx="0">
                  <c:v>TAMAÑO DE FLOTA</c:v>
                </c:pt>
              </c:strCache>
            </c:strRef>
          </c:tx>
          <c:explosion val="25"/>
          <c:dLbls>
            <c:txPr>
              <a:bodyPr/>
              <a:lstStyle/>
              <a:p>
                <a:pPr>
                  <a:defRPr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C+P'!$AJ$4:$AJ$6</c:f>
              <c:strCache>
                <c:ptCount val="3"/>
                <c:pt idx="0">
                  <c:v>UNA UNIDAD</c:v>
                </c:pt>
                <c:pt idx="1">
                  <c:v>TRES A CINCO UNIDADES</c:v>
                </c:pt>
                <c:pt idx="2">
                  <c:v>SEIS A TREINTA UNIDADES</c:v>
                </c:pt>
              </c:strCache>
            </c:strRef>
          </c:cat>
          <c:val>
            <c:numRef>
              <c:f>'FORMULAS C+P'!$AK$4:$AK$6</c:f>
              <c:numCache>
                <c:formatCode>0.0%</c:formatCode>
                <c:ptCount val="3"/>
                <c:pt idx="0">
                  <c:v>0.31018518518518517</c:v>
                </c:pt>
                <c:pt idx="1">
                  <c:v>0.50694444444444442</c:v>
                </c:pt>
                <c:pt idx="2">
                  <c:v>0.18287037037037038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 +</a:t>
            </a:r>
            <a:r>
              <a:rPr lang="en-US" sz="1400" baseline="0"/>
              <a:t> CONDUCTORES</a:t>
            </a:r>
          </a:p>
          <a:p>
            <a:pPr>
              <a:defRPr sz="1400"/>
            </a:pPr>
            <a:r>
              <a:rPr lang="en-US" sz="1200"/>
              <a:t>MARCA DE MOTOR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138570163842131E-2"/>
          <c:y val="0.13302544596558513"/>
          <c:w val="0.88557732813229117"/>
          <c:h val="0.65030410578674791"/>
        </c:manualLayout>
      </c:layout>
      <c:bar3DChart>
        <c:barDir val="col"/>
        <c:grouping val="clustered"/>
        <c:varyColors val="1"/>
        <c:ser>
          <c:idx val="0"/>
          <c:order val="0"/>
          <c:tx>
            <c:strRef>
              <c:f>'FORMULAS C+P'!$AK$46</c:f>
              <c:strCache>
                <c:ptCount val="1"/>
                <c:pt idx="0">
                  <c:v>PROPIETARIOS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C+P'!$AJ$47:$AJ$59</c:f>
              <c:strCache>
                <c:ptCount val="13"/>
                <c:pt idx="0">
                  <c:v>CUMMINS</c:v>
                </c:pt>
                <c:pt idx="1">
                  <c:v>INTERNATIONAL</c:v>
                </c:pt>
                <c:pt idx="2">
                  <c:v>KENWORTH</c:v>
                </c:pt>
                <c:pt idx="3">
                  <c:v>DETROIT</c:v>
                </c:pt>
                <c:pt idx="4">
                  <c:v>FORD</c:v>
                </c:pt>
                <c:pt idx="5">
                  <c:v>FREIGHTLINER</c:v>
                </c:pt>
                <c:pt idx="6">
                  <c:v>CATERPILLAR</c:v>
                </c:pt>
                <c:pt idx="7">
                  <c:v>DINA</c:v>
                </c:pt>
                <c:pt idx="8">
                  <c:v>MERCEDES BENZ</c:v>
                </c:pt>
                <c:pt idx="9">
                  <c:v>VOLVO</c:v>
                </c:pt>
                <c:pt idx="10">
                  <c:v>PERKINS</c:v>
                </c:pt>
                <c:pt idx="11">
                  <c:v>CHEVROLET</c:v>
                </c:pt>
                <c:pt idx="12">
                  <c:v>OTRAS MARCAS</c:v>
                </c:pt>
              </c:strCache>
            </c:strRef>
          </c:cat>
          <c:val>
            <c:numRef>
              <c:f>'FORMULAS C+P'!$AK$47:$AK$59</c:f>
              <c:numCache>
                <c:formatCode>0.0%</c:formatCode>
                <c:ptCount val="13"/>
                <c:pt idx="0">
                  <c:v>0.32857142857142857</c:v>
                </c:pt>
                <c:pt idx="1">
                  <c:v>0.13877551020408163</c:v>
                </c:pt>
                <c:pt idx="2">
                  <c:v>0.13469387755102041</c:v>
                </c:pt>
                <c:pt idx="3">
                  <c:v>7.3469387755102047E-2</c:v>
                </c:pt>
                <c:pt idx="4">
                  <c:v>7.4489795918367352E-2</c:v>
                </c:pt>
                <c:pt idx="5">
                  <c:v>6.7346938775510207E-2</c:v>
                </c:pt>
                <c:pt idx="6">
                  <c:v>4.4897959183673466E-2</c:v>
                </c:pt>
                <c:pt idx="7">
                  <c:v>3.4693877551020408E-2</c:v>
                </c:pt>
                <c:pt idx="8">
                  <c:v>1.3265306122448979E-2</c:v>
                </c:pt>
                <c:pt idx="9">
                  <c:v>1.9387755102040816E-2</c:v>
                </c:pt>
                <c:pt idx="10">
                  <c:v>1.7346938775510204E-2</c:v>
                </c:pt>
                <c:pt idx="11">
                  <c:v>1.020408163265306E-2</c:v>
                </c:pt>
                <c:pt idx="12">
                  <c:v>4.2857142857142858E-2</c:v>
                </c:pt>
              </c:numCache>
            </c:numRef>
          </c:val>
        </c:ser>
        <c:ser>
          <c:idx val="1"/>
          <c:order val="1"/>
          <c:tx>
            <c:strRef>
              <c:f>'FORMULAS C+P'!$AL$46</c:f>
              <c:strCache>
                <c:ptCount val="1"/>
                <c:pt idx="0">
                  <c:v>CONDUCTORES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C+P'!$AJ$47:$AJ$59</c:f>
              <c:strCache>
                <c:ptCount val="13"/>
                <c:pt idx="0">
                  <c:v>CUMMINS</c:v>
                </c:pt>
                <c:pt idx="1">
                  <c:v>INTERNATIONAL</c:v>
                </c:pt>
                <c:pt idx="2">
                  <c:v>KENWORTH</c:v>
                </c:pt>
                <c:pt idx="3">
                  <c:v>DETROIT</c:v>
                </c:pt>
                <c:pt idx="4">
                  <c:v>FORD</c:v>
                </c:pt>
                <c:pt idx="5">
                  <c:v>FREIGHTLINER</c:v>
                </c:pt>
                <c:pt idx="6">
                  <c:v>CATERPILLAR</c:v>
                </c:pt>
                <c:pt idx="7">
                  <c:v>DINA</c:v>
                </c:pt>
                <c:pt idx="8">
                  <c:v>MERCEDES BENZ</c:v>
                </c:pt>
                <c:pt idx="9">
                  <c:v>VOLVO</c:v>
                </c:pt>
                <c:pt idx="10">
                  <c:v>PERKINS</c:v>
                </c:pt>
                <c:pt idx="11">
                  <c:v>CHEVROLET</c:v>
                </c:pt>
                <c:pt idx="12">
                  <c:v>OTRAS MARCAS</c:v>
                </c:pt>
              </c:strCache>
            </c:strRef>
          </c:cat>
          <c:val>
            <c:numRef>
              <c:f>'FORMULAS C+P'!$AL$47:$AL$59</c:f>
              <c:numCache>
                <c:formatCode>0.0%</c:formatCode>
                <c:ptCount val="13"/>
                <c:pt idx="0">
                  <c:v>0.4206896551724138</c:v>
                </c:pt>
                <c:pt idx="1">
                  <c:v>9.4252873563218389E-2</c:v>
                </c:pt>
                <c:pt idx="2">
                  <c:v>0.11724137931034483</c:v>
                </c:pt>
                <c:pt idx="3">
                  <c:v>0.11494252873563218</c:v>
                </c:pt>
                <c:pt idx="4">
                  <c:v>3.2183908045977011E-2</c:v>
                </c:pt>
                <c:pt idx="5">
                  <c:v>4.5977011494252873E-2</c:v>
                </c:pt>
                <c:pt idx="6">
                  <c:v>2.2988505747126436E-2</c:v>
                </c:pt>
                <c:pt idx="7">
                  <c:v>2.7586206896551724E-2</c:v>
                </c:pt>
                <c:pt idx="8">
                  <c:v>5.057471264367816E-2</c:v>
                </c:pt>
                <c:pt idx="9">
                  <c:v>1.1494252873563218E-2</c:v>
                </c:pt>
                <c:pt idx="10">
                  <c:v>0</c:v>
                </c:pt>
                <c:pt idx="11">
                  <c:v>1.1494252873563218E-2</c:v>
                </c:pt>
                <c:pt idx="12">
                  <c:v>5.057471264367816E-2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0617984"/>
        <c:axId val="120632064"/>
        <c:axId val="0"/>
      </c:bar3DChart>
      <c:catAx>
        <c:axId val="1206179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1" baseline="0"/>
            </a:pPr>
            <a:endParaRPr lang="es-MX"/>
          </a:p>
        </c:txPr>
        <c:crossAx val="120632064"/>
        <c:crosses val="autoZero"/>
        <c:auto val="1"/>
        <c:lblAlgn val="ctr"/>
        <c:lblOffset val="100"/>
        <c:noMultiLvlLbl val="0"/>
      </c:catAx>
      <c:valAx>
        <c:axId val="120632064"/>
        <c:scaling>
          <c:orientation val="minMax"/>
        </c:scaling>
        <c:delete val="0"/>
        <c:axPos val="l"/>
        <c:majorGridlines/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20617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120332650839788"/>
          <c:y val="0.94977824714729764"/>
          <c:w val="0.64090527585093593"/>
          <c:h val="3.634883943178091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4427972532648994E-2"/>
          <c:y val="0.20425113429214509"/>
          <c:w val="0.8925525376454716"/>
          <c:h val="0.681709684727124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C+P'!$AQ$24</c:f>
              <c:strCache>
                <c:ptCount val="1"/>
                <c:pt idx="0">
                  <c:v>PROPIETARIOS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4.1585446796332465E-3"/>
                  <c:y val="0.27695148003158876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100" b="1" i="0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'FORMULAS C+P'!$AP$18:$AP$21</c:f>
              <c:strCache>
                <c:ptCount val="4"/>
                <c:pt idx="0">
                  <c:v>SUR-SURESTE</c:v>
                </c:pt>
                <c:pt idx="1">
                  <c:v>CENTRO</c:v>
                </c:pt>
                <c:pt idx="2">
                  <c:v>NOROESTE</c:v>
                </c:pt>
                <c:pt idx="3">
                  <c:v>NORESTE</c:v>
                </c:pt>
              </c:strCache>
            </c:strRef>
          </c:cat>
          <c:val>
            <c:numRef>
              <c:f>'FORMULAS C+P'!$AQ$18:$AQ$21</c:f>
              <c:numCache>
                <c:formatCode>General</c:formatCode>
                <c:ptCount val="4"/>
                <c:pt idx="0">
                  <c:v>24</c:v>
                </c:pt>
                <c:pt idx="1">
                  <c:v>279</c:v>
                </c:pt>
                <c:pt idx="2">
                  <c:v>68</c:v>
                </c:pt>
                <c:pt idx="3">
                  <c:v>40</c:v>
                </c:pt>
              </c:numCache>
            </c:numRef>
          </c:val>
        </c:ser>
        <c:ser>
          <c:idx val="1"/>
          <c:order val="1"/>
          <c:tx>
            <c:strRef>
              <c:f>'FORMULAS C+P'!$AR$24</c:f>
              <c:strCache>
                <c:ptCount val="1"/>
                <c:pt idx="0">
                  <c:v>CONDUCTORES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1.2475634038899739E-2"/>
                  <c:y val="0.2769514800315887"/>
                </c:manualLayout>
              </c:layout>
              <c:spPr/>
              <c:txPr>
                <a:bodyPr rot="-5400000" vert="horz"/>
                <a:lstStyle/>
                <a:p>
                  <a:pPr>
                    <a:defRPr b="1" i="1" baseline="0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'FORMULAS C+P'!$AP$18:$AP$21</c:f>
              <c:strCache>
                <c:ptCount val="4"/>
                <c:pt idx="0">
                  <c:v>SUR-SURESTE</c:v>
                </c:pt>
                <c:pt idx="1">
                  <c:v>CENTRO</c:v>
                </c:pt>
                <c:pt idx="2">
                  <c:v>NOROESTE</c:v>
                </c:pt>
                <c:pt idx="3">
                  <c:v>NORESTE</c:v>
                </c:pt>
              </c:strCache>
            </c:strRef>
          </c:cat>
          <c:val>
            <c:numRef>
              <c:f>'FORMULAS C+P'!$AR$18:$AR$21</c:f>
              <c:numCache>
                <c:formatCode>General</c:formatCode>
                <c:ptCount val="4"/>
                <c:pt idx="0">
                  <c:v>28</c:v>
                </c:pt>
                <c:pt idx="1">
                  <c:v>383</c:v>
                </c:pt>
                <c:pt idx="2">
                  <c:v>16</c:v>
                </c:pt>
                <c:pt idx="3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0663424"/>
        <c:axId val="120669312"/>
        <c:axId val="0"/>
      </c:bar3DChart>
      <c:catAx>
        <c:axId val="120663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20669312"/>
        <c:crosses val="autoZero"/>
        <c:auto val="1"/>
        <c:lblAlgn val="ctr"/>
        <c:lblOffset val="100"/>
        <c:noMultiLvlLbl val="0"/>
      </c:catAx>
      <c:valAx>
        <c:axId val="1206693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20663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PROPIETARIOS + CONDUCTORES</a:t>
            </a:r>
          </a:p>
          <a:p>
            <a:pPr>
              <a:defRPr sz="1400"/>
            </a:pPr>
            <a:r>
              <a:rPr lang="es-MX" sz="1200"/>
              <a:t>UNIDADES POR REGIÓN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235565462239285E-2"/>
          <c:y val="0.1719822340187159"/>
          <c:w val="0.91025074147241458"/>
          <c:h val="0.753728788538912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'FORMULAS C+P'!$AQ$24</c:f>
              <c:strCache>
                <c:ptCount val="1"/>
                <c:pt idx="0">
                  <c:v>PROPIETARIOS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0.3030759324426424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b="1" i="1" baseline="0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'FORMULAS C+P'!$AP$39:$AP$42</c:f>
              <c:strCache>
                <c:ptCount val="4"/>
                <c:pt idx="0">
                  <c:v>SUR-SURESTE</c:v>
                </c:pt>
                <c:pt idx="1">
                  <c:v>CENTRO</c:v>
                </c:pt>
                <c:pt idx="2">
                  <c:v>NOROESTE</c:v>
                </c:pt>
                <c:pt idx="3">
                  <c:v>NORESTE</c:v>
                </c:pt>
              </c:strCache>
            </c:strRef>
          </c:cat>
          <c:val>
            <c:numRef>
              <c:f>'FORMULAS C+P'!$AQ$39:$AQ$42</c:f>
              <c:numCache>
                <c:formatCode>#,##0</c:formatCode>
                <c:ptCount val="4"/>
                <c:pt idx="0">
                  <c:v>55</c:v>
                </c:pt>
                <c:pt idx="1">
                  <c:v>617</c:v>
                </c:pt>
                <c:pt idx="2">
                  <c:v>239</c:v>
                </c:pt>
                <c:pt idx="3">
                  <c:v>69</c:v>
                </c:pt>
              </c:numCache>
            </c:numRef>
          </c:val>
        </c:ser>
        <c:ser>
          <c:idx val="1"/>
          <c:order val="1"/>
          <c:tx>
            <c:strRef>
              <c:f>'FORMULAS C+P'!$AR$24</c:f>
              <c:strCache>
                <c:ptCount val="1"/>
                <c:pt idx="0">
                  <c:v>CONDUCTORES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0688042302429854E-2"/>
                  <c:y val="0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1"/>
              <c:layout>
                <c:manualLayout>
                  <c:x val="8.5504338419439725E-3"/>
                  <c:y val="0.2601625260790810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8.5504338419439725E-3"/>
                  <c:y val="0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1.0688042302429854E-2"/>
                  <c:y val="0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b="1" i="0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</c:dLbls>
          <c:cat>
            <c:strRef>
              <c:f>'FORMULAS C+P'!$AP$39:$AP$42</c:f>
              <c:strCache>
                <c:ptCount val="4"/>
                <c:pt idx="0">
                  <c:v>SUR-SURESTE</c:v>
                </c:pt>
                <c:pt idx="1">
                  <c:v>CENTRO</c:v>
                </c:pt>
                <c:pt idx="2">
                  <c:v>NOROESTE</c:v>
                </c:pt>
                <c:pt idx="3">
                  <c:v>NORESTE</c:v>
                </c:pt>
              </c:strCache>
            </c:strRef>
          </c:cat>
          <c:val>
            <c:numRef>
              <c:f>'FORMULAS C+P'!$AR$39:$AR$42</c:f>
              <c:numCache>
                <c:formatCode>#,##0</c:formatCode>
                <c:ptCount val="4"/>
                <c:pt idx="0">
                  <c:v>28</c:v>
                </c:pt>
                <c:pt idx="1">
                  <c:v>383</c:v>
                </c:pt>
                <c:pt idx="2">
                  <c:v>16</c:v>
                </c:pt>
                <c:pt idx="3">
                  <c:v>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0695424"/>
        <c:axId val="120709504"/>
        <c:axId val="0"/>
      </c:bar3DChart>
      <c:catAx>
        <c:axId val="12069542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20709504"/>
        <c:crosses val="autoZero"/>
        <c:auto val="1"/>
        <c:lblAlgn val="ctr"/>
        <c:lblOffset val="100"/>
        <c:noMultiLvlLbl val="0"/>
      </c:catAx>
      <c:valAx>
        <c:axId val="12070950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b="1" i="0" baseline="0"/>
            </a:pPr>
            <a:endParaRPr lang="es-MX"/>
          </a:p>
        </c:txPr>
        <c:crossAx val="120695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 + CONDUCTORES</a:t>
            </a:r>
          </a:p>
          <a:p>
            <a:pPr>
              <a:defRPr sz="1400"/>
            </a:pPr>
            <a:r>
              <a:rPr lang="en-US" sz="1200"/>
              <a:t>EQUIPAMIENTO DE LAS UNIDADES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449309891266356"/>
          <c:y val="0.13797333333333345"/>
          <c:w val="0.86808403158188596"/>
          <c:h val="0.5476667716535436"/>
        </c:manualLayout>
      </c:layout>
      <c:bar3DChart>
        <c:barDir val="col"/>
        <c:grouping val="clustered"/>
        <c:varyColors val="1"/>
        <c:ser>
          <c:idx val="0"/>
          <c:order val="0"/>
          <c:tx>
            <c:strRef>
              <c:f>'FORMULAS C+P'!$AW$3</c:f>
              <c:strCache>
                <c:ptCount val="1"/>
                <c:pt idx="0">
                  <c:v>PROPIETARIOS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b="1" i="0" baseline="0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C+P'!$AU$4:$AU$10</c:f>
              <c:strCache>
                <c:ptCount val="7"/>
                <c:pt idx="0">
                  <c:v>Enfriamiento de cabina</c:v>
                </c:pt>
                <c:pt idx="1">
                  <c:v>Inflado automático de llantas</c:v>
                </c:pt>
                <c:pt idx="2">
                  <c:v>Faldones traseros</c:v>
                </c:pt>
                <c:pt idx="3">
                  <c:v>Reducción de peso muerto</c:v>
                </c:pt>
                <c:pt idx="4">
                  <c:v>GPS para rastreo</c:v>
                </c:pt>
                <c:pt idx="5">
                  <c:v>GPS para ruta</c:v>
                </c:pt>
                <c:pt idx="6">
                  <c:v>Ninguna</c:v>
                </c:pt>
              </c:strCache>
            </c:strRef>
          </c:cat>
          <c:val>
            <c:numRef>
              <c:f>'FORMULAS C+P'!$AW$4:$AW$10</c:f>
              <c:numCache>
                <c:formatCode>#,##0</c:formatCode>
                <c:ptCount val="7"/>
                <c:pt idx="0">
                  <c:v>569</c:v>
                </c:pt>
                <c:pt idx="1">
                  <c:v>86</c:v>
                </c:pt>
                <c:pt idx="2">
                  <c:v>325</c:v>
                </c:pt>
                <c:pt idx="3">
                  <c:v>81</c:v>
                </c:pt>
                <c:pt idx="4">
                  <c:v>530</c:v>
                </c:pt>
                <c:pt idx="5">
                  <c:v>157</c:v>
                </c:pt>
                <c:pt idx="6">
                  <c:v>96</c:v>
                </c:pt>
              </c:numCache>
            </c:numRef>
          </c:val>
        </c:ser>
        <c:ser>
          <c:idx val="1"/>
          <c:order val="1"/>
          <c:tx>
            <c:strRef>
              <c:f>'FORMULAS C+P'!$AX$3</c:f>
              <c:strCache>
                <c:ptCount val="1"/>
                <c:pt idx="0">
                  <c:v>CONDUCTORES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355112072646203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5.807623168483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7.74349755797829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7.74349755797837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7422869505451171E-2"/>
                  <c:y val="-4.888832412679697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7.74349755797829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3.87174877898914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>
                    <a:solidFill>
                      <a:srgbClr val="C00000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C+P'!$AU$4:$AU$10</c:f>
              <c:strCache>
                <c:ptCount val="7"/>
                <c:pt idx="0">
                  <c:v>Enfriamiento de cabina</c:v>
                </c:pt>
                <c:pt idx="1">
                  <c:v>Inflado automático de llantas</c:v>
                </c:pt>
                <c:pt idx="2">
                  <c:v>Faldones traseros</c:v>
                </c:pt>
                <c:pt idx="3">
                  <c:v>Reducción de peso muerto</c:v>
                </c:pt>
                <c:pt idx="4">
                  <c:v>GPS para rastreo</c:v>
                </c:pt>
                <c:pt idx="5">
                  <c:v>GPS para ruta</c:v>
                </c:pt>
                <c:pt idx="6">
                  <c:v>Ninguna</c:v>
                </c:pt>
              </c:strCache>
            </c:strRef>
          </c:cat>
          <c:val>
            <c:numRef>
              <c:f>'FORMULAS C+P'!$AX$4:$AX$10</c:f>
              <c:numCache>
                <c:formatCode>#,##0</c:formatCode>
                <c:ptCount val="7"/>
                <c:pt idx="0">
                  <c:v>277</c:v>
                </c:pt>
                <c:pt idx="1">
                  <c:v>17</c:v>
                </c:pt>
                <c:pt idx="2">
                  <c:v>116</c:v>
                </c:pt>
                <c:pt idx="3">
                  <c:v>12</c:v>
                </c:pt>
                <c:pt idx="4">
                  <c:v>274</c:v>
                </c:pt>
                <c:pt idx="5">
                  <c:v>55</c:v>
                </c:pt>
                <c:pt idx="6">
                  <c:v>295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20760192"/>
        <c:axId val="120761728"/>
        <c:axId val="0"/>
      </c:bar3DChart>
      <c:catAx>
        <c:axId val="1207601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 i="1" baseline="0">
                <a:latin typeface="Arial" pitchFamily="34" charset="0"/>
              </a:defRPr>
            </a:pPr>
            <a:endParaRPr lang="es-MX"/>
          </a:p>
        </c:txPr>
        <c:crossAx val="120761728"/>
        <c:crosses val="autoZero"/>
        <c:auto val="1"/>
        <c:lblAlgn val="ctr"/>
        <c:lblOffset val="100"/>
        <c:noMultiLvlLbl val="0"/>
      </c:catAx>
      <c:valAx>
        <c:axId val="1207617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s-MX"/>
          </a:p>
        </c:txPr>
        <c:crossAx val="120760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PROPIETARIOS + CONDUCTORES</a:t>
            </a:r>
          </a:p>
          <a:p>
            <a:pPr>
              <a:defRPr sz="1400"/>
            </a:pPr>
            <a:r>
              <a:rPr lang="en-US" sz="1200"/>
              <a:t>OTRAS MEDIDAS PARA REDUCIR EL CONSUMO DE COMBUSTIBLE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1"/>
        <c:ser>
          <c:idx val="3"/>
          <c:order val="0"/>
          <c:tx>
            <c:strRef>
              <c:f>'FORMULAS C+P'!$AU$21</c:f>
              <c:strCache>
                <c:ptCount val="1"/>
                <c:pt idx="0">
                  <c:v>OTRAS MEDIDAS PARA REDUCIR EL CONSUMO DE COMBUSTIBLE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1200" b="1" i="0" baseline="0">
                    <a:latin typeface="Arial" pitchFamily="34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'FORMULAS C+P'!$AU$22:$AU$24</c:f>
              <c:strCache>
                <c:ptCount val="3"/>
                <c:pt idx="0">
                  <c:v>Usa lubricante de baja fricción</c:v>
                </c:pt>
                <c:pt idx="1">
                  <c:v>Usa conducción eficiente</c:v>
                </c:pt>
                <c:pt idx="2">
                  <c:v>Ninguna</c:v>
                </c:pt>
              </c:strCache>
            </c:strRef>
          </c:cat>
          <c:val>
            <c:numRef>
              <c:f>'FORMULAS C+P'!$AY$22:$AY$24</c:f>
              <c:numCache>
                <c:formatCode>0.0%</c:formatCode>
                <c:ptCount val="3"/>
                <c:pt idx="0">
                  <c:v>0.34263782274947663</c:v>
                </c:pt>
                <c:pt idx="1">
                  <c:v>0.31123517096999304</c:v>
                </c:pt>
                <c:pt idx="2">
                  <c:v>0.27285415212840197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20815616"/>
        <c:axId val="120817152"/>
        <c:axId val="0"/>
      </c:bar3DChart>
      <c:catAx>
        <c:axId val="1208156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100" b="1" i="0" baseline="0">
                <a:latin typeface="Arial" pitchFamily="34" charset="0"/>
              </a:defRPr>
            </a:pPr>
            <a:endParaRPr lang="es-MX"/>
          </a:p>
        </c:txPr>
        <c:crossAx val="120817152"/>
        <c:crosses val="autoZero"/>
        <c:auto val="1"/>
        <c:lblAlgn val="ctr"/>
        <c:lblOffset val="100"/>
        <c:noMultiLvlLbl val="0"/>
      </c:catAx>
      <c:valAx>
        <c:axId val="12081715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b="1" i="0" baseline="0">
                <a:latin typeface="Arial" pitchFamily="34" charset="0"/>
              </a:defRPr>
            </a:pPr>
            <a:endParaRPr lang="es-MX"/>
          </a:p>
        </c:txPr>
        <c:crossAx val="120815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MX"/>
              <a:t>EDAD DEL HOMBRE CAMIÓN</a:t>
            </a:r>
          </a:p>
          <a:p>
            <a:pPr>
              <a:defRPr sz="1200"/>
            </a:pPr>
            <a:r>
              <a:rPr lang="es-MX"/>
              <a:t>[1 A</a:t>
            </a:r>
            <a:r>
              <a:rPr lang="es-MX" baseline="0"/>
              <a:t> 5 UNIDADES]</a:t>
            </a:r>
            <a:endParaRPr lang="es-MX"/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PLUS'!$B$2</c:f>
              <c:strCache>
                <c:ptCount val="1"/>
                <c:pt idx="0">
                  <c:v>EDAD DEL HOMBRE CAMIÓN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</c:dPt>
          <c:dPt>
            <c:idx val="4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</c:spPr>
          </c:dPt>
          <c:dPt>
            <c:idx val="5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</c:dPt>
          <c:dPt>
            <c:idx val="6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7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Lbls>
            <c:txPr>
              <a:bodyPr/>
              <a:lstStyle/>
              <a:p>
                <a:pPr>
                  <a:defRPr b="1" i="1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PLUS'!$B$3:$B$9</c:f>
              <c:strCache>
                <c:ptCount val="7"/>
                <c:pt idx="0">
                  <c:v>&lt; DE 36</c:v>
                </c:pt>
                <c:pt idx="1">
                  <c:v>36 A 40</c:v>
                </c:pt>
                <c:pt idx="2">
                  <c:v>41 A 45</c:v>
                </c:pt>
                <c:pt idx="3">
                  <c:v>46 A 50</c:v>
                </c:pt>
                <c:pt idx="4">
                  <c:v>51 A 55</c:v>
                </c:pt>
                <c:pt idx="5">
                  <c:v>56 A 60</c:v>
                </c:pt>
                <c:pt idx="6">
                  <c:v>&gt;60</c:v>
                </c:pt>
              </c:strCache>
            </c:strRef>
          </c:cat>
          <c:val>
            <c:numRef>
              <c:f>'FORMULAS PLUS'!$C$3:$C$9</c:f>
              <c:numCache>
                <c:formatCode>0%</c:formatCode>
                <c:ptCount val="7"/>
                <c:pt idx="0">
                  <c:v>0.13262599469496023</c:v>
                </c:pt>
                <c:pt idx="1">
                  <c:v>0.15384615384615385</c:v>
                </c:pt>
                <c:pt idx="2">
                  <c:v>0.14323607427055704</c:v>
                </c:pt>
                <c:pt idx="3">
                  <c:v>0.1856763925729443</c:v>
                </c:pt>
                <c:pt idx="4">
                  <c:v>0.1856763925729443</c:v>
                </c:pt>
                <c:pt idx="5">
                  <c:v>9.5490716180371346E-2</c:v>
                </c:pt>
                <c:pt idx="6">
                  <c:v>0.10344827586206896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EDAD DEL PEQUEÑO TRANSPORTISTA</a:t>
            </a:r>
          </a:p>
          <a:p>
            <a:pPr>
              <a:defRPr sz="1200"/>
            </a:pPr>
            <a:r>
              <a:rPr lang="en-US" sz="1200"/>
              <a:t>[6 A 30 UNIDADES]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PLUS'!$D$2</c:f>
              <c:strCache>
                <c:ptCount val="1"/>
                <c:pt idx="0">
                  <c:v>PEQUEÑO TRANSPORTISTA</c:v>
                </c:pt>
              </c:strCache>
            </c:strRef>
          </c:tx>
          <c:explosion val="25"/>
          <c:dLbls>
            <c:txPr>
              <a:bodyPr/>
              <a:lstStyle/>
              <a:p>
                <a:pPr>
                  <a:defRPr b="1" i="0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PLUS'!$B$3:$B$9</c:f>
              <c:strCache>
                <c:ptCount val="7"/>
                <c:pt idx="0">
                  <c:v>&lt; DE 36</c:v>
                </c:pt>
                <c:pt idx="1">
                  <c:v>36 A 40</c:v>
                </c:pt>
                <c:pt idx="2">
                  <c:v>41 A 45</c:v>
                </c:pt>
                <c:pt idx="3">
                  <c:v>46 A 50</c:v>
                </c:pt>
                <c:pt idx="4">
                  <c:v>51 A 55</c:v>
                </c:pt>
                <c:pt idx="5">
                  <c:v>56 A 60</c:v>
                </c:pt>
                <c:pt idx="6">
                  <c:v>&gt;60</c:v>
                </c:pt>
              </c:strCache>
            </c:strRef>
          </c:cat>
          <c:val>
            <c:numRef>
              <c:f>'FORMULAS PLUS'!$D$3:$D$9</c:f>
              <c:numCache>
                <c:formatCode>0%</c:formatCode>
                <c:ptCount val="7"/>
                <c:pt idx="0">
                  <c:v>8.8235294117647065E-2</c:v>
                </c:pt>
                <c:pt idx="1">
                  <c:v>8.8235294117647065E-2</c:v>
                </c:pt>
                <c:pt idx="2">
                  <c:v>8.8235294117647065E-2</c:v>
                </c:pt>
                <c:pt idx="3">
                  <c:v>0.17647058823529413</c:v>
                </c:pt>
                <c:pt idx="4">
                  <c:v>0.23529411764705882</c:v>
                </c:pt>
                <c:pt idx="5">
                  <c:v>0.17647058823529413</c:v>
                </c:pt>
                <c:pt idx="6">
                  <c:v>0.14705882352941177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ESCOLARIDAD DEL</a:t>
            </a:r>
            <a:r>
              <a:rPr lang="en-US" sz="1200" baseline="0"/>
              <a:t> HOMBRE CAMIÓN</a:t>
            </a:r>
          </a:p>
          <a:p>
            <a:pPr>
              <a:defRPr sz="1200"/>
            </a:pPr>
            <a:r>
              <a:rPr lang="en-US" sz="1200" baseline="0"/>
              <a:t>[1 A 5 UNIDADES]</a:t>
            </a:r>
            <a:endParaRPr lang="en-US" sz="1200"/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PLUS'!$B$14</c:f>
              <c:strCache>
                <c:ptCount val="1"/>
                <c:pt idx="0">
                  <c:v>ESCOLARIDAD</c:v>
                </c:pt>
              </c:strCache>
            </c:strRef>
          </c:tx>
          <c:explosion val="25"/>
          <c:dPt>
            <c:idx val="1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</c:spPr>
          </c:dPt>
          <c:dLbls>
            <c:dLbl>
              <c:idx val="4"/>
              <c:layout>
                <c:manualLayout>
                  <c:x val="0.16322384459224218"/>
                  <c:y val="8.423499489746570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0" baseline="0"/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PLUS'!$B$15:$B$20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PLUS'!$C$15:$C$20</c:f>
              <c:numCache>
                <c:formatCode>0.0%</c:formatCode>
                <c:ptCount val="6"/>
                <c:pt idx="0">
                  <c:v>4.2440318302387266E-2</c:v>
                </c:pt>
                <c:pt idx="1">
                  <c:v>0.19098143236074269</c:v>
                </c:pt>
                <c:pt idx="2">
                  <c:v>0.29708222811671087</c:v>
                </c:pt>
                <c:pt idx="3">
                  <c:v>0.26790450928381965</c:v>
                </c:pt>
                <c:pt idx="4">
                  <c:v>0.19363395225464192</c:v>
                </c:pt>
                <c:pt idx="5">
                  <c:v>7.9575596816976128E-3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ESCOLARIDAD DEL PEQUEÑO TRANSPORTISTA</a:t>
            </a:r>
          </a:p>
          <a:p>
            <a:pPr>
              <a:defRPr sz="1200"/>
            </a:pPr>
            <a:r>
              <a:rPr lang="en-US" sz="1200"/>
              <a:t>[6 A 30 UNIDADES]</a:t>
            </a:r>
          </a:p>
        </c:rich>
      </c:tx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'FORMULAS PLUS'!$F$14</c:f>
              <c:strCache>
                <c:ptCount val="1"/>
                <c:pt idx="0">
                  <c:v>PEQUEÑO TRANSPORTISTA</c:v>
                </c:pt>
              </c:strCache>
            </c:strRef>
          </c:tx>
          <c:explosion val="25"/>
          <c:dLbls>
            <c:dLbl>
              <c:idx val="0"/>
              <c:spPr/>
              <c:txPr>
                <a:bodyPr/>
                <a:lstStyle/>
                <a:p>
                  <a:pPr>
                    <a:defRPr b="1" i="1" baseline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b="1" i="1" baseline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5"/>
              <c:spPr/>
              <c:txPr>
                <a:bodyPr/>
                <a:lstStyle/>
                <a:p>
                  <a:pPr>
                    <a:defRPr b="1" i="1" baseline="0">
                      <a:solidFill>
                        <a:sysClr val="windowText" lastClr="000000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 i="1" baseline="0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'FORMULAS PLUS'!$B$15:$B$20</c:f>
              <c:strCache>
                <c:ptCount val="6"/>
                <c:pt idx="0">
                  <c:v>SIN ESTUDIOS</c:v>
                </c:pt>
                <c:pt idx="1">
                  <c:v>PRIMARIA</c:v>
                </c:pt>
                <c:pt idx="2">
                  <c:v>SECUNDARIA</c:v>
                </c:pt>
                <c:pt idx="3">
                  <c:v>PREPARATORIA / BACHILLERATO</c:v>
                </c:pt>
                <c:pt idx="4">
                  <c:v>LICENCIATURA</c:v>
                </c:pt>
                <c:pt idx="5">
                  <c:v>OTROS</c:v>
                </c:pt>
              </c:strCache>
            </c:strRef>
          </c:cat>
          <c:val>
            <c:numRef>
              <c:f>'FORMULAS PLUS'!$D$15:$D$20</c:f>
              <c:numCache>
                <c:formatCode>0.0%</c:formatCode>
                <c:ptCount val="6"/>
                <c:pt idx="0">
                  <c:v>0</c:v>
                </c:pt>
                <c:pt idx="1">
                  <c:v>5.8823529411764705E-2</c:v>
                </c:pt>
                <c:pt idx="2">
                  <c:v>0.14705882352941177</c:v>
                </c:pt>
                <c:pt idx="3">
                  <c:v>0.26470588235294118</c:v>
                </c:pt>
                <c:pt idx="4">
                  <c:v>0.47058823529411764</c:v>
                </c:pt>
                <c:pt idx="5">
                  <c:v>5.8823529411764705E-2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13" Type="http://schemas.openxmlformats.org/officeDocument/2006/relationships/chart" Target="../charts/chart108.xml"/><Relationship Id="rId18" Type="http://schemas.openxmlformats.org/officeDocument/2006/relationships/chart" Target="../charts/chart113.xml"/><Relationship Id="rId26" Type="http://schemas.openxmlformats.org/officeDocument/2006/relationships/chart" Target="../charts/chart121.xml"/><Relationship Id="rId3" Type="http://schemas.openxmlformats.org/officeDocument/2006/relationships/chart" Target="../charts/chart98.xml"/><Relationship Id="rId21" Type="http://schemas.openxmlformats.org/officeDocument/2006/relationships/chart" Target="../charts/chart116.xml"/><Relationship Id="rId34" Type="http://schemas.openxmlformats.org/officeDocument/2006/relationships/chart" Target="../charts/chart129.xml"/><Relationship Id="rId7" Type="http://schemas.openxmlformats.org/officeDocument/2006/relationships/chart" Target="../charts/chart102.xml"/><Relationship Id="rId12" Type="http://schemas.openxmlformats.org/officeDocument/2006/relationships/chart" Target="../charts/chart107.xml"/><Relationship Id="rId17" Type="http://schemas.openxmlformats.org/officeDocument/2006/relationships/chart" Target="../charts/chart112.xml"/><Relationship Id="rId25" Type="http://schemas.openxmlformats.org/officeDocument/2006/relationships/chart" Target="../charts/chart120.xml"/><Relationship Id="rId33" Type="http://schemas.openxmlformats.org/officeDocument/2006/relationships/chart" Target="../charts/chart128.xml"/><Relationship Id="rId2" Type="http://schemas.openxmlformats.org/officeDocument/2006/relationships/chart" Target="../charts/chart97.xml"/><Relationship Id="rId16" Type="http://schemas.openxmlformats.org/officeDocument/2006/relationships/chart" Target="../charts/chart111.xml"/><Relationship Id="rId20" Type="http://schemas.openxmlformats.org/officeDocument/2006/relationships/chart" Target="../charts/chart115.xml"/><Relationship Id="rId29" Type="http://schemas.openxmlformats.org/officeDocument/2006/relationships/chart" Target="../charts/chart124.xml"/><Relationship Id="rId1" Type="http://schemas.openxmlformats.org/officeDocument/2006/relationships/chart" Target="../charts/chart96.xml"/><Relationship Id="rId6" Type="http://schemas.openxmlformats.org/officeDocument/2006/relationships/chart" Target="../charts/chart101.xml"/><Relationship Id="rId11" Type="http://schemas.openxmlformats.org/officeDocument/2006/relationships/chart" Target="../charts/chart106.xml"/><Relationship Id="rId24" Type="http://schemas.openxmlformats.org/officeDocument/2006/relationships/chart" Target="../charts/chart119.xml"/><Relationship Id="rId32" Type="http://schemas.openxmlformats.org/officeDocument/2006/relationships/chart" Target="../charts/chart127.xml"/><Relationship Id="rId5" Type="http://schemas.openxmlformats.org/officeDocument/2006/relationships/chart" Target="../charts/chart100.xml"/><Relationship Id="rId15" Type="http://schemas.openxmlformats.org/officeDocument/2006/relationships/chart" Target="../charts/chart110.xml"/><Relationship Id="rId23" Type="http://schemas.openxmlformats.org/officeDocument/2006/relationships/chart" Target="../charts/chart118.xml"/><Relationship Id="rId28" Type="http://schemas.openxmlformats.org/officeDocument/2006/relationships/chart" Target="../charts/chart123.xml"/><Relationship Id="rId10" Type="http://schemas.openxmlformats.org/officeDocument/2006/relationships/chart" Target="../charts/chart105.xml"/><Relationship Id="rId19" Type="http://schemas.openxmlformats.org/officeDocument/2006/relationships/chart" Target="../charts/chart114.xml"/><Relationship Id="rId31" Type="http://schemas.openxmlformats.org/officeDocument/2006/relationships/chart" Target="../charts/chart126.xml"/><Relationship Id="rId4" Type="http://schemas.openxmlformats.org/officeDocument/2006/relationships/chart" Target="../charts/chart99.xml"/><Relationship Id="rId9" Type="http://schemas.openxmlformats.org/officeDocument/2006/relationships/chart" Target="../charts/chart104.xml"/><Relationship Id="rId14" Type="http://schemas.openxmlformats.org/officeDocument/2006/relationships/chart" Target="../charts/chart109.xml"/><Relationship Id="rId22" Type="http://schemas.openxmlformats.org/officeDocument/2006/relationships/chart" Target="../charts/chart117.xml"/><Relationship Id="rId27" Type="http://schemas.openxmlformats.org/officeDocument/2006/relationships/chart" Target="../charts/chart122.xml"/><Relationship Id="rId30" Type="http://schemas.openxmlformats.org/officeDocument/2006/relationships/chart" Target="../charts/chart125.xml"/><Relationship Id="rId35" Type="http://schemas.openxmlformats.org/officeDocument/2006/relationships/chart" Target="../charts/chart130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6.xml"/></Relationships>
</file>

<file path=xl/drawings/_rels/drawing2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43.xml"/><Relationship Id="rId18" Type="http://schemas.openxmlformats.org/officeDocument/2006/relationships/chart" Target="../charts/chart148.xml"/><Relationship Id="rId26" Type="http://schemas.openxmlformats.org/officeDocument/2006/relationships/chart" Target="../charts/chart156.xml"/><Relationship Id="rId39" Type="http://schemas.openxmlformats.org/officeDocument/2006/relationships/chart" Target="../charts/chart169.xml"/><Relationship Id="rId21" Type="http://schemas.openxmlformats.org/officeDocument/2006/relationships/chart" Target="../charts/chart151.xml"/><Relationship Id="rId34" Type="http://schemas.openxmlformats.org/officeDocument/2006/relationships/chart" Target="../charts/chart164.xml"/><Relationship Id="rId42" Type="http://schemas.openxmlformats.org/officeDocument/2006/relationships/chart" Target="../charts/chart172.xml"/><Relationship Id="rId47" Type="http://schemas.openxmlformats.org/officeDocument/2006/relationships/chart" Target="../charts/chart177.xml"/><Relationship Id="rId50" Type="http://schemas.openxmlformats.org/officeDocument/2006/relationships/chart" Target="../charts/chart180.xml"/><Relationship Id="rId55" Type="http://schemas.openxmlformats.org/officeDocument/2006/relationships/chart" Target="../charts/chart185.xml"/><Relationship Id="rId63" Type="http://schemas.openxmlformats.org/officeDocument/2006/relationships/chart" Target="../charts/chart193.xml"/><Relationship Id="rId68" Type="http://schemas.openxmlformats.org/officeDocument/2006/relationships/chart" Target="../charts/chart198.xml"/><Relationship Id="rId76" Type="http://schemas.openxmlformats.org/officeDocument/2006/relationships/chart" Target="../charts/chart206.xml"/><Relationship Id="rId84" Type="http://schemas.openxmlformats.org/officeDocument/2006/relationships/chart" Target="../charts/chart214.xml"/><Relationship Id="rId7" Type="http://schemas.openxmlformats.org/officeDocument/2006/relationships/chart" Target="../charts/chart137.xml"/><Relationship Id="rId71" Type="http://schemas.openxmlformats.org/officeDocument/2006/relationships/chart" Target="../charts/chart201.xml"/><Relationship Id="rId2" Type="http://schemas.openxmlformats.org/officeDocument/2006/relationships/chart" Target="../charts/chart132.xml"/><Relationship Id="rId16" Type="http://schemas.openxmlformats.org/officeDocument/2006/relationships/chart" Target="../charts/chart146.xml"/><Relationship Id="rId29" Type="http://schemas.openxmlformats.org/officeDocument/2006/relationships/chart" Target="../charts/chart159.xml"/><Relationship Id="rId11" Type="http://schemas.openxmlformats.org/officeDocument/2006/relationships/chart" Target="../charts/chart141.xml"/><Relationship Id="rId24" Type="http://schemas.openxmlformats.org/officeDocument/2006/relationships/chart" Target="../charts/chart154.xml"/><Relationship Id="rId32" Type="http://schemas.openxmlformats.org/officeDocument/2006/relationships/chart" Target="../charts/chart162.xml"/><Relationship Id="rId37" Type="http://schemas.openxmlformats.org/officeDocument/2006/relationships/chart" Target="../charts/chart167.xml"/><Relationship Id="rId40" Type="http://schemas.openxmlformats.org/officeDocument/2006/relationships/chart" Target="../charts/chart170.xml"/><Relationship Id="rId45" Type="http://schemas.openxmlformats.org/officeDocument/2006/relationships/chart" Target="../charts/chart175.xml"/><Relationship Id="rId53" Type="http://schemas.openxmlformats.org/officeDocument/2006/relationships/chart" Target="../charts/chart183.xml"/><Relationship Id="rId58" Type="http://schemas.openxmlformats.org/officeDocument/2006/relationships/chart" Target="../charts/chart188.xml"/><Relationship Id="rId66" Type="http://schemas.openxmlformats.org/officeDocument/2006/relationships/chart" Target="../charts/chart196.xml"/><Relationship Id="rId74" Type="http://schemas.openxmlformats.org/officeDocument/2006/relationships/chart" Target="../charts/chart204.xml"/><Relationship Id="rId79" Type="http://schemas.openxmlformats.org/officeDocument/2006/relationships/chart" Target="../charts/chart209.xml"/><Relationship Id="rId5" Type="http://schemas.openxmlformats.org/officeDocument/2006/relationships/chart" Target="../charts/chart135.xml"/><Relationship Id="rId61" Type="http://schemas.openxmlformats.org/officeDocument/2006/relationships/chart" Target="../charts/chart191.xml"/><Relationship Id="rId82" Type="http://schemas.openxmlformats.org/officeDocument/2006/relationships/chart" Target="../charts/chart212.xml"/><Relationship Id="rId19" Type="http://schemas.openxmlformats.org/officeDocument/2006/relationships/chart" Target="../charts/chart149.xml"/><Relationship Id="rId4" Type="http://schemas.openxmlformats.org/officeDocument/2006/relationships/chart" Target="../charts/chart134.xml"/><Relationship Id="rId9" Type="http://schemas.openxmlformats.org/officeDocument/2006/relationships/chart" Target="../charts/chart139.xml"/><Relationship Id="rId14" Type="http://schemas.openxmlformats.org/officeDocument/2006/relationships/chart" Target="../charts/chart144.xml"/><Relationship Id="rId22" Type="http://schemas.openxmlformats.org/officeDocument/2006/relationships/chart" Target="../charts/chart152.xml"/><Relationship Id="rId27" Type="http://schemas.openxmlformats.org/officeDocument/2006/relationships/chart" Target="../charts/chart157.xml"/><Relationship Id="rId30" Type="http://schemas.openxmlformats.org/officeDocument/2006/relationships/chart" Target="../charts/chart160.xml"/><Relationship Id="rId35" Type="http://schemas.openxmlformats.org/officeDocument/2006/relationships/chart" Target="../charts/chart165.xml"/><Relationship Id="rId43" Type="http://schemas.openxmlformats.org/officeDocument/2006/relationships/chart" Target="../charts/chart173.xml"/><Relationship Id="rId48" Type="http://schemas.openxmlformats.org/officeDocument/2006/relationships/chart" Target="../charts/chart178.xml"/><Relationship Id="rId56" Type="http://schemas.openxmlformats.org/officeDocument/2006/relationships/chart" Target="../charts/chart186.xml"/><Relationship Id="rId64" Type="http://schemas.openxmlformats.org/officeDocument/2006/relationships/chart" Target="../charts/chart194.xml"/><Relationship Id="rId69" Type="http://schemas.openxmlformats.org/officeDocument/2006/relationships/chart" Target="../charts/chart199.xml"/><Relationship Id="rId77" Type="http://schemas.openxmlformats.org/officeDocument/2006/relationships/chart" Target="../charts/chart207.xml"/><Relationship Id="rId8" Type="http://schemas.openxmlformats.org/officeDocument/2006/relationships/chart" Target="../charts/chart138.xml"/><Relationship Id="rId51" Type="http://schemas.openxmlformats.org/officeDocument/2006/relationships/chart" Target="../charts/chart181.xml"/><Relationship Id="rId72" Type="http://schemas.openxmlformats.org/officeDocument/2006/relationships/chart" Target="../charts/chart202.xml"/><Relationship Id="rId80" Type="http://schemas.openxmlformats.org/officeDocument/2006/relationships/chart" Target="../charts/chart210.xml"/><Relationship Id="rId85" Type="http://schemas.openxmlformats.org/officeDocument/2006/relationships/chart" Target="../charts/chart215.xml"/><Relationship Id="rId3" Type="http://schemas.openxmlformats.org/officeDocument/2006/relationships/chart" Target="../charts/chart133.xml"/><Relationship Id="rId12" Type="http://schemas.openxmlformats.org/officeDocument/2006/relationships/chart" Target="../charts/chart142.xml"/><Relationship Id="rId17" Type="http://schemas.openxmlformats.org/officeDocument/2006/relationships/chart" Target="../charts/chart147.xml"/><Relationship Id="rId25" Type="http://schemas.openxmlformats.org/officeDocument/2006/relationships/chart" Target="../charts/chart155.xml"/><Relationship Id="rId33" Type="http://schemas.openxmlformats.org/officeDocument/2006/relationships/chart" Target="../charts/chart163.xml"/><Relationship Id="rId38" Type="http://schemas.openxmlformats.org/officeDocument/2006/relationships/chart" Target="../charts/chart168.xml"/><Relationship Id="rId46" Type="http://schemas.openxmlformats.org/officeDocument/2006/relationships/chart" Target="../charts/chart176.xml"/><Relationship Id="rId59" Type="http://schemas.openxmlformats.org/officeDocument/2006/relationships/chart" Target="../charts/chart189.xml"/><Relationship Id="rId67" Type="http://schemas.openxmlformats.org/officeDocument/2006/relationships/chart" Target="../charts/chart197.xml"/><Relationship Id="rId20" Type="http://schemas.openxmlformats.org/officeDocument/2006/relationships/chart" Target="../charts/chart150.xml"/><Relationship Id="rId41" Type="http://schemas.openxmlformats.org/officeDocument/2006/relationships/chart" Target="../charts/chart171.xml"/><Relationship Id="rId54" Type="http://schemas.openxmlformats.org/officeDocument/2006/relationships/chart" Target="../charts/chart184.xml"/><Relationship Id="rId62" Type="http://schemas.openxmlformats.org/officeDocument/2006/relationships/chart" Target="../charts/chart192.xml"/><Relationship Id="rId70" Type="http://schemas.openxmlformats.org/officeDocument/2006/relationships/chart" Target="../charts/chart200.xml"/><Relationship Id="rId75" Type="http://schemas.openxmlformats.org/officeDocument/2006/relationships/chart" Target="../charts/chart205.xml"/><Relationship Id="rId83" Type="http://schemas.openxmlformats.org/officeDocument/2006/relationships/chart" Target="../charts/chart213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15" Type="http://schemas.openxmlformats.org/officeDocument/2006/relationships/chart" Target="../charts/chart145.xml"/><Relationship Id="rId23" Type="http://schemas.openxmlformats.org/officeDocument/2006/relationships/chart" Target="../charts/chart153.xml"/><Relationship Id="rId28" Type="http://schemas.openxmlformats.org/officeDocument/2006/relationships/chart" Target="../charts/chart158.xml"/><Relationship Id="rId36" Type="http://schemas.openxmlformats.org/officeDocument/2006/relationships/chart" Target="../charts/chart166.xml"/><Relationship Id="rId49" Type="http://schemas.openxmlformats.org/officeDocument/2006/relationships/chart" Target="../charts/chart179.xml"/><Relationship Id="rId57" Type="http://schemas.openxmlformats.org/officeDocument/2006/relationships/chart" Target="../charts/chart187.xml"/><Relationship Id="rId10" Type="http://schemas.openxmlformats.org/officeDocument/2006/relationships/chart" Target="../charts/chart140.xml"/><Relationship Id="rId31" Type="http://schemas.openxmlformats.org/officeDocument/2006/relationships/chart" Target="../charts/chart161.xml"/><Relationship Id="rId44" Type="http://schemas.openxmlformats.org/officeDocument/2006/relationships/chart" Target="../charts/chart174.xml"/><Relationship Id="rId52" Type="http://schemas.openxmlformats.org/officeDocument/2006/relationships/chart" Target="../charts/chart182.xml"/><Relationship Id="rId60" Type="http://schemas.openxmlformats.org/officeDocument/2006/relationships/chart" Target="../charts/chart190.xml"/><Relationship Id="rId65" Type="http://schemas.openxmlformats.org/officeDocument/2006/relationships/chart" Target="../charts/chart195.xml"/><Relationship Id="rId73" Type="http://schemas.openxmlformats.org/officeDocument/2006/relationships/chart" Target="../charts/chart203.xml"/><Relationship Id="rId78" Type="http://schemas.openxmlformats.org/officeDocument/2006/relationships/chart" Target="../charts/chart208.xml"/><Relationship Id="rId81" Type="http://schemas.openxmlformats.org/officeDocument/2006/relationships/chart" Target="../charts/chart211.xml"/></Relationships>
</file>

<file path=xl/drawings/_rels/drawing28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1.xml"/><Relationship Id="rId117" Type="http://schemas.openxmlformats.org/officeDocument/2006/relationships/chart" Target="../charts/chart332.xml"/><Relationship Id="rId21" Type="http://schemas.openxmlformats.org/officeDocument/2006/relationships/chart" Target="../charts/chart236.xml"/><Relationship Id="rId42" Type="http://schemas.openxmlformats.org/officeDocument/2006/relationships/chart" Target="../charts/chart257.xml"/><Relationship Id="rId47" Type="http://schemas.openxmlformats.org/officeDocument/2006/relationships/chart" Target="../charts/chart262.xml"/><Relationship Id="rId63" Type="http://schemas.openxmlformats.org/officeDocument/2006/relationships/chart" Target="../charts/chart278.xml"/><Relationship Id="rId68" Type="http://schemas.openxmlformats.org/officeDocument/2006/relationships/chart" Target="../charts/chart283.xml"/><Relationship Id="rId84" Type="http://schemas.openxmlformats.org/officeDocument/2006/relationships/chart" Target="../charts/chart299.xml"/><Relationship Id="rId89" Type="http://schemas.openxmlformats.org/officeDocument/2006/relationships/chart" Target="../charts/chart304.xml"/><Relationship Id="rId112" Type="http://schemas.openxmlformats.org/officeDocument/2006/relationships/chart" Target="../charts/chart327.xml"/><Relationship Id="rId133" Type="http://schemas.openxmlformats.org/officeDocument/2006/relationships/chart" Target="../charts/chart348.xml"/><Relationship Id="rId138" Type="http://schemas.openxmlformats.org/officeDocument/2006/relationships/chart" Target="../charts/chart353.xml"/><Relationship Id="rId154" Type="http://schemas.openxmlformats.org/officeDocument/2006/relationships/chart" Target="../charts/chart369.xml"/><Relationship Id="rId159" Type="http://schemas.openxmlformats.org/officeDocument/2006/relationships/chart" Target="../charts/chart374.xml"/><Relationship Id="rId170" Type="http://schemas.openxmlformats.org/officeDocument/2006/relationships/chart" Target="../charts/chart385.xml"/><Relationship Id="rId16" Type="http://schemas.openxmlformats.org/officeDocument/2006/relationships/chart" Target="../charts/chart231.xml"/><Relationship Id="rId107" Type="http://schemas.openxmlformats.org/officeDocument/2006/relationships/chart" Target="../charts/chart322.xml"/><Relationship Id="rId11" Type="http://schemas.openxmlformats.org/officeDocument/2006/relationships/chart" Target="../charts/chart226.xml"/><Relationship Id="rId32" Type="http://schemas.openxmlformats.org/officeDocument/2006/relationships/chart" Target="../charts/chart247.xml"/><Relationship Id="rId37" Type="http://schemas.openxmlformats.org/officeDocument/2006/relationships/chart" Target="../charts/chart252.xml"/><Relationship Id="rId53" Type="http://schemas.openxmlformats.org/officeDocument/2006/relationships/chart" Target="../charts/chart268.xml"/><Relationship Id="rId58" Type="http://schemas.openxmlformats.org/officeDocument/2006/relationships/chart" Target="../charts/chart273.xml"/><Relationship Id="rId74" Type="http://schemas.openxmlformats.org/officeDocument/2006/relationships/chart" Target="../charts/chart289.xml"/><Relationship Id="rId79" Type="http://schemas.openxmlformats.org/officeDocument/2006/relationships/chart" Target="../charts/chart294.xml"/><Relationship Id="rId102" Type="http://schemas.openxmlformats.org/officeDocument/2006/relationships/chart" Target="../charts/chart317.xml"/><Relationship Id="rId123" Type="http://schemas.openxmlformats.org/officeDocument/2006/relationships/chart" Target="../charts/chart338.xml"/><Relationship Id="rId128" Type="http://schemas.openxmlformats.org/officeDocument/2006/relationships/chart" Target="../charts/chart343.xml"/><Relationship Id="rId144" Type="http://schemas.openxmlformats.org/officeDocument/2006/relationships/chart" Target="../charts/chart359.xml"/><Relationship Id="rId149" Type="http://schemas.openxmlformats.org/officeDocument/2006/relationships/chart" Target="../charts/chart364.xml"/><Relationship Id="rId5" Type="http://schemas.openxmlformats.org/officeDocument/2006/relationships/chart" Target="../charts/chart220.xml"/><Relationship Id="rId90" Type="http://schemas.openxmlformats.org/officeDocument/2006/relationships/chart" Target="../charts/chart305.xml"/><Relationship Id="rId95" Type="http://schemas.openxmlformats.org/officeDocument/2006/relationships/chart" Target="../charts/chart310.xml"/><Relationship Id="rId160" Type="http://schemas.openxmlformats.org/officeDocument/2006/relationships/chart" Target="../charts/chart375.xml"/><Relationship Id="rId165" Type="http://schemas.openxmlformats.org/officeDocument/2006/relationships/chart" Target="../charts/chart380.xml"/><Relationship Id="rId22" Type="http://schemas.openxmlformats.org/officeDocument/2006/relationships/chart" Target="../charts/chart237.xml"/><Relationship Id="rId27" Type="http://schemas.openxmlformats.org/officeDocument/2006/relationships/chart" Target="../charts/chart242.xml"/><Relationship Id="rId43" Type="http://schemas.openxmlformats.org/officeDocument/2006/relationships/chart" Target="../charts/chart258.xml"/><Relationship Id="rId48" Type="http://schemas.openxmlformats.org/officeDocument/2006/relationships/chart" Target="../charts/chart263.xml"/><Relationship Id="rId64" Type="http://schemas.openxmlformats.org/officeDocument/2006/relationships/chart" Target="../charts/chart279.xml"/><Relationship Id="rId69" Type="http://schemas.openxmlformats.org/officeDocument/2006/relationships/chart" Target="../charts/chart284.xml"/><Relationship Id="rId113" Type="http://schemas.openxmlformats.org/officeDocument/2006/relationships/chart" Target="../charts/chart328.xml"/><Relationship Id="rId118" Type="http://schemas.openxmlformats.org/officeDocument/2006/relationships/chart" Target="../charts/chart333.xml"/><Relationship Id="rId134" Type="http://schemas.openxmlformats.org/officeDocument/2006/relationships/chart" Target="../charts/chart349.xml"/><Relationship Id="rId139" Type="http://schemas.openxmlformats.org/officeDocument/2006/relationships/chart" Target="../charts/chart354.xml"/><Relationship Id="rId80" Type="http://schemas.openxmlformats.org/officeDocument/2006/relationships/chart" Target="../charts/chart295.xml"/><Relationship Id="rId85" Type="http://schemas.openxmlformats.org/officeDocument/2006/relationships/chart" Target="../charts/chart300.xml"/><Relationship Id="rId150" Type="http://schemas.openxmlformats.org/officeDocument/2006/relationships/chart" Target="../charts/chart365.xml"/><Relationship Id="rId155" Type="http://schemas.openxmlformats.org/officeDocument/2006/relationships/chart" Target="../charts/chart370.xml"/><Relationship Id="rId12" Type="http://schemas.openxmlformats.org/officeDocument/2006/relationships/chart" Target="../charts/chart227.xml"/><Relationship Id="rId17" Type="http://schemas.openxmlformats.org/officeDocument/2006/relationships/chart" Target="../charts/chart232.xml"/><Relationship Id="rId33" Type="http://schemas.openxmlformats.org/officeDocument/2006/relationships/chart" Target="../charts/chart248.xml"/><Relationship Id="rId38" Type="http://schemas.openxmlformats.org/officeDocument/2006/relationships/chart" Target="../charts/chart253.xml"/><Relationship Id="rId59" Type="http://schemas.openxmlformats.org/officeDocument/2006/relationships/chart" Target="../charts/chart274.xml"/><Relationship Id="rId103" Type="http://schemas.openxmlformats.org/officeDocument/2006/relationships/chart" Target="../charts/chart318.xml"/><Relationship Id="rId108" Type="http://schemas.openxmlformats.org/officeDocument/2006/relationships/chart" Target="../charts/chart323.xml"/><Relationship Id="rId124" Type="http://schemas.openxmlformats.org/officeDocument/2006/relationships/chart" Target="../charts/chart339.xml"/><Relationship Id="rId129" Type="http://schemas.openxmlformats.org/officeDocument/2006/relationships/chart" Target="../charts/chart344.xml"/><Relationship Id="rId54" Type="http://schemas.openxmlformats.org/officeDocument/2006/relationships/chart" Target="../charts/chart269.xml"/><Relationship Id="rId70" Type="http://schemas.openxmlformats.org/officeDocument/2006/relationships/chart" Target="../charts/chart285.xml"/><Relationship Id="rId75" Type="http://schemas.openxmlformats.org/officeDocument/2006/relationships/chart" Target="../charts/chart290.xml"/><Relationship Id="rId91" Type="http://schemas.openxmlformats.org/officeDocument/2006/relationships/chart" Target="../charts/chart306.xml"/><Relationship Id="rId96" Type="http://schemas.openxmlformats.org/officeDocument/2006/relationships/chart" Target="../charts/chart311.xml"/><Relationship Id="rId140" Type="http://schemas.openxmlformats.org/officeDocument/2006/relationships/chart" Target="../charts/chart355.xml"/><Relationship Id="rId145" Type="http://schemas.openxmlformats.org/officeDocument/2006/relationships/chart" Target="../charts/chart360.xml"/><Relationship Id="rId161" Type="http://schemas.openxmlformats.org/officeDocument/2006/relationships/chart" Target="../charts/chart376.xml"/><Relationship Id="rId166" Type="http://schemas.openxmlformats.org/officeDocument/2006/relationships/chart" Target="../charts/chart381.xml"/><Relationship Id="rId1" Type="http://schemas.openxmlformats.org/officeDocument/2006/relationships/chart" Target="../charts/chart216.xml"/><Relationship Id="rId6" Type="http://schemas.openxmlformats.org/officeDocument/2006/relationships/chart" Target="../charts/chart221.xml"/><Relationship Id="rId15" Type="http://schemas.openxmlformats.org/officeDocument/2006/relationships/chart" Target="../charts/chart230.xml"/><Relationship Id="rId23" Type="http://schemas.openxmlformats.org/officeDocument/2006/relationships/chart" Target="../charts/chart238.xml"/><Relationship Id="rId28" Type="http://schemas.openxmlformats.org/officeDocument/2006/relationships/chart" Target="../charts/chart243.xml"/><Relationship Id="rId36" Type="http://schemas.openxmlformats.org/officeDocument/2006/relationships/chart" Target="../charts/chart251.xml"/><Relationship Id="rId49" Type="http://schemas.openxmlformats.org/officeDocument/2006/relationships/chart" Target="../charts/chart264.xml"/><Relationship Id="rId57" Type="http://schemas.openxmlformats.org/officeDocument/2006/relationships/chart" Target="../charts/chart272.xml"/><Relationship Id="rId106" Type="http://schemas.openxmlformats.org/officeDocument/2006/relationships/chart" Target="../charts/chart321.xml"/><Relationship Id="rId114" Type="http://schemas.openxmlformats.org/officeDocument/2006/relationships/chart" Target="../charts/chart329.xml"/><Relationship Id="rId119" Type="http://schemas.openxmlformats.org/officeDocument/2006/relationships/chart" Target="../charts/chart334.xml"/><Relationship Id="rId127" Type="http://schemas.openxmlformats.org/officeDocument/2006/relationships/chart" Target="../charts/chart342.xml"/><Relationship Id="rId10" Type="http://schemas.openxmlformats.org/officeDocument/2006/relationships/chart" Target="../charts/chart225.xml"/><Relationship Id="rId31" Type="http://schemas.openxmlformats.org/officeDocument/2006/relationships/chart" Target="../charts/chart246.xml"/><Relationship Id="rId44" Type="http://schemas.openxmlformats.org/officeDocument/2006/relationships/chart" Target="../charts/chart259.xml"/><Relationship Id="rId52" Type="http://schemas.openxmlformats.org/officeDocument/2006/relationships/chart" Target="../charts/chart267.xml"/><Relationship Id="rId60" Type="http://schemas.openxmlformats.org/officeDocument/2006/relationships/chart" Target="../charts/chart275.xml"/><Relationship Id="rId65" Type="http://schemas.openxmlformats.org/officeDocument/2006/relationships/chart" Target="../charts/chart280.xml"/><Relationship Id="rId73" Type="http://schemas.openxmlformats.org/officeDocument/2006/relationships/chart" Target="../charts/chart288.xml"/><Relationship Id="rId78" Type="http://schemas.openxmlformats.org/officeDocument/2006/relationships/chart" Target="../charts/chart293.xml"/><Relationship Id="rId81" Type="http://schemas.openxmlformats.org/officeDocument/2006/relationships/chart" Target="../charts/chart296.xml"/><Relationship Id="rId86" Type="http://schemas.openxmlformats.org/officeDocument/2006/relationships/chart" Target="../charts/chart301.xml"/><Relationship Id="rId94" Type="http://schemas.openxmlformats.org/officeDocument/2006/relationships/chart" Target="../charts/chart309.xml"/><Relationship Id="rId99" Type="http://schemas.openxmlformats.org/officeDocument/2006/relationships/chart" Target="../charts/chart314.xml"/><Relationship Id="rId101" Type="http://schemas.openxmlformats.org/officeDocument/2006/relationships/chart" Target="../charts/chart316.xml"/><Relationship Id="rId122" Type="http://schemas.openxmlformats.org/officeDocument/2006/relationships/chart" Target="../charts/chart337.xml"/><Relationship Id="rId130" Type="http://schemas.openxmlformats.org/officeDocument/2006/relationships/chart" Target="../charts/chart345.xml"/><Relationship Id="rId135" Type="http://schemas.openxmlformats.org/officeDocument/2006/relationships/chart" Target="../charts/chart350.xml"/><Relationship Id="rId143" Type="http://schemas.openxmlformats.org/officeDocument/2006/relationships/chart" Target="../charts/chart358.xml"/><Relationship Id="rId148" Type="http://schemas.openxmlformats.org/officeDocument/2006/relationships/chart" Target="../charts/chart363.xml"/><Relationship Id="rId151" Type="http://schemas.openxmlformats.org/officeDocument/2006/relationships/chart" Target="../charts/chart366.xml"/><Relationship Id="rId156" Type="http://schemas.openxmlformats.org/officeDocument/2006/relationships/chart" Target="../charts/chart371.xml"/><Relationship Id="rId164" Type="http://schemas.openxmlformats.org/officeDocument/2006/relationships/chart" Target="../charts/chart379.xml"/><Relationship Id="rId169" Type="http://schemas.openxmlformats.org/officeDocument/2006/relationships/chart" Target="../charts/chart384.xml"/><Relationship Id="rId4" Type="http://schemas.openxmlformats.org/officeDocument/2006/relationships/chart" Target="../charts/chart219.xml"/><Relationship Id="rId9" Type="http://schemas.openxmlformats.org/officeDocument/2006/relationships/chart" Target="../charts/chart224.xml"/><Relationship Id="rId13" Type="http://schemas.openxmlformats.org/officeDocument/2006/relationships/chart" Target="../charts/chart228.xml"/><Relationship Id="rId18" Type="http://schemas.openxmlformats.org/officeDocument/2006/relationships/chart" Target="../charts/chart233.xml"/><Relationship Id="rId39" Type="http://schemas.openxmlformats.org/officeDocument/2006/relationships/chart" Target="../charts/chart254.xml"/><Relationship Id="rId109" Type="http://schemas.openxmlformats.org/officeDocument/2006/relationships/chart" Target="../charts/chart324.xml"/><Relationship Id="rId34" Type="http://schemas.openxmlformats.org/officeDocument/2006/relationships/chart" Target="../charts/chart249.xml"/><Relationship Id="rId50" Type="http://schemas.openxmlformats.org/officeDocument/2006/relationships/chart" Target="../charts/chart265.xml"/><Relationship Id="rId55" Type="http://schemas.openxmlformats.org/officeDocument/2006/relationships/chart" Target="../charts/chart270.xml"/><Relationship Id="rId76" Type="http://schemas.openxmlformats.org/officeDocument/2006/relationships/chart" Target="../charts/chart291.xml"/><Relationship Id="rId97" Type="http://schemas.openxmlformats.org/officeDocument/2006/relationships/chart" Target="../charts/chart312.xml"/><Relationship Id="rId104" Type="http://schemas.openxmlformats.org/officeDocument/2006/relationships/chart" Target="../charts/chart319.xml"/><Relationship Id="rId120" Type="http://schemas.openxmlformats.org/officeDocument/2006/relationships/chart" Target="../charts/chart335.xml"/><Relationship Id="rId125" Type="http://schemas.openxmlformats.org/officeDocument/2006/relationships/chart" Target="../charts/chart340.xml"/><Relationship Id="rId141" Type="http://schemas.openxmlformats.org/officeDocument/2006/relationships/chart" Target="../charts/chart356.xml"/><Relationship Id="rId146" Type="http://schemas.openxmlformats.org/officeDocument/2006/relationships/chart" Target="../charts/chart361.xml"/><Relationship Id="rId167" Type="http://schemas.openxmlformats.org/officeDocument/2006/relationships/chart" Target="../charts/chart382.xml"/><Relationship Id="rId7" Type="http://schemas.openxmlformats.org/officeDocument/2006/relationships/chart" Target="../charts/chart222.xml"/><Relationship Id="rId71" Type="http://schemas.openxmlformats.org/officeDocument/2006/relationships/chart" Target="../charts/chart286.xml"/><Relationship Id="rId92" Type="http://schemas.openxmlformats.org/officeDocument/2006/relationships/chart" Target="../charts/chart307.xml"/><Relationship Id="rId162" Type="http://schemas.openxmlformats.org/officeDocument/2006/relationships/chart" Target="../charts/chart377.xml"/><Relationship Id="rId2" Type="http://schemas.openxmlformats.org/officeDocument/2006/relationships/chart" Target="../charts/chart217.xml"/><Relationship Id="rId29" Type="http://schemas.openxmlformats.org/officeDocument/2006/relationships/chart" Target="../charts/chart244.xml"/><Relationship Id="rId24" Type="http://schemas.openxmlformats.org/officeDocument/2006/relationships/chart" Target="../charts/chart239.xml"/><Relationship Id="rId40" Type="http://schemas.openxmlformats.org/officeDocument/2006/relationships/chart" Target="../charts/chart255.xml"/><Relationship Id="rId45" Type="http://schemas.openxmlformats.org/officeDocument/2006/relationships/chart" Target="../charts/chart260.xml"/><Relationship Id="rId66" Type="http://schemas.openxmlformats.org/officeDocument/2006/relationships/chart" Target="../charts/chart281.xml"/><Relationship Id="rId87" Type="http://schemas.openxmlformats.org/officeDocument/2006/relationships/chart" Target="../charts/chart302.xml"/><Relationship Id="rId110" Type="http://schemas.openxmlformats.org/officeDocument/2006/relationships/chart" Target="../charts/chart325.xml"/><Relationship Id="rId115" Type="http://schemas.openxmlformats.org/officeDocument/2006/relationships/chart" Target="../charts/chart330.xml"/><Relationship Id="rId131" Type="http://schemas.openxmlformats.org/officeDocument/2006/relationships/chart" Target="../charts/chart346.xml"/><Relationship Id="rId136" Type="http://schemas.openxmlformats.org/officeDocument/2006/relationships/chart" Target="../charts/chart351.xml"/><Relationship Id="rId157" Type="http://schemas.openxmlformats.org/officeDocument/2006/relationships/chart" Target="../charts/chart372.xml"/><Relationship Id="rId61" Type="http://schemas.openxmlformats.org/officeDocument/2006/relationships/chart" Target="../charts/chart276.xml"/><Relationship Id="rId82" Type="http://schemas.openxmlformats.org/officeDocument/2006/relationships/chart" Target="../charts/chart297.xml"/><Relationship Id="rId152" Type="http://schemas.openxmlformats.org/officeDocument/2006/relationships/chart" Target="../charts/chart367.xml"/><Relationship Id="rId19" Type="http://schemas.openxmlformats.org/officeDocument/2006/relationships/chart" Target="../charts/chart234.xml"/><Relationship Id="rId14" Type="http://schemas.openxmlformats.org/officeDocument/2006/relationships/chart" Target="../charts/chart229.xml"/><Relationship Id="rId30" Type="http://schemas.openxmlformats.org/officeDocument/2006/relationships/chart" Target="../charts/chart245.xml"/><Relationship Id="rId35" Type="http://schemas.openxmlformats.org/officeDocument/2006/relationships/chart" Target="../charts/chart250.xml"/><Relationship Id="rId56" Type="http://schemas.openxmlformats.org/officeDocument/2006/relationships/chart" Target="../charts/chart271.xml"/><Relationship Id="rId77" Type="http://schemas.openxmlformats.org/officeDocument/2006/relationships/chart" Target="../charts/chart292.xml"/><Relationship Id="rId100" Type="http://schemas.openxmlformats.org/officeDocument/2006/relationships/chart" Target="../charts/chart315.xml"/><Relationship Id="rId105" Type="http://schemas.openxmlformats.org/officeDocument/2006/relationships/chart" Target="../charts/chart320.xml"/><Relationship Id="rId126" Type="http://schemas.openxmlformats.org/officeDocument/2006/relationships/chart" Target="../charts/chart341.xml"/><Relationship Id="rId147" Type="http://schemas.openxmlformats.org/officeDocument/2006/relationships/chart" Target="../charts/chart362.xml"/><Relationship Id="rId168" Type="http://schemas.openxmlformats.org/officeDocument/2006/relationships/chart" Target="../charts/chart383.xml"/><Relationship Id="rId8" Type="http://schemas.openxmlformats.org/officeDocument/2006/relationships/chart" Target="../charts/chart223.xml"/><Relationship Id="rId51" Type="http://schemas.openxmlformats.org/officeDocument/2006/relationships/chart" Target="../charts/chart266.xml"/><Relationship Id="rId72" Type="http://schemas.openxmlformats.org/officeDocument/2006/relationships/chart" Target="../charts/chart287.xml"/><Relationship Id="rId93" Type="http://schemas.openxmlformats.org/officeDocument/2006/relationships/chart" Target="../charts/chart308.xml"/><Relationship Id="rId98" Type="http://schemas.openxmlformats.org/officeDocument/2006/relationships/chart" Target="../charts/chart313.xml"/><Relationship Id="rId121" Type="http://schemas.openxmlformats.org/officeDocument/2006/relationships/chart" Target="../charts/chart336.xml"/><Relationship Id="rId142" Type="http://schemas.openxmlformats.org/officeDocument/2006/relationships/chart" Target="../charts/chart357.xml"/><Relationship Id="rId163" Type="http://schemas.openxmlformats.org/officeDocument/2006/relationships/chart" Target="../charts/chart378.xml"/><Relationship Id="rId3" Type="http://schemas.openxmlformats.org/officeDocument/2006/relationships/chart" Target="../charts/chart218.xml"/><Relationship Id="rId25" Type="http://schemas.openxmlformats.org/officeDocument/2006/relationships/chart" Target="../charts/chart240.xml"/><Relationship Id="rId46" Type="http://schemas.openxmlformats.org/officeDocument/2006/relationships/chart" Target="../charts/chart261.xml"/><Relationship Id="rId67" Type="http://schemas.openxmlformats.org/officeDocument/2006/relationships/chart" Target="../charts/chart282.xml"/><Relationship Id="rId116" Type="http://schemas.openxmlformats.org/officeDocument/2006/relationships/chart" Target="../charts/chart331.xml"/><Relationship Id="rId137" Type="http://schemas.openxmlformats.org/officeDocument/2006/relationships/chart" Target="../charts/chart352.xml"/><Relationship Id="rId158" Type="http://schemas.openxmlformats.org/officeDocument/2006/relationships/chart" Target="../charts/chart373.xml"/><Relationship Id="rId20" Type="http://schemas.openxmlformats.org/officeDocument/2006/relationships/chart" Target="../charts/chart235.xml"/><Relationship Id="rId41" Type="http://schemas.openxmlformats.org/officeDocument/2006/relationships/chart" Target="../charts/chart256.xml"/><Relationship Id="rId62" Type="http://schemas.openxmlformats.org/officeDocument/2006/relationships/chart" Target="../charts/chart277.xml"/><Relationship Id="rId83" Type="http://schemas.openxmlformats.org/officeDocument/2006/relationships/chart" Target="../charts/chart298.xml"/><Relationship Id="rId88" Type="http://schemas.openxmlformats.org/officeDocument/2006/relationships/chart" Target="../charts/chart303.xml"/><Relationship Id="rId111" Type="http://schemas.openxmlformats.org/officeDocument/2006/relationships/chart" Target="../charts/chart326.xml"/><Relationship Id="rId132" Type="http://schemas.openxmlformats.org/officeDocument/2006/relationships/chart" Target="../charts/chart347.xml"/><Relationship Id="rId153" Type="http://schemas.openxmlformats.org/officeDocument/2006/relationships/chart" Target="../charts/chart36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1" Type="http://schemas.openxmlformats.org/officeDocument/2006/relationships/chart" Target="../charts/chart71.xml"/><Relationship Id="rId5" Type="http://schemas.openxmlformats.org/officeDocument/2006/relationships/chart" Target="../charts/chart65.xml"/><Relationship Id="rId10" Type="http://schemas.openxmlformats.org/officeDocument/2006/relationships/chart" Target="../charts/chart70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9.xml"/><Relationship Id="rId13" Type="http://schemas.openxmlformats.org/officeDocument/2006/relationships/chart" Target="../charts/chart84.xml"/><Relationship Id="rId18" Type="http://schemas.openxmlformats.org/officeDocument/2006/relationships/chart" Target="../charts/chart89.xml"/><Relationship Id="rId3" Type="http://schemas.openxmlformats.org/officeDocument/2006/relationships/chart" Target="../charts/chart74.xml"/><Relationship Id="rId21" Type="http://schemas.openxmlformats.org/officeDocument/2006/relationships/chart" Target="../charts/chart92.xml"/><Relationship Id="rId7" Type="http://schemas.openxmlformats.org/officeDocument/2006/relationships/chart" Target="../charts/chart78.xml"/><Relationship Id="rId12" Type="http://schemas.openxmlformats.org/officeDocument/2006/relationships/chart" Target="../charts/chart83.xml"/><Relationship Id="rId17" Type="http://schemas.openxmlformats.org/officeDocument/2006/relationships/chart" Target="../charts/chart88.xml"/><Relationship Id="rId2" Type="http://schemas.openxmlformats.org/officeDocument/2006/relationships/chart" Target="../charts/chart73.xml"/><Relationship Id="rId16" Type="http://schemas.openxmlformats.org/officeDocument/2006/relationships/chart" Target="../charts/chart87.xml"/><Relationship Id="rId20" Type="http://schemas.openxmlformats.org/officeDocument/2006/relationships/chart" Target="../charts/chart91.xml"/><Relationship Id="rId1" Type="http://schemas.openxmlformats.org/officeDocument/2006/relationships/chart" Target="../charts/chart72.xml"/><Relationship Id="rId6" Type="http://schemas.openxmlformats.org/officeDocument/2006/relationships/chart" Target="../charts/chart77.xml"/><Relationship Id="rId11" Type="http://schemas.openxmlformats.org/officeDocument/2006/relationships/chart" Target="../charts/chart82.xml"/><Relationship Id="rId24" Type="http://schemas.openxmlformats.org/officeDocument/2006/relationships/chart" Target="../charts/chart95.xml"/><Relationship Id="rId5" Type="http://schemas.openxmlformats.org/officeDocument/2006/relationships/chart" Target="../charts/chart76.xml"/><Relationship Id="rId15" Type="http://schemas.openxmlformats.org/officeDocument/2006/relationships/chart" Target="../charts/chart86.xml"/><Relationship Id="rId23" Type="http://schemas.openxmlformats.org/officeDocument/2006/relationships/chart" Target="../charts/chart94.xml"/><Relationship Id="rId10" Type="http://schemas.openxmlformats.org/officeDocument/2006/relationships/chart" Target="../charts/chart81.xml"/><Relationship Id="rId19" Type="http://schemas.openxmlformats.org/officeDocument/2006/relationships/chart" Target="../charts/chart90.xml"/><Relationship Id="rId4" Type="http://schemas.openxmlformats.org/officeDocument/2006/relationships/chart" Target="../charts/chart75.xml"/><Relationship Id="rId9" Type="http://schemas.openxmlformats.org/officeDocument/2006/relationships/chart" Target="../charts/chart80.xml"/><Relationship Id="rId14" Type="http://schemas.openxmlformats.org/officeDocument/2006/relationships/chart" Target="../charts/chart85.xml"/><Relationship Id="rId22" Type="http://schemas.openxmlformats.org/officeDocument/2006/relationships/chart" Target="../charts/chart9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0</xdr:row>
      <xdr:rowOff>190499</xdr:rowOff>
    </xdr:from>
    <xdr:to>
      <xdr:col>6</xdr:col>
      <xdr:colOff>752475</xdr:colOff>
      <xdr:row>20</xdr:row>
      <xdr:rowOff>104774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23</xdr:row>
      <xdr:rowOff>0</xdr:rowOff>
    </xdr:from>
    <xdr:to>
      <xdr:col>7</xdr:col>
      <xdr:colOff>19051</xdr:colOff>
      <xdr:row>37</xdr:row>
      <xdr:rowOff>76200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733425</xdr:colOff>
      <xdr:row>39</xdr:row>
      <xdr:rowOff>123825</xdr:rowOff>
    </xdr:from>
    <xdr:to>
      <xdr:col>6</xdr:col>
      <xdr:colOff>733425</xdr:colOff>
      <xdr:row>54</xdr:row>
      <xdr:rowOff>9525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55</xdr:row>
      <xdr:rowOff>28575</xdr:rowOff>
    </xdr:from>
    <xdr:to>
      <xdr:col>7</xdr:col>
      <xdr:colOff>0</xdr:colOff>
      <xdr:row>69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476249</xdr:colOff>
      <xdr:row>70</xdr:row>
      <xdr:rowOff>180974</xdr:rowOff>
    </xdr:from>
    <xdr:to>
      <xdr:col>9</xdr:col>
      <xdr:colOff>485774</xdr:colOff>
      <xdr:row>100</xdr:row>
      <xdr:rowOff>137583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28575</xdr:colOff>
      <xdr:row>1</xdr:row>
      <xdr:rowOff>19050</xdr:rowOff>
    </xdr:from>
    <xdr:to>
      <xdr:col>14</xdr:col>
      <xdr:colOff>28575</xdr:colOff>
      <xdr:row>15</xdr:row>
      <xdr:rowOff>95250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18</xdr:row>
      <xdr:rowOff>180975</xdr:rowOff>
    </xdr:from>
    <xdr:to>
      <xdr:col>14</xdr:col>
      <xdr:colOff>0</xdr:colOff>
      <xdr:row>33</xdr:row>
      <xdr:rowOff>66675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752475</xdr:colOff>
      <xdr:row>1</xdr:row>
      <xdr:rowOff>19050</xdr:rowOff>
    </xdr:from>
    <xdr:to>
      <xdr:col>20</xdr:col>
      <xdr:colOff>752475</xdr:colOff>
      <xdr:row>15</xdr:row>
      <xdr:rowOff>95250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28575</xdr:colOff>
      <xdr:row>16</xdr:row>
      <xdr:rowOff>0</xdr:rowOff>
    </xdr:from>
    <xdr:to>
      <xdr:col>21</xdr:col>
      <xdr:colOff>28575</xdr:colOff>
      <xdr:row>30</xdr:row>
      <xdr:rowOff>76200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733425</xdr:colOff>
      <xdr:row>31</xdr:row>
      <xdr:rowOff>28575</xdr:rowOff>
    </xdr:from>
    <xdr:to>
      <xdr:col>20</xdr:col>
      <xdr:colOff>733425</xdr:colOff>
      <xdr:row>45</xdr:row>
      <xdr:rowOff>104775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742950</xdr:colOff>
      <xdr:row>46</xdr:row>
      <xdr:rowOff>142875</xdr:rowOff>
    </xdr:from>
    <xdr:to>
      <xdr:col>20</xdr:col>
      <xdr:colOff>742950</xdr:colOff>
      <xdr:row>61</xdr:row>
      <xdr:rowOff>28575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135466</xdr:colOff>
      <xdr:row>63</xdr:row>
      <xdr:rowOff>26458</xdr:rowOff>
    </xdr:from>
    <xdr:to>
      <xdr:col>26</xdr:col>
      <xdr:colOff>167217</xdr:colOff>
      <xdr:row>98</xdr:row>
      <xdr:rowOff>68792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21</xdr:col>
      <xdr:colOff>523875</xdr:colOff>
      <xdr:row>1</xdr:row>
      <xdr:rowOff>19050</xdr:rowOff>
    </xdr:from>
    <xdr:to>
      <xdr:col>27</xdr:col>
      <xdr:colOff>523875</xdr:colOff>
      <xdr:row>15</xdr:row>
      <xdr:rowOff>95250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21</xdr:col>
      <xdr:colOff>609600</xdr:colOff>
      <xdr:row>17</xdr:row>
      <xdr:rowOff>28574</xdr:rowOff>
    </xdr:from>
    <xdr:to>
      <xdr:col>28</xdr:col>
      <xdr:colOff>387350</xdr:colOff>
      <xdr:row>38</xdr:row>
      <xdr:rowOff>19049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723900</xdr:colOff>
      <xdr:row>41</xdr:row>
      <xdr:rowOff>171450</xdr:rowOff>
    </xdr:from>
    <xdr:to>
      <xdr:col>27</xdr:col>
      <xdr:colOff>723900</xdr:colOff>
      <xdr:row>56</xdr:row>
      <xdr:rowOff>57150</xdr:rowOff>
    </xdr:to>
    <xdr:graphicFrame macro="">
      <xdr:nvGraphicFramePr>
        <xdr:cNvPr id="21" name="2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29</xdr:col>
      <xdr:colOff>266700</xdr:colOff>
      <xdr:row>0</xdr:row>
      <xdr:rowOff>180975</xdr:rowOff>
    </xdr:from>
    <xdr:to>
      <xdr:col>36</xdr:col>
      <xdr:colOff>304800</xdr:colOff>
      <xdr:row>38</xdr:row>
      <xdr:rowOff>180975</xdr:rowOff>
    </xdr:to>
    <xdr:graphicFrame macro="">
      <xdr:nvGraphicFramePr>
        <xdr:cNvPr id="23" name="2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695325</xdr:colOff>
      <xdr:row>40</xdr:row>
      <xdr:rowOff>28574</xdr:rowOff>
    </xdr:from>
    <xdr:to>
      <xdr:col>34</xdr:col>
      <xdr:colOff>695325</xdr:colOff>
      <xdr:row>60</xdr:row>
      <xdr:rowOff>95249</xdr:rowOff>
    </xdr:to>
    <xdr:graphicFrame macro="">
      <xdr:nvGraphicFramePr>
        <xdr:cNvPr id="24" name="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29</xdr:col>
      <xdr:colOff>9525</xdr:colOff>
      <xdr:row>62</xdr:row>
      <xdr:rowOff>76200</xdr:rowOff>
    </xdr:from>
    <xdr:to>
      <xdr:col>36</xdr:col>
      <xdr:colOff>352425</xdr:colOff>
      <xdr:row>84</xdr:row>
      <xdr:rowOff>171450</xdr:rowOff>
    </xdr:to>
    <xdr:graphicFrame macro="">
      <xdr:nvGraphicFramePr>
        <xdr:cNvPr id="25" name="2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28575</xdr:colOff>
      <xdr:row>86</xdr:row>
      <xdr:rowOff>133350</xdr:rowOff>
    </xdr:from>
    <xdr:to>
      <xdr:col>35</xdr:col>
      <xdr:colOff>28575</xdr:colOff>
      <xdr:row>101</xdr:row>
      <xdr:rowOff>19050</xdr:rowOff>
    </xdr:to>
    <xdr:graphicFrame macro="">
      <xdr:nvGraphicFramePr>
        <xdr:cNvPr id="26" name="2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37</xdr:col>
      <xdr:colOff>38100</xdr:colOff>
      <xdr:row>1</xdr:row>
      <xdr:rowOff>19049</xdr:rowOff>
    </xdr:from>
    <xdr:to>
      <xdr:col>43</xdr:col>
      <xdr:colOff>525992</xdr:colOff>
      <xdr:row>17</xdr:row>
      <xdr:rowOff>179916</xdr:rowOff>
    </xdr:to>
    <xdr:graphicFrame macro="">
      <xdr:nvGraphicFramePr>
        <xdr:cNvPr id="28" name="2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95</xdr:col>
      <xdr:colOff>75141</xdr:colOff>
      <xdr:row>0</xdr:row>
      <xdr:rowOff>89954</xdr:rowOff>
    </xdr:from>
    <xdr:to>
      <xdr:col>104</xdr:col>
      <xdr:colOff>52917</xdr:colOff>
      <xdr:row>30</xdr:row>
      <xdr:rowOff>148165</xdr:rowOff>
    </xdr:to>
    <xdr:graphicFrame macro="">
      <xdr:nvGraphicFramePr>
        <xdr:cNvPr id="30" name="2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37</xdr:col>
      <xdr:colOff>9525</xdr:colOff>
      <xdr:row>19</xdr:row>
      <xdr:rowOff>123824</xdr:rowOff>
    </xdr:from>
    <xdr:to>
      <xdr:col>43</xdr:col>
      <xdr:colOff>752475</xdr:colOff>
      <xdr:row>40</xdr:row>
      <xdr:rowOff>47625</xdr:rowOff>
    </xdr:to>
    <xdr:graphicFrame macro="">
      <xdr:nvGraphicFramePr>
        <xdr:cNvPr id="31" name="3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37</xdr:col>
      <xdr:colOff>9525</xdr:colOff>
      <xdr:row>43</xdr:row>
      <xdr:rowOff>9525</xdr:rowOff>
    </xdr:from>
    <xdr:to>
      <xdr:col>44</xdr:col>
      <xdr:colOff>85725</xdr:colOff>
      <xdr:row>63</xdr:row>
      <xdr:rowOff>47625</xdr:rowOff>
    </xdr:to>
    <xdr:graphicFrame macro="">
      <xdr:nvGraphicFramePr>
        <xdr:cNvPr id="32" name="3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45</xdr:col>
      <xdr:colOff>723900</xdr:colOff>
      <xdr:row>1</xdr:row>
      <xdr:rowOff>19050</xdr:rowOff>
    </xdr:from>
    <xdr:to>
      <xdr:col>51</xdr:col>
      <xdr:colOff>723900</xdr:colOff>
      <xdr:row>15</xdr:row>
      <xdr:rowOff>95250</xdr:rowOff>
    </xdr:to>
    <xdr:graphicFrame macro="">
      <xdr:nvGraphicFramePr>
        <xdr:cNvPr id="33" name="3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45</xdr:col>
      <xdr:colOff>752475</xdr:colOff>
      <xdr:row>17</xdr:row>
      <xdr:rowOff>19050</xdr:rowOff>
    </xdr:from>
    <xdr:to>
      <xdr:col>51</xdr:col>
      <xdr:colOff>752475</xdr:colOff>
      <xdr:row>31</xdr:row>
      <xdr:rowOff>95250</xdr:rowOff>
    </xdr:to>
    <xdr:graphicFrame macro="">
      <xdr:nvGraphicFramePr>
        <xdr:cNvPr id="35" name="3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45</xdr:col>
      <xdr:colOff>742950</xdr:colOff>
      <xdr:row>32</xdr:row>
      <xdr:rowOff>95250</xdr:rowOff>
    </xdr:from>
    <xdr:to>
      <xdr:col>51</xdr:col>
      <xdr:colOff>742950</xdr:colOff>
      <xdr:row>54</xdr:row>
      <xdr:rowOff>95250</xdr:rowOff>
    </xdr:to>
    <xdr:graphicFrame macro="">
      <xdr:nvGraphicFramePr>
        <xdr:cNvPr id="36" name="3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57</xdr:col>
      <xdr:colOff>0</xdr:colOff>
      <xdr:row>0</xdr:row>
      <xdr:rowOff>171450</xdr:rowOff>
    </xdr:from>
    <xdr:to>
      <xdr:col>63</xdr:col>
      <xdr:colOff>0</xdr:colOff>
      <xdr:row>15</xdr:row>
      <xdr:rowOff>57150</xdr:rowOff>
    </xdr:to>
    <xdr:graphicFrame macro="">
      <xdr:nvGraphicFramePr>
        <xdr:cNvPr id="39" name="3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57</xdr:col>
      <xdr:colOff>38100</xdr:colOff>
      <xdr:row>16</xdr:row>
      <xdr:rowOff>152400</xdr:rowOff>
    </xdr:from>
    <xdr:to>
      <xdr:col>63</xdr:col>
      <xdr:colOff>38100</xdr:colOff>
      <xdr:row>31</xdr:row>
      <xdr:rowOff>38100</xdr:rowOff>
    </xdr:to>
    <xdr:graphicFrame macro="">
      <xdr:nvGraphicFramePr>
        <xdr:cNvPr id="41" name="4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56</xdr:col>
      <xdr:colOff>314325</xdr:colOff>
      <xdr:row>32</xdr:row>
      <xdr:rowOff>133351</xdr:rowOff>
    </xdr:from>
    <xdr:to>
      <xdr:col>63</xdr:col>
      <xdr:colOff>28575</xdr:colOff>
      <xdr:row>54</xdr:row>
      <xdr:rowOff>142875</xdr:rowOff>
    </xdr:to>
    <xdr:graphicFrame macro="">
      <xdr:nvGraphicFramePr>
        <xdr:cNvPr id="43" name="4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53</xdr:col>
      <xdr:colOff>656168</xdr:colOff>
      <xdr:row>76</xdr:row>
      <xdr:rowOff>104774</xdr:rowOff>
    </xdr:from>
    <xdr:to>
      <xdr:col>63</xdr:col>
      <xdr:colOff>657226</xdr:colOff>
      <xdr:row>107</xdr:row>
      <xdr:rowOff>84667</xdr:rowOff>
    </xdr:to>
    <xdr:graphicFrame macro="">
      <xdr:nvGraphicFramePr>
        <xdr:cNvPr id="44" name="4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56</xdr:col>
      <xdr:colOff>333374</xdr:colOff>
      <xdr:row>57</xdr:row>
      <xdr:rowOff>9524</xdr:rowOff>
    </xdr:from>
    <xdr:to>
      <xdr:col>62</xdr:col>
      <xdr:colOff>742949</xdr:colOff>
      <xdr:row>75</xdr:row>
      <xdr:rowOff>19049</xdr:rowOff>
    </xdr:to>
    <xdr:graphicFrame macro="">
      <xdr:nvGraphicFramePr>
        <xdr:cNvPr id="45" name="4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54</xdr:col>
      <xdr:colOff>20107</xdr:colOff>
      <xdr:row>110</xdr:row>
      <xdr:rowOff>157691</xdr:rowOff>
    </xdr:from>
    <xdr:to>
      <xdr:col>63</xdr:col>
      <xdr:colOff>277282</xdr:colOff>
      <xdr:row>141</xdr:row>
      <xdr:rowOff>52916</xdr:rowOff>
    </xdr:to>
    <xdr:graphicFrame macro="">
      <xdr:nvGraphicFramePr>
        <xdr:cNvPr id="47" name="4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64</xdr:col>
      <xdr:colOff>0</xdr:colOff>
      <xdr:row>1</xdr:row>
      <xdr:rowOff>28575</xdr:rowOff>
    </xdr:from>
    <xdr:to>
      <xdr:col>70</xdr:col>
      <xdr:colOff>0</xdr:colOff>
      <xdr:row>15</xdr:row>
      <xdr:rowOff>104775</xdr:rowOff>
    </xdr:to>
    <xdr:graphicFrame macro="">
      <xdr:nvGraphicFramePr>
        <xdr:cNvPr id="50" name="4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64</xdr:col>
      <xdr:colOff>0</xdr:colOff>
      <xdr:row>16</xdr:row>
      <xdr:rowOff>180975</xdr:rowOff>
    </xdr:from>
    <xdr:to>
      <xdr:col>70</xdr:col>
      <xdr:colOff>0</xdr:colOff>
      <xdr:row>31</xdr:row>
      <xdr:rowOff>66675</xdr:rowOff>
    </xdr:to>
    <xdr:graphicFrame macro="">
      <xdr:nvGraphicFramePr>
        <xdr:cNvPr id="51" name="5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63</xdr:col>
      <xdr:colOff>247649</xdr:colOff>
      <xdr:row>32</xdr:row>
      <xdr:rowOff>47625</xdr:rowOff>
    </xdr:from>
    <xdr:to>
      <xdr:col>72</xdr:col>
      <xdr:colOff>645583</xdr:colOff>
      <xdr:row>61</xdr:row>
      <xdr:rowOff>123825</xdr:rowOff>
    </xdr:to>
    <xdr:graphicFrame macro="">
      <xdr:nvGraphicFramePr>
        <xdr:cNvPr id="52" name="5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64</xdr:col>
      <xdr:colOff>152400</xdr:colOff>
      <xdr:row>63</xdr:row>
      <xdr:rowOff>142875</xdr:rowOff>
    </xdr:from>
    <xdr:to>
      <xdr:col>71</xdr:col>
      <xdr:colOff>38100</xdr:colOff>
      <xdr:row>89</xdr:row>
      <xdr:rowOff>66675</xdr:rowOff>
    </xdr:to>
    <xdr:graphicFrame macro="">
      <xdr:nvGraphicFramePr>
        <xdr:cNvPr id="53" name="5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72</xdr:col>
      <xdr:colOff>752474</xdr:colOff>
      <xdr:row>0</xdr:row>
      <xdr:rowOff>123825</xdr:rowOff>
    </xdr:from>
    <xdr:to>
      <xdr:col>80</xdr:col>
      <xdr:colOff>742949</xdr:colOff>
      <xdr:row>22</xdr:row>
      <xdr:rowOff>104775</xdr:rowOff>
    </xdr:to>
    <xdr:graphicFrame macro="">
      <xdr:nvGraphicFramePr>
        <xdr:cNvPr id="54" name="5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73</xdr:col>
      <xdr:colOff>28575</xdr:colOff>
      <xdr:row>24</xdr:row>
      <xdr:rowOff>47625</xdr:rowOff>
    </xdr:from>
    <xdr:to>
      <xdr:col>79</xdr:col>
      <xdr:colOff>257175</xdr:colOff>
      <xdr:row>40</xdr:row>
      <xdr:rowOff>9525</xdr:rowOff>
    </xdr:to>
    <xdr:graphicFrame macro="">
      <xdr:nvGraphicFramePr>
        <xdr:cNvPr id="55" name="5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73</xdr:col>
      <xdr:colOff>28575</xdr:colOff>
      <xdr:row>41</xdr:row>
      <xdr:rowOff>133349</xdr:rowOff>
    </xdr:from>
    <xdr:to>
      <xdr:col>79</xdr:col>
      <xdr:colOff>276225</xdr:colOff>
      <xdr:row>57</xdr:row>
      <xdr:rowOff>123824</xdr:rowOff>
    </xdr:to>
    <xdr:graphicFrame macro="">
      <xdr:nvGraphicFramePr>
        <xdr:cNvPr id="56" name="5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73</xdr:col>
      <xdr:colOff>19049</xdr:colOff>
      <xdr:row>59</xdr:row>
      <xdr:rowOff>133350</xdr:rowOff>
    </xdr:from>
    <xdr:to>
      <xdr:col>79</xdr:col>
      <xdr:colOff>314324</xdr:colOff>
      <xdr:row>75</xdr:row>
      <xdr:rowOff>133350</xdr:rowOff>
    </xdr:to>
    <xdr:graphicFrame macro="">
      <xdr:nvGraphicFramePr>
        <xdr:cNvPr id="57" name="5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83</xdr:col>
      <xdr:colOff>389466</xdr:colOff>
      <xdr:row>109</xdr:row>
      <xdr:rowOff>30692</xdr:rowOff>
    </xdr:from>
    <xdr:to>
      <xdr:col>91</xdr:col>
      <xdr:colOff>486833</xdr:colOff>
      <xdr:row>131</xdr:row>
      <xdr:rowOff>74083</xdr:rowOff>
    </xdr:to>
    <xdr:graphicFrame macro="">
      <xdr:nvGraphicFramePr>
        <xdr:cNvPr id="58" name="5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64</xdr:col>
      <xdr:colOff>209549</xdr:colOff>
      <xdr:row>90</xdr:row>
      <xdr:rowOff>123824</xdr:rowOff>
    </xdr:from>
    <xdr:to>
      <xdr:col>71</xdr:col>
      <xdr:colOff>295274</xdr:colOff>
      <xdr:row>117</xdr:row>
      <xdr:rowOff>95249</xdr:rowOff>
    </xdr:to>
    <xdr:graphicFrame macro="">
      <xdr:nvGraphicFramePr>
        <xdr:cNvPr id="60" name="5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81</xdr:col>
      <xdr:colOff>666750</xdr:colOff>
      <xdr:row>1</xdr:row>
      <xdr:rowOff>19050</xdr:rowOff>
    </xdr:from>
    <xdr:to>
      <xdr:col>87</xdr:col>
      <xdr:colOff>666750</xdr:colOff>
      <xdr:row>23</xdr:row>
      <xdr:rowOff>128587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81</xdr:col>
      <xdr:colOff>561975</xdr:colOff>
      <xdr:row>25</xdr:row>
      <xdr:rowOff>71437</xdr:rowOff>
    </xdr:from>
    <xdr:to>
      <xdr:col>87</xdr:col>
      <xdr:colOff>561975</xdr:colOff>
      <xdr:row>39</xdr:row>
      <xdr:rowOff>147637</xdr:rowOff>
    </xdr:to>
    <xdr:graphicFrame macro="">
      <xdr:nvGraphicFramePr>
        <xdr:cNvPr id="29" name="2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81</xdr:col>
      <xdr:colOff>83820</xdr:colOff>
      <xdr:row>41</xdr:row>
      <xdr:rowOff>45720</xdr:rowOff>
    </xdr:from>
    <xdr:to>
      <xdr:col>89</xdr:col>
      <xdr:colOff>594360</xdr:colOff>
      <xdr:row>68</xdr:row>
      <xdr:rowOff>144780</xdr:rowOff>
    </xdr:to>
    <xdr:graphicFrame macro="">
      <xdr:nvGraphicFramePr>
        <xdr:cNvPr id="61" name="6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83</xdr:col>
      <xdr:colOff>289560</xdr:colOff>
      <xdr:row>69</xdr:row>
      <xdr:rowOff>91440</xdr:rowOff>
    </xdr:from>
    <xdr:to>
      <xdr:col>89</xdr:col>
      <xdr:colOff>228600</xdr:colOff>
      <xdr:row>87</xdr:row>
      <xdr:rowOff>7620</xdr:rowOff>
    </xdr:to>
    <xdr:graphicFrame macro="">
      <xdr:nvGraphicFramePr>
        <xdr:cNvPr id="62" name="6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83</xdr:col>
      <xdr:colOff>335280</xdr:colOff>
      <xdr:row>87</xdr:row>
      <xdr:rowOff>160020</xdr:rowOff>
    </xdr:from>
    <xdr:to>
      <xdr:col>89</xdr:col>
      <xdr:colOff>571500</xdr:colOff>
      <xdr:row>107</xdr:row>
      <xdr:rowOff>160020</xdr:rowOff>
    </xdr:to>
    <xdr:graphicFrame macro="">
      <xdr:nvGraphicFramePr>
        <xdr:cNvPr id="68" name="6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92</xdr:col>
      <xdr:colOff>74083</xdr:colOff>
      <xdr:row>108</xdr:row>
      <xdr:rowOff>179916</xdr:rowOff>
    </xdr:from>
    <xdr:to>
      <xdr:col>99</xdr:col>
      <xdr:colOff>730251</xdr:colOff>
      <xdr:row>131</xdr:row>
      <xdr:rowOff>10584</xdr:rowOff>
    </xdr:to>
    <xdr:graphicFrame macro="">
      <xdr:nvGraphicFramePr>
        <xdr:cNvPr id="63" name="6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72</xdr:col>
      <xdr:colOff>142876</xdr:colOff>
      <xdr:row>77</xdr:row>
      <xdr:rowOff>34925</xdr:rowOff>
    </xdr:from>
    <xdr:to>
      <xdr:col>82</xdr:col>
      <xdr:colOff>418042</xdr:colOff>
      <xdr:row>107</xdr:row>
      <xdr:rowOff>140758</xdr:rowOff>
    </xdr:to>
    <xdr:graphicFrame macro="">
      <xdr:nvGraphicFramePr>
        <xdr:cNvPr id="64" name="6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43</xdr:col>
      <xdr:colOff>379941</xdr:colOff>
      <xdr:row>79</xdr:row>
      <xdr:rowOff>168275</xdr:rowOff>
    </xdr:from>
    <xdr:to>
      <xdr:col>53</xdr:col>
      <xdr:colOff>41274</xdr:colOff>
      <xdr:row>107</xdr:row>
      <xdr:rowOff>62441</xdr:rowOff>
    </xdr:to>
    <xdr:graphicFrame macro="">
      <xdr:nvGraphicFramePr>
        <xdr:cNvPr id="59" name="5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93</xdr:col>
      <xdr:colOff>518581</xdr:colOff>
      <xdr:row>31</xdr:row>
      <xdr:rowOff>83607</xdr:rowOff>
    </xdr:from>
    <xdr:to>
      <xdr:col>104</xdr:col>
      <xdr:colOff>31748</xdr:colOff>
      <xdr:row>61</xdr:row>
      <xdr:rowOff>84666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44</xdr:col>
      <xdr:colOff>674158</xdr:colOff>
      <xdr:row>55</xdr:row>
      <xdr:rowOff>189440</xdr:rowOff>
    </xdr:from>
    <xdr:to>
      <xdr:col>52</xdr:col>
      <xdr:colOff>674158</xdr:colOff>
      <xdr:row>79</xdr:row>
      <xdr:rowOff>63499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105</xdr:col>
      <xdr:colOff>21165</xdr:colOff>
      <xdr:row>0</xdr:row>
      <xdr:rowOff>157691</xdr:rowOff>
    </xdr:from>
    <xdr:to>
      <xdr:col>113</xdr:col>
      <xdr:colOff>21166</xdr:colOff>
      <xdr:row>22</xdr:row>
      <xdr:rowOff>116417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105</xdr:col>
      <xdr:colOff>21166</xdr:colOff>
      <xdr:row>24</xdr:row>
      <xdr:rowOff>9523</xdr:rowOff>
    </xdr:from>
    <xdr:to>
      <xdr:col>113</xdr:col>
      <xdr:colOff>63500</xdr:colOff>
      <xdr:row>45</xdr:row>
      <xdr:rowOff>52916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104</xdr:col>
      <xdr:colOff>761999</xdr:colOff>
      <xdr:row>47</xdr:row>
      <xdr:rowOff>20108</xdr:rowOff>
    </xdr:from>
    <xdr:to>
      <xdr:col>113</xdr:col>
      <xdr:colOff>52916</xdr:colOff>
      <xdr:row>70</xdr:row>
      <xdr:rowOff>0</xdr:rowOff>
    </xdr:to>
    <xdr:graphicFrame macro="">
      <xdr:nvGraphicFramePr>
        <xdr:cNvPr id="22" name="2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105</xdr:col>
      <xdr:colOff>10583</xdr:colOff>
      <xdr:row>71</xdr:row>
      <xdr:rowOff>178857</xdr:rowOff>
    </xdr:from>
    <xdr:to>
      <xdr:col>113</xdr:col>
      <xdr:colOff>52917</xdr:colOff>
      <xdr:row>93</xdr:row>
      <xdr:rowOff>179916</xdr:rowOff>
    </xdr:to>
    <xdr:graphicFrame macro="">
      <xdr:nvGraphicFramePr>
        <xdr:cNvPr id="27" name="2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105</xdr:col>
      <xdr:colOff>10583</xdr:colOff>
      <xdr:row>95</xdr:row>
      <xdr:rowOff>51857</xdr:rowOff>
    </xdr:from>
    <xdr:to>
      <xdr:col>113</xdr:col>
      <xdr:colOff>84667</xdr:colOff>
      <xdr:row>118</xdr:row>
      <xdr:rowOff>169332</xdr:rowOff>
    </xdr:to>
    <xdr:graphicFrame macro="">
      <xdr:nvGraphicFramePr>
        <xdr:cNvPr id="34" name="3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105</xdr:col>
      <xdr:colOff>21166</xdr:colOff>
      <xdr:row>119</xdr:row>
      <xdr:rowOff>147107</xdr:rowOff>
    </xdr:from>
    <xdr:to>
      <xdr:col>113</xdr:col>
      <xdr:colOff>63500</xdr:colOff>
      <xdr:row>141</xdr:row>
      <xdr:rowOff>169332</xdr:rowOff>
    </xdr:to>
    <xdr:graphicFrame macro="">
      <xdr:nvGraphicFramePr>
        <xdr:cNvPr id="37" name="3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22</xdr:col>
      <xdr:colOff>476250</xdr:colOff>
      <xdr:row>99</xdr:row>
      <xdr:rowOff>30691</xdr:rowOff>
    </xdr:from>
    <xdr:to>
      <xdr:col>28</xdr:col>
      <xdr:colOff>476250</xdr:colOff>
      <xdr:row>118</xdr:row>
      <xdr:rowOff>42333</xdr:rowOff>
    </xdr:to>
    <xdr:graphicFrame macro="">
      <xdr:nvGraphicFramePr>
        <xdr:cNvPr id="38" name="3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28</xdr:col>
      <xdr:colOff>761998</xdr:colOff>
      <xdr:row>103</xdr:row>
      <xdr:rowOff>104773</xdr:rowOff>
    </xdr:from>
    <xdr:to>
      <xdr:col>35</xdr:col>
      <xdr:colOff>730249</xdr:colOff>
      <xdr:row>126</xdr:row>
      <xdr:rowOff>63500</xdr:rowOff>
    </xdr:to>
    <xdr:graphicFrame macro="">
      <xdr:nvGraphicFramePr>
        <xdr:cNvPr id="40" name="3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0.32164</cdr:x>
      <cdr:y>0.02519</cdr:y>
    </cdr:from>
    <cdr:to>
      <cdr:x>0.71345</cdr:x>
      <cdr:y>0.1669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64529" y="107300"/>
          <a:ext cx="2393158" cy="6035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s-MX" sz="1400" b="1"/>
            <a:t>PROPIETARIOS + CONDUCTORES</a:t>
          </a:r>
        </a:p>
        <a:p xmlns:a="http://schemas.openxmlformats.org/drawingml/2006/main">
          <a:pPr algn="ctr"/>
          <a:r>
            <a:rPr lang="es-MX" sz="1200" b="1"/>
            <a:t>ENCUESTAS</a:t>
          </a:r>
          <a:r>
            <a:rPr lang="es-MX" sz="1200" b="1" baseline="0"/>
            <a:t> REALIZADAS POR REGIÓN</a:t>
          </a:r>
          <a:endParaRPr lang="es-MX" sz="1200" b="1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0.25531</cdr:x>
      <cdr:y>0.06711</cdr:y>
    </cdr:from>
    <cdr:to>
      <cdr:x>0.73982</cdr:x>
      <cdr:y>0.15876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58247" y="396082"/>
          <a:ext cx="4095776" cy="540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EN PROPIETARIOS CON UNA UNIDAD (100% = 261)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PROPIETARIOS CON DOS UNIDADES (100% = 134);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PROPIETARIOS CON TRES A CINCO UNIDADES (100% = 155)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PROPIETARIOS CON SEIS A TREINTA UNIDADES (100% = 54)]</a:t>
          </a:r>
          <a:endParaRPr lang="es-MX" sz="8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0.27311</cdr:x>
      <cdr:y>0.07689</cdr:y>
    </cdr:from>
    <cdr:to>
      <cdr:x>0.76175</cdr:x>
      <cdr:y>0.16817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89176" y="455613"/>
          <a:ext cx="4095814" cy="5409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DE PROPIETARIOS CON UNA UNIDAD (100% = 227)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PROPIETARIOS CON DOS UNIDADES (100% = 105);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PROPIETARIOS CON TRES A CINCO UNIDADES (100% = 111)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PROPIETARIOS CON SEIS A TREINTA UNIDADES (100% = 43)]</a:t>
          </a:r>
          <a:endParaRPr lang="es-MX" sz="8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0.25853</cdr:x>
      <cdr:y>0.07115</cdr:y>
    </cdr:from>
    <cdr:to>
      <cdr:x>0.74649</cdr:x>
      <cdr:y>0.1628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70112" y="419894"/>
          <a:ext cx="4095814" cy="5409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DE PROPIETARIOS CON UNA UNIDAD (100% = 34)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PROPIETARIOS CON DOS UNIDADES (100% = 25);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PROPIETARIOS CON TRES A CINCO UNIDADES (100% = 36)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PROPIETARIOS CON SEIS A TREINTA UNIDADES (100% = 26)]</a:t>
          </a:r>
          <a:endParaRPr lang="es-MX" sz="8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0.25853</cdr:x>
      <cdr:y>0.10247</cdr:y>
    </cdr:from>
    <cdr:to>
      <cdr:x>0.74647</cdr:x>
      <cdr:y>0.22275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70113" y="491330"/>
          <a:ext cx="4095722" cy="5766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PROPIETARIOS PARA UNIDADES NUEVAS (100% = 231)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PARA UNIDADES USADAS (100% = 118); MEJORA DE UNIDADES (100% = 70)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PARA OPERACIÓN DEL NEGOCIO (100% = 35); NO HA CONTRATADO CRÉDITOS (100% = 30)]</a:t>
          </a:r>
          <a:endParaRPr lang="es-MX" sz="8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0.25394</cdr:x>
      <cdr:y>0.09873</cdr:y>
    </cdr:from>
    <cdr:to>
      <cdr:x>0.74397</cdr:x>
      <cdr:y>0.21297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22488" y="467518"/>
          <a:ext cx="4095778" cy="5409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AÑO MODELO ANTERIOR A 1991 (100% = 176)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1991 A 1993 (100% = 52); 1994 A  1997 (100% = 101)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1998 A 2003 (100% = 217); 2004 A 2006(100% =  129);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2007 A 2010 (100% = 206); 2011 EN ADELANTE (100% = 99)]</a:t>
          </a:r>
          <a:endParaRPr lang="es-MX" sz="8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0.26421</cdr:x>
      <cdr:y>0.07673</cdr:y>
    </cdr:from>
    <cdr:to>
      <cdr:x>0.77163</cdr:x>
      <cdr:y>0.1157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17738" y="455612"/>
          <a:ext cx="4259261" cy="2313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DE PROPIETARIOS AL AÑO MODELO DE MOTOR (100% = 980)]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0.2209</cdr:x>
      <cdr:y>0.07222</cdr:y>
    </cdr:from>
    <cdr:to>
      <cdr:x>0.77745</cdr:x>
      <cdr:y>0.1613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348705" y="467519"/>
          <a:ext cx="5917406" cy="5766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DE PROPIETARIO CON UNA UNIDAD (100% = 202)]</a:t>
          </a:r>
          <a:endParaRPr lang="es-MX" sz="800" b="1">
            <a:effectLst/>
          </a:endParaRP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DE PROPIETARIOS CON DOS UNIDADES (100% = 85)]</a:t>
          </a:r>
          <a:endParaRPr lang="es-MX" sz="800" b="1">
            <a:effectLst/>
          </a:endParaRPr>
        </a:p>
        <a:p xmlns:a="http://schemas.openxmlformats.org/drawingml/2006/main">
          <a:pPr algn="ctr"/>
          <a:r>
            <a:rPr lang="es-MX" sz="800" b="1"/>
            <a:t>[% SOBRE</a:t>
          </a:r>
          <a:r>
            <a:rPr lang="es-MX" sz="800" b="1" baseline="0"/>
            <a:t> EL TOTAL DE RESPUESTAS DE PROPIETARIOS CON TRES A CINCO UNIDADES (100% =  90)]</a:t>
          </a:r>
        </a:p>
        <a:p xmlns:a="http://schemas.openxmlformats.org/drawingml/2006/main">
          <a:pPr algn="ctr"/>
          <a:r>
            <a:rPr lang="es-MX" sz="800" b="1" baseline="0"/>
            <a:t>[% SOBRE EL TOTAL DE RESPUESTAS DE PROPIETARIOS CON SEIS A TREINTA UNIDADES (100% = 34)]</a:t>
          </a:r>
        </a:p>
        <a:p xmlns:a="http://schemas.openxmlformats.org/drawingml/2006/main">
          <a:pPr algn="ctr"/>
          <a:endParaRPr lang="es-MX" sz="800" b="1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0.25</cdr:x>
      <cdr:y>0.13199</cdr:y>
    </cdr:from>
    <cdr:to>
      <cdr:x>0.77044</cdr:x>
      <cdr:y>0.31836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93096" y="615555"/>
          <a:ext cx="3940968" cy="869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MX" sz="800" b="1"/>
            <a:t>[% SOBRE EL TOTAL DE RESPUESTAS PROPIETARIOS SIN ESTUDIOS  (100% = 16);</a:t>
          </a:r>
        </a:p>
        <a:p xmlns:a="http://schemas.openxmlformats.org/drawingml/2006/main">
          <a:r>
            <a:rPr lang="es-MX" sz="800" b="1"/>
            <a:t>% SOBRE EL TOTAL DE RESPUESTAS PROPIETARIOS CON PRIMARIA (100% = 74);</a:t>
          </a:r>
        </a:p>
        <a:p xmlns:a="http://schemas.openxmlformats.org/drawingml/2006/main">
          <a:r>
            <a:rPr lang="es-MX" sz="800" b="1"/>
            <a:t>% SOBRE EL TOTAL DE RESPUESTAS PROPIETARIOS CON SECUNDARISA(100% = 117);</a:t>
          </a:r>
        </a:p>
        <a:p xmlns:a="http://schemas.openxmlformats.org/drawingml/2006/main">
          <a:r>
            <a:rPr lang="es-MX" sz="800" b="1"/>
            <a:t>% SOBRE EL TOTAL DE RESPUESTAS PROPIETARIOS CON PREPARATORIA</a:t>
          </a:r>
          <a:r>
            <a:rPr lang="es-MX" sz="800" b="1" baseline="0"/>
            <a:t> (100% = 110);</a:t>
          </a:r>
        </a:p>
        <a:p xmlns:a="http://schemas.openxmlformats.org/drawingml/2006/main">
          <a:r>
            <a:rPr lang="es-MX" sz="800" b="1"/>
            <a:t>% SOBRE EL TOTAL DE RESPUESTAS PROPIETARIOS CON LICENCIATURA (100% = 89);</a:t>
          </a:r>
        </a:p>
        <a:p xmlns:a="http://schemas.openxmlformats.org/drawingml/2006/main">
          <a:r>
            <a:rPr lang="es-MX" sz="800" b="1"/>
            <a:t>% SOBRE EL TOTAL DE RESPUESTAS PROPIETARIOS CON OTROS ESTUDIOS (100% = 3)]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0.2426</cdr:x>
      <cdr:y>0.12731</cdr:y>
    </cdr:from>
    <cdr:to>
      <cdr:x>0.75979</cdr:x>
      <cdr:y>0.30858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48643" y="610394"/>
          <a:ext cx="3940968" cy="869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 b="1"/>
            <a:t>[% SOBRE EL TOTAL DE RESPUESTAS PROPIETARIOS SIN ESTUDIOS  (100% = 16);</a:t>
          </a:r>
        </a:p>
        <a:p xmlns:a="http://schemas.openxmlformats.org/drawingml/2006/main">
          <a:r>
            <a:rPr lang="es-MX" sz="800" b="1"/>
            <a:t>% SOBRE EL TOTAL DE RESPUESTAS PROPIETARIOS CON PRIMARIA (100% = 74);</a:t>
          </a:r>
        </a:p>
        <a:p xmlns:a="http://schemas.openxmlformats.org/drawingml/2006/main">
          <a:r>
            <a:rPr lang="es-MX" sz="800" b="1"/>
            <a:t>% SOBRE EL TOTAL DE RESPUESTAS PROPIETARIOS CON SECUNDARISA(100% = 117);</a:t>
          </a:r>
        </a:p>
        <a:p xmlns:a="http://schemas.openxmlformats.org/drawingml/2006/main">
          <a:r>
            <a:rPr lang="es-MX" sz="800" b="1"/>
            <a:t>% SOBRE EL TOTAL DE RESPUESTAS PROPIETARIOS CON PREPARATORIA</a:t>
          </a:r>
          <a:r>
            <a:rPr lang="es-MX" sz="800" b="1" baseline="0"/>
            <a:t> (100% = 110);</a:t>
          </a:r>
        </a:p>
        <a:p xmlns:a="http://schemas.openxmlformats.org/drawingml/2006/main">
          <a:r>
            <a:rPr lang="es-MX" sz="800" b="1"/>
            <a:t>% SOBRE EL TOTAL DE RESPUESTAS PROPIETARIOS CON LICENCIATURA (100% = 89);</a:t>
          </a:r>
        </a:p>
        <a:p xmlns:a="http://schemas.openxmlformats.org/drawingml/2006/main">
          <a:r>
            <a:rPr lang="es-MX" sz="800" b="1"/>
            <a:t>% SOBRE EL TOTAL DE RESPUESTAS PROPIETARIOS CON OTROS ESTUDIOS (100% = 3)]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0.27936</cdr:x>
      <cdr:y>0.08934</cdr:y>
    </cdr:from>
    <cdr:to>
      <cdr:x>0.72786</cdr:x>
      <cdr:y>0.179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51113" y="538956"/>
          <a:ext cx="4095763" cy="5409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HERENCIA (100% = 91)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CONTADO (100% = 327); EN RENTA (100% = 21 )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PRESTADA (100% = 25); POR CRÉDITO PAGADA (100% =  431);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CRÉDITO EN PROCESO DE PAGO (100% = 85)]</a:t>
          </a:r>
          <a:endParaRPr lang="es-MX" sz="8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123824</xdr:colOff>
      <xdr:row>1</xdr:row>
      <xdr:rowOff>23812</xdr:rowOff>
    </xdr:from>
    <xdr:to>
      <xdr:col>7</xdr:col>
      <xdr:colOff>704849</xdr:colOff>
      <xdr:row>21</xdr:row>
      <xdr:rowOff>171450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23</xdr:row>
      <xdr:rowOff>4761</xdr:rowOff>
    </xdr:from>
    <xdr:to>
      <xdr:col>7</xdr:col>
      <xdr:colOff>685800</xdr:colOff>
      <xdr:row>42</xdr:row>
      <xdr:rowOff>180974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44</xdr:row>
      <xdr:rowOff>166687</xdr:rowOff>
    </xdr:from>
    <xdr:to>
      <xdr:col>7</xdr:col>
      <xdr:colOff>676275</xdr:colOff>
      <xdr:row>66</xdr:row>
      <xdr:rowOff>28575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123825</xdr:colOff>
      <xdr:row>67</xdr:row>
      <xdr:rowOff>100011</xdr:rowOff>
    </xdr:from>
    <xdr:to>
      <xdr:col>7</xdr:col>
      <xdr:colOff>657225</xdr:colOff>
      <xdr:row>87</xdr:row>
      <xdr:rowOff>66674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752474</xdr:colOff>
      <xdr:row>0</xdr:row>
      <xdr:rowOff>185737</xdr:rowOff>
    </xdr:from>
    <xdr:to>
      <xdr:col>15</xdr:col>
      <xdr:colOff>761999</xdr:colOff>
      <xdr:row>22</xdr:row>
      <xdr:rowOff>9525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28575</xdr:colOff>
      <xdr:row>23</xdr:row>
      <xdr:rowOff>128587</xdr:rowOff>
    </xdr:from>
    <xdr:to>
      <xdr:col>15</xdr:col>
      <xdr:colOff>752475</xdr:colOff>
      <xdr:row>42</xdr:row>
      <xdr:rowOff>47625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47624</xdr:colOff>
      <xdr:row>44</xdr:row>
      <xdr:rowOff>80962</xdr:rowOff>
    </xdr:from>
    <xdr:to>
      <xdr:col>16</xdr:col>
      <xdr:colOff>38099</xdr:colOff>
      <xdr:row>72</xdr:row>
      <xdr:rowOff>114300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742950</xdr:colOff>
      <xdr:row>1</xdr:row>
      <xdr:rowOff>14286</xdr:rowOff>
    </xdr:from>
    <xdr:to>
      <xdr:col>25</xdr:col>
      <xdr:colOff>57150</xdr:colOff>
      <xdr:row>22</xdr:row>
      <xdr:rowOff>47625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9525</xdr:colOff>
      <xdr:row>23</xdr:row>
      <xdr:rowOff>14287</xdr:rowOff>
    </xdr:from>
    <xdr:to>
      <xdr:col>25</xdr:col>
      <xdr:colOff>161925</xdr:colOff>
      <xdr:row>48</xdr:row>
      <xdr:rowOff>152400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742949</xdr:colOff>
      <xdr:row>1</xdr:row>
      <xdr:rowOff>14287</xdr:rowOff>
    </xdr:from>
    <xdr:to>
      <xdr:col>41</xdr:col>
      <xdr:colOff>9525</xdr:colOff>
      <xdr:row>29</xdr:row>
      <xdr:rowOff>9525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26</xdr:col>
      <xdr:colOff>19049</xdr:colOff>
      <xdr:row>30</xdr:row>
      <xdr:rowOff>14286</xdr:rowOff>
    </xdr:from>
    <xdr:to>
      <xdr:col>41</xdr:col>
      <xdr:colOff>28575</xdr:colOff>
      <xdr:row>55</xdr:row>
      <xdr:rowOff>133349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42</xdr:col>
      <xdr:colOff>28574</xdr:colOff>
      <xdr:row>2</xdr:row>
      <xdr:rowOff>57150</xdr:rowOff>
    </xdr:from>
    <xdr:to>
      <xdr:col>58</xdr:col>
      <xdr:colOff>742950</xdr:colOff>
      <xdr:row>30</xdr:row>
      <xdr:rowOff>114300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59</xdr:col>
      <xdr:colOff>752475</xdr:colOff>
      <xdr:row>1</xdr:row>
      <xdr:rowOff>138112</xdr:rowOff>
    </xdr:from>
    <xdr:to>
      <xdr:col>71</xdr:col>
      <xdr:colOff>752475</xdr:colOff>
      <xdr:row>28</xdr:row>
      <xdr:rowOff>76200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59</xdr:col>
      <xdr:colOff>742949</xdr:colOff>
      <xdr:row>29</xdr:row>
      <xdr:rowOff>104775</xdr:rowOff>
    </xdr:from>
    <xdr:to>
      <xdr:col>73</xdr:col>
      <xdr:colOff>333375</xdr:colOff>
      <xdr:row>58</xdr:row>
      <xdr:rowOff>47624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oneCellAnchor>
    <xdr:from>
      <xdr:col>64</xdr:col>
      <xdr:colOff>385065</xdr:colOff>
      <xdr:row>30</xdr:row>
      <xdr:rowOff>38100</xdr:rowOff>
    </xdr:from>
    <xdr:ext cx="3261469" cy="499367"/>
    <xdr:sp macro="" textlink="">
      <xdr:nvSpPr>
        <xdr:cNvPr id="18" name="17 CuadroTexto"/>
        <xdr:cNvSpPr txBox="1"/>
      </xdr:nvSpPr>
      <xdr:spPr>
        <a:xfrm>
          <a:off x="49153065" y="5753100"/>
          <a:ext cx="3261469" cy="4993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s-MX" sz="1400" b="1"/>
            <a:t>RENDIMIENTOS PROMEDIO POR</a:t>
          </a:r>
          <a:r>
            <a:rPr lang="es-MX" sz="1400" b="1" baseline="0"/>
            <a:t> UNIDAD</a:t>
          </a:r>
        </a:p>
        <a:p>
          <a:pPr algn="ctr"/>
          <a:r>
            <a:rPr lang="es-MX" sz="1200" b="1" baseline="0"/>
            <a:t>SEGÚN AÑO MODELO</a:t>
          </a:r>
          <a:endParaRPr lang="es-MX" sz="1200" b="1"/>
        </a:p>
      </xdr:txBody>
    </xdr:sp>
    <xdr:clientData/>
  </xdr:oneCellAnchor>
  <xdr:twoCellAnchor>
    <xdr:from>
      <xdr:col>74</xdr:col>
      <xdr:colOff>0</xdr:colOff>
      <xdr:row>1</xdr:row>
      <xdr:rowOff>28575</xdr:rowOff>
    </xdr:from>
    <xdr:to>
      <xdr:col>84</xdr:col>
      <xdr:colOff>19050</xdr:colOff>
      <xdr:row>28</xdr:row>
      <xdr:rowOff>142875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74</xdr:col>
      <xdr:colOff>19049</xdr:colOff>
      <xdr:row>29</xdr:row>
      <xdr:rowOff>123825</xdr:rowOff>
    </xdr:from>
    <xdr:to>
      <xdr:col>84</xdr:col>
      <xdr:colOff>28574</xdr:colOff>
      <xdr:row>57</xdr:row>
      <xdr:rowOff>85725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74</xdr:col>
      <xdr:colOff>0</xdr:colOff>
      <xdr:row>58</xdr:row>
      <xdr:rowOff>66675</xdr:rowOff>
    </xdr:from>
    <xdr:to>
      <xdr:col>84</xdr:col>
      <xdr:colOff>19050</xdr:colOff>
      <xdr:row>86</xdr:row>
      <xdr:rowOff>47625</xdr:rowOff>
    </xdr:to>
    <xdr:graphicFrame macro="">
      <xdr:nvGraphicFramePr>
        <xdr:cNvPr id="21" name="2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73</xdr:col>
      <xdr:colOff>742949</xdr:colOff>
      <xdr:row>87</xdr:row>
      <xdr:rowOff>114299</xdr:rowOff>
    </xdr:from>
    <xdr:to>
      <xdr:col>84</xdr:col>
      <xdr:colOff>28574</xdr:colOff>
      <xdr:row>115</xdr:row>
      <xdr:rowOff>9524</xdr:rowOff>
    </xdr:to>
    <xdr:graphicFrame macro="">
      <xdr:nvGraphicFramePr>
        <xdr:cNvPr id="22" name="2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85</xdr:col>
      <xdr:colOff>47624</xdr:colOff>
      <xdr:row>0</xdr:row>
      <xdr:rowOff>166687</xdr:rowOff>
    </xdr:from>
    <xdr:to>
      <xdr:col>92</xdr:col>
      <xdr:colOff>685799</xdr:colOff>
      <xdr:row>20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84</xdr:col>
      <xdr:colOff>704850</xdr:colOff>
      <xdr:row>21</xdr:row>
      <xdr:rowOff>157161</xdr:rowOff>
    </xdr:from>
    <xdr:to>
      <xdr:col>92</xdr:col>
      <xdr:colOff>704850</xdr:colOff>
      <xdr:row>44</xdr:row>
      <xdr:rowOff>9524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84</xdr:col>
      <xdr:colOff>685800</xdr:colOff>
      <xdr:row>44</xdr:row>
      <xdr:rowOff>176212</xdr:rowOff>
    </xdr:from>
    <xdr:to>
      <xdr:col>92</xdr:col>
      <xdr:colOff>723900</xdr:colOff>
      <xdr:row>66</xdr:row>
      <xdr:rowOff>152400</xdr:rowOff>
    </xdr:to>
    <xdr:graphicFrame macro="">
      <xdr:nvGraphicFramePr>
        <xdr:cNvPr id="23" name="2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94</xdr:col>
      <xdr:colOff>19050</xdr:colOff>
      <xdr:row>1</xdr:row>
      <xdr:rowOff>14287</xdr:rowOff>
    </xdr:from>
    <xdr:to>
      <xdr:col>101</xdr:col>
      <xdr:colOff>609600</xdr:colOff>
      <xdr:row>20</xdr:row>
      <xdr:rowOff>66675</xdr:rowOff>
    </xdr:to>
    <xdr:graphicFrame macro="">
      <xdr:nvGraphicFramePr>
        <xdr:cNvPr id="24" name="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94</xdr:col>
      <xdr:colOff>0</xdr:colOff>
      <xdr:row>21</xdr:row>
      <xdr:rowOff>157161</xdr:rowOff>
    </xdr:from>
    <xdr:to>
      <xdr:col>101</xdr:col>
      <xdr:colOff>609600</xdr:colOff>
      <xdr:row>42</xdr:row>
      <xdr:rowOff>66674</xdr:rowOff>
    </xdr:to>
    <xdr:graphicFrame macro="">
      <xdr:nvGraphicFramePr>
        <xdr:cNvPr id="25" name="2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94</xdr:col>
      <xdr:colOff>0</xdr:colOff>
      <xdr:row>44</xdr:row>
      <xdr:rowOff>100011</xdr:rowOff>
    </xdr:from>
    <xdr:to>
      <xdr:col>101</xdr:col>
      <xdr:colOff>666750</xdr:colOff>
      <xdr:row>67</xdr:row>
      <xdr:rowOff>28574</xdr:rowOff>
    </xdr:to>
    <xdr:graphicFrame macro="">
      <xdr:nvGraphicFramePr>
        <xdr:cNvPr id="26" name="2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93</xdr:col>
      <xdr:colOff>714374</xdr:colOff>
      <xdr:row>68</xdr:row>
      <xdr:rowOff>185737</xdr:rowOff>
    </xdr:from>
    <xdr:to>
      <xdr:col>101</xdr:col>
      <xdr:colOff>685799</xdr:colOff>
      <xdr:row>90</xdr:row>
      <xdr:rowOff>66675</xdr:rowOff>
    </xdr:to>
    <xdr:graphicFrame macro="">
      <xdr:nvGraphicFramePr>
        <xdr:cNvPr id="27" name="2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102</xdr:col>
      <xdr:colOff>748393</xdr:colOff>
      <xdr:row>0</xdr:row>
      <xdr:rowOff>186416</xdr:rowOff>
    </xdr:from>
    <xdr:to>
      <xdr:col>112</xdr:col>
      <xdr:colOff>54429</xdr:colOff>
      <xdr:row>22</xdr:row>
      <xdr:rowOff>95249</xdr:rowOff>
    </xdr:to>
    <xdr:graphicFrame macro="">
      <xdr:nvGraphicFramePr>
        <xdr:cNvPr id="28" name="2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106</xdr:col>
      <xdr:colOff>285750</xdr:colOff>
      <xdr:row>1</xdr:row>
      <xdr:rowOff>81644</xdr:rowOff>
    </xdr:from>
    <xdr:ext cx="2138727" cy="530658"/>
    <xdr:sp macro="" textlink="">
      <xdr:nvSpPr>
        <xdr:cNvPr id="29" name="28 CuadroTexto"/>
        <xdr:cNvSpPr txBox="1"/>
      </xdr:nvSpPr>
      <xdr:spPr>
        <a:xfrm>
          <a:off x="81057750" y="272144"/>
          <a:ext cx="2138727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s-MX" sz="1400" b="1"/>
            <a:t>PROPIETARIOS</a:t>
          </a:r>
        </a:p>
        <a:p>
          <a:pPr algn="ctr"/>
          <a:r>
            <a:rPr lang="es-MX" sz="1400" b="1"/>
            <a:t>CON QUIÉN SE CONTRATA</a:t>
          </a:r>
        </a:p>
      </xdr:txBody>
    </xdr:sp>
    <xdr:clientData/>
  </xdr:oneCellAnchor>
  <xdr:twoCellAnchor>
    <xdr:from>
      <xdr:col>103</xdr:col>
      <xdr:colOff>1</xdr:colOff>
      <xdr:row>24</xdr:row>
      <xdr:rowOff>172810</xdr:rowOff>
    </xdr:from>
    <xdr:to>
      <xdr:col>113</xdr:col>
      <xdr:colOff>340179</xdr:colOff>
      <xdr:row>51</xdr:row>
      <xdr:rowOff>0</xdr:rowOff>
    </xdr:to>
    <xdr:graphicFrame macro="">
      <xdr:nvGraphicFramePr>
        <xdr:cNvPr id="30" name="2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114</xdr:col>
      <xdr:colOff>748392</xdr:colOff>
      <xdr:row>0</xdr:row>
      <xdr:rowOff>172809</xdr:rowOff>
    </xdr:from>
    <xdr:to>
      <xdr:col>135</xdr:col>
      <xdr:colOff>231321</xdr:colOff>
      <xdr:row>40</xdr:row>
      <xdr:rowOff>81643</xdr:rowOff>
    </xdr:to>
    <xdr:graphicFrame macro="">
      <xdr:nvGraphicFramePr>
        <xdr:cNvPr id="31" name="3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135</xdr:col>
      <xdr:colOff>734786</xdr:colOff>
      <xdr:row>0</xdr:row>
      <xdr:rowOff>145595</xdr:rowOff>
    </xdr:from>
    <xdr:to>
      <xdr:col>144</xdr:col>
      <xdr:colOff>299357</xdr:colOff>
      <xdr:row>24</xdr:row>
      <xdr:rowOff>0</xdr:rowOff>
    </xdr:to>
    <xdr:graphicFrame macro="">
      <xdr:nvGraphicFramePr>
        <xdr:cNvPr id="32" name="3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136</xdr:col>
      <xdr:colOff>27213</xdr:colOff>
      <xdr:row>27</xdr:row>
      <xdr:rowOff>23131</xdr:rowOff>
    </xdr:from>
    <xdr:to>
      <xdr:col>144</xdr:col>
      <xdr:colOff>272142</xdr:colOff>
      <xdr:row>52</xdr:row>
      <xdr:rowOff>176892</xdr:rowOff>
    </xdr:to>
    <xdr:graphicFrame macro="">
      <xdr:nvGraphicFramePr>
        <xdr:cNvPr id="33" name="3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145</xdr:col>
      <xdr:colOff>163284</xdr:colOff>
      <xdr:row>0</xdr:row>
      <xdr:rowOff>91166</xdr:rowOff>
    </xdr:from>
    <xdr:to>
      <xdr:col>161</xdr:col>
      <xdr:colOff>530679</xdr:colOff>
      <xdr:row>34</xdr:row>
      <xdr:rowOff>68035</xdr:rowOff>
    </xdr:to>
    <xdr:graphicFrame macro="">
      <xdr:nvGraphicFramePr>
        <xdr:cNvPr id="34" name="3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145</xdr:col>
      <xdr:colOff>176893</xdr:colOff>
      <xdr:row>36</xdr:row>
      <xdr:rowOff>145595</xdr:rowOff>
    </xdr:from>
    <xdr:to>
      <xdr:col>152</xdr:col>
      <xdr:colOff>95250</xdr:colOff>
      <xdr:row>59</xdr:row>
      <xdr:rowOff>108856</xdr:rowOff>
    </xdr:to>
    <xdr:graphicFrame macro="">
      <xdr:nvGraphicFramePr>
        <xdr:cNvPr id="35" name="3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163</xdr:col>
      <xdr:colOff>666750</xdr:colOff>
      <xdr:row>0</xdr:row>
      <xdr:rowOff>159202</xdr:rowOff>
    </xdr:from>
    <xdr:to>
      <xdr:col>179</xdr:col>
      <xdr:colOff>68036</xdr:colOff>
      <xdr:row>34</xdr:row>
      <xdr:rowOff>68035</xdr:rowOff>
    </xdr:to>
    <xdr:graphicFrame macro="">
      <xdr:nvGraphicFramePr>
        <xdr:cNvPr id="36" name="3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180</xdr:col>
      <xdr:colOff>734786</xdr:colOff>
      <xdr:row>1</xdr:row>
      <xdr:rowOff>50344</xdr:rowOff>
    </xdr:from>
    <xdr:to>
      <xdr:col>189</xdr:col>
      <xdr:colOff>734786</xdr:colOff>
      <xdr:row>25</xdr:row>
      <xdr:rowOff>81643</xdr:rowOff>
    </xdr:to>
    <xdr:graphicFrame macro="">
      <xdr:nvGraphicFramePr>
        <xdr:cNvPr id="37" name="3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181</xdr:col>
      <xdr:colOff>81643</xdr:colOff>
      <xdr:row>27</xdr:row>
      <xdr:rowOff>77559</xdr:rowOff>
    </xdr:from>
    <xdr:to>
      <xdr:col>189</xdr:col>
      <xdr:colOff>272143</xdr:colOff>
      <xdr:row>50</xdr:row>
      <xdr:rowOff>54428</xdr:rowOff>
    </xdr:to>
    <xdr:graphicFrame macro="">
      <xdr:nvGraphicFramePr>
        <xdr:cNvPr id="39" name="3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0.28476</cdr:x>
      <cdr:y>0.09591</cdr:y>
    </cdr:from>
    <cdr:to>
      <cdr:x>0.73151</cdr:x>
      <cdr:y>0.23077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610643" y="503238"/>
          <a:ext cx="4095723" cy="7076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PROPIETARIOS SIN ESTUDIOS (100% = 16)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PROPIETARIOS CON PRIMARIA (100% = 82); PROPIETARIOS CON SECUNDARIA (100% = 129)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PROPIETARIOS CON PREPARATORIA (100% = 140);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PROPIETARIOS CON LICENCIATURA (100% = 113)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PROPIETARIOS CON OTROS ESTUDIOS (100% = 4)]</a:t>
          </a:r>
          <a:endParaRPr lang="es-MX" sz="800"/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148166</xdr:colOff>
      <xdr:row>1440</xdr:row>
      <xdr:rowOff>35983</xdr:rowOff>
    </xdr:from>
    <xdr:to>
      <xdr:col>26</xdr:col>
      <xdr:colOff>381000</xdr:colOff>
      <xdr:row>1457</xdr:row>
      <xdr:rowOff>148167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0.0162</cdr:x>
      <cdr:y>0.21352</cdr:y>
    </cdr:from>
    <cdr:to>
      <cdr:x>0.12731</cdr:x>
      <cdr:y>0.30828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4084" y="715433"/>
          <a:ext cx="508000" cy="3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MX" sz="1100" b="1"/>
            <a:t>AÑOS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0.21212</cdr:x>
      <cdr:y>0.01305</cdr:y>
    </cdr:from>
    <cdr:to>
      <cdr:x>0.86809</cdr:x>
      <cdr:y>0.14116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476" y="52387"/>
          <a:ext cx="3505200" cy="5143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MX" sz="1200" b="1"/>
            <a:t>EXPERIENCIA MANEJANDO TRANSPORTE DE CARGA</a:t>
          </a:r>
        </a:p>
        <a:p xmlns:a="http://schemas.openxmlformats.org/drawingml/2006/main">
          <a:pPr algn="ctr"/>
          <a:r>
            <a:rPr lang="es-MX" sz="1000" b="1"/>
            <a:t>AÑOS</a:t>
          </a:r>
          <a:endParaRPr lang="es-MX" sz="1050" b="1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0.38129</cdr:x>
      <cdr:y>0.01166</cdr:y>
    </cdr:from>
    <cdr:to>
      <cdr:x>0.6295</cdr:x>
      <cdr:y>0.13863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19299" y="41275"/>
          <a:ext cx="1314451" cy="4492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1200" b="1"/>
            <a:t>EDAD</a:t>
          </a:r>
        </a:p>
        <a:p xmlns:a="http://schemas.openxmlformats.org/drawingml/2006/main">
          <a:pPr algn="ctr"/>
          <a:r>
            <a:rPr lang="es-MX" sz="1000" b="1"/>
            <a:t>AÑOS</a:t>
          </a:r>
          <a:endParaRPr lang="es-MX" sz="1050" b="1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0.37269</cdr:x>
      <cdr:y>0.00414</cdr:y>
    </cdr:from>
    <cdr:to>
      <cdr:x>0.61956</cdr:x>
      <cdr:y>0.0559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84375" y="22225"/>
          <a:ext cx="1314451" cy="2778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1200" b="1"/>
            <a:t>ESCOLARIDAD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0.16409</cdr:x>
      <cdr:y>0.0125</cdr:y>
    </cdr:from>
    <cdr:to>
      <cdr:x>0.83642</cdr:x>
      <cdr:y>0.06394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012824" y="69850"/>
          <a:ext cx="4149725" cy="287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200" b="1"/>
            <a:t>MECANISMOS</a:t>
          </a:r>
          <a:r>
            <a:rPr lang="es-MX" sz="1200" b="1" baseline="0"/>
            <a:t> DE CONTRATACIÓN POR NIVEL DE ESCOLARIDAD</a:t>
          </a:r>
          <a:endParaRPr lang="es-MX" sz="1200" b="1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0.22154</cdr:x>
      <cdr:y>0.01724</cdr:y>
    </cdr:from>
    <cdr:to>
      <cdr:x>0.83232</cdr:x>
      <cdr:y>0.05551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84301" y="107949"/>
          <a:ext cx="3816350" cy="239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200" b="1"/>
            <a:t>CON QUIÉN SE CONTRATA</a:t>
          </a:r>
          <a:r>
            <a:rPr lang="es-MX" sz="1200" b="1" baseline="0"/>
            <a:t> POR NIVEL DE ESCOLARIDAD</a:t>
          </a:r>
          <a:endParaRPr lang="es-MX" sz="1200" b="1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0.31363</cdr:x>
      <cdr:y>0.01162</cdr:y>
    </cdr:from>
    <cdr:to>
      <cdr:x>0.69327</cdr:x>
      <cdr:y>0.05451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593740" y="61913"/>
          <a:ext cx="4350111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200" b="1"/>
            <a:t>KILOMETRAJE RECORRIDO POR LA UNIDAD</a:t>
          </a:r>
          <a:r>
            <a:rPr lang="es-MX" sz="1200" b="1" baseline="0"/>
            <a:t> </a:t>
          </a:r>
          <a:r>
            <a:rPr lang="es-MX" sz="1200" b="1"/>
            <a:t>SEGÚN AÑO MODELO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0.3095</cdr:x>
      <cdr:y>0.0065</cdr:y>
    </cdr:from>
    <cdr:to>
      <cdr:x>0.69109</cdr:x>
      <cdr:y>0.05756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540492" y="31749"/>
          <a:ext cx="4365259" cy="2492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200" b="1"/>
            <a:t>KILOMETRAJE RECORRIDO POR LA UNIDAD</a:t>
          </a:r>
          <a:r>
            <a:rPr lang="es-MX" sz="1200" b="1" baseline="0"/>
            <a:t> </a:t>
          </a:r>
          <a:r>
            <a:rPr lang="es-MX" sz="1200" b="1"/>
            <a:t>SEGÚN AÑO MODELO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0.30578</cdr:x>
      <cdr:y>0.00942</cdr:y>
    </cdr:from>
    <cdr:to>
      <cdr:x>0.69446</cdr:x>
      <cdr:y>0.05477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946525" y="50800"/>
          <a:ext cx="5016501" cy="244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200" b="1"/>
            <a:t>RENDIMIENTO CON CARGA UNIDADES TIPO C2 SEGÚN AÑO MODELO [km/lt]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0.19375</cdr:x>
      <cdr:y>0.03819</cdr:y>
    </cdr:from>
    <cdr:to>
      <cdr:x>0.84375</cdr:x>
      <cdr:y>0.16468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85825" y="152401"/>
          <a:ext cx="297180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s-MX" sz="1400" b="1"/>
            <a:t>PROPIETARIOS</a:t>
          </a:r>
        </a:p>
        <a:p xmlns:a="http://schemas.openxmlformats.org/drawingml/2006/main">
          <a:pPr algn="ctr"/>
          <a:r>
            <a:rPr lang="es-MX" sz="1200" b="1"/>
            <a:t>GRADO DE IMPORTANCIA PARA FIJAR LA RUTA</a:t>
          </a:r>
        </a:p>
      </cdr:txBody>
    </cdr:sp>
  </cdr:relSizeAnchor>
  <cdr:relSizeAnchor xmlns:cdr="http://schemas.openxmlformats.org/drawingml/2006/chartDrawing">
    <cdr:from>
      <cdr:x>0.00186</cdr:x>
      <cdr:y>0.32564</cdr:y>
    </cdr:from>
    <cdr:to>
      <cdr:x>0.04534</cdr:x>
      <cdr:y>0.77645</cdr:y>
    </cdr:to>
    <cdr:sp macro="" textlink="">
      <cdr:nvSpPr>
        <cdr:cNvPr id="3" name="2 CuadroTexto"/>
        <cdr:cNvSpPr txBox="1"/>
      </cdr:nvSpPr>
      <cdr:spPr>
        <a:xfrm xmlns:a="http://schemas.openxmlformats.org/drawingml/2006/main" rot="16200000">
          <a:off x="-778934" y="2088093"/>
          <a:ext cx="1799167" cy="222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MX" sz="900" b="0"/>
            <a:t>CANTIDAD DE PROPIETARIOS</a:t>
          </a:r>
        </a:p>
      </cdr:txBody>
    </cdr:sp>
  </cdr:relSizeAnchor>
  <cdr:relSizeAnchor xmlns:cdr="http://schemas.openxmlformats.org/drawingml/2006/chartDrawing">
    <cdr:from>
      <cdr:x>0.12298</cdr:x>
      <cdr:y>0.86264</cdr:y>
    </cdr:from>
    <cdr:to>
      <cdr:x>0.85797</cdr:x>
      <cdr:y>0.90507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628651" y="3442760"/>
          <a:ext cx="3757083" cy="1693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MX" sz="900"/>
            <a:t>GRADO DE IMPORTANCIA [1 = MÁS IMPORTANTE; 4 =  MENOS IMPORTANTE]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0.21696</cdr:x>
      <cdr:y>0.02899</cdr:y>
    </cdr:from>
    <cdr:to>
      <cdr:x>0.78928</cdr:x>
      <cdr:y>0.13225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657350" y="152400"/>
          <a:ext cx="4371975" cy="542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s-MX" sz="1400" b="1"/>
            <a:t>RENDIMIENTO</a:t>
          </a:r>
          <a:r>
            <a:rPr lang="es-MX" sz="1400" b="1" baseline="0"/>
            <a:t> PROMEDIO DE UNIDADES TIPO C2 [km/lt]</a:t>
          </a:r>
        </a:p>
        <a:p xmlns:a="http://schemas.openxmlformats.org/drawingml/2006/main">
          <a:pPr algn="ctr"/>
          <a:r>
            <a:rPr lang="es-MX" sz="1200" b="1" baseline="0"/>
            <a:t>SOLO CON COMBUSTIBLE DIESEL</a:t>
          </a:r>
          <a:endParaRPr lang="es-MX" sz="1200" b="1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0.21099</cdr:x>
      <cdr:y>0.01079</cdr:y>
    </cdr:from>
    <cdr:to>
      <cdr:x>0.78402</cdr:x>
      <cdr:y>0.11331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609725" y="57150"/>
          <a:ext cx="4371975" cy="542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MX" sz="1400" b="1"/>
            <a:t>RENDIMIENTO</a:t>
          </a:r>
          <a:r>
            <a:rPr lang="es-MX" sz="1400" b="1" baseline="0"/>
            <a:t> PROMEDIO DE UNIDADES TIPO C3 [km/lt]</a:t>
          </a:r>
        </a:p>
        <a:p xmlns:a="http://schemas.openxmlformats.org/drawingml/2006/main">
          <a:pPr algn="ctr"/>
          <a:r>
            <a:rPr lang="es-MX" sz="1200" b="1" baseline="0"/>
            <a:t>SOLO CON COMBUSTIBLE DIESEL</a:t>
          </a:r>
          <a:endParaRPr lang="es-MX" sz="1200" b="1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0.21322</cdr:x>
      <cdr:y>0.00538</cdr:y>
    </cdr:from>
    <cdr:to>
      <cdr:x>0.78554</cdr:x>
      <cdr:y>0.12545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628775" y="28575"/>
          <a:ext cx="4371975" cy="638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MX" sz="1400" b="1"/>
            <a:t>RENDIMIENTO</a:t>
          </a:r>
          <a:r>
            <a:rPr lang="es-MX" sz="1400" b="1" baseline="0"/>
            <a:t> PROMEDIO DE UNIDADES TIPO T2 [km/lt]</a:t>
          </a:r>
        </a:p>
        <a:p xmlns:a="http://schemas.openxmlformats.org/drawingml/2006/main">
          <a:pPr algn="ctr"/>
          <a:r>
            <a:rPr lang="es-MX" sz="1200" b="1" baseline="0"/>
            <a:t>SOLO CON COMBUSTIBLE DIESEL</a:t>
          </a:r>
        </a:p>
        <a:p xmlns:a="http://schemas.openxmlformats.org/drawingml/2006/main">
          <a:pPr algn="ctr"/>
          <a:r>
            <a:rPr lang="es-MX" sz="1200" b="1" baseline="0"/>
            <a:t>(Anteriores a 1980: Sin datos.)</a:t>
          </a:r>
          <a:endParaRPr lang="es-MX" sz="1200" b="1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0.21615</cdr:x>
      <cdr:y>0.00546</cdr:y>
    </cdr:from>
    <cdr:to>
      <cdr:x>0.78634</cdr:x>
      <cdr:y>0.10929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657350" y="28575"/>
          <a:ext cx="4371975" cy="542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MX" sz="1400" b="1"/>
            <a:t>RENDIMIENTO</a:t>
          </a:r>
          <a:r>
            <a:rPr lang="es-MX" sz="1400" b="1" baseline="0"/>
            <a:t> PROMEDIO DE UNIDADES TIPO T3 [km/lt]</a:t>
          </a:r>
        </a:p>
        <a:p xmlns:a="http://schemas.openxmlformats.org/drawingml/2006/main">
          <a:pPr algn="ctr"/>
          <a:r>
            <a:rPr lang="es-MX" sz="1200" b="1" baseline="0"/>
            <a:t>SOLO CON COMBUSTIBLE DIESEL</a:t>
          </a:r>
          <a:endParaRPr lang="es-MX" sz="1200" b="1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0.32262</cdr:x>
      <cdr:y>0.02391</cdr:y>
    </cdr:from>
    <cdr:to>
      <cdr:x>0.6826</cdr:x>
      <cdr:y>0.08657</cdr:y>
    </cdr:to>
    <cdr:sp macro="" textlink="">
      <cdr:nvSpPr>
        <cdr:cNvPr id="2" name="28 CuadroTexto"/>
        <cdr:cNvSpPr txBox="1"/>
      </cdr:nvSpPr>
      <cdr:spPr>
        <a:xfrm xmlns:a="http://schemas.openxmlformats.org/drawingml/2006/main">
          <a:off x="2568121" y="118835"/>
          <a:ext cx="2865464" cy="31149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400" b="1"/>
            <a:t>CANTIDAD DE CLIENTES REGULARES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0.33128</cdr:x>
      <cdr:y>0.02042</cdr:y>
    </cdr:from>
    <cdr:to>
      <cdr:x>0.6696</cdr:x>
      <cdr:y>0.10537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129894" y="153762"/>
          <a:ext cx="5238750" cy="6395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s-MX" sz="1400" b="1"/>
            <a:t>ANÁLISIS</a:t>
          </a:r>
          <a:r>
            <a:rPr lang="es-MX" sz="1400" b="1" baseline="0"/>
            <a:t> COMPARATIVO DE AÑO MODELO DE UNIDADES MOTRICES</a:t>
          </a:r>
        </a:p>
        <a:p xmlns:a="http://schemas.openxmlformats.org/drawingml/2006/main">
          <a:pPr algn="ctr"/>
          <a:r>
            <a:rPr lang="es-MX" sz="1200" b="1" baseline="0"/>
            <a:t>HOMBRE - CAMIÓN     VS     PEQUEÑO TRANSPORTISTA</a:t>
          </a:r>
          <a:endParaRPr lang="es-MX" sz="1200" b="1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23811</xdr:rowOff>
    </xdr:from>
    <xdr:to>
      <xdr:col>7</xdr:col>
      <xdr:colOff>0</xdr:colOff>
      <xdr:row>19</xdr:row>
      <xdr:rowOff>180974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21</xdr:row>
      <xdr:rowOff>23811</xdr:rowOff>
    </xdr:from>
    <xdr:to>
      <xdr:col>7</xdr:col>
      <xdr:colOff>28574</xdr:colOff>
      <xdr:row>40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9524</xdr:colOff>
      <xdr:row>41</xdr:row>
      <xdr:rowOff>14286</xdr:rowOff>
    </xdr:from>
    <xdr:to>
      <xdr:col>7</xdr:col>
      <xdr:colOff>19049</xdr:colOff>
      <xdr:row>59</xdr:row>
      <xdr:rowOff>171449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28574</xdr:colOff>
      <xdr:row>61</xdr:row>
      <xdr:rowOff>4761</xdr:rowOff>
    </xdr:from>
    <xdr:to>
      <xdr:col>9</xdr:col>
      <xdr:colOff>0</xdr:colOff>
      <xdr:row>84</xdr:row>
      <xdr:rowOff>180975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28575</xdr:colOff>
      <xdr:row>86</xdr:row>
      <xdr:rowOff>23811</xdr:rowOff>
    </xdr:from>
    <xdr:to>
      <xdr:col>9</xdr:col>
      <xdr:colOff>9525</xdr:colOff>
      <xdr:row>109</xdr:row>
      <xdr:rowOff>142874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111</xdr:row>
      <xdr:rowOff>14286</xdr:rowOff>
    </xdr:from>
    <xdr:to>
      <xdr:col>9</xdr:col>
      <xdr:colOff>0</xdr:colOff>
      <xdr:row>134</xdr:row>
      <xdr:rowOff>171449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139</xdr:row>
      <xdr:rowOff>23811</xdr:rowOff>
    </xdr:from>
    <xdr:to>
      <xdr:col>8</xdr:col>
      <xdr:colOff>752474</xdr:colOff>
      <xdr:row>163</xdr:row>
      <xdr:rowOff>9524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9524</xdr:colOff>
      <xdr:row>164</xdr:row>
      <xdr:rowOff>4761</xdr:rowOff>
    </xdr:from>
    <xdr:to>
      <xdr:col>9</xdr:col>
      <xdr:colOff>19049</xdr:colOff>
      <xdr:row>187</xdr:row>
      <xdr:rowOff>180974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19049</xdr:colOff>
      <xdr:row>188</xdr:row>
      <xdr:rowOff>185737</xdr:rowOff>
    </xdr:from>
    <xdr:to>
      <xdr:col>7</xdr:col>
      <xdr:colOff>28574</xdr:colOff>
      <xdr:row>206</xdr:row>
      <xdr:rowOff>180975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9525</xdr:colOff>
      <xdr:row>0</xdr:row>
      <xdr:rowOff>185736</xdr:rowOff>
    </xdr:from>
    <xdr:to>
      <xdr:col>21</xdr:col>
      <xdr:colOff>47625</xdr:colOff>
      <xdr:row>28</xdr:row>
      <xdr:rowOff>38100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9525</xdr:colOff>
      <xdr:row>30</xdr:row>
      <xdr:rowOff>33336</xdr:rowOff>
    </xdr:from>
    <xdr:to>
      <xdr:col>17</xdr:col>
      <xdr:colOff>752475</xdr:colOff>
      <xdr:row>49</xdr:row>
      <xdr:rowOff>28575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9525</xdr:colOff>
      <xdr:row>51</xdr:row>
      <xdr:rowOff>4761</xdr:rowOff>
    </xdr:from>
    <xdr:to>
      <xdr:col>18</xdr:col>
      <xdr:colOff>9525</xdr:colOff>
      <xdr:row>70</xdr:row>
      <xdr:rowOff>9524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</xdr:col>
      <xdr:colOff>19050</xdr:colOff>
      <xdr:row>71</xdr:row>
      <xdr:rowOff>61911</xdr:rowOff>
    </xdr:from>
    <xdr:to>
      <xdr:col>19</xdr:col>
      <xdr:colOff>0</xdr:colOff>
      <xdr:row>91</xdr:row>
      <xdr:rowOff>28574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752475</xdr:colOff>
      <xdr:row>92</xdr:row>
      <xdr:rowOff>176212</xdr:rowOff>
    </xdr:from>
    <xdr:to>
      <xdr:col>18</xdr:col>
      <xdr:colOff>752475</xdr:colOff>
      <xdr:row>115</xdr:row>
      <xdr:rowOff>38100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9525</xdr:colOff>
      <xdr:row>116</xdr:row>
      <xdr:rowOff>14287</xdr:rowOff>
    </xdr:from>
    <xdr:to>
      <xdr:col>19</xdr:col>
      <xdr:colOff>28575</xdr:colOff>
      <xdr:row>139</xdr:row>
      <xdr:rowOff>9525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9524</xdr:colOff>
      <xdr:row>140</xdr:row>
      <xdr:rowOff>23811</xdr:rowOff>
    </xdr:from>
    <xdr:to>
      <xdr:col>19</xdr:col>
      <xdr:colOff>19049</xdr:colOff>
      <xdr:row>163</xdr:row>
      <xdr:rowOff>180974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</xdr:col>
      <xdr:colOff>0</xdr:colOff>
      <xdr:row>165</xdr:row>
      <xdr:rowOff>4762</xdr:rowOff>
    </xdr:from>
    <xdr:to>
      <xdr:col>19</xdr:col>
      <xdr:colOff>0</xdr:colOff>
      <xdr:row>189</xdr:row>
      <xdr:rowOff>0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19049</xdr:colOff>
      <xdr:row>190</xdr:row>
      <xdr:rowOff>4761</xdr:rowOff>
    </xdr:from>
    <xdr:to>
      <xdr:col>18</xdr:col>
      <xdr:colOff>752474</xdr:colOff>
      <xdr:row>213</xdr:row>
      <xdr:rowOff>9524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</xdr:col>
      <xdr:colOff>9524</xdr:colOff>
      <xdr:row>213</xdr:row>
      <xdr:rowOff>176211</xdr:rowOff>
    </xdr:from>
    <xdr:to>
      <xdr:col>18</xdr:col>
      <xdr:colOff>761999</xdr:colOff>
      <xdr:row>238</xdr:row>
      <xdr:rowOff>9524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21</xdr:col>
      <xdr:colOff>761999</xdr:colOff>
      <xdr:row>1</xdr:row>
      <xdr:rowOff>4761</xdr:rowOff>
    </xdr:from>
    <xdr:to>
      <xdr:col>29</xdr:col>
      <xdr:colOff>752474</xdr:colOff>
      <xdr:row>25</xdr:row>
      <xdr:rowOff>19050</xdr:rowOff>
    </xdr:to>
    <xdr:graphicFrame macro="">
      <xdr:nvGraphicFramePr>
        <xdr:cNvPr id="21" name="2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21</xdr:col>
      <xdr:colOff>752474</xdr:colOff>
      <xdr:row>26</xdr:row>
      <xdr:rowOff>33337</xdr:rowOff>
    </xdr:from>
    <xdr:to>
      <xdr:col>29</xdr:col>
      <xdr:colOff>761999</xdr:colOff>
      <xdr:row>46</xdr:row>
      <xdr:rowOff>180975</xdr:rowOff>
    </xdr:to>
    <xdr:graphicFrame macro="">
      <xdr:nvGraphicFramePr>
        <xdr:cNvPr id="22" name="2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19050</xdr:colOff>
      <xdr:row>47</xdr:row>
      <xdr:rowOff>176212</xdr:rowOff>
    </xdr:from>
    <xdr:to>
      <xdr:col>30</xdr:col>
      <xdr:colOff>19050</xdr:colOff>
      <xdr:row>68</xdr:row>
      <xdr:rowOff>19050</xdr:rowOff>
    </xdr:to>
    <xdr:graphicFrame macro="">
      <xdr:nvGraphicFramePr>
        <xdr:cNvPr id="23" name="2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19050</xdr:colOff>
      <xdr:row>69</xdr:row>
      <xdr:rowOff>23812</xdr:rowOff>
    </xdr:from>
    <xdr:to>
      <xdr:col>30</xdr:col>
      <xdr:colOff>19050</xdr:colOff>
      <xdr:row>88</xdr:row>
      <xdr:rowOff>171450</xdr:rowOff>
    </xdr:to>
    <xdr:graphicFrame macro="">
      <xdr:nvGraphicFramePr>
        <xdr:cNvPr id="24" name="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21</xdr:col>
      <xdr:colOff>742949</xdr:colOff>
      <xdr:row>90</xdr:row>
      <xdr:rowOff>0</xdr:rowOff>
    </xdr:from>
    <xdr:to>
      <xdr:col>30</xdr:col>
      <xdr:colOff>9524</xdr:colOff>
      <xdr:row>112</xdr:row>
      <xdr:rowOff>9525</xdr:rowOff>
    </xdr:to>
    <xdr:graphicFrame macro="">
      <xdr:nvGraphicFramePr>
        <xdr:cNvPr id="25" name="2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21</xdr:col>
      <xdr:colOff>761999</xdr:colOff>
      <xdr:row>112</xdr:row>
      <xdr:rowOff>180975</xdr:rowOff>
    </xdr:from>
    <xdr:to>
      <xdr:col>29</xdr:col>
      <xdr:colOff>714374</xdr:colOff>
      <xdr:row>133</xdr:row>
      <xdr:rowOff>161925</xdr:rowOff>
    </xdr:to>
    <xdr:graphicFrame macro="">
      <xdr:nvGraphicFramePr>
        <xdr:cNvPr id="26" name="2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22</xdr:col>
      <xdr:colOff>0</xdr:colOff>
      <xdr:row>134</xdr:row>
      <xdr:rowOff>180975</xdr:rowOff>
    </xdr:from>
    <xdr:to>
      <xdr:col>29</xdr:col>
      <xdr:colOff>742950</xdr:colOff>
      <xdr:row>156</xdr:row>
      <xdr:rowOff>9525</xdr:rowOff>
    </xdr:to>
    <xdr:graphicFrame macro="">
      <xdr:nvGraphicFramePr>
        <xdr:cNvPr id="27" name="2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22</xdr:col>
      <xdr:colOff>9525</xdr:colOff>
      <xdr:row>157</xdr:row>
      <xdr:rowOff>9524</xdr:rowOff>
    </xdr:from>
    <xdr:to>
      <xdr:col>30</xdr:col>
      <xdr:colOff>9525</xdr:colOff>
      <xdr:row>177</xdr:row>
      <xdr:rowOff>38099</xdr:rowOff>
    </xdr:to>
    <xdr:graphicFrame macro="">
      <xdr:nvGraphicFramePr>
        <xdr:cNvPr id="28" name="2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30</xdr:col>
      <xdr:colOff>761999</xdr:colOff>
      <xdr:row>1</xdr:row>
      <xdr:rowOff>9524</xdr:rowOff>
    </xdr:from>
    <xdr:to>
      <xdr:col>38</xdr:col>
      <xdr:colOff>752474</xdr:colOff>
      <xdr:row>25</xdr:row>
      <xdr:rowOff>38099</xdr:rowOff>
    </xdr:to>
    <xdr:graphicFrame macro="">
      <xdr:nvGraphicFramePr>
        <xdr:cNvPr id="29" name="2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30</xdr:col>
      <xdr:colOff>752474</xdr:colOff>
      <xdr:row>26</xdr:row>
      <xdr:rowOff>9525</xdr:rowOff>
    </xdr:from>
    <xdr:to>
      <xdr:col>38</xdr:col>
      <xdr:colOff>761999</xdr:colOff>
      <xdr:row>46</xdr:row>
      <xdr:rowOff>180975</xdr:rowOff>
    </xdr:to>
    <xdr:graphicFrame macro="">
      <xdr:nvGraphicFramePr>
        <xdr:cNvPr id="30" name="2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30</xdr:col>
      <xdr:colOff>761999</xdr:colOff>
      <xdr:row>47</xdr:row>
      <xdr:rowOff>161925</xdr:rowOff>
    </xdr:from>
    <xdr:to>
      <xdr:col>39</xdr:col>
      <xdr:colOff>9524</xdr:colOff>
      <xdr:row>67</xdr:row>
      <xdr:rowOff>161925</xdr:rowOff>
    </xdr:to>
    <xdr:graphicFrame macro="">
      <xdr:nvGraphicFramePr>
        <xdr:cNvPr id="31" name="3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31</xdr:col>
      <xdr:colOff>9525</xdr:colOff>
      <xdr:row>68</xdr:row>
      <xdr:rowOff>180975</xdr:rowOff>
    </xdr:from>
    <xdr:to>
      <xdr:col>38</xdr:col>
      <xdr:colOff>752475</xdr:colOff>
      <xdr:row>88</xdr:row>
      <xdr:rowOff>180975</xdr:rowOff>
    </xdr:to>
    <xdr:graphicFrame macro="">
      <xdr:nvGraphicFramePr>
        <xdr:cNvPr id="32" name="3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31</xdr:col>
      <xdr:colOff>9524</xdr:colOff>
      <xdr:row>90</xdr:row>
      <xdr:rowOff>0</xdr:rowOff>
    </xdr:from>
    <xdr:to>
      <xdr:col>38</xdr:col>
      <xdr:colOff>742949</xdr:colOff>
      <xdr:row>112</xdr:row>
      <xdr:rowOff>0</xdr:rowOff>
    </xdr:to>
    <xdr:graphicFrame macro="">
      <xdr:nvGraphicFramePr>
        <xdr:cNvPr id="33" name="3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31</xdr:col>
      <xdr:colOff>9525</xdr:colOff>
      <xdr:row>113</xdr:row>
      <xdr:rowOff>0</xdr:rowOff>
    </xdr:from>
    <xdr:to>
      <xdr:col>38</xdr:col>
      <xdr:colOff>752475</xdr:colOff>
      <xdr:row>133</xdr:row>
      <xdr:rowOff>171450</xdr:rowOff>
    </xdr:to>
    <xdr:graphicFrame macro="">
      <xdr:nvGraphicFramePr>
        <xdr:cNvPr id="34" name="3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30</xdr:col>
      <xdr:colOff>752475</xdr:colOff>
      <xdr:row>134</xdr:row>
      <xdr:rowOff>190499</xdr:rowOff>
    </xdr:from>
    <xdr:to>
      <xdr:col>39</xdr:col>
      <xdr:colOff>9525</xdr:colOff>
      <xdr:row>155</xdr:row>
      <xdr:rowOff>180974</xdr:rowOff>
    </xdr:to>
    <xdr:graphicFrame macro="">
      <xdr:nvGraphicFramePr>
        <xdr:cNvPr id="35" name="3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40</xdr:col>
      <xdr:colOff>19050</xdr:colOff>
      <xdr:row>0</xdr:row>
      <xdr:rowOff>171449</xdr:rowOff>
    </xdr:from>
    <xdr:to>
      <xdr:col>53</xdr:col>
      <xdr:colOff>38100</xdr:colOff>
      <xdr:row>25</xdr:row>
      <xdr:rowOff>66674</xdr:rowOff>
    </xdr:to>
    <xdr:graphicFrame macro="">
      <xdr:nvGraphicFramePr>
        <xdr:cNvPr id="36" name="3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40</xdr:col>
      <xdr:colOff>0</xdr:colOff>
      <xdr:row>25</xdr:row>
      <xdr:rowOff>180974</xdr:rowOff>
    </xdr:from>
    <xdr:to>
      <xdr:col>53</xdr:col>
      <xdr:colOff>38100</xdr:colOff>
      <xdr:row>46</xdr:row>
      <xdr:rowOff>190499</xdr:rowOff>
    </xdr:to>
    <xdr:graphicFrame macro="">
      <xdr:nvGraphicFramePr>
        <xdr:cNvPr id="37" name="3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53</xdr:col>
      <xdr:colOff>742949</xdr:colOff>
      <xdr:row>0</xdr:row>
      <xdr:rowOff>161925</xdr:rowOff>
    </xdr:from>
    <xdr:to>
      <xdr:col>64</xdr:col>
      <xdr:colOff>9524</xdr:colOff>
      <xdr:row>25</xdr:row>
      <xdr:rowOff>47625</xdr:rowOff>
    </xdr:to>
    <xdr:graphicFrame macro="">
      <xdr:nvGraphicFramePr>
        <xdr:cNvPr id="38" name="3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54</xdr:col>
      <xdr:colOff>9524</xdr:colOff>
      <xdr:row>26</xdr:row>
      <xdr:rowOff>9525</xdr:rowOff>
    </xdr:from>
    <xdr:to>
      <xdr:col>64</xdr:col>
      <xdr:colOff>38099</xdr:colOff>
      <xdr:row>47</xdr:row>
      <xdr:rowOff>9525</xdr:rowOff>
    </xdr:to>
    <xdr:graphicFrame macro="">
      <xdr:nvGraphicFramePr>
        <xdr:cNvPr id="39" name="3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54</xdr:col>
      <xdr:colOff>0</xdr:colOff>
      <xdr:row>47</xdr:row>
      <xdr:rowOff>180974</xdr:rowOff>
    </xdr:from>
    <xdr:to>
      <xdr:col>64</xdr:col>
      <xdr:colOff>57150</xdr:colOff>
      <xdr:row>69</xdr:row>
      <xdr:rowOff>0</xdr:rowOff>
    </xdr:to>
    <xdr:graphicFrame macro="">
      <xdr:nvGraphicFramePr>
        <xdr:cNvPr id="40" name="3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53</xdr:col>
      <xdr:colOff>752474</xdr:colOff>
      <xdr:row>70</xdr:row>
      <xdr:rowOff>9525</xdr:rowOff>
    </xdr:from>
    <xdr:to>
      <xdr:col>64</xdr:col>
      <xdr:colOff>38099</xdr:colOff>
      <xdr:row>94</xdr:row>
      <xdr:rowOff>9525</xdr:rowOff>
    </xdr:to>
    <xdr:graphicFrame macro="">
      <xdr:nvGraphicFramePr>
        <xdr:cNvPr id="42" name="4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64</xdr:col>
      <xdr:colOff>742950</xdr:colOff>
      <xdr:row>1</xdr:row>
      <xdr:rowOff>38100</xdr:rowOff>
    </xdr:from>
    <xdr:to>
      <xdr:col>74</xdr:col>
      <xdr:colOff>0</xdr:colOff>
      <xdr:row>25</xdr:row>
      <xdr:rowOff>19050</xdr:rowOff>
    </xdr:to>
    <xdr:graphicFrame macro="">
      <xdr:nvGraphicFramePr>
        <xdr:cNvPr id="43" name="4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64</xdr:col>
      <xdr:colOff>752474</xdr:colOff>
      <xdr:row>26</xdr:row>
      <xdr:rowOff>9525</xdr:rowOff>
    </xdr:from>
    <xdr:to>
      <xdr:col>73</xdr:col>
      <xdr:colOff>761999</xdr:colOff>
      <xdr:row>46</xdr:row>
      <xdr:rowOff>180975</xdr:rowOff>
    </xdr:to>
    <xdr:graphicFrame macro="">
      <xdr:nvGraphicFramePr>
        <xdr:cNvPr id="44" name="4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65</xdr:col>
      <xdr:colOff>9524</xdr:colOff>
      <xdr:row>47</xdr:row>
      <xdr:rowOff>180974</xdr:rowOff>
    </xdr:from>
    <xdr:to>
      <xdr:col>74</xdr:col>
      <xdr:colOff>38099</xdr:colOff>
      <xdr:row>69</xdr:row>
      <xdr:rowOff>38099</xdr:rowOff>
    </xdr:to>
    <xdr:graphicFrame macro="">
      <xdr:nvGraphicFramePr>
        <xdr:cNvPr id="45" name="4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64</xdr:col>
      <xdr:colOff>761999</xdr:colOff>
      <xdr:row>69</xdr:row>
      <xdr:rowOff>171449</xdr:rowOff>
    </xdr:from>
    <xdr:to>
      <xdr:col>74</xdr:col>
      <xdr:colOff>28574</xdr:colOff>
      <xdr:row>91</xdr:row>
      <xdr:rowOff>180974</xdr:rowOff>
    </xdr:to>
    <xdr:graphicFrame macro="">
      <xdr:nvGraphicFramePr>
        <xdr:cNvPr id="46" name="4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65</xdr:col>
      <xdr:colOff>19049</xdr:colOff>
      <xdr:row>93</xdr:row>
      <xdr:rowOff>38099</xdr:rowOff>
    </xdr:from>
    <xdr:to>
      <xdr:col>73</xdr:col>
      <xdr:colOff>752474</xdr:colOff>
      <xdr:row>114</xdr:row>
      <xdr:rowOff>19050</xdr:rowOff>
    </xdr:to>
    <xdr:graphicFrame macro="">
      <xdr:nvGraphicFramePr>
        <xdr:cNvPr id="47" name="4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65</xdr:col>
      <xdr:colOff>9524</xdr:colOff>
      <xdr:row>115</xdr:row>
      <xdr:rowOff>9524</xdr:rowOff>
    </xdr:from>
    <xdr:to>
      <xdr:col>74</xdr:col>
      <xdr:colOff>19049</xdr:colOff>
      <xdr:row>135</xdr:row>
      <xdr:rowOff>19049</xdr:rowOff>
    </xdr:to>
    <xdr:graphicFrame macro="">
      <xdr:nvGraphicFramePr>
        <xdr:cNvPr id="48" name="4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65</xdr:col>
      <xdr:colOff>9524</xdr:colOff>
      <xdr:row>136</xdr:row>
      <xdr:rowOff>9525</xdr:rowOff>
    </xdr:from>
    <xdr:to>
      <xdr:col>74</xdr:col>
      <xdr:colOff>19049</xdr:colOff>
      <xdr:row>157</xdr:row>
      <xdr:rowOff>9525</xdr:rowOff>
    </xdr:to>
    <xdr:graphicFrame macro="">
      <xdr:nvGraphicFramePr>
        <xdr:cNvPr id="49" name="4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75</xdr:col>
      <xdr:colOff>0</xdr:colOff>
      <xdr:row>1</xdr:row>
      <xdr:rowOff>9525</xdr:rowOff>
    </xdr:from>
    <xdr:to>
      <xdr:col>84</xdr:col>
      <xdr:colOff>0</xdr:colOff>
      <xdr:row>25</xdr:row>
      <xdr:rowOff>9525</xdr:rowOff>
    </xdr:to>
    <xdr:graphicFrame macro="">
      <xdr:nvGraphicFramePr>
        <xdr:cNvPr id="50" name="4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75</xdr:col>
      <xdr:colOff>9524</xdr:colOff>
      <xdr:row>25</xdr:row>
      <xdr:rowOff>190499</xdr:rowOff>
    </xdr:from>
    <xdr:to>
      <xdr:col>83</xdr:col>
      <xdr:colOff>761999</xdr:colOff>
      <xdr:row>47</xdr:row>
      <xdr:rowOff>28574</xdr:rowOff>
    </xdr:to>
    <xdr:graphicFrame macro="">
      <xdr:nvGraphicFramePr>
        <xdr:cNvPr id="51" name="5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75</xdr:col>
      <xdr:colOff>0</xdr:colOff>
      <xdr:row>48</xdr:row>
      <xdr:rowOff>9524</xdr:rowOff>
    </xdr:from>
    <xdr:to>
      <xdr:col>84</xdr:col>
      <xdr:colOff>19050</xdr:colOff>
      <xdr:row>69</xdr:row>
      <xdr:rowOff>19049</xdr:rowOff>
    </xdr:to>
    <xdr:graphicFrame macro="">
      <xdr:nvGraphicFramePr>
        <xdr:cNvPr id="52" name="5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75</xdr:col>
      <xdr:colOff>9525</xdr:colOff>
      <xdr:row>69</xdr:row>
      <xdr:rowOff>180974</xdr:rowOff>
    </xdr:from>
    <xdr:to>
      <xdr:col>84</xdr:col>
      <xdr:colOff>28575</xdr:colOff>
      <xdr:row>91</xdr:row>
      <xdr:rowOff>190499</xdr:rowOff>
    </xdr:to>
    <xdr:graphicFrame macro="">
      <xdr:nvGraphicFramePr>
        <xdr:cNvPr id="53" name="5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75</xdr:col>
      <xdr:colOff>0</xdr:colOff>
      <xdr:row>93</xdr:row>
      <xdr:rowOff>0</xdr:rowOff>
    </xdr:from>
    <xdr:to>
      <xdr:col>84</xdr:col>
      <xdr:colOff>0</xdr:colOff>
      <xdr:row>114</xdr:row>
      <xdr:rowOff>19050</xdr:rowOff>
    </xdr:to>
    <xdr:graphicFrame macro="">
      <xdr:nvGraphicFramePr>
        <xdr:cNvPr id="54" name="5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75</xdr:col>
      <xdr:colOff>9525</xdr:colOff>
      <xdr:row>115</xdr:row>
      <xdr:rowOff>9524</xdr:rowOff>
    </xdr:from>
    <xdr:to>
      <xdr:col>83</xdr:col>
      <xdr:colOff>752475</xdr:colOff>
      <xdr:row>135</xdr:row>
      <xdr:rowOff>19049</xdr:rowOff>
    </xdr:to>
    <xdr:graphicFrame macro="">
      <xdr:nvGraphicFramePr>
        <xdr:cNvPr id="55" name="5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75</xdr:col>
      <xdr:colOff>9525</xdr:colOff>
      <xdr:row>136</xdr:row>
      <xdr:rowOff>19050</xdr:rowOff>
    </xdr:from>
    <xdr:to>
      <xdr:col>84</xdr:col>
      <xdr:colOff>9525</xdr:colOff>
      <xdr:row>156</xdr:row>
      <xdr:rowOff>0</xdr:rowOff>
    </xdr:to>
    <xdr:graphicFrame macro="">
      <xdr:nvGraphicFramePr>
        <xdr:cNvPr id="56" name="5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74</xdr:col>
      <xdr:colOff>742949</xdr:colOff>
      <xdr:row>157</xdr:row>
      <xdr:rowOff>9525</xdr:rowOff>
    </xdr:from>
    <xdr:to>
      <xdr:col>83</xdr:col>
      <xdr:colOff>752474</xdr:colOff>
      <xdr:row>177</xdr:row>
      <xdr:rowOff>28575</xdr:rowOff>
    </xdr:to>
    <xdr:graphicFrame macro="">
      <xdr:nvGraphicFramePr>
        <xdr:cNvPr id="57" name="5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74</xdr:col>
      <xdr:colOff>752475</xdr:colOff>
      <xdr:row>178</xdr:row>
      <xdr:rowOff>19050</xdr:rowOff>
    </xdr:from>
    <xdr:to>
      <xdr:col>83</xdr:col>
      <xdr:colOff>752475</xdr:colOff>
      <xdr:row>198</xdr:row>
      <xdr:rowOff>38100</xdr:rowOff>
    </xdr:to>
    <xdr:graphicFrame macro="">
      <xdr:nvGraphicFramePr>
        <xdr:cNvPr id="58" name="5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74</xdr:col>
      <xdr:colOff>752475</xdr:colOff>
      <xdr:row>198</xdr:row>
      <xdr:rowOff>180974</xdr:rowOff>
    </xdr:from>
    <xdr:to>
      <xdr:col>84</xdr:col>
      <xdr:colOff>9525</xdr:colOff>
      <xdr:row>218</xdr:row>
      <xdr:rowOff>180975</xdr:rowOff>
    </xdr:to>
    <xdr:graphicFrame macro="">
      <xdr:nvGraphicFramePr>
        <xdr:cNvPr id="59" name="5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84</xdr:col>
      <xdr:colOff>752475</xdr:colOff>
      <xdr:row>0</xdr:row>
      <xdr:rowOff>171450</xdr:rowOff>
    </xdr:from>
    <xdr:to>
      <xdr:col>92</xdr:col>
      <xdr:colOff>9525</xdr:colOff>
      <xdr:row>19</xdr:row>
      <xdr:rowOff>19050</xdr:rowOff>
    </xdr:to>
    <xdr:graphicFrame macro="">
      <xdr:nvGraphicFramePr>
        <xdr:cNvPr id="60" name="5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84</xdr:col>
      <xdr:colOff>752475</xdr:colOff>
      <xdr:row>19</xdr:row>
      <xdr:rowOff>190499</xdr:rowOff>
    </xdr:from>
    <xdr:to>
      <xdr:col>92</xdr:col>
      <xdr:colOff>9525</xdr:colOff>
      <xdr:row>36</xdr:row>
      <xdr:rowOff>180974</xdr:rowOff>
    </xdr:to>
    <xdr:graphicFrame macro="">
      <xdr:nvGraphicFramePr>
        <xdr:cNvPr id="61" name="6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84</xdr:col>
      <xdr:colOff>752474</xdr:colOff>
      <xdr:row>37</xdr:row>
      <xdr:rowOff>171449</xdr:rowOff>
    </xdr:from>
    <xdr:to>
      <xdr:col>93</xdr:col>
      <xdr:colOff>761999</xdr:colOff>
      <xdr:row>60</xdr:row>
      <xdr:rowOff>0</xdr:rowOff>
    </xdr:to>
    <xdr:graphicFrame macro="">
      <xdr:nvGraphicFramePr>
        <xdr:cNvPr id="62" name="6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85</xdr:col>
      <xdr:colOff>9524</xdr:colOff>
      <xdr:row>61</xdr:row>
      <xdr:rowOff>28575</xdr:rowOff>
    </xdr:from>
    <xdr:to>
      <xdr:col>91</xdr:col>
      <xdr:colOff>761999</xdr:colOff>
      <xdr:row>81</xdr:row>
      <xdr:rowOff>28575</xdr:rowOff>
    </xdr:to>
    <xdr:graphicFrame macro="">
      <xdr:nvGraphicFramePr>
        <xdr:cNvPr id="63" name="6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85</xdr:col>
      <xdr:colOff>9525</xdr:colOff>
      <xdr:row>81</xdr:row>
      <xdr:rowOff>133349</xdr:rowOff>
    </xdr:from>
    <xdr:to>
      <xdr:col>93</xdr:col>
      <xdr:colOff>752475</xdr:colOff>
      <xdr:row>106</xdr:row>
      <xdr:rowOff>9524</xdr:rowOff>
    </xdr:to>
    <xdr:graphicFrame macro="">
      <xdr:nvGraphicFramePr>
        <xdr:cNvPr id="64" name="6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95</xdr:col>
      <xdr:colOff>28575</xdr:colOff>
      <xdr:row>0</xdr:row>
      <xdr:rowOff>152399</xdr:rowOff>
    </xdr:from>
    <xdr:to>
      <xdr:col>101</xdr:col>
      <xdr:colOff>752475</xdr:colOff>
      <xdr:row>18</xdr:row>
      <xdr:rowOff>180974</xdr:rowOff>
    </xdr:to>
    <xdr:graphicFrame macro="">
      <xdr:nvGraphicFramePr>
        <xdr:cNvPr id="65" name="6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95</xdr:col>
      <xdr:colOff>9524</xdr:colOff>
      <xdr:row>20</xdr:row>
      <xdr:rowOff>9525</xdr:rowOff>
    </xdr:from>
    <xdr:to>
      <xdr:col>101</xdr:col>
      <xdr:colOff>742949</xdr:colOff>
      <xdr:row>37</xdr:row>
      <xdr:rowOff>9525</xdr:rowOff>
    </xdr:to>
    <xdr:graphicFrame macro="">
      <xdr:nvGraphicFramePr>
        <xdr:cNvPr id="66" name="6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102</xdr:col>
      <xdr:colOff>752475</xdr:colOff>
      <xdr:row>2</xdr:row>
      <xdr:rowOff>161925</xdr:rowOff>
    </xdr:from>
    <xdr:to>
      <xdr:col>110</xdr:col>
      <xdr:colOff>752475</xdr:colOff>
      <xdr:row>23</xdr:row>
      <xdr:rowOff>170260</xdr:rowOff>
    </xdr:to>
    <xdr:graphicFrame macro="">
      <xdr:nvGraphicFramePr>
        <xdr:cNvPr id="67" name="6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103</xdr:col>
      <xdr:colOff>21431</xdr:colOff>
      <xdr:row>25</xdr:row>
      <xdr:rowOff>19050</xdr:rowOff>
    </xdr:from>
    <xdr:to>
      <xdr:col>110</xdr:col>
      <xdr:colOff>747712</xdr:colOff>
      <xdr:row>45</xdr:row>
      <xdr:rowOff>27386</xdr:rowOff>
    </xdr:to>
    <xdr:graphicFrame macro="">
      <xdr:nvGraphicFramePr>
        <xdr:cNvPr id="68" name="6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103</xdr:col>
      <xdr:colOff>9525</xdr:colOff>
      <xdr:row>46</xdr:row>
      <xdr:rowOff>19049</xdr:rowOff>
    </xdr:from>
    <xdr:to>
      <xdr:col>111</xdr:col>
      <xdr:colOff>9525</xdr:colOff>
      <xdr:row>66</xdr:row>
      <xdr:rowOff>15478</xdr:rowOff>
    </xdr:to>
    <xdr:graphicFrame macro="">
      <xdr:nvGraphicFramePr>
        <xdr:cNvPr id="69" name="6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103</xdr:col>
      <xdr:colOff>21431</xdr:colOff>
      <xdr:row>66</xdr:row>
      <xdr:rowOff>185738</xdr:rowOff>
    </xdr:from>
    <xdr:to>
      <xdr:col>111</xdr:col>
      <xdr:colOff>9524</xdr:colOff>
      <xdr:row>87</xdr:row>
      <xdr:rowOff>27386</xdr:rowOff>
    </xdr:to>
    <xdr:graphicFrame macro="">
      <xdr:nvGraphicFramePr>
        <xdr:cNvPr id="70" name="6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111</xdr:col>
      <xdr:colOff>761999</xdr:colOff>
      <xdr:row>3</xdr:row>
      <xdr:rowOff>14286</xdr:rowOff>
    </xdr:from>
    <xdr:to>
      <xdr:col>119</xdr:col>
      <xdr:colOff>733424</xdr:colOff>
      <xdr:row>24</xdr:row>
      <xdr:rowOff>19049</xdr:rowOff>
    </xdr:to>
    <xdr:graphicFrame macro="">
      <xdr:nvGraphicFramePr>
        <xdr:cNvPr id="72" name="7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112</xdr:col>
      <xdr:colOff>9525</xdr:colOff>
      <xdr:row>25</xdr:row>
      <xdr:rowOff>23811</xdr:rowOff>
    </xdr:from>
    <xdr:to>
      <xdr:col>119</xdr:col>
      <xdr:colOff>733425</xdr:colOff>
      <xdr:row>45</xdr:row>
      <xdr:rowOff>9524</xdr:rowOff>
    </xdr:to>
    <xdr:graphicFrame macro="">
      <xdr:nvGraphicFramePr>
        <xdr:cNvPr id="73" name="7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112</xdr:col>
      <xdr:colOff>19049</xdr:colOff>
      <xdr:row>46</xdr:row>
      <xdr:rowOff>23812</xdr:rowOff>
    </xdr:from>
    <xdr:to>
      <xdr:col>119</xdr:col>
      <xdr:colOff>733424</xdr:colOff>
      <xdr:row>65</xdr:row>
      <xdr:rowOff>171450</xdr:rowOff>
    </xdr:to>
    <xdr:graphicFrame macro="">
      <xdr:nvGraphicFramePr>
        <xdr:cNvPr id="74" name="7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121</xdr:col>
      <xdr:colOff>9524</xdr:colOff>
      <xdr:row>3</xdr:row>
      <xdr:rowOff>14287</xdr:rowOff>
    </xdr:from>
    <xdr:to>
      <xdr:col>128</xdr:col>
      <xdr:colOff>761999</xdr:colOff>
      <xdr:row>23</xdr:row>
      <xdr:rowOff>180975</xdr:rowOff>
    </xdr:to>
    <xdr:graphicFrame macro="">
      <xdr:nvGraphicFramePr>
        <xdr:cNvPr id="76" name="7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121</xdr:col>
      <xdr:colOff>38099</xdr:colOff>
      <xdr:row>25</xdr:row>
      <xdr:rowOff>23812</xdr:rowOff>
    </xdr:from>
    <xdr:to>
      <xdr:col>128</xdr:col>
      <xdr:colOff>752474</xdr:colOff>
      <xdr:row>44</xdr:row>
      <xdr:rowOff>171450</xdr:rowOff>
    </xdr:to>
    <xdr:graphicFrame macro="">
      <xdr:nvGraphicFramePr>
        <xdr:cNvPr id="77" name="7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121</xdr:col>
      <xdr:colOff>9524</xdr:colOff>
      <xdr:row>46</xdr:row>
      <xdr:rowOff>4761</xdr:rowOff>
    </xdr:from>
    <xdr:to>
      <xdr:col>128</xdr:col>
      <xdr:colOff>742949</xdr:colOff>
      <xdr:row>65</xdr:row>
      <xdr:rowOff>180974</xdr:rowOff>
    </xdr:to>
    <xdr:graphicFrame macro="">
      <xdr:nvGraphicFramePr>
        <xdr:cNvPr id="78" name="7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129</xdr:col>
      <xdr:colOff>761999</xdr:colOff>
      <xdr:row>2</xdr:row>
      <xdr:rowOff>4761</xdr:rowOff>
    </xdr:from>
    <xdr:to>
      <xdr:col>137</xdr:col>
      <xdr:colOff>752474</xdr:colOff>
      <xdr:row>22</xdr:row>
      <xdr:rowOff>47624</xdr:rowOff>
    </xdr:to>
    <xdr:graphicFrame macro="">
      <xdr:nvGraphicFramePr>
        <xdr:cNvPr id="79" name="7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130</xdr:col>
      <xdr:colOff>0</xdr:colOff>
      <xdr:row>23</xdr:row>
      <xdr:rowOff>23811</xdr:rowOff>
    </xdr:from>
    <xdr:to>
      <xdr:col>138</xdr:col>
      <xdr:colOff>0</xdr:colOff>
      <xdr:row>43</xdr:row>
      <xdr:rowOff>28574</xdr:rowOff>
    </xdr:to>
    <xdr:graphicFrame macro="">
      <xdr:nvGraphicFramePr>
        <xdr:cNvPr id="80" name="7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130</xdr:col>
      <xdr:colOff>9525</xdr:colOff>
      <xdr:row>43</xdr:row>
      <xdr:rowOff>185736</xdr:rowOff>
    </xdr:from>
    <xdr:to>
      <xdr:col>138</xdr:col>
      <xdr:colOff>9525</xdr:colOff>
      <xdr:row>64</xdr:row>
      <xdr:rowOff>9525</xdr:rowOff>
    </xdr:to>
    <xdr:graphicFrame macro="">
      <xdr:nvGraphicFramePr>
        <xdr:cNvPr id="81" name="8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129</xdr:col>
      <xdr:colOff>761999</xdr:colOff>
      <xdr:row>65</xdr:row>
      <xdr:rowOff>23811</xdr:rowOff>
    </xdr:from>
    <xdr:to>
      <xdr:col>137</xdr:col>
      <xdr:colOff>752474</xdr:colOff>
      <xdr:row>85</xdr:row>
      <xdr:rowOff>9524</xdr:rowOff>
    </xdr:to>
    <xdr:graphicFrame macro="">
      <xdr:nvGraphicFramePr>
        <xdr:cNvPr id="82" name="8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139</xdr:col>
      <xdr:colOff>9525</xdr:colOff>
      <xdr:row>1</xdr:row>
      <xdr:rowOff>185736</xdr:rowOff>
    </xdr:from>
    <xdr:to>
      <xdr:col>146</xdr:col>
      <xdr:colOff>733425</xdr:colOff>
      <xdr:row>21</xdr:row>
      <xdr:rowOff>190499</xdr:rowOff>
    </xdr:to>
    <xdr:graphicFrame macro="">
      <xdr:nvGraphicFramePr>
        <xdr:cNvPr id="71" name="7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139</xdr:col>
      <xdr:colOff>19049</xdr:colOff>
      <xdr:row>23</xdr:row>
      <xdr:rowOff>4762</xdr:rowOff>
    </xdr:from>
    <xdr:to>
      <xdr:col>147</xdr:col>
      <xdr:colOff>9524</xdr:colOff>
      <xdr:row>43</xdr:row>
      <xdr:rowOff>0</xdr:rowOff>
    </xdr:to>
    <xdr:graphicFrame macro="">
      <xdr:nvGraphicFramePr>
        <xdr:cNvPr id="75" name="7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139</xdr:col>
      <xdr:colOff>9524</xdr:colOff>
      <xdr:row>43</xdr:row>
      <xdr:rowOff>185736</xdr:rowOff>
    </xdr:from>
    <xdr:to>
      <xdr:col>146</xdr:col>
      <xdr:colOff>761999</xdr:colOff>
      <xdr:row>63</xdr:row>
      <xdr:rowOff>190499</xdr:rowOff>
    </xdr:to>
    <xdr:graphicFrame macro="">
      <xdr:nvGraphicFramePr>
        <xdr:cNvPr id="83" name="8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148</xdr:col>
      <xdr:colOff>14286</xdr:colOff>
      <xdr:row>8</xdr:row>
      <xdr:rowOff>19049</xdr:rowOff>
    </xdr:from>
    <xdr:to>
      <xdr:col>155</xdr:col>
      <xdr:colOff>761999</xdr:colOff>
      <xdr:row>28</xdr:row>
      <xdr:rowOff>9524</xdr:rowOff>
    </xdr:to>
    <xdr:graphicFrame macro="">
      <xdr:nvGraphicFramePr>
        <xdr:cNvPr id="84" name="8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157</xdr:col>
      <xdr:colOff>9525</xdr:colOff>
      <xdr:row>2</xdr:row>
      <xdr:rowOff>4762</xdr:rowOff>
    </xdr:from>
    <xdr:to>
      <xdr:col>165</xdr:col>
      <xdr:colOff>9525</xdr:colOff>
      <xdr:row>22</xdr:row>
      <xdr:rowOff>0</xdr:rowOff>
    </xdr:to>
    <xdr:graphicFrame macro="">
      <xdr:nvGraphicFramePr>
        <xdr:cNvPr id="86" name="8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165</xdr:col>
      <xdr:colOff>757236</xdr:colOff>
      <xdr:row>2</xdr:row>
      <xdr:rowOff>0</xdr:rowOff>
    </xdr:from>
    <xdr:to>
      <xdr:col>173</xdr:col>
      <xdr:colOff>761999</xdr:colOff>
      <xdr:row>21</xdr:row>
      <xdr:rowOff>171450</xdr:rowOff>
    </xdr:to>
    <xdr:graphicFrame macro="">
      <xdr:nvGraphicFramePr>
        <xdr:cNvPr id="87" name="8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165</xdr:col>
      <xdr:colOff>757237</xdr:colOff>
      <xdr:row>22</xdr:row>
      <xdr:rowOff>190499</xdr:rowOff>
    </xdr:from>
    <xdr:to>
      <xdr:col>174</xdr:col>
      <xdr:colOff>9525</xdr:colOff>
      <xdr:row>42</xdr:row>
      <xdr:rowOff>180974</xdr:rowOff>
    </xdr:to>
    <xdr:graphicFrame macro="">
      <xdr:nvGraphicFramePr>
        <xdr:cNvPr id="88" name="8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0.25509</cdr:x>
      <cdr:y>0.87539</cdr:y>
    </cdr:from>
    <cdr:to>
      <cdr:x>0.66041</cdr:x>
      <cdr:y>0.93146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552575" y="4014789"/>
          <a:ext cx="2466975" cy="2571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MX" sz="1050" b="1"/>
            <a:t>% QUE RECORRE LA UNIDAD DE VACÍO</a:t>
          </a:r>
        </a:p>
      </cdr:txBody>
    </cdr:sp>
  </cdr:relSizeAnchor>
  <cdr:relSizeAnchor xmlns:cdr="http://schemas.openxmlformats.org/drawingml/2006/chartDrawing">
    <cdr:from>
      <cdr:x>0.00626</cdr:x>
      <cdr:y>0.36137</cdr:y>
    </cdr:from>
    <cdr:to>
      <cdr:x>0.05321</cdr:x>
      <cdr:y>0.72482</cdr:y>
    </cdr:to>
    <cdr:sp macro="" textlink="">
      <cdr:nvSpPr>
        <cdr:cNvPr id="3" name="2 CuadroTexto"/>
        <cdr:cNvSpPr txBox="1"/>
      </cdr:nvSpPr>
      <cdr:spPr>
        <a:xfrm xmlns:a="http://schemas.openxmlformats.org/drawingml/2006/main" rot="16200000">
          <a:off x="-652463" y="2347914"/>
          <a:ext cx="16668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MX" sz="1050" b="1"/>
            <a:t>PORCIENTO</a:t>
          </a:r>
          <a:r>
            <a:rPr lang="es-MX" sz="1050" b="1" baseline="0"/>
            <a:t> DE UNIDADES</a:t>
          </a:r>
          <a:endParaRPr lang="es-MX" sz="1050" b="1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1</xdr:row>
      <xdr:rowOff>14287</xdr:rowOff>
    </xdr:from>
    <xdr:to>
      <xdr:col>8</xdr:col>
      <xdr:colOff>742950</xdr:colOff>
      <xdr:row>20</xdr:row>
      <xdr:rowOff>180975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752475</xdr:colOff>
      <xdr:row>21</xdr:row>
      <xdr:rowOff>185736</xdr:rowOff>
    </xdr:from>
    <xdr:to>
      <xdr:col>8</xdr:col>
      <xdr:colOff>752475</xdr:colOff>
      <xdr:row>42</xdr:row>
      <xdr:rowOff>38099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43</xdr:row>
      <xdr:rowOff>23811</xdr:rowOff>
    </xdr:from>
    <xdr:to>
      <xdr:col>9</xdr:col>
      <xdr:colOff>0</xdr:colOff>
      <xdr:row>62</xdr:row>
      <xdr:rowOff>28574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761999</xdr:colOff>
      <xdr:row>62</xdr:row>
      <xdr:rowOff>185737</xdr:rowOff>
    </xdr:from>
    <xdr:to>
      <xdr:col>8</xdr:col>
      <xdr:colOff>752474</xdr:colOff>
      <xdr:row>82</xdr:row>
      <xdr:rowOff>180975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84</xdr:row>
      <xdr:rowOff>4762</xdr:rowOff>
    </xdr:from>
    <xdr:to>
      <xdr:col>9</xdr:col>
      <xdr:colOff>0</xdr:colOff>
      <xdr:row>104</xdr:row>
      <xdr:rowOff>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752475</xdr:colOff>
      <xdr:row>105</xdr:row>
      <xdr:rowOff>14286</xdr:rowOff>
    </xdr:from>
    <xdr:to>
      <xdr:col>12</xdr:col>
      <xdr:colOff>9525</xdr:colOff>
      <xdr:row>130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752475</xdr:colOff>
      <xdr:row>131</xdr:row>
      <xdr:rowOff>14286</xdr:rowOff>
    </xdr:from>
    <xdr:to>
      <xdr:col>9</xdr:col>
      <xdr:colOff>9525</xdr:colOff>
      <xdr:row>151</xdr:row>
      <xdr:rowOff>38099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19049</xdr:colOff>
      <xdr:row>152</xdr:row>
      <xdr:rowOff>4762</xdr:rowOff>
    </xdr:from>
    <xdr:to>
      <xdr:col>9</xdr:col>
      <xdr:colOff>9524</xdr:colOff>
      <xdr:row>172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28574</xdr:colOff>
      <xdr:row>173</xdr:row>
      <xdr:rowOff>4762</xdr:rowOff>
    </xdr:from>
    <xdr:to>
      <xdr:col>8</xdr:col>
      <xdr:colOff>761999</xdr:colOff>
      <xdr:row>193</xdr:row>
      <xdr:rowOff>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761999</xdr:colOff>
      <xdr:row>193</xdr:row>
      <xdr:rowOff>185737</xdr:rowOff>
    </xdr:from>
    <xdr:to>
      <xdr:col>8</xdr:col>
      <xdr:colOff>752474</xdr:colOff>
      <xdr:row>214</xdr:row>
      <xdr:rowOff>9525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9524</xdr:colOff>
      <xdr:row>1</xdr:row>
      <xdr:rowOff>4761</xdr:rowOff>
    </xdr:from>
    <xdr:to>
      <xdr:col>17</xdr:col>
      <xdr:colOff>761999</xdr:colOff>
      <xdr:row>20</xdr:row>
      <xdr:rowOff>180974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752475</xdr:colOff>
      <xdr:row>22</xdr:row>
      <xdr:rowOff>14287</xdr:rowOff>
    </xdr:from>
    <xdr:to>
      <xdr:col>17</xdr:col>
      <xdr:colOff>752475</xdr:colOff>
      <xdr:row>42</xdr:row>
      <xdr:rowOff>28575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761999</xdr:colOff>
      <xdr:row>0</xdr:row>
      <xdr:rowOff>185736</xdr:rowOff>
    </xdr:from>
    <xdr:to>
      <xdr:col>29</xdr:col>
      <xdr:colOff>752474</xdr:colOff>
      <xdr:row>26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9524</xdr:colOff>
      <xdr:row>26</xdr:row>
      <xdr:rowOff>185736</xdr:rowOff>
    </xdr:from>
    <xdr:to>
      <xdr:col>29</xdr:col>
      <xdr:colOff>761999</xdr:colOff>
      <xdr:row>51</xdr:row>
      <xdr:rowOff>171449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733425</xdr:colOff>
      <xdr:row>53</xdr:row>
      <xdr:rowOff>23811</xdr:rowOff>
    </xdr:from>
    <xdr:to>
      <xdr:col>29</xdr:col>
      <xdr:colOff>714375</xdr:colOff>
      <xdr:row>78</xdr:row>
      <xdr:rowOff>57150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19</xdr:col>
      <xdr:colOff>0</xdr:colOff>
      <xdr:row>79</xdr:row>
      <xdr:rowOff>33336</xdr:rowOff>
    </xdr:from>
    <xdr:to>
      <xdr:col>30</xdr:col>
      <xdr:colOff>0</xdr:colOff>
      <xdr:row>104</xdr:row>
      <xdr:rowOff>19050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19</xdr:col>
      <xdr:colOff>9525</xdr:colOff>
      <xdr:row>104</xdr:row>
      <xdr:rowOff>176211</xdr:rowOff>
    </xdr:from>
    <xdr:to>
      <xdr:col>29</xdr:col>
      <xdr:colOff>752475</xdr:colOff>
      <xdr:row>129</xdr:row>
      <xdr:rowOff>180974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19</xdr:col>
      <xdr:colOff>9524</xdr:colOff>
      <xdr:row>130</xdr:row>
      <xdr:rowOff>185737</xdr:rowOff>
    </xdr:from>
    <xdr:to>
      <xdr:col>26</xdr:col>
      <xdr:colOff>761999</xdr:colOff>
      <xdr:row>151</xdr:row>
      <xdr:rowOff>9525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19</xdr:col>
      <xdr:colOff>9525</xdr:colOff>
      <xdr:row>152</xdr:row>
      <xdr:rowOff>4761</xdr:rowOff>
    </xdr:from>
    <xdr:to>
      <xdr:col>26</xdr:col>
      <xdr:colOff>752475</xdr:colOff>
      <xdr:row>171</xdr:row>
      <xdr:rowOff>180974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19</xdr:col>
      <xdr:colOff>9524</xdr:colOff>
      <xdr:row>173</xdr:row>
      <xdr:rowOff>33337</xdr:rowOff>
    </xdr:from>
    <xdr:to>
      <xdr:col>26</xdr:col>
      <xdr:colOff>742949</xdr:colOff>
      <xdr:row>193</xdr:row>
      <xdr:rowOff>9525</xdr:rowOff>
    </xdr:to>
    <xdr:graphicFrame macro="">
      <xdr:nvGraphicFramePr>
        <xdr:cNvPr id="21" name="2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19</xdr:col>
      <xdr:colOff>9524</xdr:colOff>
      <xdr:row>194</xdr:row>
      <xdr:rowOff>4761</xdr:rowOff>
    </xdr:from>
    <xdr:to>
      <xdr:col>26</xdr:col>
      <xdr:colOff>761999</xdr:colOff>
      <xdr:row>213</xdr:row>
      <xdr:rowOff>161924</xdr:rowOff>
    </xdr:to>
    <xdr:graphicFrame macro="">
      <xdr:nvGraphicFramePr>
        <xdr:cNvPr id="22" name="2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19</xdr:col>
      <xdr:colOff>0</xdr:colOff>
      <xdr:row>215</xdr:row>
      <xdr:rowOff>14286</xdr:rowOff>
    </xdr:from>
    <xdr:to>
      <xdr:col>30</xdr:col>
      <xdr:colOff>0</xdr:colOff>
      <xdr:row>239</xdr:row>
      <xdr:rowOff>171449</xdr:rowOff>
    </xdr:to>
    <xdr:graphicFrame macro="">
      <xdr:nvGraphicFramePr>
        <xdr:cNvPr id="23" name="2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19</xdr:col>
      <xdr:colOff>9525</xdr:colOff>
      <xdr:row>241</xdr:row>
      <xdr:rowOff>4762</xdr:rowOff>
    </xdr:from>
    <xdr:to>
      <xdr:col>27</xdr:col>
      <xdr:colOff>28575</xdr:colOff>
      <xdr:row>261</xdr:row>
      <xdr:rowOff>0</xdr:rowOff>
    </xdr:to>
    <xdr:graphicFrame macro="">
      <xdr:nvGraphicFramePr>
        <xdr:cNvPr id="24" name="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19</xdr:col>
      <xdr:colOff>38099</xdr:colOff>
      <xdr:row>262</xdr:row>
      <xdr:rowOff>4761</xdr:rowOff>
    </xdr:from>
    <xdr:to>
      <xdr:col>27</xdr:col>
      <xdr:colOff>9524</xdr:colOff>
      <xdr:row>282</xdr:row>
      <xdr:rowOff>9524</xdr:rowOff>
    </xdr:to>
    <xdr:graphicFrame macro="">
      <xdr:nvGraphicFramePr>
        <xdr:cNvPr id="25" name="2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723899</xdr:colOff>
      <xdr:row>283</xdr:row>
      <xdr:rowOff>4762</xdr:rowOff>
    </xdr:from>
    <xdr:to>
      <xdr:col>26</xdr:col>
      <xdr:colOff>733424</xdr:colOff>
      <xdr:row>303</xdr:row>
      <xdr:rowOff>38100</xdr:rowOff>
    </xdr:to>
    <xdr:graphicFrame macro="">
      <xdr:nvGraphicFramePr>
        <xdr:cNvPr id="26" name="2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19</xdr:col>
      <xdr:colOff>9524</xdr:colOff>
      <xdr:row>303</xdr:row>
      <xdr:rowOff>185737</xdr:rowOff>
    </xdr:from>
    <xdr:to>
      <xdr:col>26</xdr:col>
      <xdr:colOff>761999</xdr:colOff>
      <xdr:row>323</xdr:row>
      <xdr:rowOff>180975</xdr:rowOff>
    </xdr:to>
    <xdr:graphicFrame macro="">
      <xdr:nvGraphicFramePr>
        <xdr:cNvPr id="27" name="2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19</xdr:col>
      <xdr:colOff>0</xdr:colOff>
      <xdr:row>325</xdr:row>
      <xdr:rowOff>23812</xdr:rowOff>
    </xdr:from>
    <xdr:to>
      <xdr:col>27</xdr:col>
      <xdr:colOff>0</xdr:colOff>
      <xdr:row>344</xdr:row>
      <xdr:rowOff>171450</xdr:rowOff>
    </xdr:to>
    <xdr:graphicFrame macro="">
      <xdr:nvGraphicFramePr>
        <xdr:cNvPr id="28" name="2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19</xdr:col>
      <xdr:colOff>9524</xdr:colOff>
      <xdr:row>346</xdr:row>
      <xdr:rowOff>52386</xdr:rowOff>
    </xdr:from>
    <xdr:to>
      <xdr:col>26</xdr:col>
      <xdr:colOff>761999</xdr:colOff>
      <xdr:row>366</xdr:row>
      <xdr:rowOff>38099</xdr:rowOff>
    </xdr:to>
    <xdr:graphicFrame macro="">
      <xdr:nvGraphicFramePr>
        <xdr:cNvPr id="29" name="2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30</xdr:col>
      <xdr:colOff>761999</xdr:colOff>
      <xdr:row>0</xdr:row>
      <xdr:rowOff>189441</xdr:rowOff>
    </xdr:from>
    <xdr:to>
      <xdr:col>42</xdr:col>
      <xdr:colOff>10582</xdr:colOff>
      <xdr:row>26</xdr:row>
      <xdr:rowOff>21167</xdr:rowOff>
    </xdr:to>
    <xdr:graphicFrame macro="">
      <xdr:nvGraphicFramePr>
        <xdr:cNvPr id="30" name="2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30</xdr:col>
      <xdr:colOff>751417</xdr:colOff>
      <xdr:row>26</xdr:row>
      <xdr:rowOff>178857</xdr:rowOff>
    </xdr:from>
    <xdr:to>
      <xdr:col>39</xdr:col>
      <xdr:colOff>10583</xdr:colOff>
      <xdr:row>47</xdr:row>
      <xdr:rowOff>10582</xdr:rowOff>
    </xdr:to>
    <xdr:graphicFrame macro="">
      <xdr:nvGraphicFramePr>
        <xdr:cNvPr id="31" name="3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31</xdr:col>
      <xdr:colOff>10583</xdr:colOff>
      <xdr:row>47</xdr:row>
      <xdr:rowOff>178857</xdr:rowOff>
    </xdr:from>
    <xdr:to>
      <xdr:col>39</xdr:col>
      <xdr:colOff>10583</xdr:colOff>
      <xdr:row>68</xdr:row>
      <xdr:rowOff>21167</xdr:rowOff>
    </xdr:to>
    <xdr:graphicFrame macro="">
      <xdr:nvGraphicFramePr>
        <xdr:cNvPr id="32" name="3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30</xdr:col>
      <xdr:colOff>761999</xdr:colOff>
      <xdr:row>69</xdr:row>
      <xdr:rowOff>9523</xdr:rowOff>
    </xdr:from>
    <xdr:to>
      <xdr:col>39</xdr:col>
      <xdr:colOff>21167</xdr:colOff>
      <xdr:row>89</xdr:row>
      <xdr:rowOff>10582</xdr:rowOff>
    </xdr:to>
    <xdr:graphicFrame macro="">
      <xdr:nvGraphicFramePr>
        <xdr:cNvPr id="33" name="3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31</xdr:col>
      <xdr:colOff>10582</xdr:colOff>
      <xdr:row>89</xdr:row>
      <xdr:rowOff>178857</xdr:rowOff>
    </xdr:from>
    <xdr:to>
      <xdr:col>38</xdr:col>
      <xdr:colOff>761999</xdr:colOff>
      <xdr:row>110</xdr:row>
      <xdr:rowOff>10583</xdr:rowOff>
    </xdr:to>
    <xdr:graphicFrame macro="">
      <xdr:nvGraphicFramePr>
        <xdr:cNvPr id="34" name="3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30</xdr:col>
      <xdr:colOff>751416</xdr:colOff>
      <xdr:row>111</xdr:row>
      <xdr:rowOff>9523</xdr:rowOff>
    </xdr:from>
    <xdr:to>
      <xdr:col>45</xdr:col>
      <xdr:colOff>0</xdr:colOff>
      <xdr:row>141</xdr:row>
      <xdr:rowOff>0</xdr:rowOff>
    </xdr:to>
    <xdr:graphicFrame macro="">
      <xdr:nvGraphicFramePr>
        <xdr:cNvPr id="35" name="3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31</xdr:col>
      <xdr:colOff>10583</xdr:colOff>
      <xdr:row>142</xdr:row>
      <xdr:rowOff>62440</xdr:rowOff>
    </xdr:from>
    <xdr:to>
      <xdr:col>39</xdr:col>
      <xdr:colOff>42333</xdr:colOff>
      <xdr:row>161</xdr:row>
      <xdr:rowOff>190499</xdr:rowOff>
    </xdr:to>
    <xdr:graphicFrame macro="">
      <xdr:nvGraphicFramePr>
        <xdr:cNvPr id="36" name="3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31</xdr:col>
      <xdr:colOff>10583</xdr:colOff>
      <xdr:row>162</xdr:row>
      <xdr:rowOff>189440</xdr:rowOff>
    </xdr:from>
    <xdr:to>
      <xdr:col>38</xdr:col>
      <xdr:colOff>751417</xdr:colOff>
      <xdr:row>183</xdr:row>
      <xdr:rowOff>31749</xdr:rowOff>
    </xdr:to>
    <xdr:graphicFrame macro="">
      <xdr:nvGraphicFramePr>
        <xdr:cNvPr id="37" name="3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31</xdr:col>
      <xdr:colOff>21166</xdr:colOff>
      <xdr:row>184</xdr:row>
      <xdr:rowOff>9523</xdr:rowOff>
    </xdr:from>
    <xdr:to>
      <xdr:col>38</xdr:col>
      <xdr:colOff>761999</xdr:colOff>
      <xdr:row>203</xdr:row>
      <xdr:rowOff>179916</xdr:rowOff>
    </xdr:to>
    <xdr:graphicFrame macro="">
      <xdr:nvGraphicFramePr>
        <xdr:cNvPr id="38" name="3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30</xdr:col>
      <xdr:colOff>740832</xdr:colOff>
      <xdr:row>226</xdr:row>
      <xdr:rowOff>20108</xdr:rowOff>
    </xdr:from>
    <xdr:to>
      <xdr:col>38</xdr:col>
      <xdr:colOff>709082</xdr:colOff>
      <xdr:row>246</xdr:row>
      <xdr:rowOff>74084</xdr:rowOff>
    </xdr:to>
    <xdr:graphicFrame macro="">
      <xdr:nvGraphicFramePr>
        <xdr:cNvPr id="39" name="3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31</xdr:col>
      <xdr:colOff>0</xdr:colOff>
      <xdr:row>204</xdr:row>
      <xdr:rowOff>168273</xdr:rowOff>
    </xdr:from>
    <xdr:to>
      <xdr:col>39</xdr:col>
      <xdr:colOff>0</xdr:colOff>
      <xdr:row>224</xdr:row>
      <xdr:rowOff>179916</xdr:rowOff>
    </xdr:to>
    <xdr:graphicFrame macro="">
      <xdr:nvGraphicFramePr>
        <xdr:cNvPr id="40" name="3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30</xdr:col>
      <xdr:colOff>751416</xdr:colOff>
      <xdr:row>248</xdr:row>
      <xdr:rowOff>9523</xdr:rowOff>
    </xdr:from>
    <xdr:to>
      <xdr:col>39</xdr:col>
      <xdr:colOff>0</xdr:colOff>
      <xdr:row>268</xdr:row>
      <xdr:rowOff>10582</xdr:rowOff>
    </xdr:to>
    <xdr:graphicFrame macro="">
      <xdr:nvGraphicFramePr>
        <xdr:cNvPr id="41" name="4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31</xdr:col>
      <xdr:colOff>10583</xdr:colOff>
      <xdr:row>269</xdr:row>
      <xdr:rowOff>9523</xdr:rowOff>
    </xdr:from>
    <xdr:to>
      <xdr:col>39</xdr:col>
      <xdr:colOff>10583</xdr:colOff>
      <xdr:row>288</xdr:row>
      <xdr:rowOff>169332</xdr:rowOff>
    </xdr:to>
    <xdr:graphicFrame macro="">
      <xdr:nvGraphicFramePr>
        <xdr:cNvPr id="42" name="4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30</xdr:col>
      <xdr:colOff>751415</xdr:colOff>
      <xdr:row>289</xdr:row>
      <xdr:rowOff>189440</xdr:rowOff>
    </xdr:from>
    <xdr:to>
      <xdr:col>45</xdr:col>
      <xdr:colOff>10583</xdr:colOff>
      <xdr:row>319</xdr:row>
      <xdr:rowOff>190499</xdr:rowOff>
    </xdr:to>
    <xdr:graphicFrame macro="">
      <xdr:nvGraphicFramePr>
        <xdr:cNvPr id="43" name="4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30</xdr:col>
      <xdr:colOff>761999</xdr:colOff>
      <xdr:row>320</xdr:row>
      <xdr:rowOff>189440</xdr:rowOff>
    </xdr:from>
    <xdr:to>
      <xdr:col>39</xdr:col>
      <xdr:colOff>10582</xdr:colOff>
      <xdr:row>340</xdr:row>
      <xdr:rowOff>190499</xdr:rowOff>
    </xdr:to>
    <xdr:graphicFrame macro="">
      <xdr:nvGraphicFramePr>
        <xdr:cNvPr id="44" name="4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31</xdr:col>
      <xdr:colOff>10582</xdr:colOff>
      <xdr:row>342</xdr:row>
      <xdr:rowOff>9524</xdr:rowOff>
    </xdr:from>
    <xdr:to>
      <xdr:col>38</xdr:col>
      <xdr:colOff>761999</xdr:colOff>
      <xdr:row>362</xdr:row>
      <xdr:rowOff>0</xdr:rowOff>
    </xdr:to>
    <xdr:graphicFrame macro="">
      <xdr:nvGraphicFramePr>
        <xdr:cNvPr id="45" name="4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10583</xdr:colOff>
      <xdr:row>362</xdr:row>
      <xdr:rowOff>189440</xdr:rowOff>
    </xdr:from>
    <xdr:to>
      <xdr:col>39</xdr:col>
      <xdr:colOff>10583</xdr:colOff>
      <xdr:row>382</xdr:row>
      <xdr:rowOff>190499</xdr:rowOff>
    </xdr:to>
    <xdr:graphicFrame macro="">
      <xdr:nvGraphicFramePr>
        <xdr:cNvPr id="46" name="4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31</xdr:col>
      <xdr:colOff>42333</xdr:colOff>
      <xdr:row>383</xdr:row>
      <xdr:rowOff>168273</xdr:rowOff>
    </xdr:from>
    <xdr:to>
      <xdr:col>38</xdr:col>
      <xdr:colOff>751417</xdr:colOff>
      <xdr:row>403</xdr:row>
      <xdr:rowOff>148166</xdr:rowOff>
    </xdr:to>
    <xdr:graphicFrame macro="">
      <xdr:nvGraphicFramePr>
        <xdr:cNvPr id="47" name="4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31</xdr:col>
      <xdr:colOff>31749</xdr:colOff>
      <xdr:row>404</xdr:row>
      <xdr:rowOff>189439</xdr:rowOff>
    </xdr:from>
    <xdr:to>
      <xdr:col>38</xdr:col>
      <xdr:colOff>751417</xdr:colOff>
      <xdr:row>424</xdr:row>
      <xdr:rowOff>179916</xdr:rowOff>
    </xdr:to>
    <xdr:graphicFrame macro="">
      <xdr:nvGraphicFramePr>
        <xdr:cNvPr id="48" name="4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31</xdr:col>
      <xdr:colOff>21165</xdr:colOff>
      <xdr:row>426</xdr:row>
      <xdr:rowOff>9524</xdr:rowOff>
    </xdr:from>
    <xdr:to>
      <xdr:col>38</xdr:col>
      <xdr:colOff>751416</xdr:colOff>
      <xdr:row>446</xdr:row>
      <xdr:rowOff>0</xdr:rowOff>
    </xdr:to>
    <xdr:graphicFrame macro="">
      <xdr:nvGraphicFramePr>
        <xdr:cNvPr id="49" name="4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21165</xdr:colOff>
      <xdr:row>447</xdr:row>
      <xdr:rowOff>9524</xdr:rowOff>
    </xdr:from>
    <xdr:to>
      <xdr:col>38</xdr:col>
      <xdr:colOff>751416</xdr:colOff>
      <xdr:row>467</xdr:row>
      <xdr:rowOff>0</xdr:rowOff>
    </xdr:to>
    <xdr:graphicFrame macro="">
      <xdr:nvGraphicFramePr>
        <xdr:cNvPr id="50" name="4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45</xdr:col>
      <xdr:colOff>730250</xdr:colOff>
      <xdr:row>1</xdr:row>
      <xdr:rowOff>21165</xdr:rowOff>
    </xdr:from>
    <xdr:to>
      <xdr:col>59</xdr:col>
      <xdr:colOff>761999</xdr:colOff>
      <xdr:row>32</xdr:row>
      <xdr:rowOff>0</xdr:rowOff>
    </xdr:to>
    <xdr:graphicFrame macro="">
      <xdr:nvGraphicFramePr>
        <xdr:cNvPr id="51" name="5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45</xdr:col>
      <xdr:colOff>730249</xdr:colOff>
      <xdr:row>32</xdr:row>
      <xdr:rowOff>168273</xdr:rowOff>
    </xdr:from>
    <xdr:to>
      <xdr:col>53</xdr:col>
      <xdr:colOff>719666</xdr:colOff>
      <xdr:row>52</xdr:row>
      <xdr:rowOff>179916</xdr:rowOff>
    </xdr:to>
    <xdr:graphicFrame macro="">
      <xdr:nvGraphicFramePr>
        <xdr:cNvPr id="52" name="5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46</xdr:col>
      <xdr:colOff>0</xdr:colOff>
      <xdr:row>53</xdr:row>
      <xdr:rowOff>189441</xdr:rowOff>
    </xdr:from>
    <xdr:to>
      <xdr:col>54</xdr:col>
      <xdr:colOff>31750</xdr:colOff>
      <xdr:row>73</xdr:row>
      <xdr:rowOff>179917</xdr:rowOff>
    </xdr:to>
    <xdr:graphicFrame macro="">
      <xdr:nvGraphicFramePr>
        <xdr:cNvPr id="53" name="5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46</xdr:col>
      <xdr:colOff>10583</xdr:colOff>
      <xdr:row>74</xdr:row>
      <xdr:rowOff>178857</xdr:rowOff>
    </xdr:from>
    <xdr:to>
      <xdr:col>54</xdr:col>
      <xdr:colOff>10583</xdr:colOff>
      <xdr:row>95</xdr:row>
      <xdr:rowOff>0</xdr:rowOff>
    </xdr:to>
    <xdr:graphicFrame macro="">
      <xdr:nvGraphicFramePr>
        <xdr:cNvPr id="54" name="5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46</xdr:col>
      <xdr:colOff>0</xdr:colOff>
      <xdr:row>96</xdr:row>
      <xdr:rowOff>9525</xdr:rowOff>
    </xdr:from>
    <xdr:to>
      <xdr:col>54</xdr:col>
      <xdr:colOff>0</xdr:colOff>
      <xdr:row>116</xdr:row>
      <xdr:rowOff>42333</xdr:rowOff>
    </xdr:to>
    <xdr:graphicFrame macro="">
      <xdr:nvGraphicFramePr>
        <xdr:cNvPr id="55" name="5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46</xdr:col>
      <xdr:colOff>10583</xdr:colOff>
      <xdr:row>116</xdr:row>
      <xdr:rowOff>178858</xdr:rowOff>
    </xdr:from>
    <xdr:to>
      <xdr:col>53</xdr:col>
      <xdr:colOff>751417</xdr:colOff>
      <xdr:row>137</xdr:row>
      <xdr:rowOff>0</xdr:rowOff>
    </xdr:to>
    <xdr:graphicFrame macro="">
      <xdr:nvGraphicFramePr>
        <xdr:cNvPr id="56" name="5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46</xdr:col>
      <xdr:colOff>10583</xdr:colOff>
      <xdr:row>137</xdr:row>
      <xdr:rowOff>168273</xdr:rowOff>
    </xdr:from>
    <xdr:to>
      <xdr:col>53</xdr:col>
      <xdr:colOff>751417</xdr:colOff>
      <xdr:row>157</xdr:row>
      <xdr:rowOff>169332</xdr:rowOff>
    </xdr:to>
    <xdr:graphicFrame macro="">
      <xdr:nvGraphicFramePr>
        <xdr:cNvPr id="57" name="5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45</xdr:col>
      <xdr:colOff>751416</xdr:colOff>
      <xdr:row>158</xdr:row>
      <xdr:rowOff>178857</xdr:rowOff>
    </xdr:from>
    <xdr:to>
      <xdr:col>53</xdr:col>
      <xdr:colOff>761999</xdr:colOff>
      <xdr:row>179</xdr:row>
      <xdr:rowOff>10582</xdr:rowOff>
    </xdr:to>
    <xdr:graphicFrame macro="">
      <xdr:nvGraphicFramePr>
        <xdr:cNvPr id="58" name="5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46</xdr:col>
      <xdr:colOff>0</xdr:colOff>
      <xdr:row>180</xdr:row>
      <xdr:rowOff>9523</xdr:rowOff>
    </xdr:from>
    <xdr:to>
      <xdr:col>60</xdr:col>
      <xdr:colOff>0</xdr:colOff>
      <xdr:row>209</xdr:row>
      <xdr:rowOff>179916</xdr:rowOff>
    </xdr:to>
    <xdr:graphicFrame macro="">
      <xdr:nvGraphicFramePr>
        <xdr:cNvPr id="59" name="5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45</xdr:col>
      <xdr:colOff>751417</xdr:colOff>
      <xdr:row>210</xdr:row>
      <xdr:rowOff>189440</xdr:rowOff>
    </xdr:from>
    <xdr:to>
      <xdr:col>54</xdr:col>
      <xdr:colOff>21167</xdr:colOff>
      <xdr:row>230</xdr:row>
      <xdr:rowOff>190499</xdr:rowOff>
    </xdr:to>
    <xdr:graphicFrame macro="">
      <xdr:nvGraphicFramePr>
        <xdr:cNvPr id="60" name="5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46</xdr:col>
      <xdr:colOff>10583</xdr:colOff>
      <xdr:row>232</xdr:row>
      <xdr:rowOff>20107</xdr:rowOff>
    </xdr:from>
    <xdr:to>
      <xdr:col>54</xdr:col>
      <xdr:colOff>10583</xdr:colOff>
      <xdr:row>252</xdr:row>
      <xdr:rowOff>10583</xdr:rowOff>
    </xdr:to>
    <xdr:graphicFrame macro="">
      <xdr:nvGraphicFramePr>
        <xdr:cNvPr id="61" name="6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45</xdr:col>
      <xdr:colOff>761999</xdr:colOff>
      <xdr:row>252</xdr:row>
      <xdr:rowOff>189439</xdr:rowOff>
    </xdr:from>
    <xdr:to>
      <xdr:col>53</xdr:col>
      <xdr:colOff>740832</xdr:colOff>
      <xdr:row>273</xdr:row>
      <xdr:rowOff>10582</xdr:rowOff>
    </xdr:to>
    <xdr:graphicFrame macro="">
      <xdr:nvGraphicFramePr>
        <xdr:cNvPr id="62" name="6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45</xdr:col>
      <xdr:colOff>740832</xdr:colOff>
      <xdr:row>273</xdr:row>
      <xdr:rowOff>178856</xdr:rowOff>
    </xdr:from>
    <xdr:to>
      <xdr:col>53</xdr:col>
      <xdr:colOff>761999</xdr:colOff>
      <xdr:row>294</xdr:row>
      <xdr:rowOff>31749</xdr:rowOff>
    </xdr:to>
    <xdr:graphicFrame macro="">
      <xdr:nvGraphicFramePr>
        <xdr:cNvPr id="63" name="6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45</xdr:col>
      <xdr:colOff>751415</xdr:colOff>
      <xdr:row>294</xdr:row>
      <xdr:rowOff>168273</xdr:rowOff>
    </xdr:from>
    <xdr:to>
      <xdr:col>53</xdr:col>
      <xdr:colOff>751416</xdr:colOff>
      <xdr:row>315</xdr:row>
      <xdr:rowOff>52916</xdr:rowOff>
    </xdr:to>
    <xdr:graphicFrame macro="">
      <xdr:nvGraphicFramePr>
        <xdr:cNvPr id="64" name="6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45</xdr:col>
      <xdr:colOff>740833</xdr:colOff>
      <xdr:row>316</xdr:row>
      <xdr:rowOff>51858</xdr:rowOff>
    </xdr:from>
    <xdr:to>
      <xdr:col>53</xdr:col>
      <xdr:colOff>751417</xdr:colOff>
      <xdr:row>336</xdr:row>
      <xdr:rowOff>74084</xdr:rowOff>
    </xdr:to>
    <xdr:graphicFrame macro="">
      <xdr:nvGraphicFramePr>
        <xdr:cNvPr id="65" name="6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46</xdr:col>
      <xdr:colOff>10583</xdr:colOff>
      <xdr:row>338</xdr:row>
      <xdr:rowOff>9524</xdr:rowOff>
    </xdr:from>
    <xdr:to>
      <xdr:col>54</xdr:col>
      <xdr:colOff>21167</xdr:colOff>
      <xdr:row>358</xdr:row>
      <xdr:rowOff>0</xdr:rowOff>
    </xdr:to>
    <xdr:graphicFrame macro="">
      <xdr:nvGraphicFramePr>
        <xdr:cNvPr id="66" name="6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76</xdr:col>
      <xdr:colOff>0</xdr:colOff>
      <xdr:row>1</xdr:row>
      <xdr:rowOff>1</xdr:rowOff>
    </xdr:from>
    <xdr:to>
      <xdr:col>83</xdr:col>
      <xdr:colOff>730250</xdr:colOff>
      <xdr:row>26</xdr:row>
      <xdr:rowOff>1</xdr:rowOff>
    </xdr:to>
    <xdr:graphicFrame macro="">
      <xdr:nvGraphicFramePr>
        <xdr:cNvPr id="67" name="6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61</xdr:col>
      <xdr:colOff>0</xdr:colOff>
      <xdr:row>1</xdr:row>
      <xdr:rowOff>0</xdr:rowOff>
    </xdr:from>
    <xdr:to>
      <xdr:col>74</xdr:col>
      <xdr:colOff>761999</xdr:colOff>
      <xdr:row>32</xdr:row>
      <xdr:rowOff>31750</xdr:rowOff>
    </xdr:to>
    <xdr:graphicFrame macro="">
      <xdr:nvGraphicFramePr>
        <xdr:cNvPr id="68" name="6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60</xdr:col>
      <xdr:colOff>761999</xdr:colOff>
      <xdr:row>33</xdr:row>
      <xdr:rowOff>0</xdr:rowOff>
    </xdr:from>
    <xdr:to>
      <xdr:col>74</xdr:col>
      <xdr:colOff>740832</xdr:colOff>
      <xdr:row>62</xdr:row>
      <xdr:rowOff>169333</xdr:rowOff>
    </xdr:to>
    <xdr:graphicFrame macro="">
      <xdr:nvGraphicFramePr>
        <xdr:cNvPr id="69" name="6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76</xdr:col>
      <xdr:colOff>10582</xdr:colOff>
      <xdr:row>26</xdr:row>
      <xdr:rowOff>179916</xdr:rowOff>
    </xdr:from>
    <xdr:to>
      <xdr:col>89</xdr:col>
      <xdr:colOff>751416</xdr:colOff>
      <xdr:row>56</xdr:row>
      <xdr:rowOff>169334</xdr:rowOff>
    </xdr:to>
    <xdr:graphicFrame macro="">
      <xdr:nvGraphicFramePr>
        <xdr:cNvPr id="70" name="6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91</xdr:col>
      <xdr:colOff>0</xdr:colOff>
      <xdr:row>0</xdr:row>
      <xdr:rowOff>190499</xdr:rowOff>
    </xdr:from>
    <xdr:to>
      <xdr:col>98</xdr:col>
      <xdr:colOff>730250</xdr:colOff>
      <xdr:row>21</xdr:row>
      <xdr:rowOff>21166</xdr:rowOff>
    </xdr:to>
    <xdr:graphicFrame macro="">
      <xdr:nvGraphicFramePr>
        <xdr:cNvPr id="71" name="7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90</xdr:col>
      <xdr:colOff>740833</xdr:colOff>
      <xdr:row>27</xdr:row>
      <xdr:rowOff>10583</xdr:rowOff>
    </xdr:from>
    <xdr:to>
      <xdr:col>101</xdr:col>
      <xdr:colOff>751417</xdr:colOff>
      <xdr:row>56</xdr:row>
      <xdr:rowOff>158750</xdr:rowOff>
    </xdr:to>
    <xdr:graphicFrame macro="">
      <xdr:nvGraphicFramePr>
        <xdr:cNvPr id="72" name="7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91</xdr:col>
      <xdr:colOff>2</xdr:colOff>
      <xdr:row>57</xdr:row>
      <xdr:rowOff>190497</xdr:rowOff>
    </xdr:from>
    <xdr:to>
      <xdr:col>102</xdr:col>
      <xdr:colOff>21168</xdr:colOff>
      <xdr:row>87</xdr:row>
      <xdr:rowOff>158748</xdr:rowOff>
    </xdr:to>
    <xdr:graphicFrame macro="">
      <xdr:nvGraphicFramePr>
        <xdr:cNvPr id="73" name="7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103</xdr:col>
      <xdr:colOff>10583</xdr:colOff>
      <xdr:row>0</xdr:row>
      <xdr:rowOff>179917</xdr:rowOff>
    </xdr:from>
    <xdr:to>
      <xdr:col>115</xdr:col>
      <xdr:colOff>31750</xdr:colOff>
      <xdr:row>25</xdr:row>
      <xdr:rowOff>179916</xdr:rowOff>
    </xdr:to>
    <xdr:graphicFrame macro="">
      <xdr:nvGraphicFramePr>
        <xdr:cNvPr id="74" name="7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103</xdr:col>
      <xdr:colOff>10583</xdr:colOff>
      <xdr:row>26</xdr:row>
      <xdr:rowOff>179915</xdr:rowOff>
    </xdr:from>
    <xdr:to>
      <xdr:col>111</xdr:col>
      <xdr:colOff>52916</xdr:colOff>
      <xdr:row>53</xdr:row>
      <xdr:rowOff>0</xdr:rowOff>
    </xdr:to>
    <xdr:graphicFrame macro="">
      <xdr:nvGraphicFramePr>
        <xdr:cNvPr id="75" name="7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103</xdr:col>
      <xdr:colOff>13228</xdr:colOff>
      <xdr:row>81</xdr:row>
      <xdr:rowOff>13229</xdr:rowOff>
    </xdr:from>
    <xdr:to>
      <xdr:col>111</xdr:col>
      <xdr:colOff>23811</xdr:colOff>
      <xdr:row>107</xdr:row>
      <xdr:rowOff>11907</xdr:rowOff>
    </xdr:to>
    <xdr:graphicFrame macro="">
      <xdr:nvGraphicFramePr>
        <xdr:cNvPr id="76" name="7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103</xdr:col>
      <xdr:colOff>11906</xdr:colOff>
      <xdr:row>135</xdr:row>
      <xdr:rowOff>2644</xdr:rowOff>
    </xdr:from>
    <xdr:to>
      <xdr:col>111</xdr:col>
      <xdr:colOff>11906</xdr:colOff>
      <xdr:row>161</xdr:row>
      <xdr:rowOff>11905</xdr:rowOff>
    </xdr:to>
    <xdr:graphicFrame macro="">
      <xdr:nvGraphicFramePr>
        <xdr:cNvPr id="77" name="7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102</xdr:col>
      <xdr:colOff>750094</xdr:colOff>
      <xdr:row>189</xdr:row>
      <xdr:rowOff>11905</xdr:rowOff>
    </xdr:from>
    <xdr:to>
      <xdr:col>110</xdr:col>
      <xdr:colOff>707761</xdr:colOff>
      <xdr:row>215</xdr:row>
      <xdr:rowOff>23813</xdr:rowOff>
    </xdr:to>
    <xdr:graphicFrame macro="">
      <xdr:nvGraphicFramePr>
        <xdr:cNvPr id="78" name="7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116</xdr:col>
      <xdr:colOff>10583</xdr:colOff>
      <xdr:row>1</xdr:row>
      <xdr:rowOff>0</xdr:rowOff>
    </xdr:from>
    <xdr:to>
      <xdr:col>127</xdr:col>
      <xdr:colOff>751416</xdr:colOff>
      <xdr:row>25</xdr:row>
      <xdr:rowOff>179917</xdr:rowOff>
    </xdr:to>
    <xdr:graphicFrame macro="">
      <xdr:nvGraphicFramePr>
        <xdr:cNvPr id="79" name="7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115</xdr:col>
      <xdr:colOff>740833</xdr:colOff>
      <xdr:row>27</xdr:row>
      <xdr:rowOff>10584</xdr:rowOff>
    </xdr:from>
    <xdr:to>
      <xdr:col>123</xdr:col>
      <xdr:colOff>751417</xdr:colOff>
      <xdr:row>46</xdr:row>
      <xdr:rowOff>169333</xdr:rowOff>
    </xdr:to>
    <xdr:graphicFrame macro="">
      <xdr:nvGraphicFramePr>
        <xdr:cNvPr id="80" name="7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115</xdr:col>
      <xdr:colOff>751417</xdr:colOff>
      <xdr:row>48</xdr:row>
      <xdr:rowOff>10584</xdr:rowOff>
    </xdr:from>
    <xdr:to>
      <xdr:col>124</xdr:col>
      <xdr:colOff>10583</xdr:colOff>
      <xdr:row>67</xdr:row>
      <xdr:rowOff>179917</xdr:rowOff>
    </xdr:to>
    <xdr:graphicFrame macro="">
      <xdr:nvGraphicFramePr>
        <xdr:cNvPr id="81" name="8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115</xdr:col>
      <xdr:colOff>751417</xdr:colOff>
      <xdr:row>68</xdr:row>
      <xdr:rowOff>179917</xdr:rowOff>
    </xdr:from>
    <xdr:to>
      <xdr:col>123</xdr:col>
      <xdr:colOff>740833</xdr:colOff>
      <xdr:row>89</xdr:row>
      <xdr:rowOff>10583</xdr:rowOff>
    </xdr:to>
    <xdr:graphicFrame macro="">
      <xdr:nvGraphicFramePr>
        <xdr:cNvPr id="82" name="8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115</xdr:col>
      <xdr:colOff>751417</xdr:colOff>
      <xdr:row>90</xdr:row>
      <xdr:rowOff>10584</xdr:rowOff>
    </xdr:from>
    <xdr:to>
      <xdr:col>123</xdr:col>
      <xdr:colOff>740833</xdr:colOff>
      <xdr:row>110</xdr:row>
      <xdr:rowOff>21167</xdr:rowOff>
    </xdr:to>
    <xdr:graphicFrame macro="">
      <xdr:nvGraphicFramePr>
        <xdr:cNvPr id="83" name="8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128</xdr:col>
      <xdr:colOff>751417</xdr:colOff>
      <xdr:row>1</xdr:row>
      <xdr:rowOff>10584</xdr:rowOff>
    </xdr:from>
    <xdr:to>
      <xdr:col>136</xdr:col>
      <xdr:colOff>740833</xdr:colOff>
      <xdr:row>21</xdr:row>
      <xdr:rowOff>10583</xdr:rowOff>
    </xdr:to>
    <xdr:graphicFrame macro="">
      <xdr:nvGraphicFramePr>
        <xdr:cNvPr id="84" name="8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128</xdr:col>
      <xdr:colOff>751416</xdr:colOff>
      <xdr:row>22</xdr:row>
      <xdr:rowOff>10583</xdr:rowOff>
    </xdr:from>
    <xdr:to>
      <xdr:col>140</xdr:col>
      <xdr:colOff>751417</xdr:colOff>
      <xdr:row>47</xdr:row>
      <xdr:rowOff>31750</xdr:rowOff>
    </xdr:to>
    <xdr:graphicFrame macro="">
      <xdr:nvGraphicFramePr>
        <xdr:cNvPr id="85" name="8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129</xdr:col>
      <xdr:colOff>10583</xdr:colOff>
      <xdr:row>48</xdr:row>
      <xdr:rowOff>0</xdr:rowOff>
    </xdr:from>
    <xdr:to>
      <xdr:col>137</xdr:col>
      <xdr:colOff>10582</xdr:colOff>
      <xdr:row>68</xdr:row>
      <xdr:rowOff>0</xdr:rowOff>
    </xdr:to>
    <xdr:graphicFrame macro="">
      <xdr:nvGraphicFramePr>
        <xdr:cNvPr id="86" name="8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128</xdr:col>
      <xdr:colOff>761999</xdr:colOff>
      <xdr:row>69</xdr:row>
      <xdr:rowOff>1</xdr:rowOff>
    </xdr:from>
    <xdr:to>
      <xdr:col>141</xdr:col>
      <xdr:colOff>10582</xdr:colOff>
      <xdr:row>94</xdr:row>
      <xdr:rowOff>74083</xdr:rowOff>
    </xdr:to>
    <xdr:graphicFrame macro="">
      <xdr:nvGraphicFramePr>
        <xdr:cNvPr id="87" name="8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129</xdr:col>
      <xdr:colOff>10583</xdr:colOff>
      <xdr:row>96</xdr:row>
      <xdr:rowOff>1</xdr:rowOff>
    </xdr:from>
    <xdr:to>
      <xdr:col>140</xdr:col>
      <xdr:colOff>751416</xdr:colOff>
      <xdr:row>121</xdr:row>
      <xdr:rowOff>0</xdr:rowOff>
    </xdr:to>
    <xdr:graphicFrame macro="">
      <xdr:nvGraphicFramePr>
        <xdr:cNvPr id="88" name="8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128</xdr:col>
      <xdr:colOff>740834</xdr:colOff>
      <xdr:row>122</xdr:row>
      <xdr:rowOff>1</xdr:rowOff>
    </xdr:from>
    <xdr:to>
      <xdr:col>140</xdr:col>
      <xdr:colOff>730250</xdr:colOff>
      <xdr:row>147</xdr:row>
      <xdr:rowOff>1</xdr:rowOff>
    </xdr:to>
    <xdr:graphicFrame macro="">
      <xdr:nvGraphicFramePr>
        <xdr:cNvPr id="89" name="8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128</xdr:col>
      <xdr:colOff>751416</xdr:colOff>
      <xdr:row>148</xdr:row>
      <xdr:rowOff>41274</xdr:rowOff>
    </xdr:from>
    <xdr:to>
      <xdr:col>140</xdr:col>
      <xdr:colOff>761999</xdr:colOff>
      <xdr:row>173</xdr:row>
      <xdr:rowOff>21168</xdr:rowOff>
    </xdr:to>
    <xdr:graphicFrame macro="">
      <xdr:nvGraphicFramePr>
        <xdr:cNvPr id="90" name="8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129</xdr:col>
      <xdr:colOff>10582</xdr:colOff>
      <xdr:row>174</xdr:row>
      <xdr:rowOff>9524</xdr:rowOff>
    </xdr:from>
    <xdr:to>
      <xdr:col>140</xdr:col>
      <xdr:colOff>761999</xdr:colOff>
      <xdr:row>198</xdr:row>
      <xdr:rowOff>158750</xdr:rowOff>
    </xdr:to>
    <xdr:graphicFrame macro="">
      <xdr:nvGraphicFramePr>
        <xdr:cNvPr id="91" name="9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oneCellAnchor>
    <xdr:from>
      <xdr:col>132</xdr:col>
      <xdr:colOff>10583</xdr:colOff>
      <xdr:row>125</xdr:row>
      <xdr:rowOff>10585</xdr:rowOff>
    </xdr:from>
    <xdr:ext cx="4604658" cy="593239"/>
    <xdr:sp macro="" textlink="">
      <xdr:nvSpPr>
        <xdr:cNvPr id="92" name="91 CuadroTexto"/>
        <xdr:cNvSpPr txBox="1"/>
      </xdr:nvSpPr>
      <xdr:spPr>
        <a:xfrm>
          <a:off x="100594583" y="23823085"/>
          <a:ext cx="4604658" cy="593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 rtl="0"/>
          <a:r>
            <a:rPr lang="es-MX" sz="8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[% SOBRE EL TOTAL DE RESPUESTAS PARA UNIDADES DE PROPIETARIOS CON UNA UNIDAD (100% = 82)]</a:t>
          </a:r>
          <a:endParaRPr lang="es-MX" sz="800">
            <a:effectLst/>
          </a:endParaRPr>
        </a:p>
        <a:p>
          <a:pPr algn="ctr" rtl="0"/>
          <a:r>
            <a:rPr lang="es-MX" sz="8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[PROPIETARIOS CON DOS UNIDADES (100% = 36)]</a:t>
          </a:r>
          <a:endParaRPr lang="es-MX" sz="800">
            <a:effectLst/>
          </a:endParaRPr>
        </a:p>
        <a:p>
          <a:pPr algn="ctr" rtl="0"/>
          <a:r>
            <a:rPr lang="es-MX" sz="8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[PROPIETARIOS CON TRES A CINCO UNIDADES (100% =58)]</a:t>
          </a:r>
          <a:endParaRPr lang="es-MX" sz="800">
            <a:effectLst/>
          </a:endParaRPr>
        </a:p>
        <a:p>
          <a:pPr algn="ctr" rtl="0"/>
          <a:r>
            <a:rPr lang="es-MX" sz="8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[PROPIETARIOS CON SEIS A TREINTA UNIDADES (100% =20)]</a:t>
          </a:r>
          <a:endParaRPr lang="es-MX" sz="800"/>
        </a:p>
      </xdr:txBody>
    </xdr:sp>
    <xdr:clientData/>
  </xdr:oneCellAnchor>
  <xdr:twoCellAnchor>
    <xdr:from>
      <xdr:col>128</xdr:col>
      <xdr:colOff>751416</xdr:colOff>
      <xdr:row>200</xdr:row>
      <xdr:rowOff>20107</xdr:rowOff>
    </xdr:from>
    <xdr:to>
      <xdr:col>141</xdr:col>
      <xdr:colOff>0</xdr:colOff>
      <xdr:row>225</xdr:row>
      <xdr:rowOff>10583</xdr:rowOff>
    </xdr:to>
    <xdr:graphicFrame macro="">
      <xdr:nvGraphicFramePr>
        <xdr:cNvPr id="93" name="9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129</xdr:col>
      <xdr:colOff>0</xdr:colOff>
      <xdr:row>226</xdr:row>
      <xdr:rowOff>20107</xdr:rowOff>
    </xdr:from>
    <xdr:to>
      <xdr:col>141</xdr:col>
      <xdr:colOff>0</xdr:colOff>
      <xdr:row>250</xdr:row>
      <xdr:rowOff>179916</xdr:rowOff>
    </xdr:to>
    <xdr:graphicFrame macro="">
      <xdr:nvGraphicFramePr>
        <xdr:cNvPr id="94" name="9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128</xdr:col>
      <xdr:colOff>761999</xdr:colOff>
      <xdr:row>251</xdr:row>
      <xdr:rowOff>189440</xdr:rowOff>
    </xdr:from>
    <xdr:to>
      <xdr:col>140</xdr:col>
      <xdr:colOff>751416</xdr:colOff>
      <xdr:row>276</xdr:row>
      <xdr:rowOff>190499</xdr:rowOff>
    </xdr:to>
    <xdr:graphicFrame macro="">
      <xdr:nvGraphicFramePr>
        <xdr:cNvPr id="95" name="9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141</xdr:col>
      <xdr:colOff>740831</xdr:colOff>
      <xdr:row>1</xdr:row>
      <xdr:rowOff>9524</xdr:rowOff>
    </xdr:from>
    <xdr:to>
      <xdr:col>153</xdr:col>
      <xdr:colOff>730249</xdr:colOff>
      <xdr:row>25</xdr:row>
      <xdr:rowOff>190499</xdr:rowOff>
    </xdr:to>
    <xdr:graphicFrame macro="">
      <xdr:nvGraphicFramePr>
        <xdr:cNvPr id="96" name="9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142</xdr:col>
      <xdr:colOff>10582</xdr:colOff>
      <xdr:row>27</xdr:row>
      <xdr:rowOff>9525</xdr:rowOff>
    </xdr:from>
    <xdr:to>
      <xdr:col>153</xdr:col>
      <xdr:colOff>761999</xdr:colOff>
      <xdr:row>51</xdr:row>
      <xdr:rowOff>179917</xdr:rowOff>
    </xdr:to>
    <xdr:graphicFrame macro="">
      <xdr:nvGraphicFramePr>
        <xdr:cNvPr id="97" name="9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141</xdr:col>
      <xdr:colOff>751415</xdr:colOff>
      <xdr:row>53</xdr:row>
      <xdr:rowOff>62441</xdr:rowOff>
    </xdr:from>
    <xdr:to>
      <xdr:col>154</xdr:col>
      <xdr:colOff>10582</xdr:colOff>
      <xdr:row>78</xdr:row>
      <xdr:rowOff>42333</xdr:rowOff>
    </xdr:to>
    <xdr:graphicFrame macro="">
      <xdr:nvGraphicFramePr>
        <xdr:cNvPr id="98" name="9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155</xdr:col>
      <xdr:colOff>0</xdr:colOff>
      <xdr:row>1</xdr:row>
      <xdr:rowOff>0</xdr:rowOff>
    </xdr:from>
    <xdr:to>
      <xdr:col>164</xdr:col>
      <xdr:colOff>11906</xdr:colOff>
      <xdr:row>26</xdr:row>
      <xdr:rowOff>186929</xdr:rowOff>
    </xdr:to>
    <xdr:graphicFrame macro="">
      <xdr:nvGraphicFramePr>
        <xdr:cNvPr id="99" name="9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155</xdr:col>
      <xdr:colOff>0</xdr:colOff>
      <xdr:row>29</xdr:row>
      <xdr:rowOff>0</xdr:rowOff>
    </xdr:from>
    <xdr:to>
      <xdr:col>163</xdr:col>
      <xdr:colOff>464343</xdr:colOff>
      <xdr:row>54</xdr:row>
      <xdr:rowOff>0</xdr:rowOff>
    </xdr:to>
    <xdr:graphicFrame macro="">
      <xdr:nvGraphicFramePr>
        <xdr:cNvPr id="100" name="9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154</xdr:col>
      <xdr:colOff>751416</xdr:colOff>
      <xdr:row>55</xdr:row>
      <xdr:rowOff>30690</xdr:rowOff>
    </xdr:from>
    <xdr:to>
      <xdr:col>167</xdr:col>
      <xdr:colOff>751416</xdr:colOff>
      <xdr:row>80</xdr:row>
      <xdr:rowOff>63499</xdr:rowOff>
    </xdr:to>
    <xdr:graphicFrame macro="">
      <xdr:nvGraphicFramePr>
        <xdr:cNvPr id="101" name="10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154</xdr:col>
      <xdr:colOff>751416</xdr:colOff>
      <xdr:row>81</xdr:row>
      <xdr:rowOff>51858</xdr:rowOff>
    </xdr:from>
    <xdr:to>
      <xdr:col>167</xdr:col>
      <xdr:colOff>761999</xdr:colOff>
      <xdr:row>106</xdr:row>
      <xdr:rowOff>42334</xdr:rowOff>
    </xdr:to>
    <xdr:graphicFrame macro="">
      <xdr:nvGraphicFramePr>
        <xdr:cNvPr id="102" name="10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155</xdr:col>
      <xdr:colOff>21167</xdr:colOff>
      <xdr:row>106</xdr:row>
      <xdr:rowOff>178857</xdr:rowOff>
    </xdr:from>
    <xdr:to>
      <xdr:col>164</xdr:col>
      <xdr:colOff>21167</xdr:colOff>
      <xdr:row>127</xdr:row>
      <xdr:rowOff>74082</xdr:rowOff>
    </xdr:to>
    <xdr:graphicFrame macro="">
      <xdr:nvGraphicFramePr>
        <xdr:cNvPr id="103" name="10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168</xdr:col>
      <xdr:colOff>730249</xdr:colOff>
      <xdr:row>1</xdr:row>
      <xdr:rowOff>41273</xdr:rowOff>
    </xdr:from>
    <xdr:to>
      <xdr:col>179</xdr:col>
      <xdr:colOff>761999</xdr:colOff>
      <xdr:row>32</xdr:row>
      <xdr:rowOff>21167</xdr:rowOff>
    </xdr:to>
    <xdr:graphicFrame macro="">
      <xdr:nvGraphicFramePr>
        <xdr:cNvPr id="104" name="10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168</xdr:col>
      <xdr:colOff>761998</xdr:colOff>
      <xdr:row>33</xdr:row>
      <xdr:rowOff>9524</xdr:rowOff>
    </xdr:from>
    <xdr:to>
      <xdr:col>179</xdr:col>
      <xdr:colOff>751415</xdr:colOff>
      <xdr:row>64</xdr:row>
      <xdr:rowOff>10584</xdr:rowOff>
    </xdr:to>
    <xdr:graphicFrame macro="">
      <xdr:nvGraphicFramePr>
        <xdr:cNvPr id="105" name="10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169</xdr:col>
      <xdr:colOff>21166</xdr:colOff>
      <xdr:row>64</xdr:row>
      <xdr:rowOff>169333</xdr:rowOff>
    </xdr:from>
    <xdr:to>
      <xdr:col>180</xdr:col>
      <xdr:colOff>63500</xdr:colOff>
      <xdr:row>95</xdr:row>
      <xdr:rowOff>159807</xdr:rowOff>
    </xdr:to>
    <xdr:graphicFrame macro="">
      <xdr:nvGraphicFramePr>
        <xdr:cNvPr id="106" name="10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169</xdr:col>
      <xdr:colOff>21167</xdr:colOff>
      <xdr:row>97</xdr:row>
      <xdr:rowOff>9524</xdr:rowOff>
    </xdr:from>
    <xdr:to>
      <xdr:col>180</xdr:col>
      <xdr:colOff>42333</xdr:colOff>
      <xdr:row>128</xdr:row>
      <xdr:rowOff>0</xdr:rowOff>
    </xdr:to>
    <xdr:graphicFrame macro="">
      <xdr:nvGraphicFramePr>
        <xdr:cNvPr id="107" name="10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168</xdr:col>
      <xdr:colOff>761999</xdr:colOff>
      <xdr:row>128</xdr:row>
      <xdr:rowOff>189441</xdr:rowOff>
    </xdr:from>
    <xdr:to>
      <xdr:col>180</xdr:col>
      <xdr:colOff>74083</xdr:colOff>
      <xdr:row>153</xdr:row>
      <xdr:rowOff>169333</xdr:rowOff>
    </xdr:to>
    <xdr:graphicFrame macro="">
      <xdr:nvGraphicFramePr>
        <xdr:cNvPr id="108" name="10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169</xdr:col>
      <xdr:colOff>52916</xdr:colOff>
      <xdr:row>154</xdr:row>
      <xdr:rowOff>178857</xdr:rowOff>
    </xdr:from>
    <xdr:to>
      <xdr:col>180</xdr:col>
      <xdr:colOff>31750</xdr:colOff>
      <xdr:row>179</xdr:row>
      <xdr:rowOff>179916</xdr:rowOff>
    </xdr:to>
    <xdr:graphicFrame macro="">
      <xdr:nvGraphicFramePr>
        <xdr:cNvPr id="109" name="10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169</xdr:col>
      <xdr:colOff>31749</xdr:colOff>
      <xdr:row>180</xdr:row>
      <xdr:rowOff>168273</xdr:rowOff>
    </xdr:from>
    <xdr:to>
      <xdr:col>179</xdr:col>
      <xdr:colOff>751416</xdr:colOff>
      <xdr:row>206</xdr:row>
      <xdr:rowOff>10583</xdr:rowOff>
    </xdr:to>
    <xdr:graphicFrame macro="">
      <xdr:nvGraphicFramePr>
        <xdr:cNvPr id="110" name="10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168</xdr:col>
      <xdr:colOff>726281</xdr:colOff>
      <xdr:row>206</xdr:row>
      <xdr:rowOff>189441</xdr:rowOff>
    </xdr:from>
    <xdr:to>
      <xdr:col>179</xdr:col>
      <xdr:colOff>694531</xdr:colOff>
      <xdr:row>231</xdr:row>
      <xdr:rowOff>148167</xdr:rowOff>
    </xdr:to>
    <xdr:graphicFrame macro="">
      <xdr:nvGraphicFramePr>
        <xdr:cNvPr id="111" name="1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181</xdr:col>
      <xdr:colOff>0</xdr:colOff>
      <xdr:row>1</xdr:row>
      <xdr:rowOff>3572</xdr:rowOff>
    </xdr:from>
    <xdr:to>
      <xdr:col>192</xdr:col>
      <xdr:colOff>71438</xdr:colOff>
      <xdr:row>32</xdr:row>
      <xdr:rowOff>0</xdr:rowOff>
    </xdr:to>
    <xdr:graphicFrame macro="">
      <xdr:nvGraphicFramePr>
        <xdr:cNvPr id="113" name="1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181</xdr:col>
      <xdr:colOff>11906</xdr:colOff>
      <xdr:row>33</xdr:row>
      <xdr:rowOff>11906</xdr:rowOff>
    </xdr:from>
    <xdr:to>
      <xdr:col>192</xdr:col>
      <xdr:colOff>11905</xdr:colOff>
      <xdr:row>64</xdr:row>
      <xdr:rowOff>32146</xdr:rowOff>
    </xdr:to>
    <xdr:graphicFrame macro="">
      <xdr:nvGraphicFramePr>
        <xdr:cNvPr id="114" name="1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181</xdr:col>
      <xdr:colOff>11905</xdr:colOff>
      <xdr:row>64</xdr:row>
      <xdr:rowOff>170258</xdr:rowOff>
    </xdr:from>
    <xdr:to>
      <xdr:col>192</xdr:col>
      <xdr:colOff>23812</xdr:colOff>
      <xdr:row>95</xdr:row>
      <xdr:rowOff>166688</xdr:rowOff>
    </xdr:to>
    <xdr:graphicFrame macro="">
      <xdr:nvGraphicFramePr>
        <xdr:cNvPr id="115" name="1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181</xdr:col>
      <xdr:colOff>11906</xdr:colOff>
      <xdr:row>97</xdr:row>
      <xdr:rowOff>3571</xdr:rowOff>
    </xdr:from>
    <xdr:to>
      <xdr:col>191</xdr:col>
      <xdr:colOff>738187</xdr:colOff>
      <xdr:row>127</xdr:row>
      <xdr:rowOff>154780</xdr:rowOff>
    </xdr:to>
    <xdr:graphicFrame macro="">
      <xdr:nvGraphicFramePr>
        <xdr:cNvPr id="112" name="1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181</xdr:col>
      <xdr:colOff>23813</xdr:colOff>
      <xdr:row>129</xdr:row>
      <xdr:rowOff>15478</xdr:rowOff>
    </xdr:from>
    <xdr:to>
      <xdr:col>192</xdr:col>
      <xdr:colOff>23813</xdr:colOff>
      <xdr:row>154</xdr:row>
      <xdr:rowOff>0</xdr:rowOff>
    </xdr:to>
    <xdr:graphicFrame macro="">
      <xdr:nvGraphicFramePr>
        <xdr:cNvPr id="116" name="1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181</xdr:col>
      <xdr:colOff>11905</xdr:colOff>
      <xdr:row>155</xdr:row>
      <xdr:rowOff>3571</xdr:rowOff>
    </xdr:from>
    <xdr:to>
      <xdr:col>192</xdr:col>
      <xdr:colOff>23812</xdr:colOff>
      <xdr:row>180</xdr:row>
      <xdr:rowOff>35718</xdr:rowOff>
    </xdr:to>
    <xdr:graphicFrame macro="">
      <xdr:nvGraphicFramePr>
        <xdr:cNvPr id="117" name="1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181</xdr:col>
      <xdr:colOff>11906</xdr:colOff>
      <xdr:row>181</xdr:row>
      <xdr:rowOff>27384</xdr:rowOff>
    </xdr:from>
    <xdr:to>
      <xdr:col>191</xdr:col>
      <xdr:colOff>750094</xdr:colOff>
      <xdr:row>206</xdr:row>
      <xdr:rowOff>0</xdr:rowOff>
    </xdr:to>
    <xdr:graphicFrame macro="">
      <xdr:nvGraphicFramePr>
        <xdr:cNvPr id="118" name="1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181</xdr:col>
      <xdr:colOff>23812</xdr:colOff>
      <xdr:row>206</xdr:row>
      <xdr:rowOff>182165</xdr:rowOff>
    </xdr:from>
    <xdr:to>
      <xdr:col>188</xdr:col>
      <xdr:colOff>761999</xdr:colOff>
      <xdr:row>227</xdr:row>
      <xdr:rowOff>47625</xdr:rowOff>
    </xdr:to>
    <xdr:graphicFrame macro="">
      <xdr:nvGraphicFramePr>
        <xdr:cNvPr id="119" name="1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181</xdr:col>
      <xdr:colOff>11906</xdr:colOff>
      <xdr:row>228</xdr:row>
      <xdr:rowOff>27384</xdr:rowOff>
    </xdr:from>
    <xdr:to>
      <xdr:col>188</xdr:col>
      <xdr:colOff>761999</xdr:colOff>
      <xdr:row>247</xdr:row>
      <xdr:rowOff>166688</xdr:rowOff>
    </xdr:to>
    <xdr:graphicFrame macro="">
      <xdr:nvGraphicFramePr>
        <xdr:cNvPr id="120" name="1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181</xdr:col>
      <xdr:colOff>0</xdr:colOff>
      <xdr:row>250</xdr:row>
      <xdr:rowOff>0</xdr:rowOff>
    </xdr:from>
    <xdr:to>
      <xdr:col>188</xdr:col>
      <xdr:colOff>657226</xdr:colOff>
      <xdr:row>274</xdr:row>
      <xdr:rowOff>185738</xdr:rowOff>
    </xdr:to>
    <xdr:graphicFrame macro="">
      <xdr:nvGraphicFramePr>
        <xdr:cNvPr id="121" name="1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181</xdr:col>
      <xdr:colOff>0</xdr:colOff>
      <xdr:row>277</xdr:row>
      <xdr:rowOff>0</xdr:rowOff>
    </xdr:from>
    <xdr:to>
      <xdr:col>188</xdr:col>
      <xdr:colOff>702469</xdr:colOff>
      <xdr:row>300</xdr:row>
      <xdr:rowOff>185738</xdr:rowOff>
    </xdr:to>
    <xdr:graphicFrame macro="">
      <xdr:nvGraphicFramePr>
        <xdr:cNvPr id="122" name="1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193</xdr:col>
      <xdr:colOff>750094</xdr:colOff>
      <xdr:row>1</xdr:row>
      <xdr:rowOff>27383</xdr:rowOff>
    </xdr:from>
    <xdr:to>
      <xdr:col>205</xdr:col>
      <xdr:colOff>0</xdr:colOff>
      <xdr:row>32</xdr:row>
      <xdr:rowOff>59530</xdr:rowOff>
    </xdr:to>
    <xdr:graphicFrame macro="">
      <xdr:nvGraphicFramePr>
        <xdr:cNvPr id="123" name="12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193</xdr:col>
      <xdr:colOff>761999</xdr:colOff>
      <xdr:row>33</xdr:row>
      <xdr:rowOff>15478</xdr:rowOff>
    </xdr:from>
    <xdr:to>
      <xdr:col>202</xdr:col>
      <xdr:colOff>23812</xdr:colOff>
      <xdr:row>53</xdr:row>
      <xdr:rowOff>11906</xdr:rowOff>
    </xdr:to>
    <xdr:graphicFrame macro="">
      <xdr:nvGraphicFramePr>
        <xdr:cNvPr id="124" name="1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193</xdr:col>
      <xdr:colOff>750094</xdr:colOff>
      <xdr:row>54</xdr:row>
      <xdr:rowOff>3572</xdr:rowOff>
    </xdr:from>
    <xdr:to>
      <xdr:col>202</xdr:col>
      <xdr:colOff>0</xdr:colOff>
      <xdr:row>74</xdr:row>
      <xdr:rowOff>0</xdr:rowOff>
    </xdr:to>
    <xdr:graphicFrame macro="">
      <xdr:nvGraphicFramePr>
        <xdr:cNvPr id="125" name="12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194</xdr:col>
      <xdr:colOff>0</xdr:colOff>
      <xdr:row>75</xdr:row>
      <xdr:rowOff>3570</xdr:rowOff>
    </xdr:from>
    <xdr:to>
      <xdr:col>201</xdr:col>
      <xdr:colOff>761999</xdr:colOff>
      <xdr:row>95</xdr:row>
      <xdr:rowOff>11905</xdr:rowOff>
    </xdr:to>
    <xdr:graphicFrame macro="">
      <xdr:nvGraphicFramePr>
        <xdr:cNvPr id="126" name="12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194</xdr:col>
      <xdr:colOff>11906</xdr:colOff>
      <xdr:row>96</xdr:row>
      <xdr:rowOff>3571</xdr:rowOff>
    </xdr:from>
    <xdr:to>
      <xdr:col>201</xdr:col>
      <xdr:colOff>750093</xdr:colOff>
      <xdr:row>116</xdr:row>
      <xdr:rowOff>23813</xdr:rowOff>
    </xdr:to>
    <xdr:graphicFrame macro="">
      <xdr:nvGraphicFramePr>
        <xdr:cNvPr id="127" name="12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10</xdr:col>
      <xdr:colOff>0</xdr:colOff>
      <xdr:row>43</xdr:row>
      <xdr:rowOff>3571</xdr:rowOff>
    </xdr:from>
    <xdr:to>
      <xdr:col>17</xdr:col>
      <xdr:colOff>738187</xdr:colOff>
      <xdr:row>62</xdr:row>
      <xdr:rowOff>59530</xdr:rowOff>
    </xdr:to>
    <xdr:graphicFrame macro="">
      <xdr:nvGraphicFramePr>
        <xdr:cNvPr id="128" name="12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193</xdr:col>
      <xdr:colOff>761999</xdr:colOff>
      <xdr:row>117</xdr:row>
      <xdr:rowOff>15478</xdr:rowOff>
    </xdr:from>
    <xdr:to>
      <xdr:col>207</xdr:col>
      <xdr:colOff>35718</xdr:colOff>
      <xdr:row>147</xdr:row>
      <xdr:rowOff>154781</xdr:rowOff>
    </xdr:to>
    <xdr:graphicFrame macro="">
      <xdr:nvGraphicFramePr>
        <xdr:cNvPr id="129" name="12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194</xdr:col>
      <xdr:colOff>23812</xdr:colOff>
      <xdr:row>149</xdr:row>
      <xdr:rowOff>27383</xdr:rowOff>
    </xdr:from>
    <xdr:to>
      <xdr:col>201</xdr:col>
      <xdr:colOff>738187</xdr:colOff>
      <xdr:row>169</xdr:row>
      <xdr:rowOff>35718</xdr:rowOff>
    </xdr:to>
    <xdr:graphicFrame macro="">
      <xdr:nvGraphicFramePr>
        <xdr:cNvPr id="130" name="12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194</xdr:col>
      <xdr:colOff>83344</xdr:colOff>
      <xdr:row>169</xdr:row>
      <xdr:rowOff>182165</xdr:rowOff>
    </xdr:from>
    <xdr:to>
      <xdr:col>202</xdr:col>
      <xdr:colOff>0</xdr:colOff>
      <xdr:row>190</xdr:row>
      <xdr:rowOff>35719</xdr:rowOff>
    </xdr:to>
    <xdr:graphicFrame macro="">
      <xdr:nvGraphicFramePr>
        <xdr:cNvPr id="131" name="13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194</xdr:col>
      <xdr:colOff>59532</xdr:colOff>
      <xdr:row>191</xdr:row>
      <xdr:rowOff>39290</xdr:rowOff>
    </xdr:from>
    <xdr:to>
      <xdr:col>201</xdr:col>
      <xdr:colOff>750094</xdr:colOff>
      <xdr:row>211</xdr:row>
      <xdr:rowOff>11906</xdr:rowOff>
    </xdr:to>
    <xdr:graphicFrame macro="">
      <xdr:nvGraphicFramePr>
        <xdr:cNvPr id="132" name="13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193</xdr:col>
      <xdr:colOff>761999</xdr:colOff>
      <xdr:row>211</xdr:row>
      <xdr:rowOff>182165</xdr:rowOff>
    </xdr:from>
    <xdr:to>
      <xdr:col>202</xdr:col>
      <xdr:colOff>23812</xdr:colOff>
      <xdr:row>232</xdr:row>
      <xdr:rowOff>47625</xdr:rowOff>
    </xdr:to>
    <xdr:graphicFrame macro="">
      <xdr:nvGraphicFramePr>
        <xdr:cNvPr id="133" name="13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193</xdr:col>
      <xdr:colOff>761999</xdr:colOff>
      <xdr:row>232</xdr:row>
      <xdr:rowOff>182165</xdr:rowOff>
    </xdr:from>
    <xdr:to>
      <xdr:col>205</xdr:col>
      <xdr:colOff>59530</xdr:colOff>
      <xdr:row>258</xdr:row>
      <xdr:rowOff>23813</xdr:rowOff>
    </xdr:to>
    <xdr:graphicFrame macro="">
      <xdr:nvGraphicFramePr>
        <xdr:cNvPr id="134" name="13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76</xdr:col>
      <xdr:colOff>11906</xdr:colOff>
      <xdr:row>57</xdr:row>
      <xdr:rowOff>182164</xdr:rowOff>
    </xdr:from>
    <xdr:to>
      <xdr:col>89</xdr:col>
      <xdr:colOff>738187</xdr:colOff>
      <xdr:row>91</xdr:row>
      <xdr:rowOff>178593</xdr:rowOff>
    </xdr:to>
    <xdr:graphicFrame macro="">
      <xdr:nvGraphicFramePr>
        <xdr:cNvPr id="135" name="13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75</xdr:col>
      <xdr:colOff>750093</xdr:colOff>
      <xdr:row>93</xdr:row>
      <xdr:rowOff>15476</xdr:rowOff>
    </xdr:from>
    <xdr:to>
      <xdr:col>85</xdr:col>
      <xdr:colOff>35718</xdr:colOff>
      <xdr:row>114</xdr:row>
      <xdr:rowOff>190499</xdr:rowOff>
    </xdr:to>
    <xdr:graphicFrame macro="">
      <xdr:nvGraphicFramePr>
        <xdr:cNvPr id="136" name="13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750093</xdr:colOff>
      <xdr:row>216</xdr:row>
      <xdr:rowOff>27382</xdr:rowOff>
    </xdr:from>
    <xdr:to>
      <xdr:col>14</xdr:col>
      <xdr:colOff>23812</xdr:colOff>
      <xdr:row>252</xdr:row>
      <xdr:rowOff>0</xdr:rowOff>
    </xdr:to>
    <xdr:graphicFrame macro="">
      <xdr:nvGraphicFramePr>
        <xdr:cNvPr id="137" name="13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209</xdr:col>
      <xdr:colOff>11906</xdr:colOff>
      <xdr:row>2</xdr:row>
      <xdr:rowOff>15477</xdr:rowOff>
    </xdr:from>
    <xdr:to>
      <xdr:col>217</xdr:col>
      <xdr:colOff>11905</xdr:colOff>
      <xdr:row>22</xdr:row>
      <xdr:rowOff>35719</xdr:rowOff>
    </xdr:to>
    <xdr:graphicFrame macro="">
      <xdr:nvGraphicFramePr>
        <xdr:cNvPr id="138" name="13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209</xdr:col>
      <xdr:colOff>23812</xdr:colOff>
      <xdr:row>23</xdr:row>
      <xdr:rowOff>15478</xdr:rowOff>
    </xdr:from>
    <xdr:to>
      <xdr:col>216</xdr:col>
      <xdr:colOff>750093</xdr:colOff>
      <xdr:row>43</xdr:row>
      <xdr:rowOff>11906</xdr:rowOff>
    </xdr:to>
    <xdr:graphicFrame macro="">
      <xdr:nvGraphicFramePr>
        <xdr:cNvPr id="139" name="13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209</xdr:col>
      <xdr:colOff>11906</xdr:colOff>
      <xdr:row>44</xdr:row>
      <xdr:rowOff>27383</xdr:rowOff>
    </xdr:from>
    <xdr:to>
      <xdr:col>216</xdr:col>
      <xdr:colOff>761999</xdr:colOff>
      <xdr:row>64</xdr:row>
      <xdr:rowOff>35719</xdr:rowOff>
    </xdr:to>
    <xdr:graphicFrame macro="">
      <xdr:nvGraphicFramePr>
        <xdr:cNvPr id="140" name="13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208</xdr:col>
      <xdr:colOff>750094</xdr:colOff>
      <xdr:row>65</xdr:row>
      <xdr:rowOff>39290</xdr:rowOff>
    </xdr:from>
    <xdr:to>
      <xdr:col>216</xdr:col>
      <xdr:colOff>750093</xdr:colOff>
      <xdr:row>85</xdr:row>
      <xdr:rowOff>71438</xdr:rowOff>
    </xdr:to>
    <xdr:graphicFrame macro="">
      <xdr:nvGraphicFramePr>
        <xdr:cNvPr id="141" name="14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217</xdr:col>
      <xdr:colOff>738187</xdr:colOff>
      <xdr:row>1</xdr:row>
      <xdr:rowOff>134540</xdr:rowOff>
    </xdr:from>
    <xdr:to>
      <xdr:col>229</xdr:col>
      <xdr:colOff>23812</xdr:colOff>
      <xdr:row>31</xdr:row>
      <xdr:rowOff>166688</xdr:rowOff>
    </xdr:to>
    <xdr:graphicFrame macro="">
      <xdr:nvGraphicFramePr>
        <xdr:cNvPr id="142" name="14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218</xdr:col>
      <xdr:colOff>23813</xdr:colOff>
      <xdr:row>33</xdr:row>
      <xdr:rowOff>3570</xdr:rowOff>
    </xdr:from>
    <xdr:to>
      <xdr:col>229</xdr:col>
      <xdr:colOff>0</xdr:colOff>
      <xdr:row>63</xdr:row>
      <xdr:rowOff>35718</xdr:rowOff>
    </xdr:to>
    <xdr:graphicFrame macro="">
      <xdr:nvGraphicFramePr>
        <xdr:cNvPr id="143" name="14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229</xdr:col>
      <xdr:colOff>750094</xdr:colOff>
      <xdr:row>1</xdr:row>
      <xdr:rowOff>170258</xdr:rowOff>
    </xdr:from>
    <xdr:to>
      <xdr:col>238</xdr:col>
      <xdr:colOff>0</xdr:colOff>
      <xdr:row>22</xdr:row>
      <xdr:rowOff>83344</xdr:rowOff>
    </xdr:to>
    <xdr:graphicFrame macro="">
      <xdr:nvGraphicFramePr>
        <xdr:cNvPr id="144" name="14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229</xdr:col>
      <xdr:colOff>750094</xdr:colOff>
      <xdr:row>23</xdr:row>
      <xdr:rowOff>15477</xdr:rowOff>
    </xdr:from>
    <xdr:to>
      <xdr:col>238</xdr:col>
      <xdr:colOff>0</xdr:colOff>
      <xdr:row>43</xdr:row>
      <xdr:rowOff>47625</xdr:rowOff>
    </xdr:to>
    <xdr:graphicFrame macro="">
      <xdr:nvGraphicFramePr>
        <xdr:cNvPr id="145" name="14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230</xdr:col>
      <xdr:colOff>11906</xdr:colOff>
      <xdr:row>44</xdr:row>
      <xdr:rowOff>27382</xdr:rowOff>
    </xdr:from>
    <xdr:to>
      <xdr:col>237</xdr:col>
      <xdr:colOff>761999</xdr:colOff>
      <xdr:row>64</xdr:row>
      <xdr:rowOff>11905</xdr:rowOff>
    </xdr:to>
    <xdr:graphicFrame macro="">
      <xdr:nvGraphicFramePr>
        <xdr:cNvPr id="146" name="14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230</xdr:col>
      <xdr:colOff>11906</xdr:colOff>
      <xdr:row>65</xdr:row>
      <xdr:rowOff>15477</xdr:rowOff>
    </xdr:from>
    <xdr:to>
      <xdr:col>237</xdr:col>
      <xdr:colOff>750093</xdr:colOff>
      <xdr:row>85</xdr:row>
      <xdr:rowOff>47625</xdr:rowOff>
    </xdr:to>
    <xdr:graphicFrame macro="">
      <xdr:nvGraphicFramePr>
        <xdr:cNvPr id="147" name="14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</xdr:col>
      <xdr:colOff>11905</xdr:colOff>
      <xdr:row>255</xdr:row>
      <xdr:rowOff>178594</xdr:rowOff>
    </xdr:from>
    <xdr:to>
      <xdr:col>12</xdr:col>
      <xdr:colOff>47624</xdr:colOff>
      <xdr:row>285</xdr:row>
      <xdr:rowOff>83344</xdr:rowOff>
    </xdr:to>
    <xdr:graphicFrame macro="">
      <xdr:nvGraphicFramePr>
        <xdr:cNvPr id="148" name="14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23812</xdr:colOff>
      <xdr:row>287</xdr:row>
      <xdr:rowOff>23813</xdr:rowOff>
    </xdr:from>
    <xdr:to>
      <xdr:col>11</xdr:col>
      <xdr:colOff>761999</xdr:colOff>
      <xdr:row>316</xdr:row>
      <xdr:rowOff>130969</xdr:rowOff>
    </xdr:to>
    <xdr:graphicFrame macro="">
      <xdr:nvGraphicFramePr>
        <xdr:cNvPr id="150" name="14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130969</xdr:colOff>
      <xdr:row>318</xdr:row>
      <xdr:rowOff>11907</xdr:rowOff>
    </xdr:from>
    <xdr:to>
      <xdr:col>9</xdr:col>
      <xdr:colOff>59531</xdr:colOff>
      <xdr:row>338</xdr:row>
      <xdr:rowOff>11906</xdr:rowOff>
    </xdr:to>
    <xdr:graphicFrame macro="">
      <xdr:nvGraphicFramePr>
        <xdr:cNvPr id="151" name="15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11906</xdr:colOff>
      <xdr:row>339</xdr:row>
      <xdr:rowOff>178594</xdr:rowOff>
    </xdr:from>
    <xdr:to>
      <xdr:col>8</xdr:col>
      <xdr:colOff>750093</xdr:colOff>
      <xdr:row>360</xdr:row>
      <xdr:rowOff>71438</xdr:rowOff>
    </xdr:to>
    <xdr:graphicFrame macro="">
      <xdr:nvGraphicFramePr>
        <xdr:cNvPr id="152" name="15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1</xdr:col>
      <xdr:colOff>83343</xdr:colOff>
      <xdr:row>361</xdr:row>
      <xdr:rowOff>166688</xdr:rowOff>
    </xdr:from>
    <xdr:to>
      <xdr:col>9</xdr:col>
      <xdr:colOff>35718</xdr:colOff>
      <xdr:row>381</xdr:row>
      <xdr:rowOff>166687</xdr:rowOff>
    </xdr:to>
    <xdr:graphicFrame macro="">
      <xdr:nvGraphicFramePr>
        <xdr:cNvPr id="153" name="15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0</xdr:colOff>
      <xdr:row>383</xdr:row>
      <xdr:rowOff>1</xdr:rowOff>
    </xdr:from>
    <xdr:to>
      <xdr:col>8</xdr:col>
      <xdr:colOff>750094</xdr:colOff>
      <xdr:row>403</xdr:row>
      <xdr:rowOff>11906</xdr:rowOff>
    </xdr:to>
    <xdr:graphicFrame macro="">
      <xdr:nvGraphicFramePr>
        <xdr:cNvPr id="154" name="15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1</xdr:col>
      <xdr:colOff>0</xdr:colOff>
      <xdr:row>404</xdr:row>
      <xdr:rowOff>23813</xdr:rowOff>
    </xdr:from>
    <xdr:to>
      <xdr:col>9</xdr:col>
      <xdr:colOff>0</xdr:colOff>
      <xdr:row>424</xdr:row>
      <xdr:rowOff>11906</xdr:rowOff>
    </xdr:to>
    <xdr:graphicFrame macro="">
      <xdr:nvGraphicFramePr>
        <xdr:cNvPr id="155" name="15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47625</xdr:colOff>
      <xdr:row>424</xdr:row>
      <xdr:rowOff>154781</xdr:rowOff>
    </xdr:from>
    <xdr:to>
      <xdr:col>9</xdr:col>
      <xdr:colOff>47624</xdr:colOff>
      <xdr:row>445</xdr:row>
      <xdr:rowOff>0</xdr:rowOff>
    </xdr:to>
    <xdr:graphicFrame macro="">
      <xdr:nvGraphicFramePr>
        <xdr:cNvPr id="156" name="15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761999</xdr:colOff>
      <xdr:row>446</xdr:row>
      <xdr:rowOff>11907</xdr:rowOff>
    </xdr:from>
    <xdr:to>
      <xdr:col>9</xdr:col>
      <xdr:colOff>23812</xdr:colOff>
      <xdr:row>465</xdr:row>
      <xdr:rowOff>178594</xdr:rowOff>
    </xdr:to>
    <xdr:graphicFrame macro="">
      <xdr:nvGraphicFramePr>
        <xdr:cNvPr id="157" name="15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0</xdr:colOff>
      <xdr:row>467</xdr:row>
      <xdr:rowOff>11907</xdr:rowOff>
    </xdr:from>
    <xdr:to>
      <xdr:col>8</xdr:col>
      <xdr:colOff>750093</xdr:colOff>
      <xdr:row>486</xdr:row>
      <xdr:rowOff>178594</xdr:rowOff>
    </xdr:to>
    <xdr:graphicFrame macro="">
      <xdr:nvGraphicFramePr>
        <xdr:cNvPr id="158" name="15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90</xdr:col>
      <xdr:colOff>738187</xdr:colOff>
      <xdr:row>90</xdr:row>
      <xdr:rowOff>0</xdr:rowOff>
    </xdr:from>
    <xdr:to>
      <xdr:col>99</xdr:col>
      <xdr:colOff>23812</xdr:colOff>
      <xdr:row>110</xdr:row>
      <xdr:rowOff>35719</xdr:rowOff>
    </xdr:to>
    <xdr:graphicFrame macro="">
      <xdr:nvGraphicFramePr>
        <xdr:cNvPr id="160" name="15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103</xdr:col>
      <xdr:colOff>0</xdr:colOff>
      <xdr:row>54</xdr:row>
      <xdr:rowOff>2</xdr:rowOff>
    </xdr:from>
    <xdr:to>
      <xdr:col>111</xdr:col>
      <xdr:colOff>11905</xdr:colOff>
      <xdr:row>80</xdr:row>
      <xdr:rowOff>0</xdr:rowOff>
    </xdr:to>
    <xdr:graphicFrame macro="">
      <xdr:nvGraphicFramePr>
        <xdr:cNvPr id="159" name="15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103</xdr:col>
      <xdr:colOff>35720</xdr:colOff>
      <xdr:row>108</xdr:row>
      <xdr:rowOff>0</xdr:rowOff>
    </xdr:from>
    <xdr:to>
      <xdr:col>111</xdr:col>
      <xdr:colOff>11906</xdr:colOff>
      <xdr:row>134</xdr:row>
      <xdr:rowOff>0</xdr:rowOff>
    </xdr:to>
    <xdr:graphicFrame macro="">
      <xdr:nvGraphicFramePr>
        <xdr:cNvPr id="161" name="16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103</xdr:col>
      <xdr:colOff>0</xdr:colOff>
      <xdr:row>162</xdr:row>
      <xdr:rowOff>0</xdr:rowOff>
    </xdr:from>
    <xdr:to>
      <xdr:col>110</xdr:col>
      <xdr:colOff>761999</xdr:colOff>
      <xdr:row>188</xdr:row>
      <xdr:rowOff>23813</xdr:rowOff>
    </xdr:to>
    <xdr:graphicFrame macro="">
      <xdr:nvGraphicFramePr>
        <xdr:cNvPr id="162" name="16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103</xdr:col>
      <xdr:colOff>23812</xdr:colOff>
      <xdr:row>216</xdr:row>
      <xdr:rowOff>1</xdr:rowOff>
    </xdr:from>
    <xdr:to>
      <xdr:col>110</xdr:col>
      <xdr:colOff>761999</xdr:colOff>
      <xdr:row>242</xdr:row>
      <xdr:rowOff>1</xdr:rowOff>
    </xdr:to>
    <xdr:graphicFrame macro="">
      <xdr:nvGraphicFramePr>
        <xdr:cNvPr id="163" name="16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181</xdr:col>
      <xdr:colOff>0</xdr:colOff>
      <xdr:row>302</xdr:row>
      <xdr:rowOff>15477</xdr:rowOff>
    </xdr:from>
    <xdr:to>
      <xdr:col>188</xdr:col>
      <xdr:colOff>750094</xdr:colOff>
      <xdr:row>322</xdr:row>
      <xdr:rowOff>59530</xdr:rowOff>
    </xdr:to>
    <xdr:graphicFrame macro="">
      <xdr:nvGraphicFramePr>
        <xdr:cNvPr id="149" name="14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180</xdr:col>
      <xdr:colOff>750094</xdr:colOff>
      <xdr:row>323</xdr:row>
      <xdr:rowOff>15478</xdr:rowOff>
    </xdr:from>
    <xdr:to>
      <xdr:col>189</xdr:col>
      <xdr:colOff>11905</xdr:colOff>
      <xdr:row>342</xdr:row>
      <xdr:rowOff>178594</xdr:rowOff>
    </xdr:to>
    <xdr:graphicFrame macro="">
      <xdr:nvGraphicFramePr>
        <xdr:cNvPr id="164" name="16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181</xdr:col>
      <xdr:colOff>11906</xdr:colOff>
      <xdr:row>344</xdr:row>
      <xdr:rowOff>3571</xdr:rowOff>
    </xdr:from>
    <xdr:to>
      <xdr:col>189</xdr:col>
      <xdr:colOff>11906</xdr:colOff>
      <xdr:row>364</xdr:row>
      <xdr:rowOff>23812</xdr:rowOff>
    </xdr:to>
    <xdr:graphicFrame macro="">
      <xdr:nvGraphicFramePr>
        <xdr:cNvPr id="165" name="16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181</xdr:col>
      <xdr:colOff>23813</xdr:colOff>
      <xdr:row>364</xdr:row>
      <xdr:rowOff>182165</xdr:rowOff>
    </xdr:from>
    <xdr:to>
      <xdr:col>189</xdr:col>
      <xdr:colOff>23813</xdr:colOff>
      <xdr:row>385</xdr:row>
      <xdr:rowOff>35719</xdr:rowOff>
    </xdr:to>
    <xdr:graphicFrame macro="">
      <xdr:nvGraphicFramePr>
        <xdr:cNvPr id="166" name="16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181</xdr:col>
      <xdr:colOff>47624</xdr:colOff>
      <xdr:row>386</xdr:row>
      <xdr:rowOff>170258</xdr:rowOff>
    </xdr:from>
    <xdr:to>
      <xdr:col>190</xdr:col>
      <xdr:colOff>761999</xdr:colOff>
      <xdr:row>411</xdr:row>
      <xdr:rowOff>71437</xdr:rowOff>
    </xdr:to>
    <xdr:graphicFrame macro="">
      <xdr:nvGraphicFramePr>
        <xdr:cNvPr id="167" name="16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181</xdr:col>
      <xdr:colOff>35719</xdr:colOff>
      <xdr:row>413</xdr:row>
      <xdr:rowOff>63102</xdr:rowOff>
    </xdr:from>
    <xdr:to>
      <xdr:col>191</xdr:col>
      <xdr:colOff>35719</xdr:colOff>
      <xdr:row>438</xdr:row>
      <xdr:rowOff>95249</xdr:rowOff>
    </xdr:to>
    <xdr:graphicFrame macro="">
      <xdr:nvGraphicFramePr>
        <xdr:cNvPr id="168" name="16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30</xdr:col>
      <xdr:colOff>761999</xdr:colOff>
      <xdr:row>469</xdr:row>
      <xdr:rowOff>27384</xdr:rowOff>
    </xdr:from>
    <xdr:to>
      <xdr:col>42</xdr:col>
      <xdr:colOff>59530</xdr:colOff>
      <xdr:row>498</xdr:row>
      <xdr:rowOff>178594</xdr:rowOff>
    </xdr:to>
    <xdr:graphicFrame macro="">
      <xdr:nvGraphicFramePr>
        <xdr:cNvPr id="169" name="16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31</xdr:col>
      <xdr:colOff>59531</xdr:colOff>
      <xdr:row>499</xdr:row>
      <xdr:rowOff>146446</xdr:rowOff>
    </xdr:from>
    <xdr:to>
      <xdr:col>42</xdr:col>
      <xdr:colOff>35718</xdr:colOff>
      <xdr:row>529</xdr:row>
      <xdr:rowOff>71437</xdr:rowOff>
    </xdr:to>
    <xdr:graphicFrame macro="">
      <xdr:nvGraphicFramePr>
        <xdr:cNvPr id="170" name="16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180</xdr:col>
      <xdr:colOff>738187</xdr:colOff>
      <xdr:row>441</xdr:row>
      <xdr:rowOff>27383</xdr:rowOff>
    </xdr:from>
    <xdr:to>
      <xdr:col>192</xdr:col>
      <xdr:colOff>726280</xdr:colOff>
      <xdr:row>472</xdr:row>
      <xdr:rowOff>154780</xdr:rowOff>
    </xdr:to>
    <xdr:graphicFrame macro="">
      <xdr:nvGraphicFramePr>
        <xdr:cNvPr id="171" name="17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180</xdr:col>
      <xdr:colOff>714375</xdr:colOff>
      <xdr:row>475</xdr:row>
      <xdr:rowOff>3571</xdr:rowOff>
    </xdr:from>
    <xdr:to>
      <xdr:col>192</xdr:col>
      <xdr:colOff>738187</xdr:colOff>
      <xdr:row>502</xdr:row>
      <xdr:rowOff>107156</xdr:rowOff>
    </xdr:to>
    <xdr:graphicFrame macro="">
      <xdr:nvGraphicFramePr>
        <xdr:cNvPr id="173" name="17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0.89306</cdr:x>
      <cdr:y>0.92924</cdr:y>
    </cdr:from>
    <cdr:to>
      <cdr:x>0.96473</cdr:x>
      <cdr:y>0.98751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477126" y="4252914"/>
          <a:ext cx="600075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0.23958</cdr:x>
      <cdr:y>0.00983</cdr:y>
    </cdr:from>
    <cdr:to>
      <cdr:x>0.81667</cdr:x>
      <cdr:y>0.17936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095374" y="38100"/>
          <a:ext cx="2638426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s-MX" sz="1400" b="1"/>
            <a:t>PROPIETARIOS</a:t>
          </a:r>
        </a:p>
        <a:p xmlns:a="http://schemas.openxmlformats.org/drawingml/2006/main">
          <a:pPr algn="ctr"/>
          <a:r>
            <a:rPr lang="es-MX" sz="1200" b="1"/>
            <a:t>RESERVA PARTE DE SUS INGRESOS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0.8923</cdr:x>
      <cdr:y>0.92945</cdr:y>
    </cdr:from>
    <cdr:to>
      <cdr:x>0.96397</cdr:x>
      <cdr:y>0.98808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470775" y="4413250"/>
          <a:ext cx="600075" cy="2783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0.79423</cdr:x>
      <cdr:y>0.93214</cdr:y>
    </cdr:from>
    <cdr:to>
      <cdr:x>0.86598</cdr:x>
      <cdr:y>0.99018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6642100" y="4470400"/>
          <a:ext cx="600075" cy="2783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0.79924</cdr:x>
      <cdr:y>0.93347</cdr:y>
    </cdr:from>
    <cdr:to>
      <cdr:x>0.87083</cdr:x>
      <cdr:y>0.99209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6699250" y="4432300"/>
          <a:ext cx="600075" cy="2783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0.87054</cdr:x>
      <cdr:y>0.93373</cdr:y>
    </cdr:from>
    <cdr:to>
      <cdr:x>0.94229</cdr:x>
      <cdr:y>0.99212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280275" y="4451350"/>
          <a:ext cx="600075" cy="2783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0.88941</cdr:x>
      <cdr:y>0.91988</cdr:y>
    </cdr:from>
    <cdr:to>
      <cdr:x>0.988</cdr:x>
      <cdr:y>0.99267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13375" y="3517900"/>
          <a:ext cx="600075" cy="2783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0.8908</cdr:x>
      <cdr:y>0.92179</cdr:y>
    </cdr:from>
    <cdr:to>
      <cdr:x>0.98955</cdr:x>
      <cdr:y>0.99512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13375" y="3498850"/>
          <a:ext cx="600075" cy="2783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0.88592</cdr:x>
      <cdr:y>0.92411</cdr:y>
    </cdr:from>
    <cdr:to>
      <cdr:x>0.98482</cdr:x>
      <cdr:y>0.99763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75275" y="3498850"/>
          <a:ext cx="600075" cy="2783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0.89254</cdr:x>
      <cdr:y>0.9263</cdr:y>
    </cdr:from>
    <cdr:to>
      <cdr:x>0.99113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32425" y="3498307"/>
          <a:ext cx="600075" cy="2783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0.86856</cdr:x>
      <cdr:y>0.93521</cdr:y>
    </cdr:from>
    <cdr:to>
      <cdr:x>0.94015</cdr:x>
      <cdr:y>0.99407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280275" y="4422775"/>
          <a:ext cx="600075" cy="2783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0.89616</cdr:x>
      <cdr:y>0.92449</cdr:y>
    </cdr:from>
    <cdr:to>
      <cdr:x>0.99429</cdr:x>
      <cdr:y>0.99764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80050" y="3517900"/>
          <a:ext cx="600075" cy="2783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0.07321</cdr:x>
      <cdr:y>0.01373</cdr:y>
    </cdr:from>
    <cdr:to>
      <cdr:x>0.94464</cdr:x>
      <cdr:y>0.18078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90525" y="57151"/>
          <a:ext cx="4648199" cy="695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s-MX" sz="1400" b="1"/>
            <a:t>PROPIETARIOS</a:t>
          </a:r>
        </a:p>
        <a:p xmlns:a="http://schemas.openxmlformats.org/drawingml/2006/main">
          <a:pPr algn="ctr"/>
          <a:r>
            <a:rPr lang="es-MX" sz="1200" b="1"/>
            <a:t>GRADO</a:t>
          </a:r>
          <a:r>
            <a:rPr lang="es-MX" sz="1200" b="1" baseline="0"/>
            <a:t> DE IMPORTANCIA DE VARIOS FACTORES </a:t>
          </a:r>
        </a:p>
        <a:p xmlns:a="http://schemas.openxmlformats.org/drawingml/2006/main">
          <a:pPr algn="ctr"/>
          <a:r>
            <a:rPr lang="es-MX" sz="1200" b="1" baseline="0"/>
            <a:t>PARA LA OBTENCIÓN DE UN CRÉDITO</a:t>
          </a:r>
          <a:endParaRPr lang="es-MX" sz="1200" b="1"/>
        </a:p>
      </cdr:txBody>
    </cdr:sp>
  </cdr:relSizeAnchor>
  <cdr:relSizeAnchor xmlns:cdr="http://schemas.openxmlformats.org/drawingml/2006/chartDrawing">
    <cdr:from>
      <cdr:x>0.07321</cdr:x>
      <cdr:y>0.01373</cdr:y>
    </cdr:from>
    <cdr:to>
      <cdr:x>0.94464</cdr:x>
      <cdr:y>0.18078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90525" y="57151"/>
          <a:ext cx="4648199" cy="695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s-MX" sz="1400" b="1"/>
            <a:t>PROPIETARIOS</a:t>
          </a:r>
        </a:p>
        <a:p xmlns:a="http://schemas.openxmlformats.org/drawingml/2006/main">
          <a:pPr algn="ctr"/>
          <a:r>
            <a:rPr lang="es-MX" sz="1200" b="1"/>
            <a:t>GRADO</a:t>
          </a:r>
          <a:r>
            <a:rPr lang="es-MX" sz="1200" b="1" baseline="0"/>
            <a:t> DE IMPORTANCIA DE VARIOS FACTORES </a:t>
          </a:r>
        </a:p>
        <a:p xmlns:a="http://schemas.openxmlformats.org/drawingml/2006/main">
          <a:pPr algn="ctr"/>
          <a:r>
            <a:rPr lang="es-MX" sz="1200" b="1" baseline="0"/>
            <a:t>PARA LA OBTENCIÓN DE UN CRÉDITO</a:t>
          </a:r>
          <a:endParaRPr lang="es-MX" sz="1200" b="1"/>
        </a:p>
      </cdr:txBody>
    </cdr:sp>
  </cdr:relSizeAnchor>
  <cdr:relSizeAnchor xmlns:cdr="http://schemas.openxmlformats.org/drawingml/2006/chartDrawing">
    <cdr:from>
      <cdr:x>0.00836</cdr:x>
      <cdr:y>0.3758</cdr:y>
    </cdr:from>
    <cdr:to>
      <cdr:x>0.04861</cdr:x>
      <cdr:y>0.69294</cdr:y>
    </cdr:to>
    <cdr:sp macro="" textlink="">
      <cdr:nvSpPr>
        <cdr:cNvPr id="4" name="3 CuadroTexto"/>
        <cdr:cNvSpPr txBox="1"/>
      </cdr:nvSpPr>
      <cdr:spPr>
        <a:xfrm xmlns:a="http://schemas.openxmlformats.org/drawingml/2006/main" rot="16200000">
          <a:off x="-720724" y="2947462"/>
          <a:ext cx="1830917" cy="2751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MX" sz="1000" b="0"/>
            <a:t>CANTIDAD</a:t>
          </a:r>
          <a:r>
            <a:rPr lang="es-MX" sz="1000" b="0" baseline="0"/>
            <a:t> DE PROPIETARIOS</a:t>
          </a:r>
          <a:endParaRPr lang="es-MX" sz="1000" b="0"/>
        </a:p>
      </cdr:txBody>
    </cdr:sp>
  </cdr:relSizeAnchor>
  <cdr:relSizeAnchor xmlns:cdr="http://schemas.openxmlformats.org/drawingml/2006/chartDrawing">
    <cdr:from>
      <cdr:x>0.20421</cdr:x>
      <cdr:y>0.89478</cdr:y>
    </cdr:from>
    <cdr:to>
      <cdr:x>0.8653</cdr:x>
      <cdr:y>0.94134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1395942" y="5165727"/>
          <a:ext cx="4519083" cy="2688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MX" sz="1050" b="0"/>
            <a:t>GRADO DE IMPORTANCIA. [1 = MÁS IMPORTANTE; 6 = MENOS IMPORTANTE]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0.89377</cdr:x>
      <cdr:y>0.92468</cdr:y>
    </cdr:from>
    <cdr:to>
      <cdr:x>0.99267</cdr:x>
      <cdr:y>0.99765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22900" y="3527425"/>
          <a:ext cx="600075" cy="2783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0.8882</cdr:x>
      <cdr:y>0.92524</cdr:y>
    </cdr:from>
    <cdr:to>
      <cdr:x>0.98648</cdr:x>
      <cdr:y>0.99766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22900" y="3556000"/>
          <a:ext cx="600075" cy="2783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0.89098</cdr:x>
      <cdr:y>0.92685</cdr:y>
    </cdr:from>
    <cdr:to>
      <cdr:x>0.98957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22900" y="3526882"/>
          <a:ext cx="600075" cy="2783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0.83333</cdr:x>
      <cdr:y>0.91867</cdr:y>
    </cdr:from>
    <cdr:to>
      <cdr:x>0.93177</cdr:x>
      <cdr:y>0.99256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080000" y="3460750"/>
          <a:ext cx="600075" cy="2783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0.83464</cdr:x>
      <cdr:y>0.91928</cdr:y>
    </cdr:from>
    <cdr:to>
      <cdr:x>0.93323</cdr:x>
      <cdr:y>0.99261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080000" y="3489325"/>
          <a:ext cx="600075" cy="2783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0.83192</cdr:x>
      <cdr:y>0.93757</cdr:y>
    </cdr:from>
    <cdr:to>
      <cdr:x>0.88702</cdr:x>
      <cdr:y>0.98331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883728" y="5349257"/>
          <a:ext cx="588390" cy="260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0.8943</cdr:x>
      <cdr:y>0.91443</cdr:y>
    </cdr:from>
    <cdr:to>
      <cdr:x>0.99032</cdr:x>
      <cdr:y>0.98407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80050" y="3426883"/>
          <a:ext cx="588390" cy="260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0.89164</cdr:x>
      <cdr:y>0.91104</cdr:y>
    </cdr:from>
    <cdr:to>
      <cdr:x>0.98849</cdr:x>
      <cdr:y>0.97895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16550" y="3500966"/>
          <a:ext cx="588390" cy="260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0.89512</cdr:x>
      <cdr:y>0.91539</cdr:y>
    </cdr:from>
    <cdr:to>
      <cdr:x>0.99198</cdr:x>
      <cdr:y>0.98425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37717" y="3469216"/>
          <a:ext cx="588390" cy="260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0.89494</cdr:x>
      <cdr:y>0.91701</cdr:y>
    </cdr:from>
    <cdr:to>
      <cdr:x>0.99196</cdr:x>
      <cdr:y>0.98455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27133" y="3543300"/>
          <a:ext cx="588390" cy="260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0.11903</cdr:x>
      <cdr:y>0.00704</cdr:y>
    </cdr:from>
    <cdr:to>
      <cdr:x>0.87353</cdr:x>
      <cdr:y>0.17576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39800" y="40217"/>
          <a:ext cx="5956900" cy="964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1400" b="1"/>
            <a:t>PROPIETARIOS</a:t>
          </a:r>
        </a:p>
        <a:p xmlns:a="http://schemas.openxmlformats.org/drawingml/2006/main">
          <a:pPr algn="ctr"/>
          <a:r>
            <a:rPr lang="es-MX" sz="1200" b="1"/>
            <a:t>GRADO</a:t>
          </a:r>
          <a:r>
            <a:rPr lang="es-MX" sz="1200" b="1" baseline="0"/>
            <a:t> DE IMPORTANCIA DE VARIOS FACTORES </a:t>
          </a:r>
        </a:p>
        <a:p xmlns:a="http://schemas.openxmlformats.org/drawingml/2006/main">
          <a:pPr algn="ctr"/>
          <a:r>
            <a:rPr lang="es-MX" sz="1200" b="1" baseline="0"/>
            <a:t>PARA LA OBTENCIÓN DE UN CRÉDITO</a:t>
          </a:r>
          <a:endParaRPr lang="es-MX" sz="1200" b="1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0.89028</cdr:x>
      <cdr:y>0.92163</cdr:y>
    </cdr:from>
    <cdr:to>
      <cdr:x>0.9868</cdr:x>
      <cdr:y>0.98991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27133" y="3522133"/>
          <a:ext cx="588390" cy="260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0.88873</cdr:x>
      <cdr:y>0.91308</cdr:y>
    </cdr:from>
    <cdr:to>
      <cdr:x>0.98509</cdr:x>
      <cdr:y>0.98156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27134" y="3479800"/>
          <a:ext cx="588390" cy="260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0.89375</cdr:x>
      <cdr:y>0.91515</cdr:y>
    </cdr:from>
    <cdr:to>
      <cdr:x>0.99027</cdr:x>
      <cdr:y>0.9842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48300" y="3458633"/>
          <a:ext cx="588390" cy="260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0.83829</cdr:x>
      <cdr:y>0.94205</cdr:y>
    </cdr:from>
    <cdr:to>
      <cdr:x>0.89775</cdr:x>
      <cdr:y>0.9877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295217" y="5384800"/>
          <a:ext cx="588390" cy="260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0.8922</cdr:x>
      <cdr:y>0.9103</cdr:y>
    </cdr:from>
    <cdr:to>
      <cdr:x>0.98855</cdr:x>
      <cdr:y>0.97878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48300" y="3469216"/>
          <a:ext cx="588390" cy="260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0.89009</cdr:x>
      <cdr:y>0.91005</cdr:y>
    </cdr:from>
    <cdr:to>
      <cdr:x>0.98678</cdr:x>
      <cdr:y>0.97872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16550" y="3458634"/>
          <a:ext cx="588390" cy="260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0.89375</cdr:x>
      <cdr:y>0.91586</cdr:y>
    </cdr:from>
    <cdr:to>
      <cdr:x>0.99027</cdr:x>
      <cdr:y>0.98433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48300" y="3490383"/>
          <a:ext cx="588390" cy="260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0.89282</cdr:x>
      <cdr:y>0.91539</cdr:y>
    </cdr:from>
    <cdr:to>
      <cdr:x>0.99019</cdr:x>
      <cdr:y>0.98425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95384" y="3469217"/>
          <a:ext cx="588390" cy="260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0.89825</cdr:x>
      <cdr:y>0.91841</cdr:y>
    </cdr:from>
    <cdr:to>
      <cdr:x>0.99545</cdr:x>
      <cdr:y>0.98707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37716" y="3490384"/>
          <a:ext cx="588390" cy="260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0.89843</cdr:x>
      <cdr:y>0.91284</cdr:y>
    </cdr:from>
    <cdr:to>
      <cdr:x>0.99546</cdr:x>
      <cdr:y>0.9815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48300" y="3469216"/>
          <a:ext cx="588390" cy="260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0.16966</cdr:x>
      <cdr:y>0.01975</cdr:y>
    </cdr:from>
    <cdr:to>
      <cdr:x>0.86627</cdr:x>
      <cdr:y>0.13923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899585" y="85728"/>
          <a:ext cx="3693584" cy="5185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s-MX" sz="1400" b="1"/>
            <a:t>PROPIETARIOS</a:t>
          </a:r>
        </a:p>
        <a:p xmlns:a="http://schemas.openxmlformats.org/drawingml/2006/main">
          <a:pPr algn="ctr"/>
          <a:r>
            <a:rPr lang="es-MX" sz="1200" b="1"/>
            <a:t>MOTIVACIÓN PARA LA</a:t>
          </a:r>
          <a:r>
            <a:rPr lang="es-MX" sz="1200" b="1" baseline="0"/>
            <a:t> COMPRA O CAMBIO DE UNIDAD</a:t>
          </a:r>
          <a:endParaRPr lang="es-MX" sz="1200" b="1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0.89319</cdr:x>
      <cdr:y>0.91284</cdr:y>
    </cdr:from>
    <cdr:to>
      <cdr:x>0.99022</cdr:x>
      <cdr:y>0.9815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16550" y="3469216"/>
          <a:ext cx="588390" cy="260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  <a:r>
            <a:rPr lang="es-MX" sz="1100" b="1" baseline="0"/>
            <a:t> / lt</a:t>
          </a:r>
          <a:endParaRPr lang="es-MX" sz="1100" b="1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0.85539</cdr:x>
      <cdr:y>0.9183</cdr:y>
    </cdr:from>
    <cdr:to>
      <cdr:x>0.89416</cdr:x>
      <cdr:y>0.96692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152467" y="5257800"/>
          <a:ext cx="414867" cy="2783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0.91096</cdr:x>
      <cdr:y>0.89393</cdr:y>
    </cdr:from>
    <cdr:to>
      <cdr:x>0.97913</cdr:x>
      <cdr:y>0.9688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543550" y="3416300"/>
          <a:ext cx="414867" cy="2861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0.90639</cdr:x>
      <cdr:y>0.89334</cdr:y>
    </cdr:from>
    <cdr:to>
      <cdr:x>0.97409</cdr:x>
      <cdr:y>0.96863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554134" y="3395133"/>
          <a:ext cx="414843" cy="2861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0.91111</cdr:x>
      <cdr:y>0.89867</cdr:y>
    </cdr:from>
    <cdr:to>
      <cdr:x>0.97916</cdr:x>
      <cdr:y>0.97211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554133" y="3500966"/>
          <a:ext cx="414843" cy="2861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0.9059</cdr:x>
      <cdr:y>0.90278</cdr:y>
    </cdr:from>
    <cdr:to>
      <cdr:x>0.97395</cdr:x>
      <cdr:y>0.97582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522383" y="3469217"/>
          <a:ext cx="414843" cy="2806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0.9108</cdr:x>
      <cdr:y>0.89947</cdr:y>
    </cdr:from>
    <cdr:to>
      <cdr:x>0.97909</cdr:x>
      <cdr:y>0.97292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532967" y="3437467"/>
          <a:ext cx="414843" cy="2806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0.91254</cdr:x>
      <cdr:y>0.90475</cdr:y>
    </cdr:from>
    <cdr:to>
      <cdr:x>0.98083</cdr:x>
      <cdr:y>0.9784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543550" y="3448050"/>
          <a:ext cx="414843" cy="2806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0.913</cdr:x>
      <cdr:y>0.89975</cdr:y>
    </cdr:from>
    <cdr:to>
      <cdr:x>0.98093</cdr:x>
      <cdr:y>0.973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575300" y="3448050"/>
          <a:ext cx="414843" cy="2806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0.85298</cdr:x>
      <cdr:y>0.93626</cdr:y>
    </cdr:from>
    <cdr:to>
      <cdr:x>0.91171</cdr:x>
      <cdr:y>0.98554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099550" y="5331883"/>
          <a:ext cx="626533" cy="2806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km/mes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309563</xdr:colOff>
      <xdr:row>0</xdr:row>
      <xdr:rowOff>178594</xdr:rowOff>
    </xdr:from>
    <xdr:to>
      <xdr:col>6</xdr:col>
      <xdr:colOff>690562</xdr:colOff>
      <xdr:row>21</xdr:row>
      <xdr:rowOff>71438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403860</xdr:colOff>
      <xdr:row>22</xdr:row>
      <xdr:rowOff>53340</xdr:rowOff>
    </xdr:from>
    <xdr:to>
      <xdr:col>7</xdr:col>
      <xdr:colOff>22860</xdr:colOff>
      <xdr:row>47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69057</xdr:colOff>
      <xdr:row>59</xdr:row>
      <xdr:rowOff>1905</xdr:rowOff>
    </xdr:from>
    <xdr:to>
      <xdr:col>15</xdr:col>
      <xdr:colOff>130969</xdr:colOff>
      <xdr:row>79</xdr:row>
      <xdr:rowOff>35718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202881</xdr:colOff>
      <xdr:row>81</xdr:row>
      <xdr:rowOff>79534</xdr:rowOff>
    </xdr:from>
    <xdr:to>
      <xdr:col>7</xdr:col>
      <xdr:colOff>333374</xdr:colOff>
      <xdr:row>102</xdr:row>
      <xdr:rowOff>35717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130970</xdr:colOff>
      <xdr:row>1</xdr:row>
      <xdr:rowOff>130968</xdr:rowOff>
    </xdr:from>
    <xdr:to>
      <xdr:col>13</xdr:col>
      <xdr:colOff>750094</xdr:colOff>
      <xdr:row>21</xdr:row>
      <xdr:rowOff>95250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559594</xdr:colOff>
      <xdr:row>1</xdr:row>
      <xdr:rowOff>130970</xdr:rowOff>
    </xdr:from>
    <xdr:to>
      <xdr:col>20</xdr:col>
      <xdr:colOff>464343</xdr:colOff>
      <xdr:row>21</xdr:row>
      <xdr:rowOff>83344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333376</xdr:colOff>
      <xdr:row>25</xdr:row>
      <xdr:rowOff>47626</xdr:rowOff>
    </xdr:from>
    <xdr:to>
      <xdr:col>13</xdr:col>
      <xdr:colOff>333376</xdr:colOff>
      <xdr:row>39</xdr:row>
      <xdr:rowOff>119063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750094</xdr:colOff>
      <xdr:row>25</xdr:row>
      <xdr:rowOff>35719</xdr:rowOff>
    </xdr:from>
    <xdr:to>
      <xdr:col>19</xdr:col>
      <xdr:colOff>190500</xdr:colOff>
      <xdr:row>39</xdr:row>
      <xdr:rowOff>107156</xdr:rowOff>
    </xdr:to>
    <xdr:graphicFrame macro="">
      <xdr:nvGraphicFramePr>
        <xdr:cNvPr id="21" name="2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333375</xdr:colOff>
      <xdr:row>41</xdr:row>
      <xdr:rowOff>0</xdr:rowOff>
    </xdr:from>
    <xdr:to>
      <xdr:col>13</xdr:col>
      <xdr:colOff>333375</xdr:colOff>
      <xdr:row>55</xdr:row>
      <xdr:rowOff>71437</xdr:rowOff>
    </xdr:to>
    <xdr:graphicFrame macro="">
      <xdr:nvGraphicFramePr>
        <xdr:cNvPr id="22" name="2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702469</xdr:colOff>
      <xdr:row>40</xdr:row>
      <xdr:rowOff>178595</xdr:rowOff>
    </xdr:from>
    <xdr:to>
      <xdr:col>19</xdr:col>
      <xdr:colOff>142875</xdr:colOff>
      <xdr:row>55</xdr:row>
      <xdr:rowOff>59532</xdr:rowOff>
    </xdr:to>
    <xdr:graphicFrame macro="">
      <xdr:nvGraphicFramePr>
        <xdr:cNvPr id="23" name="2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226220</xdr:colOff>
      <xdr:row>58</xdr:row>
      <xdr:rowOff>119063</xdr:rowOff>
    </xdr:from>
    <xdr:to>
      <xdr:col>7</xdr:col>
      <xdr:colOff>226219</xdr:colOff>
      <xdr:row>79</xdr:row>
      <xdr:rowOff>0</xdr:rowOff>
    </xdr:to>
    <xdr:graphicFrame macro="">
      <xdr:nvGraphicFramePr>
        <xdr:cNvPr id="24" name="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oneCellAnchor>
    <xdr:from>
      <xdr:col>14</xdr:col>
      <xdr:colOff>681216</xdr:colOff>
      <xdr:row>8</xdr:row>
      <xdr:rowOff>12852</xdr:rowOff>
    </xdr:from>
    <xdr:ext cx="248851" cy="1762855"/>
    <xdr:sp macro="" textlink="">
      <xdr:nvSpPr>
        <xdr:cNvPr id="2" name="1 CuadroTexto"/>
        <xdr:cNvSpPr txBox="1"/>
      </xdr:nvSpPr>
      <xdr:spPr>
        <a:xfrm rot="16200000">
          <a:off x="10592214" y="2293854"/>
          <a:ext cx="1762855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MX" sz="1000"/>
            <a:t>PORCIENTO DE PROPIETARIOS</a:t>
          </a:r>
        </a:p>
      </xdr:txBody>
    </xdr:sp>
    <xdr:clientData/>
  </xdr:one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0.88221</cdr:x>
      <cdr:y>0.89364</cdr:y>
    </cdr:from>
    <cdr:to>
      <cdr:x>0.98446</cdr:x>
      <cdr:y>0.96729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05967" y="3405716"/>
          <a:ext cx="626533" cy="2806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km/mes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0.8816</cdr:x>
      <cdr:y>0.89056</cdr:y>
    </cdr:from>
    <cdr:to>
      <cdr:x>0.98438</cdr:x>
      <cdr:y>0.96441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74217" y="3384550"/>
          <a:ext cx="626533" cy="2806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km/mes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0.88118</cdr:x>
      <cdr:y>0.89117</cdr:y>
    </cdr:from>
    <cdr:to>
      <cdr:x>0.98432</cdr:x>
      <cdr:y>0.96461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53050" y="3405717"/>
          <a:ext cx="626533" cy="2806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km/mes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0.88374</cdr:x>
      <cdr:y>0.89481</cdr:y>
    </cdr:from>
    <cdr:to>
      <cdr:x>0.98616</cdr:x>
      <cdr:y>0.96765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405967" y="3448050"/>
          <a:ext cx="626533" cy="2806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km/mes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0.88507</cdr:x>
      <cdr:y>0.89567</cdr:y>
    </cdr:from>
    <cdr:to>
      <cdr:x>0.98785</cdr:x>
      <cdr:y>0.96791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95384" y="3479800"/>
          <a:ext cx="626533" cy="2806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km/mes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0.8818</cdr:x>
      <cdr:y>0.89699</cdr:y>
    </cdr:from>
    <cdr:to>
      <cdr:x>0.9844</cdr:x>
      <cdr:y>0.97023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5384800" y="3437467"/>
          <a:ext cx="626533" cy="2806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km/mes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0.88007</cdr:x>
      <cdr:y>0.89613</cdr:y>
    </cdr:from>
    <cdr:to>
      <cdr:x>0.98267</cdr:x>
      <cdr:y>0.96998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74216" y="3405716"/>
          <a:ext cx="626533" cy="2806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100" b="1"/>
            <a:t>km/mes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0.21248</cdr:x>
      <cdr:y>0.10874</cdr:y>
    </cdr:from>
    <cdr:to>
      <cdr:x>0.76827</cdr:x>
      <cdr:y>0.24257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2188" y="619126"/>
          <a:ext cx="5917406" cy="762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A EDAD DEL PROPIETARIO MENOS DE 35 AÑOS  (100% = 43)]</a:t>
          </a:r>
          <a:endParaRPr lang="es-MX" sz="800" b="1">
            <a:effectLst/>
          </a:endParaRP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A EDAD DEL PROPIETARIO 35 A 45 AÑOS (100% = 128)]</a:t>
          </a:r>
          <a:endParaRPr lang="es-MX" sz="800" b="1">
            <a:effectLst/>
          </a:endParaRPr>
        </a:p>
        <a:p xmlns:a="http://schemas.openxmlformats.org/drawingml/2006/main">
          <a:pPr algn="ctr"/>
          <a:r>
            <a:rPr lang="es-MX" sz="800" b="1"/>
            <a:t>[% SOBRE</a:t>
          </a:r>
          <a:r>
            <a:rPr lang="es-MX" sz="800" b="1" baseline="0"/>
            <a:t> EL TOTAL DE RESPUESTAS A EDAD DEL PROPIETARIOS 46 A 55 AÑOS (100% =  154)]</a:t>
          </a:r>
        </a:p>
        <a:p xmlns:a="http://schemas.openxmlformats.org/drawingml/2006/main">
          <a:pPr algn="ctr"/>
          <a:r>
            <a:rPr lang="es-MX" sz="800" b="1" baseline="0"/>
            <a:t>[% SOBRE EL TOTAL DE RESPUESTAS A EDAD DEL PROPIETARIO 56 A 60 AÑOS (100% = 42)]</a:t>
          </a:r>
        </a:p>
        <a:p xmlns:a="http://schemas.openxmlformats.org/drawingml/2006/main">
          <a:pPr algn="ctr"/>
          <a:r>
            <a:rPr lang="es-MX" sz="800" b="1" baseline="0"/>
            <a:t>[% SOBRE EL TOTAL DE RESPUESTAS A EDAD DEL PROPIETARIOS MÁS DE 60 AÑOS (100% = 44)]</a:t>
          </a:r>
          <a:endParaRPr lang="es-MX" sz="800" b="1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0.19375</cdr:x>
      <cdr:y>0.03819</cdr:y>
    </cdr:from>
    <cdr:to>
      <cdr:x>0.84375</cdr:x>
      <cdr:y>0.425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28738" y="145504"/>
          <a:ext cx="4457700" cy="14737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s-MX" sz="1400" b="1"/>
            <a:t>GRADO DE IMPORTANCIA PARA FIJAR LA RUTA</a:t>
          </a:r>
        </a:p>
        <a:p xmlns:a="http://schemas.openxmlformats.org/drawingml/2006/main">
          <a:pPr algn="ctr"/>
          <a:r>
            <a:rPr lang="es-MX" sz="1200" b="1"/>
            <a:t>ENCUESTA A PROPIETARIOS</a:t>
          </a:r>
        </a:p>
        <a:p xmlns:a="http://schemas.openxmlformats.org/drawingml/2006/main">
          <a:pPr algn="ctr"/>
          <a:r>
            <a:rPr lang="es-MX" sz="800" b="1"/>
            <a:t>[TOTAL DE RESPUESTAS A IMPORTANCIA DEL TIEMPO PARA FIJAR LA RUTA = 410]</a:t>
          </a:r>
        </a:p>
        <a:p xmlns:a="http://schemas.openxmlformats.org/drawingml/2006/main">
          <a:pPr algn="ctr"/>
          <a:r>
            <a:rPr lang="es-MX" sz="800" b="1"/>
            <a:t>[TOTAL DE RESPUESTAS A IMPORTANCIA DE LA CUOTA PARA FIJAR LA RUTA = 410]</a:t>
          </a:r>
        </a:p>
        <a:p xmlns:a="http://schemas.openxmlformats.org/drawingml/2006/main">
          <a:pPr algn="ctr"/>
          <a:r>
            <a:rPr lang="es-MX" sz="800" b="1"/>
            <a:t>[TOTAL DE RESPUESTAS A IMPORTANCIA DE LA DISTANCIA PARA FIJAR LA RUTA = 408]</a:t>
          </a:r>
        </a:p>
        <a:p xmlns:a="http://schemas.openxmlformats.org/drawingml/2006/main">
          <a:pPr algn="ctr"/>
          <a:r>
            <a:rPr lang="es-MX" sz="800" b="1"/>
            <a:t>[TOTAL DE RESPUESTAS</a:t>
          </a:r>
          <a:r>
            <a:rPr lang="es-MX" sz="800" b="1" baseline="0"/>
            <a:t> DE LA IMPORTANCIA DE LA SEGURIDAD PARA FIJAR LA RUTA = 73]</a:t>
          </a:r>
          <a:endParaRPr lang="es-MX" sz="800" b="1"/>
        </a:p>
      </cdr:txBody>
    </cdr:sp>
  </cdr:relSizeAnchor>
  <cdr:relSizeAnchor xmlns:cdr="http://schemas.openxmlformats.org/drawingml/2006/chartDrawing">
    <cdr:from>
      <cdr:x>0.02495</cdr:x>
      <cdr:y>0.30444</cdr:y>
    </cdr:from>
    <cdr:to>
      <cdr:x>0.05427</cdr:x>
      <cdr:y>0.70756</cdr:y>
    </cdr:to>
    <cdr:sp macro="" textlink="">
      <cdr:nvSpPr>
        <cdr:cNvPr id="3" name="2 CuadroTexto"/>
        <cdr:cNvSpPr txBox="1"/>
      </cdr:nvSpPr>
      <cdr:spPr>
        <a:xfrm xmlns:a="http://schemas.openxmlformats.org/drawingml/2006/main" rot="16200000">
          <a:off x="-596856" y="2275486"/>
          <a:ext cx="1919842" cy="2687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MX" sz="1000" b="1"/>
            <a:t>CANTIDAD DE </a:t>
          </a:r>
          <a:r>
            <a:rPr lang="es-MX" sz="1000" b="1" i="0" baseline="0"/>
            <a:t>PROPIETARIOS</a:t>
          </a:r>
        </a:p>
      </cdr:txBody>
    </cdr:sp>
  </cdr:relSizeAnchor>
  <cdr:relSizeAnchor xmlns:cdr="http://schemas.openxmlformats.org/drawingml/2006/chartDrawing">
    <cdr:from>
      <cdr:x>0.12298</cdr:x>
      <cdr:y>0.88264</cdr:y>
    </cdr:from>
    <cdr:to>
      <cdr:x>0.85797</cdr:x>
      <cdr:y>0.92507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1127132" y="4203572"/>
          <a:ext cx="6736306" cy="2020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MX" sz="900" b="1"/>
            <a:t>GRADO DE IMPORTANCIA [1 = MÁS IMPORTANTE; 4 =  MENOS IMPORTANTE]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0.15304</cdr:x>
      <cdr:y>0.1</cdr:y>
    </cdr:from>
    <cdr:to>
      <cdr:x>0.82609</cdr:x>
      <cdr:y>0.27222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31332" y="381000"/>
          <a:ext cx="4095750" cy="6561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DE PROPIETARIOS CON UNA UNIDAD (100% = 202)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 PROPIETARIOS CON DOS UNIDADES (100% = 85)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PROPIETARIOS CON TRES A CINCO UNIDADES (100% = 90)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PROPIETARIOS CON SEIS A TREINTA UNIDADES (100% = 34)]</a:t>
          </a:r>
          <a:endParaRPr lang="es-MX" sz="8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0.06422</cdr:x>
      <cdr:y>0.85506</cdr:y>
    </cdr:from>
    <cdr:to>
      <cdr:x>0.88532</cdr:x>
      <cdr:y>0.92089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33375" y="3217068"/>
          <a:ext cx="4262438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MX" sz="1050"/>
            <a:t>CANTIDAD</a:t>
          </a:r>
          <a:r>
            <a:rPr lang="es-MX" sz="1050" baseline="0"/>
            <a:t> DE VIAJES PARA CLIENTES REGULARES, DE CADA 10 VIAJES</a:t>
          </a:r>
          <a:endParaRPr lang="es-MX" sz="1050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0.21875</cdr:x>
      <cdr:y>0.13496</cdr:y>
    </cdr:from>
    <cdr:to>
      <cdr:x>0.78241</cdr:x>
      <cdr:y>0.27434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00250" y="645584"/>
          <a:ext cx="5154083" cy="666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 rtl="0"/>
          <a:r>
            <a:rPr lang="es-MX" sz="800"/>
            <a:t>[</a:t>
          </a:r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PARA UNIDADES DE PROPIETARIOS CON UNA UNIDAD (100% = 209)]</a:t>
          </a:r>
          <a:endParaRPr lang="es-MX" sz="800">
            <a:effectLst/>
          </a:endParaRP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[PROPIETARIOS CON DOS UNIDADES (100% = 160)]</a:t>
          </a:r>
          <a:endParaRPr lang="es-MX" sz="800">
            <a:effectLst/>
          </a:endParaRP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[PROPIETARIOS CON TRES A CINCO UNIDADES (100% = 323)]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[PROPIETARIOS CON SEIS A TREINTA UNIDADES (100% = 288)]</a:t>
          </a:r>
          <a:endParaRPr lang="es-MX" sz="8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0.10243</cdr:x>
      <cdr:y>0.16944</cdr:y>
    </cdr:from>
    <cdr:to>
      <cdr:x>0.88542</cdr:x>
      <cdr:y>0.34167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624417" y="645582"/>
          <a:ext cx="4773082" cy="656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PARA UNIDADES DE PROPIETARIOS CON UNA UNIDAD (100% = 209)]</a:t>
          </a:r>
          <a:endParaRPr lang="es-MX" sz="800">
            <a:effectLst/>
          </a:endParaRP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[PROPIETARIOS CON DOS UNIDADES (100% = 160)]</a:t>
          </a:r>
          <a:endParaRPr lang="es-MX" sz="800">
            <a:effectLst/>
          </a:endParaRP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[PROPIETARIOS CON TRES A CINCO UNIDADES (100% = 323)]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[PROPIETARIOS CON SEIS A TREINTA UNIDADES (100% = 288)]</a:t>
          </a:r>
          <a:endParaRPr lang="es-MX" sz="800">
            <a:effectLst/>
          </a:endParaRPr>
        </a:p>
        <a:p xmlns:a="http://schemas.openxmlformats.org/drawingml/2006/main">
          <a:pPr algn="ctr"/>
          <a:endParaRPr lang="es-MX" sz="8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0.15954</cdr:x>
      <cdr:y>0.12473</cdr:y>
    </cdr:from>
    <cdr:to>
      <cdr:x>0.84046</cdr:x>
      <cdr:y>0.25164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460500" y="603249"/>
          <a:ext cx="6233583" cy="6138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PARA UNIDADES DE PROPIETARIOS CON UNA UNIDAD (100% = 206)]</a:t>
          </a:r>
          <a:endParaRPr lang="es-MX" sz="800" b="1">
            <a:effectLst/>
          </a:endParaRP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[PROPIETARIOS CON DOS UNIDADES (100% = 154)]</a:t>
          </a:r>
          <a:endParaRPr lang="es-MX" sz="800" b="1">
            <a:effectLst/>
          </a:endParaRP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[PROPIETARIOS CON TRES A CINCO UNIDADES (100% = 318)]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[PROPIETARIOS CON SEIS A TREINTA UNIDADES (100% = 264)]</a:t>
          </a:r>
          <a:endParaRPr lang="es-MX" sz="800" b="1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0.16705</cdr:x>
      <cdr:y>0.13333</cdr:y>
    </cdr:from>
    <cdr:to>
      <cdr:x>0.84107</cdr:x>
      <cdr:y>0.26222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523999" y="635000"/>
          <a:ext cx="6148917" cy="6138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PARA UNIDADES DE PROPIETARIOS CON UNA UNIDAD (100% = 41)]</a:t>
          </a:r>
          <a:endParaRPr lang="es-MX" sz="800" b="1">
            <a:effectLst/>
          </a:endParaRP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[PROPIETARIOS CON DOS UNIDADES (100% = 48)]</a:t>
          </a:r>
          <a:endParaRPr lang="es-MX" sz="800" b="1">
            <a:effectLst/>
          </a:endParaRP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[PROPIETARIOS CON TRES A CINCO UNIDADES (100% = 69)]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[PROPIETARIOS CON SEIS A TREINTA UNIDADES (100% = 47)]</a:t>
          </a:r>
          <a:endParaRPr lang="es-MX" sz="800" b="1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0.22775</cdr:x>
      <cdr:y>0.1252</cdr:y>
    </cdr:from>
    <cdr:to>
      <cdr:x>0.78266</cdr:x>
      <cdr:y>0.2524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84917" y="593727"/>
          <a:ext cx="5080000" cy="603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PARA UNIDADES DE PROPIETARIOS CON UNA UNIDAD (100% = 2)]</a:t>
          </a:r>
          <a:endParaRPr lang="es-MX" sz="800">
            <a:effectLst/>
          </a:endParaRP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[PROPIETARIOS CON DOS UNIDADES (100% = 7)]</a:t>
          </a:r>
          <a:endParaRPr lang="es-MX" sz="800">
            <a:effectLst/>
          </a:endParaRP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[PROPIETARIOS CON TRES A CINCO UNIDADES (100% = 28)]</a:t>
          </a:r>
          <a:endParaRPr lang="es-MX" sz="800">
            <a:effectLst/>
          </a:endParaRP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[PROPIETARIOS CON SEIS A TREINTA UNIDADES (100% = 6)]</a:t>
          </a:r>
          <a:endParaRPr lang="es-MX" sz="8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0.24334</cdr:x>
      <cdr:y>0.12576</cdr:y>
    </cdr:from>
    <cdr:to>
      <cdr:x>0.76014</cdr:x>
      <cdr:y>0.25801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22501" y="593727"/>
          <a:ext cx="4720166" cy="6244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PARA UNIDADES DE PROPIETARIOS CON UNA UNIDAD (100% = 81)]</a:t>
          </a:r>
          <a:endParaRPr lang="es-MX" sz="800">
            <a:effectLst/>
          </a:endParaRP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[PROPIETARIOS CON DOS UNIDADES (100% = 63)]</a:t>
          </a:r>
          <a:endParaRPr lang="es-MX" sz="800">
            <a:effectLst/>
          </a:endParaRP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[PROPIETARIOS CON TRES A CINCO UNIDADES (100% = 163)]</a:t>
          </a:r>
          <a:endParaRPr lang="es-MX" sz="800">
            <a:effectLst/>
          </a:endParaRP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[PROPIETARIOS CON SEIS A TREINTA UNIDADES (100% = 191)]</a:t>
          </a:r>
          <a:endParaRPr lang="es-MX" sz="8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0.17688</cdr:x>
      <cdr:y>0.12492</cdr:y>
    </cdr:from>
    <cdr:to>
      <cdr:x>0.81272</cdr:x>
      <cdr:y>0.26297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619251" y="593726"/>
          <a:ext cx="5820834" cy="6561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s-MX" sz="800" b="1"/>
            <a:t>[% SOBRE EL TOTAL DE RESPUESTAS PARA UNIDADES DE PROPIETARIOS CON UNA UNIDAD (100% = 202)]</a:t>
          </a:r>
        </a:p>
        <a:p xmlns:a="http://schemas.openxmlformats.org/drawingml/2006/main">
          <a:pPr algn="ctr"/>
          <a:r>
            <a:rPr lang="es-MX" sz="800" b="1"/>
            <a:t>[PROPIETARIOS CON DOS UNIDADES (100%</a:t>
          </a:r>
          <a:r>
            <a:rPr lang="es-MX" sz="800" b="1" baseline="0"/>
            <a:t> = 154)]</a:t>
          </a:r>
        </a:p>
        <a:p xmlns:a="http://schemas.openxmlformats.org/drawingml/2006/main">
          <a:pPr algn="ctr"/>
          <a:r>
            <a:rPr lang="es-MX" sz="800" b="1" baseline="0"/>
            <a:t>[PROPIETARIOS CON TRES A CINCO UNIDADES (100% = 317)]</a:t>
          </a:r>
        </a:p>
        <a:p xmlns:a="http://schemas.openxmlformats.org/drawingml/2006/main">
          <a:pPr algn="ctr"/>
          <a:r>
            <a:rPr lang="es-MX" sz="800" b="1" baseline="0"/>
            <a:t>[PROPIETARIOS CON SEIS A TREINTA UNIDADES (100% = 264)]</a:t>
          </a:r>
          <a:endParaRPr lang="es-MX" sz="800" b="1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0.17917</cdr:x>
      <cdr:y>0.12033</cdr:y>
    </cdr:from>
    <cdr:to>
      <cdr:x>0.81574</cdr:x>
      <cdr:y>0.259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638300" y="569383"/>
          <a:ext cx="5820834" cy="6561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800" b="1"/>
            <a:t>[% SOBRE EL TOTAL DE RESPUESTAS PARA UNIDADES DE PROPIETARIOS CON UNA UNIDAD (100% = 209)]</a:t>
          </a:r>
        </a:p>
        <a:p xmlns:a="http://schemas.openxmlformats.org/drawingml/2006/main">
          <a:pPr algn="ctr"/>
          <a:r>
            <a:rPr lang="es-MX" sz="800" b="1"/>
            <a:t>[PROPIETARIOS CON DOS UNIDADES (100%</a:t>
          </a:r>
          <a:r>
            <a:rPr lang="es-MX" sz="800" b="1" baseline="0"/>
            <a:t> = 160)]</a:t>
          </a:r>
        </a:p>
        <a:p xmlns:a="http://schemas.openxmlformats.org/drawingml/2006/main">
          <a:pPr algn="ctr"/>
          <a:r>
            <a:rPr lang="es-MX" sz="800" b="1" baseline="0"/>
            <a:t>[PROPIETARIOS CON TRES A CINCO UNIDADES (100% = 323)]</a:t>
          </a:r>
        </a:p>
        <a:p xmlns:a="http://schemas.openxmlformats.org/drawingml/2006/main">
          <a:pPr algn="ctr"/>
          <a:r>
            <a:rPr lang="es-MX" sz="800" b="1" baseline="0"/>
            <a:t>[PROPIETARIOS CON SEIS A TREINTA UNIDADES (100% = 288)]</a:t>
          </a:r>
          <a:endParaRPr lang="es-MX" sz="800" b="1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0.1898</cdr:x>
      <cdr:y>0.12175</cdr:y>
    </cdr:from>
    <cdr:to>
      <cdr:x>0.82711</cdr:x>
      <cdr:y>0.2595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733550" y="579967"/>
          <a:ext cx="5820834" cy="6561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MX" sz="800" b="1"/>
            <a:t>[% SOBRE EL TOTAL DE RESPUESTAS PARA UNIDADES DE PROPIETARIOS CON UNA UNIDAD (100% = 209)]</a:t>
          </a:r>
        </a:p>
        <a:p xmlns:a="http://schemas.openxmlformats.org/drawingml/2006/main">
          <a:pPr algn="ctr"/>
          <a:r>
            <a:rPr lang="es-MX" sz="800" b="1"/>
            <a:t>[PROPIETARIOS CON DOS UNIDADES (100%</a:t>
          </a:r>
          <a:r>
            <a:rPr lang="es-MX" sz="800" b="1" baseline="0"/>
            <a:t> = 160)]</a:t>
          </a:r>
        </a:p>
        <a:p xmlns:a="http://schemas.openxmlformats.org/drawingml/2006/main">
          <a:pPr algn="ctr"/>
          <a:r>
            <a:rPr lang="es-MX" sz="800" b="1" baseline="0"/>
            <a:t>[PROPIETARIOS CON TRES A CINCO UNIDADES (100% = 323)]</a:t>
          </a:r>
        </a:p>
        <a:p xmlns:a="http://schemas.openxmlformats.org/drawingml/2006/main">
          <a:pPr algn="ctr"/>
          <a:r>
            <a:rPr lang="es-MX" sz="800" b="1" baseline="0"/>
            <a:t>[PROPIETARIOS CON SEIS A TREINTA UNIDADES (100% = 288)]</a:t>
          </a:r>
          <a:endParaRPr lang="es-MX" sz="800" b="1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0.27323</cdr:x>
      <cdr:y>0.09085</cdr:y>
    </cdr:from>
    <cdr:to>
      <cdr:x>0.72167</cdr:x>
      <cdr:y>0.2289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495550" y="431800"/>
          <a:ext cx="4095789" cy="6561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DE PROPIETARIOS CON UNA UNIDAD (100% = 251)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 PROPIETARIOS CON DOS UNIDADES (100% = 130)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PROPIETARIOS CON TRES A CINCO UNIDADES (100% = 150)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PROPIETARIOS CON SEIS A TREINTA UNIDADES (100% = 59)]</a:t>
          </a:r>
          <a:endParaRPr lang="es-MX" sz="8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1</xdr:row>
      <xdr:rowOff>33337</xdr:rowOff>
    </xdr:from>
    <xdr:to>
      <xdr:col>8</xdr:col>
      <xdr:colOff>28575</xdr:colOff>
      <xdr:row>19</xdr:row>
      <xdr:rowOff>180975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21</xdr:row>
      <xdr:rowOff>14287</xdr:rowOff>
    </xdr:from>
    <xdr:to>
      <xdr:col>8</xdr:col>
      <xdr:colOff>19050</xdr:colOff>
      <xdr:row>41</xdr:row>
      <xdr:rowOff>161925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752474</xdr:colOff>
      <xdr:row>43</xdr:row>
      <xdr:rowOff>185737</xdr:rowOff>
    </xdr:from>
    <xdr:to>
      <xdr:col>7</xdr:col>
      <xdr:colOff>742949</xdr:colOff>
      <xdr:row>63</xdr:row>
      <xdr:rowOff>180975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733425</xdr:colOff>
      <xdr:row>65</xdr:row>
      <xdr:rowOff>14287</xdr:rowOff>
    </xdr:from>
    <xdr:to>
      <xdr:col>7</xdr:col>
      <xdr:colOff>752475</xdr:colOff>
      <xdr:row>83</xdr:row>
      <xdr:rowOff>142875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733425</xdr:colOff>
      <xdr:row>86</xdr:row>
      <xdr:rowOff>14287</xdr:rowOff>
    </xdr:from>
    <xdr:to>
      <xdr:col>8</xdr:col>
      <xdr:colOff>28575</xdr:colOff>
      <xdr:row>107</xdr:row>
      <xdr:rowOff>9525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723899</xdr:colOff>
      <xdr:row>107</xdr:row>
      <xdr:rowOff>185737</xdr:rowOff>
    </xdr:from>
    <xdr:to>
      <xdr:col>8</xdr:col>
      <xdr:colOff>66674</xdr:colOff>
      <xdr:row>128</xdr:row>
      <xdr:rowOff>28575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704849</xdr:colOff>
      <xdr:row>1</xdr:row>
      <xdr:rowOff>4762</xdr:rowOff>
    </xdr:from>
    <xdr:to>
      <xdr:col>16</xdr:col>
      <xdr:colOff>9524</xdr:colOff>
      <xdr:row>20</xdr:row>
      <xdr:rowOff>19050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695325</xdr:colOff>
      <xdr:row>21</xdr:row>
      <xdr:rowOff>119061</xdr:rowOff>
    </xdr:from>
    <xdr:to>
      <xdr:col>16</xdr:col>
      <xdr:colOff>66675</xdr:colOff>
      <xdr:row>41</xdr:row>
      <xdr:rowOff>180974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723900</xdr:colOff>
      <xdr:row>44</xdr:row>
      <xdr:rowOff>42862</xdr:rowOff>
    </xdr:from>
    <xdr:to>
      <xdr:col>16</xdr:col>
      <xdr:colOff>57150</xdr:colOff>
      <xdr:row>63</xdr:row>
      <xdr:rowOff>171450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685799</xdr:colOff>
      <xdr:row>0</xdr:row>
      <xdr:rowOff>119061</xdr:rowOff>
    </xdr:from>
    <xdr:to>
      <xdr:col>29</xdr:col>
      <xdr:colOff>47625</xdr:colOff>
      <xdr:row>27</xdr:row>
      <xdr:rowOff>47624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733425</xdr:colOff>
      <xdr:row>29</xdr:row>
      <xdr:rowOff>176211</xdr:rowOff>
    </xdr:from>
    <xdr:to>
      <xdr:col>25</xdr:col>
      <xdr:colOff>104775</xdr:colOff>
      <xdr:row>50</xdr:row>
      <xdr:rowOff>66674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752474</xdr:colOff>
      <xdr:row>0</xdr:row>
      <xdr:rowOff>109537</xdr:rowOff>
    </xdr:from>
    <xdr:to>
      <xdr:col>37</xdr:col>
      <xdr:colOff>647700</xdr:colOff>
      <xdr:row>25</xdr:row>
      <xdr:rowOff>104775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9524</xdr:colOff>
      <xdr:row>28</xdr:row>
      <xdr:rowOff>4762</xdr:rowOff>
    </xdr:from>
    <xdr:to>
      <xdr:col>37</xdr:col>
      <xdr:colOff>609599</xdr:colOff>
      <xdr:row>52</xdr:row>
      <xdr:rowOff>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48</xdr:col>
      <xdr:colOff>9525</xdr:colOff>
      <xdr:row>1</xdr:row>
      <xdr:rowOff>14286</xdr:rowOff>
    </xdr:from>
    <xdr:to>
      <xdr:col>56</xdr:col>
      <xdr:colOff>619125</xdr:colOff>
      <xdr:row>25</xdr:row>
      <xdr:rowOff>95249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48</xdr:col>
      <xdr:colOff>95249</xdr:colOff>
      <xdr:row>26</xdr:row>
      <xdr:rowOff>166687</xdr:rowOff>
    </xdr:from>
    <xdr:to>
      <xdr:col>56</xdr:col>
      <xdr:colOff>657224</xdr:colOff>
      <xdr:row>48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48</xdr:col>
      <xdr:colOff>104775</xdr:colOff>
      <xdr:row>50</xdr:row>
      <xdr:rowOff>33336</xdr:rowOff>
    </xdr:from>
    <xdr:to>
      <xdr:col>56</xdr:col>
      <xdr:colOff>657225</xdr:colOff>
      <xdr:row>74</xdr:row>
      <xdr:rowOff>57149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48</xdr:col>
      <xdr:colOff>114299</xdr:colOff>
      <xdr:row>76</xdr:row>
      <xdr:rowOff>33337</xdr:rowOff>
    </xdr:from>
    <xdr:to>
      <xdr:col>56</xdr:col>
      <xdr:colOff>676274</xdr:colOff>
      <xdr:row>98</xdr:row>
      <xdr:rowOff>161925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48</xdr:col>
      <xdr:colOff>152400</xdr:colOff>
      <xdr:row>100</xdr:row>
      <xdr:rowOff>4762</xdr:rowOff>
    </xdr:from>
    <xdr:to>
      <xdr:col>56</xdr:col>
      <xdr:colOff>685800</xdr:colOff>
      <xdr:row>122</xdr:row>
      <xdr:rowOff>152400</xdr:rowOff>
    </xdr:to>
    <xdr:graphicFrame macro="">
      <xdr:nvGraphicFramePr>
        <xdr:cNvPr id="20" name="1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58</xdr:col>
      <xdr:colOff>11906</xdr:colOff>
      <xdr:row>1</xdr:row>
      <xdr:rowOff>3571</xdr:rowOff>
    </xdr:from>
    <xdr:to>
      <xdr:col>65</xdr:col>
      <xdr:colOff>476249</xdr:colOff>
      <xdr:row>21</xdr:row>
      <xdr:rowOff>47625</xdr:rowOff>
    </xdr:to>
    <xdr:graphicFrame macro="">
      <xdr:nvGraphicFramePr>
        <xdr:cNvPr id="21" name="2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58</xdr:col>
      <xdr:colOff>0</xdr:colOff>
      <xdr:row>23</xdr:row>
      <xdr:rowOff>134539</xdr:rowOff>
    </xdr:from>
    <xdr:to>
      <xdr:col>67</xdr:col>
      <xdr:colOff>11906</xdr:colOff>
      <xdr:row>49</xdr:row>
      <xdr:rowOff>130968</xdr:rowOff>
    </xdr:to>
    <xdr:graphicFrame macro="">
      <xdr:nvGraphicFramePr>
        <xdr:cNvPr id="22" name="2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68</xdr:col>
      <xdr:colOff>11907</xdr:colOff>
      <xdr:row>0</xdr:row>
      <xdr:rowOff>134541</xdr:rowOff>
    </xdr:from>
    <xdr:to>
      <xdr:col>76</xdr:col>
      <xdr:colOff>23813</xdr:colOff>
      <xdr:row>23</xdr:row>
      <xdr:rowOff>11906</xdr:rowOff>
    </xdr:to>
    <xdr:graphicFrame macro="">
      <xdr:nvGraphicFramePr>
        <xdr:cNvPr id="23" name="2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68</xdr:col>
      <xdr:colOff>190499</xdr:colOff>
      <xdr:row>28</xdr:row>
      <xdr:rowOff>63102</xdr:rowOff>
    </xdr:from>
    <xdr:to>
      <xdr:col>76</xdr:col>
      <xdr:colOff>35718</xdr:colOff>
      <xdr:row>53</xdr:row>
      <xdr:rowOff>35719</xdr:rowOff>
    </xdr:to>
    <xdr:graphicFrame macro="">
      <xdr:nvGraphicFramePr>
        <xdr:cNvPr id="24" name="2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59531</xdr:colOff>
      <xdr:row>0</xdr:row>
      <xdr:rowOff>119063</xdr:rowOff>
    </xdr:from>
    <xdr:to>
      <xdr:col>46</xdr:col>
      <xdr:colOff>523874</xdr:colOff>
      <xdr:row>25</xdr:row>
      <xdr:rowOff>119063</xdr:rowOff>
    </xdr:to>
    <xdr:graphicFrame macro="">
      <xdr:nvGraphicFramePr>
        <xdr:cNvPr id="27" name="2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71439</xdr:colOff>
      <xdr:row>27</xdr:row>
      <xdr:rowOff>166688</xdr:rowOff>
    </xdr:from>
    <xdr:to>
      <xdr:col>45</xdr:col>
      <xdr:colOff>178595</xdr:colOff>
      <xdr:row>50</xdr:row>
      <xdr:rowOff>130970</xdr:rowOff>
    </xdr:to>
    <xdr:graphicFrame macro="">
      <xdr:nvGraphicFramePr>
        <xdr:cNvPr id="28" name="2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0.2825</cdr:x>
      <cdr:y>0.09998</cdr:y>
    </cdr:from>
    <cdr:to>
      <cdr:x>0.73094</cdr:x>
      <cdr:y>0.23834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80217" y="474133"/>
          <a:ext cx="4095789" cy="6561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DE PROPIETARIOS CON UNA UNIDAD (100% = 271)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 PROPIETARIOS CON DOS UNIDADES (100% = 116)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PROPIETARIOS CON TRES A CINCO UNIDADES (100% = 137)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PROPIETARIOS CON SEIS A TREINTA UNIDADES (100% = 35)]</a:t>
          </a:r>
          <a:endParaRPr lang="es-MX" sz="8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0.27921</cdr:x>
      <cdr:y>0.08882</cdr:y>
    </cdr:from>
    <cdr:to>
      <cdr:x>0.7261</cdr:x>
      <cdr:y>0.22718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59050" y="421217"/>
          <a:ext cx="4095789" cy="6561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DE PROPIETARIOS CON UNA UNIDAD (100% = 54)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 PROPIETARIOS CON DOS UNIDADES (100% = 36)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PROPIETARIOS CON TRES A CINCO UNIDADES (100% = 46)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PROPIETARIOS CON SEIS A TREINTA UNIDADES (100% = 22)]</a:t>
          </a:r>
          <a:endParaRPr lang="es-MX" sz="8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0.26767</cdr:x>
      <cdr:y>0.1017</cdr:y>
    </cdr:from>
    <cdr:to>
      <cdr:x>0.75447</cdr:x>
      <cdr:y>0.20518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2134" y="598554"/>
          <a:ext cx="4095789" cy="609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UNIDADES ANTERIORES A 1991 (100% = 104)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UNIDADES ENTRE 1991 Y 1993 (100% = 50); UNIDADES ENTRE 1994 Y1997 (100% = 109)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UNIDADES ENTRE 1998 Y 2003 (100% = 245); UNIDADES ENTRE 2004 Y 2006 (100% = 148)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UNIDADES ENTRE 2007 Y 2010 (100% = 224); UNIDADES 2011 EN ADELANTE (100% = 100)]</a:t>
          </a:r>
          <a:endParaRPr lang="es-MX" sz="8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0.26397</cdr:x>
      <cdr:y>0.10894</cdr:y>
    </cdr:from>
    <cdr:to>
      <cdr:x>0.75323</cdr:x>
      <cdr:y>0.21205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9800" y="643467"/>
          <a:ext cx="4095789" cy="609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UNIDADES ANTERIORES A 1991 (100% = 104)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UNIDADES ENTRE 1991 Y 1993 (100% = 48); UNIDADES ENTRE 1994 Y1997 (100% = 108)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UNIDADES ENTRE 1998 Y 2003 (100% = 244); UNIDADES ENTRE 2004 Y 2006 (100% = 148)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UNIDADES ENTRE 2007 Y 2010 (100% = 224); UNIDADES 2011 EN ADELANTE (100% = 100)]</a:t>
          </a:r>
          <a:endParaRPr lang="es-MX" sz="8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0.25603</cdr:x>
      <cdr:y>0.10016</cdr:y>
    </cdr:from>
    <cdr:to>
      <cdr:x>0.74222</cdr:x>
      <cdr:y>0.20345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56883" y="590550"/>
          <a:ext cx="4095789" cy="609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UNIDADES ANTERIORES A 1991 (100% = 104)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UNIDADES ENTRE 1991 Y 1993 (100% = 47); UNIDADES ENTRE 1994 Y1997 (100% = 105)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UNIDADES ENTRE 1998 Y 2003 (100% = 243); UNIDADES ENTRE 2004 Y 2006 (100% = 146)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UNIDADES ENTRE 2007 Y 2010 (100% = 224); UNIDADES 2011 EN ADELANTE (100% = 100)]</a:t>
          </a:r>
          <a:endParaRPr lang="es-MX" sz="8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0.25668</cdr:x>
      <cdr:y>0.10196</cdr:y>
    </cdr:from>
    <cdr:to>
      <cdr:x>0.74409</cdr:x>
      <cdr:y>0.20525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56883" y="601133"/>
          <a:ext cx="4095789" cy="609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UNIDADES ANTERIORES A 1991 (100% = 104)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UNIDADES ENTRE 1991 Y 1993 (100% = 48); UNIDADES ENTRE 1994 Y1997 (100% = 105)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UNIDADES ENTRE 1998 Y 2003 (100% = 244); UNIDADES ENTRE 2004 Y 2006 (100% = 146)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UNIDADES ENTRE 2007 Y 2010 (100% = 224); UNIDADES 2011 EN ADELANTE (100% = 76)]</a:t>
          </a:r>
          <a:endParaRPr lang="es-MX" sz="8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0.26884</cdr:x>
      <cdr:y>0.12453</cdr:y>
    </cdr:from>
    <cdr:to>
      <cdr:x>0.7532</cdr:x>
      <cdr:y>0.22116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73300" y="590550"/>
          <a:ext cx="4095789" cy="458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UNIDADES TIPO C2 (100% = 210)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UNIDADES TIPO C3 (100% = 196); UNIDADES TIPO T2 (100% = 43)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UNIDADES TIPO T3 (100% = 531)]</a:t>
          </a:r>
          <a:endParaRPr lang="es-MX" sz="8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0.26684</cdr:x>
      <cdr:y>0.13508</cdr:y>
    </cdr:from>
    <cdr:to>
      <cdr:x>0.75671</cdr:x>
      <cdr:y>0.23128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30967" y="643467"/>
          <a:ext cx="4095789" cy="458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UNIDADES TIPO C2 (100% = 209)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UNIDADES TIPO C3 (100% = 195); UNIDADES TIPO T2 (100% = 43)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UNIDADES TIPO T3 (100% = 529)]</a:t>
          </a:r>
          <a:endParaRPr lang="es-MX" sz="8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0.2599</cdr:x>
      <cdr:y>0.12757</cdr:y>
    </cdr:from>
    <cdr:to>
      <cdr:x>0.75102</cdr:x>
      <cdr:y>0.22313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67466" y="611718"/>
          <a:ext cx="4095789" cy="458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UNIDADES TIPO C2 (100% = 205)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UNIDADES TIPO C3 (100% = 194); UNIDADES TIPO T2 (100% = 43)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UNIDADES TIPO T3 (100% = 527)]</a:t>
          </a:r>
          <a:endParaRPr lang="es-MX" sz="8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0.2621</cdr:x>
      <cdr:y>0.13181</cdr:y>
    </cdr:from>
    <cdr:to>
      <cdr:x>0.7526</cdr:x>
      <cdr:y>0.22887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88633" y="622300"/>
          <a:ext cx="4095789" cy="458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[% SOBRE EL TOTAL DE RESPUESTAS UNIDADES TIPO C2 (100% = 206)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UNIDADES TIPO C3 (100% = 195); UNIDADES TIPO T2 (100% = 43) </a:t>
          </a:r>
        </a:p>
        <a:p xmlns:a="http://schemas.openxmlformats.org/drawingml/2006/main">
          <a:pPr algn="ctr" rtl="0"/>
          <a:r>
            <a:rPr lang="es-MX" sz="800" b="1" i="0" baseline="0">
              <a:effectLst/>
              <a:latin typeface="+mn-lt"/>
              <a:ea typeface="+mn-ea"/>
              <a:cs typeface="+mn-cs"/>
            </a:rPr>
            <a:t>UNIDADES TIPO T3 (100% = 503)]</a:t>
          </a:r>
          <a:endParaRPr lang="es-MX" sz="8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ase%20de%20datos%20investigaci&#243;n%20Conducto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CUESTA CONDUCTORES"/>
      <sheetName val="FORMULAS"/>
      <sheetName val="GRÁFICAS"/>
      <sheetName val="FORMULAS FEB"/>
      <sheetName val="GRAFICAS FEB"/>
      <sheetName val="0,1"/>
    </sheetNames>
    <sheetDataSet>
      <sheetData sheetId="0">
        <row r="7">
          <cell r="F7" t="str">
            <v>X</v>
          </cell>
          <cell r="N7" t="str">
            <v>OAXACA</v>
          </cell>
          <cell r="O7">
            <v>8</v>
          </cell>
          <cell r="Q7" t="str">
            <v>X</v>
          </cell>
          <cell r="U7" t="str">
            <v>X</v>
          </cell>
          <cell r="AH7">
            <v>1978</v>
          </cell>
          <cell r="AI7">
            <v>2150000</v>
          </cell>
          <cell r="AT7" t="str">
            <v>CHEVROLET</v>
          </cell>
          <cell r="AV7">
            <v>0.5</v>
          </cell>
          <cell r="AX7">
            <v>1.7</v>
          </cell>
          <cell r="BE7">
            <v>6000</v>
          </cell>
          <cell r="BF7">
            <v>7000</v>
          </cell>
          <cell r="BG7">
            <v>15000</v>
          </cell>
          <cell r="BH7">
            <v>80000</v>
          </cell>
          <cell r="BI7">
            <v>15000</v>
          </cell>
          <cell r="BJ7" t="str">
            <v>X</v>
          </cell>
          <cell r="BO7" t="str">
            <v>X</v>
          </cell>
          <cell r="BU7" t="str">
            <v>X</v>
          </cell>
          <cell r="BX7">
            <v>1</v>
          </cell>
          <cell r="BY7">
            <v>3</v>
          </cell>
          <cell r="BZ7">
            <v>2</v>
          </cell>
          <cell r="DD7">
            <v>2</v>
          </cell>
        </row>
        <row r="8">
          <cell r="G8" t="str">
            <v>X</v>
          </cell>
          <cell r="N8" t="str">
            <v>PUEBLA</v>
          </cell>
          <cell r="O8">
            <v>22</v>
          </cell>
          <cell r="Q8" t="str">
            <v>X</v>
          </cell>
          <cell r="Y8" t="str">
            <v>X</v>
          </cell>
          <cell r="AH8">
            <v>1986</v>
          </cell>
          <cell r="AI8">
            <v>980000</v>
          </cell>
          <cell r="AT8" t="str">
            <v>INTERNATIONAL</v>
          </cell>
          <cell r="AV8">
            <v>0.5</v>
          </cell>
          <cell r="AX8">
            <v>1.5</v>
          </cell>
          <cell r="BE8">
            <v>8000</v>
          </cell>
          <cell r="BF8">
            <v>6000</v>
          </cell>
          <cell r="BG8">
            <v>10000</v>
          </cell>
          <cell r="BH8">
            <v>90000</v>
          </cell>
          <cell r="BI8">
            <v>10000</v>
          </cell>
          <cell r="BR8" t="str">
            <v>X</v>
          </cell>
          <cell r="BU8" t="str">
            <v>X</v>
          </cell>
          <cell r="BX8">
            <v>2</v>
          </cell>
          <cell r="BY8">
            <v>3</v>
          </cell>
          <cell r="BZ8">
            <v>1</v>
          </cell>
          <cell r="DD8">
            <v>3</v>
          </cell>
        </row>
        <row r="9">
          <cell r="G9" t="str">
            <v>X</v>
          </cell>
          <cell r="N9" t="str">
            <v>CHIAPAS</v>
          </cell>
          <cell r="O9">
            <v>30</v>
          </cell>
          <cell r="AH9">
            <v>2000</v>
          </cell>
          <cell r="AI9">
            <v>780000</v>
          </cell>
          <cell r="AT9" t="str">
            <v>FREIGHTLINER</v>
          </cell>
          <cell r="AV9">
            <v>0.4</v>
          </cell>
          <cell r="AX9">
            <v>1.8</v>
          </cell>
          <cell r="BE9">
            <v>7500</v>
          </cell>
          <cell r="BF9">
            <v>7000</v>
          </cell>
          <cell r="BG9">
            <v>15000</v>
          </cell>
          <cell r="BH9">
            <v>100000</v>
          </cell>
          <cell r="BI9">
            <v>15000</v>
          </cell>
          <cell r="BJ9" t="str">
            <v>X</v>
          </cell>
          <cell r="BO9" t="str">
            <v>X</v>
          </cell>
          <cell r="BU9" t="str">
            <v>X</v>
          </cell>
          <cell r="BX9">
            <v>2</v>
          </cell>
          <cell r="BY9">
            <v>4</v>
          </cell>
          <cell r="BZ9">
            <v>3</v>
          </cell>
          <cell r="CA9" t="str">
            <v>SEGURIDAD</v>
          </cell>
          <cell r="DD9">
            <v>3</v>
          </cell>
        </row>
        <row r="10">
          <cell r="E10" t="str">
            <v>X</v>
          </cell>
          <cell r="N10" t="str">
            <v>OAXACA</v>
          </cell>
          <cell r="O10">
            <v>18</v>
          </cell>
          <cell r="Q10" t="str">
            <v>X</v>
          </cell>
          <cell r="AH10">
            <v>1982</v>
          </cell>
          <cell r="AI10">
            <v>520000</v>
          </cell>
          <cell r="AT10" t="str">
            <v>DINA</v>
          </cell>
          <cell r="AV10">
            <v>0.5</v>
          </cell>
          <cell r="AX10">
            <v>1.5</v>
          </cell>
          <cell r="BE10">
            <v>6000</v>
          </cell>
          <cell r="BF10">
            <v>5000</v>
          </cell>
          <cell r="BG10">
            <v>10000</v>
          </cell>
          <cell r="BH10">
            <v>70000</v>
          </cell>
          <cell r="BI10">
            <v>10000</v>
          </cell>
          <cell r="BO10" t="str">
            <v>X</v>
          </cell>
          <cell r="BU10" t="str">
            <v>X</v>
          </cell>
          <cell r="BX10">
            <v>1</v>
          </cell>
          <cell r="BY10">
            <v>3</v>
          </cell>
          <cell r="BZ10">
            <v>2</v>
          </cell>
          <cell r="DD10">
            <v>1</v>
          </cell>
        </row>
        <row r="11">
          <cell r="G11" t="str">
            <v>X</v>
          </cell>
          <cell r="N11" t="str">
            <v>VERACRUZ</v>
          </cell>
          <cell r="O11">
            <v>12</v>
          </cell>
          <cell r="Q11" t="str">
            <v>X</v>
          </cell>
          <cell r="AH11">
            <v>1987</v>
          </cell>
          <cell r="AI11">
            <v>1550000</v>
          </cell>
          <cell r="AT11" t="str">
            <v>INTERNATIONAL</v>
          </cell>
          <cell r="AV11">
            <v>0.5</v>
          </cell>
          <cell r="AX11">
            <v>1.8</v>
          </cell>
          <cell r="BE11">
            <v>7500</v>
          </cell>
          <cell r="BF11">
            <v>7000</v>
          </cell>
          <cell r="BG11">
            <v>10000</v>
          </cell>
          <cell r="BH11">
            <v>80000</v>
          </cell>
          <cell r="BI11">
            <v>10000</v>
          </cell>
          <cell r="BO11" t="str">
            <v>X</v>
          </cell>
          <cell r="BU11" t="str">
            <v>X</v>
          </cell>
          <cell r="BX11">
            <v>2</v>
          </cell>
          <cell r="BY11">
            <v>3</v>
          </cell>
          <cell r="BZ11">
            <v>1</v>
          </cell>
          <cell r="DD11">
            <v>3</v>
          </cell>
        </row>
        <row r="12">
          <cell r="F12" t="str">
            <v>X</v>
          </cell>
          <cell r="N12" t="str">
            <v>OAXACA</v>
          </cell>
          <cell r="O12">
            <v>15</v>
          </cell>
          <cell r="S12" t="str">
            <v>X</v>
          </cell>
          <cell r="Y12" t="str">
            <v>X</v>
          </cell>
          <cell r="AH12">
            <v>1990</v>
          </cell>
          <cell r="AI12">
            <v>1000000</v>
          </cell>
          <cell r="AT12" t="str">
            <v>INTERNATIONAL</v>
          </cell>
          <cell r="AV12">
            <v>0.5</v>
          </cell>
          <cell r="AX12">
            <v>1.6</v>
          </cell>
          <cell r="BE12">
            <v>6000</v>
          </cell>
          <cell r="BF12">
            <v>8000</v>
          </cell>
          <cell r="BG12">
            <v>15000</v>
          </cell>
          <cell r="BH12">
            <v>100000</v>
          </cell>
          <cell r="BI12">
            <v>15000</v>
          </cell>
          <cell r="BL12" t="str">
            <v>X</v>
          </cell>
          <cell r="BV12" t="str">
            <v>X</v>
          </cell>
          <cell r="BX12">
            <v>1</v>
          </cell>
          <cell r="BY12">
            <v>3</v>
          </cell>
          <cell r="BZ12">
            <v>2</v>
          </cell>
          <cell r="DD12">
            <v>2</v>
          </cell>
        </row>
        <row r="13">
          <cell r="H13" t="str">
            <v>X</v>
          </cell>
          <cell r="N13" t="str">
            <v>VERACRUZ</v>
          </cell>
          <cell r="O13">
            <v>25</v>
          </cell>
          <cell r="S13" t="str">
            <v>X</v>
          </cell>
          <cell r="V13" t="str">
            <v>X</v>
          </cell>
          <cell r="AH13">
            <v>1992</v>
          </cell>
          <cell r="AI13">
            <v>1100000</v>
          </cell>
          <cell r="AT13" t="str">
            <v>FREIGHTLINER</v>
          </cell>
          <cell r="AV13">
            <v>0.3</v>
          </cell>
          <cell r="AX13">
            <v>1.7</v>
          </cell>
          <cell r="BE13">
            <v>7000</v>
          </cell>
          <cell r="BF13">
            <v>8500</v>
          </cell>
          <cell r="BG13">
            <v>15000</v>
          </cell>
          <cell r="BH13">
            <v>100000</v>
          </cell>
          <cell r="BI13">
            <v>15000</v>
          </cell>
          <cell r="BJ13" t="str">
            <v>X</v>
          </cell>
          <cell r="BQ13" t="str">
            <v>X</v>
          </cell>
          <cell r="BV13" t="str">
            <v>X</v>
          </cell>
          <cell r="BX13">
            <v>2</v>
          </cell>
          <cell r="BY13">
            <v>4</v>
          </cell>
          <cell r="BZ13">
            <v>3</v>
          </cell>
          <cell r="CA13" t="str">
            <v>SEGURIDAD</v>
          </cell>
          <cell r="DD13">
            <v>7</v>
          </cell>
        </row>
        <row r="14">
          <cell r="F14" t="str">
            <v>X</v>
          </cell>
          <cell r="N14" t="str">
            <v>PUEBLA</v>
          </cell>
          <cell r="O14">
            <v>22</v>
          </cell>
          <cell r="Q14" t="str">
            <v>X</v>
          </cell>
          <cell r="U14" t="str">
            <v>X</v>
          </cell>
          <cell r="AH14">
            <v>1976</v>
          </cell>
          <cell r="AI14">
            <v>2350000</v>
          </cell>
          <cell r="AT14" t="str">
            <v>INTERNATIONAL</v>
          </cell>
          <cell r="AV14">
            <v>0.5</v>
          </cell>
          <cell r="AX14">
            <v>1.7</v>
          </cell>
          <cell r="BE14">
            <v>8000</v>
          </cell>
          <cell r="BF14">
            <v>10000</v>
          </cell>
          <cell r="BG14">
            <v>15000</v>
          </cell>
          <cell r="BH14">
            <v>90000</v>
          </cell>
          <cell r="BI14">
            <v>15000</v>
          </cell>
          <cell r="BK14" t="str">
            <v>X</v>
          </cell>
          <cell r="BU14" t="str">
            <v>X</v>
          </cell>
          <cell r="BX14">
            <v>1</v>
          </cell>
          <cell r="BY14">
            <v>3</v>
          </cell>
          <cell r="BZ14">
            <v>2</v>
          </cell>
          <cell r="DD14">
            <v>2</v>
          </cell>
        </row>
        <row r="15">
          <cell r="G15" t="str">
            <v>X</v>
          </cell>
          <cell r="N15" t="str">
            <v>PUEBLA</v>
          </cell>
          <cell r="O15">
            <v>22</v>
          </cell>
          <cell r="S15" t="str">
            <v>X</v>
          </cell>
          <cell r="U15" t="str">
            <v>X</v>
          </cell>
          <cell r="AH15">
            <v>1985</v>
          </cell>
          <cell r="AI15">
            <v>2850000</v>
          </cell>
          <cell r="AT15" t="str">
            <v>FREIGHTLINER</v>
          </cell>
          <cell r="AV15">
            <v>0.25</v>
          </cell>
          <cell r="AX15">
            <v>1.6</v>
          </cell>
          <cell r="BE15">
            <v>6000</v>
          </cell>
          <cell r="BF15">
            <v>10000</v>
          </cell>
          <cell r="BG15">
            <v>15000</v>
          </cell>
          <cell r="BH15">
            <v>110000</v>
          </cell>
          <cell r="BI15">
            <v>15000</v>
          </cell>
          <cell r="BN15" t="str">
            <v>X</v>
          </cell>
          <cell r="BP15" t="str">
            <v>X</v>
          </cell>
          <cell r="BU15" t="str">
            <v>X</v>
          </cell>
          <cell r="BX15">
            <v>3</v>
          </cell>
          <cell r="BY15">
            <v>4</v>
          </cell>
          <cell r="BZ15">
            <v>2</v>
          </cell>
          <cell r="CA15" t="str">
            <v>SEGURIDAD</v>
          </cell>
          <cell r="DD15">
            <v>3</v>
          </cell>
        </row>
        <row r="16">
          <cell r="F16" t="str">
            <v>X</v>
          </cell>
          <cell r="N16" t="str">
            <v>OAXACA</v>
          </cell>
          <cell r="O16">
            <v>6</v>
          </cell>
          <cell r="U16" t="str">
            <v>X</v>
          </cell>
          <cell r="AH16">
            <v>1997</v>
          </cell>
          <cell r="AI16">
            <v>995000</v>
          </cell>
          <cell r="AT16" t="str">
            <v>FREIGHTLINER</v>
          </cell>
          <cell r="AV16">
            <v>0.5</v>
          </cell>
          <cell r="AX16">
            <v>1.8</v>
          </cell>
          <cell r="BE16">
            <v>7000</v>
          </cell>
          <cell r="BF16">
            <v>8000</v>
          </cell>
          <cell r="BG16">
            <v>10000</v>
          </cell>
          <cell r="BH16">
            <v>90000</v>
          </cell>
          <cell r="BI16" t="str">
            <v>NO APLICA</v>
          </cell>
          <cell r="BM16" t="str">
            <v>X</v>
          </cell>
          <cell r="BU16" t="str">
            <v>X</v>
          </cell>
          <cell r="BX16">
            <v>2</v>
          </cell>
          <cell r="BY16">
            <v>3</v>
          </cell>
          <cell r="BZ16">
            <v>1</v>
          </cell>
          <cell r="DD16">
            <v>2</v>
          </cell>
        </row>
        <row r="17">
          <cell r="G17" t="str">
            <v>X</v>
          </cell>
          <cell r="N17" t="str">
            <v>D.F.</v>
          </cell>
          <cell r="O17">
            <v>14</v>
          </cell>
          <cell r="S17" t="str">
            <v>X</v>
          </cell>
          <cell r="V17" t="str">
            <v>X</v>
          </cell>
          <cell r="AH17">
            <v>2004</v>
          </cell>
          <cell r="AI17">
            <v>1050000</v>
          </cell>
          <cell r="AT17" t="str">
            <v>NAVISTAR</v>
          </cell>
          <cell r="AV17">
            <v>0.3</v>
          </cell>
          <cell r="AX17">
            <v>1.9</v>
          </cell>
          <cell r="BE17">
            <v>10000</v>
          </cell>
          <cell r="BF17">
            <v>9000</v>
          </cell>
          <cell r="BG17">
            <v>10000</v>
          </cell>
          <cell r="BH17">
            <v>100000</v>
          </cell>
          <cell r="BI17">
            <v>10000</v>
          </cell>
          <cell r="BQ17" t="str">
            <v>X</v>
          </cell>
          <cell r="BU17" t="str">
            <v>X</v>
          </cell>
          <cell r="BX17">
            <v>1</v>
          </cell>
          <cell r="BY17">
            <v>3</v>
          </cell>
          <cell r="BZ17">
            <v>2</v>
          </cell>
          <cell r="DD17">
            <v>3</v>
          </cell>
        </row>
        <row r="18">
          <cell r="F18" t="str">
            <v>X</v>
          </cell>
          <cell r="N18" t="str">
            <v>OAXACA</v>
          </cell>
          <cell r="O18">
            <v>20</v>
          </cell>
          <cell r="Q18" t="str">
            <v>X</v>
          </cell>
          <cell r="Y18" t="str">
            <v>X</v>
          </cell>
          <cell r="AH18">
            <v>2002</v>
          </cell>
          <cell r="AI18">
            <v>792000</v>
          </cell>
          <cell r="AT18" t="str">
            <v>INTERNATIONAL</v>
          </cell>
          <cell r="AV18">
            <v>0.5</v>
          </cell>
          <cell r="AX18">
            <v>1.8</v>
          </cell>
          <cell r="BE18">
            <v>8000</v>
          </cell>
          <cell r="BF18">
            <v>8000</v>
          </cell>
          <cell r="BG18">
            <v>12000</v>
          </cell>
          <cell r="BH18">
            <v>90000</v>
          </cell>
          <cell r="BI18">
            <v>12000</v>
          </cell>
          <cell r="BR18" t="str">
            <v>X</v>
          </cell>
          <cell r="BU18" t="str">
            <v>X</v>
          </cell>
          <cell r="BX18">
            <v>2</v>
          </cell>
          <cell r="BY18">
            <v>3</v>
          </cell>
          <cell r="BZ18">
            <v>1</v>
          </cell>
          <cell r="DD18">
            <v>2</v>
          </cell>
        </row>
        <row r="19">
          <cell r="E19" t="str">
            <v>X</v>
          </cell>
          <cell r="N19" t="str">
            <v>OAXACA</v>
          </cell>
          <cell r="O19">
            <v>6</v>
          </cell>
          <cell r="AH19">
            <v>1998</v>
          </cell>
          <cell r="AI19">
            <v>545000</v>
          </cell>
          <cell r="AT19" t="str">
            <v>FORD</v>
          </cell>
          <cell r="AV19">
            <v>0.5</v>
          </cell>
          <cell r="AX19">
            <v>2.2000000000000002</v>
          </cell>
          <cell r="BE19">
            <v>5000</v>
          </cell>
          <cell r="BF19">
            <v>6000</v>
          </cell>
          <cell r="BG19">
            <v>10000</v>
          </cell>
          <cell r="BH19">
            <v>100000</v>
          </cell>
          <cell r="BI19" t="str">
            <v>NO APLICA</v>
          </cell>
          <cell r="BJ19" t="str">
            <v>X</v>
          </cell>
          <cell r="BO19" t="str">
            <v>X</v>
          </cell>
          <cell r="BU19" t="str">
            <v>X</v>
          </cell>
          <cell r="BX19">
            <v>1</v>
          </cell>
          <cell r="BY19">
            <v>3</v>
          </cell>
          <cell r="BZ19">
            <v>2</v>
          </cell>
          <cell r="DD19">
            <v>1</v>
          </cell>
        </row>
        <row r="20">
          <cell r="G20" t="str">
            <v>X</v>
          </cell>
          <cell r="N20" t="str">
            <v>VERACRUZ</v>
          </cell>
          <cell r="O20">
            <v>10</v>
          </cell>
          <cell r="S20" t="str">
            <v>X</v>
          </cell>
          <cell r="U20" t="str">
            <v>X</v>
          </cell>
          <cell r="AH20">
            <v>2000</v>
          </cell>
          <cell r="AI20">
            <v>1050000</v>
          </cell>
          <cell r="AT20" t="str">
            <v>MERCEDES BENZ</v>
          </cell>
          <cell r="AV20">
            <v>0.5</v>
          </cell>
          <cell r="AX20">
            <v>1.8</v>
          </cell>
          <cell r="BE20">
            <v>7500</v>
          </cell>
          <cell r="BF20">
            <v>8000</v>
          </cell>
          <cell r="BG20">
            <v>11000</v>
          </cell>
          <cell r="BH20">
            <v>110000</v>
          </cell>
          <cell r="BI20">
            <v>11000</v>
          </cell>
          <cell r="BM20" t="str">
            <v>X</v>
          </cell>
          <cell r="BU20" t="str">
            <v>X</v>
          </cell>
          <cell r="BX20">
            <v>1</v>
          </cell>
          <cell r="BY20">
            <v>3</v>
          </cell>
          <cell r="BZ20">
            <v>2</v>
          </cell>
          <cell r="DD20">
            <v>3</v>
          </cell>
        </row>
        <row r="21">
          <cell r="G21" t="str">
            <v>X</v>
          </cell>
          <cell r="N21" t="str">
            <v>OAXACA</v>
          </cell>
          <cell r="O21">
            <v>19</v>
          </cell>
          <cell r="Q21" t="str">
            <v>X</v>
          </cell>
          <cell r="AH21">
            <v>2001</v>
          </cell>
          <cell r="AI21">
            <v>920000</v>
          </cell>
          <cell r="AT21" t="str">
            <v>CHEVROLET</v>
          </cell>
          <cell r="AV21">
            <v>0.5</v>
          </cell>
          <cell r="AX21">
            <v>2.8</v>
          </cell>
          <cell r="BE21">
            <v>6000</v>
          </cell>
          <cell r="BF21">
            <v>7000</v>
          </cell>
          <cell r="BG21">
            <v>10000</v>
          </cell>
          <cell r="BH21">
            <v>85000</v>
          </cell>
          <cell r="BI21">
            <v>10000</v>
          </cell>
          <cell r="BO21" t="str">
            <v>X</v>
          </cell>
          <cell r="BU21" t="str">
            <v>X</v>
          </cell>
          <cell r="BX21">
            <v>2</v>
          </cell>
          <cell r="BY21">
            <v>4</v>
          </cell>
          <cell r="BZ21">
            <v>3</v>
          </cell>
          <cell r="CA21" t="str">
            <v>SEGURIDAD</v>
          </cell>
          <cell r="DD21">
            <v>3</v>
          </cell>
        </row>
        <row r="22">
          <cell r="H22" t="str">
            <v>X</v>
          </cell>
          <cell r="N22" t="str">
            <v>PUEBLA</v>
          </cell>
          <cell r="O22">
            <v>12</v>
          </cell>
          <cell r="S22" t="str">
            <v>X</v>
          </cell>
          <cell r="V22" t="str">
            <v>X</v>
          </cell>
          <cell r="AH22">
            <v>2003</v>
          </cell>
          <cell r="AI22">
            <v>932000</v>
          </cell>
          <cell r="AT22" t="str">
            <v>MERCEDES BENZ</v>
          </cell>
          <cell r="AV22">
            <v>0.5</v>
          </cell>
          <cell r="AX22">
            <v>1.9</v>
          </cell>
          <cell r="BE22">
            <v>7500</v>
          </cell>
          <cell r="BF22">
            <v>6500</v>
          </cell>
          <cell r="BG22">
            <v>12000</v>
          </cell>
          <cell r="BH22">
            <v>95000</v>
          </cell>
          <cell r="BI22">
            <v>12000</v>
          </cell>
          <cell r="BQ22" t="str">
            <v>X</v>
          </cell>
          <cell r="BU22" t="str">
            <v>X</v>
          </cell>
          <cell r="BX22">
            <v>2</v>
          </cell>
          <cell r="BY22">
            <v>4</v>
          </cell>
          <cell r="BZ22">
            <v>3</v>
          </cell>
          <cell r="CA22" t="str">
            <v>SEGURIDAD</v>
          </cell>
          <cell r="DD22">
            <v>7</v>
          </cell>
        </row>
        <row r="23">
          <cell r="F23" t="str">
            <v>X</v>
          </cell>
          <cell r="N23" t="str">
            <v>OAXACA</v>
          </cell>
          <cell r="O23">
            <v>9</v>
          </cell>
          <cell r="Q23" t="str">
            <v>X</v>
          </cell>
          <cell r="AH23">
            <v>1979</v>
          </cell>
          <cell r="AI23">
            <v>2455000</v>
          </cell>
          <cell r="AT23" t="str">
            <v>DINA</v>
          </cell>
          <cell r="AV23">
            <v>0.5</v>
          </cell>
          <cell r="AX23">
            <v>2.1</v>
          </cell>
          <cell r="BE23">
            <v>6000</v>
          </cell>
          <cell r="BF23">
            <v>8000</v>
          </cell>
          <cell r="BG23">
            <v>8000</v>
          </cell>
          <cell r="BH23">
            <v>80000</v>
          </cell>
          <cell r="BI23" t="str">
            <v>NO APLICA</v>
          </cell>
          <cell r="BJ23" t="str">
            <v>X</v>
          </cell>
          <cell r="BO23" t="str">
            <v>X</v>
          </cell>
          <cell r="BU23" t="str">
            <v>X</v>
          </cell>
          <cell r="BX23">
            <v>2</v>
          </cell>
          <cell r="BY23">
            <v>3</v>
          </cell>
          <cell r="BZ23">
            <v>1</v>
          </cell>
          <cell r="DD23">
            <v>2</v>
          </cell>
        </row>
        <row r="24">
          <cell r="G24" t="str">
            <v>X</v>
          </cell>
          <cell r="N24" t="str">
            <v>OAXACA</v>
          </cell>
          <cell r="O24">
            <v>15</v>
          </cell>
          <cell r="Q24" t="str">
            <v>X</v>
          </cell>
          <cell r="AH24">
            <v>1984</v>
          </cell>
          <cell r="AI24">
            <v>1975000</v>
          </cell>
          <cell r="AT24" t="str">
            <v>INTERNATIONAL</v>
          </cell>
          <cell r="AV24">
            <v>0.5</v>
          </cell>
          <cell r="AX24">
            <v>1.6</v>
          </cell>
          <cell r="BE24">
            <v>6000</v>
          </cell>
          <cell r="BF24">
            <v>6500</v>
          </cell>
          <cell r="BG24">
            <v>12000</v>
          </cell>
          <cell r="BH24">
            <v>85000</v>
          </cell>
          <cell r="BI24">
            <v>12000</v>
          </cell>
          <cell r="BJ24" t="str">
            <v>X</v>
          </cell>
          <cell r="BU24" t="str">
            <v>X</v>
          </cell>
          <cell r="BX24">
            <v>1</v>
          </cell>
          <cell r="BY24">
            <v>3</v>
          </cell>
          <cell r="BZ24">
            <v>2</v>
          </cell>
          <cell r="DD24">
            <v>3</v>
          </cell>
        </row>
        <row r="25">
          <cell r="F25" t="str">
            <v>X</v>
          </cell>
          <cell r="N25" t="str">
            <v>OAXACA</v>
          </cell>
          <cell r="O25">
            <v>12</v>
          </cell>
          <cell r="U25" t="str">
            <v>X</v>
          </cell>
          <cell r="AH25">
            <v>1990</v>
          </cell>
          <cell r="AI25">
            <v>414000</v>
          </cell>
          <cell r="AT25" t="str">
            <v>NISSAN</v>
          </cell>
          <cell r="AV25">
            <v>0.5</v>
          </cell>
          <cell r="AX25">
            <v>2.8</v>
          </cell>
          <cell r="BE25">
            <v>5000</v>
          </cell>
          <cell r="BF25">
            <v>7500</v>
          </cell>
          <cell r="BG25">
            <v>5000</v>
          </cell>
          <cell r="BH25">
            <v>70000</v>
          </cell>
          <cell r="BI25" t="str">
            <v>NO APLICA</v>
          </cell>
          <cell r="BK25" t="str">
            <v>X</v>
          </cell>
          <cell r="BU25" t="str">
            <v>X</v>
          </cell>
          <cell r="BX25">
            <v>1</v>
          </cell>
          <cell r="BY25">
            <v>3</v>
          </cell>
          <cell r="BZ25">
            <v>2</v>
          </cell>
          <cell r="DD25">
            <v>2</v>
          </cell>
        </row>
        <row r="26">
          <cell r="G26" t="str">
            <v>X</v>
          </cell>
          <cell r="N26" t="str">
            <v>OAXACA</v>
          </cell>
          <cell r="O26">
            <v>26</v>
          </cell>
          <cell r="Q26" t="str">
            <v>X</v>
          </cell>
          <cell r="AH26">
            <v>2006</v>
          </cell>
          <cell r="AI26">
            <v>334000</v>
          </cell>
          <cell r="AT26" t="str">
            <v>INTERNATIONAL</v>
          </cell>
          <cell r="AV26">
            <v>0.5</v>
          </cell>
          <cell r="AX26">
            <v>1.9</v>
          </cell>
          <cell r="BE26">
            <v>7500</v>
          </cell>
          <cell r="BF26">
            <v>10000</v>
          </cell>
          <cell r="BG26">
            <v>12000</v>
          </cell>
          <cell r="BH26">
            <v>95000</v>
          </cell>
          <cell r="BI26">
            <v>12000</v>
          </cell>
          <cell r="BJ26" t="str">
            <v>X</v>
          </cell>
          <cell r="BO26" t="str">
            <v>X</v>
          </cell>
          <cell r="BU26" t="str">
            <v>X</v>
          </cell>
          <cell r="BX26">
            <v>1</v>
          </cell>
          <cell r="BY26">
            <v>3</v>
          </cell>
          <cell r="BZ26">
            <v>2</v>
          </cell>
          <cell r="DD26">
            <v>3</v>
          </cell>
        </row>
        <row r="27">
          <cell r="G27" t="str">
            <v>X</v>
          </cell>
          <cell r="N27" t="str">
            <v>PUEBLA</v>
          </cell>
          <cell r="O27">
            <v>35</v>
          </cell>
          <cell r="S27" t="str">
            <v>X</v>
          </cell>
          <cell r="Y27" t="str">
            <v>X</v>
          </cell>
          <cell r="AH27">
            <v>1998</v>
          </cell>
          <cell r="AI27">
            <v>1125000</v>
          </cell>
          <cell r="AT27" t="str">
            <v>INTERNATIONAL</v>
          </cell>
          <cell r="AV27">
            <v>0.5</v>
          </cell>
          <cell r="AX27">
            <v>1.7</v>
          </cell>
          <cell r="BE27">
            <v>8000</v>
          </cell>
          <cell r="BF27">
            <v>12000</v>
          </cell>
          <cell r="BG27">
            <v>15000</v>
          </cell>
          <cell r="BH27">
            <v>90000</v>
          </cell>
          <cell r="BI27">
            <v>12000</v>
          </cell>
          <cell r="BM27" t="str">
            <v>X</v>
          </cell>
          <cell r="BU27" t="str">
            <v>X</v>
          </cell>
          <cell r="BX27">
            <v>2</v>
          </cell>
          <cell r="BY27">
            <v>3</v>
          </cell>
          <cell r="BZ27">
            <v>1</v>
          </cell>
          <cell r="DD27">
            <v>3</v>
          </cell>
        </row>
        <row r="28">
          <cell r="G28" t="str">
            <v>X</v>
          </cell>
          <cell r="N28" t="str">
            <v>OAXACA</v>
          </cell>
          <cell r="O28">
            <v>23</v>
          </cell>
          <cell r="S28" t="str">
            <v>X</v>
          </cell>
          <cell r="AH28">
            <v>1986</v>
          </cell>
          <cell r="AI28">
            <v>985000</v>
          </cell>
          <cell r="AT28" t="str">
            <v>FREIGHTLINER</v>
          </cell>
          <cell r="AV28">
            <v>0.5</v>
          </cell>
          <cell r="AX28">
            <v>1.6</v>
          </cell>
          <cell r="BE28">
            <v>6000</v>
          </cell>
          <cell r="BF28">
            <v>10000</v>
          </cell>
          <cell r="BG28">
            <v>12000</v>
          </cell>
          <cell r="BH28">
            <v>100000</v>
          </cell>
          <cell r="BI28">
            <v>12000</v>
          </cell>
          <cell r="BJ28" t="str">
            <v>X</v>
          </cell>
          <cell r="BU28" t="str">
            <v>X</v>
          </cell>
          <cell r="BX28">
            <v>1</v>
          </cell>
          <cell r="BY28">
            <v>3</v>
          </cell>
          <cell r="BZ28">
            <v>2</v>
          </cell>
          <cell r="DD28">
            <v>3</v>
          </cell>
        </row>
        <row r="29">
          <cell r="G29" t="str">
            <v>X</v>
          </cell>
          <cell r="N29" t="str">
            <v>OAXACA</v>
          </cell>
          <cell r="O29">
            <v>16</v>
          </cell>
          <cell r="Q29" t="str">
            <v>X</v>
          </cell>
          <cell r="AH29">
            <v>1976</v>
          </cell>
          <cell r="AI29">
            <v>2325000</v>
          </cell>
          <cell r="AT29" t="str">
            <v>DINA</v>
          </cell>
          <cell r="AV29">
            <v>0.5</v>
          </cell>
          <cell r="AX29">
            <v>1.7</v>
          </cell>
          <cell r="BE29">
            <v>7000</v>
          </cell>
          <cell r="BF29">
            <v>10000</v>
          </cell>
          <cell r="BG29">
            <v>10000</v>
          </cell>
          <cell r="BH29">
            <v>95000</v>
          </cell>
          <cell r="BI29">
            <v>10000</v>
          </cell>
          <cell r="BJ29" t="str">
            <v>X</v>
          </cell>
          <cell r="BO29" t="str">
            <v>X</v>
          </cell>
          <cell r="BU29" t="str">
            <v>X</v>
          </cell>
          <cell r="BX29">
            <v>2</v>
          </cell>
          <cell r="BY29">
            <v>3</v>
          </cell>
          <cell r="BZ29">
            <v>1</v>
          </cell>
          <cell r="DD29">
            <v>3</v>
          </cell>
        </row>
        <row r="30">
          <cell r="F30" t="str">
            <v>X</v>
          </cell>
          <cell r="N30" t="str">
            <v>OAXACA</v>
          </cell>
          <cell r="O30">
            <v>19</v>
          </cell>
          <cell r="AH30">
            <v>1995</v>
          </cell>
          <cell r="AI30">
            <v>1525000</v>
          </cell>
          <cell r="AT30" t="str">
            <v>NISSAN</v>
          </cell>
          <cell r="AV30">
            <v>0.5</v>
          </cell>
          <cell r="AX30">
            <v>2.9</v>
          </cell>
          <cell r="BE30">
            <v>5000</v>
          </cell>
          <cell r="BF30">
            <v>10000</v>
          </cell>
          <cell r="BG30">
            <v>10000</v>
          </cell>
          <cell r="BH30">
            <v>70000</v>
          </cell>
          <cell r="BI30" t="str">
            <v>NO APLICA</v>
          </cell>
          <cell r="BK30" t="str">
            <v>X</v>
          </cell>
          <cell r="BU30" t="str">
            <v>X</v>
          </cell>
          <cell r="BX30">
            <v>1</v>
          </cell>
          <cell r="BY30">
            <v>3</v>
          </cell>
          <cell r="BZ30">
            <v>2</v>
          </cell>
          <cell r="DD30">
            <v>2</v>
          </cell>
        </row>
        <row r="31">
          <cell r="G31" t="str">
            <v>X</v>
          </cell>
          <cell r="N31" t="str">
            <v>OAXACA</v>
          </cell>
          <cell r="O31">
            <v>35</v>
          </cell>
          <cell r="Q31" t="str">
            <v>X</v>
          </cell>
          <cell r="AH31">
            <v>1981</v>
          </cell>
          <cell r="AI31">
            <v>2050000</v>
          </cell>
          <cell r="AT31" t="str">
            <v>INTERNATIONAL</v>
          </cell>
          <cell r="AV31">
            <v>0.5</v>
          </cell>
          <cell r="AX31">
            <v>1.5</v>
          </cell>
          <cell r="BE31">
            <v>7000</v>
          </cell>
          <cell r="BF31">
            <v>12000</v>
          </cell>
          <cell r="BG31">
            <v>10000</v>
          </cell>
          <cell r="BH31">
            <v>85000</v>
          </cell>
          <cell r="BI31">
            <v>10000</v>
          </cell>
          <cell r="BJ31" t="str">
            <v>X</v>
          </cell>
          <cell r="BO31" t="str">
            <v>X</v>
          </cell>
          <cell r="BU31" t="str">
            <v>X</v>
          </cell>
          <cell r="BX31">
            <v>1</v>
          </cell>
          <cell r="BY31">
            <v>3</v>
          </cell>
          <cell r="BZ31">
            <v>2</v>
          </cell>
          <cell r="DD31">
            <v>3</v>
          </cell>
        </row>
        <row r="32">
          <cell r="H32" t="str">
            <v>X</v>
          </cell>
          <cell r="N32" t="str">
            <v>PUEBLA</v>
          </cell>
          <cell r="O32">
            <v>16</v>
          </cell>
          <cell r="S32" t="str">
            <v>X</v>
          </cell>
          <cell r="AH32">
            <v>1998</v>
          </cell>
          <cell r="AI32">
            <v>1750000</v>
          </cell>
          <cell r="AT32" t="str">
            <v>INTERNATIONAL</v>
          </cell>
          <cell r="AV32">
            <v>0.5</v>
          </cell>
          <cell r="AX32">
            <v>1.6</v>
          </cell>
          <cell r="BE32">
            <v>7500</v>
          </cell>
          <cell r="BF32">
            <v>10000</v>
          </cell>
          <cell r="BG32">
            <v>10000</v>
          </cell>
          <cell r="BH32">
            <v>90000</v>
          </cell>
          <cell r="BI32">
            <v>10000</v>
          </cell>
          <cell r="BK32" t="str">
            <v>X</v>
          </cell>
          <cell r="BU32" t="str">
            <v>X</v>
          </cell>
          <cell r="BX32">
            <v>2</v>
          </cell>
          <cell r="BY32">
            <v>3</v>
          </cell>
          <cell r="BZ32">
            <v>1</v>
          </cell>
          <cell r="DD32">
            <v>7</v>
          </cell>
        </row>
        <row r="33">
          <cell r="G33" t="str">
            <v>X</v>
          </cell>
          <cell r="N33" t="str">
            <v>OAXACA</v>
          </cell>
          <cell r="O33">
            <v>15</v>
          </cell>
          <cell r="Q33" t="str">
            <v>X</v>
          </cell>
          <cell r="U33" t="str">
            <v>X</v>
          </cell>
          <cell r="AH33">
            <v>1977</v>
          </cell>
          <cell r="AI33" t="str">
            <v>NO SABE</v>
          </cell>
          <cell r="AT33" t="str">
            <v>INTERNATIONAL</v>
          </cell>
          <cell r="AV33">
            <v>0.5</v>
          </cell>
          <cell r="AX33">
            <v>1.4</v>
          </cell>
          <cell r="BE33">
            <v>5000</v>
          </cell>
          <cell r="BF33">
            <v>10000</v>
          </cell>
          <cell r="BG33">
            <v>12000</v>
          </cell>
          <cell r="BH33">
            <v>90000</v>
          </cell>
          <cell r="BI33">
            <v>12000</v>
          </cell>
          <cell r="BK33" t="str">
            <v>X</v>
          </cell>
          <cell r="BU33" t="str">
            <v>X</v>
          </cell>
          <cell r="BX33">
            <v>2</v>
          </cell>
          <cell r="BY33">
            <v>3</v>
          </cell>
          <cell r="BZ33">
            <v>1</v>
          </cell>
          <cell r="DD33">
            <v>3</v>
          </cell>
        </row>
        <row r="34">
          <cell r="G34" t="str">
            <v>X</v>
          </cell>
          <cell r="N34" t="str">
            <v>OAXACA</v>
          </cell>
          <cell r="O34">
            <v>9</v>
          </cell>
          <cell r="Q34" t="str">
            <v>X</v>
          </cell>
          <cell r="AH34">
            <v>1984</v>
          </cell>
          <cell r="AI34">
            <v>1795000</v>
          </cell>
          <cell r="AT34" t="str">
            <v>INTERNATIONAL</v>
          </cell>
          <cell r="AV34">
            <v>0.5</v>
          </cell>
          <cell r="AX34">
            <v>1.6</v>
          </cell>
          <cell r="BE34">
            <v>6000</v>
          </cell>
          <cell r="BF34">
            <v>9000</v>
          </cell>
          <cell r="BG34">
            <v>12000</v>
          </cell>
          <cell r="BH34">
            <v>80000</v>
          </cell>
          <cell r="BI34">
            <v>12000</v>
          </cell>
          <cell r="BJ34" t="str">
            <v>X</v>
          </cell>
          <cell r="BO34" t="str">
            <v>X</v>
          </cell>
          <cell r="BU34" t="str">
            <v>X</v>
          </cell>
          <cell r="BX34">
            <v>1</v>
          </cell>
          <cell r="BY34">
            <v>3</v>
          </cell>
          <cell r="BZ34">
            <v>2</v>
          </cell>
          <cell r="DD34">
            <v>3</v>
          </cell>
        </row>
        <row r="35">
          <cell r="E35" t="str">
            <v>X</v>
          </cell>
          <cell r="N35" t="str">
            <v>D.F.</v>
          </cell>
          <cell r="O35">
            <v>13</v>
          </cell>
          <cell r="S35" t="str">
            <v>X</v>
          </cell>
          <cell r="U35" t="str">
            <v>X</v>
          </cell>
          <cell r="AH35">
            <v>2013</v>
          </cell>
          <cell r="AI35">
            <v>20700</v>
          </cell>
          <cell r="AT35" t="str">
            <v>FREIGHTLINER</v>
          </cell>
          <cell r="AV35">
            <v>0.1</v>
          </cell>
          <cell r="AX35">
            <v>2.2000000000000002</v>
          </cell>
          <cell r="BE35">
            <v>10000</v>
          </cell>
          <cell r="BF35">
            <v>20000</v>
          </cell>
          <cell r="BG35">
            <v>10000</v>
          </cell>
          <cell r="BH35" t="str">
            <v>NO SABE</v>
          </cell>
          <cell r="BI35">
            <v>10000</v>
          </cell>
          <cell r="BL35" t="str">
            <v>X</v>
          </cell>
          <cell r="BU35" t="str">
            <v>X</v>
          </cell>
          <cell r="BX35">
            <v>2</v>
          </cell>
          <cell r="BY35">
            <v>1</v>
          </cell>
          <cell r="BZ35">
            <v>3</v>
          </cell>
          <cell r="DD35">
            <v>1</v>
          </cell>
        </row>
        <row r="36">
          <cell r="H36" t="str">
            <v>X</v>
          </cell>
          <cell r="N36" t="str">
            <v>EDO. MEX.</v>
          </cell>
          <cell r="O36">
            <v>10</v>
          </cell>
          <cell r="U36" t="str">
            <v>X</v>
          </cell>
          <cell r="AH36">
            <v>2000</v>
          </cell>
          <cell r="AI36">
            <v>2000000</v>
          </cell>
          <cell r="AT36" t="str">
            <v>INTERNATIONAL</v>
          </cell>
          <cell r="AV36">
            <v>0.1</v>
          </cell>
          <cell r="AX36">
            <v>2</v>
          </cell>
          <cell r="BE36">
            <v>3000</v>
          </cell>
          <cell r="BF36">
            <v>15000</v>
          </cell>
          <cell r="BG36">
            <v>15000</v>
          </cell>
          <cell r="BH36">
            <v>80000</v>
          </cell>
          <cell r="BI36">
            <v>15000</v>
          </cell>
          <cell r="BK36" t="str">
            <v>X</v>
          </cell>
          <cell r="BU36" t="str">
            <v>X</v>
          </cell>
          <cell r="BX36">
            <v>1</v>
          </cell>
          <cell r="BY36">
            <v>2</v>
          </cell>
          <cell r="BZ36">
            <v>3</v>
          </cell>
          <cell r="DD36">
            <v>7</v>
          </cell>
        </row>
        <row r="37">
          <cell r="E37" t="str">
            <v>X</v>
          </cell>
          <cell r="N37" t="str">
            <v>D.F.</v>
          </cell>
          <cell r="O37">
            <v>16</v>
          </cell>
          <cell r="S37" t="str">
            <v>X</v>
          </cell>
          <cell r="V37" t="str">
            <v>X</v>
          </cell>
          <cell r="AH37">
            <v>2001</v>
          </cell>
          <cell r="AI37">
            <v>1800000</v>
          </cell>
          <cell r="AT37" t="str">
            <v>DETROIT</v>
          </cell>
          <cell r="AV37">
            <v>0.1</v>
          </cell>
          <cell r="AX37">
            <v>3</v>
          </cell>
          <cell r="BE37">
            <v>5000</v>
          </cell>
          <cell r="BF37">
            <v>12000</v>
          </cell>
          <cell r="BG37">
            <v>12000</v>
          </cell>
          <cell r="BH37">
            <v>120000</v>
          </cell>
          <cell r="BI37">
            <v>12000</v>
          </cell>
          <cell r="BJ37" t="str">
            <v>X</v>
          </cell>
          <cell r="BU37" t="str">
            <v>X</v>
          </cell>
          <cell r="BX37">
            <v>1</v>
          </cell>
          <cell r="BY37">
            <v>3</v>
          </cell>
          <cell r="BZ37">
            <v>2</v>
          </cell>
          <cell r="DD37">
            <v>1</v>
          </cell>
        </row>
        <row r="38">
          <cell r="H38" t="str">
            <v>X</v>
          </cell>
          <cell r="N38" t="str">
            <v>EDO. MEX.</v>
          </cell>
          <cell r="O38">
            <v>2</v>
          </cell>
          <cell r="S38" t="str">
            <v>X</v>
          </cell>
          <cell r="AH38">
            <v>1982</v>
          </cell>
          <cell r="AI38" t="str">
            <v>DAÑADO</v>
          </cell>
          <cell r="AT38" t="str">
            <v>INTERNATIONAL</v>
          </cell>
          <cell r="AV38">
            <v>0.5</v>
          </cell>
          <cell r="AX38">
            <v>1.3</v>
          </cell>
          <cell r="BE38">
            <v>5000</v>
          </cell>
          <cell r="BF38">
            <v>8000</v>
          </cell>
          <cell r="BG38">
            <v>10000</v>
          </cell>
          <cell r="BH38" t="str">
            <v>NO SABE</v>
          </cell>
          <cell r="BI38">
            <v>10000</v>
          </cell>
          <cell r="BM38" t="str">
            <v>X</v>
          </cell>
          <cell r="BV38" t="str">
            <v>X</v>
          </cell>
          <cell r="BX38">
            <v>2</v>
          </cell>
          <cell r="BY38">
            <v>1</v>
          </cell>
          <cell r="BZ38">
            <v>3</v>
          </cell>
          <cell r="DD38">
            <v>7</v>
          </cell>
        </row>
        <row r="39">
          <cell r="H39" t="str">
            <v>X</v>
          </cell>
          <cell r="N39" t="str">
            <v>EDO. MEX.</v>
          </cell>
          <cell r="O39">
            <v>11</v>
          </cell>
          <cell r="Q39" t="str">
            <v>X</v>
          </cell>
          <cell r="Y39" t="str">
            <v>X</v>
          </cell>
          <cell r="AH39">
            <v>2008</v>
          </cell>
          <cell r="AI39">
            <v>450000</v>
          </cell>
          <cell r="AT39" t="str">
            <v>NO SABE</v>
          </cell>
          <cell r="AV39">
            <v>0.5</v>
          </cell>
          <cell r="AX39">
            <v>3.8</v>
          </cell>
          <cell r="BE39">
            <v>10000</v>
          </cell>
          <cell r="BF39">
            <v>12000</v>
          </cell>
          <cell r="BG39">
            <v>10000</v>
          </cell>
          <cell r="BH39">
            <v>60000</v>
          </cell>
          <cell r="BI39">
            <v>10000</v>
          </cell>
          <cell r="BL39" t="str">
            <v>X</v>
          </cell>
          <cell r="BU39" t="str">
            <v>X</v>
          </cell>
          <cell r="BX39">
            <v>3</v>
          </cell>
          <cell r="BY39">
            <v>1</v>
          </cell>
          <cell r="BZ39">
            <v>2</v>
          </cell>
          <cell r="DD39">
            <v>7</v>
          </cell>
        </row>
        <row r="40">
          <cell r="H40" t="str">
            <v>X</v>
          </cell>
          <cell r="N40" t="str">
            <v>EDO. MEX.</v>
          </cell>
          <cell r="O40">
            <v>4</v>
          </cell>
          <cell r="U40" t="str">
            <v>X</v>
          </cell>
          <cell r="AH40">
            <v>2002</v>
          </cell>
          <cell r="AI40">
            <v>1830000</v>
          </cell>
          <cell r="AT40" t="str">
            <v>CUMMINS</v>
          </cell>
          <cell r="AV40">
            <v>0.5</v>
          </cell>
          <cell r="AX40">
            <v>2.8</v>
          </cell>
          <cell r="BE40">
            <v>6000</v>
          </cell>
          <cell r="BF40">
            <v>6000</v>
          </cell>
          <cell r="BG40">
            <v>10000</v>
          </cell>
          <cell r="BH40">
            <v>60000</v>
          </cell>
          <cell r="BI40">
            <v>6000</v>
          </cell>
          <cell r="BR40" t="str">
            <v>X</v>
          </cell>
          <cell r="BU40" t="str">
            <v>X</v>
          </cell>
          <cell r="BX40">
            <v>1</v>
          </cell>
          <cell r="BY40">
            <v>2</v>
          </cell>
          <cell r="BZ40">
            <v>3</v>
          </cell>
          <cell r="DD40">
            <v>7</v>
          </cell>
        </row>
        <row r="41">
          <cell r="H41" t="str">
            <v>X</v>
          </cell>
          <cell r="N41" t="str">
            <v>EDO. MEX.</v>
          </cell>
          <cell r="O41">
            <v>5</v>
          </cell>
          <cell r="Y41" t="str">
            <v>X</v>
          </cell>
          <cell r="AH41">
            <v>2005</v>
          </cell>
          <cell r="AI41">
            <v>1800000</v>
          </cell>
          <cell r="AT41" t="str">
            <v>CUMMINS</v>
          </cell>
          <cell r="AV41">
            <v>0.5</v>
          </cell>
          <cell r="AX41">
            <v>2.2999999999999998</v>
          </cell>
          <cell r="BE41">
            <v>12000</v>
          </cell>
          <cell r="BF41">
            <v>10000</v>
          </cell>
          <cell r="BG41">
            <v>12000</v>
          </cell>
          <cell r="BH41">
            <v>95000</v>
          </cell>
          <cell r="BI41">
            <v>12000</v>
          </cell>
          <cell r="BR41" t="str">
            <v>X</v>
          </cell>
          <cell r="BV41" t="str">
            <v>X</v>
          </cell>
          <cell r="BX41">
            <v>3</v>
          </cell>
          <cell r="BY41">
            <v>2</v>
          </cell>
          <cell r="BZ41">
            <v>1</v>
          </cell>
          <cell r="DD41">
            <v>7</v>
          </cell>
        </row>
        <row r="42">
          <cell r="H42" t="str">
            <v>X</v>
          </cell>
          <cell r="N42" t="str">
            <v>EDO. MEX.</v>
          </cell>
          <cell r="O42">
            <v>8</v>
          </cell>
          <cell r="U42" t="str">
            <v>X</v>
          </cell>
          <cell r="AH42">
            <v>2012</v>
          </cell>
          <cell r="AI42">
            <v>240000</v>
          </cell>
          <cell r="AT42" t="str">
            <v>CUMMINS</v>
          </cell>
          <cell r="AV42">
            <v>0.5</v>
          </cell>
          <cell r="AX42">
            <v>1.1000000000000001</v>
          </cell>
          <cell r="BE42">
            <v>10000</v>
          </cell>
          <cell r="BF42">
            <v>10000</v>
          </cell>
          <cell r="BG42">
            <v>10000</v>
          </cell>
          <cell r="BH42" t="str">
            <v>NO SABE</v>
          </cell>
          <cell r="BI42">
            <v>10000</v>
          </cell>
          <cell r="BN42" t="str">
            <v>X</v>
          </cell>
          <cell r="BU42" t="str">
            <v>X</v>
          </cell>
          <cell r="BX42">
            <v>2</v>
          </cell>
          <cell r="BY42">
            <v>4</v>
          </cell>
          <cell r="BZ42">
            <v>3</v>
          </cell>
          <cell r="CA42" t="str">
            <v>SEGURIDAD</v>
          </cell>
          <cell r="DD42">
            <v>7</v>
          </cell>
        </row>
        <row r="43">
          <cell r="H43" t="str">
            <v>X</v>
          </cell>
          <cell r="N43" t="str">
            <v>EDO. MEX.</v>
          </cell>
          <cell r="O43">
            <v>1</v>
          </cell>
          <cell r="U43" t="str">
            <v>X</v>
          </cell>
          <cell r="AH43">
            <v>2000</v>
          </cell>
          <cell r="AI43">
            <v>1500000</v>
          </cell>
          <cell r="AT43" t="str">
            <v>KENWORTH</v>
          </cell>
          <cell r="AV43">
            <v>0.1</v>
          </cell>
          <cell r="AX43">
            <v>2.7</v>
          </cell>
          <cell r="BE43">
            <v>3000</v>
          </cell>
          <cell r="BF43">
            <v>7500</v>
          </cell>
          <cell r="BG43">
            <v>10000</v>
          </cell>
          <cell r="BH43">
            <v>120000</v>
          </cell>
          <cell r="BI43">
            <v>10000</v>
          </cell>
          <cell r="BM43" t="str">
            <v>X</v>
          </cell>
          <cell r="BV43" t="str">
            <v>X</v>
          </cell>
          <cell r="BX43">
            <v>2</v>
          </cell>
          <cell r="BY43">
            <v>1</v>
          </cell>
          <cell r="BZ43">
            <v>3</v>
          </cell>
          <cell r="DD43">
            <v>7</v>
          </cell>
        </row>
        <row r="44">
          <cell r="G44" t="str">
            <v>X</v>
          </cell>
          <cell r="N44" t="str">
            <v>D.F.</v>
          </cell>
          <cell r="O44">
            <v>37</v>
          </cell>
          <cell r="S44" t="str">
            <v>X</v>
          </cell>
          <cell r="V44" t="str">
            <v>X</v>
          </cell>
          <cell r="AH44">
            <v>2005</v>
          </cell>
          <cell r="AI44">
            <v>1100000</v>
          </cell>
          <cell r="AT44" t="str">
            <v>CUMMINS</v>
          </cell>
          <cell r="AV44">
            <v>0.5</v>
          </cell>
          <cell r="AX44">
            <v>2.2000000000000002</v>
          </cell>
          <cell r="BE44">
            <v>4000</v>
          </cell>
          <cell r="BF44">
            <v>20000</v>
          </cell>
          <cell r="BG44">
            <v>30000</v>
          </cell>
          <cell r="BH44">
            <v>120000</v>
          </cell>
          <cell r="BI44">
            <v>20000</v>
          </cell>
          <cell r="BQ44" t="str">
            <v>X</v>
          </cell>
          <cell r="BV44" t="str">
            <v>X</v>
          </cell>
          <cell r="BX44">
            <v>3</v>
          </cell>
          <cell r="BY44">
            <v>2</v>
          </cell>
          <cell r="BZ44">
            <v>1</v>
          </cell>
          <cell r="DD44">
            <v>3</v>
          </cell>
        </row>
        <row r="45">
          <cell r="E45" t="str">
            <v>X</v>
          </cell>
          <cell r="N45" t="str">
            <v>MICHOACAN</v>
          </cell>
          <cell r="O45">
            <v>8</v>
          </cell>
          <cell r="S45" t="str">
            <v>X</v>
          </cell>
          <cell r="AH45">
            <v>1999</v>
          </cell>
          <cell r="AI45">
            <v>1560000</v>
          </cell>
          <cell r="AT45" t="str">
            <v>CUMMINS</v>
          </cell>
          <cell r="AV45">
            <v>0.2</v>
          </cell>
          <cell r="AX45">
            <v>2.2000000000000002</v>
          </cell>
          <cell r="BE45">
            <v>15000</v>
          </cell>
          <cell r="BF45">
            <v>30000</v>
          </cell>
          <cell r="BG45">
            <v>30000</v>
          </cell>
          <cell r="BH45">
            <v>100000</v>
          </cell>
          <cell r="BI45">
            <v>30000</v>
          </cell>
          <cell r="BO45" t="str">
            <v>X</v>
          </cell>
          <cell r="BU45" t="str">
            <v>X</v>
          </cell>
          <cell r="BX45">
            <v>2</v>
          </cell>
          <cell r="BY45">
            <v>1</v>
          </cell>
          <cell r="BZ45">
            <v>3</v>
          </cell>
          <cell r="DD45">
            <v>1</v>
          </cell>
        </row>
        <row r="46">
          <cell r="E46" t="str">
            <v>X</v>
          </cell>
          <cell r="N46" t="str">
            <v>D.F.</v>
          </cell>
          <cell r="O46">
            <v>30</v>
          </cell>
          <cell r="S46" t="str">
            <v>X</v>
          </cell>
          <cell r="U46" t="str">
            <v>X</v>
          </cell>
          <cell r="AH46">
            <v>1982</v>
          </cell>
          <cell r="AI46">
            <v>2000000</v>
          </cell>
          <cell r="AT46" t="str">
            <v>BICAM</v>
          </cell>
          <cell r="AV46">
            <v>0.5</v>
          </cell>
          <cell r="AX46">
            <v>1.8</v>
          </cell>
          <cell r="BE46">
            <v>8000</v>
          </cell>
          <cell r="BF46">
            <v>6000</v>
          </cell>
          <cell r="BG46">
            <v>15000</v>
          </cell>
          <cell r="BH46">
            <v>100000</v>
          </cell>
          <cell r="BI46">
            <v>15000</v>
          </cell>
          <cell r="BK46" t="str">
            <v>X</v>
          </cell>
          <cell r="BW46" t="str">
            <v>X</v>
          </cell>
          <cell r="BX46">
            <v>1</v>
          </cell>
          <cell r="BY46">
            <v>2</v>
          </cell>
          <cell r="BZ46">
            <v>3</v>
          </cell>
          <cell r="DD46">
            <v>1</v>
          </cell>
        </row>
        <row r="47">
          <cell r="G47" t="str">
            <v>X</v>
          </cell>
          <cell r="N47" t="str">
            <v>EDO. MEX.</v>
          </cell>
          <cell r="O47">
            <v>22</v>
          </cell>
          <cell r="S47" t="str">
            <v>X</v>
          </cell>
          <cell r="U47" t="str">
            <v>X</v>
          </cell>
          <cell r="AH47">
            <v>2001</v>
          </cell>
          <cell r="AI47">
            <v>1750000</v>
          </cell>
          <cell r="AT47" t="str">
            <v>CUMMINS</v>
          </cell>
          <cell r="AV47">
            <v>0.3</v>
          </cell>
          <cell r="AX47">
            <v>1.7</v>
          </cell>
          <cell r="BE47">
            <v>10000</v>
          </cell>
          <cell r="BF47">
            <v>12000</v>
          </cell>
          <cell r="BG47">
            <v>10000</v>
          </cell>
          <cell r="BH47">
            <v>160000</v>
          </cell>
          <cell r="BI47">
            <v>10000</v>
          </cell>
          <cell r="BS47" t="str">
            <v>CARRITOS DE GOLF</v>
          </cell>
          <cell r="BV47" t="str">
            <v>X</v>
          </cell>
          <cell r="BX47">
            <v>2</v>
          </cell>
          <cell r="BY47">
            <v>3</v>
          </cell>
          <cell r="BZ47">
            <v>1</v>
          </cell>
          <cell r="DD47">
            <v>3</v>
          </cell>
        </row>
        <row r="48">
          <cell r="G48" t="str">
            <v>X</v>
          </cell>
          <cell r="N48" t="str">
            <v>EDO. MEX.</v>
          </cell>
          <cell r="O48">
            <v>8</v>
          </cell>
          <cell r="S48" t="str">
            <v>X</v>
          </cell>
          <cell r="Y48" t="str">
            <v>X</v>
          </cell>
          <cell r="AH48">
            <v>2011</v>
          </cell>
          <cell r="AI48">
            <v>300000</v>
          </cell>
          <cell r="AT48" t="str">
            <v>PACCAR</v>
          </cell>
          <cell r="AV48">
            <v>0.5</v>
          </cell>
          <cell r="AX48">
            <v>3</v>
          </cell>
          <cell r="BE48">
            <v>10000</v>
          </cell>
          <cell r="BF48">
            <v>10000</v>
          </cell>
          <cell r="BG48">
            <v>10000</v>
          </cell>
          <cell r="BH48">
            <v>190000</v>
          </cell>
          <cell r="BI48">
            <v>10000</v>
          </cell>
          <cell r="BR48" t="str">
            <v>X</v>
          </cell>
          <cell r="BU48" t="str">
            <v>X</v>
          </cell>
          <cell r="BX48">
            <v>2</v>
          </cell>
          <cell r="BY48">
            <v>3</v>
          </cell>
          <cell r="BZ48">
            <v>1</v>
          </cell>
          <cell r="DD48">
            <v>3</v>
          </cell>
        </row>
        <row r="49">
          <cell r="G49" t="str">
            <v>X</v>
          </cell>
          <cell r="N49" t="str">
            <v>EDO. MEX.</v>
          </cell>
          <cell r="O49">
            <v>4</v>
          </cell>
          <cell r="S49" t="str">
            <v>X</v>
          </cell>
          <cell r="AH49">
            <v>1975</v>
          </cell>
          <cell r="AI49" t="str">
            <v>NO SABE</v>
          </cell>
          <cell r="AT49" t="str">
            <v>CUMMINS</v>
          </cell>
          <cell r="AV49">
            <v>0.2</v>
          </cell>
          <cell r="AX49">
            <v>2.7</v>
          </cell>
          <cell r="BE49">
            <v>16000</v>
          </cell>
          <cell r="BF49">
            <v>32000</v>
          </cell>
          <cell r="BG49">
            <v>36000</v>
          </cell>
          <cell r="BH49">
            <v>80000</v>
          </cell>
          <cell r="BI49">
            <v>36000</v>
          </cell>
          <cell r="BR49" t="str">
            <v>X</v>
          </cell>
          <cell r="BV49" t="str">
            <v>X</v>
          </cell>
          <cell r="BX49">
            <v>2</v>
          </cell>
          <cell r="BY49">
            <v>3</v>
          </cell>
          <cell r="BZ49">
            <v>1</v>
          </cell>
          <cell r="DD49">
            <v>3</v>
          </cell>
        </row>
        <row r="50">
          <cell r="G50" t="str">
            <v>X</v>
          </cell>
          <cell r="N50" t="str">
            <v>EDO. MEX.</v>
          </cell>
          <cell r="O50">
            <v>19</v>
          </cell>
          <cell r="S50" t="str">
            <v>X</v>
          </cell>
          <cell r="U50" t="str">
            <v>X</v>
          </cell>
          <cell r="AH50">
            <v>2000</v>
          </cell>
          <cell r="AI50">
            <v>1700000</v>
          </cell>
          <cell r="AT50" t="str">
            <v>DETROIT</v>
          </cell>
          <cell r="AV50">
            <v>0.2</v>
          </cell>
          <cell r="AX50">
            <v>2</v>
          </cell>
          <cell r="BE50">
            <v>12000</v>
          </cell>
          <cell r="BF50">
            <v>60000</v>
          </cell>
          <cell r="BG50">
            <v>25000</v>
          </cell>
          <cell r="BH50">
            <v>190000</v>
          </cell>
          <cell r="BI50">
            <v>25000</v>
          </cell>
          <cell r="BP50" t="str">
            <v>X</v>
          </cell>
          <cell r="BU50" t="str">
            <v>X</v>
          </cell>
          <cell r="BX50">
            <v>2</v>
          </cell>
          <cell r="BY50">
            <v>3</v>
          </cell>
          <cell r="BZ50">
            <v>1</v>
          </cell>
          <cell r="DD50">
            <v>3</v>
          </cell>
        </row>
        <row r="51">
          <cell r="G51" t="str">
            <v>X</v>
          </cell>
          <cell r="N51" t="str">
            <v>D.F.</v>
          </cell>
          <cell r="O51">
            <v>33</v>
          </cell>
          <cell r="X51" t="str">
            <v>X</v>
          </cell>
          <cell r="AH51">
            <v>2005</v>
          </cell>
          <cell r="AI51">
            <v>1500000</v>
          </cell>
          <cell r="AT51" t="str">
            <v>NO SABE</v>
          </cell>
          <cell r="AV51">
            <v>0.5</v>
          </cell>
          <cell r="AX51">
            <v>2.8</v>
          </cell>
          <cell r="BE51">
            <v>10000</v>
          </cell>
          <cell r="BF51">
            <v>30000</v>
          </cell>
          <cell r="BG51">
            <v>30000</v>
          </cell>
          <cell r="BH51">
            <v>125000</v>
          </cell>
          <cell r="BI51">
            <v>30000</v>
          </cell>
          <cell r="BR51" t="str">
            <v>X</v>
          </cell>
          <cell r="BU51" t="str">
            <v>X</v>
          </cell>
          <cell r="BX51">
            <v>3</v>
          </cell>
          <cell r="BY51">
            <v>1</v>
          </cell>
          <cell r="BZ51">
            <v>2</v>
          </cell>
          <cell r="DD51">
            <v>3</v>
          </cell>
        </row>
        <row r="52">
          <cell r="E52" t="str">
            <v>X</v>
          </cell>
          <cell r="N52" t="str">
            <v>D.F.</v>
          </cell>
          <cell r="O52">
            <v>35</v>
          </cell>
          <cell r="S52" t="str">
            <v>X</v>
          </cell>
          <cell r="W52" t="str">
            <v>X</v>
          </cell>
          <cell r="AH52">
            <v>1983</v>
          </cell>
          <cell r="AI52">
            <v>1600000</v>
          </cell>
          <cell r="AT52" t="str">
            <v>CUMMINS</v>
          </cell>
          <cell r="AV52">
            <v>0.5</v>
          </cell>
          <cell r="AX52">
            <v>1.3</v>
          </cell>
          <cell r="BE52">
            <v>15000</v>
          </cell>
          <cell r="BF52">
            <v>60000</v>
          </cell>
          <cell r="BG52">
            <v>60000</v>
          </cell>
          <cell r="BH52">
            <v>120000</v>
          </cell>
          <cell r="BI52">
            <v>60000</v>
          </cell>
          <cell r="BO52" t="str">
            <v>X</v>
          </cell>
          <cell r="BV52" t="str">
            <v>X</v>
          </cell>
          <cell r="BX52">
            <v>2</v>
          </cell>
          <cell r="BY52">
            <v>3</v>
          </cell>
          <cell r="BZ52">
            <v>1</v>
          </cell>
          <cell r="DD52">
            <v>1</v>
          </cell>
        </row>
        <row r="53">
          <cell r="H53" t="str">
            <v>X</v>
          </cell>
          <cell r="N53" t="str">
            <v>EDO. MEX.</v>
          </cell>
          <cell r="O53">
            <v>4</v>
          </cell>
          <cell r="S53" t="str">
            <v>X</v>
          </cell>
          <cell r="X53" t="str">
            <v>X</v>
          </cell>
          <cell r="AH53">
            <v>2006</v>
          </cell>
          <cell r="AI53">
            <v>1150000</v>
          </cell>
          <cell r="AT53" t="str">
            <v>CUMMINS</v>
          </cell>
          <cell r="AV53">
            <v>0.2</v>
          </cell>
          <cell r="AX53">
            <v>2.8</v>
          </cell>
          <cell r="BE53">
            <v>30000</v>
          </cell>
          <cell r="BF53">
            <v>30000</v>
          </cell>
          <cell r="BG53">
            <v>30000</v>
          </cell>
          <cell r="BH53">
            <v>160000</v>
          </cell>
          <cell r="BI53">
            <v>30000</v>
          </cell>
          <cell r="BQ53" t="str">
            <v>X</v>
          </cell>
          <cell r="BU53" t="str">
            <v>X</v>
          </cell>
          <cell r="BX53">
            <v>1</v>
          </cell>
          <cell r="BY53">
            <v>2</v>
          </cell>
          <cell r="BZ53">
            <v>3</v>
          </cell>
          <cell r="DD53">
            <v>7</v>
          </cell>
        </row>
        <row r="54">
          <cell r="H54" t="str">
            <v>X</v>
          </cell>
          <cell r="N54" t="str">
            <v>D.F.</v>
          </cell>
          <cell r="O54">
            <v>23</v>
          </cell>
          <cell r="U54" t="str">
            <v>X</v>
          </cell>
          <cell r="AH54">
            <v>1995</v>
          </cell>
          <cell r="AI54">
            <v>1450000</v>
          </cell>
          <cell r="AT54" t="str">
            <v>MERCEDES BENZ</v>
          </cell>
          <cell r="AV54">
            <v>0.5</v>
          </cell>
          <cell r="AX54">
            <v>3</v>
          </cell>
          <cell r="BE54">
            <v>10000</v>
          </cell>
          <cell r="BF54">
            <v>25000</v>
          </cell>
          <cell r="BG54">
            <v>10000</v>
          </cell>
          <cell r="BH54">
            <v>80000</v>
          </cell>
          <cell r="BI54">
            <v>10000</v>
          </cell>
          <cell r="BL54" t="str">
            <v>X</v>
          </cell>
          <cell r="BU54" t="str">
            <v>X</v>
          </cell>
          <cell r="BX54">
            <v>2</v>
          </cell>
          <cell r="BY54">
            <v>3</v>
          </cell>
          <cell r="BZ54">
            <v>1</v>
          </cell>
          <cell r="DD54">
            <v>7</v>
          </cell>
        </row>
        <row r="55">
          <cell r="G55" t="str">
            <v>X</v>
          </cell>
          <cell r="N55" t="str">
            <v>EDO. MEX.</v>
          </cell>
          <cell r="O55">
            <v>7</v>
          </cell>
          <cell r="S55" t="str">
            <v>X</v>
          </cell>
          <cell r="AH55">
            <v>2000</v>
          </cell>
          <cell r="AI55" t="str">
            <v>DAÑADO</v>
          </cell>
          <cell r="AT55" t="str">
            <v>DETROIT</v>
          </cell>
          <cell r="AV55">
            <v>0.5</v>
          </cell>
          <cell r="AX55">
            <v>2</v>
          </cell>
          <cell r="BE55">
            <v>20000</v>
          </cell>
          <cell r="BF55">
            <v>120000</v>
          </cell>
          <cell r="BG55">
            <v>20000</v>
          </cell>
          <cell r="BH55">
            <v>180000</v>
          </cell>
          <cell r="BI55">
            <v>20000</v>
          </cell>
          <cell r="BM55" t="str">
            <v>X</v>
          </cell>
          <cell r="BU55" t="str">
            <v>X</v>
          </cell>
          <cell r="BX55">
            <v>1</v>
          </cell>
          <cell r="BY55">
            <v>3</v>
          </cell>
          <cell r="BZ55">
            <v>2</v>
          </cell>
          <cell r="DD55">
            <v>3</v>
          </cell>
        </row>
        <row r="56">
          <cell r="H56" t="str">
            <v>X</v>
          </cell>
          <cell r="N56" t="str">
            <v>EDO. MEX.</v>
          </cell>
          <cell r="O56">
            <v>44</v>
          </cell>
          <cell r="S56" t="str">
            <v>X</v>
          </cell>
          <cell r="U56" t="str">
            <v>X</v>
          </cell>
          <cell r="AH56">
            <v>2007</v>
          </cell>
          <cell r="AI56">
            <v>1700000</v>
          </cell>
          <cell r="AT56" t="str">
            <v>CUMMINS</v>
          </cell>
          <cell r="AV56">
            <v>0.1</v>
          </cell>
          <cell r="AX56">
            <v>2.5</v>
          </cell>
          <cell r="BE56">
            <v>60000</v>
          </cell>
          <cell r="BF56">
            <v>120000</v>
          </cell>
          <cell r="BG56">
            <v>60000</v>
          </cell>
          <cell r="BH56">
            <v>200000</v>
          </cell>
          <cell r="BI56">
            <v>60000</v>
          </cell>
          <cell r="BS56" t="str">
            <v>MERCANCIA SECA</v>
          </cell>
          <cell r="BU56" t="str">
            <v>X</v>
          </cell>
          <cell r="BX56">
            <v>1</v>
          </cell>
          <cell r="BY56">
            <v>2</v>
          </cell>
          <cell r="BZ56">
            <v>3</v>
          </cell>
          <cell r="DD56">
            <v>7</v>
          </cell>
        </row>
        <row r="57">
          <cell r="F57" t="str">
            <v>X</v>
          </cell>
          <cell r="N57" t="str">
            <v>D.F.</v>
          </cell>
          <cell r="O57">
            <v>8</v>
          </cell>
          <cell r="AH57">
            <v>1989</v>
          </cell>
          <cell r="AI57" t="str">
            <v>DAÑADO</v>
          </cell>
          <cell r="AT57" t="str">
            <v>FORD</v>
          </cell>
          <cell r="AV57">
            <v>0.5</v>
          </cell>
          <cell r="AX57">
            <v>2.5</v>
          </cell>
          <cell r="BE57">
            <v>10000</v>
          </cell>
          <cell r="BF57">
            <v>50000</v>
          </cell>
          <cell r="BG57">
            <v>10000</v>
          </cell>
          <cell r="BH57">
            <v>100000</v>
          </cell>
          <cell r="BI57" t="str">
            <v>NO APLICA</v>
          </cell>
          <cell r="BN57" t="str">
            <v>X</v>
          </cell>
          <cell r="BU57" t="str">
            <v>X</v>
          </cell>
          <cell r="BX57">
            <v>2</v>
          </cell>
          <cell r="BY57">
            <v>1</v>
          </cell>
          <cell r="BZ57">
            <v>3</v>
          </cell>
          <cell r="DD57">
            <v>2</v>
          </cell>
        </row>
        <row r="58">
          <cell r="G58" t="str">
            <v>X</v>
          </cell>
          <cell r="N58" t="str">
            <v>D.F.</v>
          </cell>
          <cell r="O58">
            <v>30</v>
          </cell>
          <cell r="U58" t="str">
            <v>X</v>
          </cell>
          <cell r="AH58">
            <v>1995</v>
          </cell>
          <cell r="AI58">
            <v>900000</v>
          </cell>
          <cell r="AT58" t="str">
            <v>FORD</v>
          </cell>
          <cell r="AV58">
            <v>0.5</v>
          </cell>
          <cell r="AX58">
            <v>2</v>
          </cell>
          <cell r="BE58">
            <v>6000</v>
          </cell>
          <cell r="BF58">
            <v>10000</v>
          </cell>
          <cell r="BG58">
            <v>15000</v>
          </cell>
          <cell r="BH58">
            <v>90000</v>
          </cell>
          <cell r="BI58" t="str">
            <v>NO APLICA</v>
          </cell>
          <cell r="BS58" t="str">
            <v>PAPELERIA</v>
          </cell>
          <cell r="BU58" t="str">
            <v>X</v>
          </cell>
          <cell r="BX58">
            <v>2</v>
          </cell>
          <cell r="BY58">
            <v>1</v>
          </cell>
          <cell r="BZ58">
            <v>3</v>
          </cell>
          <cell r="DD58">
            <v>3</v>
          </cell>
        </row>
        <row r="59">
          <cell r="H59" t="str">
            <v>X</v>
          </cell>
          <cell r="N59" t="str">
            <v>SINALOA</v>
          </cell>
          <cell r="O59">
            <v>30</v>
          </cell>
          <cell r="X59" t="str">
            <v>X</v>
          </cell>
          <cell r="AH59">
            <v>2009</v>
          </cell>
          <cell r="AI59">
            <v>300000</v>
          </cell>
          <cell r="AT59" t="str">
            <v>CUMMINS</v>
          </cell>
          <cell r="AV59">
            <v>0.5</v>
          </cell>
          <cell r="AX59">
            <v>2.8</v>
          </cell>
          <cell r="BE59">
            <v>12000</v>
          </cell>
          <cell r="BF59">
            <v>12000</v>
          </cell>
          <cell r="BG59">
            <v>12000</v>
          </cell>
          <cell r="BH59">
            <v>100000</v>
          </cell>
          <cell r="BI59">
            <v>12000</v>
          </cell>
          <cell r="BJ59" t="str">
            <v>X</v>
          </cell>
          <cell r="BU59" t="str">
            <v>X</v>
          </cell>
          <cell r="BX59">
            <v>1</v>
          </cell>
          <cell r="BY59">
            <v>2</v>
          </cell>
          <cell r="BZ59">
            <v>3</v>
          </cell>
          <cell r="DD59">
            <v>7</v>
          </cell>
        </row>
        <row r="60">
          <cell r="G60" t="str">
            <v>X</v>
          </cell>
          <cell r="N60" t="str">
            <v>EDO. MEX.</v>
          </cell>
          <cell r="O60">
            <v>8</v>
          </cell>
          <cell r="S60" t="str">
            <v>X</v>
          </cell>
          <cell r="AH60">
            <v>2007</v>
          </cell>
          <cell r="AI60">
            <v>600000</v>
          </cell>
          <cell r="AT60" t="str">
            <v>KENWORTH</v>
          </cell>
          <cell r="AV60">
            <v>0.5</v>
          </cell>
          <cell r="AX60">
            <v>2</v>
          </cell>
          <cell r="BE60">
            <v>24000</v>
          </cell>
          <cell r="BF60">
            <v>30000</v>
          </cell>
          <cell r="BG60">
            <v>24000</v>
          </cell>
          <cell r="BH60">
            <v>90000</v>
          </cell>
          <cell r="BI60">
            <v>24000</v>
          </cell>
          <cell r="BM60" t="str">
            <v>X</v>
          </cell>
          <cell r="BU60" t="str">
            <v>X</v>
          </cell>
          <cell r="BX60">
            <v>1</v>
          </cell>
          <cell r="BY60">
            <v>2</v>
          </cell>
          <cell r="BZ60">
            <v>3</v>
          </cell>
          <cell r="DD60">
            <v>3</v>
          </cell>
        </row>
        <row r="61">
          <cell r="H61" t="str">
            <v>X</v>
          </cell>
          <cell r="N61" t="str">
            <v>EDO. MEX.</v>
          </cell>
          <cell r="O61">
            <v>7</v>
          </cell>
          <cell r="Q61" t="str">
            <v>X</v>
          </cell>
          <cell r="U61" t="str">
            <v>X</v>
          </cell>
          <cell r="AH61">
            <v>2013</v>
          </cell>
          <cell r="AI61">
            <v>300000</v>
          </cell>
          <cell r="AT61" t="str">
            <v>VOLVO</v>
          </cell>
          <cell r="AV61">
            <v>0.1</v>
          </cell>
          <cell r="AX61">
            <v>2.8</v>
          </cell>
          <cell r="BE61">
            <v>20000</v>
          </cell>
          <cell r="BF61">
            <v>25000</v>
          </cell>
          <cell r="BG61">
            <v>20000</v>
          </cell>
          <cell r="BH61">
            <v>200000</v>
          </cell>
          <cell r="BI61">
            <v>20000</v>
          </cell>
          <cell r="BS61" t="str">
            <v>GENERAL</v>
          </cell>
          <cell r="BU61" t="str">
            <v>X</v>
          </cell>
          <cell r="BX61">
            <v>2</v>
          </cell>
          <cell r="BY61">
            <v>1</v>
          </cell>
          <cell r="BZ61">
            <v>3</v>
          </cell>
          <cell r="DD61">
            <v>7</v>
          </cell>
        </row>
        <row r="62">
          <cell r="H62" t="str">
            <v>X</v>
          </cell>
          <cell r="N62" t="str">
            <v>EDO. MEX.</v>
          </cell>
          <cell r="O62">
            <v>8</v>
          </cell>
          <cell r="U62" t="str">
            <v>X</v>
          </cell>
          <cell r="AH62">
            <v>2007</v>
          </cell>
          <cell r="AI62">
            <v>800000</v>
          </cell>
          <cell r="AT62" t="str">
            <v>KENWORTH</v>
          </cell>
          <cell r="AV62">
            <v>0.5</v>
          </cell>
          <cell r="AX62">
            <v>2.5</v>
          </cell>
          <cell r="BE62">
            <v>12000</v>
          </cell>
          <cell r="BF62">
            <v>25000</v>
          </cell>
          <cell r="BG62">
            <v>10000</v>
          </cell>
          <cell r="BH62">
            <v>100000</v>
          </cell>
          <cell r="BI62">
            <v>10000</v>
          </cell>
          <cell r="BS62" t="str">
            <v>GENERAL</v>
          </cell>
          <cell r="BU62" t="str">
            <v>X</v>
          </cell>
          <cell r="BX62">
            <v>2</v>
          </cell>
          <cell r="BY62">
            <v>3</v>
          </cell>
          <cell r="BZ62">
            <v>1</v>
          </cell>
          <cell r="DD62">
            <v>7</v>
          </cell>
        </row>
        <row r="63">
          <cell r="G63" t="str">
            <v>X</v>
          </cell>
          <cell r="N63" t="str">
            <v>D.F.</v>
          </cell>
          <cell r="O63">
            <v>18</v>
          </cell>
          <cell r="S63" t="str">
            <v>X</v>
          </cell>
          <cell r="U63" t="str">
            <v>X</v>
          </cell>
          <cell r="AH63">
            <v>2012</v>
          </cell>
          <cell r="AI63">
            <v>350000</v>
          </cell>
          <cell r="AT63" t="str">
            <v>PACCAR</v>
          </cell>
          <cell r="AV63">
            <v>0.1</v>
          </cell>
          <cell r="AX63">
            <v>2</v>
          </cell>
          <cell r="BE63">
            <v>25000</v>
          </cell>
          <cell r="BF63">
            <v>90000</v>
          </cell>
          <cell r="BG63">
            <v>25000</v>
          </cell>
          <cell r="BH63">
            <v>180000</v>
          </cell>
          <cell r="BI63">
            <v>25000</v>
          </cell>
          <cell r="BO63" t="str">
            <v>X</v>
          </cell>
          <cell r="BV63" t="str">
            <v>X</v>
          </cell>
          <cell r="BX63">
            <v>2</v>
          </cell>
          <cell r="BY63">
            <v>1</v>
          </cell>
          <cell r="BZ63">
            <v>3</v>
          </cell>
          <cell r="DD63">
            <v>3</v>
          </cell>
        </row>
        <row r="64">
          <cell r="H64" t="str">
            <v>X</v>
          </cell>
          <cell r="N64" t="str">
            <v>EDO. MEX.</v>
          </cell>
          <cell r="O64">
            <v>5</v>
          </cell>
          <cell r="Q64" t="str">
            <v>X</v>
          </cell>
          <cell r="U64" t="str">
            <v>X</v>
          </cell>
          <cell r="AH64">
            <v>2013</v>
          </cell>
          <cell r="AI64">
            <v>150000</v>
          </cell>
          <cell r="AT64" t="str">
            <v>ISUZU</v>
          </cell>
          <cell r="AV64">
            <v>0.2</v>
          </cell>
          <cell r="AX64">
            <v>2</v>
          </cell>
          <cell r="BE64">
            <v>10000</v>
          </cell>
          <cell r="BF64">
            <v>90000</v>
          </cell>
          <cell r="BG64">
            <v>10000</v>
          </cell>
          <cell r="BH64">
            <v>180000</v>
          </cell>
          <cell r="BI64">
            <v>10000</v>
          </cell>
          <cell r="BN64" t="str">
            <v>X</v>
          </cell>
          <cell r="BU64" t="str">
            <v>X</v>
          </cell>
          <cell r="BX64">
            <v>1</v>
          </cell>
          <cell r="BY64">
            <v>2</v>
          </cell>
          <cell r="BZ64">
            <v>3</v>
          </cell>
          <cell r="DD64">
            <v>7</v>
          </cell>
        </row>
        <row r="65">
          <cell r="F65" t="str">
            <v>X</v>
          </cell>
          <cell r="N65" t="str">
            <v>D.F.</v>
          </cell>
          <cell r="O65">
            <v>10</v>
          </cell>
          <cell r="S65" t="str">
            <v>X</v>
          </cell>
          <cell r="U65" t="str">
            <v>X</v>
          </cell>
          <cell r="AH65">
            <v>2002</v>
          </cell>
          <cell r="AI65">
            <v>1000000</v>
          </cell>
          <cell r="AT65" t="str">
            <v>CUMMINS</v>
          </cell>
          <cell r="AV65">
            <v>0.5</v>
          </cell>
          <cell r="AX65">
            <v>1.5</v>
          </cell>
          <cell r="BE65">
            <v>15000</v>
          </cell>
          <cell r="BF65">
            <v>30000</v>
          </cell>
          <cell r="BG65">
            <v>15000</v>
          </cell>
          <cell r="BH65">
            <v>120000</v>
          </cell>
          <cell r="BI65">
            <v>15000</v>
          </cell>
          <cell r="BL65" t="str">
            <v>X</v>
          </cell>
          <cell r="BU65" t="str">
            <v>X</v>
          </cell>
          <cell r="BX65">
            <v>1</v>
          </cell>
          <cell r="BY65">
            <v>2</v>
          </cell>
          <cell r="BZ65">
            <v>3</v>
          </cell>
          <cell r="DD65">
            <v>2</v>
          </cell>
        </row>
        <row r="66">
          <cell r="H66" t="str">
            <v>X</v>
          </cell>
          <cell r="N66" t="str">
            <v>HIDALGO</v>
          </cell>
          <cell r="O66">
            <v>52</v>
          </cell>
          <cell r="S66" t="str">
            <v>X</v>
          </cell>
          <cell r="AH66">
            <v>2004</v>
          </cell>
          <cell r="AI66">
            <v>500000</v>
          </cell>
          <cell r="AT66" t="str">
            <v>CUMMINS</v>
          </cell>
          <cell r="AV66">
            <v>0.5</v>
          </cell>
          <cell r="AX66">
            <v>2.8</v>
          </cell>
          <cell r="BE66">
            <v>60000</v>
          </cell>
          <cell r="BF66">
            <v>40000</v>
          </cell>
          <cell r="BG66">
            <v>20000</v>
          </cell>
          <cell r="BH66">
            <v>80000</v>
          </cell>
          <cell r="BI66">
            <v>20000</v>
          </cell>
          <cell r="BS66" t="str">
            <v>MAQUINARIA</v>
          </cell>
          <cell r="BU66" t="str">
            <v>X</v>
          </cell>
          <cell r="BX66">
            <v>2</v>
          </cell>
          <cell r="BY66">
            <v>3</v>
          </cell>
          <cell r="BZ66">
            <v>1</v>
          </cell>
          <cell r="DD66">
            <v>7</v>
          </cell>
        </row>
        <row r="67">
          <cell r="H67" t="str">
            <v>X</v>
          </cell>
          <cell r="N67" t="str">
            <v>EDO. MEX.</v>
          </cell>
          <cell r="O67">
            <v>12</v>
          </cell>
          <cell r="S67" t="str">
            <v>X</v>
          </cell>
          <cell r="U67" t="str">
            <v>X</v>
          </cell>
          <cell r="AH67">
            <v>2001</v>
          </cell>
          <cell r="AI67">
            <v>1750000</v>
          </cell>
          <cell r="AT67" t="str">
            <v>CUMMINS</v>
          </cell>
          <cell r="AV67">
            <v>0.2</v>
          </cell>
          <cell r="AX67">
            <v>2.2000000000000002</v>
          </cell>
          <cell r="BE67">
            <v>15000</v>
          </cell>
          <cell r="BF67">
            <v>72000</v>
          </cell>
          <cell r="BG67">
            <v>15000</v>
          </cell>
          <cell r="BH67">
            <v>72000</v>
          </cell>
          <cell r="BI67">
            <v>15000</v>
          </cell>
          <cell r="BR67" t="str">
            <v>X</v>
          </cell>
          <cell r="BU67" t="str">
            <v>X</v>
          </cell>
          <cell r="BX67">
            <v>2</v>
          </cell>
          <cell r="BY67">
            <v>1</v>
          </cell>
          <cell r="BZ67">
            <v>3</v>
          </cell>
          <cell r="DD67">
            <v>7</v>
          </cell>
        </row>
        <row r="68">
          <cell r="G68" t="str">
            <v>X</v>
          </cell>
          <cell r="N68" t="str">
            <v>EDO. MEX.</v>
          </cell>
          <cell r="O68">
            <v>13</v>
          </cell>
          <cell r="U68" t="str">
            <v>X</v>
          </cell>
          <cell r="AH68">
            <v>1994</v>
          </cell>
          <cell r="AI68">
            <v>1800000</v>
          </cell>
          <cell r="AT68" t="str">
            <v>CUMMINS</v>
          </cell>
          <cell r="AV68">
            <v>0.5</v>
          </cell>
          <cell r="AX68">
            <v>2.9</v>
          </cell>
          <cell r="BE68">
            <v>12000</v>
          </cell>
          <cell r="BF68">
            <v>15000</v>
          </cell>
          <cell r="BG68">
            <v>12000</v>
          </cell>
          <cell r="BH68">
            <v>100000</v>
          </cell>
          <cell r="BI68">
            <v>12000</v>
          </cell>
          <cell r="BS68" t="str">
            <v>CONTENEDOR</v>
          </cell>
          <cell r="BV68" t="str">
            <v>X</v>
          </cell>
          <cell r="BX68">
            <v>1</v>
          </cell>
          <cell r="BY68">
            <v>3</v>
          </cell>
          <cell r="BZ68">
            <v>2</v>
          </cell>
          <cell r="DD68">
            <v>3</v>
          </cell>
        </row>
        <row r="69">
          <cell r="G69" t="str">
            <v>X</v>
          </cell>
          <cell r="N69" t="str">
            <v>EDO. MEX.</v>
          </cell>
          <cell r="O69">
            <v>9</v>
          </cell>
          <cell r="U69" t="str">
            <v>X</v>
          </cell>
          <cell r="AH69">
            <v>2005</v>
          </cell>
          <cell r="AI69">
            <v>1000000</v>
          </cell>
          <cell r="AT69" t="str">
            <v>CUMMINS</v>
          </cell>
          <cell r="AV69">
            <v>0.5</v>
          </cell>
          <cell r="AX69">
            <v>2.2999999999999998</v>
          </cell>
          <cell r="BE69">
            <v>12000</v>
          </cell>
          <cell r="BF69">
            <v>60000</v>
          </cell>
          <cell r="BG69">
            <v>12000</v>
          </cell>
          <cell r="BH69">
            <v>120000</v>
          </cell>
          <cell r="BI69">
            <v>12000</v>
          </cell>
          <cell r="BN69" t="str">
            <v>X</v>
          </cell>
          <cell r="BV69" t="str">
            <v>X</v>
          </cell>
          <cell r="BX69">
            <v>2</v>
          </cell>
          <cell r="BY69">
            <v>3</v>
          </cell>
          <cell r="BZ69">
            <v>1</v>
          </cell>
          <cell r="DD69">
            <v>3</v>
          </cell>
        </row>
        <row r="70">
          <cell r="G70" t="str">
            <v>X</v>
          </cell>
          <cell r="N70" t="str">
            <v>EDO. MEX.</v>
          </cell>
          <cell r="O70">
            <v>35</v>
          </cell>
          <cell r="U70" t="str">
            <v>X</v>
          </cell>
          <cell r="AH70">
            <v>2000</v>
          </cell>
          <cell r="AI70">
            <v>1850000</v>
          </cell>
          <cell r="AT70" t="str">
            <v>CUMMINS</v>
          </cell>
          <cell r="AV70">
            <v>0.5</v>
          </cell>
          <cell r="AX70">
            <v>2.5</v>
          </cell>
          <cell r="BE70">
            <v>20000</v>
          </cell>
          <cell r="BF70">
            <v>20000</v>
          </cell>
          <cell r="BG70">
            <v>10000</v>
          </cell>
          <cell r="BH70">
            <v>144000</v>
          </cell>
          <cell r="BI70">
            <v>10000</v>
          </cell>
          <cell r="BM70" t="str">
            <v>X</v>
          </cell>
          <cell r="BV70" t="str">
            <v>X</v>
          </cell>
          <cell r="BX70">
            <v>1</v>
          </cell>
          <cell r="BY70">
            <v>2</v>
          </cell>
          <cell r="BZ70">
            <v>3</v>
          </cell>
          <cell r="DD70">
            <v>3</v>
          </cell>
        </row>
        <row r="71">
          <cell r="G71" t="str">
            <v>X</v>
          </cell>
          <cell r="N71" t="str">
            <v>D.F.</v>
          </cell>
          <cell r="O71">
            <v>23</v>
          </cell>
          <cell r="X71" t="str">
            <v>X</v>
          </cell>
          <cell r="AH71">
            <v>2011</v>
          </cell>
          <cell r="AI71">
            <v>500000</v>
          </cell>
          <cell r="AT71" t="str">
            <v>MERCEDES BENZ</v>
          </cell>
          <cell r="AV71">
            <v>0.5</v>
          </cell>
          <cell r="AX71">
            <v>3.2</v>
          </cell>
          <cell r="BE71">
            <v>16000</v>
          </cell>
          <cell r="BF71">
            <v>40000</v>
          </cell>
          <cell r="BG71">
            <v>16000</v>
          </cell>
          <cell r="BH71">
            <v>100000</v>
          </cell>
          <cell r="BI71">
            <v>16000</v>
          </cell>
          <cell r="BS71" t="str">
            <v>MEDICAMENTOS</v>
          </cell>
          <cell r="BU71" t="str">
            <v>X</v>
          </cell>
          <cell r="BX71">
            <v>1</v>
          </cell>
          <cell r="BY71">
            <v>3</v>
          </cell>
          <cell r="BZ71">
            <v>2</v>
          </cell>
          <cell r="DD71">
            <v>3</v>
          </cell>
        </row>
        <row r="72">
          <cell r="H72" t="str">
            <v>X</v>
          </cell>
          <cell r="N72" t="str">
            <v>EDO. MEX.</v>
          </cell>
          <cell r="O72">
            <v>15</v>
          </cell>
          <cell r="Y72" t="str">
            <v>X</v>
          </cell>
          <cell r="AH72">
            <v>2010</v>
          </cell>
          <cell r="AI72">
            <v>540000</v>
          </cell>
          <cell r="AT72" t="str">
            <v>KENWORTH</v>
          </cell>
          <cell r="AV72">
            <v>0.5</v>
          </cell>
          <cell r="AX72">
            <v>2.8</v>
          </cell>
          <cell r="BE72">
            <v>25000</v>
          </cell>
          <cell r="BF72">
            <v>60000</v>
          </cell>
          <cell r="BG72">
            <v>25000</v>
          </cell>
          <cell r="BH72">
            <v>180000</v>
          </cell>
          <cell r="BI72">
            <v>25000</v>
          </cell>
          <cell r="BR72" t="str">
            <v>X</v>
          </cell>
          <cell r="BU72" t="str">
            <v>X</v>
          </cell>
          <cell r="BX72">
            <v>2</v>
          </cell>
          <cell r="BY72">
            <v>1</v>
          </cell>
          <cell r="BZ72">
            <v>3</v>
          </cell>
          <cell r="DD72">
            <v>7</v>
          </cell>
        </row>
        <row r="73">
          <cell r="G73" t="str">
            <v>X</v>
          </cell>
          <cell r="N73" t="str">
            <v>D.F.</v>
          </cell>
          <cell r="O73">
            <v>15</v>
          </cell>
          <cell r="S73" t="str">
            <v>X</v>
          </cell>
          <cell r="U73" t="str">
            <v>X</v>
          </cell>
          <cell r="AH73">
            <v>2008</v>
          </cell>
          <cell r="AI73">
            <v>700000</v>
          </cell>
          <cell r="AT73" t="str">
            <v>KENWORTH</v>
          </cell>
          <cell r="AV73">
            <v>0.5</v>
          </cell>
          <cell r="AX73">
            <v>2.1</v>
          </cell>
          <cell r="BE73">
            <v>30000</v>
          </cell>
          <cell r="BF73">
            <v>40000</v>
          </cell>
          <cell r="BG73">
            <v>12000</v>
          </cell>
          <cell r="BH73">
            <v>100000</v>
          </cell>
          <cell r="BI73">
            <v>12000</v>
          </cell>
          <cell r="BR73" t="str">
            <v>X</v>
          </cell>
          <cell r="BV73" t="str">
            <v>X</v>
          </cell>
          <cell r="BX73">
            <v>2</v>
          </cell>
          <cell r="BY73">
            <v>3</v>
          </cell>
          <cell r="BZ73">
            <v>1</v>
          </cell>
          <cell r="DD73">
            <v>3</v>
          </cell>
        </row>
        <row r="74">
          <cell r="H74" t="str">
            <v>X</v>
          </cell>
          <cell r="N74" t="str">
            <v>EDO. MEX.</v>
          </cell>
          <cell r="O74">
            <v>25</v>
          </cell>
          <cell r="Q74" t="str">
            <v>X</v>
          </cell>
          <cell r="U74" t="str">
            <v>X</v>
          </cell>
          <cell r="AH74">
            <v>2000</v>
          </cell>
          <cell r="AI74">
            <v>2300000</v>
          </cell>
          <cell r="AT74" t="str">
            <v>MERCEDES BENZ</v>
          </cell>
          <cell r="AV74">
            <v>0.5</v>
          </cell>
          <cell r="AX74">
            <v>2</v>
          </cell>
          <cell r="BE74">
            <v>20000</v>
          </cell>
          <cell r="BF74">
            <v>25000</v>
          </cell>
          <cell r="BG74">
            <v>20000</v>
          </cell>
          <cell r="BH74">
            <v>80000</v>
          </cell>
          <cell r="BI74">
            <v>20000</v>
          </cell>
          <cell r="BS74" t="str">
            <v>GENERAL</v>
          </cell>
          <cell r="BU74" t="str">
            <v>X</v>
          </cell>
          <cell r="BX74">
            <v>1</v>
          </cell>
          <cell r="BY74">
            <v>2</v>
          </cell>
          <cell r="BZ74">
            <v>3</v>
          </cell>
          <cell r="DD74">
            <v>7</v>
          </cell>
        </row>
        <row r="75">
          <cell r="H75" t="str">
            <v>X</v>
          </cell>
          <cell r="N75" t="str">
            <v>EDO. MEX.</v>
          </cell>
          <cell r="O75">
            <v>22</v>
          </cell>
          <cell r="S75" t="str">
            <v>X</v>
          </cell>
          <cell r="AH75">
            <v>2014</v>
          </cell>
          <cell r="AI75">
            <v>10000</v>
          </cell>
          <cell r="AT75" t="str">
            <v>CUMMINS</v>
          </cell>
          <cell r="AV75">
            <v>0.5</v>
          </cell>
          <cell r="AX75">
            <v>2</v>
          </cell>
          <cell r="BE75">
            <v>40000</v>
          </cell>
          <cell r="BF75">
            <v>40000</v>
          </cell>
          <cell r="BG75">
            <v>40000</v>
          </cell>
          <cell r="BH75" t="str">
            <v>NO SABE</v>
          </cell>
          <cell r="BI75">
            <v>40000</v>
          </cell>
          <cell r="BR75" t="str">
            <v>X</v>
          </cell>
          <cell r="BV75" t="str">
            <v>X</v>
          </cell>
          <cell r="BX75">
            <v>2</v>
          </cell>
          <cell r="BY75">
            <v>4</v>
          </cell>
          <cell r="BZ75">
            <v>3</v>
          </cell>
          <cell r="CA75" t="str">
            <v>SEGURIDAD</v>
          </cell>
          <cell r="DD75">
            <v>7</v>
          </cell>
        </row>
        <row r="76">
          <cell r="G76" t="str">
            <v>X</v>
          </cell>
          <cell r="N76" t="str">
            <v>EDO. MEX.</v>
          </cell>
          <cell r="O76">
            <v>20</v>
          </cell>
          <cell r="S76" t="str">
            <v>X</v>
          </cell>
          <cell r="U76" t="str">
            <v>X</v>
          </cell>
          <cell r="AH76">
            <v>2007</v>
          </cell>
          <cell r="AI76">
            <v>1400000</v>
          </cell>
          <cell r="AT76" t="str">
            <v>CATERPILLAR</v>
          </cell>
          <cell r="AV76">
            <v>0.15</v>
          </cell>
          <cell r="AX76">
            <v>1.5</v>
          </cell>
          <cell r="BE76">
            <v>30000</v>
          </cell>
          <cell r="BF76">
            <v>25000</v>
          </cell>
          <cell r="BG76">
            <v>30000</v>
          </cell>
          <cell r="BH76">
            <v>240000</v>
          </cell>
          <cell r="BI76">
            <v>30000</v>
          </cell>
          <cell r="BS76" t="str">
            <v>GENERAL</v>
          </cell>
          <cell r="BV76" t="str">
            <v>X</v>
          </cell>
          <cell r="BX76">
            <v>1</v>
          </cell>
          <cell r="BY76">
            <v>3</v>
          </cell>
          <cell r="BZ76">
            <v>2</v>
          </cell>
          <cell r="DD76">
            <v>3</v>
          </cell>
        </row>
        <row r="77">
          <cell r="F77" t="str">
            <v>X</v>
          </cell>
          <cell r="N77" t="str">
            <v>EDO. MEX.</v>
          </cell>
          <cell r="O77">
            <v>18</v>
          </cell>
          <cell r="S77" t="str">
            <v>X</v>
          </cell>
          <cell r="U77" t="str">
            <v>X</v>
          </cell>
          <cell r="AH77">
            <v>2007</v>
          </cell>
          <cell r="AI77">
            <v>1700000</v>
          </cell>
          <cell r="AT77" t="str">
            <v>CATERPILLAR</v>
          </cell>
          <cell r="AV77">
            <v>0.3</v>
          </cell>
          <cell r="AX77">
            <v>2.8</v>
          </cell>
          <cell r="BE77">
            <v>25000</v>
          </cell>
          <cell r="BF77">
            <v>18000</v>
          </cell>
          <cell r="BG77">
            <v>18000</v>
          </cell>
          <cell r="BH77">
            <v>150000</v>
          </cell>
          <cell r="BI77">
            <v>18000</v>
          </cell>
          <cell r="BM77" t="str">
            <v>X</v>
          </cell>
          <cell r="BU77" t="str">
            <v>X</v>
          </cell>
          <cell r="BX77">
            <v>2</v>
          </cell>
          <cell r="BY77">
            <v>3</v>
          </cell>
          <cell r="BZ77">
            <v>1</v>
          </cell>
          <cell r="DD77">
            <v>2</v>
          </cell>
        </row>
        <row r="78">
          <cell r="E78" t="str">
            <v>X</v>
          </cell>
          <cell r="N78" t="str">
            <v>EDO. MEX.</v>
          </cell>
          <cell r="O78">
            <v>12</v>
          </cell>
          <cell r="AH78">
            <v>1986</v>
          </cell>
          <cell r="AI78">
            <v>800000</v>
          </cell>
          <cell r="AT78" t="str">
            <v>NAVISTAR</v>
          </cell>
          <cell r="AV78">
            <v>0.5</v>
          </cell>
          <cell r="AX78">
            <v>1.8</v>
          </cell>
          <cell r="BE78">
            <v>12000</v>
          </cell>
          <cell r="BF78">
            <v>25000</v>
          </cell>
          <cell r="BG78">
            <v>12000</v>
          </cell>
          <cell r="BH78">
            <v>72000</v>
          </cell>
          <cell r="BI78">
            <v>12000</v>
          </cell>
          <cell r="BS78" t="str">
            <v>MAQUINARIA</v>
          </cell>
          <cell r="BU78" t="str">
            <v>X</v>
          </cell>
          <cell r="BX78">
            <v>1</v>
          </cell>
          <cell r="BY78">
            <v>2</v>
          </cell>
          <cell r="BZ78">
            <v>3</v>
          </cell>
          <cell r="DD78">
            <v>1</v>
          </cell>
        </row>
        <row r="79">
          <cell r="G79" t="str">
            <v>X</v>
          </cell>
          <cell r="N79" t="str">
            <v>EDO. MEX.</v>
          </cell>
          <cell r="O79">
            <v>14</v>
          </cell>
          <cell r="Q79" t="str">
            <v>X</v>
          </cell>
          <cell r="Y79" t="str">
            <v>X</v>
          </cell>
          <cell r="AH79">
            <v>2000</v>
          </cell>
          <cell r="AI79">
            <v>2350000</v>
          </cell>
          <cell r="AT79" t="str">
            <v>ISUZU</v>
          </cell>
          <cell r="AV79">
            <v>0.5</v>
          </cell>
          <cell r="AX79">
            <v>1.5</v>
          </cell>
          <cell r="BE79">
            <v>7000</v>
          </cell>
          <cell r="BF79">
            <v>15000</v>
          </cell>
          <cell r="BG79">
            <v>15000</v>
          </cell>
          <cell r="BH79">
            <v>90000</v>
          </cell>
          <cell r="BI79">
            <v>15000</v>
          </cell>
          <cell r="BS79" t="str">
            <v>AGUA POTABLE</v>
          </cell>
          <cell r="BV79" t="str">
            <v>X</v>
          </cell>
          <cell r="BX79">
            <v>1</v>
          </cell>
          <cell r="BY79">
            <v>3</v>
          </cell>
          <cell r="BZ79">
            <v>2</v>
          </cell>
          <cell r="DD79">
            <v>3</v>
          </cell>
        </row>
        <row r="80">
          <cell r="G80" t="str">
            <v>X</v>
          </cell>
          <cell r="N80" t="str">
            <v>EDO. MEX.</v>
          </cell>
          <cell r="O80">
            <v>4</v>
          </cell>
          <cell r="U80" t="str">
            <v>X</v>
          </cell>
          <cell r="AH80">
            <v>2005</v>
          </cell>
          <cell r="AI80">
            <v>450000</v>
          </cell>
          <cell r="AT80" t="str">
            <v>KENWORTH</v>
          </cell>
          <cell r="AV80">
            <v>0.5</v>
          </cell>
          <cell r="AX80">
            <v>1.5</v>
          </cell>
          <cell r="BE80">
            <v>10000</v>
          </cell>
          <cell r="BF80">
            <v>10000</v>
          </cell>
          <cell r="BG80">
            <v>10000</v>
          </cell>
          <cell r="BH80">
            <v>120000</v>
          </cell>
          <cell r="BI80">
            <v>10000</v>
          </cell>
          <cell r="BM80" t="str">
            <v>X</v>
          </cell>
          <cell r="BV80" t="str">
            <v>X</v>
          </cell>
          <cell r="BX80">
            <v>1</v>
          </cell>
          <cell r="BY80">
            <v>3</v>
          </cell>
          <cell r="BZ80">
            <v>2</v>
          </cell>
          <cell r="DD80">
            <v>3</v>
          </cell>
        </row>
        <row r="81">
          <cell r="H81" t="str">
            <v>X</v>
          </cell>
          <cell r="N81" t="str">
            <v>EDO. MEX.</v>
          </cell>
          <cell r="O81">
            <v>23</v>
          </cell>
          <cell r="U81" t="str">
            <v>X</v>
          </cell>
          <cell r="AH81">
            <v>2012</v>
          </cell>
          <cell r="AI81">
            <v>255000</v>
          </cell>
          <cell r="AT81" t="str">
            <v>DINA</v>
          </cell>
          <cell r="AV81">
            <v>0.5</v>
          </cell>
          <cell r="AX81">
            <v>1.5</v>
          </cell>
          <cell r="BE81">
            <v>12000</v>
          </cell>
          <cell r="BF81">
            <v>50000</v>
          </cell>
          <cell r="BG81">
            <v>30000</v>
          </cell>
          <cell r="BH81">
            <v>200000</v>
          </cell>
          <cell r="BI81" t="str">
            <v>NO APLICA</v>
          </cell>
          <cell r="BN81" t="str">
            <v>X</v>
          </cell>
          <cell r="BV81" t="str">
            <v>X</v>
          </cell>
          <cell r="BX81">
            <v>2</v>
          </cell>
          <cell r="BY81">
            <v>1</v>
          </cell>
          <cell r="BZ81">
            <v>3</v>
          </cell>
          <cell r="DD81">
            <v>7</v>
          </cell>
        </row>
        <row r="82">
          <cell r="H82" t="str">
            <v>X</v>
          </cell>
          <cell r="N82" t="str">
            <v>D.F.</v>
          </cell>
          <cell r="O82">
            <v>22</v>
          </cell>
          <cell r="U82" t="str">
            <v>X</v>
          </cell>
          <cell r="AH82">
            <v>2003</v>
          </cell>
          <cell r="AI82">
            <v>450000</v>
          </cell>
          <cell r="AT82" t="str">
            <v>FORD</v>
          </cell>
          <cell r="AV82">
            <v>0.5</v>
          </cell>
          <cell r="AX82">
            <v>3</v>
          </cell>
          <cell r="BE82">
            <v>30000</v>
          </cell>
          <cell r="BF82">
            <v>10000</v>
          </cell>
          <cell r="BG82">
            <v>100000</v>
          </cell>
          <cell r="BH82">
            <v>300000</v>
          </cell>
          <cell r="BI82" t="str">
            <v>NO APLICA</v>
          </cell>
          <cell r="BK82" t="str">
            <v>X</v>
          </cell>
          <cell r="BU82" t="str">
            <v>X</v>
          </cell>
          <cell r="BX82">
            <v>2</v>
          </cell>
          <cell r="BY82">
            <v>3</v>
          </cell>
          <cell r="BZ82">
            <v>1</v>
          </cell>
          <cell r="DD82">
            <v>7</v>
          </cell>
        </row>
        <row r="83">
          <cell r="H83" t="str">
            <v>X</v>
          </cell>
          <cell r="N83" t="str">
            <v>EDO. MEX.</v>
          </cell>
          <cell r="O83">
            <v>15</v>
          </cell>
          <cell r="S83" t="str">
            <v>X</v>
          </cell>
          <cell r="V83" t="str">
            <v>X</v>
          </cell>
          <cell r="AH83">
            <v>2013</v>
          </cell>
          <cell r="AI83">
            <v>200000</v>
          </cell>
          <cell r="AT83" t="str">
            <v>KENWORTH</v>
          </cell>
          <cell r="AV83">
            <v>0.1</v>
          </cell>
          <cell r="AX83">
            <v>2</v>
          </cell>
          <cell r="BE83">
            <v>20000</v>
          </cell>
          <cell r="BF83">
            <v>40000</v>
          </cell>
          <cell r="BG83">
            <v>30000</v>
          </cell>
          <cell r="BH83" t="str">
            <v>NO SABE</v>
          </cell>
          <cell r="BI83">
            <v>20000</v>
          </cell>
          <cell r="BS83" t="str">
            <v>GENERAL</v>
          </cell>
          <cell r="BV83" t="str">
            <v>X</v>
          </cell>
          <cell r="BX83">
            <v>2</v>
          </cell>
          <cell r="BY83">
            <v>4</v>
          </cell>
          <cell r="BZ83">
            <v>3</v>
          </cell>
          <cell r="CA83" t="str">
            <v>LUGAR DONDE SE ENCUENTRA</v>
          </cell>
          <cell r="DD83">
            <v>7</v>
          </cell>
        </row>
        <row r="84">
          <cell r="F84" t="str">
            <v>X</v>
          </cell>
          <cell r="N84" t="str">
            <v>EDO. MEX.</v>
          </cell>
          <cell r="O84">
            <v>21</v>
          </cell>
          <cell r="S84" t="str">
            <v>X</v>
          </cell>
          <cell r="U84" t="str">
            <v>X</v>
          </cell>
          <cell r="AH84">
            <v>2012</v>
          </cell>
          <cell r="AI84">
            <v>190000</v>
          </cell>
          <cell r="AT84" t="str">
            <v>NAVISTAR</v>
          </cell>
          <cell r="AV84">
            <v>0.5</v>
          </cell>
          <cell r="AX84">
            <v>2.4</v>
          </cell>
          <cell r="BE84">
            <v>6000</v>
          </cell>
          <cell r="BF84">
            <v>18000</v>
          </cell>
          <cell r="BG84">
            <v>6000</v>
          </cell>
          <cell r="BH84">
            <v>70000</v>
          </cell>
          <cell r="BI84">
            <v>6000</v>
          </cell>
          <cell r="BL84" t="str">
            <v>X</v>
          </cell>
          <cell r="BV84" t="str">
            <v>X</v>
          </cell>
          <cell r="BX84">
            <v>2</v>
          </cell>
          <cell r="BY84">
            <v>3</v>
          </cell>
          <cell r="BZ84">
            <v>1</v>
          </cell>
          <cell r="DD84">
            <v>2</v>
          </cell>
        </row>
        <row r="85">
          <cell r="E85" t="str">
            <v>X</v>
          </cell>
          <cell r="N85" t="str">
            <v>EDO. MEX.</v>
          </cell>
          <cell r="O85">
            <v>22</v>
          </cell>
          <cell r="Q85" t="str">
            <v>X</v>
          </cell>
          <cell r="U85" t="str">
            <v>X</v>
          </cell>
          <cell r="AH85">
            <v>2001</v>
          </cell>
          <cell r="AI85">
            <v>865000</v>
          </cell>
          <cell r="AT85" t="str">
            <v>CATERPILLAR</v>
          </cell>
          <cell r="AV85">
            <v>0.5</v>
          </cell>
          <cell r="AX85">
            <v>3</v>
          </cell>
          <cell r="BE85">
            <v>18000</v>
          </cell>
          <cell r="BF85">
            <v>12000</v>
          </cell>
          <cell r="BG85">
            <v>18000</v>
          </cell>
          <cell r="BH85">
            <v>90000</v>
          </cell>
          <cell r="BI85">
            <v>18000</v>
          </cell>
          <cell r="BS85" t="str">
            <v>MUDANZAS</v>
          </cell>
          <cell r="BU85" t="str">
            <v>X</v>
          </cell>
          <cell r="BX85">
            <v>1</v>
          </cell>
          <cell r="BY85">
            <v>2</v>
          </cell>
          <cell r="BZ85">
            <v>3</v>
          </cell>
          <cell r="DD85">
            <v>1</v>
          </cell>
        </row>
        <row r="86">
          <cell r="G86" t="str">
            <v>X</v>
          </cell>
          <cell r="N86" t="str">
            <v>EDO. MEX.</v>
          </cell>
          <cell r="O86">
            <v>18</v>
          </cell>
          <cell r="S86" t="str">
            <v>X</v>
          </cell>
          <cell r="U86" t="str">
            <v>X</v>
          </cell>
          <cell r="AH86">
            <v>1998</v>
          </cell>
          <cell r="AI86">
            <v>2000000</v>
          </cell>
          <cell r="AT86" t="str">
            <v>MERCEDES BENZ</v>
          </cell>
          <cell r="AV86">
            <v>0.5</v>
          </cell>
          <cell r="AX86">
            <v>1.8</v>
          </cell>
          <cell r="BE86">
            <v>10000</v>
          </cell>
          <cell r="BF86">
            <v>36000</v>
          </cell>
          <cell r="BG86">
            <v>10000</v>
          </cell>
          <cell r="BH86">
            <v>72000</v>
          </cell>
          <cell r="BI86">
            <v>10000</v>
          </cell>
          <cell r="BJ86" t="str">
            <v>X</v>
          </cell>
          <cell r="BU86" t="str">
            <v>X</v>
          </cell>
          <cell r="BX86">
            <v>1</v>
          </cell>
          <cell r="BY86">
            <v>3</v>
          </cell>
          <cell r="BZ86">
            <v>2</v>
          </cell>
          <cell r="DD86">
            <v>3</v>
          </cell>
        </row>
        <row r="87">
          <cell r="E87" t="str">
            <v>X</v>
          </cell>
          <cell r="N87" t="str">
            <v>EDO. MEX.</v>
          </cell>
          <cell r="O87">
            <v>21</v>
          </cell>
          <cell r="S87" t="str">
            <v>X</v>
          </cell>
          <cell r="U87" t="str">
            <v>X</v>
          </cell>
          <cell r="AH87">
            <v>2000</v>
          </cell>
          <cell r="AI87">
            <v>1000000</v>
          </cell>
          <cell r="AT87" t="str">
            <v>CUMMINS</v>
          </cell>
          <cell r="AV87">
            <v>0.5</v>
          </cell>
          <cell r="AX87">
            <v>1.5</v>
          </cell>
          <cell r="BE87">
            <v>10000</v>
          </cell>
          <cell r="BF87">
            <v>12000</v>
          </cell>
          <cell r="BG87">
            <v>10000</v>
          </cell>
          <cell r="BH87">
            <v>36000</v>
          </cell>
          <cell r="BI87">
            <v>10000</v>
          </cell>
          <cell r="BK87" t="str">
            <v>X</v>
          </cell>
          <cell r="BO87" t="str">
            <v>X</v>
          </cell>
          <cell r="BV87" t="str">
            <v>X</v>
          </cell>
          <cell r="BX87">
            <v>1</v>
          </cell>
          <cell r="BY87">
            <v>3</v>
          </cell>
          <cell r="BZ87">
            <v>2</v>
          </cell>
          <cell r="DD87">
            <v>1</v>
          </cell>
        </row>
        <row r="88">
          <cell r="F88" t="str">
            <v>X</v>
          </cell>
          <cell r="N88" t="str">
            <v>D.F.</v>
          </cell>
          <cell r="O88">
            <v>25</v>
          </cell>
          <cell r="S88" t="str">
            <v>X</v>
          </cell>
          <cell r="U88" t="str">
            <v>X</v>
          </cell>
          <cell r="AH88">
            <v>2003</v>
          </cell>
          <cell r="AI88">
            <v>1000000</v>
          </cell>
          <cell r="AT88" t="str">
            <v>CUMMINS</v>
          </cell>
          <cell r="AV88">
            <v>0.5</v>
          </cell>
          <cell r="AX88">
            <v>1.8</v>
          </cell>
          <cell r="BE88">
            <v>16000</v>
          </cell>
          <cell r="BF88">
            <v>32000</v>
          </cell>
          <cell r="BG88">
            <v>16000</v>
          </cell>
          <cell r="BH88">
            <v>80000</v>
          </cell>
          <cell r="BI88">
            <v>32000</v>
          </cell>
          <cell r="BO88" t="str">
            <v>X</v>
          </cell>
          <cell r="BU88" t="str">
            <v>X</v>
          </cell>
          <cell r="BX88">
            <v>2</v>
          </cell>
          <cell r="BY88">
            <v>3</v>
          </cell>
          <cell r="BZ88">
            <v>1</v>
          </cell>
          <cell r="DD88">
            <v>2</v>
          </cell>
        </row>
        <row r="89">
          <cell r="E89" t="str">
            <v>X</v>
          </cell>
          <cell r="N89" t="str">
            <v>EDO. MEX.</v>
          </cell>
          <cell r="O89">
            <v>20</v>
          </cell>
          <cell r="S89" t="str">
            <v>X</v>
          </cell>
          <cell r="U89" t="str">
            <v>X</v>
          </cell>
          <cell r="AH89">
            <v>1999</v>
          </cell>
          <cell r="AI89">
            <v>400000</v>
          </cell>
          <cell r="AT89" t="str">
            <v>CUMMINS</v>
          </cell>
          <cell r="AV89">
            <v>0.5</v>
          </cell>
          <cell r="AX89">
            <v>1</v>
          </cell>
          <cell r="BE89">
            <v>10000</v>
          </cell>
          <cell r="BF89">
            <v>10000</v>
          </cell>
          <cell r="BG89">
            <v>10000</v>
          </cell>
          <cell r="BH89">
            <v>100000</v>
          </cell>
          <cell r="BI89">
            <v>10000</v>
          </cell>
          <cell r="BK89" t="str">
            <v>X</v>
          </cell>
          <cell r="BO89" t="str">
            <v>X</v>
          </cell>
          <cell r="BU89" t="str">
            <v>X</v>
          </cell>
          <cell r="BX89">
            <v>1</v>
          </cell>
          <cell r="BY89">
            <v>3</v>
          </cell>
          <cell r="BZ89">
            <v>2</v>
          </cell>
          <cell r="DD89">
            <v>1</v>
          </cell>
        </row>
        <row r="90">
          <cell r="F90" t="str">
            <v>X</v>
          </cell>
          <cell r="N90" t="str">
            <v>PUEBLA</v>
          </cell>
          <cell r="O90">
            <v>22</v>
          </cell>
          <cell r="S90" t="str">
            <v>X</v>
          </cell>
          <cell r="X90" t="str">
            <v>X</v>
          </cell>
          <cell r="AH90">
            <v>2004</v>
          </cell>
          <cell r="AI90">
            <v>1000000</v>
          </cell>
          <cell r="AT90" t="str">
            <v>INTERNATIONAL</v>
          </cell>
          <cell r="AV90">
            <v>0.5</v>
          </cell>
          <cell r="AX90">
            <v>2</v>
          </cell>
          <cell r="BE90">
            <v>24000</v>
          </cell>
          <cell r="BF90">
            <v>24000</v>
          </cell>
          <cell r="BG90">
            <v>24000</v>
          </cell>
          <cell r="BH90">
            <v>96000</v>
          </cell>
          <cell r="BI90">
            <v>24000</v>
          </cell>
          <cell r="BJ90" t="str">
            <v>X</v>
          </cell>
          <cell r="BU90" t="str">
            <v>X</v>
          </cell>
          <cell r="BX90">
            <v>2</v>
          </cell>
          <cell r="BY90">
            <v>3</v>
          </cell>
          <cell r="BZ90">
            <v>1</v>
          </cell>
          <cell r="DD90">
            <v>2</v>
          </cell>
        </row>
        <row r="91">
          <cell r="G91" t="str">
            <v>X</v>
          </cell>
          <cell r="N91" t="str">
            <v>EDO. MEX.</v>
          </cell>
          <cell r="O91">
            <v>15</v>
          </cell>
          <cell r="U91" t="str">
            <v>X</v>
          </cell>
          <cell r="AH91">
            <v>2008</v>
          </cell>
          <cell r="AI91">
            <v>900000</v>
          </cell>
          <cell r="AT91" t="str">
            <v>CUMMINS</v>
          </cell>
          <cell r="AV91">
            <v>0.3</v>
          </cell>
          <cell r="AX91">
            <v>2.5</v>
          </cell>
          <cell r="BE91">
            <v>12000</v>
          </cell>
          <cell r="BF91">
            <v>35000</v>
          </cell>
          <cell r="BG91">
            <v>20000</v>
          </cell>
          <cell r="BH91">
            <v>120000</v>
          </cell>
          <cell r="BI91">
            <v>20000</v>
          </cell>
          <cell r="BO91" t="str">
            <v>X</v>
          </cell>
          <cell r="BV91" t="str">
            <v>X</v>
          </cell>
          <cell r="BX91">
            <v>3</v>
          </cell>
          <cell r="BY91">
            <v>1</v>
          </cell>
          <cell r="BZ91">
            <v>2</v>
          </cell>
          <cell r="DD91">
            <v>3</v>
          </cell>
        </row>
        <row r="92">
          <cell r="H92" t="str">
            <v>X</v>
          </cell>
          <cell r="N92" t="str">
            <v>D.F.</v>
          </cell>
          <cell r="O92">
            <v>18</v>
          </cell>
          <cell r="U92" t="str">
            <v>X</v>
          </cell>
          <cell r="AH92">
            <v>2004</v>
          </cell>
          <cell r="AI92">
            <v>800000</v>
          </cell>
          <cell r="AT92" t="str">
            <v>FORD</v>
          </cell>
          <cell r="AV92">
            <v>0.5</v>
          </cell>
          <cell r="AX92">
            <v>3</v>
          </cell>
          <cell r="BE92">
            <v>6000</v>
          </cell>
          <cell r="BF92">
            <v>6000</v>
          </cell>
          <cell r="BG92">
            <v>6000</v>
          </cell>
          <cell r="BH92">
            <v>60000</v>
          </cell>
          <cell r="BI92">
            <v>6000</v>
          </cell>
          <cell r="BS92" t="str">
            <v>GENERAL</v>
          </cell>
          <cell r="BU92" t="str">
            <v>X</v>
          </cell>
          <cell r="BX92">
            <v>1</v>
          </cell>
          <cell r="BY92">
            <v>3</v>
          </cell>
          <cell r="BZ92">
            <v>2</v>
          </cell>
          <cell r="DD92">
            <v>7</v>
          </cell>
        </row>
        <row r="93">
          <cell r="E93" t="str">
            <v>X</v>
          </cell>
          <cell r="N93" t="str">
            <v>PUEBLA</v>
          </cell>
          <cell r="O93">
            <v>20</v>
          </cell>
          <cell r="Q93" t="str">
            <v>X</v>
          </cell>
          <cell r="X93" t="str">
            <v>X</v>
          </cell>
          <cell r="AH93">
            <v>2005</v>
          </cell>
          <cell r="AI93">
            <v>1200000</v>
          </cell>
          <cell r="AT93" t="str">
            <v>INTERNATIONAL</v>
          </cell>
          <cell r="AV93">
            <v>0.5</v>
          </cell>
          <cell r="AX93">
            <v>1.8</v>
          </cell>
          <cell r="BE93">
            <v>12000</v>
          </cell>
          <cell r="BF93">
            <v>72000</v>
          </cell>
          <cell r="BG93">
            <v>24000</v>
          </cell>
          <cell r="BH93">
            <v>72000</v>
          </cell>
          <cell r="BI93">
            <v>36000</v>
          </cell>
          <cell r="BJ93" t="str">
            <v>X</v>
          </cell>
          <cell r="BU93" t="str">
            <v>X</v>
          </cell>
          <cell r="BX93">
            <v>2</v>
          </cell>
          <cell r="BY93">
            <v>1</v>
          </cell>
          <cell r="BZ93">
            <v>3</v>
          </cell>
          <cell r="DD93">
            <v>1</v>
          </cell>
        </row>
        <row r="94">
          <cell r="G94" t="str">
            <v>X</v>
          </cell>
          <cell r="N94" t="str">
            <v>D.F.</v>
          </cell>
          <cell r="O94">
            <v>10</v>
          </cell>
          <cell r="S94" t="str">
            <v>X</v>
          </cell>
          <cell r="U94" t="str">
            <v>X</v>
          </cell>
          <cell r="AH94">
            <v>2010</v>
          </cell>
          <cell r="AI94">
            <v>600000</v>
          </cell>
          <cell r="AT94" t="str">
            <v>KENWORTH</v>
          </cell>
          <cell r="AV94">
            <v>0.5</v>
          </cell>
          <cell r="AX94">
            <v>2.2000000000000002</v>
          </cell>
          <cell r="BE94">
            <v>12000</v>
          </cell>
          <cell r="BF94">
            <v>8000</v>
          </cell>
          <cell r="BG94">
            <v>12000</v>
          </cell>
          <cell r="BH94">
            <v>120000</v>
          </cell>
          <cell r="BI94">
            <v>12000</v>
          </cell>
          <cell r="BL94" t="str">
            <v>X</v>
          </cell>
          <cell r="BU94" t="str">
            <v>X</v>
          </cell>
          <cell r="BX94">
            <v>1</v>
          </cell>
          <cell r="BY94">
            <v>3</v>
          </cell>
          <cell r="BZ94">
            <v>2</v>
          </cell>
          <cell r="DD94">
            <v>3</v>
          </cell>
        </row>
        <row r="95">
          <cell r="F95" t="str">
            <v>X</v>
          </cell>
          <cell r="N95" t="str">
            <v>D.F.</v>
          </cell>
          <cell r="O95">
            <v>20</v>
          </cell>
          <cell r="U95" t="str">
            <v>X</v>
          </cell>
          <cell r="AH95">
            <v>2000</v>
          </cell>
          <cell r="AI95">
            <v>2340000</v>
          </cell>
          <cell r="AT95" t="str">
            <v>KENWORTH</v>
          </cell>
          <cell r="AV95">
            <v>0.5</v>
          </cell>
          <cell r="AX95">
            <v>2.8</v>
          </cell>
          <cell r="BE95">
            <v>45000</v>
          </cell>
          <cell r="BF95">
            <v>90000</v>
          </cell>
          <cell r="BG95">
            <v>45000</v>
          </cell>
          <cell r="BH95">
            <v>180000</v>
          </cell>
          <cell r="BI95">
            <v>45000</v>
          </cell>
          <cell r="BS95" t="str">
            <v>GENERAL</v>
          </cell>
          <cell r="BU95" t="str">
            <v>X</v>
          </cell>
          <cell r="BX95">
            <v>3</v>
          </cell>
          <cell r="BY95">
            <v>1</v>
          </cell>
          <cell r="BZ95">
            <v>2</v>
          </cell>
          <cell r="DD95">
            <v>2</v>
          </cell>
        </row>
        <row r="96">
          <cell r="G96" t="str">
            <v>X</v>
          </cell>
          <cell r="N96" t="str">
            <v>EDO. MEX.</v>
          </cell>
          <cell r="O96">
            <v>2</v>
          </cell>
          <cell r="U96" t="str">
            <v>X</v>
          </cell>
          <cell r="AH96">
            <v>2001</v>
          </cell>
          <cell r="AI96">
            <v>2800000</v>
          </cell>
          <cell r="AT96" t="str">
            <v>DINA</v>
          </cell>
          <cell r="AV96">
            <v>0.5</v>
          </cell>
          <cell r="AX96">
            <v>3</v>
          </cell>
          <cell r="BE96">
            <v>20000</v>
          </cell>
          <cell r="BF96">
            <v>120000</v>
          </cell>
          <cell r="BG96">
            <v>20000</v>
          </cell>
          <cell r="BH96">
            <v>160000</v>
          </cell>
          <cell r="BI96">
            <v>20000</v>
          </cell>
          <cell r="BJ96" t="str">
            <v>X</v>
          </cell>
          <cell r="BV96" t="str">
            <v>X</v>
          </cell>
          <cell r="BX96">
            <v>3</v>
          </cell>
          <cell r="BY96">
            <v>2</v>
          </cell>
          <cell r="BZ96">
            <v>1</v>
          </cell>
          <cell r="DD96">
            <v>3</v>
          </cell>
        </row>
        <row r="97">
          <cell r="G97" t="str">
            <v>X</v>
          </cell>
          <cell r="N97" t="str">
            <v>EDO. MEX.</v>
          </cell>
          <cell r="O97">
            <v>2</v>
          </cell>
          <cell r="U97" t="str">
            <v>X</v>
          </cell>
          <cell r="AH97">
            <v>1980</v>
          </cell>
          <cell r="AI97">
            <v>3500000</v>
          </cell>
          <cell r="AT97" t="str">
            <v>DINA</v>
          </cell>
          <cell r="AV97">
            <v>0.5</v>
          </cell>
          <cell r="AX97">
            <v>1.8</v>
          </cell>
          <cell r="BE97">
            <v>50000</v>
          </cell>
          <cell r="BF97">
            <v>60000</v>
          </cell>
          <cell r="BG97">
            <v>12000</v>
          </cell>
          <cell r="BH97">
            <v>60000</v>
          </cell>
          <cell r="BI97">
            <v>30000</v>
          </cell>
          <cell r="BS97" t="str">
            <v>JABON</v>
          </cell>
          <cell r="BV97" t="str">
            <v>X</v>
          </cell>
          <cell r="BX97">
            <v>2</v>
          </cell>
          <cell r="BY97">
            <v>3</v>
          </cell>
          <cell r="BZ97">
            <v>1</v>
          </cell>
          <cell r="DD97">
            <v>3</v>
          </cell>
        </row>
        <row r="98">
          <cell r="H98" t="str">
            <v>X</v>
          </cell>
          <cell r="N98" t="str">
            <v>D.F.</v>
          </cell>
          <cell r="O98">
            <v>20</v>
          </cell>
          <cell r="U98" t="str">
            <v>X</v>
          </cell>
          <cell r="AH98">
            <v>2011</v>
          </cell>
          <cell r="AI98">
            <v>70000</v>
          </cell>
          <cell r="AT98" t="str">
            <v>KENWORTH</v>
          </cell>
          <cell r="AV98">
            <v>0.5</v>
          </cell>
          <cell r="AX98">
            <v>2.7</v>
          </cell>
          <cell r="BE98">
            <v>8000</v>
          </cell>
          <cell r="BF98">
            <v>18000</v>
          </cell>
          <cell r="BG98">
            <v>10000</v>
          </cell>
          <cell r="BH98">
            <v>36000</v>
          </cell>
          <cell r="BI98">
            <v>8000</v>
          </cell>
          <cell r="BS98" t="str">
            <v>GENERAL</v>
          </cell>
          <cell r="BV98" t="str">
            <v>X</v>
          </cell>
          <cell r="BX98">
            <v>3</v>
          </cell>
          <cell r="BY98">
            <v>1</v>
          </cell>
          <cell r="BZ98">
            <v>2</v>
          </cell>
          <cell r="DD98">
            <v>7</v>
          </cell>
        </row>
        <row r="99">
          <cell r="F99" t="str">
            <v>X</v>
          </cell>
          <cell r="N99" t="str">
            <v>D.F.</v>
          </cell>
          <cell r="O99">
            <v>5</v>
          </cell>
          <cell r="U99" t="str">
            <v>X</v>
          </cell>
          <cell r="AH99">
            <v>2004</v>
          </cell>
          <cell r="AI99">
            <v>300000</v>
          </cell>
          <cell r="AT99" t="str">
            <v>KENWORTH</v>
          </cell>
          <cell r="AV99">
            <v>0.5</v>
          </cell>
          <cell r="AX99">
            <v>2.5</v>
          </cell>
          <cell r="BE99">
            <v>10000</v>
          </cell>
          <cell r="BF99">
            <v>20000</v>
          </cell>
          <cell r="BG99">
            <v>20000</v>
          </cell>
          <cell r="BH99">
            <v>120000</v>
          </cell>
          <cell r="BI99">
            <v>10000</v>
          </cell>
          <cell r="BL99" t="str">
            <v>X</v>
          </cell>
          <cell r="BS99" t="str">
            <v>ACEITE</v>
          </cell>
          <cell r="BV99" t="str">
            <v>X</v>
          </cell>
          <cell r="BX99">
            <v>2</v>
          </cell>
          <cell r="BY99">
            <v>3</v>
          </cell>
          <cell r="BZ99">
            <v>1</v>
          </cell>
          <cell r="DD99">
            <v>2</v>
          </cell>
        </row>
        <row r="100">
          <cell r="F100" t="str">
            <v>X</v>
          </cell>
          <cell r="N100" t="str">
            <v>EDO. MEX.</v>
          </cell>
          <cell r="O100">
            <v>18</v>
          </cell>
          <cell r="U100" t="str">
            <v>X</v>
          </cell>
          <cell r="AH100">
            <v>2004</v>
          </cell>
          <cell r="AI100">
            <v>800000</v>
          </cell>
          <cell r="AT100" t="str">
            <v>INTERNATIONAL</v>
          </cell>
          <cell r="AV100">
            <v>0.5</v>
          </cell>
          <cell r="AX100">
            <v>1.5</v>
          </cell>
          <cell r="BE100">
            <v>15000</v>
          </cell>
          <cell r="BF100">
            <v>10000</v>
          </cell>
          <cell r="BG100">
            <v>15000</v>
          </cell>
          <cell r="BH100">
            <v>100000</v>
          </cell>
          <cell r="BI100">
            <v>15000</v>
          </cell>
          <cell r="BR100" t="str">
            <v>X</v>
          </cell>
          <cell r="BV100" t="str">
            <v>X</v>
          </cell>
          <cell r="BX100">
            <v>1</v>
          </cell>
          <cell r="BY100">
            <v>3</v>
          </cell>
          <cell r="BZ100">
            <v>2</v>
          </cell>
          <cell r="DD100">
            <v>2</v>
          </cell>
        </row>
        <row r="101">
          <cell r="F101" t="str">
            <v>X</v>
          </cell>
          <cell r="N101" t="str">
            <v>EDO. MEX.</v>
          </cell>
          <cell r="O101">
            <v>22</v>
          </cell>
          <cell r="S101" t="str">
            <v>X</v>
          </cell>
          <cell r="X101" t="str">
            <v>X</v>
          </cell>
          <cell r="AH101">
            <v>2010</v>
          </cell>
          <cell r="AI101">
            <v>750000</v>
          </cell>
          <cell r="AT101" t="str">
            <v>KENWORTH</v>
          </cell>
          <cell r="AV101">
            <v>0.5</v>
          </cell>
          <cell r="AX101">
            <v>1.7</v>
          </cell>
          <cell r="BE101">
            <v>10000</v>
          </cell>
          <cell r="BF101">
            <v>12000</v>
          </cell>
          <cell r="BG101">
            <v>10000</v>
          </cell>
          <cell r="BH101">
            <v>76000</v>
          </cell>
          <cell r="BI101">
            <v>10000</v>
          </cell>
          <cell r="BJ101" t="str">
            <v>X</v>
          </cell>
          <cell r="BU101" t="str">
            <v>X</v>
          </cell>
          <cell r="BX101">
            <v>1</v>
          </cell>
          <cell r="BY101">
            <v>2</v>
          </cell>
          <cell r="BZ101">
            <v>3</v>
          </cell>
          <cell r="DD101">
            <v>2</v>
          </cell>
        </row>
        <row r="102">
          <cell r="G102" t="str">
            <v>X</v>
          </cell>
          <cell r="N102" t="str">
            <v>D.F.</v>
          </cell>
          <cell r="O102">
            <v>5</v>
          </cell>
          <cell r="V102" t="str">
            <v>X</v>
          </cell>
          <cell r="AH102">
            <v>2005</v>
          </cell>
          <cell r="AI102">
            <v>1100000</v>
          </cell>
          <cell r="AT102" t="str">
            <v>INTERNATIONAL</v>
          </cell>
          <cell r="AV102">
            <v>0.5</v>
          </cell>
          <cell r="AX102">
            <v>2</v>
          </cell>
          <cell r="BE102">
            <v>30000</v>
          </cell>
          <cell r="BF102">
            <v>30000</v>
          </cell>
          <cell r="BG102">
            <v>30000</v>
          </cell>
          <cell r="BH102">
            <v>60000</v>
          </cell>
          <cell r="BI102">
            <v>30000</v>
          </cell>
          <cell r="BJ102" t="str">
            <v>X</v>
          </cell>
          <cell r="BW102" t="str">
            <v>X</v>
          </cell>
          <cell r="BX102">
            <v>1</v>
          </cell>
          <cell r="BY102">
            <v>3</v>
          </cell>
          <cell r="BZ102">
            <v>2</v>
          </cell>
          <cell r="DD102">
            <v>3</v>
          </cell>
        </row>
        <row r="103">
          <cell r="F103" t="str">
            <v>X</v>
          </cell>
          <cell r="N103" t="str">
            <v>EDO. MEX.</v>
          </cell>
          <cell r="O103">
            <v>5</v>
          </cell>
          <cell r="S103" t="str">
            <v>X</v>
          </cell>
          <cell r="U103" t="str">
            <v>X</v>
          </cell>
          <cell r="AH103">
            <v>2000</v>
          </cell>
          <cell r="AI103">
            <v>1000000</v>
          </cell>
          <cell r="AT103" t="str">
            <v>KENWORTH</v>
          </cell>
          <cell r="AV103">
            <v>0.5</v>
          </cell>
          <cell r="AX103">
            <v>1.8</v>
          </cell>
          <cell r="BE103">
            <v>18000</v>
          </cell>
          <cell r="BF103">
            <v>10000</v>
          </cell>
          <cell r="BG103">
            <v>18000</v>
          </cell>
          <cell r="BH103">
            <v>120000</v>
          </cell>
          <cell r="BI103">
            <v>18000</v>
          </cell>
          <cell r="BM103" t="str">
            <v>X</v>
          </cell>
          <cell r="BU103" t="str">
            <v>X</v>
          </cell>
          <cell r="BX103">
            <v>1</v>
          </cell>
          <cell r="BY103">
            <v>3</v>
          </cell>
          <cell r="BZ103">
            <v>2</v>
          </cell>
          <cell r="DD103">
            <v>2</v>
          </cell>
        </row>
        <row r="104">
          <cell r="G104" t="str">
            <v>X</v>
          </cell>
          <cell r="N104" t="str">
            <v>EDO. MEX.</v>
          </cell>
          <cell r="O104">
            <v>6</v>
          </cell>
          <cell r="U104" t="str">
            <v>X</v>
          </cell>
          <cell r="AH104">
            <v>2012</v>
          </cell>
          <cell r="AI104">
            <v>250000</v>
          </cell>
          <cell r="AT104" t="str">
            <v>INTERNATIONAL</v>
          </cell>
          <cell r="AV104">
            <v>0.5</v>
          </cell>
          <cell r="AX104">
            <v>1.9</v>
          </cell>
          <cell r="BE104">
            <v>17000</v>
          </cell>
          <cell r="BF104">
            <v>30000</v>
          </cell>
          <cell r="BG104">
            <v>17000</v>
          </cell>
          <cell r="BH104">
            <v>120000</v>
          </cell>
          <cell r="BI104">
            <v>17000</v>
          </cell>
          <cell r="BM104" t="str">
            <v>X</v>
          </cell>
          <cell r="BV104" t="str">
            <v>X</v>
          </cell>
          <cell r="BX104">
            <v>2</v>
          </cell>
          <cell r="BY104">
            <v>3</v>
          </cell>
          <cell r="BZ104">
            <v>1</v>
          </cell>
          <cell r="DD104">
            <v>3</v>
          </cell>
        </row>
        <row r="105">
          <cell r="G105" t="str">
            <v>X</v>
          </cell>
          <cell r="N105" t="str">
            <v>D.F.</v>
          </cell>
          <cell r="O105">
            <v>12</v>
          </cell>
          <cell r="S105" t="str">
            <v>X</v>
          </cell>
          <cell r="U105" t="str">
            <v>X</v>
          </cell>
          <cell r="AH105">
            <v>2000</v>
          </cell>
          <cell r="AI105">
            <v>1100000</v>
          </cell>
          <cell r="AT105" t="str">
            <v>KENWORTH</v>
          </cell>
          <cell r="AV105">
            <v>0.5</v>
          </cell>
          <cell r="AX105">
            <v>1.3</v>
          </cell>
          <cell r="BE105">
            <v>15000</v>
          </cell>
          <cell r="BF105">
            <v>15000</v>
          </cell>
          <cell r="BG105">
            <v>15000</v>
          </cell>
          <cell r="BH105">
            <v>70000</v>
          </cell>
          <cell r="BI105">
            <v>15000</v>
          </cell>
          <cell r="BK105" t="str">
            <v>X</v>
          </cell>
          <cell r="BV105" t="str">
            <v>X</v>
          </cell>
          <cell r="BX105">
            <v>2</v>
          </cell>
          <cell r="BY105">
            <v>4</v>
          </cell>
          <cell r="BZ105">
            <v>3</v>
          </cell>
          <cell r="CA105" t="str">
            <v>SEGURIDAD</v>
          </cell>
          <cell r="DD105">
            <v>3</v>
          </cell>
        </row>
        <row r="106">
          <cell r="F106" t="str">
            <v>X</v>
          </cell>
          <cell r="N106" t="str">
            <v>D.F.</v>
          </cell>
          <cell r="O106">
            <v>11</v>
          </cell>
          <cell r="X106" t="str">
            <v>X</v>
          </cell>
          <cell r="AH106">
            <v>2009</v>
          </cell>
          <cell r="AI106">
            <v>540000</v>
          </cell>
          <cell r="AT106" t="str">
            <v>VOLVO</v>
          </cell>
          <cell r="AV106">
            <v>0.5</v>
          </cell>
          <cell r="AX106">
            <v>2.5</v>
          </cell>
          <cell r="BE106">
            <v>10000</v>
          </cell>
          <cell r="BF106">
            <v>40000</v>
          </cell>
          <cell r="BG106">
            <v>40000</v>
          </cell>
          <cell r="BH106">
            <v>100000</v>
          </cell>
          <cell r="BI106">
            <v>40000</v>
          </cell>
          <cell r="BJ106" t="str">
            <v>X</v>
          </cell>
          <cell r="BU106" t="str">
            <v>X</v>
          </cell>
          <cell r="BX106">
            <v>1</v>
          </cell>
          <cell r="BY106">
            <v>3</v>
          </cell>
          <cell r="BZ106">
            <v>2</v>
          </cell>
          <cell r="DD106">
            <v>2</v>
          </cell>
        </row>
        <row r="107">
          <cell r="G107" t="str">
            <v>X</v>
          </cell>
          <cell r="N107" t="str">
            <v>EDO. MEX.</v>
          </cell>
          <cell r="O107">
            <v>15</v>
          </cell>
          <cell r="U107" t="str">
            <v>X</v>
          </cell>
          <cell r="AH107">
            <v>2003</v>
          </cell>
          <cell r="AI107">
            <v>900000</v>
          </cell>
          <cell r="AT107" t="str">
            <v>CUMMINS</v>
          </cell>
          <cell r="AV107">
            <v>0.5</v>
          </cell>
          <cell r="AX107">
            <v>1.5</v>
          </cell>
          <cell r="BE107">
            <v>10000</v>
          </cell>
          <cell r="BF107">
            <v>60000</v>
          </cell>
          <cell r="BG107">
            <v>10000</v>
          </cell>
          <cell r="BH107">
            <v>200000</v>
          </cell>
          <cell r="BI107">
            <v>10000</v>
          </cell>
          <cell r="BR107" t="str">
            <v>X</v>
          </cell>
          <cell r="BU107" t="str">
            <v>X</v>
          </cell>
          <cell r="BX107">
            <v>1</v>
          </cell>
          <cell r="BY107">
            <v>3</v>
          </cell>
          <cell r="BZ107">
            <v>2</v>
          </cell>
          <cell r="DD107">
            <v>3</v>
          </cell>
        </row>
        <row r="108">
          <cell r="E108" t="str">
            <v>X</v>
          </cell>
          <cell r="N108" t="str">
            <v>EDO. MEX.</v>
          </cell>
          <cell r="O108">
            <v>18</v>
          </cell>
          <cell r="S108" t="str">
            <v>X</v>
          </cell>
          <cell r="U108" t="str">
            <v>X</v>
          </cell>
          <cell r="AH108">
            <v>2009</v>
          </cell>
          <cell r="AI108">
            <v>320000</v>
          </cell>
          <cell r="AT108" t="str">
            <v>CUMMINS</v>
          </cell>
          <cell r="AV108">
            <v>0.5</v>
          </cell>
          <cell r="AX108">
            <v>2</v>
          </cell>
          <cell r="BE108">
            <v>10000</v>
          </cell>
          <cell r="BF108">
            <v>15000</v>
          </cell>
          <cell r="BG108">
            <v>10000</v>
          </cell>
          <cell r="BH108">
            <v>72000</v>
          </cell>
          <cell r="BI108">
            <v>10000</v>
          </cell>
          <cell r="BK108" t="str">
            <v>X</v>
          </cell>
          <cell r="BU108" t="str">
            <v>X</v>
          </cell>
          <cell r="BX108">
            <v>2</v>
          </cell>
          <cell r="BY108">
            <v>3</v>
          </cell>
          <cell r="BZ108">
            <v>1</v>
          </cell>
          <cell r="DD108">
            <v>1</v>
          </cell>
        </row>
        <row r="109">
          <cell r="H109" t="str">
            <v>X</v>
          </cell>
          <cell r="N109" t="str">
            <v>EDO. MEX.</v>
          </cell>
          <cell r="O109">
            <v>22</v>
          </cell>
          <cell r="Y109" t="str">
            <v>X</v>
          </cell>
          <cell r="AH109">
            <v>2014</v>
          </cell>
          <cell r="AI109">
            <v>16000</v>
          </cell>
          <cell r="AT109" t="str">
            <v>PACCAR</v>
          </cell>
          <cell r="AV109">
            <v>0.3</v>
          </cell>
          <cell r="AX109">
            <v>3</v>
          </cell>
          <cell r="BE109">
            <v>24000</v>
          </cell>
          <cell r="BF109">
            <v>120000</v>
          </cell>
          <cell r="BG109">
            <v>24000</v>
          </cell>
          <cell r="BH109">
            <v>120000</v>
          </cell>
          <cell r="BI109">
            <v>24000</v>
          </cell>
          <cell r="BJ109" t="str">
            <v xml:space="preserve"> </v>
          </cell>
          <cell r="BR109" t="str">
            <v>X</v>
          </cell>
          <cell r="BU109" t="str">
            <v>X</v>
          </cell>
          <cell r="BX109">
            <v>2</v>
          </cell>
          <cell r="BY109">
            <v>4</v>
          </cell>
          <cell r="BZ109">
            <v>3</v>
          </cell>
          <cell r="CA109" t="str">
            <v>SEGURIDAD</v>
          </cell>
          <cell r="DD109">
            <v>7</v>
          </cell>
        </row>
        <row r="110">
          <cell r="G110" t="str">
            <v>X</v>
          </cell>
          <cell r="N110" t="str">
            <v>EDO. MEX.</v>
          </cell>
          <cell r="O110">
            <v>20</v>
          </cell>
          <cell r="S110" t="str">
            <v>X</v>
          </cell>
          <cell r="U110" t="str">
            <v>X</v>
          </cell>
          <cell r="AH110">
            <v>2007</v>
          </cell>
          <cell r="AI110">
            <v>1500000</v>
          </cell>
          <cell r="AT110" t="str">
            <v>CATERPILLAR</v>
          </cell>
          <cell r="AV110">
            <v>0.5</v>
          </cell>
          <cell r="AX110">
            <v>2</v>
          </cell>
          <cell r="BE110">
            <v>25000</v>
          </cell>
          <cell r="BF110">
            <v>25000</v>
          </cell>
          <cell r="BG110">
            <v>48000</v>
          </cell>
          <cell r="BH110">
            <v>250000</v>
          </cell>
          <cell r="BI110">
            <v>25000</v>
          </cell>
          <cell r="BJ110" t="str">
            <v>X</v>
          </cell>
          <cell r="BU110" t="str">
            <v>X</v>
          </cell>
          <cell r="BX110">
            <v>1</v>
          </cell>
          <cell r="BY110">
            <v>2</v>
          </cell>
          <cell r="BZ110">
            <v>3</v>
          </cell>
          <cell r="DD110">
            <v>3</v>
          </cell>
        </row>
        <row r="111">
          <cell r="F111" t="str">
            <v>X</v>
          </cell>
          <cell r="N111" t="str">
            <v>D.F.</v>
          </cell>
          <cell r="O111">
            <v>5</v>
          </cell>
          <cell r="S111" t="str">
            <v>X</v>
          </cell>
          <cell r="U111" t="str">
            <v>X</v>
          </cell>
          <cell r="AH111">
            <v>2008</v>
          </cell>
          <cell r="AI111" t="str">
            <v>NO SABE</v>
          </cell>
          <cell r="AT111" t="str">
            <v>DETROIT</v>
          </cell>
          <cell r="AV111">
            <v>0.5</v>
          </cell>
          <cell r="AX111">
            <v>2.2999999999999998</v>
          </cell>
          <cell r="BE111">
            <v>50000</v>
          </cell>
          <cell r="BF111">
            <v>100000</v>
          </cell>
          <cell r="BG111">
            <v>100000</v>
          </cell>
          <cell r="BH111">
            <v>100000</v>
          </cell>
          <cell r="BI111">
            <v>100000</v>
          </cell>
          <cell r="BJ111" t="str">
            <v>X</v>
          </cell>
          <cell r="BV111" t="str">
            <v>X</v>
          </cell>
          <cell r="BX111">
            <v>1</v>
          </cell>
          <cell r="BY111">
            <v>3</v>
          </cell>
          <cell r="BZ111">
            <v>2</v>
          </cell>
          <cell r="DD111">
            <v>2</v>
          </cell>
        </row>
        <row r="112">
          <cell r="H112" t="str">
            <v>X</v>
          </cell>
          <cell r="N112" t="str">
            <v>EDO. MEX.</v>
          </cell>
          <cell r="O112">
            <v>16</v>
          </cell>
          <cell r="S112" t="str">
            <v>X</v>
          </cell>
          <cell r="W112" t="str">
            <v>X</v>
          </cell>
          <cell r="AH112">
            <v>2009</v>
          </cell>
          <cell r="AI112">
            <v>600000</v>
          </cell>
          <cell r="AT112" t="str">
            <v>CATERPILLAR</v>
          </cell>
          <cell r="AV112">
            <v>0.5</v>
          </cell>
          <cell r="AX112">
            <v>1.5</v>
          </cell>
          <cell r="BE112">
            <v>15000</v>
          </cell>
          <cell r="BF112">
            <v>15000</v>
          </cell>
          <cell r="BG112">
            <v>15000</v>
          </cell>
          <cell r="BH112">
            <v>180000</v>
          </cell>
          <cell r="BI112">
            <v>15000</v>
          </cell>
          <cell r="BS112" t="str">
            <v>POLIETILENO</v>
          </cell>
          <cell r="BV112" t="str">
            <v>X</v>
          </cell>
          <cell r="BX112">
            <v>2</v>
          </cell>
          <cell r="BY112">
            <v>3</v>
          </cell>
          <cell r="BZ112">
            <v>1</v>
          </cell>
          <cell r="DD112">
            <v>7</v>
          </cell>
        </row>
        <row r="113">
          <cell r="F113" t="str">
            <v>X</v>
          </cell>
          <cell r="N113" t="str">
            <v>D.F.</v>
          </cell>
          <cell r="O113">
            <v>1</v>
          </cell>
          <cell r="U113" t="str">
            <v>X</v>
          </cell>
          <cell r="AH113">
            <v>2014</v>
          </cell>
          <cell r="AI113">
            <v>1500</v>
          </cell>
          <cell r="AT113" t="str">
            <v>INTERNATIONAL</v>
          </cell>
          <cell r="AV113">
            <v>0.2</v>
          </cell>
          <cell r="AX113">
            <v>3</v>
          </cell>
          <cell r="BE113" t="str">
            <v>NO SABE</v>
          </cell>
          <cell r="BF113" t="str">
            <v>NO SABE</v>
          </cell>
          <cell r="BG113" t="str">
            <v>NO SABE</v>
          </cell>
          <cell r="BH113" t="str">
            <v>NO SABE</v>
          </cell>
          <cell r="BI113" t="str">
            <v>NO SABE</v>
          </cell>
          <cell r="BN113" t="str">
            <v>X</v>
          </cell>
          <cell r="BV113" t="str">
            <v>X</v>
          </cell>
          <cell r="BX113">
            <v>1</v>
          </cell>
          <cell r="BY113">
            <v>3</v>
          </cell>
          <cell r="BZ113">
            <v>2</v>
          </cell>
          <cell r="DD113">
            <v>2</v>
          </cell>
        </row>
        <row r="114">
          <cell r="G114" t="str">
            <v>X</v>
          </cell>
          <cell r="N114" t="str">
            <v>HIDALGO</v>
          </cell>
          <cell r="O114">
            <v>20</v>
          </cell>
          <cell r="U114" t="str">
            <v>X</v>
          </cell>
          <cell r="AH114">
            <v>2014</v>
          </cell>
          <cell r="AI114">
            <v>41000</v>
          </cell>
          <cell r="AT114" t="str">
            <v>CUMMINS</v>
          </cell>
          <cell r="AV114">
            <v>0.3</v>
          </cell>
          <cell r="AX114">
            <v>1.3</v>
          </cell>
          <cell r="BE114">
            <v>26000</v>
          </cell>
          <cell r="BF114">
            <v>26000</v>
          </cell>
          <cell r="BG114">
            <v>26000</v>
          </cell>
          <cell r="BH114" t="str">
            <v>NO SABE</v>
          </cell>
          <cell r="BI114">
            <v>26000</v>
          </cell>
          <cell r="BJ114" t="str">
            <v>X</v>
          </cell>
          <cell r="BW114" t="str">
            <v>X</v>
          </cell>
          <cell r="BX114">
            <v>2</v>
          </cell>
          <cell r="BY114">
            <v>3</v>
          </cell>
          <cell r="BZ114">
            <v>1</v>
          </cell>
          <cell r="DD114">
            <v>3</v>
          </cell>
        </row>
        <row r="115">
          <cell r="G115" t="str">
            <v>X</v>
          </cell>
          <cell r="N115" t="str">
            <v>PUEBLA</v>
          </cell>
          <cell r="O115">
            <v>3</v>
          </cell>
          <cell r="AH115">
            <v>1998</v>
          </cell>
          <cell r="AI115" t="str">
            <v>NO SABE</v>
          </cell>
          <cell r="AT115" t="str">
            <v>DINA</v>
          </cell>
          <cell r="AV115">
            <v>0.2</v>
          </cell>
          <cell r="AX115">
            <v>2</v>
          </cell>
          <cell r="BE115">
            <v>22000</v>
          </cell>
          <cell r="BF115">
            <v>22000</v>
          </cell>
          <cell r="BG115">
            <v>22000</v>
          </cell>
          <cell r="BH115" t="str">
            <v>NO SABE</v>
          </cell>
          <cell r="BI115">
            <v>22000</v>
          </cell>
          <cell r="BO115" t="str">
            <v>X</v>
          </cell>
          <cell r="BV115" t="str">
            <v>X</v>
          </cell>
          <cell r="BX115">
            <v>2</v>
          </cell>
          <cell r="BY115">
            <v>3</v>
          </cell>
          <cell r="BZ115">
            <v>1</v>
          </cell>
          <cell r="DD115">
            <v>3</v>
          </cell>
        </row>
        <row r="116">
          <cell r="E116" t="str">
            <v>X</v>
          </cell>
          <cell r="N116" t="str">
            <v>MORELOS</v>
          </cell>
          <cell r="O116">
            <v>30</v>
          </cell>
          <cell r="S116" t="str">
            <v>X</v>
          </cell>
          <cell r="Y116" t="str">
            <v>X</v>
          </cell>
          <cell r="AH116">
            <v>2001</v>
          </cell>
          <cell r="AI116">
            <v>4000000</v>
          </cell>
          <cell r="AT116" t="str">
            <v>CUMMINS</v>
          </cell>
          <cell r="AV116">
            <v>0.5</v>
          </cell>
          <cell r="AX116">
            <v>1.5</v>
          </cell>
          <cell r="BE116">
            <v>30000</v>
          </cell>
          <cell r="BF116">
            <v>90000</v>
          </cell>
          <cell r="BG116">
            <v>30000</v>
          </cell>
          <cell r="BH116">
            <v>250000</v>
          </cell>
          <cell r="BI116">
            <v>30000</v>
          </cell>
          <cell r="BR116" t="str">
            <v>X</v>
          </cell>
          <cell r="BU116" t="str">
            <v>X</v>
          </cell>
          <cell r="BX116">
            <v>1</v>
          </cell>
          <cell r="BY116">
            <v>3</v>
          </cell>
          <cell r="BZ116">
            <v>2</v>
          </cell>
          <cell r="DD116">
            <v>1</v>
          </cell>
        </row>
        <row r="117">
          <cell r="F117" t="str">
            <v>X</v>
          </cell>
          <cell r="N117" t="str">
            <v>D.F.</v>
          </cell>
          <cell r="O117">
            <v>6</v>
          </cell>
          <cell r="S117" t="str">
            <v>X</v>
          </cell>
          <cell r="U117" t="str">
            <v>X</v>
          </cell>
          <cell r="AH117">
            <v>2011</v>
          </cell>
          <cell r="AI117">
            <v>50000</v>
          </cell>
          <cell r="AT117" t="str">
            <v>CUMMINS</v>
          </cell>
          <cell r="AV117">
            <v>0.1</v>
          </cell>
          <cell r="AX117">
            <v>1.8</v>
          </cell>
          <cell r="BE117">
            <v>10800</v>
          </cell>
          <cell r="BF117">
            <v>5400</v>
          </cell>
          <cell r="BG117">
            <v>10800</v>
          </cell>
          <cell r="BH117" t="str">
            <v>NO SABE</v>
          </cell>
          <cell r="BI117">
            <v>10800</v>
          </cell>
          <cell r="BS117" t="str">
            <v>ELECTRODOMÉSTICOS</v>
          </cell>
          <cell r="BU117" t="str">
            <v>X</v>
          </cell>
          <cell r="BX117">
            <v>2</v>
          </cell>
          <cell r="BY117">
            <v>3</v>
          </cell>
          <cell r="BZ117">
            <v>1</v>
          </cell>
          <cell r="DD117">
            <v>2</v>
          </cell>
        </row>
        <row r="118">
          <cell r="G118" t="str">
            <v>X</v>
          </cell>
          <cell r="N118" t="str">
            <v>EDO. MEX.</v>
          </cell>
          <cell r="O118">
            <v>20</v>
          </cell>
          <cell r="Y118" t="str">
            <v>X</v>
          </cell>
          <cell r="AH118">
            <v>2008</v>
          </cell>
          <cell r="AI118">
            <v>200000</v>
          </cell>
          <cell r="AT118" t="str">
            <v>MERCEDES BENZ</v>
          </cell>
          <cell r="AV118">
            <v>0.3</v>
          </cell>
          <cell r="AX118">
            <v>3.5</v>
          </cell>
          <cell r="BE118" t="str">
            <v>NO SABE</v>
          </cell>
          <cell r="BF118" t="str">
            <v>NO SABE</v>
          </cell>
          <cell r="BG118" t="str">
            <v>NO SABE</v>
          </cell>
          <cell r="BH118" t="str">
            <v>NO SABE</v>
          </cell>
          <cell r="BI118" t="str">
            <v>NO SABE</v>
          </cell>
          <cell r="BR118" t="str">
            <v>X</v>
          </cell>
          <cell r="BV118" t="str">
            <v>X</v>
          </cell>
          <cell r="BX118">
            <v>1</v>
          </cell>
          <cell r="BY118">
            <v>2</v>
          </cell>
          <cell r="BZ118">
            <v>3</v>
          </cell>
          <cell r="DD118">
            <v>3</v>
          </cell>
        </row>
        <row r="119">
          <cell r="G119" t="str">
            <v>X</v>
          </cell>
          <cell r="N119" t="str">
            <v>HIDALGO</v>
          </cell>
          <cell r="O119">
            <v>4</v>
          </cell>
          <cell r="X119" t="str">
            <v>X</v>
          </cell>
          <cell r="AH119">
            <v>2012</v>
          </cell>
          <cell r="AI119">
            <v>300000</v>
          </cell>
          <cell r="AT119" t="str">
            <v>CUMMINS</v>
          </cell>
          <cell r="AV119">
            <v>0.5</v>
          </cell>
          <cell r="AX119">
            <v>2.2999999999999998</v>
          </cell>
          <cell r="BE119">
            <v>40000</v>
          </cell>
          <cell r="BF119">
            <v>20000</v>
          </cell>
          <cell r="BG119">
            <v>40000</v>
          </cell>
          <cell r="BH119">
            <v>85000</v>
          </cell>
          <cell r="BI119">
            <v>40000</v>
          </cell>
          <cell r="BQ119" t="str">
            <v>X</v>
          </cell>
          <cell r="BV119" t="str">
            <v>X</v>
          </cell>
          <cell r="BX119">
            <v>3</v>
          </cell>
          <cell r="BY119">
            <v>2</v>
          </cell>
          <cell r="BZ119">
            <v>1</v>
          </cell>
          <cell r="DD119">
            <v>3</v>
          </cell>
        </row>
        <row r="120">
          <cell r="G120" t="str">
            <v>X</v>
          </cell>
          <cell r="N120" t="str">
            <v>D.F.</v>
          </cell>
          <cell r="O120">
            <v>5</v>
          </cell>
          <cell r="U120" t="str">
            <v>X</v>
          </cell>
          <cell r="AH120">
            <v>2008</v>
          </cell>
          <cell r="AI120">
            <v>500000</v>
          </cell>
          <cell r="AT120" t="str">
            <v>CUMMINS</v>
          </cell>
          <cell r="AV120">
            <v>0.5</v>
          </cell>
          <cell r="AX120">
            <v>2.2000000000000002</v>
          </cell>
          <cell r="BE120">
            <v>12500</v>
          </cell>
          <cell r="BF120">
            <v>15000</v>
          </cell>
          <cell r="BG120">
            <v>15000</v>
          </cell>
          <cell r="BH120">
            <v>60000</v>
          </cell>
          <cell r="BI120">
            <v>12500</v>
          </cell>
          <cell r="BL120" t="str">
            <v>X</v>
          </cell>
          <cell r="BV120" t="str">
            <v>X</v>
          </cell>
          <cell r="BX120">
            <v>2</v>
          </cell>
          <cell r="BY120">
            <v>1</v>
          </cell>
          <cell r="BZ120">
            <v>3</v>
          </cell>
          <cell r="DD120">
            <v>3</v>
          </cell>
        </row>
        <row r="121">
          <cell r="G121" t="str">
            <v>X</v>
          </cell>
          <cell r="N121" t="str">
            <v>D.F.</v>
          </cell>
          <cell r="O121">
            <v>4</v>
          </cell>
          <cell r="U121" t="str">
            <v>X</v>
          </cell>
          <cell r="AH121">
            <v>2010</v>
          </cell>
          <cell r="AI121">
            <v>750000</v>
          </cell>
          <cell r="AT121" t="str">
            <v>INTERNATIONAL</v>
          </cell>
          <cell r="AV121">
            <v>0.5</v>
          </cell>
          <cell r="AX121">
            <v>1.8</v>
          </cell>
          <cell r="BE121">
            <v>12000</v>
          </cell>
          <cell r="BF121">
            <v>18000</v>
          </cell>
          <cell r="BG121">
            <v>12000</v>
          </cell>
          <cell r="BH121">
            <v>70000</v>
          </cell>
          <cell r="BI121">
            <v>12000</v>
          </cell>
          <cell r="BN121" t="str">
            <v>X</v>
          </cell>
          <cell r="BU121" t="str">
            <v>X</v>
          </cell>
          <cell r="BX121">
            <v>3</v>
          </cell>
          <cell r="BY121">
            <v>1</v>
          </cell>
          <cell r="BZ121">
            <v>2</v>
          </cell>
          <cell r="DD121">
            <v>3</v>
          </cell>
        </row>
        <row r="122">
          <cell r="F122" t="str">
            <v>X</v>
          </cell>
          <cell r="N122" t="str">
            <v>EDO. MEX.</v>
          </cell>
          <cell r="O122">
            <v>30</v>
          </cell>
          <cell r="S122" t="str">
            <v>X</v>
          </cell>
          <cell r="U122" t="str">
            <v>X</v>
          </cell>
          <cell r="AH122">
            <v>1999</v>
          </cell>
          <cell r="AI122">
            <v>1000000</v>
          </cell>
          <cell r="AT122" t="str">
            <v>KENWORTH</v>
          </cell>
          <cell r="AV122">
            <v>0.5</v>
          </cell>
          <cell r="AX122">
            <v>1.7</v>
          </cell>
          <cell r="BE122">
            <v>12000</v>
          </cell>
          <cell r="BF122">
            <v>15000</v>
          </cell>
          <cell r="BG122">
            <v>12000</v>
          </cell>
          <cell r="BH122">
            <v>70000</v>
          </cell>
          <cell r="BI122">
            <v>12000</v>
          </cell>
          <cell r="BS122" t="str">
            <v>GENERAL</v>
          </cell>
          <cell r="BU122" t="str">
            <v>X</v>
          </cell>
          <cell r="BX122">
            <v>3</v>
          </cell>
          <cell r="BY122">
            <v>4</v>
          </cell>
          <cell r="BZ122">
            <v>2</v>
          </cell>
          <cell r="CA122" t="str">
            <v>SEGURIDAD</v>
          </cell>
          <cell r="DD122">
            <v>2</v>
          </cell>
        </row>
        <row r="123">
          <cell r="H123" t="str">
            <v>X</v>
          </cell>
          <cell r="N123" t="str">
            <v>D.F.</v>
          </cell>
          <cell r="O123">
            <v>10</v>
          </cell>
          <cell r="AH123">
            <v>2010</v>
          </cell>
          <cell r="AI123">
            <v>220000</v>
          </cell>
          <cell r="AT123" t="str">
            <v>NISSAN</v>
          </cell>
          <cell r="AV123">
            <v>0.1</v>
          </cell>
          <cell r="AX123">
            <v>6</v>
          </cell>
          <cell r="BE123">
            <v>1000</v>
          </cell>
          <cell r="BF123">
            <v>4800</v>
          </cell>
          <cell r="BG123">
            <v>1000</v>
          </cell>
          <cell r="BH123" t="str">
            <v>NO SABE</v>
          </cell>
          <cell r="BI123" t="str">
            <v>NO APLICA</v>
          </cell>
          <cell r="BR123" t="str">
            <v>X</v>
          </cell>
          <cell r="BV123" t="str">
            <v>X</v>
          </cell>
          <cell r="BX123">
            <v>3</v>
          </cell>
          <cell r="BY123">
            <v>4</v>
          </cell>
          <cell r="BZ123">
            <v>2</v>
          </cell>
          <cell r="CA123" t="str">
            <v>SEGURIDAD</v>
          </cell>
          <cell r="DD123">
            <v>7</v>
          </cell>
        </row>
        <row r="124">
          <cell r="F124" t="str">
            <v>X</v>
          </cell>
          <cell r="N124" t="str">
            <v>D.F.</v>
          </cell>
          <cell r="O124">
            <v>21</v>
          </cell>
          <cell r="U124" t="str">
            <v>X</v>
          </cell>
          <cell r="AH124">
            <v>2006</v>
          </cell>
          <cell r="AI124">
            <v>600000</v>
          </cell>
          <cell r="AT124" t="str">
            <v>NO SABE</v>
          </cell>
          <cell r="AV124">
            <v>0.5</v>
          </cell>
          <cell r="AX124">
            <v>2.2000000000000002</v>
          </cell>
          <cell r="BE124">
            <v>3000</v>
          </cell>
          <cell r="BF124">
            <v>3000</v>
          </cell>
          <cell r="BG124">
            <v>3000</v>
          </cell>
          <cell r="BH124">
            <v>75000</v>
          </cell>
          <cell r="BI124">
            <v>3000</v>
          </cell>
          <cell r="BS124" t="str">
            <v>GENERAL</v>
          </cell>
          <cell r="BV124" t="str">
            <v>X</v>
          </cell>
          <cell r="BX124">
            <v>1</v>
          </cell>
          <cell r="BY124">
            <v>3</v>
          </cell>
          <cell r="BZ124">
            <v>2</v>
          </cell>
          <cell r="DD124">
            <v>2</v>
          </cell>
        </row>
        <row r="125">
          <cell r="G125" t="str">
            <v>X</v>
          </cell>
          <cell r="N125" t="str">
            <v>EDO. MEX.</v>
          </cell>
          <cell r="O125">
            <v>13</v>
          </cell>
          <cell r="Y125" t="str">
            <v>X</v>
          </cell>
          <cell r="AH125">
            <v>2001</v>
          </cell>
          <cell r="AI125">
            <v>500000</v>
          </cell>
          <cell r="AT125" t="str">
            <v>CUMMINS</v>
          </cell>
          <cell r="AV125">
            <v>0.5</v>
          </cell>
          <cell r="AX125">
            <v>1.7</v>
          </cell>
          <cell r="BE125">
            <v>20000</v>
          </cell>
          <cell r="BF125" t="str">
            <v>NO SABE</v>
          </cell>
          <cell r="BG125">
            <v>20000</v>
          </cell>
          <cell r="BH125" t="str">
            <v>NO SABE</v>
          </cell>
          <cell r="BI125">
            <v>20000</v>
          </cell>
          <cell r="BR125" t="str">
            <v>X</v>
          </cell>
          <cell r="BU125" t="str">
            <v>X</v>
          </cell>
          <cell r="BX125">
            <v>1</v>
          </cell>
          <cell r="BY125">
            <v>3</v>
          </cell>
          <cell r="BZ125">
            <v>2</v>
          </cell>
          <cell r="DD125">
            <v>3</v>
          </cell>
        </row>
        <row r="126">
          <cell r="F126" t="str">
            <v>X</v>
          </cell>
          <cell r="N126" t="str">
            <v>EDO. MEX.</v>
          </cell>
          <cell r="O126">
            <v>14</v>
          </cell>
          <cell r="U126" t="str">
            <v>X</v>
          </cell>
          <cell r="AH126">
            <v>1992</v>
          </cell>
          <cell r="AI126">
            <v>2200000</v>
          </cell>
          <cell r="AT126" t="str">
            <v>CUMMINS</v>
          </cell>
          <cell r="AV126">
            <v>0.5</v>
          </cell>
          <cell r="AX126">
            <v>2.8</v>
          </cell>
          <cell r="BE126">
            <v>16000</v>
          </cell>
          <cell r="BF126">
            <v>2100</v>
          </cell>
          <cell r="BG126">
            <v>36000</v>
          </cell>
          <cell r="BH126">
            <v>63000</v>
          </cell>
          <cell r="BI126">
            <v>16000</v>
          </cell>
          <cell r="BS126" t="str">
            <v>TEXTILES</v>
          </cell>
          <cell r="BW126" t="str">
            <v>X</v>
          </cell>
          <cell r="BX126">
            <v>1</v>
          </cell>
          <cell r="BY126">
            <v>3</v>
          </cell>
          <cell r="BZ126">
            <v>2</v>
          </cell>
          <cell r="DD126">
            <v>2</v>
          </cell>
        </row>
        <row r="127">
          <cell r="G127" t="str">
            <v>X</v>
          </cell>
          <cell r="N127" t="str">
            <v>EDO. MEX.</v>
          </cell>
          <cell r="O127">
            <v>3</v>
          </cell>
          <cell r="U127" t="str">
            <v>X</v>
          </cell>
          <cell r="AH127">
            <v>1988</v>
          </cell>
          <cell r="AI127">
            <v>500000</v>
          </cell>
          <cell r="AT127" t="str">
            <v>NAVISTAR</v>
          </cell>
          <cell r="AV127">
            <v>0.5</v>
          </cell>
          <cell r="AX127">
            <v>3.5</v>
          </cell>
          <cell r="BE127">
            <v>6000</v>
          </cell>
          <cell r="BF127">
            <v>12000</v>
          </cell>
          <cell r="BG127">
            <v>6000</v>
          </cell>
          <cell r="BH127">
            <v>50000</v>
          </cell>
          <cell r="BI127">
            <v>6000</v>
          </cell>
          <cell r="BJ127" t="str">
            <v>X</v>
          </cell>
          <cell r="BU127" t="str">
            <v>X</v>
          </cell>
          <cell r="BX127">
            <v>1</v>
          </cell>
          <cell r="BY127">
            <v>3</v>
          </cell>
          <cell r="BZ127">
            <v>2</v>
          </cell>
          <cell r="DD127">
            <v>3</v>
          </cell>
        </row>
        <row r="128">
          <cell r="F128" t="str">
            <v>X</v>
          </cell>
          <cell r="N128" t="str">
            <v>EDO. MEX.</v>
          </cell>
          <cell r="O128">
            <v>4</v>
          </cell>
          <cell r="AH128">
            <v>1989</v>
          </cell>
          <cell r="AI128" t="str">
            <v>DAÑADO</v>
          </cell>
          <cell r="AT128" t="str">
            <v>DINA</v>
          </cell>
          <cell r="AV128">
            <v>0.2</v>
          </cell>
          <cell r="AX128">
            <v>2.2000000000000002</v>
          </cell>
          <cell r="BE128">
            <v>42000</v>
          </cell>
          <cell r="BF128">
            <v>21000</v>
          </cell>
          <cell r="BG128">
            <v>42000</v>
          </cell>
          <cell r="BH128">
            <v>84000</v>
          </cell>
          <cell r="BI128">
            <v>42000</v>
          </cell>
          <cell r="BS128" t="str">
            <v>GENERAL</v>
          </cell>
          <cell r="BU128" t="str">
            <v>X</v>
          </cell>
          <cell r="BX128">
            <v>1</v>
          </cell>
          <cell r="BY128">
            <v>3</v>
          </cell>
          <cell r="BZ128">
            <v>2</v>
          </cell>
          <cell r="DD128">
            <v>2</v>
          </cell>
        </row>
        <row r="129">
          <cell r="F129" t="str">
            <v>X</v>
          </cell>
          <cell r="N129" t="str">
            <v>SINALOA</v>
          </cell>
          <cell r="O129">
            <v>20</v>
          </cell>
          <cell r="X129" t="str">
            <v>X</v>
          </cell>
          <cell r="AH129">
            <v>1999</v>
          </cell>
          <cell r="AI129">
            <v>1000000</v>
          </cell>
          <cell r="AT129" t="str">
            <v>CUMMINS</v>
          </cell>
          <cell r="AV129">
            <v>0.5</v>
          </cell>
          <cell r="AX129">
            <v>1.9</v>
          </cell>
          <cell r="BE129">
            <v>13000</v>
          </cell>
          <cell r="BF129" t="str">
            <v>NO SABE</v>
          </cell>
          <cell r="BG129">
            <v>13000</v>
          </cell>
          <cell r="BH129" t="str">
            <v>NO SABE</v>
          </cell>
          <cell r="BI129">
            <v>13000</v>
          </cell>
          <cell r="BQ129" t="str">
            <v>X</v>
          </cell>
          <cell r="BV129" t="str">
            <v>X</v>
          </cell>
          <cell r="BX129">
            <v>3</v>
          </cell>
          <cell r="BY129">
            <v>2</v>
          </cell>
          <cell r="BZ129">
            <v>1</v>
          </cell>
          <cell r="DD129">
            <v>2</v>
          </cell>
        </row>
        <row r="130">
          <cell r="E130" t="str">
            <v>X</v>
          </cell>
          <cell r="N130" t="str">
            <v>EDO. MEX.</v>
          </cell>
          <cell r="O130">
            <v>8</v>
          </cell>
          <cell r="S130" t="str">
            <v>X</v>
          </cell>
          <cell r="X130" t="str">
            <v>X</v>
          </cell>
          <cell r="AH130">
            <v>2013</v>
          </cell>
          <cell r="AI130">
            <v>80000</v>
          </cell>
          <cell r="AT130" t="str">
            <v>KENWORTH</v>
          </cell>
          <cell r="AV130">
            <v>0.3</v>
          </cell>
          <cell r="AX130">
            <v>2</v>
          </cell>
          <cell r="BE130">
            <v>11000</v>
          </cell>
          <cell r="BF130">
            <v>15000</v>
          </cell>
          <cell r="BG130">
            <v>11000</v>
          </cell>
          <cell r="BH130">
            <v>65000</v>
          </cell>
          <cell r="BI130">
            <v>11000</v>
          </cell>
          <cell r="BS130" t="str">
            <v>GENERAL</v>
          </cell>
          <cell r="BV130" t="str">
            <v>X</v>
          </cell>
          <cell r="BX130">
            <v>1</v>
          </cell>
          <cell r="BY130">
            <v>2</v>
          </cell>
          <cell r="BZ130">
            <v>3</v>
          </cell>
          <cell r="DD130">
            <v>1</v>
          </cell>
        </row>
        <row r="131">
          <cell r="G131" t="str">
            <v>X</v>
          </cell>
          <cell r="N131" t="str">
            <v>D.F.</v>
          </cell>
          <cell r="O131">
            <v>2</v>
          </cell>
          <cell r="X131" t="str">
            <v>X</v>
          </cell>
          <cell r="AH131">
            <v>2009</v>
          </cell>
          <cell r="AI131">
            <v>500000</v>
          </cell>
          <cell r="AT131" t="str">
            <v>CUMMINS</v>
          </cell>
          <cell r="AV131">
            <v>0.5</v>
          </cell>
          <cell r="AX131">
            <v>2.4</v>
          </cell>
          <cell r="BE131">
            <v>10000</v>
          </cell>
          <cell r="BF131">
            <v>7500</v>
          </cell>
          <cell r="BG131">
            <v>10000</v>
          </cell>
          <cell r="BH131">
            <v>30000</v>
          </cell>
          <cell r="BI131">
            <v>10000</v>
          </cell>
          <cell r="BQ131" t="str">
            <v>X</v>
          </cell>
          <cell r="BV131" t="str">
            <v>X</v>
          </cell>
          <cell r="BX131">
            <v>1</v>
          </cell>
          <cell r="BY131">
            <v>2</v>
          </cell>
          <cell r="BZ131">
            <v>3</v>
          </cell>
          <cell r="DD131">
            <v>3</v>
          </cell>
        </row>
        <row r="132">
          <cell r="G132" t="str">
            <v>X</v>
          </cell>
          <cell r="N132" t="str">
            <v>EDO. MEX.</v>
          </cell>
          <cell r="O132">
            <v>10</v>
          </cell>
          <cell r="S132" t="str">
            <v>X</v>
          </cell>
          <cell r="U132" t="str">
            <v>X</v>
          </cell>
          <cell r="AH132">
            <v>2011</v>
          </cell>
          <cell r="AI132">
            <v>98000</v>
          </cell>
          <cell r="AT132" t="str">
            <v>CUMMINS</v>
          </cell>
          <cell r="AV132">
            <v>0.5</v>
          </cell>
          <cell r="AX132">
            <v>1.5</v>
          </cell>
          <cell r="BE132">
            <v>10000</v>
          </cell>
          <cell r="BF132">
            <v>8000</v>
          </cell>
          <cell r="BG132">
            <v>10000</v>
          </cell>
          <cell r="BH132">
            <v>100000</v>
          </cell>
          <cell r="BI132">
            <v>10000</v>
          </cell>
          <cell r="BK132" t="str">
            <v>X</v>
          </cell>
          <cell r="BU132" t="str">
            <v>X</v>
          </cell>
          <cell r="BX132">
            <v>1</v>
          </cell>
          <cell r="BY132">
            <v>3</v>
          </cell>
          <cell r="BZ132">
            <v>2</v>
          </cell>
          <cell r="DD132">
            <v>3</v>
          </cell>
        </row>
        <row r="133">
          <cell r="F133" t="str">
            <v>X</v>
          </cell>
          <cell r="N133" t="str">
            <v>EDO. MEX.</v>
          </cell>
          <cell r="O133">
            <v>7</v>
          </cell>
          <cell r="S133" t="str">
            <v>X</v>
          </cell>
          <cell r="AH133">
            <v>1990</v>
          </cell>
          <cell r="AI133">
            <v>1195000</v>
          </cell>
          <cell r="AT133" t="str">
            <v>FREIGHTLINER</v>
          </cell>
          <cell r="AV133">
            <v>0.2</v>
          </cell>
          <cell r="AX133">
            <v>1.1000000000000001</v>
          </cell>
          <cell r="BE133">
            <v>3000</v>
          </cell>
          <cell r="BF133">
            <v>72000</v>
          </cell>
          <cell r="BG133">
            <v>36000</v>
          </cell>
          <cell r="BH133">
            <v>110000</v>
          </cell>
          <cell r="BI133">
            <v>36000</v>
          </cell>
          <cell r="BM133" t="str">
            <v>X</v>
          </cell>
          <cell r="BV133" t="str">
            <v>X</v>
          </cell>
          <cell r="BX133">
            <v>1</v>
          </cell>
          <cell r="BY133">
            <v>3</v>
          </cell>
          <cell r="BZ133">
            <v>2</v>
          </cell>
          <cell r="DD133">
            <v>2</v>
          </cell>
        </row>
        <row r="134">
          <cell r="G134" t="str">
            <v>X</v>
          </cell>
          <cell r="N134" t="str">
            <v>QUERÉTARO</v>
          </cell>
          <cell r="O134">
            <v>23</v>
          </cell>
          <cell r="Y134" t="str">
            <v>X</v>
          </cell>
          <cell r="AH134">
            <v>2003</v>
          </cell>
          <cell r="AI134">
            <v>2600000</v>
          </cell>
          <cell r="AT134" t="str">
            <v>CUMMINS</v>
          </cell>
          <cell r="AV134">
            <v>0.5</v>
          </cell>
          <cell r="AX134">
            <v>2.1</v>
          </cell>
          <cell r="BE134">
            <v>20000</v>
          </cell>
          <cell r="BF134">
            <v>20000</v>
          </cell>
          <cell r="BG134">
            <v>20000</v>
          </cell>
          <cell r="BH134" t="str">
            <v>NO SABE</v>
          </cell>
          <cell r="BI134">
            <v>20000</v>
          </cell>
          <cell r="BR134" t="str">
            <v>X</v>
          </cell>
          <cell r="BX134">
            <v>1</v>
          </cell>
          <cell r="BY134">
            <v>3</v>
          </cell>
          <cell r="BZ134">
            <v>2</v>
          </cell>
          <cell r="DD134">
            <v>3</v>
          </cell>
        </row>
        <row r="135">
          <cell r="G135" t="str">
            <v>X</v>
          </cell>
          <cell r="N135" t="str">
            <v>EDO. MEX.</v>
          </cell>
          <cell r="O135">
            <v>5</v>
          </cell>
          <cell r="S135" t="str">
            <v>X</v>
          </cell>
          <cell r="X135" t="str">
            <v>X</v>
          </cell>
          <cell r="AH135">
            <v>1994</v>
          </cell>
          <cell r="AI135" t="str">
            <v>NO SABE</v>
          </cell>
          <cell r="AT135" t="str">
            <v>CUMMINS</v>
          </cell>
          <cell r="AV135">
            <v>0.05</v>
          </cell>
          <cell r="AX135">
            <v>2</v>
          </cell>
          <cell r="BE135">
            <v>75000</v>
          </cell>
          <cell r="BF135" t="str">
            <v>NO SABE</v>
          </cell>
          <cell r="BG135">
            <v>75000</v>
          </cell>
          <cell r="BH135">
            <v>180000</v>
          </cell>
          <cell r="BI135">
            <v>75000</v>
          </cell>
          <cell r="BJ135" t="str">
            <v>X</v>
          </cell>
          <cell r="BU135" t="str">
            <v>X</v>
          </cell>
          <cell r="BX135">
            <v>1</v>
          </cell>
          <cell r="BY135">
            <v>2</v>
          </cell>
          <cell r="BZ135">
            <v>3</v>
          </cell>
          <cell r="DD135">
            <v>3</v>
          </cell>
        </row>
        <row r="136">
          <cell r="G136" t="str">
            <v>X</v>
          </cell>
          <cell r="N136" t="str">
            <v>D.F.</v>
          </cell>
          <cell r="O136">
            <v>13</v>
          </cell>
          <cell r="V136" t="str">
            <v>X</v>
          </cell>
          <cell r="AH136">
            <v>2009</v>
          </cell>
          <cell r="AI136">
            <v>180000</v>
          </cell>
          <cell r="AT136" t="str">
            <v>NISSAN</v>
          </cell>
          <cell r="AV136">
            <v>0.5</v>
          </cell>
          <cell r="AX136">
            <v>6</v>
          </cell>
          <cell r="BE136">
            <v>6000</v>
          </cell>
          <cell r="BF136">
            <v>18000</v>
          </cell>
          <cell r="BG136">
            <v>18000</v>
          </cell>
          <cell r="BH136">
            <v>70000</v>
          </cell>
          <cell r="BI136" t="str">
            <v>NO APLICA</v>
          </cell>
          <cell r="BR136" t="str">
            <v>X</v>
          </cell>
          <cell r="BU136" t="str">
            <v>X</v>
          </cell>
          <cell r="BX136">
            <v>1</v>
          </cell>
          <cell r="BY136">
            <v>3</v>
          </cell>
          <cell r="BZ136">
            <v>2</v>
          </cell>
          <cell r="DD136">
            <v>3</v>
          </cell>
        </row>
        <row r="137">
          <cell r="G137" t="str">
            <v>X</v>
          </cell>
          <cell r="N137" t="str">
            <v>D.F.</v>
          </cell>
          <cell r="O137">
            <v>30</v>
          </cell>
          <cell r="U137" t="str">
            <v>X</v>
          </cell>
          <cell r="AH137">
            <v>2012</v>
          </cell>
          <cell r="AI137">
            <v>300000</v>
          </cell>
          <cell r="AT137" t="str">
            <v>MERCEDES BENZ</v>
          </cell>
          <cell r="AV137">
            <v>0.5</v>
          </cell>
          <cell r="AX137">
            <v>2.2999999999999998</v>
          </cell>
          <cell r="BE137">
            <v>20000</v>
          </cell>
          <cell r="BF137">
            <v>15000</v>
          </cell>
          <cell r="BG137">
            <v>20000</v>
          </cell>
          <cell r="BH137">
            <v>60000</v>
          </cell>
          <cell r="BI137">
            <v>20000</v>
          </cell>
          <cell r="BM137" t="str">
            <v>X</v>
          </cell>
          <cell r="BU137" t="str">
            <v>X</v>
          </cell>
          <cell r="BX137">
            <v>2</v>
          </cell>
          <cell r="BY137">
            <v>3</v>
          </cell>
          <cell r="BZ137">
            <v>4</v>
          </cell>
          <cell r="CA137" t="str">
            <v>SEGURIDAD</v>
          </cell>
          <cell r="DD137">
            <v>3</v>
          </cell>
        </row>
        <row r="138">
          <cell r="E138" t="str">
            <v>X</v>
          </cell>
          <cell r="N138" t="str">
            <v>EDO. MEX.</v>
          </cell>
          <cell r="O138">
            <v>12</v>
          </cell>
          <cell r="S138" t="str">
            <v>X</v>
          </cell>
          <cell r="U138" t="str">
            <v>X</v>
          </cell>
          <cell r="AH138">
            <v>2008</v>
          </cell>
          <cell r="AI138">
            <v>300000</v>
          </cell>
          <cell r="AT138" t="str">
            <v>FREIGHTLINER</v>
          </cell>
          <cell r="AV138">
            <v>0.5</v>
          </cell>
          <cell r="AX138">
            <v>1.6</v>
          </cell>
          <cell r="BE138">
            <v>16000</v>
          </cell>
          <cell r="BF138">
            <v>16000</v>
          </cell>
          <cell r="BG138">
            <v>16000</v>
          </cell>
          <cell r="BH138">
            <v>70000</v>
          </cell>
          <cell r="BI138">
            <v>16000</v>
          </cell>
          <cell r="BS138" t="str">
            <v>MUEBLES</v>
          </cell>
          <cell r="BU138" t="str">
            <v>X</v>
          </cell>
          <cell r="BX138">
            <v>2</v>
          </cell>
          <cell r="BY138">
            <v>3</v>
          </cell>
          <cell r="BZ138">
            <v>1</v>
          </cell>
          <cell r="DD138">
            <v>1</v>
          </cell>
        </row>
        <row r="139">
          <cell r="G139" t="str">
            <v>X</v>
          </cell>
          <cell r="N139" t="str">
            <v>D.F.</v>
          </cell>
          <cell r="O139">
            <v>22</v>
          </cell>
          <cell r="S139" t="str">
            <v>X</v>
          </cell>
          <cell r="U139" t="str">
            <v>X</v>
          </cell>
          <cell r="AH139">
            <v>2006</v>
          </cell>
          <cell r="AI139" t="str">
            <v>NO SABE</v>
          </cell>
          <cell r="AT139" t="str">
            <v>FREIGHTLINER</v>
          </cell>
          <cell r="AV139">
            <v>0.1</v>
          </cell>
          <cell r="AX139">
            <v>1.9</v>
          </cell>
          <cell r="BE139">
            <v>26000</v>
          </cell>
          <cell r="BF139">
            <v>60000</v>
          </cell>
          <cell r="BG139">
            <v>26000</v>
          </cell>
          <cell r="BH139">
            <v>100000</v>
          </cell>
          <cell r="BI139">
            <v>26000</v>
          </cell>
          <cell r="BK139" t="str">
            <v>X</v>
          </cell>
          <cell r="BU139" t="str">
            <v>X</v>
          </cell>
          <cell r="BV139" t="str">
            <v>X</v>
          </cell>
          <cell r="BX139">
            <v>3</v>
          </cell>
          <cell r="BY139">
            <v>4</v>
          </cell>
          <cell r="BZ139">
            <v>2</v>
          </cell>
          <cell r="CA139" t="str">
            <v>SEGURIDAD</v>
          </cell>
          <cell r="DD139">
            <v>3</v>
          </cell>
        </row>
        <row r="140">
          <cell r="G140" t="str">
            <v>X</v>
          </cell>
          <cell r="N140" t="str">
            <v>D.F.</v>
          </cell>
          <cell r="O140">
            <v>14</v>
          </cell>
          <cell r="Q140" t="str">
            <v>X</v>
          </cell>
          <cell r="U140" t="str">
            <v>X</v>
          </cell>
          <cell r="AH140">
            <v>2002</v>
          </cell>
          <cell r="AI140">
            <v>1800000</v>
          </cell>
          <cell r="AT140" t="str">
            <v>CUMMINS</v>
          </cell>
          <cell r="AV140">
            <v>0.5</v>
          </cell>
          <cell r="AX140">
            <v>2.8</v>
          </cell>
          <cell r="BE140">
            <v>14000</v>
          </cell>
          <cell r="BF140">
            <v>20000</v>
          </cell>
          <cell r="BG140">
            <v>14000</v>
          </cell>
          <cell r="BH140">
            <v>60000</v>
          </cell>
          <cell r="BI140">
            <v>14000</v>
          </cell>
          <cell r="BS140" t="str">
            <v>GENERAL</v>
          </cell>
          <cell r="BV140" t="str">
            <v>X</v>
          </cell>
          <cell r="BX140">
            <v>1</v>
          </cell>
          <cell r="BY140">
            <v>3</v>
          </cell>
          <cell r="BZ140">
            <v>2</v>
          </cell>
          <cell r="DD140">
            <v>3</v>
          </cell>
        </row>
        <row r="141">
          <cell r="E141" t="str">
            <v>X</v>
          </cell>
          <cell r="N141" t="str">
            <v>D.F.</v>
          </cell>
          <cell r="O141">
            <v>8</v>
          </cell>
          <cell r="S141" t="str">
            <v>X</v>
          </cell>
          <cell r="U141" t="str">
            <v>X</v>
          </cell>
          <cell r="AH141">
            <v>1990</v>
          </cell>
          <cell r="AI141">
            <v>1500000</v>
          </cell>
          <cell r="AT141" t="str">
            <v>CUMMINS</v>
          </cell>
          <cell r="AV141">
            <v>0</v>
          </cell>
          <cell r="AX141">
            <v>2</v>
          </cell>
          <cell r="BE141">
            <v>27000</v>
          </cell>
          <cell r="BF141">
            <v>54000</v>
          </cell>
          <cell r="BG141">
            <v>27000</v>
          </cell>
          <cell r="BH141" t="str">
            <v>NO SABE</v>
          </cell>
          <cell r="BI141">
            <v>27000</v>
          </cell>
          <cell r="BS141" t="str">
            <v>GENERAL</v>
          </cell>
          <cell r="BV141" t="str">
            <v>X</v>
          </cell>
          <cell r="BX141">
            <v>1</v>
          </cell>
          <cell r="BY141">
            <v>3</v>
          </cell>
          <cell r="BZ141">
            <v>2</v>
          </cell>
          <cell r="DD141">
            <v>1</v>
          </cell>
        </row>
        <row r="142">
          <cell r="H142" t="str">
            <v>X</v>
          </cell>
          <cell r="N142" t="str">
            <v>EDO. MEX.</v>
          </cell>
          <cell r="O142">
            <v>17</v>
          </cell>
          <cell r="S142" t="str">
            <v>X</v>
          </cell>
          <cell r="AH142">
            <v>2013</v>
          </cell>
          <cell r="AI142">
            <v>172300</v>
          </cell>
          <cell r="AT142" t="str">
            <v>INTERNATIONAL</v>
          </cell>
          <cell r="AV142">
            <v>0.5</v>
          </cell>
          <cell r="AX142">
            <v>2</v>
          </cell>
          <cell r="BE142">
            <v>25000</v>
          </cell>
          <cell r="BF142">
            <v>25000</v>
          </cell>
          <cell r="BG142">
            <v>25000</v>
          </cell>
          <cell r="BH142" t="str">
            <v>NO SABE</v>
          </cell>
          <cell r="BI142">
            <v>25000</v>
          </cell>
          <cell r="BS142" t="str">
            <v>GENERAL</v>
          </cell>
          <cell r="BU142" t="str">
            <v>X</v>
          </cell>
          <cell r="BX142">
            <v>1</v>
          </cell>
          <cell r="BY142">
            <v>2</v>
          </cell>
          <cell r="BZ142">
            <v>3</v>
          </cell>
          <cell r="DD142">
            <v>7</v>
          </cell>
        </row>
        <row r="143">
          <cell r="F143" t="str">
            <v>X</v>
          </cell>
          <cell r="N143" t="str">
            <v>EDO. MEX.</v>
          </cell>
          <cell r="O143">
            <v>5</v>
          </cell>
          <cell r="Y143" t="str">
            <v>X</v>
          </cell>
          <cell r="AH143">
            <v>2004</v>
          </cell>
          <cell r="AI143">
            <v>300000</v>
          </cell>
          <cell r="AT143" t="str">
            <v>KENWORTH</v>
          </cell>
          <cell r="AV143">
            <v>0.5</v>
          </cell>
          <cell r="AX143">
            <v>2.5</v>
          </cell>
          <cell r="BE143">
            <v>4000</v>
          </cell>
          <cell r="BF143">
            <v>2000</v>
          </cell>
          <cell r="BG143">
            <v>2000</v>
          </cell>
          <cell r="BH143" t="str">
            <v>NO SABE</v>
          </cell>
          <cell r="BI143">
            <v>2000</v>
          </cell>
          <cell r="BR143" t="str">
            <v>X</v>
          </cell>
          <cell r="BV143" t="str">
            <v>X</v>
          </cell>
          <cell r="BX143">
            <v>2</v>
          </cell>
          <cell r="BY143">
            <v>3</v>
          </cell>
          <cell r="BZ143">
            <v>1</v>
          </cell>
          <cell r="DD143">
            <v>2</v>
          </cell>
        </row>
        <row r="144">
          <cell r="F144" t="str">
            <v>X</v>
          </cell>
          <cell r="N144" t="str">
            <v>EDO. MEX.</v>
          </cell>
          <cell r="O144">
            <v>2</v>
          </cell>
          <cell r="U144" t="str">
            <v>X</v>
          </cell>
          <cell r="AH144">
            <v>1999</v>
          </cell>
          <cell r="AI144" t="str">
            <v>NO SABE</v>
          </cell>
          <cell r="AT144" t="str">
            <v>FORD</v>
          </cell>
          <cell r="AV144">
            <v>0.5</v>
          </cell>
          <cell r="AX144">
            <v>2</v>
          </cell>
          <cell r="BE144">
            <v>21000</v>
          </cell>
          <cell r="BF144">
            <v>21000</v>
          </cell>
          <cell r="BG144">
            <v>21000</v>
          </cell>
          <cell r="BH144" t="str">
            <v>NO SABE</v>
          </cell>
          <cell r="BI144" t="str">
            <v>NO APLICA</v>
          </cell>
          <cell r="BS144" t="str">
            <v>GENERAL</v>
          </cell>
          <cell r="BU144" t="str">
            <v>X</v>
          </cell>
          <cell r="BX144">
            <v>1</v>
          </cell>
          <cell r="BY144">
            <v>3</v>
          </cell>
          <cell r="BZ144">
            <v>2</v>
          </cell>
          <cell r="DD144">
            <v>2</v>
          </cell>
        </row>
        <row r="145">
          <cell r="G145" t="str">
            <v>X</v>
          </cell>
          <cell r="N145" t="str">
            <v>EDO. MEX.</v>
          </cell>
          <cell r="O145">
            <v>17</v>
          </cell>
          <cell r="AH145">
            <v>2013</v>
          </cell>
          <cell r="AI145">
            <v>72300</v>
          </cell>
          <cell r="AT145" t="str">
            <v>CUMMINS</v>
          </cell>
          <cell r="AV145">
            <v>0.5</v>
          </cell>
          <cell r="AX145">
            <v>2.4</v>
          </cell>
          <cell r="BE145">
            <v>25000</v>
          </cell>
          <cell r="BF145">
            <v>25000</v>
          </cell>
          <cell r="BG145">
            <v>25000</v>
          </cell>
          <cell r="BH145">
            <v>100000</v>
          </cell>
          <cell r="BI145">
            <v>25000</v>
          </cell>
          <cell r="BS145" t="str">
            <v>CHATARRA</v>
          </cell>
          <cell r="BU145" t="str">
            <v>X</v>
          </cell>
          <cell r="BX145">
            <v>1</v>
          </cell>
          <cell r="BY145">
            <v>3</v>
          </cell>
          <cell r="BZ145">
            <v>2</v>
          </cell>
          <cell r="DD145">
            <v>3</v>
          </cell>
        </row>
        <row r="146">
          <cell r="F146" t="str">
            <v>X</v>
          </cell>
          <cell r="N146" t="str">
            <v>EDO. MEX.</v>
          </cell>
          <cell r="O146">
            <v>6</v>
          </cell>
          <cell r="V146" t="str">
            <v>X</v>
          </cell>
          <cell r="AH146">
            <v>2009</v>
          </cell>
          <cell r="AI146">
            <v>300000</v>
          </cell>
          <cell r="AT146" t="str">
            <v>CUMMINS</v>
          </cell>
          <cell r="AV146">
            <v>0.5</v>
          </cell>
          <cell r="AX146">
            <v>2</v>
          </cell>
          <cell r="BE146">
            <v>18000</v>
          </cell>
          <cell r="BF146">
            <v>18000</v>
          </cell>
          <cell r="BG146">
            <v>18000</v>
          </cell>
          <cell r="BH146" t="str">
            <v>NO SABE</v>
          </cell>
          <cell r="BI146">
            <v>18000</v>
          </cell>
          <cell r="BQ146" t="str">
            <v>X</v>
          </cell>
          <cell r="BU146" t="str">
            <v>X</v>
          </cell>
          <cell r="BX146">
            <v>2</v>
          </cell>
          <cell r="BY146">
            <v>1</v>
          </cell>
          <cell r="BZ146">
            <v>3</v>
          </cell>
          <cell r="DD146">
            <v>2</v>
          </cell>
        </row>
        <row r="147">
          <cell r="G147" t="str">
            <v>X</v>
          </cell>
          <cell r="N147" t="str">
            <v>D.F.</v>
          </cell>
          <cell r="O147">
            <v>25</v>
          </cell>
          <cell r="S147" t="str">
            <v>X</v>
          </cell>
          <cell r="X147" t="str">
            <v>X</v>
          </cell>
          <cell r="AH147">
            <v>2013</v>
          </cell>
          <cell r="AI147">
            <v>400000</v>
          </cell>
          <cell r="AT147" t="str">
            <v>KENWORTH</v>
          </cell>
          <cell r="AV147">
            <v>0.5</v>
          </cell>
          <cell r="AX147">
            <v>2.5</v>
          </cell>
          <cell r="BE147">
            <v>18000</v>
          </cell>
          <cell r="BF147">
            <v>9000</v>
          </cell>
          <cell r="BG147">
            <v>18000</v>
          </cell>
          <cell r="BH147">
            <v>90000</v>
          </cell>
          <cell r="BI147">
            <v>18000</v>
          </cell>
          <cell r="BQ147" t="str">
            <v>X</v>
          </cell>
          <cell r="BU147" t="str">
            <v>X</v>
          </cell>
          <cell r="BX147">
            <v>3</v>
          </cell>
          <cell r="BY147">
            <v>2</v>
          </cell>
          <cell r="BZ147">
            <v>1</v>
          </cell>
          <cell r="DD147">
            <v>3</v>
          </cell>
        </row>
        <row r="148">
          <cell r="G148" t="str">
            <v>X</v>
          </cell>
          <cell r="N148" t="str">
            <v>D.F.</v>
          </cell>
          <cell r="O148">
            <v>33</v>
          </cell>
          <cell r="Q148" t="str">
            <v>X</v>
          </cell>
          <cell r="X148" t="str">
            <v>X</v>
          </cell>
          <cell r="AH148">
            <v>2007</v>
          </cell>
          <cell r="AI148">
            <v>900000</v>
          </cell>
          <cell r="AT148" t="str">
            <v>INTERNATIONAL</v>
          </cell>
          <cell r="AV148">
            <v>0.5</v>
          </cell>
          <cell r="AX148">
            <v>2.8</v>
          </cell>
          <cell r="BE148">
            <v>7500</v>
          </cell>
          <cell r="BF148">
            <v>4500</v>
          </cell>
          <cell r="BG148">
            <v>7500</v>
          </cell>
          <cell r="BH148">
            <v>90000</v>
          </cell>
          <cell r="BI148">
            <v>7500</v>
          </cell>
          <cell r="BJ148" t="str">
            <v>X</v>
          </cell>
          <cell r="BU148" t="str">
            <v>X</v>
          </cell>
          <cell r="BX148">
            <v>1</v>
          </cell>
          <cell r="BY148">
            <v>2</v>
          </cell>
          <cell r="BZ148">
            <v>3</v>
          </cell>
          <cell r="DD148">
            <v>3</v>
          </cell>
        </row>
        <row r="149">
          <cell r="H149" t="str">
            <v>X</v>
          </cell>
          <cell r="N149" t="str">
            <v>MORELOS</v>
          </cell>
          <cell r="O149">
            <v>30</v>
          </cell>
          <cell r="X149" t="str">
            <v>X</v>
          </cell>
          <cell r="AH149">
            <v>2010</v>
          </cell>
          <cell r="AI149">
            <v>70000</v>
          </cell>
          <cell r="AT149" t="str">
            <v>VOLVO</v>
          </cell>
          <cell r="AV149">
            <v>0.5</v>
          </cell>
          <cell r="AX149">
            <v>2</v>
          </cell>
          <cell r="BE149">
            <v>12000</v>
          </cell>
          <cell r="BF149">
            <v>60000</v>
          </cell>
          <cell r="BG149">
            <v>12000</v>
          </cell>
          <cell r="BH149">
            <v>100000</v>
          </cell>
          <cell r="BI149">
            <v>12000</v>
          </cell>
          <cell r="BQ149" t="str">
            <v>X</v>
          </cell>
          <cell r="BU149" t="str">
            <v>X</v>
          </cell>
          <cell r="BX149">
            <v>3</v>
          </cell>
          <cell r="BY149">
            <v>4</v>
          </cell>
          <cell r="BZ149">
            <v>2</v>
          </cell>
          <cell r="CA149" t="str">
            <v>RUTA</v>
          </cell>
          <cell r="DD149">
            <v>7</v>
          </cell>
        </row>
        <row r="150">
          <cell r="H150" t="str">
            <v>X</v>
          </cell>
          <cell r="N150" t="str">
            <v>D.F.</v>
          </cell>
          <cell r="O150">
            <v>25</v>
          </cell>
          <cell r="U150" t="str">
            <v>X</v>
          </cell>
          <cell r="AH150">
            <v>2002</v>
          </cell>
          <cell r="AI150">
            <v>800000</v>
          </cell>
          <cell r="AT150" t="str">
            <v>CUMMINS</v>
          </cell>
          <cell r="AV150">
            <v>0.2</v>
          </cell>
          <cell r="AX150">
            <v>2.7</v>
          </cell>
          <cell r="BE150">
            <v>8000</v>
          </cell>
          <cell r="BF150">
            <v>6000</v>
          </cell>
          <cell r="BG150">
            <v>8000</v>
          </cell>
          <cell r="BH150">
            <v>72000</v>
          </cell>
          <cell r="BI150">
            <v>8000</v>
          </cell>
          <cell r="BN150" t="str">
            <v>X</v>
          </cell>
          <cell r="BU150" t="str">
            <v>X</v>
          </cell>
          <cell r="BX150">
            <v>2</v>
          </cell>
          <cell r="BY150">
            <v>3</v>
          </cell>
          <cell r="BZ150">
            <v>1</v>
          </cell>
          <cell r="DD150">
            <v>7</v>
          </cell>
        </row>
        <row r="151">
          <cell r="F151" t="str">
            <v>X</v>
          </cell>
          <cell r="N151" t="str">
            <v>EDO. MEX.</v>
          </cell>
          <cell r="O151">
            <v>12</v>
          </cell>
          <cell r="S151" t="str">
            <v>X</v>
          </cell>
          <cell r="U151" t="str">
            <v>X</v>
          </cell>
          <cell r="AH151">
            <v>2006</v>
          </cell>
          <cell r="AI151">
            <v>560000</v>
          </cell>
          <cell r="AT151" t="str">
            <v>DETROIT</v>
          </cell>
          <cell r="AV151">
            <v>0.05</v>
          </cell>
          <cell r="AX151">
            <v>3.2</v>
          </cell>
          <cell r="BE151">
            <v>30000</v>
          </cell>
          <cell r="BF151" t="str">
            <v>NO SABE</v>
          </cell>
          <cell r="BG151">
            <v>30000</v>
          </cell>
          <cell r="BH151" t="str">
            <v>NO SABE</v>
          </cell>
          <cell r="BI151">
            <v>30000</v>
          </cell>
          <cell r="BS151" t="str">
            <v>LLANTAS</v>
          </cell>
          <cell r="BU151" t="str">
            <v>X</v>
          </cell>
          <cell r="BX151">
            <v>1</v>
          </cell>
          <cell r="BY151">
            <v>2</v>
          </cell>
          <cell r="BZ151">
            <v>3</v>
          </cell>
          <cell r="DD151">
            <v>2</v>
          </cell>
        </row>
        <row r="152">
          <cell r="G152" t="str">
            <v>X</v>
          </cell>
          <cell r="N152" t="str">
            <v>EDO. MEX.</v>
          </cell>
          <cell r="O152">
            <v>20</v>
          </cell>
          <cell r="Y152" t="str">
            <v>X</v>
          </cell>
          <cell r="AH152">
            <v>1991</v>
          </cell>
          <cell r="AI152">
            <v>500000</v>
          </cell>
          <cell r="AT152" t="str">
            <v>CUMMINS</v>
          </cell>
          <cell r="AV152">
            <v>0.5</v>
          </cell>
          <cell r="AX152">
            <v>2.5</v>
          </cell>
          <cell r="BE152">
            <v>6000</v>
          </cell>
          <cell r="BF152">
            <v>12000</v>
          </cell>
          <cell r="BG152">
            <v>6000</v>
          </cell>
          <cell r="BH152">
            <v>72000</v>
          </cell>
          <cell r="BI152">
            <v>6000</v>
          </cell>
          <cell r="BR152" t="str">
            <v>X</v>
          </cell>
          <cell r="BU152" t="str">
            <v>X</v>
          </cell>
          <cell r="BX152">
            <v>2</v>
          </cell>
          <cell r="BY152">
            <v>3</v>
          </cell>
          <cell r="BZ152">
            <v>1</v>
          </cell>
          <cell r="DD152">
            <v>3</v>
          </cell>
        </row>
        <row r="153">
          <cell r="G153" t="str">
            <v>X</v>
          </cell>
          <cell r="N153" t="str">
            <v>D.F.</v>
          </cell>
          <cell r="O153">
            <v>5</v>
          </cell>
          <cell r="X153" t="str">
            <v>X</v>
          </cell>
          <cell r="AH153">
            <v>2010</v>
          </cell>
          <cell r="AI153">
            <v>750000</v>
          </cell>
          <cell r="AT153" t="str">
            <v>NO SABE</v>
          </cell>
          <cell r="AV153">
            <v>0.3</v>
          </cell>
          <cell r="AX153">
            <v>2.1</v>
          </cell>
          <cell r="BE153">
            <v>12000</v>
          </cell>
          <cell r="BF153">
            <v>9000</v>
          </cell>
          <cell r="BG153">
            <v>12000</v>
          </cell>
          <cell r="BH153">
            <v>100000</v>
          </cell>
          <cell r="BI153">
            <v>12000</v>
          </cell>
          <cell r="BK153" t="str">
            <v>X</v>
          </cell>
          <cell r="BV153" t="str">
            <v>X</v>
          </cell>
          <cell r="BX153">
            <v>3</v>
          </cell>
          <cell r="BY153">
            <v>4</v>
          </cell>
          <cell r="BZ153">
            <v>2</v>
          </cell>
          <cell r="CA153" t="str">
            <v>SEGURIDAD</v>
          </cell>
          <cell r="DD153">
            <v>3</v>
          </cell>
        </row>
        <row r="154">
          <cell r="G154" t="str">
            <v>X</v>
          </cell>
          <cell r="N154" t="str">
            <v>EDO. MEX.</v>
          </cell>
          <cell r="O154">
            <v>3</v>
          </cell>
          <cell r="AH154">
            <v>1989</v>
          </cell>
          <cell r="AI154">
            <v>1200000</v>
          </cell>
          <cell r="AT154" t="str">
            <v>DINA</v>
          </cell>
          <cell r="AV154">
            <v>0.5</v>
          </cell>
          <cell r="AX154">
            <v>2.5</v>
          </cell>
          <cell r="BE154">
            <v>15000</v>
          </cell>
          <cell r="BF154">
            <v>12500</v>
          </cell>
          <cell r="BG154">
            <v>15000</v>
          </cell>
          <cell r="BH154">
            <v>60000</v>
          </cell>
          <cell r="BI154">
            <v>15000</v>
          </cell>
          <cell r="BM154" t="str">
            <v>X</v>
          </cell>
          <cell r="BV154" t="str">
            <v>X</v>
          </cell>
          <cell r="BX154">
            <v>1</v>
          </cell>
          <cell r="BY154">
            <v>3</v>
          </cell>
          <cell r="BZ154">
            <v>2</v>
          </cell>
          <cell r="DD154">
            <v>3</v>
          </cell>
        </row>
        <row r="155">
          <cell r="H155" t="str">
            <v>X</v>
          </cell>
          <cell r="N155" t="str">
            <v>EDO. MEX.</v>
          </cell>
          <cell r="O155">
            <v>15</v>
          </cell>
          <cell r="Q155" t="str">
            <v>X</v>
          </cell>
          <cell r="AH155">
            <v>1994</v>
          </cell>
          <cell r="AI155" t="str">
            <v>NO SABE</v>
          </cell>
          <cell r="AT155" t="str">
            <v>FREIGHTLINER</v>
          </cell>
          <cell r="AV155">
            <v>0.5</v>
          </cell>
          <cell r="AX155">
            <v>2.5</v>
          </cell>
          <cell r="BE155">
            <v>25000</v>
          </cell>
          <cell r="BF155">
            <v>30000</v>
          </cell>
          <cell r="BG155">
            <v>25000</v>
          </cell>
          <cell r="BH155">
            <v>72000</v>
          </cell>
          <cell r="BI155">
            <v>10000</v>
          </cell>
          <cell r="BS155" t="str">
            <v>GENERAL</v>
          </cell>
          <cell r="BV155" t="str">
            <v>X</v>
          </cell>
          <cell r="BX155">
            <v>2</v>
          </cell>
          <cell r="BY155">
            <v>3</v>
          </cell>
          <cell r="BZ155">
            <v>1</v>
          </cell>
          <cell r="DD155">
            <v>7</v>
          </cell>
        </row>
        <row r="156">
          <cell r="G156" t="str">
            <v>X</v>
          </cell>
          <cell r="N156" t="str">
            <v>EDO. MEX.</v>
          </cell>
          <cell r="O156">
            <v>32</v>
          </cell>
          <cell r="Y156" t="str">
            <v>X</v>
          </cell>
          <cell r="AH156">
            <v>2011</v>
          </cell>
          <cell r="AI156">
            <v>265000</v>
          </cell>
          <cell r="AT156" t="str">
            <v>KENWORTH</v>
          </cell>
          <cell r="AV156">
            <v>0.5</v>
          </cell>
          <cell r="AX156">
            <v>2.5</v>
          </cell>
          <cell r="BE156">
            <v>40000</v>
          </cell>
          <cell r="BF156">
            <v>40000</v>
          </cell>
          <cell r="BG156">
            <v>40000</v>
          </cell>
          <cell r="BH156">
            <v>120000</v>
          </cell>
          <cell r="BI156">
            <v>40000</v>
          </cell>
          <cell r="BJ156" t="str">
            <v>X</v>
          </cell>
          <cell r="BU156" t="str">
            <v>X</v>
          </cell>
          <cell r="BX156">
            <v>3</v>
          </cell>
          <cell r="BY156">
            <v>4</v>
          </cell>
          <cell r="BZ156">
            <v>2</v>
          </cell>
          <cell r="CA156" t="str">
            <v>SEGURIDAD</v>
          </cell>
          <cell r="DD156">
            <v>3</v>
          </cell>
        </row>
        <row r="157">
          <cell r="E157" t="str">
            <v>X</v>
          </cell>
          <cell r="N157" t="str">
            <v>EDO. MEX.</v>
          </cell>
          <cell r="O157">
            <v>7</v>
          </cell>
          <cell r="U157" t="str">
            <v>X</v>
          </cell>
          <cell r="AH157">
            <v>1990</v>
          </cell>
          <cell r="AI157">
            <v>1200000</v>
          </cell>
          <cell r="AT157" t="str">
            <v>CUMMINS</v>
          </cell>
          <cell r="AV157">
            <v>0.3</v>
          </cell>
          <cell r="AX157">
            <v>3</v>
          </cell>
          <cell r="BE157">
            <v>10000</v>
          </cell>
          <cell r="BF157">
            <v>6000</v>
          </cell>
          <cell r="BG157">
            <v>10000</v>
          </cell>
          <cell r="BH157">
            <v>120000</v>
          </cell>
          <cell r="BI157">
            <v>10000</v>
          </cell>
          <cell r="BM157" t="str">
            <v>X</v>
          </cell>
          <cell r="BV157" t="str">
            <v>X</v>
          </cell>
          <cell r="BX157">
            <v>3</v>
          </cell>
          <cell r="BY157">
            <v>2</v>
          </cell>
          <cell r="BZ157">
            <v>1</v>
          </cell>
          <cell r="DD157">
            <v>1</v>
          </cell>
        </row>
        <row r="158">
          <cell r="F158" t="str">
            <v>X</v>
          </cell>
          <cell r="N158" t="str">
            <v>D.F.</v>
          </cell>
          <cell r="O158">
            <v>10</v>
          </cell>
          <cell r="U158" t="str">
            <v>X</v>
          </cell>
          <cell r="AH158">
            <v>1980</v>
          </cell>
          <cell r="AI158">
            <v>1500000</v>
          </cell>
          <cell r="AT158" t="str">
            <v>KENWORTH</v>
          </cell>
          <cell r="AV158">
            <v>0.3</v>
          </cell>
          <cell r="AX158">
            <v>2.5</v>
          </cell>
          <cell r="BE158">
            <v>4000</v>
          </cell>
          <cell r="BF158">
            <v>24000</v>
          </cell>
          <cell r="BG158">
            <v>4000</v>
          </cell>
          <cell r="BH158">
            <v>24000</v>
          </cell>
          <cell r="BI158">
            <v>4000</v>
          </cell>
          <cell r="BM158" t="str">
            <v>X</v>
          </cell>
          <cell r="BU158" t="str">
            <v>X</v>
          </cell>
          <cell r="BX158">
            <v>1</v>
          </cell>
          <cell r="BY158">
            <v>3</v>
          </cell>
          <cell r="BZ158">
            <v>2</v>
          </cell>
          <cell r="DD158">
            <v>2</v>
          </cell>
        </row>
        <row r="159">
          <cell r="H159" t="str">
            <v>X</v>
          </cell>
          <cell r="N159" t="str">
            <v>EDO. MEX.</v>
          </cell>
          <cell r="O159">
            <v>11</v>
          </cell>
          <cell r="X159" t="str">
            <v>X</v>
          </cell>
          <cell r="AH159">
            <v>2010</v>
          </cell>
          <cell r="AI159">
            <v>750000</v>
          </cell>
          <cell r="AT159" t="str">
            <v>CUMMINS</v>
          </cell>
          <cell r="AV159">
            <v>0.3</v>
          </cell>
          <cell r="AX159">
            <v>2.7</v>
          </cell>
          <cell r="BE159">
            <v>10000</v>
          </cell>
          <cell r="BF159">
            <v>15000</v>
          </cell>
          <cell r="BG159">
            <v>10000</v>
          </cell>
          <cell r="BH159">
            <v>72000</v>
          </cell>
          <cell r="BI159">
            <v>10000</v>
          </cell>
          <cell r="BK159" t="str">
            <v>X</v>
          </cell>
          <cell r="BV159" t="str">
            <v>X</v>
          </cell>
          <cell r="BX159">
            <v>2</v>
          </cell>
          <cell r="BY159">
            <v>3</v>
          </cell>
          <cell r="BZ159">
            <v>1</v>
          </cell>
          <cell r="DD159">
            <v>7</v>
          </cell>
        </row>
        <row r="160">
          <cell r="G160" t="str">
            <v>X</v>
          </cell>
          <cell r="N160" t="str">
            <v>D.F.</v>
          </cell>
          <cell r="O160">
            <v>1</v>
          </cell>
          <cell r="U160" t="str">
            <v>X</v>
          </cell>
          <cell r="AH160">
            <v>1997</v>
          </cell>
          <cell r="AI160">
            <v>1000000</v>
          </cell>
          <cell r="AT160" t="str">
            <v>NO SABE</v>
          </cell>
          <cell r="AV160">
            <v>0.5</v>
          </cell>
          <cell r="AX160">
            <v>2.7</v>
          </cell>
          <cell r="BE160">
            <v>9000</v>
          </cell>
          <cell r="BF160">
            <v>6000</v>
          </cell>
          <cell r="BG160">
            <v>9000</v>
          </cell>
          <cell r="BH160" t="str">
            <v>NO SABE</v>
          </cell>
          <cell r="BI160">
            <v>9000</v>
          </cell>
          <cell r="BM160" t="str">
            <v>X</v>
          </cell>
          <cell r="BU160" t="str">
            <v>X</v>
          </cell>
          <cell r="BX160">
            <v>1</v>
          </cell>
          <cell r="BY160">
            <v>3</v>
          </cell>
          <cell r="BZ160">
            <v>2</v>
          </cell>
          <cell r="DD160">
            <v>3</v>
          </cell>
        </row>
        <row r="161">
          <cell r="F161" t="str">
            <v>X</v>
          </cell>
          <cell r="N161" t="str">
            <v>EDO. MEX.</v>
          </cell>
          <cell r="O161">
            <v>5</v>
          </cell>
          <cell r="AH161">
            <v>2008</v>
          </cell>
          <cell r="AI161">
            <v>800000</v>
          </cell>
          <cell r="AT161" t="str">
            <v>KENWORTH</v>
          </cell>
          <cell r="AV161">
            <v>0.5</v>
          </cell>
          <cell r="AX161">
            <v>2.8</v>
          </cell>
          <cell r="BE161">
            <v>4000</v>
          </cell>
          <cell r="BF161">
            <v>6000</v>
          </cell>
          <cell r="BG161">
            <v>4000</v>
          </cell>
          <cell r="BH161" t="str">
            <v>NO SABE</v>
          </cell>
          <cell r="BI161">
            <v>4000</v>
          </cell>
          <cell r="BM161" t="str">
            <v>X</v>
          </cell>
          <cell r="BU161" t="str">
            <v>X</v>
          </cell>
          <cell r="BX161">
            <v>3</v>
          </cell>
          <cell r="BY161">
            <v>1</v>
          </cell>
          <cell r="BZ161">
            <v>2</v>
          </cell>
          <cell r="DD161">
            <v>2</v>
          </cell>
        </row>
        <row r="162">
          <cell r="G162" t="str">
            <v>X</v>
          </cell>
          <cell r="N162" t="str">
            <v>MORELOS</v>
          </cell>
          <cell r="O162">
            <v>12</v>
          </cell>
          <cell r="S162" t="str">
            <v>X</v>
          </cell>
          <cell r="U162" t="str">
            <v>X</v>
          </cell>
          <cell r="AH162">
            <v>2010</v>
          </cell>
          <cell r="AI162">
            <v>600000</v>
          </cell>
          <cell r="AT162" t="str">
            <v>KENWORTH</v>
          </cell>
          <cell r="AV162">
            <v>0.5</v>
          </cell>
          <cell r="AX162">
            <v>2.5</v>
          </cell>
          <cell r="BE162">
            <v>12000</v>
          </cell>
          <cell r="BF162">
            <v>3000</v>
          </cell>
          <cell r="BG162">
            <v>12000</v>
          </cell>
          <cell r="BH162">
            <v>60000</v>
          </cell>
          <cell r="BI162">
            <v>12000</v>
          </cell>
          <cell r="BS162" t="str">
            <v>GENERAL</v>
          </cell>
          <cell r="BV162" t="str">
            <v>X</v>
          </cell>
          <cell r="BX162">
            <v>1</v>
          </cell>
          <cell r="BY162">
            <v>3</v>
          </cell>
          <cell r="BZ162">
            <v>2</v>
          </cell>
          <cell r="DD162">
            <v>3</v>
          </cell>
        </row>
        <row r="163">
          <cell r="F163" t="str">
            <v>X</v>
          </cell>
          <cell r="N163" t="str">
            <v>D.F.</v>
          </cell>
          <cell r="O163">
            <v>8</v>
          </cell>
          <cell r="Y163" t="str">
            <v>X</v>
          </cell>
          <cell r="AH163">
            <v>2012</v>
          </cell>
          <cell r="AI163">
            <v>100000</v>
          </cell>
          <cell r="AT163" t="str">
            <v>INTERNATIONAL</v>
          </cell>
          <cell r="AV163">
            <v>0.3</v>
          </cell>
          <cell r="AX163">
            <v>2.8</v>
          </cell>
          <cell r="BE163">
            <v>6000</v>
          </cell>
          <cell r="BF163">
            <v>3000</v>
          </cell>
          <cell r="BG163">
            <v>6000</v>
          </cell>
          <cell r="BH163" t="str">
            <v>NO SABE</v>
          </cell>
          <cell r="BI163">
            <v>6000</v>
          </cell>
          <cell r="BS163" t="str">
            <v>AGUA</v>
          </cell>
          <cell r="BV163" t="str">
            <v>X</v>
          </cell>
          <cell r="BX163">
            <v>1</v>
          </cell>
          <cell r="BY163">
            <v>2</v>
          </cell>
          <cell r="BZ163">
            <v>3</v>
          </cell>
          <cell r="DD163">
            <v>2</v>
          </cell>
        </row>
        <row r="164">
          <cell r="H164" t="str">
            <v>X</v>
          </cell>
          <cell r="N164" t="str">
            <v>EDO. MEX.</v>
          </cell>
          <cell r="O164">
            <v>15</v>
          </cell>
          <cell r="U164" t="str">
            <v>X</v>
          </cell>
          <cell r="AH164">
            <v>2010</v>
          </cell>
          <cell r="AI164">
            <v>200000</v>
          </cell>
          <cell r="AT164" t="str">
            <v>INTERNATIONAL</v>
          </cell>
          <cell r="AV164">
            <v>0.5</v>
          </cell>
          <cell r="AX164">
            <v>3</v>
          </cell>
          <cell r="BE164">
            <v>24000</v>
          </cell>
          <cell r="BF164">
            <v>48000</v>
          </cell>
          <cell r="BG164">
            <v>24000</v>
          </cell>
          <cell r="BH164">
            <v>100000</v>
          </cell>
          <cell r="BI164">
            <v>24000</v>
          </cell>
          <cell r="BS164" t="str">
            <v>GENERAL</v>
          </cell>
          <cell r="BV164" t="str">
            <v>X</v>
          </cell>
          <cell r="BX164">
            <v>1</v>
          </cell>
          <cell r="BY164">
            <v>3</v>
          </cell>
          <cell r="BZ164">
            <v>2</v>
          </cell>
          <cell r="DD164">
            <v>7</v>
          </cell>
        </row>
        <row r="165">
          <cell r="F165" t="str">
            <v>X</v>
          </cell>
          <cell r="N165" t="str">
            <v>HIDALGO</v>
          </cell>
          <cell r="O165">
            <v>40</v>
          </cell>
          <cell r="U165" t="str">
            <v>X</v>
          </cell>
          <cell r="AH165">
            <v>1980</v>
          </cell>
          <cell r="AI165">
            <v>2000000</v>
          </cell>
          <cell r="AT165" t="str">
            <v>KENWORTH</v>
          </cell>
          <cell r="AV165">
            <v>0.5</v>
          </cell>
          <cell r="AX165">
            <v>2</v>
          </cell>
          <cell r="BE165">
            <v>20000</v>
          </cell>
          <cell r="BF165">
            <v>30000</v>
          </cell>
          <cell r="BG165">
            <v>20000</v>
          </cell>
          <cell r="BH165">
            <v>60000</v>
          </cell>
          <cell r="BI165">
            <v>20000</v>
          </cell>
          <cell r="BS165" t="str">
            <v>GENERAL</v>
          </cell>
          <cell r="BU165" t="str">
            <v>X</v>
          </cell>
          <cell r="BV165" t="str">
            <v>X</v>
          </cell>
          <cell r="BW165" t="str">
            <v>X</v>
          </cell>
          <cell r="BX165">
            <v>1</v>
          </cell>
          <cell r="BY165">
            <v>3</v>
          </cell>
          <cell r="BZ165">
            <v>2</v>
          </cell>
          <cell r="DD165">
            <v>2</v>
          </cell>
        </row>
        <row r="166">
          <cell r="E166" t="str">
            <v>X</v>
          </cell>
          <cell r="N166" t="str">
            <v>EDO. MEX.</v>
          </cell>
          <cell r="O166">
            <v>15</v>
          </cell>
          <cell r="U166" t="str">
            <v>X</v>
          </cell>
          <cell r="AH166">
            <v>2000</v>
          </cell>
          <cell r="AI166">
            <v>5000000</v>
          </cell>
          <cell r="AT166" t="str">
            <v>CUMMINS</v>
          </cell>
          <cell r="AV166">
            <v>0.1</v>
          </cell>
          <cell r="AX166">
            <v>2</v>
          </cell>
          <cell r="BE166">
            <v>12000</v>
          </cell>
          <cell r="BF166">
            <v>20000</v>
          </cell>
          <cell r="BG166">
            <v>12000</v>
          </cell>
          <cell r="BH166">
            <v>220000</v>
          </cell>
          <cell r="BI166">
            <v>12000</v>
          </cell>
          <cell r="BO166" t="str">
            <v>X</v>
          </cell>
          <cell r="BU166" t="str">
            <v>X</v>
          </cell>
          <cell r="BX166">
            <v>3</v>
          </cell>
          <cell r="BY166">
            <v>1</v>
          </cell>
          <cell r="BZ166">
            <v>2</v>
          </cell>
          <cell r="DD166">
            <v>1</v>
          </cell>
        </row>
        <row r="167">
          <cell r="H167" t="str">
            <v>X</v>
          </cell>
          <cell r="N167" t="str">
            <v>EDO. MEX.</v>
          </cell>
          <cell r="O167">
            <v>30</v>
          </cell>
          <cell r="S167" t="str">
            <v>X</v>
          </cell>
          <cell r="U167" t="str">
            <v>X</v>
          </cell>
          <cell r="AH167">
            <v>2010</v>
          </cell>
          <cell r="AI167">
            <v>300000</v>
          </cell>
          <cell r="AT167" t="str">
            <v>KENWORTH</v>
          </cell>
          <cell r="AV167">
            <v>0.2</v>
          </cell>
          <cell r="AX167">
            <v>3.1</v>
          </cell>
          <cell r="BE167">
            <v>15000</v>
          </cell>
          <cell r="BF167">
            <v>9000</v>
          </cell>
          <cell r="BG167">
            <v>15000</v>
          </cell>
          <cell r="BH167">
            <v>130000</v>
          </cell>
          <cell r="BI167">
            <v>15000</v>
          </cell>
          <cell r="BS167" t="str">
            <v>ANIMALES</v>
          </cell>
          <cell r="BU167" t="str">
            <v>X</v>
          </cell>
          <cell r="BX167">
            <v>1</v>
          </cell>
          <cell r="BY167">
            <v>2</v>
          </cell>
          <cell r="BZ167">
            <v>3</v>
          </cell>
          <cell r="DD167">
            <v>7</v>
          </cell>
        </row>
        <row r="168">
          <cell r="G168" t="str">
            <v>X</v>
          </cell>
          <cell r="N168" t="str">
            <v>D.F.</v>
          </cell>
          <cell r="O168">
            <v>3</v>
          </cell>
          <cell r="U168" t="str">
            <v>X</v>
          </cell>
          <cell r="AH168">
            <v>2008</v>
          </cell>
          <cell r="AI168">
            <v>200000</v>
          </cell>
          <cell r="AT168" t="str">
            <v>FORD</v>
          </cell>
          <cell r="AV168">
            <v>0.5</v>
          </cell>
          <cell r="AX168">
            <v>3.7</v>
          </cell>
          <cell r="BE168">
            <v>15000</v>
          </cell>
          <cell r="BF168">
            <v>10000</v>
          </cell>
          <cell r="BG168">
            <v>15000</v>
          </cell>
          <cell r="BH168">
            <v>60000</v>
          </cell>
          <cell r="BI168">
            <v>15000</v>
          </cell>
          <cell r="BS168" t="str">
            <v>MUEBLES</v>
          </cell>
          <cell r="BV168" t="str">
            <v>X</v>
          </cell>
          <cell r="BX168">
            <v>1</v>
          </cell>
          <cell r="BY168">
            <v>3</v>
          </cell>
          <cell r="BZ168">
            <v>2</v>
          </cell>
          <cell r="DD168">
            <v>3</v>
          </cell>
        </row>
        <row r="169">
          <cell r="G169" t="str">
            <v>X</v>
          </cell>
          <cell r="N169" t="str">
            <v>EDO. MEX.</v>
          </cell>
          <cell r="O169">
            <v>15</v>
          </cell>
          <cell r="U169" t="str">
            <v>X</v>
          </cell>
          <cell r="AH169">
            <v>1988</v>
          </cell>
          <cell r="AI169">
            <v>1200000</v>
          </cell>
          <cell r="AT169" t="str">
            <v>FREIGHTLINER</v>
          </cell>
          <cell r="AV169">
            <v>0.5</v>
          </cell>
          <cell r="AX169">
            <v>2.2999999999999998</v>
          </cell>
          <cell r="BE169">
            <v>12000</v>
          </cell>
          <cell r="BF169">
            <v>60000</v>
          </cell>
          <cell r="BG169">
            <v>12000</v>
          </cell>
          <cell r="BH169">
            <v>60000</v>
          </cell>
          <cell r="BI169">
            <v>12000</v>
          </cell>
          <cell r="BO169" t="str">
            <v>X</v>
          </cell>
          <cell r="BU169" t="str">
            <v>X</v>
          </cell>
          <cell r="BX169">
            <v>1</v>
          </cell>
          <cell r="BY169">
            <v>2</v>
          </cell>
          <cell r="BZ169">
            <v>3</v>
          </cell>
          <cell r="DD169">
            <v>3</v>
          </cell>
        </row>
        <row r="170">
          <cell r="G170" t="str">
            <v>X</v>
          </cell>
          <cell r="N170" t="str">
            <v>QUERÉTARO</v>
          </cell>
          <cell r="O170">
            <v>22</v>
          </cell>
          <cell r="S170" t="str">
            <v>X</v>
          </cell>
          <cell r="U170" t="str">
            <v>X</v>
          </cell>
          <cell r="AH170">
            <v>2003</v>
          </cell>
          <cell r="AI170">
            <v>915203</v>
          </cell>
          <cell r="AT170" t="str">
            <v>CUMMINS</v>
          </cell>
          <cell r="AV170">
            <v>0</v>
          </cell>
          <cell r="AX170">
            <v>2.4</v>
          </cell>
          <cell r="BE170">
            <v>20000</v>
          </cell>
          <cell r="BF170">
            <v>120000</v>
          </cell>
          <cell r="BG170">
            <v>20000</v>
          </cell>
          <cell r="BH170">
            <v>120000</v>
          </cell>
          <cell r="BI170" t="str">
            <v>NO SABE</v>
          </cell>
          <cell r="BS170" t="str">
            <v>TV REFRIGERADORES</v>
          </cell>
          <cell r="BU170" t="str">
            <v>X</v>
          </cell>
          <cell r="BX170">
            <v>1</v>
          </cell>
          <cell r="BY170">
            <v>3</v>
          </cell>
          <cell r="BZ170">
            <v>2</v>
          </cell>
          <cell r="DD170">
            <v>3</v>
          </cell>
        </row>
        <row r="171">
          <cell r="G171" t="str">
            <v>X</v>
          </cell>
          <cell r="N171" t="str">
            <v>QUERÉTARO</v>
          </cell>
          <cell r="O171">
            <v>8</v>
          </cell>
          <cell r="Q171" t="str">
            <v>X</v>
          </cell>
          <cell r="AH171">
            <v>1997</v>
          </cell>
          <cell r="AI171">
            <v>915534</v>
          </cell>
          <cell r="AT171" t="str">
            <v>INTERNATIONAL</v>
          </cell>
          <cell r="AV171">
            <v>0</v>
          </cell>
          <cell r="AX171">
            <v>3</v>
          </cell>
          <cell r="BE171">
            <v>20000</v>
          </cell>
          <cell r="BF171">
            <v>20000</v>
          </cell>
          <cell r="BG171">
            <v>20000</v>
          </cell>
          <cell r="BH171">
            <v>120000</v>
          </cell>
          <cell r="BI171">
            <v>20000</v>
          </cell>
          <cell r="BO171" t="str">
            <v>X</v>
          </cell>
          <cell r="BU171" t="str">
            <v>X</v>
          </cell>
          <cell r="BX171">
            <v>1</v>
          </cell>
          <cell r="BY171">
            <v>2</v>
          </cell>
          <cell r="BZ171">
            <v>3</v>
          </cell>
          <cell r="DD171">
            <v>3</v>
          </cell>
        </row>
        <row r="172">
          <cell r="H172" t="str">
            <v>X</v>
          </cell>
          <cell r="N172" t="str">
            <v>QUERÉTARO</v>
          </cell>
          <cell r="O172">
            <v>20</v>
          </cell>
          <cell r="S172" t="str">
            <v>X</v>
          </cell>
          <cell r="U172" t="str">
            <v>X</v>
          </cell>
          <cell r="AH172">
            <v>2001</v>
          </cell>
          <cell r="AI172">
            <v>862417</v>
          </cell>
          <cell r="AT172" t="str">
            <v>DETROIT</v>
          </cell>
          <cell r="AV172">
            <v>0.05</v>
          </cell>
          <cell r="AX172">
            <v>2.4</v>
          </cell>
          <cell r="BE172">
            <v>23000</v>
          </cell>
          <cell r="BF172">
            <v>100000</v>
          </cell>
          <cell r="BG172">
            <v>23000</v>
          </cell>
          <cell r="BH172">
            <v>100000</v>
          </cell>
          <cell r="BI172" t="str">
            <v>NO SABE</v>
          </cell>
          <cell r="BN172" t="str">
            <v>X</v>
          </cell>
          <cell r="BV172" t="str">
            <v>X</v>
          </cell>
          <cell r="BX172">
            <v>2</v>
          </cell>
          <cell r="BY172">
            <v>3</v>
          </cell>
          <cell r="BZ172">
            <v>4</v>
          </cell>
          <cell r="CA172" t="str">
            <v>SEGURIDAD</v>
          </cell>
          <cell r="DD172">
            <v>7</v>
          </cell>
        </row>
        <row r="173">
          <cell r="H173" t="str">
            <v>X</v>
          </cell>
          <cell r="N173" t="str">
            <v>EDO. MEX.</v>
          </cell>
          <cell r="O173">
            <v>30</v>
          </cell>
          <cell r="S173" t="str">
            <v>X</v>
          </cell>
          <cell r="U173" t="str">
            <v>X</v>
          </cell>
          <cell r="AH173">
            <v>2005</v>
          </cell>
          <cell r="AI173">
            <v>718942</v>
          </cell>
          <cell r="AT173" t="str">
            <v>DETROIT</v>
          </cell>
          <cell r="AV173">
            <v>0.05</v>
          </cell>
          <cell r="AX173">
            <v>2.5</v>
          </cell>
          <cell r="BE173">
            <v>18000</v>
          </cell>
          <cell r="BF173">
            <v>150000</v>
          </cell>
          <cell r="BG173">
            <v>18000</v>
          </cell>
          <cell r="BH173">
            <v>100000</v>
          </cell>
          <cell r="BI173" t="str">
            <v>NO SABE</v>
          </cell>
          <cell r="BP173" t="str">
            <v>X</v>
          </cell>
          <cell r="BV173" t="str">
            <v>X</v>
          </cell>
          <cell r="BX173">
            <v>1</v>
          </cell>
          <cell r="BY173">
            <v>3</v>
          </cell>
          <cell r="BZ173">
            <v>2</v>
          </cell>
          <cell r="DD173">
            <v>7</v>
          </cell>
        </row>
        <row r="174">
          <cell r="G174" t="str">
            <v>X</v>
          </cell>
          <cell r="N174" t="str">
            <v>QUERÉTARO</v>
          </cell>
          <cell r="O174">
            <v>3</v>
          </cell>
          <cell r="S174" t="str">
            <v>X</v>
          </cell>
          <cell r="U174" t="str">
            <v>X</v>
          </cell>
          <cell r="AH174">
            <v>2008</v>
          </cell>
          <cell r="AI174">
            <v>537655</v>
          </cell>
          <cell r="AT174" t="str">
            <v>CUMMINS</v>
          </cell>
          <cell r="AV174">
            <v>0.1</v>
          </cell>
          <cell r="AX174">
            <v>2.5</v>
          </cell>
          <cell r="BE174">
            <v>19000</v>
          </cell>
          <cell r="BF174">
            <v>120000</v>
          </cell>
          <cell r="BG174">
            <v>25000</v>
          </cell>
          <cell r="BH174">
            <v>120000</v>
          </cell>
          <cell r="BI174" t="str">
            <v>NO SABE</v>
          </cell>
          <cell r="BS174" t="str">
            <v>LÍNEA BLANCA</v>
          </cell>
          <cell r="BV174" t="str">
            <v>X</v>
          </cell>
          <cell r="BX174">
            <v>1</v>
          </cell>
          <cell r="BY174">
            <v>3</v>
          </cell>
          <cell r="BZ174">
            <v>2</v>
          </cell>
          <cell r="DD174">
            <v>3</v>
          </cell>
        </row>
        <row r="175">
          <cell r="G175" t="str">
            <v>X</v>
          </cell>
          <cell r="N175" t="str">
            <v>QUERÉTARO</v>
          </cell>
          <cell r="O175">
            <v>16</v>
          </cell>
          <cell r="S175" t="str">
            <v>X</v>
          </cell>
          <cell r="U175" t="str">
            <v>X</v>
          </cell>
          <cell r="AH175">
            <v>2002</v>
          </cell>
          <cell r="AI175">
            <v>897614</v>
          </cell>
          <cell r="AT175" t="str">
            <v>CUMMINS</v>
          </cell>
          <cell r="AV175">
            <v>0.05</v>
          </cell>
          <cell r="AX175">
            <v>2.5</v>
          </cell>
          <cell r="BE175">
            <v>22000</v>
          </cell>
          <cell r="BF175" t="str">
            <v>NO SABE</v>
          </cell>
          <cell r="BG175">
            <v>22000</v>
          </cell>
          <cell r="BH175">
            <v>120000</v>
          </cell>
          <cell r="BI175" t="str">
            <v>NO SABE</v>
          </cell>
          <cell r="BS175" t="str">
            <v>LÍNEA BLANCA</v>
          </cell>
          <cell r="BV175" t="str">
            <v>X</v>
          </cell>
          <cell r="BX175">
            <v>1</v>
          </cell>
          <cell r="BY175">
            <v>3</v>
          </cell>
          <cell r="BZ175">
            <v>2</v>
          </cell>
          <cell r="DD175">
            <v>3</v>
          </cell>
        </row>
        <row r="176">
          <cell r="G176" t="str">
            <v>X</v>
          </cell>
          <cell r="N176" t="str">
            <v>QUERÉTARO</v>
          </cell>
          <cell r="O176">
            <v>10</v>
          </cell>
          <cell r="S176" t="str">
            <v>X</v>
          </cell>
          <cell r="U176" t="str">
            <v>X</v>
          </cell>
          <cell r="AH176">
            <v>2006</v>
          </cell>
          <cell r="AI176">
            <v>752813</v>
          </cell>
          <cell r="AT176" t="str">
            <v>NO SABE</v>
          </cell>
          <cell r="AV176">
            <v>0</v>
          </cell>
          <cell r="AX176">
            <v>2.4</v>
          </cell>
          <cell r="BE176">
            <v>21000</v>
          </cell>
          <cell r="BF176">
            <v>150000</v>
          </cell>
          <cell r="BG176">
            <v>21000</v>
          </cell>
          <cell r="BH176">
            <v>150000</v>
          </cell>
          <cell r="BI176" t="str">
            <v>NO SABE</v>
          </cell>
          <cell r="BK176" t="str">
            <v>X</v>
          </cell>
          <cell r="BU176" t="str">
            <v>X</v>
          </cell>
          <cell r="BX176">
            <v>3</v>
          </cell>
          <cell r="BY176">
            <v>1</v>
          </cell>
          <cell r="BZ176">
            <v>2</v>
          </cell>
          <cell r="DD176">
            <v>3</v>
          </cell>
        </row>
        <row r="177">
          <cell r="E177" t="str">
            <v>X</v>
          </cell>
          <cell r="N177" t="str">
            <v>QUERÉTARO</v>
          </cell>
          <cell r="O177">
            <v>19</v>
          </cell>
          <cell r="S177" t="str">
            <v>X</v>
          </cell>
          <cell r="U177" t="str">
            <v>X</v>
          </cell>
          <cell r="AH177">
            <v>2004</v>
          </cell>
          <cell r="AI177">
            <v>823617</v>
          </cell>
          <cell r="AT177" t="str">
            <v>CUMMINS</v>
          </cell>
          <cell r="AV177">
            <v>0</v>
          </cell>
          <cell r="AX177">
            <v>2.5</v>
          </cell>
          <cell r="BE177">
            <v>16000</v>
          </cell>
          <cell r="BF177">
            <v>160000</v>
          </cell>
          <cell r="BG177">
            <v>24000</v>
          </cell>
          <cell r="BH177">
            <v>100000</v>
          </cell>
          <cell r="BI177" t="str">
            <v>NO SABE</v>
          </cell>
          <cell r="BJ177" t="str">
            <v>X</v>
          </cell>
          <cell r="BU177" t="str">
            <v>X</v>
          </cell>
          <cell r="BX177">
            <v>3</v>
          </cell>
          <cell r="BY177">
            <v>2</v>
          </cell>
          <cell r="BZ177">
            <v>1</v>
          </cell>
          <cell r="DD177">
            <v>1</v>
          </cell>
        </row>
        <row r="178">
          <cell r="H178" t="str">
            <v>X</v>
          </cell>
          <cell r="N178" t="str">
            <v>QUERÉTARO</v>
          </cell>
          <cell r="O178">
            <v>30</v>
          </cell>
          <cell r="S178" t="str">
            <v>X</v>
          </cell>
          <cell r="U178" t="str">
            <v>X</v>
          </cell>
          <cell r="AH178">
            <v>2005</v>
          </cell>
          <cell r="AI178">
            <v>752813</v>
          </cell>
          <cell r="AT178" t="str">
            <v>CUMMINS</v>
          </cell>
          <cell r="AV178">
            <v>0.1</v>
          </cell>
          <cell r="AX178">
            <v>2.5</v>
          </cell>
          <cell r="BE178">
            <v>24000</v>
          </cell>
          <cell r="BF178">
            <v>150000</v>
          </cell>
          <cell r="BG178">
            <v>24000</v>
          </cell>
          <cell r="BH178">
            <v>150000</v>
          </cell>
          <cell r="BI178" t="str">
            <v>NO SABE</v>
          </cell>
          <cell r="BP178" t="str">
            <v>X</v>
          </cell>
          <cell r="BS178" t="str">
            <v>LLANTAS</v>
          </cell>
          <cell r="BV178" t="str">
            <v>X</v>
          </cell>
          <cell r="BX178">
            <v>2</v>
          </cell>
          <cell r="BY178">
            <v>3</v>
          </cell>
          <cell r="BZ178">
            <v>1</v>
          </cell>
          <cell r="DD178">
            <v>7</v>
          </cell>
        </row>
        <row r="179">
          <cell r="H179" t="str">
            <v>X</v>
          </cell>
          <cell r="N179" t="str">
            <v>QUERÉTARO</v>
          </cell>
          <cell r="O179">
            <v>20</v>
          </cell>
          <cell r="S179" t="str">
            <v>X</v>
          </cell>
          <cell r="U179" t="str">
            <v>X</v>
          </cell>
          <cell r="AH179">
            <v>1998</v>
          </cell>
          <cell r="AI179">
            <v>714206</v>
          </cell>
          <cell r="AT179" t="str">
            <v>CUMMINS</v>
          </cell>
          <cell r="AV179">
            <v>0.5</v>
          </cell>
          <cell r="AX179">
            <v>2.7</v>
          </cell>
          <cell r="BE179">
            <v>30000</v>
          </cell>
          <cell r="BF179" t="str">
            <v>NO SABE</v>
          </cell>
          <cell r="BG179">
            <v>30000</v>
          </cell>
          <cell r="BH179" t="str">
            <v>NO SABE</v>
          </cell>
          <cell r="BI179" t="str">
            <v>NO SABE</v>
          </cell>
          <cell r="BN179" t="str">
            <v>X</v>
          </cell>
          <cell r="BU179" t="str">
            <v>X</v>
          </cell>
          <cell r="BX179">
            <v>1</v>
          </cell>
          <cell r="BY179">
            <v>3</v>
          </cell>
          <cell r="BZ179">
            <v>2</v>
          </cell>
          <cell r="DD179">
            <v>7</v>
          </cell>
        </row>
        <row r="180">
          <cell r="H180" t="str">
            <v>X</v>
          </cell>
          <cell r="N180" t="str">
            <v>QUERÉTARO</v>
          </cell>
          <cell r="O180">
            <v>10</v>
          </cell>
          <cell r="S180" t="str">
            <v>X</v>
          </cell>
          <cell r="U180" t="str">
            <v>X</v>
          </cell>
          <cell r="AH180">
            <v>2007</v>
          </cell>
          <cell r="AI180">
            <v>581334</v>
          </cell>
          <cell r="AT180" t="str">
            <v>CUMMINS</v>
          </cell>
          <cell r="AV180">
            <v>0</v>
          </cell>
          <cell r="AX180">
            <v>2.6</v>
          </cell>
          <cell r="BE180">
            <v>20000</v>
          </cell>
          <cell r="BF180">
            <v>100000</v>
          </cell>
          <cell r="BG180">
            <v>20000</v>
          </cell>
          <cell r="BH180">
            <v>100000</v>
          </cell>
          <cell r="BI180" t="str">
            <v>NO SABE</v>
          </cell>
          <cell r="BN180" t="str">
            <v>X</v>
          </cell>
          <cell r="BV180" t="str">
            <v>X</v>
          </cell>
          <cell r="BX180">
            <v>1</v>
          </cell>
          <cell r="BY180">
            <v>3</v>
          </cell>
          <cell r="BZ180">
            <v>2</v>
          </cell>
          <cell r="DD180">
            <v>7</v>
          </cell>
        </row>
        <row r="181">
          <cell r="H181" t="str">
            <v>X</v>
          </cell>
          <cell r="N181" t="str">
            <v>GUANAJUATO</v>
          </cell>
          <cell r="O181">
            <v>4</v>
          </cell>
          <cell r="S181" t="str">
            <v>X</v>
          </cell>
          <cell r="U181" t="str">
            <v>X</v>
          </cell>
          <cell r="AH181">
            <v>2000</v>
          </cell>
          <cell r="AI181">
            <v>967816</v>
          </cell>
          <cell r="AT181" t="str">
            <v>CUMMINS</v>
          </cell>
          <cell r="AV181">
            <v>0.1</v>
          </cell>
          <cell r="AX181">
            <v>2.4</v>
          </cell>
          <cell r="BE181">
            <v>18000</v>
          </cell>
          <cell r="BF181">
            <v>180000</v>
          </cell>
          <cell r="BG181">
            <v>36000</v>
          </cell>
          <cell r="BH181">
            <v>100000</v>
          </cell>
          <cell r="BI181" t="str">
            <v>NO SABE</v>
          </cell>
          <cell r="BP181" t="str">
            <v>X</v>
          </cell>
          <cell r="BU181" t="str">
            <v>X</v>
          </cell>
          <cell r="BX181">
            <v>1</v>
          </cell>
          <cell r="BY181">
            <v>3</v>
          </cell>
          <cell r="BZ181">
            <v>2</v>
          </cell>
          <cell r="DD181">
            <v>7</v>
          </cell>
        </row>
        <row r="182">
          <cell r="G182" t="str">
            <v>X</v>
          </cell>
          <cell r="N182" t="str">
            <v>GUANAJUATO</v>
          </cell>
          <cell r="O182">
            <v>15</v>
          </cell>
          <cell r="S182" t="str">
            <v>X</v>
          </cell>
          <cell r="U182" t="str">
            <v>X</v>
          </cell>
          <cell r="AH182">
            <v>2003</v>
          </cell>
          <cell r="AI182">
            <v>648717</v>
          </cell>
          <cell r="AT182" t="str">
            <v>NO SABE</v>
          </cell>
          <cell r="AV182">
            <v>0</v>
          </cell>
          <cell r="AX182">
            <v>2.4</v>
          </cell>
          <cell r="BE182">
            <v>25000</v>
          </cell>
          <cell r="BF182">
            <v>200000</v>
          </cell>
          <cell r="BG182">
            <v>25000</v>
          </cell>
          <cell r="BH182">
            <v>200000</v>
          </cell>
          <cell r="BI182" t="str">
            <v>NO SABE</v>
          </cell>
          <cell r="BS182" t="str">
            <v>IMPORTACIÓN / EXPORTACIÓN</v>
          </cell>
          <cell r="BU182" t="str">
            <v>X</v>
          </cell>
          <cell r="BX182">
            <v>2</v>
          </cell>
          <cell r="BY182">
            <v>3</v>
          </cell>
          <cell r="BZ182">
            <v>1</v>
          </cell>
          <cell r="DD182">
            <v>3</v>
          </cell>
        </row>
        <row r="183">
          <cell r="E183" t="str">
            <v>X</v>
          </cell>
          <cell r="N183" t="str">
            <v>GUANAJUATO</v>
          </cell>
          <cell r="O183">
            <v>6</v>
          </cell>
          <cell r="Q183" t="str">
            <v>X</v>
          </cell>
          <cell r="AH183">
            <v>2009</v>
          </cell>
          <cell r="AI183">
            <v>361234</v>
          </cell>
          <cell r="AT183" t="str">
            <v>CUMMINS</v>
          </cell>
          <cell r="AV183">
            <v>0</v>
          </cell>
          <cell r="AX183">
            <v>3.1</v>
          </cell>
          <cell r="BE183">
            <v>24000</v>
          </cell>
          <cell r="BF183" t="str">
            <v>NO SABE</v>
          </cell>
          <cell r="BG183">
            <v>24000</v>
          </cell>
          <cell r="BH183">
            <v>120000</v>
          </cell>
          <cell r="BI183" t="str">
            <v>NO SABE</v>
          </cell>
          <cell r="BO183" t="str">
            <v>X</v>
          </cell>
          <cell r="BU183" t="str">
            <v>X</v>
          </cell>
          <cell r="BX183">
            <v>3</v>
          </cell>
          <cell r="BY183">
            <v>2</v>
          </cell>
          <cell r="BZ183">
            <v>1</v>
          </cell>
          <cell r="DD183">
            <v>1</v>
          </cell>
        </row>
        <row r="184">
          <cell r="G184" t="str">
            <v>X</v>
          </cell>
          <cell r="N184" t="str">
            <v>GUANAJUATO</v>
          </cell>
          <cell r="O184">
            <v>10</v>
          </cell>
          <cell r="S184" t="str">
            <v>X</v>
          </cell>
          <cell r="AH184">
            <v>2007</v>
          </cell>
          <cell r="AI184">
            <v>298318</v>
          </cell>
          <cell r="AT184" t="str">
            <v>CUMMINS</v>
          </cell>
          <cell r="AV184">
            <v>0.5</v>
          </cell>
          <cell r="AX184">
            <v>2</v>
          </cell>
          <cell r="BE184">
            <v>20000</v>
          </cell>
          <cell r="BF184">
            <v>250000</v>
          </cell>
          <cell r="BG184">
            <v>20000</v>
          </cell>
          <cell r="BH184">
            <v>100000</v>
          </cell>
          <cell r="BI184" t="str">
            <v>NO SABE</v>
          </cell>
          <cell r="BM184" t="str">
            <v>X</v>
          </cell>
          <cell r="BT184" t="str">
            <v>X</v>
          </cell>
          <cell r="BX184">
            <v>2</v>
          </cell>
          <cell r="BY184">
            <v>3</v>
          </cell>
          <cell r="BZ184">
            <v>1</v>
          </cell>
          <cell r="DD184">
            <v>3</v>
          </cell>
        </row>
        <row r="185">
          <cell r="F185" t="str">
            <v>X</v>
          </cell>
          <cell r="N185" t="str">
            <v>GUANAJUATO</v>
          </cell>
          <cell r="O185">
            <v>40</v>
          </cell>
          <cell r="S185" t="str">
            <v>X</v>
          </cell>
          <cell r="U185" t="str">
            <v>X</v>
          </cell>
          <cell r="AH185">
            <v>1996</v>
          </cell>
          <cell r="AI185">
            <v>1152317</v>
          </cell>
          <cell r="AT185" t="str">
            <v>CUMMINS</v>
          </cell>
          <cell r="AV185">
            <v>0</v>
          </cell>
          <cell r="AX185">
            <v>2.5</v>
          </cell>
          <cell r="BE185">
            <v>20000</v>
          </cell>
          <cell r="BF185">
            <v>200000</v>
          </cell>
          <cell r="BG185">
            <v>20000</v>
          </cell>
          <cell r="BH185">
            <v>150000</v>
          </cell>
          <cell r="BI185" t="str">
            <v>NO SABE</v>
          </cell>
          <cell r="BS185" t="str">
            <v>GENERAL</v>
          </cell>
          <cell r="BV185" t="str">
            <v>X</v>
          </cell>
          <cell r="BX185">
            <v>2</v>
          </cell>
          <cell r="BY185">
            <v>4</v>
          </cell>
          <cell r="BZ185">
            <v>3</v>
          </cell>
          <cell r="CA185" t="str">
            <v>SEGURIDAD</v>
          </cell>
          <cell r="DD185">
            <v>2</v>
          </cell>
        </row>
        <row r="186">
          <cell r="G186" t="str">
            <v>X</v>
          </cell>
          <cell r="N186" t="str">
            <v>GUANAJUATO</v>
          </cell>
          <cell r="O186">
            <v>5</v>
          </cell>
          <cell r="Q186" t="str">
            <v>X</v>
          </cell>
          <cell r="AH186">
            <v>2006</v>
          </cell>
          <cell r="AI186">
            <v>514488</v>
          </cell>
          <cell r="AT186" t="str">
            <v>CATERPILLAR</v>
          </cell>
          <cell r="AV186">
            <v>0.2</v>
          </cell>
          <cell r="AX186">
            <v>3.7</v>
          </cell>
          <cell r="BE186">
            <v>24000</v>
          </cell>
          <cell r="BF186">
            <v>180000</v>
          </cell>
          <cell r="BG186">
            <v>24000</v>
          </cell>
          <cell r="BH186">
            <v>180000</v>
          </cell>
          <cell r="BI186" t="str">
            <v>NO SABE</v>
          </cell>
          <cell r="BJ186" t="str">
            <v>X</v>
          </cell>
          <cell r="BO186" t="str">
            <v>X</v>
          </cell>
          <cell r="BU186" t="str">
            <v>X</v>
          </cell>
          <cell r="BX186">
            <v>3</v>
          </cell>
          <cell r="BY186">
            <v>1</v>
          </cell>
          <cell r="BZ186">
            <v>2</v>
          </cell>
          <cell r="DD186">
            <v>3</v>
          </cell>
        </row>
        <row r="187">
          <cell r="G187" t="str">
            <v>X</v>
          </cell>
          <cell r="N187" t="str">
            <v>GUANAJUATO</v>
          </cell>
          <cell r="O187">
            <v>20</v>
          </cell>
          <cell r="S187" t="str">
            <v>X</v>
          </cell>
          <cell r="Y187" t="str">
            <v>X</v>
          </cell>
          <cell r="AH187">
            <v>2008</v>
          </cell>
          <cell r="AI187">
            <v>603826</v>
          </cell>
          <cell r="AT187" t="str">
            <v>CUMMINS</v>
          </cell>
          <cell r="AV187">
            <v>0.5</v>
          </cell>
          <cell r="AX187">
            <v>2.5</v>
          </cell>
          <cell r="BE187">
            <v>25000</v>
          </cell>
          <cell r="BF187">
            <v>100000</v>
          </cell>
          <cell r="BG187">
            <v>25000</v>
          </cell>
          <cell r="BH187">
            <v>100000</v>
          </cell>
          <cell r="BI187" t="str">
            <v>NO SABE</v>
          </cell>
          <cell r="BL187" t="str">
            <v>X</v>
          </cell>
          <cell r="BR187" t="str">
            <v>X</v>
          </cell>
          <cell r="BV187" t="str">
            <v>X</v>
          </cell>
          <cell r="BX187">
            <v>1</v>
          </cell>
          <cell r="BY187">
            <v>3</v>
          </cell>
          <cell r="BZ187">
            <v>2</v>
          </cell>
          <cell r="DD187">
            <v>3</v>
          </cell>
        </row>
        <row r="188">
          <cell r="H188" t="str">
            <v>X</v>
          </cell>
          <cell r="N188" t="str">
            <v>MICHOACAN</v>
          </cell>
          <cell r="O188">
            <v>30</v>
          </cell>
          <cell r="S188" t="str">
            <v>X</v>
          </cell>
          <cell r="Y188" t="str">
            <v>X</v>
          </cell>
          <cell r="AH188">
            <v>2007</v>
          </cell>
          <cell r="AI188">
            <v>580175</v>
          </cell>
          <cell r="AT188" t="str">
            <v>CATERPILLAR</v>
          </cell>
          <cell r="AV188">
            <v>0.5</v>
          </cell>
          <cell r="AX188">
            <v>2.5</v>
          </cell>
          <cell r="BE188">
            <v>24000</v>
          </cell>
          <cell r="BF188">
            <v>120000</v>
          </cell>
          <cell r="BG188">
            <v>24000</v>
          </cell>
          <cell r="BH188">
            <v>120000</v>
          </cell>
          <cell r="BI188" t="str">
            <v>NO SABE</v>
          </cell>
          <cell r="BR188" t="str">
            <v>X</v>
          </cell>
          <cell r="BV188" t="str">
            <v>X</v>
          </cell>
          <cell r="BX188">
            <v>1</v>
          </cell>
          <cell r="BY188">
            <v>3</v>
          </cell>
          <cell r="BZ188">
            <v>2</v>
          </cell>
          <cell r="DD188">
            <v>7</v>
          </cell>
        </row>
        <row r="189">
          <cell r="F189" t="str">
            <v>X</v>
          </cell>
          <cell r="N189" t="str">
            <v>GUANAJUATO</v>
          </cell>
          <cell r="O189">
            <v>3</v>
          </cell>
          <cell r="S189" t="str">
            <v>X</v>
          </cell>
          <cell r="Y189" t="str">
            <v>X</v>
          </cell>
          <cell r="AH189">
            <v>2007</v>
          </cell>
          <cell r="AI189">
            <v>615720</v>
          </cell>
          <cell r="AT189" t="str">
            <v>DETROIT</v>
          </cell>
          <cell r="AV189">
            <v>0.5</v>
          </cell>
          <cell r="AX189">
            <v>2.4</v>
          </cell>
          <cell r="BE189">
            <v>25000</v>
          </cell>
          <cell r="BF189">
            <v>200000</v>
          </cell>
          <cell r="BG189">
            <v>25000</v>
          </cell>
          <cell r="BH189">
            <v>100000</v>
          </cell>
          <cell r="BI189" t="str">
            <v>NO SABE</v>
          </cell>
          <cell r="BL189" t="str">
            <v>X</v>
          </cell>
          <cell r="BR189" t="str">
            <v>X</v>
          </cell>
          <cell r="BV189" t="str">
            <v>X</v>
          </cell>
          <cell r="BX189">
            <v>1</v>
          </cell>
          <cell r="BY189">
            <v>3</v>
          </cell>
          <cell r="BZ189">
            <v>2</v>
          </cell>
          <cell r="DD189">
            <v>2</v>
          </cell>
        </row>
        <row r="190">
          <cell r="G190" t="str">
            <v>X</v>
          </cell>
          <cell r="N190" t="str">
            <v>GUANAJUATO</v>
          </cell>
          <cell r="O190">
            <v>18</v>
          </cell>
          <cell r="S190" t="str">
            <v>X</v>
          </cell>
          <cell r="Y190" t="str">
            <v>X</v>
          </cell>
          <cell r="AH190">
            <v>2005</v>
          </cell>
          <cell r="AI190">
            <v>713384</v>
          </cell>
          <cell r="AT190" t="str">
            <v>CUMMINS</v>
          </cell>
          <cell r="AV190">
            <v>0.5</v>
          </cell>
          <cell r="AX190">
            <v>2.4</v>
          </cell>
          <cell r="BE190">
            <v>16000</v>
          </cell>
          <cell r="BF190" t="str">
            <v>NO SABE</v>
          </cell>
          <cell r="BG190">
            <v>24000</v>
          </cell>
          <cell r="BH190">
            <v>100000</v>
          </cell>
          <cell r="BI190" t="str">
            <v>NO SABE</v>
          </cell>
          <cell r="BR190" t="str">
            <v>X</v>
          </cell>
          <cell r="BV190" t="str">
            <v>X</v>
          </cell>
          <cell r="BX190">
            <v>1</v>
          </cell>
          <cell r="BY190">
            <v>3</v>
          </cell>
          <cell r="BZ190">
            <v>2</v>
          </cell>
          <cell r="DD190">
            <v>3</v>
          </cell>
        </row>
        <row r="191">
          <cell r="H191" t="str">
            <v>X</v>
          </cell>
          <cell r="N191" t="str">
            <v>TAMAULIPAS</v>
          </cell>
          <cell r="O191">
            <v>34</v>
          </cell>
          <cell r="S191" t="str">
            <v>X</v>
          </cell>
          <cell r="Y191" t="str">
            <v>X</v>
          </cell>
          <cell r="AH191">
            <v>2005</v>
          </cell>
          <cell r="AI191">
            <v>816670</v>
          </cell>
          <cell r="AT191" t="str">
            <v>CUMMINS</v>
          </cell>
          <cell r="AV191">
            <v>0.5</v>
          </cell>
          <cell r="AX191">
            <v>2.4</v>
          </cell>
          <cell r="BE191">
            <v>25000</v>
          </cell>
          <cell r="BF191">
            <v>100000</v>
          </cell>
          <cell r="BG191">
            <v>25000</v>
          </cell>
          <cell r="BH191">
            <v>100000</v>
          </cell>
          <cell r="BI191" t="str">
            <v>NO SABE</v>
          </cell>
          <cell r="BL191" t="str">
            <v>X</v>
          </cell>
          <cell r="BR191" t="str">
            <v>X</v>
          </cell>
          <cell r="BV191" t="str">
            <v>X</v>
          </cell>
          <cell r="BX191">
            <v>2</v>
          </cell>
          <cell r="BY191">
            <v>3</v>
          </cell>
          <cell r="BZ191">
            <v>4</v>
          </cell>
          <cell r="CA191" t="str">
            <v>TIPO DE CARRETRA</v>
          </cell>
          <cell r="DD191">
            <v>7</v>
          </cell>
        </row>
        <row r="192">
          <cell r="G192" t="str">
            <v>X</v>
          </cell>
          <cell r="N192" t="str">
            <v>COLIMA</v>
          </cell>
          <cell r="O192">
            <v>10</v>
          </cell>
          <cell r="S192" t="str">
            <v>X</v>
          </cell>
          <cell r="Y192" t="str">
            <v>X</v>
          </cell>
          <cell r="AH192">
            <v>2010</v>
          </cell>
          <cell r="AI192">
            <v>219538</v>
          </cell>
          <cell r="AT192" t="str">
            <v>DETROIT</v>
          </cell>
          <cell r="AV192">
            <v>0.5</v>
          </cell>
          <cell r="AX192">
            <v>2.4500000000000002</v>
          </cell>
          <cell r="BE192">
            <v>20000</v>
          </cell>
          <cell r="BF192">
            <v>160000</v>
          </cell>
          <cell r="BG192">
            <v>20000</v>
          </cell>
          <cell r="BH192">
            <v>80000</v>
          </cell>
          <cell r="BI192" t="str">
            <v>NO SABE</v>
          </cell>
          <cell r="BL192" t="str">
            <v>X</v>
          </cell>
          <cell r="BR192" t="str">
            <v>X</v>
          </cell>
          <cell r="BV192" t="str">
            <v>X</v>
          </cell>
          <cell r="BX192">
            <v>1</v>
          </cell>
          <cell r="BY192">
            <v>2</v>
          </cell>
          <cell r="BZ192">
            <v>3</v>
          </cell>
          <cell r="DD192">
            <v>3</v>
          </cell>
        </row>
        <row r="193">
          <cell r="F193" t="str">
            <v>X</v>
          </cell>
          <cell r="N193" t="str">
            <v>GUANAJUATO</v>
          </cell>
          <cell r="O193">
            <v>10</v>
          </cell>
          <cell r="S193" t="str">
            <v>X</v>
          </cell>
          <cell r="Y193" t="str">
            <v>X</v>
          </cell>
          <cell r="AH193">
            <v>2006</v>
          </cell>
          <cell r="AI193">
            <v>627453</v>
          </cell>
          <cell r="AT193" t="str">
            <v>CUMMINS</v>
          </cell>
          <cell r="AV193">
            <v>0.5</v>
          </cell>
          <cell r="AX193">
            <v>2.5</v>
          </cell>
          <cell r="BE193">
            <v>25000</v>
          </cell>
          <cell r="BF193">
            <v>100000</v>
          </cell>
          <cell r="BG193">
            <v>25000</v>
          </cell>
          <cell r="BH193">
            <v>100000</v>
          </cell>
          <cell r="BI193" t="str">
            <v>NO SABE</v>
          </cell>
          <cell r="BR193" t="str">
            <v>X</v>
          </cell>
          <cell r="BV193" t="str">
            <v>X</v>
          </cell>
          <cell r="BX193">
            <v>1</v>
          </cell>
          <cell r="BY193">
            <v>2</v>
          </cell>
          <cell r="BZ193">
            <v>3</v>
          </cell>
          <cell r="DD193">
            <v>2</v>
          </cell>
        </row>
        <row r="194">
          <cell r="H194" t="str">
            <v>X</v>
          </cell>
          <cell r="N194" t="str">
            <v>EDO. MEX.</v>
          </cell>
          <cell r="O194">
            <v>25</v>
          </cell>
          <cell r="S194" t="str">
            <v>X</v>
          </cell>
          <cell r="Y194" t="str">
            <v>X</v>
          </cell>
          <cell r="AH194">
            <v>2008</v>
          </cell>
          <cell r="AI194">
            <v>521658</v>
          </cell>
          <cell r="AT194" t="str">
            <v>CUMMINS</v>
          </cell>
          <cell r="AV194">
            <v>0.5</v>
          </cell>
          <cell r="AX194">
            <v>2.5</v>
          </cell>
          <cell r="BE194">
            <v>16000</v>
          </cell>
          <cell r="BF194">
            <v>160000</v>
          </cell>
          <cell r="BG194">
            <v>16000</v>
          </cell>
          <cell r="BH194">
            <v>80000</v>
          </cell>
          <cell r="BI194" t="str">
            <v>NO SABE</v>
          </cell>
          <cell r="BL194" t="str">
            <v>X</v>
          </cell>
          <cell r="BR194" t="str">
            <v>X</v>
          </cell>
          <cell r="BV194" t="str">
            <v>X</v>
          </cell>
          <cell r="BX194">
            <v>1</v>
          </cell>
          <cell r="BY194">
            <v>3</v>
          </cell>
          <cell r="BZ194">
            <v>2</v>
          </cell>
          <cell r="DD194">
            <v>7</v>
          </cell>
        </row>
        <row r="195">
          <cell r="H195" t="str">
            <v>X</v>
          </cell>
          <cell r="N195" t="str">
            <v>GUANAJUATO</v>
          </cell>
          <cell r="O195">
            <v>45</v>
          </cell>
          <cell r="S195" t="str">
            <v>X</v>
          </cell>
          <cell r="Y195" t="str">
            <v>X</v>
          </cell>
          <cell r="AH195">
            <v>2009</v>
          </cell>
          <cell r="AI195">
            <v>437611</v>
          </cell>
          <cell r="AT195" t="str">
            <v>DETROIT</v>
          </cell>
          <cell r="AV195">
            <v>0.5</v>
          </cell>
          <cell r="AX195">
            <v>2.6</v>
          </cell>
          <cell r="BE195">
            <v>18000</v>
          </cell>
          <cell r="BF195">
            <v>200000</v>
          </cell>
          <cell r="BG195">
            <v>36000</v>
          </cell>
          <cell r="BH195">
            <v>100000</v>
          </cell>
          <cell r="BI195" t="str">
            <v>NO SABE</v>
          </cell>
          <cell r="BL195" t="str">
            <v>X</v>
          </cell>
          <cell r="BR195" t="str">
            <v>X</v>
          </cell>
          <cell r="BV195" t="str">
            <v>X</v>
          </cell>
          <cell r="BX195">
            <v>1</v>
          </cell>
          <cell r="BY195">
            <v>2</v>
          </cell>
          <cell r="BZ195">
            <v>3</v>
          </cell>
          <cell r="DD195">
            <v>7</v>
          </cell>
        </row>
        <row r="196">
          <cell r="F196" t="str">
            <v>X</v>
          </cell>
          <cell r="N196" t="str">
            <v>GUANAJUATO</v>
          </cell>
          <cell r="O196">
            <v>8</v>
          </cell>
          <cell r="S196" t="str">
            <v>X</v>
          </cell>
          <cell r="Y196" t="str">
            <v>X</v>
          </cell>
          <cell r="AH196">
            <v>2007</v>
          </cell>
          <cell r="AI196">
            <v>678814</v>
          </cell>
          <cell r="AT196" t="str">
            <v>CUMMINS</v>
          </cell>
          <cell r="AV196">
            <v>0.5</v>
          </cell>
          <cell r="AX196">
            <v>2.5</v>
          </cell>
          <cell r="BE196">
            <v>20000</v>
          </cell>
          <cell r="BF196">
            <v>180000</v>
          </cell>
          <cell r="BG196">
            <v>20000</v>
          </cell>
          <cell r="BH196">
            <v>120000</v>
          </cell>
          <cell r="BI196" t="str">
            <v>NO SABE</v>
          </cell>
          <cell r="BL196" t="str">
            <v>X</v>
          </cell>
          <cell r="BR196" t="str">
            <v>X</v>
          </cell>
          <cell r="BV196" t="str">
            <v>X</v>
          </cell>
          <cell r="BX196">
            <v>3</v>
          </cell>
          <cell r="BY196">
            <v>2</v>
          </cell>
          <cell r="BZ196">
            <v>1</v>
          </cell>
          <cell r="DD196">
            <v>2</v>
          </cell>
        </row>
        <row r="197">
          <cell r="F197" t="str">
            <v>X</v>
          </cell>
          <cell r="N197" t="str">
            <v>GUANAJUATO</v>
          </cell>
          <cell r="O197">
            <v>15</v>
          </cell>
          <cell r="S197" t="str">
            <v>X</v>
          </cell>
          <cell r="Y197" t="str">
            <v>X</v>
          </cell>
          <cell r="AH197">
            <v>2006</v>
          </cell>
          <cell r="AI197">
            <v>742821</v>
          </cell>
          <cell r="AT197" t="str">
            <v>NO SABE</v>
          </cell>
          <cell r="AV197">
            <v>0.5</v>
          </cell>
          <cell r="AX197">
            <v>2.4</v>
          </cell>
          <cell r="BE197">
            <v>24000</v>
          </cell>
          <cell r="BF197" t="str">
            <v>NO SABE</v>
          </cell>
          <cell r="BG197">
            <v>24000</v>
          </cell>
          <cell r="BH197">
            <v>100000</v>
          </cell>
          <cell r="BI197" t="str">
            <v>NO SABE</v>
          </cell>
          <cell r="BR197" t="str">
            <v>X</v>
          </cell>
          <cell r="BV197" t="str">
            <v>X</v>
          </cell>
          <cell r="BX197">
            <v>1</v>
          </cell>
          <cell r="BY197">
            <v>3</v>
          </cell>
          <cell r="BZ197">
            <v>2</v>
          </cell>
          <cell r="DD197">
            <v>2</v>
          </cell>
        </row>
        <row r="198">
          <cell r="G198" t="str">
            <v>X</v>
          </cell>
          <cell r="N198" t="str">
            <v>AGUASCALIENTES</v>
          </cell>
          <cell r="O198">
            <v>5</v>
          </cell>
          <cell r="S198" t="str">
            <v>X</v>
          </cell>
          <cell r="Y198" t="str">
            <v>X</v>
          </cell>
          <cell r="AH198">
            <v>2007</v>
          </cell>
          <cell r="AI198">
            <v>466213</v>
          </cell>
          <cell r="AT198" t="str">
            <v>DETROIT</v>
          </cell>
          <cell r="AV198">
            <v>0.5</v>
          </cell>
          <cell r="AX198">
            <v>2.4</v>
          </cell>
          <cell r="BE198">
            <v>16000</v>
          </cell>
          <cell r="BF198">
            <v>180000</v>
          </cell>
          <cell r="BG198">
            <v>25000</v>
          </cell>
          <cell r="BH198">
            <v>100000</v>
          </cell>
          <cell r="BI198" t="str">
            <v>NO SABE</v>
          </cell>
          <cell r="BL198" t="str">
            <v>X</v>
          </cell>
          <cell r="BR198" t="str">
            <v>X</v>
          </cell>
          <cell r="BV198" t="str">
            <v>X</v>
          </cell>
          <cell r="BX198">
            <v>2</v>
          </cell>
          <cell r="BY198">
            <v>3</v>
          </cell>
          <cell r="BZ198">
            <v>4</v>
          </cell>
          <cell r="CA198" t="str">
            <v>TIPO DE CARRETRA</v>
          </cell>
          <cell r="DD198">
            <v>3</v>
          </cell>
        </row>
        <row r="199">
          <cell r="E199" t="str">
            <v>X</v>
          </cell>
          <cell r="N199" t="str">
            <v>GUANAJUATO</v>
          </cell>
          <cell r="O199">
            <v>10</v>
          </cell>
          <cell r="S199" t="str">
            <v>X</v>
          </cell>
          <cell r="Y199" t="str">
            <v>X</v>
          </cell>
          <cell r="AH199">
            <v>2008</v>
          </cell>
          <cell r="AI199">
            <v>379858</v>
          </cell>
          <cell r="AT199" t="str">
            <v>CUMMINS</v>
          </cell>
          <cell r="AV199">
            <v>0.5</v>
          </cell>
          <cell r="AX199">
            <v>2.4</v>
          </cell>
          <cell r="BE199">
            <v>17000</v>
          </cell>
          <cell r="BF199">
            <v>120000</v>
          </cell>
          <cell r="BG199">
            <v>21000</v>
          </cell>
          <cell r="BH199">
            <v>120000</v>
          </cell>
          <cell r="BI199" t="str">
            <v>NO SABE</v>
          </cell>
          <cell r="BL199" t="str">
            <v>X</v>
          </cell>
          <cell r="BR199" t="str">
            <v>X</v>
          </cell>
          <cell r="BV199" t="str">
            <v>X</v>
          </cell>
          <cell r="BX199">
            <v>1</v>
          </cell>
          <cell r="BY199">
            <v>3</v>
          </cell>
          <cell r="BZ199">
            <v>2</v>
          </cell>
          <cell r="DD199">
            <v>1</v>
          </cell>
        </row>
        <row r="200">
          <cell r="F200" t="str">
            <v>X</v>
          </cell>
          <cell r="N200" t="str">
            <v>EDO. MEX.</v>
          </cell>
          <cell r="O200">
            <v>30</v>
          </cell>
          <cell r="U200" t="str">
            <v>X</v>
          </cell>
          <cell r="AH200">
            <v>2010</v>
          </cell>
          <cell r="AI200">
            <v>180000</v>
          </cell>
          <cell r="AT200" t="str">
            <v>FREIGHTLINER</v>
          </cell>
          <cell r="AV200">
            <v>0.5</v>
          </cell>
          <cell r="AX200">
            <v>2.8</v>
          </cell>
          <cell r="BE200">
            <v>20000</v>
          </cell>
          <cell r="BF200">
            <v>60000</v>
          </cell>
          <cell r="BG200">
            <v>20000</v>
          </cell>
          <cell r="BH200">
            <v>90000</v>
          </cell>
          <cell r="BI200">
            <v>20000</v>
          </cell>
          <cell r="BO200" t="str">
            <v>X</v>
          </cell>
          <cell r="BU200" t="str">
            <v>X</v>
          </cell>
          <cell r="BX200">
            <v>3</v>
          </cell>
          <cell r="BY200">
            <v>4</v>
          </cell>
          <cell r="BZ200">
            <v>2</v>
          </cell>
          <cell r="CA200" t="str">
            <v>SEGURIDAD</v>
          </cell>
          <cell r="DD200">
            <v>2</v>
          </cell>
        </row>
        <row r="201">
          <cell r="E201" t="str">
            <v>X</v>
          </cell>
          <cell r="N201" t="str">
            <v>EDO. MEX.</v>
          </cell>
          <cell r="O201">
            <v>8</v>
          </cell>
          <cell r="S201" t="str">
            <v>X</v>
          </cell>
          <cell r="U201" t="str">
            <v>X</v>
          </cell>
          <cell r="AH201">
            <v>1981</v>
          </cell>
          <cell r="AI201">
            <v>2500000</v>
          </cell>
          <cell r="AT201" t="str">
            <v>KENWORTH</v>
          </cell>
          <cell r="AV201">
            <v>0.1</v>
          </cell>
          <cell r="AX201">
            <v>2.5</v>
          </cell>
          <cell r="BE201">
            <v>20000</v>
          </cell>
          <cell r="BF201">
            <v>6000</v>
          </cell>
          <cell r="BG201">
            <v>20000</v>
          </cell>
          <cell r="BH201">
            <v>200000</v>
          </cell>
          <cell r="BI201">
            <v>20000</v>
          </cell>
          <cell r="BM201" t="str">
            <v>X</v>
          </cell>
          <cell r="BN201" t="str">
            <v>X</v>
          </cell>
          <cell r="BU201" t="str">
            <v>X</v>
          </cell>
          <cell r="BX201">
            <v>3</v>
          </cell>
          <cell r="BY201">
            <v>2</v>
          </cell>
          <cell r="BZ201">
            <v>1</v>
          </cell>
          <cell r="DD201">
            <v>1</v>
          </cell>
        </row>
        <row r="202">
          <cell r="G202" t="str">
            <v>X</v>
          </cell>
          <cell r="N202" t="str">
            <v>EDO. MEX.</v>
          </cell>
          <cell r="O202">
            <v>3</v>
          </cell>
          <cell r="Q202" t="str">
            <v>X</v>
          </cell>
          <cell r="U202" t="str">
            <v>X</v>
          </cell>
          <cell r="AH202">
            <v>2009</v>
          </cell>
          <cell r="AI202">
            <v>480000</v>
          </cell>
          <cell r="AT202" t="str">
            <v>MERCEDES BENZ</v>
          </cell>
          <cell r="AV202">
            <v>0.5</v>
          </cell>
          <cell r="AX202">
            <v>4</v>
          </cell>
          <cell r="BE202">
            <v>40000</v>
          </cell>
          <cell r="BF202">
            <v>40000</v>
          </cell>
          <cell r="BG202">
            <v>40000</v>
          </cell>
          <cell r="BH202">
            <v>120000</v>
          </cell>
          <cell r="BI202">
            <v>40000</v>
          </cell>
          <cell r="BS202" t="str">
            <v>PLASTICO</v>
          </cell>
          <cell r="BU202" t="str">
            <v>X</v>
          </cell>
          <cell r="BX202">
            <v>1</v>
          </cell>
          <cell r="BY202">
            <v>3</v>
          </cell>
          <cell r="BZ202">
            <v>2</v>
          </cell>
          <cell r="DD202">
            <v>3</v>
          </cell>
        </row>
        <row r="203">
          <cell r="H203" t="str">
            <v>X</v>
          </cell>
          <cell r="N203" t="str">
            <v>EDO. MEX.</v>
          </cell>
          <cell r="O203">
            <v>30</v>
          </cell>
          <cell r="X203" t="str">
            <v>X</v>
          </cell>
          <cell r="AH203">
            <v>2005</v>
          </cell>
          <cell r="AI203">
            <v>450000</v>
          </cell>
          <cell r="AT203" t="str">
            <v>VOLVO</v>
          </cell>
          <cell r="AV203">
            <v>0.5</v>
          </cell>
          <cell r="AX203">
            <v>3</v>
          </cell>
          <cell r="BE203">
            <v>36000</v>
          </cell>
          <cell r="BF203">
            <v>30000</v>
          </cell>
          <cell r="BG203">
            <v>36000</v>
          </cell>
          <cell r="BH203">
            <v>200000</v>
          </cell>
          <cell r="BI203">
            <v>36000</v>
          </cell>
          <cell r="BJ203" t="str">
            <v>X</v>
          </cell>
          <cell r="BQ203" t="str">
            <v>X</v>
          </cell>
          <cell r="BU203" t="str">
            <v>X</v>
          </cell>
          <cell r="BX203">
            <v>2</v>
          </cell>
          <cell r="BY203">
            <v>3</v>
          </cell>
          <cell r="BZ203">
            <v>1</v>
          </cell>
          <cell r="DD203">
            <v>7</v>
          </cell>
        </row>
        <row r="204">
          <cell r="H204" t="str">
            <v>X</v>
          </cell>
          <cell r="N204" t="str">
            <v>EDO. MEX.</v>
          </cell>
          <cell r="O204">
            <v>20</v>
          </cell>
          <cell r="S204" t="str">
            <v>X</v>
          </cell>
          <cell r="U204" t="str">
            <v>X</v>
          </cell>
          <cell r="AH204">
            <v>2003</v>
          </cell>
          <cell r="AI204" t="str">
            <v>DAÑADO</v>
          </cell>
          <cell r="AT204" t="str">
            <v>DETROIT</v>
          </cell>
          <cell r="AV204">
            <v>0.5</v>
          </cell>
          <cell r="AX204">
            <v>2.2000000000000002</v>
          </cell>
          <cell r="BE204">
            <v>10000</v>
          </cell>
          <cell r="BF204">
            <v>10000</v>
          </cell>
          <cell r="BG204">
            <v>10000</v>
          </cell>
          <cell r="BH204" t="str">
            <v>NO SABE</v>
          </cell>
          <cell r="BI204">
            <v>10000</v>
          </cell>
          <cell r="BJ204" t="str">
            <v>X</v>
          </cell>
          <cell r="BV204" t="str">
            <v>X</v>
          </cell>
          <cell r="BX204">
            <v>2</v>
          </cell>
          <cell r="BY204">
            <v>4</v>
          </cell>
          <cell r="BZ204">
            <v>3</v>
          </cell>
          <cell r="CA204" t="str">
            <v>SEGURIDAD</v>
          </cell>
          <cell r="DD204">
            <v>7</v>
          </cell>
        </row>
        <row r="205">
          <cell r="G205" t="str">
            <v>X</v>
          </cell>
          <cell r="N205" t="str">
            <v>EDO. MEX.</v>
          </cell>
          <cell r="O205">
            <v>2</v>
          </cell>
          <cell r="U205" t="str">
            <v>X</v>
          </cell>
          <cell r="AH205">
            <v>2000</v>
          </cell>
          <cell r="AI205" t="str">
            <v>DAÑADO</v>
          </cell>
          <cell r="AT205" t="str">
            <v>DETROIT</v>
          </cell>
          <cell r="AV205">
            <v>0.5</v>
          </cell>
          <cell r="AX205" t="str">
            <v>NO SABE</v>
          </cell>
          <cell r="BE205" t="str">
            <v>NO SABE</v>
          </cell>
          <cell r="BF205" t="str">
            <v>NO SABE</v>
          </cell>
          <cell r="BG205" t="str">
            <v>NO SABE</v>
          </cell>
          <cell r="BH205" t="str">
            <v>NO SABE</v>
          </cell>
          <cell r="BI205" t="str">
            <v>NO SABE</v>
          </cell>
          <cell r="BS205" t="str">
            <v>ROPA</v>
          </cell>
          <cell r="BV205" t="str">
            <v>X</v>
          </cell>
          <cell r="BX205">
            <v>3</v>
          </cell>
          <cell r="BY205">
            <v>4</v>
          </cell>
          <cell r="BZ205">
            <v>2</v>
          </cell>
          <cell r="CA205" t="str">
            <v>SEGURIDAD</v>
          </cell>
          <cell r="DD205">
            <v>3</v>
          </cell>
        </row>
        <row r="206">
          <cell r="H206" t="str">
            <v>X</v>
          </cell>
          <cell r="N206" t="str">
            <v>EDO. MEX.</v>
          </cell>
          <cell r="O206">
            <v>5</v>
          </cell>
          <cell r="S206" t="str">
            <v>X</v>
          </cell>
          <cell r="AH206">
            <v>2009</v>
          </cell>
          <cell r="AI206">
            <v>350000</v>
          </cell>
          <cell r="AT206" t="str">
            <v>KENWORTH</v>
          </cell>
          <cell r="AV206">
            <v>0.2</v>
          </cell>
          <cell r="AX206">
            <v>1.3</v>
          </cell>
          <cell r="BE206">
            <v>13000</v>
          </cell>
          <cell r="BF206">
            <v>8000</v>
          </cell>
          <cell r="BG206">
            <v>13000</v>
          </cell>
          <cell r="BH206">
            <v>100000</v>
          </cell>
          <cell r="BI206">
            <v>13000</v>
          </cell>
          <cell r="BM206" t="str">
            <v>X</v>
          </cell>
          <cell r="BU206" t="str">
            <v>X</v>
          </cell>
          <cell r="BX206">
            <v>1</v>
          </cell>
          <cell r="BY206">
            <v>3</v>
          </cell>
          <cell r="BZ206">
            <v>2</v>
          </cell>
          <cell r="DD206">
            <v>7</v>
          </cell>
        </row>
        <row r="207">
          <cell r="G207" t="str">
            <v>X</v>
          </cell>
          <cell r="N207" t="str">
            <v>EDO. MEX.</v>
          </cell>
          <cell r="O207">
            <v>3</v>
          </cell>
          <cell r="Q207" t="str">
            <v>X</v>
          </cell>
          <cell r="U207" t="str">
            <v>X</v>
          </cell>
          <cell r="AH207">
            <v>2010</v>
          </cell>
          <cell r="AI207">
            <v>400000</v>
          </cell>
          <cell r="AT207" t="str">
            <v>CUMMINS</v>
          </cell>
          <cell r="AV207">
            <v>0.5</v>
          </cell>
          <cell r="AX207">
            <v>2.2000000000000002</v>
          </cell>
          <cell r="BE207">
            <v>15000</v>
          </cell>
          <cell r="BF207">
            <v>13000</v>
          </cell>
          <cell r="BG207">
            <v>15000</v>
          </cell>
          <cell r="BH207" t="str">
            <v>NO SABE</v>
          </cell>
          <cell r="BI207">
            <v>15000</v>
          </cell>
          <cell r="BN207" t="str">
            <v>X</v>
          </cell>
          <cell r="BU207" t="str">
            <v>X</v>
          </cell>
          <cell r="BX207">
            <v>2</v>
          </cell>
          <cell r="BY207">
            <v>4</v>
          </cell>
          <cell r="BZ207">
            <v>3</v>
          </cell>
          <cell r="CA207" t="str">
            <v>SEGURIDAD</v>
          </cell>
          <cell r="DD207">
            <v>3</v>
          </cell>
        </row>
        <row r="208">
          <cell r="G208" t="str">
            <v>X</v>
          </cell>
          <cell r="N208" t="str">
            <v>EDO. MEX.</v>
          </cell>
          <cell r="O208">
            <v>16</v>
          </cell>
          <cell r="S208" t="str">
            <v>X</v>
          </cell>
          <cell r="AH208">
            <v>2012</v>
          </cell>
          <cell r="AI208">
            <v>350000</v>
          </cell>
          <cell r="AT208" t="str">
            <v>CUMMINS</v>
          </cell>
          <cell r="AV208">
            <v>0</v>
          </cell>
          <cell r="AX208">
            <v>1.6</v>
          </cell>
          <cell r="BE208">
            <v>15000</v>
          </cell>
          <cell r="BF208">
            <v>18000</v>
          </cell>
          <cell r="BG208">
            <v>15000</v>
          </cell>
          <cell r="BH208" t="str">
            <v>NO SABE</v>
          </cell>
          <cell r="BI208">
            <v>15000</v>
          </cell>
          <cell r="BM208" t="str">
            <v>X</v>
          </cell>
          <cell r="BN208" t="str">
            <v>X</v>
          </cell>
          <cell r="BU208" t="str">
            <v>X</v>
          </cell>
          <cell r="BX208">
            <v>1</v>
          </cell>
          <cell r="BY208">
            <v>3</v>
          </cell>
          <cell r="BZ208">
            <v>2</v>
          </cell>
          <cell r="DD208">
            <v>3</v>
          </cell>
        </row>
        <row r="209">
          <cell r="H209" t="str">
            <v>X</v>
          </cell>
          <cell r="N209" t="str">
            <v>EDO. MEX.</v>
          </cell>
          <cell r="O209">
            <v>20</v>
          </cell>
          <cell r="S209" t="str">
            <v>X</v>
          </cell>
          <cell r="U209" t="str">
            <v>X</v>
          </cell>
          <cell r="AH209">
            <v>2010</v>
          </cell>
          <cell r="AI209">
            <v>350000</v>
          </cell>
          <cell r="AT209" t="str">
            <v>KENWORTH</v>
          </cell>
          <cell r="AV209">
            <v>0.3</v>
          </cell>
          <cell r="AX209">
            <v>2.1</v>
          </cell>
          <cell r="BE209">
            <v>14000</v>
          </cell>
          <cell r="BF209">
            <v>8000</v>
          </cell>
          <cell r="BG209">
            <v>14000</v>
          </cell>
          <cell r="BH209">
            <v>144000</v>
          </cell>
          <cell r="BI209">
            <v>14000</v>
          </cell>
          <cell r="BM209" t="str">
            <v>X</v>
          </cell>
          <cell r="BN209" t="str">
            <v>X</v>
          </cell>
          <cell r="BV209" t="str">
            <v>X</v>
          </cell>
          <cell r="BX209">
            <v>1</v>
          </cell>
          <cell r="BY209">
            <v>2</v>
          </cell>
          <cell r="BZ209">
            <v>3</v>
          </cell>
          <cell r="DD209">
            <v>7</v>
          </cell>
        </row>
        <row r="210">
          <cell r="H210" t="str">
            <v>X</v>
          </cell>
          <cell r="N210" t="str">
            <v>D.F.</v>
          </cell>
          <cell r="O210">
            <v>6</v>
          </cell>
          <cell r="Q210" t="str">
            <v>X</v>
          </cell>
          <cell r="AH210">
            <v>1979</v>
          </cell>
          <cell r="AI210">
            <v>835000</v>
          </cell>
          <cell r="AT210" t="str">
            <v>CUMMINS</v>
          </cell>
          <cell r="AV210">
            <v>0</v>
          </cell>
          <cell r="AX210">
            <v>3</v>
          </cell>
          <cell r="BE210">
            <v>25000</v>
          </cell>
          <cell r="BF210">
            <v>35000</v>
          </cell>
          <cell r="BG210">
            <v>25000</v>
          </cell>
          <cell r="BH210">
            <v>150000</v>
          </cell>
          <cell r="BI210">
            <v>25000</v>
          </cell>
          <cell r="BM210" t="str">
            <v>X</v>
          </cell>
          <cell r="BU210" t="str">
            <v>X</v>
          </cell>
          <cell r="BX210">
            <v>1</v>
          </cell>
          <cell r="BY210">
            <v>3</v>
          </cell>
          <cell r="BZ210">
            <v>2</v>
          </cell>
          <cell r="DD210">
            <v>7</v>
          </cell>
        </row>
        <row r="211">
          <cell r="H211" t="str">
            <v>X</v>
          </cell>
          <cell r="N211" t="str">
            <v>EDO. MEX.</v>
          </cell>
          <cell r="O211">
            <v>18</v>
          </cell>
          <cell r="S211" t="str">
            <v>X</v>
          </cell>
          <cell r="U211" t="str">
            <v>X</v>
          </cell>
          <cell r="AH211">
            <v>2008</v>
          </cell>
          <cell r="AI211">
            <v>600000</v>
          </cell>
          <cell r="AT211" t="str">
            <v>CUMMINS</v>
          </cell>
          <cell r="AV211">
            <v>0.3</v>
          </cell>
          <cell r="AX211">
            <v>2.2999999999999998</v>
          </cell>
          <cell r="BE211">
            <v>20000</v>
          </cell>
          <cell r="BF211">
            <v>50000</v>
          </cell>
          <cell r="BG211">
            <v>30000</v>
          </cell>
          <cell r="BH211" t="str">
            <v>NO SABE</v>
          </cell>
          <cell r="BI211">
            <v>30000</v>
          </cell>
          <cell r="BS211" t="str">
            <v>GENERAL</v>
          </cell>
          <cell r="BV211" t="str">
            <v>X</v>
          </cell>
          <cell r="BX211">
            <v>1</v>
          </cell>
          <cell r="BY211">
            <v>2</v>
          </cell>
          <cell r="BZ211">
            <v>3</v>
          </cell>
          <cell r="DD211">
            <v>7</v>
          </cell>
        </row>
        <row r="212">
          <cell r="G212" t="str">
            <v>X</v>
          </cell>
          <cell r="N212" t="str">
            <v>EDO. MEX.</v>
          </cell>
          <cell r="O212">
            <v>5</v>
          </cell>
          <cell r="U212" t="str">
            <v>X</v>
          </cell>
          <cell r="AH212">
            <v>2011</v>
          </cell>
          <cell r="AI212">
            <v>150000</v>
          </cell>
          <cell r="AT212" t="str">
            <v>NO SABE</v>
          </cell>
          <cell r="AV212">
            <v>0.5</v>
          </cell>
          <cell r="AX212">
            <v>1.5</v>
          </cell>
          <cell r="BE212">
            <v>15000</v>
          </cell>
          <cell r="BF212">
            <v>20000</v>
          </cell>
          <cell r="BG212">
            <v>30000</v>
          </cell>
          <cell r="BH212">
            <v>50000</v>
          </cell>
          <cell r="BI212">
            <v>30000</v>
          </cell>
          <cell r="BS212" t="str">
            <v>MEDICAMENTOS</v>
          </cell>
          <cell r="BU212" t="str">
            <v>X</v>
          </cell>
          <cell r="BX212">
            <v>3</v>
          </cell>
          <cell r="BY212">
            <v>2</v>
          </cell>
          <cell r="BZ212">
            <v>4</v>
          </cell>
          <cell r="CA212" t="str">
            <v>SEGURIDAD</v>
          </cell>
          <cell r="DD212">
            <v>3</v>
          </cell>
        </row>
        <row r="213">
          <cell r="H213" t="str">
            <v>X</v>
          </cell>
          <cell r="N213" t="str">
            <v>EDO. MEX.</v>
          </cell>
          <cell r="O213">
            <v>5</v>
          </cell>
          <cell r="S213" t="str">
            <v>X</v>
          </cell>
          <cell r="U213" t="str">
            <v>X</v>
          </cell>
          <cell r="AH213">
            <v>2004</v>
          </cell>
          <cell r="AI213">
            <v>500000</v>
          </cell>
          <cell r="AT213" t="str">
            <v>FREIGHTLINER</v>
          </cell>
          <cell r="AV213">
            <v>0.5</v>
          </cell>
          <cell r="AX213">
            <v>3</v>
          </cell>
          <cell r="BE213">
            <v>20000</v>
          </cell>
          <cell r="BF213">
            <v>60000</v>
          </cell>
          <cell r="BG213">
            <v>30000</v>
          </cell>
          <cell r="BH213">
            <v>60000</v>
          </cell>
          <cell r="BI213">
            <v>30000</v>
          </cell>
          <cell r="BS213" t="str">
            <v>GENERAL</v>
          </cell>
          <cell r="BV213" t="str">
            <v>X</v>
          </cell>
          <cell r="BX213">
            <v>1</v>
          </cell>
          <cell r="BY213">
            <v>3</v>
          </cell>
          <cell r="BZ213">
            <v>2</v>
          </cell>
          <cell r="DD213">
            <v>7</v>
          </cell>
        </row>
        <row r="214">
          <cell r="H214" t="str">
            <v>X</v>
          </cell>
          <cell r="N214" t="str">
            <v>EDO. MEX.</v>
          </cell>
          <cell r="O214">
            <v>19</v>
          </cell>
          <cell r="Q214" t="str">
            <v>X</v>
          </cell>
          <cell r="AH214">
            <v>1987</v>
          </cell>
          <cell r="AI214" t="str">
            <v>DAÑADO</v>
          </cell>
          <cell r="AT214" t="str">
            <v>CUMMINS</v>
          </cell>
          <cell r="AV214">
            <v>0.5</v>
          </cell>
          <cell r="AX214">
            <v>3</v>
          </cell>
          <cell r="BE214">
            <v>10000</v>
          </cell>
          <cell r="BF214" t="str">
            <v>NO SABE</v>
          </cell>
          <cell r="BG214">
            <v>12000</v>
          </cell>
          <cell r="BH214">
            <v>200000</v>
          </cell>
          <cell r="BI214">
            <v>12000</v>
          </cell>
          <cell r="BM214" t="str">
            <v>X</v>
          </cell>
          <cell r="BN214" t="str">
            <v>X</v>
          </cell>
          <cell r="BU214" t="str">
            <v>X</v>
          </cell>
          <cell r="BX214">
            <v>2</v>
          </cell>
          <cell r="BY214">
            <v>4</v>
          </cell>
          <cell r="BZ214">
            <v>3</v>
          </cell>
          <cell r="CA214" t="str">
            <v>SEGURIDAD</v>
          </cell>
          <cell r="DD214">
            <v>7</v>
          </cell>
        </row>
        <row r="215">
          <cell r="G215" t="str">
            <v>X</v>
          </cell>
          <cell r="N215" t="str">
            <v>EDO. MEX.</v>
          </cell>
          <cell r="O215">
            <v>15</v>
          </cell>
          <cell r="AH215">
            <v>1978</v>
          </cell>
          <cell r="AI215">
            <v>1500000</v>
          </cell>
          <cell r="AT215" t="str">
            <v>DINA</v>
          </cell>
          <cell r="AV215">
            <v>0.2</v>
          </cell>
          <cell r="AX215">
            <v>2.5</v>
          </cell>
          <cell r="BE215">
            <v>10000</v>
          </cell>
          <cell r="BF215">
            <v>21000</v>
          </cell>
          <cell r="BG215">
            <v>12000</v>
          </cell>
          <cell r="BH215">
            <v>84000</v>
          </cell>
          <cell r="BI215">
            <v>12000</v>
          </cell>
          <cell r="BM215" t="str">
            <v>X</v>
          </cell>
          <cell r="BU215" t="str">
            <v>X</v>
          </cell>
          <cell r="BX215">
            <v>2</v>
          </cell>
          <cell r="BY215">
            <v>4</v>
          </cell>
          <cell r="BZ215">
            <v>3</v>
          </cell>
          <cell r="CA215" t="str">
            <v>SEGURIDAD</v>
          </cell>
          <cell r="DD215">
            <v>3</v>
          </cell>
        </row>
        <row r="216">
          <cell r="E216" t="str">
            <v>X</v>
          </cell>
          <cell r="N216" t="str">
            <v>EDO. MEX.</v>
          </cell>
          <cell r="O216">
            <v>10</v>
          </cell>
          <cell r="S216" t="str">
            <v>X</v>
          </cell>
          <cell r="U216" t="str">
            <v>X</v>
          </cell>
          <cell r="AH216">
            <v>2009</v>
          </cell>
          <cell r="AI216">
            <v>500000</v>
          </cell>
          <cell r="AT216" t="str">
            <v>INTERNATIONAL</v>
          </cell>
          <cell r="AV216">
            <v>0.5</v>
          </cell>
          <cell r="AX216">
            <v>2.5</v>
          </cell>
          <cell r="BE216">
            <v>8000</v>
          </cell>
          <cell r="BF216">
            <v>80000</v>
          </cell>
          <cell r="BG216">
            <v>20000</v>
          </cell>
          <cell r="BH216">
            <v>200000</v>
          </cell>
          <cell r="BI216">
            <v>20000</v>
          </cell>
          <cell r="BN216" t="str">
            <v>X</v>
          </cell>
          <cell r="BU216" t="str">
            <v>X</v>
          </cell>
          <cell r="BX216">
            <v>2</v>
          </cell>
          <cell r="BY216">
            <v>4</v>
          </cell>
          <cell r="BZ216">
            <v>3</v>
          </cell>
          <cell r="CA216" t="str">
            <v>SEGURIDAD</v>
          </cell>
          <cell r="DD216">
            <v>1</v>
          </cell>
        </row>
        <row r="217">
          <cell r="H217" t="str">
            <v>X</v>
          </cell>
          <cell r="N217" t="str">
            <v>EDO. MEX.</v>
          </cell>
          <cell r="O217">
            <v>10</v>
          </cell>
          <cell r="S217" t="str">
            <v>X</v>
          </cell>
          <cell r="U217" t="str">
            <v>X</v>
          </cell>
          <cell r="AH217">
            <v>2011</v>
          </cell>
          <cell r="AI217">
            <v>200000</v>
          </cell>
          <cell r="AT217" t="str">
            <v>KENWORTH</v>
          </cell>
          <cell r="AV217">
            <v>0.5</v>
          </cell>
          <cell r="AX217">
            <v>2.7</v>
          </cell>
          <cell r="BE217">
            <v>20000</v>
          </cell>
          <cell r="BF217">
            <v>28000</v>
          </cell>
          <cell r="BG217">
            <v>40000</v>
          </cell>
          <cell r="BH217">
            <v>23000</v>
          </cell>
          <cell r="BI217">
            <v>40000</v>
          </cell>
          <cell r="BR217" t="str">
            <v>X</v>
          </cell>
          <cell r="BU217" t="str">
            <v>X</v>
          </cell>
          <cell r="BX217">
            <v>3</v>
          </cell>
          <cell r="BY217">
            <v>4</v>
          </cell>
          <cell r="BZ217">
            <v>2</v>
          </cell>
          <cell r="CA217" t="str">
            <v>SEGURIDAD</v>
          </cell>
          <cell r="DD217">
            <v>7</v>
          </cell>
        </row>
        <row r="218">
          <cell r="H218" t="str">
            <v>X</v>
          </cell>
          <cell r="N218" t="str">
            <v>D.F.</v>
          </cell>
          <cell r="O218">
            <v>10</v>
          </cell>
          <cell r="Q218" t="str">
            <v>X</v>
          </cell>
          <cell r="X218" t="str">
            <v>X</v>
          </cell>
          <cell r="AH218">
            <v>2013</v>
          </cell>
          <cell r="AI218">
            <v>300000</v>
          </cell>
          <cell r="AT218" t="str">
            <v>INTERNATIONAL</v>
          </cell>
          <cell r="AV218">
            <v>0.1</v>
          </cell>
          <cell r="AX218">
            <v>2.5</v>
          </cell>
          <cell r="BE218">
            <v>40000</v>
          </cell>
          <cell r="BF218">
            <v>20000</v>
          </cell>
          <cell r="BG218">
            <v>40000</v>
          </cell>
          <cell r="BH218">
            <v>240000</v>
          </cell>
          <cell r="BI218">
            <v>40000</v>
          </cell>
          <cell r="BQ218" t="str">
            <v>X</v>
          </cell>
          <cell r="BT218" t="str">
            <v>X</v>
          </cell>
          <cell r="BX218">
            <v>2</v>
          </cell>
          <cell r="BY218">
            <v>3</v>
          </cell>
          <cell r="BZ218">
            <v>1</v>
          </cell>
          <cell r="DD218">
            <v>7</v>
          </cell>
        </row>
        <row r="219">
          <cell r="H219" t="str">
            <v>X</v>
          </cell>
          <cell r="N219" t="str">
            <v>EDO. MEX.</v>
          </cell>
          <cell r="O219">
            <v>4</v>
          </cell>
          <cell r="Q219" t="str">
            <v>X</v>
          </cell>
          <cell r="U219" t="str">
            <v>X</v>
          </cell>
          <cell r="AH219">
            <v>2005</v>
          </cell>
          <cell r="AI219">
            <v>1400000</v>
          </cell>
          <cell r="AT219" t="str">
            <v>INTERNATIONAL</v>
          </cell>
          <cell r="AV219">
            <v>0.5</v>
          </cell>
          <cell r="AX219">
            <v>2.8</v>
          </cell>
          <cell r="BE219">
            <v>20000</v>
          </cell>
          <cell r="BF219">
            <v>10000</v>
          </cell>
          <cell r="BG219">
            <v>20000</v>
          </cell>
          <cell r="BH219">
            <v>180000</v>
          </cell>
          <cell r="BI219">
            <v>20000</v>
          </cell>
          <cell r="BS219" t="str">
            <v>MEDICAMENTO NUTRICIONAL</v>
          </cell>
          <cell r="BU219" t="str">
            <v>X</v>
          </cell>
          <cell r="BX219">
            <v>2</v>
          </cell>
          <cell r="BY219">
            <v>3</v>
          </cell>
          <cell r="BZ219">
            <v>1</v>
          </cell>
          <cell r="DD219">
            <v>7</v>
          </cell>
        </row>
        <row r="220">
          <cell r="G220" t="str">
            <v>X</v>
          </cell>
          <cell r="N220" t="str">
            <v>D.F.</v>
          </cell>
          <cell r="O220">
            <v>15</v>
          </cell>
          <cell r="U220" t="str">
            <v>X</v>
          </cell>
          <cell r="AH220">
            <v>2010</v>
          </cell>
          <cell r="AI220">
            <v>600000</v>
          </cell>
          <cell r="AT220" t="str">
            <v>DETROIT</v>
          </cell>
          <cell r="AV220">
            <v>0.5</v>
          </cell>
          <cell r="AX220">
            <v>2.5</v>
          </cell>
          <cell r="BE220">
            <v>8000</v>
          </cell>
          <cell r="BF220">
            <v>6000</v>
          </cell>
          <cell r="BG220">
            <v>17000</v>
          </cell>
          <cell r="BH220">
            <v>130000</v>
          </cell>
          <cell r="BI220">
            <v>17000</v>
          </cell>
          <cell r="BN220" t="str">
            <v>X</v>
          </cell>
          <cell r="BS220" t="str">
            <v>GENERAL</v>
          </cell>
          <cell r="BU220" t="str">
            <v>X</v>
          </cell>
          <cell r="BX220">
            <v>2</v>
          </cell>
          <cell r="BY220">
            <v>1</v>
          </cell>
          <cell r="BZ220">
            <v>3</v>
          </cell>
          <cell r="DD220">
            <v>3</v>
          </cell>
        </row>
        <row r="221">
          <cell r="F221" t="str">
            <v>X</v>
          </cell>
          <cell r="N221" t="str">
            <v>MORELOS</v>
          </cell>
          <cell r="O221">
            <v>15</v>
          </cell>
          <cell r="W221" t="str">
            <v>X</v>
          </cell>
          <cell r="AH221">
            <v>2010</v>
          </cell>
          <cell r="AI221">
            <v>100000</v>
          </cell>
          <cell r="AT221" t="str">
            <v>INTERNATIONAL</v>
          </cell>
          <cell r="AV221">
            <v>0.2</v>
          </cell>
          <cell r="AX221">
            <v>2</v>
          </cell>
          <cell r="BE221">
            <v>7000</v>
          </cell>
          <cell r="BF221">
            <v>9000</v>
          </cell>
          <cell r="BG221">
            <v>19000</v>
          </cell>
          <cell r="BH221">
            <v>60000</v>
          </cell>
          <cell r="BI221">
            <v>19000</v>
          </cell>
          <cell r="BK221" t="str">
            <v>X</v>
          </cell>
          <cell r="BN221" t="str">
            <v>X</v>
          </cell>
          <cell r="BW221" t="str">
            <v>X</v>
          </cell>
          <cell r="BX221">
            <v>3</v>
          </cell>
          <cell r="BY221">
            <v>2</v>
          </cell>
          <cell r="BZ221">
            <v>4</v>
          </cell>
          <cell r="CA221" t="str">
            <v>SEGURIDAD</v>
          </cell>
          <cell r="DD221">
            <v>2</v>
          </cell>
        </row>
        <row r="222">
          <cell r="F222" t="str">
            <v>X</v>
          </cell>
          <cell r="N222" t="str">
            <v>EDO. MEX.</v>
          </cell>
          <cell r="O222">
            <v>5</v>
          </cell>
          <cell r="AH222">
            <v>1991</v>
          </cell>
          <cell r="AI222" t="str">
            <v>NO SABE</v>
          </cell>
          <cell r="AT222" t="str">
            <v>CUMMINS</v>
          </cell>
          <cell r="AV222">
            <v>0.5</v>
          </cell>
          <cell r="AX222">
            <v>2</v>
          </cell>
          <cell r="BE222">
            <v>7000</v>
          </cell>
          <cell r="BF222">
            <v>5000</v>
          </cell>
          <cell r="BG222">
            <v>20000</v>
          </cell>
          <cell r="BH222">
            <v>48000</v>
          </cell>
          <cell r="BI222">
            <v>2000</v>
          </cell>
          <cell r="BM222" t="str">
            <v>X</v>
          </cell>
          <cell r="BU222" t="str">
            <v>X</v>
          </cell>
          <cell r="BX222">
            <v>3</v>
          </cell>
          <cell r="BY222">
            <v>4</v>
          </cell>
          <cell r="BZ222">
            <v>2</v>
          </cell>
          <cell r="CA222" t="str">
            <v>SEGURIDAD</v>
          </cell>
          <cell r="DD222">
            <v>2</v>
          </cell>
        </row>
        <row r="223">
          <cell r="G223" t="str">
            <v>X</v>
          </cell>
          <cell r="N223" t="str">
            <v>EDO. MEX.</v>
          </cell>
          <cell r="O223">
            <v>9</v>
          </cell>
          <cell r="S223" t="str">
            <v>X</v>
          </cell>
          <cell r="X223" t="str">
            <v>X</v>
          </cell>
          <cell r="AH223">
            <v>2012</v>
          </cell>
          <cell r="AI223">
            <v>250000</v>
          </cell>
          <cell r="AT223" t="str">
            <v>KENWORTH</v>
          </cell>
          <cell r="AV223">
            <v>0.5</v>
          </cell>
          <cell r="AX223">
            <v>2</v>
          </cell>
          <cell r="BE223">
            <v>7000</v>
          </cell>
          <cell r="BF223">
            <v>11000</v>
          </cell>
          <cell r="BG223">
            <v>15000</v>
          </cell>
          <cell r="BH223">
            <v>90000</v>
          </cell>
          <cell r="BI223">
            <v>15000</v>
          </cell>
          <cell r="BJ223" t="str">
            <v>X</v>
          </cell>
          <cell r="BV223" t="str">
            <v>X</v>
          </cell>
          <cell r="BX223">
            <v>1</v>
          </cell>
          <cell r="BY223">
            <v>3</v>
          </cell>
          <cell r="BZ223">
            <v>2</v>
          </cell>
          <cell r="DD223">
            <v>3</v>
          </cell>
        </row>
        <row r="224">
          <cell r="H224" t="str">
            <v>X</v>
          </cell>
          <cell r="N224" t="str">
            <v>HIDALGO</v>
          </cell>
          <cell r="O224">
            <v>30</v>
          </cell>
          <cell r="Q224" t="str">
            <v>X</v>
          </cell>
          <cell r="U224" t="str">
            <v>X</v>
          </cell>
          <cell r="AH224">
            <v>1983</v>
          </cell>
          <cell r="AI224">
            <v>1500000</v>
          </cell>
          <cell r="AT224" t="str">
            <v>DINA</v>
          </cell>
          <cell r="AV224">
            <v>0.5</v>
          </cell>
          <cell r="AX224">
            <v>2</v>
          </cell>
          <cell r="BE224">
            <v>10000</v>
          </cell>
          <cell r="BF224">
            <v>8000</v>
          </cell>
          <cell r="BG224">
            <v>12000</v>
          </cell>
          <cell r="BH224">
            <v>60000</v>
          </cell>
          <cell r="BI224">
            <v>12000</v>
          </cell>
          <cell r="BS224" t="str">
            <v>GENERAL</v>
          </cell>
          <cell r="BU224" t="str">
            <v>X</v>
          </cell>
          <cell r="BX224">
            <v>1</v>
          </cell>
          <cell r="BY224">
            <v>3</v>
          </cell>
          <cell r="BZ224">
            <v>2</v>
          </cell>
          <cell r="DD224">
            <v>7</v>
          </cell>
        </row>
        <row r="225">
          <cell r="H225" t="str">
            <v>X</v>
          </cell>
          <cell r="N225" t="str">
            <v>EDO. MEX.</v>
          </cell>
          <cell r="O225">
            <v>10</v>
          </cell>
          <cell r="S225" t="str">
            <v>X</v>
          </cell>
          <cell r="X225" t="str">
            <v>X</v>
          </cell>
          <cell r="AH225">
            <v>2009</v>
          </cell>
          <cell r="AI225">
            <v>300000</v>
          </cell>
          <cell r="AT225" t="str">
            <v>KENWORTH</v>
          </cell>
          <cell r="AV225">
            <v>0.5</v>
          </cell>
          <cell r="AX225">
            <v>2.2999999999999998</v>
          </cell>
          <cell r="BE225">
            <v>12000</v>
          </cell>
          <cell r="BF225">
            <v>6000</v>
          </cell>
          <cell r="BG225">
            <v>15000</v>
          </cell>
          <cell r="BH225">
            <v>60000</v>
          </cell>
          <cell r="BI225">
            <v>15000</v>
          </cell>
          <cell r="BJ225" t="str">
            <v>X</v>
          </cell>
          <cell r="BU225" t="str">
            <v>X</v>
          </cell>
          <cell r="BX225">
            <v>2</v>
          </cell>
          <cell r="BY225">
            <v>1</v>
          </cell>
          <cell r="BZ225">
            <v>3</v>
          </cell>
          <cell r="DD225">
            <v>7</v>
          </cell>
        </row>
        <row r="226">
          <cell r="E226" t="str">
            <v>X</v>
          </cell>
          <cell r="N226" t="str">
            <v>EDO. MEX.</v>
          </cell>
          <cell r="O226">
            <v>5</v>
          </cell>
          <cell r="S226" t="str">
            <v>X</v>
          </cell>
          <cell r="W226" t="str">
            <v>X</v>
          </cell>
          <cell r="AH226">
            <v>2012</v>
          </cell>
          <cell r="AI226">
            <v>200000</v>
          </cell>
          <cell r="AT226" t="str">
            <v>FREIGHTLINER</v>
          </cell>
          <cell r="AV226">
            <v>0.1</v>
          </cell>
          <cell r="AX226">
            <v>2</v>
          </cell>
          <cell r="BE226">
            <v>10000</v>
          </cell>
          <cell r="BF226">
            <v>10000</v>
          </cell>
          <cell r="BG226">
            <v>18000</v>
          </cell>
          <cell r="BH226">
            <v>120000</v>
          </cell>
          <cell r="BI226">
            <v>18000</v>
          </cell>
          <cell r="BS226" t="str">
            <v>GENERAL</v>
          </cell>
          <cell r="BV226" t="str">
            <v>X</v>
          </cell>
          <cell r="BX226">
            <v>1</v>
          </cell>
          <cell r="BY226">
            <v>3</v>
          </cell>
          <cell r="BZ226">
            <v>2</v>
          </cell>
          <cell r="DD226">
            <v>1</v>
          </cell>
        </row>
        <row r="227">
          <cell r="G227" t="str">
            <v>X</v>
          </cell>
          <cell r="N227" t="str">
            <v>EDO. MEX.</v>
          </cell>
          <cell r="O227">
            <v>15</v>
          </cell>
          <cell r="Q227" t="str">
            <v>X</v>
          </cell>
          <cell r="Y227" t="str">
            <v>X</v>
          </cell>
          <cell r="AH227">
            <v>2010</v>
          </cell>
          <cell r="AI227">
            <v>500000</v>
          </cell>
          <cell r="AT227" t="str">
            <v>KENWORTH</v>
          </cell>
          <cell r="AV227">
            <v>0.2</v>
          </cell>
          <cell r="AX227">
            <v>2.5</v>
          </cell>
          <cell r="BE227">
            <v>10000</v>
          </cell>
          <cell r="BF227">
            <v>8000</v>
          </cell>
          <cell r="BG227">
            <v>20000</v>
          </cell>
          <cell r="BH227">
            <v>144000</v>
          </cell>
          <cell r="BI227">
            <v>20000</v>
          </cell>
          <cell r="BS227" t="str">
            <v>AGUA</v>
          </cell>
          <cell r="BU227" t="str">
            <v>X</v>
          </cell>
          <cell r="BX227">
            <v>2</v>
          </cell>
          <cell r="BY227">
            <v>4</v>
          </cell>
          <cell r="BZ227">
            <v>3</v>
          </cell>
          <cell r="CA227" t="str">
            <v>SEGURIDAD</v>
          </cell>
          <cell r="DD227">
            <v>3</v>
          </cell>
        </row>
        <row r="228">
          <cell r="G228" t="str">
            <v>X</v>
          </cell>
          <cell r="N228" t="str">
            <v>EDO. MEX.</v>
          </cell>
          <cell r="O228">
            <v>15</v>
          </cell>
          <cell r="U228" t="str">
            <v>X</v>
          </cell>
          <cell r="AH228">
            <v>2011</v>
          </cell>
          <cell r="AI228">
            <v>120500</v>
          </cell>
          <cell r="AT228" t="str">
            <v>FORD</v>
          </cell>
          <cell r="AV228">
            <v>0.5</v>
          </cell>
          <cell r="AX228">
            <v>5</v>
          </cell>
          <cell r="BE228">
            <v>40000</v>
          </cell>
          <cell r="BF228">
            <v>12000</v>
          </cell>
          <cell r="BG228">
            <v>60000</v>
          </cell>
          <cell r="BH228">
            <v>48000</v>
          </cell>
          <cell r="BI228" t="str">
            <v>NO APLICA</v>
          </cell>
          <cell r="BS228" t="str">
            <v>GENERAL</v>
          </cell>
          <cell r="BV228" t="str">
            <v>X</v>
          </cell>
          <cell r="BX228">
            <v>1</v>
          </cell>
          <cell r="BY228">
            <v>3</v>
          </cell>
          <cell r="BZ228">
            <v>2</v>
          </cell>
          <cell r="DD228">
            <v>3</v>
          </cell>
        </row>
        <row r="229">
          <cell r="F229" t="str">
            <v>X</v>
          </cell>
          <cell r="N229" t="str">
            <v>D.F.</v>
          </cell>
          <cell r="O229">
            <v>7</v>
          </cell>
          <cell r="S229" t="str">
            <v>X</v>
          </cell>
          <cell r="X229" t="str">
            <v>X</v>
          </cell>
          <cell r="AH229">
            <v>2005</v>
          </cell>
          <cell r="AI229">
            <v>600000</v>
          </cell>
          <cell r="AT229" t="str">
            <v>DETROIT</v>
          </cell>
          <cell r="AV229">
            <v>0.5</v>
          </cell>
          <cell r="AX229">
            <v>2.5</v>
          </cell>
          <cell r="BE229">
            <v>12000</v>
          </cell>
          <cell r="BF229">
            <v>10000</v>
          </cell>
          <cell r="BG229">
            <v>15000</v>
          </cell>
          <cell r="BH229">
            <v>180000</v>
          </cell>
          <cell r="BI229">
            <v>15000</v>
          </cell>
          <cell r="BJ229" t="str">
            <v>X</v>
          </cell>
          <cell r="BV229" t="str">
            <v>X</v>
          </cell>
          <cell r="BX229">
            <v>1</v>
          </cell>
          <cell r="BY229">
            <v>2</v>
          </cell>
          <cell r="BZ229">
            <v>3</v>
          </cell>
          <cell r="DD229">
            <v>2</v>
          </cell>
        </row>
        <row r="230">
          <cell r="H230" t="str">
            <v>X</v>
          </cell>
          <cell r="N230" t="str">
            <v>EDO. MEX.</v>
          </cell>
          <cell r="O230">
            <v>21</v>
          </cell>
          <cell r="S230" t="str">
            <v>X</v>
          </cell>
          <cell r="U230" t="str">
            <v>X</v>
          </cell>
          <cell r="AH230">
            <v>2007</v>
          </cell>
          <cell r="AI230">
            <v>500000</v>
          </cell>
          <cell r="AT230" t="str">
            <v>KENWORTH</v>
          </cell>
          <cell r="AV230">
            <v>0.3</v>
          </cell>
          <cell r="AX230">
            <v>2.8</v>
          </cell>
          <cell r="BE230">
            <v>8000</v>
          </cell>
          <cell r="BF230">
            <v>6000</v>
          </cell>
          <cell r="BG230">
            <v>20000</v>
          </cell>
          <cell r="BH230">
            <v>170000</v>
          </cell>
          <cell r="BI230">
            <v>20000</v>
          </cell>
          <cell r="BJ230" t="str">
            <v>X</v>
          </cell>
          <cell r="BV230" t="str">
            <v>X</v>
          </cell>
          <cell r="BX230">
            <v>2</v>
          </cell>
          <cell r="BY230">
            <v>1</v>
          </cell>
          <cell r="BZ230">
            <v>3</v>
          </cell>
          <cell r="DD230">
            <v>7</v>
          </cell>
        </row>
        <row r="231">
          <cell r="G231" t="str">
            <v>X</v>
          </cell>
          <cell r="N231" t="str">
            <v>EDO. MEX.</v>
          </cell>
          <cell r="O231">
            <v>34</v>
          </cell>
          <cell r="S231" t="str">
            <v>X</v>
          </cell>
          <cell r="U231" t="str">
            <v>X</v>
          </cell>
          <cell r="AH231">
            <v>1980</v>
          </cell>
          <cell r="AI231" t="str">
            <v>DAÑADO</v>
          </cell>
          <cell r="AT231" t="str">
            <v>CUMMINS</v>
          </cell>
          <cell r="AV231">
            <v>0.5</v>
          </cell>
          <cell r="AX231">
            <v>1.9</v>
          </cell>
          <cell r="BE231">
            <v>4000</v>
          </cell>
          <cell r="BF231">
            <v>2000</v>
          </cell>
          <cell r="BG231">
            <v>13000</v>
          </cell>
          <cell r="BH231">
            <v>48000</v>
          </cell>
          <cell r="BI231">
            <v>13000</v>
          </cell>
          <cell r="BS231" t="str">
            <v>GENERAL</v>
          </cell>
          <cell r="BT231" t="str">
            <v>X</v>
          </cell>
          <cell r="BX231">
            <v>1</v>
          </cell>
          <cell r="BY231">
            <v>3</v>
          </cell>
          <cell r="BZ231">
            <v>2</v>
          </cell>
          <cell r="DD231">
            <v>3</v>
          </cell>
        </row>
        <row r="232">
          <cell r="H232" t="str">
            <v>X</v>
          </cell>
          <cell r="N232" t="str">
            <v>D.F.</v>
          </cell>
          <cell r="O232">
            <v>25</v>
          </cell>
          <cell r="S232" t="str">
            <v>X</v>
          </cell>
          <cell r="U232" t="str">
            <v>X</v>
          </cell>
          <cell r="AH232">
            <v>2009</v>
          </cell>
          <cell r="AI232" t="str">
            <v>DAÑADO</v>
          </cell>
          <cell r="AT232" t="str">
            <v>KENWORTH</v>
          </cell>
          <cell r="AV232">
            <v>0.5</v>
          </cell>
          <cell r="AX232">
            <v>1.7</v>
          </cell>
          <cell r="BE232">
            <v>15000</v>
          </cell>
          <cell r="BF232">
            <v>10000</v>
          </cell>
          <cell r="BG232">
            <v>12000</v>
          </cell>
          <cell r="BH232">
            <v>150000</v>
          </cell>
          <cell r="BI232">
            <v>12000</v>
          </cell>
          <cell r="BJ232" t="str">
            <v>X</v>
          </cell>
          <cell r="BX232">
            <v>2</v>
          </cell>
          <cell r="BY232">
            <v>4</v>
          </cell>
          <cell r="BZ232">
            <v>3</v>
          </cell>
          <cell r="CA232" t="str">
            <v>SEGURIDAD</v>
          </cell>
          <cell r="DD232">
            <v>7</v>
          </cell>
        </row>
        <row r="233">
          <cell r="H233" t="str">
            <v>X</v>
          </cell>
          <cell r="N233" t="str">
            <v>EDO. MEX.</v>
          </cell>
          <cell r="O233">
            <v>3</v>
          </cell>
          <cell r="U233" t="str">
            <v>X</v>
          </cell>
          <cell r="AH233">
            <v>2006</v>
          </cell>
          <cell r="AI233">
            <v>400000</v>
          </cell>
          <cell r="AT233" t="str">
            <v>NO SABE</v>
          </cell>
          <cell r="AV233">
            <v>0.2</v>
          </cell>
          <cell r="AX233">
            <v>2.2000000000000002</v>
          </cell>
          <cell r="BE233">
            <v>5000</v>
          </cell>
          <cell r="BF233">
            <v>7000</v>
          </cell>
          <cell r="BG233">
            <v>12000</v>
          </cell>
          <cell r="BH233">
            <v>72000</v>
          </cell>
          <cell r="BI233">
            <v>12000</v>
          </cell>
          <cell r="BJ233" t="str">
            <v>X</v>
          </cell>
          <cell r="BU233" t="str">
            <v>X</v>
          </cell>
          <cell r="BX233">
            <v>2</v>
          </cell>
          <cell r="BY233">
            <v>3</v>
          </cell>
          <cell r="BZ233">
            <v>1</v>
          </cell>
          <cell r="DD233">
            <v>7</v>
          </cell>
        </row>
        <row r="234">
          <cell r="H234" t="str">
            <v>X</v>
          </cell>
          <cell r="N234" t="str">
            <v>D.F.</v>
          </cell>
          <cell r="O234">
            <v>8</v>
          </cell>
          <cell r="Q234" t="str">
            <v>X</v>
          </cell>
          <cell r="Y234" t="str">
            <v>X</v>
          </cell>
          <cell r="AH234">
            <v>1979</v>
          </cell>
          <cell r="AI234">
            <v>852500</v>
          </cell>
          <cell r="AT234" t="str">
            <v>CUMMINS</v>
          </cell>
          <cell r="AV234">
            <v>0.1</v>
          </cell>
          <cell r="AX234">
            <v>2.5</v>
          </cell>
          <cell r="BE234">
            <v>9000</v>
          </cell>
          <cell r="BF234">
            <v>6000</v>
          </cell>
          <cell r="BG234">
            <v>18000</v>
          </cell>
          <cell r="BH234">
            <v>45000</v>
          </cell>
          <cell r="BI234">
            <v>18000</v>
          </cell>
          <cell r="BS234" t="str">
            <v>AGUA</v>
          </cell>
          <cell r="BV234" t="str">
            <v>X</v>
          </cell>
          <cell r="BX234">
            <v>1</v>
          </cell>
          <cell r="BY234">
            <v>3</v>
          </cell>
          <cell r="BZ234">
            <v>2</v>
          </cell>
          <cell r="DD234">
            <v>7</v>
          </cell>
        </row>
        <row r="235">
          <cell r="G235" t="str">
            <v>X</v>
          </cell>
          <cell r="N235" t="str">
            <v>D.F.</v>
          </cell>
          <cell r="O235">
            <v>9</v>
          </cell>
          <cell r="X235" t="str">
            <v>X</v>
          </cell>
          <cell r="AH235">
            <v>2008</v>
          </cell>
          <cell r="AI235">
            <v>300000</v>
          </cell>
          <cell r="AT235" t="str">
            <v>CUMMINS</v>
          </cell>
          <cell r="AV235">
            <v>0.3</v>
          </cell>
          <cell r="AX235">
            <v>2.5</v>
          </cell>
          <cell r="BE235">
            <v>25000</v>
          </cell>
          <cell r="BF235">
            <v>18000</v>
          </cell>
          <cell r="BG235">
            <v>30000</v>
          </cell>
          <cell r="BH235">
            <v>90000</v>
          </cell>
          <cell r="BI235">
            <v>30000</v>
          </cell>
          <cell r="BQ235" t="str">
            <v>X</v>
          </cell>
          <cell r="BV235" t="str">
            <v>X</v>
          </cell>
          <cell r="BX235">
            <v>1</v>
          </cell>
          <cell r="BY235">
            <v>3</v>
          </cell>
          <cell r="BZ235">
            <v>2</v>
          </cell>
          <cell r="DD235">
            <v>3</v>
          </cell>
        </row>
        <row r="236">
          <cell r="E236" t="str">
            <v>X</v>
          </cell>
          <cell r="N236" t="str">
            <v>D.F.</v>
          </cell>
          <cell r="O236">
            <v>1</v>
          </cell>
          <cell r="Y236" t="str">
            <v>X</v>
          </cell>
          <cell r="AH236">
            <v>2000</v>
          </cell>
          <cell r="AI236">
            <v>700000</v>
          </cell>
          <cell r="AT236" t="str">
            <v>CUMMINS</v>
          </cell>
          <cell r="AV236">
            <v>0.1</v>
          </cell>
          <cell r="AX236">
            <v>2</v>
          </cell>
          <cell r="BE236">
            <v>10000</v>
          </cell>
          <cell r="BF236">
            <v>10000</v>
          </cell>
          <cell r="BG236">
            <v>20000</v>
          </cell>
          <cell r="BH236">
            <v>120000</v>
          </cell>
          <cell r="BI236">
            <v>20000</v>
          </cell>
          <cell r="BR236" t="str">
            <v>X</v>
          </cell>
          <cell r="BV236" t="str">
            <v>X</v>
          </cell>
          <cell r="BX236">
            <v>2</v>
          </cell>
          <cell r="BY236">
            <v>4</v>
          </cell>
          <cell r="BZ236">
            <v>3</v>
          </cell>
          <cell r="CA236" t="str">
            <v>SEGURIDAD</v>
          </cell>
          <cell r="DD236">
            <v>1</v>
          </cell>
        </row>
        <row r="237">
          <cell r="G237" t="str">
            <v>X</v>
          </cell>
          <cell r="N237" t="str">
            <v>EDO. MEX.</v>
          </cell>
          <cell r="O237">
            <v>5</v>
          </cell>
          <cell r="S237" t="str">
            <v>X</v>
          </cell>
          <cell r="U237" t="str">
            <v>X</v>
          </cell>
          <cell r="AH237">
            <v>2009</v>
          </cell>
          <cell r="AI237">
            <v>600000</v>
          </cell>
          <cell r="AT237" t="str">
            <v>KENWORTH</v>
          </cell>
          <cell r="AV237">
            <v>0.2</v>
          </cell>
          <cell r="AX237">
            <v>2.5</v>
          </cell>
          <cell r="BE237">
            <v>10000</v>
          </cell>
          <cell r="BF237">
            <v>6000</v>
          </cell>
          <cell r="BG237">
            <v>13000</v>
          </cell>
          <cell r="BH237">
            <v>150000</v>
          </cell>
          <cell r="BI237">
            <v>13000</v>
          </cell>
          <cell r="BS237" t="str">
            <v>GENERAL</v>
          </cell>
          <cell r="BU237" t="str">
            <v>X</v>
          </cell>
          <cell r="BV237" t="str">
            <v xml:space="preserve"> </v>
          </cell>
          <cell r="BX237">
            <v>3</v>
          </cell>
          <cell r="BY237">
            <v>1</v>
          </cell>
          <cell r="BZ237">
            <v>2</v>
          </cell>
          <cell r="DD237">
            <v>3</v>
          </cell>
        </row>
        <row r="238">
          <cell r="G238" t="str">
            <v>X</v>
          </cell>
          <cell r="N238" t="str">
            <v>EDO. MEX.</v>
          </cell>
          <cell r="O238">
            <v>19</v>
          </cell>
          <cell r="U238" t="str">
            <v>X</v>
          </cell>
          <cell r="AH238">
            <v>2003</v>
          </cell>
          <cell r="AI238">
            <v>700000</v>
          </cell>
          <cell r="AT238" t="str">
            <v>CUMMINS</v>
          </cell>
          <cell r="AV238">
            <v>0.2</v>
          </cell>
          <cell r="AX238">
            <v>2.2999999999999998</v>
          </cell>
          <cell r="BE238">
            <v>17000</v>
          </cell>
          <cell r="BF238">
            <v>10000</v>
          </cell>
          <cell r="BG238">
            <v>23000</v>
          </cell>
          <cell r="BH238">
            <v>60000</v>
          </cell>
          <cell r="BI238">
            <v>23000</v>
          </cell>
          <cell r="BO238" t="str">
            <v>X</v>
          </cell>
          <cell r="BV238" t="str">
            <v>X</v>
          </cell>
          <cell r="BX238">
            <v>1</v>
          </cell>
          <cell r="BY238">
            <v>2</v>
          </cell>
          <cell r="BZ238">
            <v>3</v>
          </cell>
          <cell r="DD238">
            <v>3</v>
          </cell>
        </row>
        <row r="239">
          <cell r="G239" t="str">
            <v>X</v>
          </cell>
          <cell r="N239" t="str">
            <v>EDO. MEX.</v>
          </cell>
          <cell r="O239">
            <v>25</v>
          </cell>
          <cell r="S239" t="str">
            <v>X</v>
          </cell>
          <cell r="U239" t="str">
            <v>X</v>
          </cell>
          <cell r="AH239">
            <v>2007</v>
          </cell>
          <cell r="AI239">
            <v>500000</v>
          </cell>
          <cell r="AT239" t="str">
            <v>KENWORTH</v>
          </cell>
          <cell r="AV239">
            <v>0.5</v>
          </cell>
          <cell r="AX239">
            <v>2.2999999999999998</v>
          </cell>
          <cell r="BE239">
            <v>7000</v>
          </cell>
          <cell r="BF239">
            <v>5000</v>
          </cell>
          <cell r="BG239">
            <v>17000</v>
          </cell>
          <cell r="BH239">
            <v>185000</v>
          </cell>
          <cell r="BI239">
            <v>17000</v>
          </cell>
          <cell r="BK239" t="str">
            <v>X</v>
          </cell>
          <cell r="BU239" t="str">
            <v>X</v>
          </cell>
          <cell r="BX239">
            <v>1</v>
          </cell>
          <cell r="BY239">
            <v>2</v>
          </cell>
          <cell r="BZ239">
            <v>3</v>
          </cell>
          <cell r="DD239">
            <v>3</v>
          </cell>
        </row>
        <row r="240">
          <cell r="F240" t="str">
            <v>X</v>
          </cell>
          <cell r="N240" t="str">
            <v>EDO. MEX.</v>
          </cell>
          <cell r="O240">
            <v>20</v>
          </cell>
          <cell r="S240" t="str">
            <v>X</v>
          </cell>
          <cell r="U240" t="str">
            <v>X</v>
          </cell>
          <cell r="AH240">
            <v>2007</v>
          </cell>
          <cell r="AI240">
            <v>230400</v>
          </cell>
          <cell r="AT240" t="str">
            <v>FREIGHTLINER</v>
          </cell>
          <cell r="AV240">
            <v>0.2</v>
          </cell>
          <cell r="AX240">
            <v>2.2000000000000002</v>
          </cell>
          <cell r="BE240">
            <v>8000</v>
          </cell>
          <cell r="BF240">
            <v>10000</v>
          </cell>
          <cell r="BG240">
            <v>20000</v>
          </cell>
          <cell r="BH240">
            <v>76800</v>
          </cell>
          <cell r="BI240">
            <v>20000</v>
          </cell>
          <cell r="BS240" t="str">
            <v>GENERAL</v>
          </cell>
          <cell r="BU240" t="str">
            <v>X</v>
          </cell>
          <cell r="BX240">
            <v>2</v>
          </cell>
          <cell r="BY240">
            <v>4</v>
          </cell>
          <cell r="BZ240">
            <v>3</v>
          </cell>
          <cell r="CA240" t="str">
            <v>SEGURIDAD</v>
          </cell>
          <cell r="DD240">
            <v>2</v>
          </cell>
        </row>
        <row r="241">
          <cell r="E241" t="str">
            <v>X</v>
          </cell>
          <cell r="N241" t="str">
            <v>EDO. MEX.</v>
          </cell>
          <cell r="O241">
            <v>20</v>
          </cell>
          <cell r="S241" t="str">
            <v>X</v>
          </cell>
          <cell r="U241" t="str">
            <v>X</v>
          </cell>
          <cell r="AH241">
            <v>1979</v>
          </cell>
          <cell r="AI241">
            <v>2052000</v>
          </cell>
          <cell r="AT241" t="str">
            <v>DETROIT</v>
          </cell>
          <cell r="AV241">
            <v>0.1</v>
          </cell>
          <cell r="AX241">
            <v>2.8</v>
          </cell>
          <cell r="BE241">
            <v>27000</v>
          </cell>
          <cell r="BF241">
            <v>27000</v>
          </cell>
          <cell r="BG241">
            <v>20000</v>
          </cell>
          <cell r="BH241">
            <v>162000</v>
          </cell>
          <cell r="BI241">
            <v>20000</v>
          </cell>
          <cell r="BS241" t="str">
            <v>PRODUCTOS DE BELLEZA</v>
          </cell>
          <cell r="BU241" t="str">
            <v>X</v>
          </cell>
          <cell r="BX241">
            <v>1</v>
          </cell>
          <cell r="BY241">
            <v>3</v>
          </cell>
          <cell r="BZ241">
            <v>2</v>
          </cell>
          <cell r="DD241">
            <v>1</v>
          </cell>
        </row>
        <row r="242">
          <cell r="G242" t="str">
            <v>X</v>
          </cell>
          <cell r="N242" t="str">
            <v>D.F.</v>
          </cell>
          <cell r="O242">
            <v>40</v>
          </cell>
          <cell r="U242" t="str">
            <v>X</v>
          </cell>
          <cell r="AH242">
            <v>2010</v>
          </cell>
          <cell r="AI242">
            <v>100000</v>
          </cell>
          <cell r="AT242" t="str">
            <v>FORD</v>
          </cell>
          <cell r="AV242">
            <v>0.3</v>
          </cell>
          <cell r="AX242">
            <v>6</v>
          </cell>
          <cell r="BE242">
            <v>7000</v>
          </cell>
          <cell r="BF242">
            <v>7000</v>
          </cell>
          <cell r="BG242">
            <v>12000</v>
          </cell>
          <cell r="BH242">
            <v>48000</v>
          </cell>
          <cell r="BI242" t="str">
            <v>NO APLICA</v>
          </cell>
          <cell r="BJ242" t="str">
            <v>X</v>
          </cell>
          <cell r="BV242" t="str">
            <v>X</v>
          </cell>
          <cell r="BX242">
            <v>1</v>
          </cell>
          <cell r="BY242">
            <v>3</v>
          </cell>
          <cell r="BZ242">
            <v>2</v>
          </cell>
          <cell r="DD242">
            <v>3</v>
          </cell>
        </row>
        <row r="243">
          <cell r="H243" t="str">
            <v>X</v>
          </cell>
          <cell r="N243" t="str">
            <v>D.F.</v>
          </cell>
          <cell r="O243">
            <v>16</v>
          </cell>
          <cell r="U243" t="str">
            <v>X</v>
          </cell>
          <cell r="AH243">
            <v>2013</v>
          </cell>
          <cell r="AI243">
            <v>10000</v>
          </cell>
          <cell r="AT243" t="str">
            <v>FORD</v>
          </cell>
          <cell r="AV243">
            <v>0.5</v>
          </cell>
          <cell r="AX243">
            <v>5</v>
          </cell>
          <cell r="BE243">
            <v>3000</v>
          </cell>
          <cell r="BF243" t="str">
            <v>NO SABE</v>
          </cell>
          <cell r="BG243">
            <v>5000</v>
          </cell>
          <cell r="BH243" t="str">
            <v>NO SABE</v>
          </cell>
          <cell r="BI243" t="str">
            <v>NO APLICA</v>
          </cell>
          <cell r="BM243" t="str">
            <v>X</v>
          </cell>
          <cell r="BU243" t="str">
            <v>X</v>
          </cell>
          <cell r="BX243">
            <v>2</v>
          </cell>
          <cell r="BY243">
            <v>1</v>
          </cell>
          <cell r="BZ243">
            <v>3</v>
          </cell>
          <cell r="DD243">
            <v>7</v>
          </cell>
        </row>
        <row r="244">
          <cell r="H244" t="str">
            <v>X</v>
          </cell>
          <cell r="N244" t="str">
            <v>EDO. MEX.</v>
          </cell>
          <cell r="O244">
            <v>15</v>
          </cell>
          <cell r="Y244" t="str">
            <v>X</v>
          </cell>
          <cell r="AH244">
            <v>2009</v>
          </cell>
          <cell r="AI244">
            <v>1200000</v>
          </cell>
          <cell r="AT244" t="str">
            <v>INTERNATIONAL</v>
          </cell>
          <cell r="AV244">
            <v>0.5</v>
          </cell>
          <cell r="AX244">
            <v>1.9</v>
          </cell>
          <cell r="BE244">
            <v>25000</v>
          </cell>
          <cell r="BF244">
            <v>25000</v>
          </cell>
          <cell r="BG244">
            <v>25000</v>
          </cell>
          <cell r="BH244">
            <v>300000</v>
          </cell>
          <cell r="BI244">
            <v>25000</v>
          </cell>
          <cell r="BR244" t="str">
            <v>X</v>
          </cell>
          <cell r="BU244" t="str">
            <v>X</v>
          </cell>
          <cell r="BX244">
            <v>2</v>
          </cell>
          <cell r="BY244">
            <v>4</v>
          </cell>
          <cell r="BZ244">
            <v>3</v>
          </cell>
          <cell r="CA244" t="str">
            <v>SEGURIDAD</v>
          </cell>
          <cell r="DD244">
            <v>7</v>
          </cell>
        </row>
        <row r="245">
          <cell r="H245" t="str">
            <v>X</v>
          </cell>
          <cell r="N245" t="str">
            <v>EDO. MEX.</v>
          </cell>
          <cell r="O245">
            <v>12</v>
          </cell>
          <cell r="S245" t="str">
            <v>X</v>
          </cell>
          <cell r="AH245">
            <v>2006</v>
          </cell>
          <cell r="AI245">
            <v>540000</v>
          </cell>
          <cell r="AT245" t="str">
            <v>KENWORTH</v>
          </cell>
          <cell r="AV245">
            <v>0.5</v>
          </cell>
          <cell r="AX245">
            <v>2.5</v>
          </cell>
          <cell r="BE245">
            <v>2500</v>
          </cell>
          <cell r="BF245">
            <v>2500</v>
          </cell>
          <cell r="BG245">
            <v>2500</v>
          </cell>
          <cell r="BH245">
            <v>30000</v>
          </cell>
          <cell r="BI245">
            <v>2500</v>
          </cell>
          <cell r="BS245" t="str">
            <v>FORRAJE</v>
          </cell>
          <cell r="BU245" t="str">
            <v>X</v>
          </cell>
          <cell r="BX245">
            <v>2</v>
          </cell>
          <cell r="BY245">
            <v>3</v>
          </cell>
          <cell r="BZ245">
            <v>1</v>
          </cell>
          <cell r="DD245">
            <v>7</v>
          </cell>
        </row>
        <row r="246">
          <cell r="G246" t="str">
            <v>X</v>
          </cell>
          <cell r="N246" t="str">
            <v>D.F.</v>
          </cell>
          <cell r="O246">
            <v>8</v>
          </cell>
          <cell r="S246" t="str">
            <v>X</v>
          </cell>
          <cell r="U246" t="str">
            <v>X</v>
          </cell>
          <cell r="AH246">
            <v>1993</v>
          </cell>
          <cell r="AI246">
            <v>1600000</v>
          </cell>
          <cell r="AT246" t="str">
            <v>FREIGHTLINER</v>
          </cell>
          <cell r="AV246">
            <v>0</v>
          </cell>
          <cell r="AX246">
            <v>3.7</v>
          </cell>
          <cell r="BE246">
            <v>15000</v>
          </cell>
          <cell r="BF246">
            <v>13000</v>
          </cell>
          <cell r="BG246">
            <v>20000</v>
          </cell>
          <cell r="BH246">
            <v>140000</v>
          </cell>
          <cell r="BI246">
            <v>20000</v>
          </cell>
          <cell r="BS246" t="str">
            <v>ANIMALES</v>
          </cell>
          <cell r="BU246" t="str">
            <v>X</v>
          </cell>
          <cell r="BX246">
            <v>3</v>
          </cell>
          <cell r="BY246">
            <v>1</v>
          </cell>
          <cell r="BZ246">
            <v>2</v>
          </cell>
          <cell r="DD246">
            <v>3</v>
          </cell>
        </row>
        <row r="247">
          <cell r="H247" t="str">
            <v>X</v>
          </cell>
          <cell r="N247" t="str">
            <v>EDO. MEX.</v>
          </cell>
          <cell r="O247">
            <v>12</v>
          </cell>
          <cell r="U247" t="str">
            <v>X</v>
          </cell>
          <cell r="AH247">
            <v>2000</v>
          </cell>
          <cell r="AI247">
            <v>520000</v>
          </cell>
          <cell r="AT247" t="str">
            <v>FORD</v>
          </cell>
          <cell r="AV247">
            <v>0.1</v>
          </cell>
          <cell r="AX247">
            <v>2.2000000000000002</v>
          </cell>
          <cell r="BE247">
            <v>6000</v>
          </cell>
          <cell r="BF247">
            <v>6000</v>
          </cell>
          <cell r="BG247">
            <v>6000</v>
          </cell>
          <cell r="BH247">
            <v>24000</v>
          </cell>
          <cell r="BI247" t="str">
            <v>NO APLICA</v>
          </cell>
          <cell r="BS247" t="str">
            <v>VALORES</v>
          </cell>
          <cell r="BU247" t="str">
            <v>X</v>
          </cell>
          <cell r="BX247">
            <v>2</v>
          </cell>
          <cell r="BY247">
            <v>4</v>
          </cell>
          <cell r="BZ247">
            <v>3</v>
          </cell>
          <cell r="CA247" t="str">
            <v>SEGURIDAD</v>
          </cell>
          <cell r="DD247">
            <v>7</v>
          </cell>
        </row>
        <row r="248">
          <cell r="F248" t="str">
            <v>X</v>
          </cell>
          <cell r="N248" t="str">
            <v>TAMAULIPAS</v>
          </cell>
          <cell r="O248">
            <v>22</v>
          </cell>
          <cell r="S248" t="str">
            <v>X</v>
          </cell>
          <cell r="AG248" t="str">
            <v>FULL</v>
          </cell>
          <cell r="AH248">
            <v>2012</v>
          </cell>
          <cell r="AI248">
            <v>292000</v>
          </cell>
          <cell r="AT248" t="str">
            <v>KENWORTH</v>
          </cell>
          <cell r="AV248">
            <v>0.5</v>
          </cell>
          <cell r="AX248">
            <v>1.5</v>
          </cell>
          <cell r="BE248">
            <v>25000</v>
          </cell>
          <cell r="BF248">
            <v>10000</v>
          </cell>
          <cell r="BG248">
            <v>30000</v>
          </cell>
          <cell r="BH248">
            <v>200000</v>
          </cell>
          <cell r="BI248">
            <v>30000</v>
          </cell>
          <cell r="BR248" t="str">
            <v>X</v>
          </cell>
          <cell r="BW248" t="str">
            <v>X</v>
          </cell>
          <cell r="BX248">
            <v>1</v>
          </cell>
          <cell r="BY248">
            <v>3</v>
          </cell>
          <cell r="BZ248">
            <v>2</v>
          </cell>
          <cell r="DD248">
            <v>2</v>
          </cell>
        </row>
        <row r="249">
          <cell r="H249" t="str">
            <v>X</v>
          </cell>
          <cell r="N249" t="str">
            <v>GUERRERO</v>
          </cell>
          <cell r="O249">
            <v>20</v>
          </cell>
          <cell r="Q249" t="str">
            <v>X</v>
          </cell>
          <cell r="AH249">
            <v>2006</v>
          </cell>
          <cell r="AI249">
            <v>403200</v>
          </cell>
          <cell r="AT249" t="str">
            <v>NAVISTAR</v>
          </cell>
          <cell r="AV249">
            <v>0.1</v>
          </cell>
          <cell r="AX249">
            <v>2.1</v>
          </cell>
          <cell r="BE249">
            <v>14000</v>
          </cell>
          <cell r="BF249">
            <v>14000</v>
          </cell>
          <cell r="BG249">
            <v>14000</v>
          </cell>
          <cell r="BH249">
            <v>230000</v>
          </cell>
          <cell r="BI249">
            <v>14000</v>
          </cell>
          <cell r="BS249" t="str">
            <v>PAQUETERIA</v>
          </cell>
          <cell r="BU249" t="str">
            <v>X</v>
          </cell>
          <cell r="BX249">
            <v>3</v>
          </cell>
          <cell r="BY249">
            <v>2</v>
          </cell>
          <cell r="BZ249">
            <v>4</v>
          </cell>
          <cell r="CA249" t="str">
            <v>SEGURIDAD</v>
          </cell>
          <cell r="DD249">
            <v>7</v>
          </cell>
        </row>
        <row r="250">
          <cell r="E250" t="str">
            <v>X</v>
          </cell>
          <cell r="N250" t="str">
            <v>EDO. MEX.</v>
          </cell>
          <cell r="O250">
            <v>1</v>
          </cell>
          <cell r="Q250" t="str">
            <v>X</v>
          </cell>
          <cell r="U250" t="str">
            <v>X</v>
          </cell>
          <cell r="AH250">
            <v>1994</v>
          </cell>
          <cell r="AI250" t="str">
            <v>NO SABE</v>
          </cell>
          <cell r="AT250" t="str">
            <v>MERCEDES BENZ</v>
          </cell>
          <cell r="AV250">
            <v>0.5</v>
          </cell>
          <cell r="AX250">
            <v>2.2000000000000002</v>
          </cell>
          <cell r="BE250">
            <v>2000</v>
          </cell>
          <cell r="BF250">
            <v>5000</v>
          </cell>
          <cell r="BG250">
            <v>3000</v>
          </cell>
          <cell r="BH250" t="str">
            <v>NO SABE</v>
          </cell>
          <cell r="BI250">
            <v>3000</v>
          </cell>
          <cell r="BS250" t="str">
            <v>GENERAL</v>
          </cell>
          <cell r="BV250" t="str">
            <v>X</v>
          </cell>
          <cell r="BX250">
            <v>1</v>
          </cell>
          <cell r="BY250">
            <v>3</v>
          </cell>
          <cell r="BZ250">
            <v>2</v>
          </cell>
          <cell r="DD250">
            <v>1</v>
          </cell>
        </row>
        <row r="251">
          <cell r="G251" t="str">
            <v>X</v>
          </cell>
          <cell r="N251" t="str">
            <v>EDO. MEX.</v>
          </cell>
          <cell r="O251">
            <v>2</v>
          </cell>
          <cell r="U251" t="str">
            <v>X</v>
          </cell>
          <cell r="AH251">
            <v>2012</v>
          </cell>
          <cell r="AI251">
            <v>5000</v>
          </cell>
          <cell r="AT251" t="str">
            <v>NO SABE</v>
          </cell>
          <cell r="AV251">
            <v>0.5</v>
          </cell>
          <cell r="AX251">
            <v>5</v>
          </cell>
          <cell r="BE251" t="str">
            <v>NO SABE</v>
          </cell>
          <cell r="BF251" t="str">
            <v>NO SABE</v>
          </cell>
          <cell r="BG251" t="str">
            <v>NO SABE</v>
          </cell>
          <cell r="BH251" t="str">
            <v>NO SABE</v>
          </cell>
          <cell r="BI251" t="str">
            <v>NO SABE</v>
          </cell>
          <cell r="BS251" t="str">
            <v>GENERAL</v>
          </cell>
          <cell r="BU251" t="str">
            <v>X</v>
          </cell>
          <cell r="BX251">
            <v>1</v>
          </cell>
          <cell r="BY251">
            <v>3</v>
          </cell>
          <cell r="BZ251">
            <v>2</v>
          </cell>
          <cell r="DD251">
            <v>3</v>
          </cell>
        </row>
        <row r="252">
          <cell r="F252" t="str">
            <v>X</v>
          </cell>
          <cell r="N252" t="str">
            <v>EDO. MEX.</v>
          </cell>
          <cell r="O252">
            <v>18</v>
          </cell>
          <cell r="X252" t="str">
            <v>X</v>
          </cell>
          <cell r="AH252">
            <v>2009</v>
          </cell>
          <cell r="AI252">
            <v>750000</v>
          </cell>
          <cell r="AT252" t="str">
            <v>CUMMINS</v>
          </cell>
          <cell r="AV252">
            <v>0.5</v>
          </cell>
          <cell r="AX252">
            <v>2.8</v>
          </cell>
          <cell r="BE252">
            <v>10000</v>
          </cell>
          <cell r="BF252">
            <v>12000</v>
          </cell>
          <cell r="BG252">
            <v>20000</v>
          </cell>
          <cell r="BH252">
            <v>130000</v>
          </cell>
          <cell r="BI252">
            <v>20000</v>
          </cell>
          <cell r="BQ252" t="str">
            <v>X</v>
          </cell>
          <cell r="BV252" t="str">
            <v>X</v>
          </cell>
          <cell r="BX252">
            <v>2</v>
          </cell>
          <cell r="BY252">
            <v>3</v>
          </cell>
          <cell r="BZ252">
            <v>1</v>
          </cell>
          <cell r="DD252">
            <v>2</v>
          </cell>
        </row>
        <row r="253">
          <cell r="H253" t="str">
            <v>X</v>
          </cell>
          <cell r="N253" t="str">
            <v>QUERÉTARO</v>
          </cell>
          <cell r="O253">
            <v>20</v>
          </cell>
          <cell r="S253" t="str">
            <v>X</v>
          </cell>
          <cell r="X253" t="str">
            <v>X</v>
          </cell>
          <cell r="AH253">
            <v>2012</v>
          </cell>
          <cell r="AI253">
            <v>500000</v>
          </cell>
          <cell r="AT253" t="str">
            <v>KENWORTH</v>
          </cell>
          <cell r="AV253">
            <v>0.5</v>
          </cell>
          <cell r="AX253">
            <v>2.8</v>
          </cell>
          <cell r="BE253">
            <v>15000</v>
          </cell>
          <cell r="BF253">
            <v>14000</v>
          </cell>
          <cell r="BG253">
            <v>30000</v>
          </cell>
          <cell r="BH253">
            <v>180000</v>
          </cell>
          <cell r="BI253">
            <v>30000</v>
          </cell>
          <cell r="BQ253" t="str">
            <v>X</v>
          </cell>
          <cell r="BU253" t="str">
            <v>X</v>
          </cell>
          <cell r="BX253">
            <v>1</v>
          </cell>
          <cell r="BY253">
            <v>3</v>
          </cell>
          <cell r="BZ253">
            <v>2</v>
          </cell>
          <cell r="DD253">
            <v>7</v>
          </cell>
        </row>
        <row r="254">
          <cell r="H254" t="str">
            <v>X</v>
          </cell>
          <cell r="N254" t="str">
            <v>D.F.</v>
          </cell>
          <cell r="O254">
            <v>25</v>
          </cell>
          <cell r="S254" t="str">
            <v>X</v>
          </cell>
          <cell r="U254" t="str">
            <v>X</v>
          </cell>
          <cell r="AH254">
            <v>2005</v>
          </cell>
          <cell r="AI254">
            <v>700000</v>
          </cell>
          <cell r="AT254" t="str">
            <v>KENWORTH</v>
          </cell>
          <cell r="AV254">
            <v>0.5</v>
          </cell>
          <cell r="AX254">
            <v>2.5</v>
          </cell>
          <cell r="BE254">
            <v>7000</v>
          </cell>
          <cell r="BF254">
            <v>15000</v>
          </cell>
          <cell r="BG254">
            <v>25000</v>
          </cell>
          <cell r="BH254">
            <v>135000</v>
          </cell>
          <cell r="BI254">
            <v>25000</v>
          </cell>
          <cell r="BS254" t="str">
            <v>GENERAL</v>
          </cell>
          <cell r="BV254" t="str">
            <v>X</v>
          </cell>
          <cell r="BX254">
            <v>1</v>
          </cell>
          <cell r="BY254">
            <v>2</v>
          </cell>
          <cell r="BZ254">
            <v>3</v>
          </cell>
          <cell r="DD254">
            <v>7</v>
          </cell>
        </row>
        <row r="255">
          <cell r="H255" t="str">
            <v>X</v>
          </cell>
          <cell r="N255" t="str">
            <v>PUEBLA</v>
          </cell>
          <cell r="O255">
            <v>17</v>
          </cell>
          <cell r="S255" t="str">
            <v>X</v>
          </cell>
          <cell r="AH255">
            <v>2012</v>
          </cell>
          <cell r="AI255">
            <v>115200</v>
          </cell>
          <cell r="AT255" t="str">
            <v>CATERPILLAR</v>
          </cell>
          <cell r="AV255">
            <v>0.2</v>
          </cell>
          <cell r="AX255">
            <v>2.2999999999999998</v>
          </cell>
          <cell r="BE255">
            <v>13000</v>
          </cell>
          <cell r="BF255">
            <v>30000</v>
          </cell>
          <cell r="BG255">
            <v>20000</v>
          </cell>
          <cell r="BH255">
            <v>57600</v>
          </cell>
          <cell r="BI255">
            <v>13000</v>
          </cell>
          <cell r="BM255" t="str">
            <v>X</v>
          </cell>
          <cell r="BU255" t="str">
            <v>X</v>
          </cell>
          <cell r="BX255">
            <v>2</v>
          </cell>
          <cell r="BY255">
            <v>4</v>
          </cell>
          <cell r="BZ255">
            <v>3</v>
          </cell>
          <cell r="CA255" t="str">
            <v>SEGURIDAD</v>
          </cell>
          <cell r="DD255">
            <v>7</v>
          </cell>
        </row>
        <row r="256">
          <cell r="G256" t="str">
            <v>X</v>
          </cell>
          <cell r="N256" t="str">
            <v>EDO. MEX.</v>
          </cell>
          <cell r="O256">
            <v>11</v>
          </cell>
          <cell r="S256" t="str">
            <v>X</v>
          </cell>
          <cell r="U256" t="str">
            <v>X</v>
          </cell>
          <cell r="AH256">
            <v>2011</v>
          </cell>
          <cell r="AI256">
            <v>550000</v>
          </cell>
          <cell r="AT256" t="str">
            <v>KENWORTH</v>
          </cell>
          <cell r="AV256">
            <v>0.3</v>
          </cell>
          <cell r="AX256">
            <v>2.8</v>
          </cell>
          <cell r="BE256">
            <v>7000</v>
          </cell>
          <cell r="BF256">
            <v>8000</v>
          </cell>
          <cell r="BG256">
            <v>18000</v>
          </cell>
          <cell r="BH256">
            <v>22000</v>
          </cell>
          <cell r="BI256">
            <v>18000</v>
          </cell>
          <cell r="BS256" t="str">
            <v>GENERAL</v>
          </cell>
          <cell r="BV256" t="str">
            <v>X</v>
          </cell>
          <cell r="BX256">
            <v>1</v>
          </cell>
          <cell r="BY256">
            <v>3</v>
          </cell>
          <cell r="BZ256">
            <v>2</v>
          </cell>
          <cell r="DD256">
            <v>3</v>
          </cell>
        </row>
        <row r="257">
          <cell r="G257" t="str">
            <v>X</v>
          </cell>
          <cell r="N257" t="str">
            <v>EDO. MEX.</v>
          </cell>
          <cell r="O257">
            <v>10</v>
          </cell>
          <cell r="Q257" t="str">
            <v>X</v>
          </cell>
          <cell r="AH257">
            <v>1998</v>
          </cell>
          <cell r="AI257">
            <v>504000</v>
          </cell>
          <cell r="AT257" t="str">
            <v>CUMMINS</v>
          </cell>
          <cell r="AV257">
            <v>0.5</v>
          </cell>
          <cell r="AX257">
            <v>2.8</v>
          </cell>
          <cell r="BE257">
            <v>14000</v>
          </cell>
          <cell r="BF257">
            <v>18000</v>
          </cell>
          <cell r="BG257">
            <v>10000</v>
          </cell>
          <cell r="BH257">
            <v>67200</v>
          </cell>
          <cell r="BI257">
            <v>14000</v>
          </cell>
          <cell r="BS257" t="str">
            <v>ANIMALES</v>
          </cell>
          <cell r="BU257" t="str">
            <v>X</v>
          </cell>
          <cell r="BX257">
            <v>1</v>
          </cell>
          <cell r="BY257">
            <v>3</v>
          </cell>
          <cell r="BZ257">
            <v>2</v>
          </cell>
          <cell r="DD257">
            <v>3</v>
          </cell>
        </row>
        <row r="258">
          <cell r="F258" t="str">
            <v>X</v>
          </cell>
          <cell r="N258" t="str">
            <v>D.F.</v>
          </cell>
          <cell r="O258">
            <v>12</v>
          </cell>
          <cell r="S258" t="str">
            <v>X</v>
          </cell>
          <cell r="AH258">
            <v>2012</v>
          </cell>
          <cell r="AI258">
            <v>450000</v>
          </cell>
          <cell r="AT258" t="str">
            <v>KENWORTH</v>
          </cell>
          <cell r="AV258">
            <v>0.5</v>
          </cell>
          <cell r="AX258">
            <v>2</v>
          </cell>
          <cell r="BE258">
            <v>10000</v>
          </cell>
          <cell r="BF258">
            <v>13000</v>
          </cell>
          <cell r="BG258">
            <v>22000</v>
          </cell>
          <cell r="BH258">
            <v>200000</v>
          </cell>
          <cell r="BI258">
            <v>22000</v>
          </cell>
          <cell r="BS258" t="str">
            <v>MAQUINARIA</v>
          </cell>
          <cell r="BU258" t="str">
            <v>X</v>
          </cell>
          <cell r="BX258">
            <v>1</v>
          </cell>
          <cell r="BY258">
            <v>2</v>
          </cell>
          <cell r="BZ258">
            <v>3</v>
          </cell>
          <cell r="DD258">
            <v>2</v>
          </cell>
        </row>
        <row r="259">
          <cell r="F259" t="str">
            <v>X</v>
          </cell>
          <cell r="N259" t="str">
            <v>D.F.</v>
          </cell>
          <cell r="O259">
            <v>30</v>
          </cell>
          <cell r="Q259" t="str">
            <v>X</v>
          </cell>
          <cell r="Y259" t="str">
            <v>X</v>
          </cell>
          <cell r="AH259">
            <v>2011</v>
          </cell>
          <cell r="AI259">
            <v>200000</v>
          </cell>
          <cell r="AT259" t="str">
            <v>MERCEDES BENZ</v>
          </cell>
          <cell r="AV259">
            <v>0.3</v>
          </cell>
          <cell r="AX259">
            <v>2.7</v>
          </cell>
          <cell r="BE259">
            <v>20000</v>
          </cell>
          <cell r="BF259">
            <v>17000</v>
          </cell>
          <cell r="BG259">
            <v>40000</v>
          </cell>
          <cell r="BH259">
            <v>24000</v>
          </cell>
          <cell r="BI259">
            <v>40000</v>
          </cell>
          <cell r="BS259" t="str">
            <v>AGUA</v>
          </cell>
          <cell r="BV259" t="str">
            <v>X</v>
          </cell>
          <cell r="BX259">
            <v>1</v>
          </cell>
          <cell r="BY259">
            <v>2</v>
          </cell>
          <cell r="BZ259">
            <v>3</v>
          </cell>
          <cell r="DD259">
            <v>2</v>
          </cell>
        </row>
        <row r="260">
          <cell r="H260" t="str">
            <v>X</v>
          </cell>
          <cell r="N260" t="str">
            <v>EDO. MEX.</v>
          </cell>
          <cell r="O260">
            <v>15</v>
          </cell>
          <cell r="Q260" t="str">
            <v>X</v>
          </cell>
          <cell r="Y260" t="str">
            <v>X</v>
          </cell>
          <cell r="AH260">
            <v>2007</v>
          </cell>
          <cell r="AI260">
            <v>144000</v>
          </cell>
          <cell r="AT260" t="str">
            <v>INTERNATIONAL</v>
          </cell>
          <cell r="AV260">
            <v>0.1</v>
          </cell>
          <cell r="AX260">
            <v>2.7</v>
          </cell>
          <cell r="BE260">
            <v>8000</v>
          </cell>
          <cell r="BF260">
            <v>8000</v>
          </cell>
          <cell r="BG260">
            <v>8000</v>
          </cell>
          <cell r="BH260">
            <v>24000</v>
          </cell>
          <cell r="BI260">
            <v>8000</v>
          </cell>
          <cell r="BR260" t="str">
            <v>X</v>
          </cell>
          <cell r="BV260" t="str">
            <v>X</v>
          </cell>
          <cell r="BX260">
            <v>2</v>
          </cell>
          <cell r="BY260">
            <v>3</v>
          </cell>
          <cell r="BZ260">
            <v>4</v>
          </cell>
          <cell r="CA260" t="str">
            <v>SEGURIDAD</v>
          </cell>
          <cell r="DD260">
            <v>7</v>
          </cell>
        </row>
        <row r="261">
          <cell r="G261" t="str">
            <v>X</v>
          </cell>
          <cell r="N261" t="str">
            <v>EDO. MEX.</v>
          </cell>
          <cell r="O261">
            <v>10</v>
          </cell>
          <cell r="S261" t="str">
            <v>X</v>
          </cell>
          <cell r="U261" t="str">
            <v>X</v>
          </cell>
          <cell r="AH261">
            <v>2010</v>
          </cell>
          <cell r="AI261">
            <v>600000</v>
          </cell>
          <cell r="AT261" t="str">
            <v>KENWORTH</v>
          </cell>
          <cell r="AV261">
            <v>0.5</v>
          </cell>
          <cell r="AX261">
            <v>2.2999999999999998</v>
          </cell>
          <cell r="BE261">
            <v>15000</v>
          </cell>
          <cell r="BF261">
            <v>12000</v>
          </cell>
          <cell r="BG261">
            <v>25000</v>
          </cell>
          <cell r="BH261">
            <v>160000</v>
          </cell>
          <cell r="BI261">
            <v>25000</v>
          </cell>
          <cell r="BS261" t="str">
            <v>GENERAL</v>
          </cell>
          <cell r="BV261" t="str">
            <v>X</v>
          </cell>
          <cell r="BX261">
            <v>1</v>
          </cell>
          <cell r="BY261">
            <v>3</v>
          </cell>
          <cell r="BZ261">
            <v>2</v>
          </cell>
          <cell r="DD261">
            <v>3</v>
          </cell>
        </row>
        <row r="262">
          <cell r="E262" t="str">
            <v>X</v>
          </cell>
          <cell r="N262" t="str">
            <v>D.F.</v>
          </cell>
          <cell r="O262">
            <v>35</v>
          </cell>
          <cell r="W262" t="str">
            <v>X</v>
          </cell>
          <cell r="AH262">
            <v>2010</v>
          </cell>
          <cell r="AI262">
            <v>133200</v>
          </cell>
          <cell r="AT262" t="str">
            <v>FREIGHTLINER</v>
          </cell>
          <cell r="AV262">
            <v>0.5</v>
          </cell>
          <cell r="AX262">
            <v>2.1</v>
          </cell>
          <cell r="BE262">
            <v>12000</v>
          </cell>
          <cell r="BF262">
            <v>20000</v>
          </cell>
          <cell r="BG262">
            <v>20000</v>
          </cell>
          <cell r="BH262">
            <v>88000</v>
          </cell>
          <cell r="BI262">
            <v>12000</v>
          </cell>
          <cell r="BS262" t="str">
            <v>PAPELERIA</v>
          </cell>
          <cell r="BV262" t="str">
            <v>X</v>
          </cell>
          <cell r="BX262">
            <v>1</v>
          </cell>
          <cell r="BY262">
            <v>3</v>
          </cell>
          <cell r="BZ262">
            <v>2</v>
          </cell>
          <cell r="DD262">
            <v>1</v>
          </cell>
        </row>
        <row r="263">
          <cell r="H263" t="str">
            <v>X</v>
          </cell>
          <cell r="N263" t="str">
            <v>GUANAJUATO</v>
          </cell>
          <cell r="O263">
            <v>20</v>
          </cell>
          <cell r="S263" t="str">
            <v>X</v>
          </cell>
          <cell r="U263" t="str">
            <v>X</v>
          </cell>
          <cell r="AH263">
            <v>2014</v>
          </cell>
          <cell r="AI263">
            <v>30000</v>
          </cell>
          <cell r="AT263" t="str">
            <v>VOLVO</v>
          </cell>
          <cell r="AV263">
            <v>0.3</v>
          </cell>
          <cell r="AX263">
            <v>2.2999999999999998</v>
          </cell>
          <cell r="BE263">
            <v>25000</v>
          </cell>
          <cell r="BF263">
            <v>10000</v>
          </cell>
          <cell r="BG263">
            <v>18000</v>
          </cell>
          <cell r="BH263">
            <v>120000</v>
          </cell>
          <cell r="BI263">
            <v>18000</v>
          </cell>
          <cell r="BS263" t="str">
            <v>SECOS</v>
          </cell>
          <cell r="BW263" t="str">
            <v>X</v>
          </cell>
          <cell r="BX263">
            <v>1</v>
          </cell>
          <cell r="BY263">
            <v>3</v>
          </cell>
          <cell r="BZ263">
            <v>2</v>
          </cell>
          <cell r="DD263">
            <v>7</v>
          </cell>
        </row>
        <row r="264">
          <cell r="H264" t="str">
            <v>X</v>
          </cell>
          <cell r="N264" t="str">
            <v>D.F.</v>
          </cell>
          <cell r="O264">
            <v>18</v>
          </cell>
          <cell r="U264" t="str">
            <v>X</v>
          </cell>
          <cell r="AH264">
            <v>2002</v>
          </cell>
          <cell r="AI264" t="str">
            <v>DAÑADO</v>
          </cell>
          <cell r="AT264" t="str">
            <v>MERCEDES BENZ</v>
          </cell>
          <cell r="AV264">
            <v>0.5</v>
          </cell>
          <cell r="AX264">
            <v>2.6</v>
          </cell>
          <cell r="BE264">
            <v>17000</v>
          </cell>
          <cell r="BF264">
            <v>12000</v>
          </cell>
          <cell r="BG264">
            <v>22000</v>
          </cell>
          <cell r="BH264">
            <v>200000</v>
          </cell>
          <cell r="BI264">
            <v>22000</v>
          </cell>
          <cell r="BM264" t="str">
            <v>X</v>
          </cell>
          <cell r="BV264" t="str">
            <v>X</v>
          </cell>
          <cell r="BX264">
            <v>2</v>
          </cell>
          <cell r="BY264">
            <v>1</v>
          </cell>
          <cell r="BZ264">
            <v>3</v>
          </cell>
          <cell r="DD264">
            <v>7</v>
          </cell>
        </row>
        <row r="265">
          <cell r="G265" t="str">
            <v>X</v>
          </cell>
          <cell r="N265" t="str">
            <v>EDO. MEX.</v>
          </cell>
          <cell r="O265">
            <v>20</v>
          </cell>
          <cell r="U265" t="str">
            <v>X</v>
          </cell>
          <cell r="AH265">
            <v>2000</v>
          </cell>
          <cell r="AI265">
            <v>546000</v>
          </cell>
          <cell r="AT265" t="str">
            <v>CUMMINS</v>
          </cell>
          <cell r="AV265">
            <v>0.5</v>
          </cell>
          <cell r="AX265">
            <v>2.8</v>
          </cell>
          <cell r="BE265">
            <v>12000</v>
          </cell>
          <cell r="BF265">
            <v>10000</v>
          </cell>
          <cell r="BG265">
            <v>12000</v>
          </cell>
          <cell r="BH265">
            <v>63000</v>
          </cell>
          <cell r="BI265">
            <v>12000</v>
          </cell>
          <cell r="BS265" t="str">
            <v>GENERAL</v>
          </cell>
          <cell r="BU265" t="str">
            <v>X</v>
          </cell>
          <cell r="BX265">
            <v>1</v>
          </cell>
          <cell r="BY265">
            <v>3</v>
          </cell>
          <cell r="BZ265">
            <v>2</v>
          </cell>
          <cell r="DD265">
            <v>3</v>
          </cell>
        </row>
        <row r="266">
          <cell r="G266" t="str">
            <v>X</v>
          </cell>
          <cell r="N266" t="str">
            <v>EDO. MEX.</v>
          </cell>
          <cell r="O266">
            <v>5</v>
          </cell>
          <cell r="U266" t="str">
            <v>X</v>
          </cell>
          <cell r="AH266">
            <v>1998</v>
          </cell>
          <cell r="AI266">
            <v>950000</v>
          </cell>
          <cell r="AT266" t="str">
            <v>INTERNATIONAL</v>
          </cell>
          <cell r="AV266">
            <v>0.5</v>
          </cell>
          <cell r="AX266">
            <v>2.2999999999999998</v>
          </cell>
          <cell r="BE266">
            <v>18000</v>
          </cell>
          <cell r="BF266">
            <v>20000</v>
          </cell>
          <cell r="BG266">
            <v>30000</v>
          </cell>
          <cell r="BH266">
            <v>24000</v>
          </cell>
          <cell r="BI266">
            <v>30000</v>
          </cell>
          <cell r="BM266" t="str">
            <v>X</v>
          </cell>
          <cell r="BV266" t="str">
            <v>X</v>
          </cell>
          <cell r="CA266" t="str">
            <v>ES LOCAL</v>
          </cell>
          <cell r="DD266">
            <v>3</v>
          </cell>
        </row>
        <row r="267">
          <cell r="E267" t="str">
            <v>X</v>
          </cell>
          <cell r="N267" t="str">
            <v>EDO. MEX.</v>
          </cell>
          <cell r="O267">
            <v>3</v>
          </cell>
          <cell r="S267" t="str">
            <v>X</v>
          </cell>
          <cell r="X267" t="str">
            <v>X</v>
          </cell>
          <cell r="AH267">
            <v>2009</v>
          </cell>
          <cell r="AI267">
            <v>240000</v>
          </cell>
          <cell r="AT267" t="str">
            <v>KENWORTH</v>
          </cell>
          <cell r="AV267">
            <v>0.2</v>
          </cell>
          <cell r="AX267">
            <v>2.2000000000000002</v>
          </cell>
          <cell r="BE267">
            <v>20000</v>
          </cell>
          <cell r="BF267">
            <v>12000</v>
          </cell>
          <cell r="BG267">
            <v>12000</v>
          </cell>
          <cell r="BH267">
            <v>60000</v>
          </cell>
          <cell r="BI267">
            <v>20000</v>
          </cell>
          <cell r="BJ267" t="str">
            <v>X</v>
          </cell>
          <cell r="BQ267" t="str">
            <v>X</v>
          </cell>
          <cell r="BU267" t="str">
            <v>X</v>
          </cell>
          <cell r="BX267">
            <v>2</v>
          </cell>
          <cell r="BY267">
            <v>3</v>
          </cell>
          <cell r="BZ267">
            <v>4</v>
          </cell>
          <cell r="CA267" t="str">
            <v>SEGURIDAD</v>
          </cell>
          <cell r="DD267">
            <v>1</v>
          </cell>
        </row>
        <row r="268">
          <cell r="G268" t="str">
            <v>X</v>
          </cell>
          <cell r="N268" t="str">
            <v>D.F.</v>
          </cell>
          <cell r="O268">
            <v>38</v>
          </cell>
          <cell r="S268" t="str">
            <v>X</v>
          </cell>
          <cell r="AH268">
            <v>1981</v>
          </cell>
          <cell r="AI268" t="str">
            <v>DAÑADO</v>
          </cell>
          <cell r="AT268" t="str">
            <v>CUMMINS</v>
          </cell>
          <cell r="AV268">
            <v>0.5</v>
          </cell>
          <cell r="AX268">
            <v>1.7</v>
          </cell>
          <cell r="BE268">
            <v>24000</v>
          </cell>
          <cell r="BF268">
            <v>12000</v>
          </cell>
          <cell r="BG268">
            <v>48000</v>
          </cell>
          <cell r="BH268">
            <v>96000</v>
          </cell>
          <cell r="BI268">
            <v>48000</v>
          </cell>
          <cell r="BS268" t="str">
            <v>GENERAL</v>
          </cell>
          <cell r="BV268" t="str">
            <v>X</v>
          </cell>
          <cell r="CA268" t="str">
            <v>ES LOCAL</v>
          </cell>
          <cell r="DD268">
            <v>3</v>
          </cell>
        </row>
        <row r="269">
          <cell r="G269" t="str">
            <v>X</v>
          </cell>
          <cell r="N269" t="str">
            <v>D.F.</v>
          </cell>
          <cell r="O269">
            <v>17</v>
          </cell>
          <cell r="U269" t="str">
            <v>X</v>
          </cell>
          <cell r="AH269">
            <v>1995</v>
          </cell>
          <cell r="AI269">
            <v>750000</v>
          </cell>
          <cell r="AT269" t="str">
            <v>CUMMINS</v>
          </cell>
          <cell r="AV269">
            <v>0.5</v>
          </cell>
          <cell r="AX269">
            <v>2.7</v>
          </cell>
          <cell r="BE269">
            <v>11000</v>
          </cell>
          <cell r="BF269">
            <v>20000</v>
          </cell>
          <cell r="BG269">
            <v>23000</v>
          </cell>
          <cell r="BH269">
            <v>54000</v>
          </cell>
          <cell r="BI269">
            <v>23000</v>
          </cell>
          <cell r="BS269" t="str">
            <v>MUEBLES</v>
          </cell>
          <cell r="BU269" t="str">
            <v>X</v>
          </cell>
          <cell r="BX269">
            <v>1</v>
          </cell>
          <cell r="BY269">
            <v>2</v>
          </cell>
          <cell r="BZ269">
            <v>3</v>
          </cell>
          <cell r="DD269">
            <v>3</v>
          </cell>
        </row>
        <row r="270">
          <cell r="G270" t="str">
            <v>X</v>
          </cell>
          <cell r="N270" t="str">
            <v>EDO. MEX.</v>
          </cell>
          <cell r="O270">
            <v>28</v>
          </cell>
          <cell r="S270" t="str">
            <v>X</v>
          </cell>
          <cell r="U270" t="str">
            <v>X</v>
          </cell>
          <cell r="AH270">
            <v>1998</v>
          </cell>
          <cell r="AI270">
            <v>800000</v>
          </cell>
          <cell r="AT270" t="str">
            <v>KENWORTH</v>
          </cell>
          <cell r="AV270">
            <v>0.5</v>
          </cell>
          <cell r="AX270">
            <v>2.2000000000000002</v>
          </cell>
          <cell r="BE270">
            <v>6000</v>
          </cell>
          <cell r="BF270">
            <v>15000</v>
          </cell>
          <cell r="BG270">
            <v>30000</v>
          </cell>
          <cell r="BH270">
            <v>150000</v>
          </cell>
          <cell r="BI270">
            <v>30000</v>
          </cell>
          <cell r="BS270" t="str">
            <v>GENERAL</v>
          </cell>
          <cell r="BV270" t="str">
            <v>X</v>
          </cell>
          <cell r="BX270">
            <v>1</v>
          </cell>
          <cell r="BY270">
            <v>3</v>
          </cell>
          <cell r="BZ270">
            <v>2</v>
          </cell>
          <cell r="DD270">
            <v>3</v>
          </cell>
        </row>
        <row r="271">
          <cell r="G271" t="str">
            <v>X</v>
          </cell>
          <cell r="N271" t="str">
            <v>EDO. MEX.</v>
          </cell>
          <cell r="O271">
            <v>41</v>
          </cell>
          <cell r="S271" t="str">
            <v>X</v>
          </cell>
          <cell r="U271" t="str">
            <v>X</v>
          </cell>
          <cell r="AH271">
            <v>1989</v>
          </cell>
          <cell r="AI271">
            <v>970000</v>
          </cell>
          <cell r="AT271" t="str">
            <v>KENWORTH</v>
          </cell>
          <cell r="AV271">
            <v>0.5</v>
          </cell>
          <cell r="AX271">
            <v>2.2999999999999998</v>
          </cell>
          <cell r="BE271">
            <v>11000</v>
          </cell>
          <cell r="BF271">
            <v>8000</v>
          </cell>
          <cell r="BG271">
            <v>25000</v>
          </cell>
          <cell r="BH271">
            <v>90000</v>
          </cell>
          <cell r="BI271">
            <v>25000</v>
          </cell>
          <cell r="BS271" t="str">
            <v>GENERAL</v>
          </cell>
          <cell r="BU271" t="str">
            <v>X</v>
          </cell>
          <cell r="BX271">
            <v>1</v>
          </cell>
          <cell r="BY271">
            <v>2</v>
          </cell>
          <cell r="BZ271">
            <v>3</v>
          </cell>
          <cell r="DD271">
            <v>3</v>
          </cell>
        </row>
        <row r="272">
          <cell r="G272" t="str">
            <v>X</v>
          </cell>
          <cell r="N272" t="str">
            <v>D.F.</v>
          </cell>
          <cell r="O272">
            <v>3</v>
          </cell>
          <cell r="U272" t="str">
            <v>X</v>
          </cell>
          <cell r="AH272">
            <v>1996</v>
          </cell>
          <cell r="AI272">
            <v>630000</v>
          </cell>
          <cell r="AT272" t="str">
            <v>INTERNATIONAL</v>
          </cell>
          <cell r="AV272">
            <v>0.5</v>
          </cell>
          <cell r="AX272">
            <v>2.6</v>
          </cell>
          <cell r="BE272">
            <v>10000</v>
          </cell>
          <cell r="BF272">
            <v>20000</v>
          </cell>
          <cell r="BG272">
            <v>30000</v>
          </cell>
          <cell r="BH272">
            <v>170000</v>
          </cell>
          <cell r="BI272">
            <v>30000</v>
          </cell>
          <cell r="BS272" t="str">
            <v>MUEBLES</v>
          </cell>
          <cell r="BV272" t="str">
            <v>X</v>
          </cell>
          <cell r="BX272">
            <v>2</v>
          </cell>
          <cell r="BY272">
            <v>1</v>
          </cell>
          <cell r="BZ272">
            <v>3</v>
          </cell>
          <cell r="DD272">
            <v>3</v>
          </cell>
        </row>
        <row r="273">
          <cell r="F273" t="str">
            <v>X</v>
          </cell>
          <cell r="N273" t="str">
            <v>EDO. MEX.</v>
          </cell>
          <cell r="O273">
            <v>38</v>
          </cell>
          <cell r="Q273" t="str">
            <v>X</v>
          </cell>
          <cell r="U273" t="str">
            <v>X</v>
          </cell>
          <cell r="AH273">
            <v>1990</v>
          </cell>
          <cell r="AI273">
            <v>853500</v>
          </cell>
          <cell r="AT273" t="str">
            <v>CUMMINS</v>
          </cell>
          <cell r="AV273">
            <v>0.5</v>
          </cell>
          <cell r="AX273">
            <v>3.2</v>
          </cell>
          <cell r="BE273">
            <v>6000</v>
          </cell>
          <cell r="BF273">
            <v>30000</v>
          </cell>
          <cell r="BG273">
            <v>25000</v>
          </cell>
          <cell r="BH273">
            <v>81000</v>
          </cell>
          <cell r="BI273">
            <v>25000</v>
          </cell>
          <cell r="BS273" t="str">
            <v>GENERAL</v>
          </cell>
          <cell r="BU273" t="str">
            <v>X</v>
          </cell>
          <cell r="BX273">
            <v>1</v>
          </cell>
          <cell r="BY273">
            <v>3</v>
          </cell>
          <cell r="BZ273">
            <v>2</v>
          </cell>
          <cell r="DD273">
            <v>2</v>
          </cell>
        </row>
        <row r="274">
          <cell r="H274" t="str">
            <v>X</v>
          </cell>
          <cell r="N274" t="str">
            <v>EDO. MEX.</v>
          </cell>
          <cell r="O274">
            <v>26</v>
          </cell>
          <cell r="U274" t="str">
            <v>X</v>
          </cell>
          <cell r="AH274">
            <v>1993</v>
          </cell>
          <cell r="AI274">
            <v>700000</v>
          </cell>
          <cell r="AT274" t="str">
            <v>FREIGHTLINER</v>
          </cell>
          <cell r="AV274">
            <v>0.5</v>
          </cell>
          <cell r="AX274">
            <v>2.5</v>
          </cell>
          <cell r="BE274">
            <v>15000</v>
          </cell>
          <cell r="BF274">
            <v>20000</v>
          </cell>
          <cell r="BG274">
            <v>30000</v>
          </cell>
          <cell r="BH274">
            <v>150000</v>
          </cell>
          <cell r="BI274">
            <v>30000</v>
          </cell>
          <cell r="BS274" t="str">
            <v>GENERAL</v>
          </cell>
          <cell r="BV274" t="str">
            <v>X</v>
          </cell>
          <cell r="CA274" t="str">
            <v>ES LOCAL</v>
          </cell>
          <cell r="DD274">
            <v>7</v>
          </cell>
        </row>
        <row r="275">
          <cell r="F275" t="str">
            <v>X</v>
          </cell>
          <cell r="N275" t="str">
            <v>D.F.</v>
          </cell>
          <cell r="O275">
            <v>5</v>
          </cell>
          <cell r="U275" t="str">
            <v>X</v>
          </cell>
          <cell r="AH275">
            <v>2005</v>
          </cell>
          <cell r="AI275">
            <v>300000</v>
          </cell>
          <cell r="AT275" t="str">
            <v>FORD</v>
          </cell>
          <cell r="AV275">
            <v>0.5</v>
          </cell>
          <cell r="AX275">
            <v>4</v>
          </cell>
          <cell r="BE275">
            <v>20000</v>
          </cell>
          <cell r="BF275">
            <v>24000</v>
          </cell>
          <cell r="BG275">
            <v>60000</v>
          </cell>
          <cell r="BH275">
            <v>28000</v>
          </cell>
          <cell r="BI275" t="str">
            <v>NO APLICA</v>
          </cell>
          <cell r="BS275" t="str">
            <v>GENERAL</v>
          </cell>
          <cell r="BV275" t="str">
            <v>X</v>
          </cell>
          <cell r="CA275" t="str">
            <v>ES LOCAL</v>
          </cell>
          <cell r="DD275">
            <v>2</v>
          </cell>
        </row>
        <row r="276">
          <cell r="G276" t="str">
            <v>X</v>
          </cell>
          <cell r="N276" t="str">
            <v>D.F.</v>
          </cell>
          <cell r="O276">
            <v>10</v>
          </cell>
          <cell r="U276" t="str">
            <v>X</v>
          </cell>
          <cell r="AH276">
            <v>1995</v>
          </cell>
          <cell r="AI276">
            <v>650000</v>
          </cell>
          <cell r="AT276" t="str">
            <v>MERCEDES BENZ</v>
          </cell>
          <cell r="AV276">
            <v>0.5</v>
          </cell>
          <cell r="AX276">
            <v>2.5</v>
          </cell>
          <cell r="BE276">
            <v>10000</v>
          </cell>
          <cell r="BF276">
            <v>8000</v>
          </cell>
          <cell r="BG276">
            <v>30000</v>
          </cell>
          <cell r="BH276">
            <v>120000</v>
          </cell>
          <cell r="BI276">
            <v>30000</v>
          </cell>
          <cell r="BS276" t="str">
            <v>GENERAL</v>
          </cell>
          <cell r="BU276" t="str">
            <v>X</v>
          </cell>
          <cell r="BX276">
            <v>1</v>
          </cell>
          <cell r="BY276">
            <v>3</v>
          </cell>
          <cell r="BZ276">
            <v>2</v>
          </cell>
          <cell r="DD276">
            <v>3</v>
          </cell>
        </row>
        <row r="277">
          <cell r="G277" t="str">
            <v>X</v>
          </cell>
          <cell r="N277" t="str">
            <v>EDO. MEX.</v>
          </cell>
          <cell r="O277">
            <v>23</v>
          </cell>
          <cell r="S277" t="str">
            <v>X</v>
          </cell>
          <cell r="U277" t="str">
            <v>X</v>
          </cell>
          <cell r="AH277">
            <v>1998</v>
          </cell>
          <cell r="AI277">
            <v>1200000</v>
          </cell>
          <cell r="AT277" t="str">
            <v>KENWORTH</v>
          </cell>
          <cell r="AV277">
            <v>0.5</v>
          </cell>
          <cell r="AX277">
            <v>2</v>
          </cell>
          <cell r="BE277">
            <v>16000</v>
          </cell>
          <cell r="BF277">
            <v>10000</v>
          </cell>
          <cell r="BG277">
            <v>30000</v>
          </cell>
          <cell r="BH277">
            <v>220000</v>
          </cell>
          <cell r="BI277">
            <v>30000</v>
          </cell>
          <cell r="BS277" t="str">
            <v>PANTALLAS</v>
          </cell>
          <cell r="BU277" t="str">
            <v>X</v>
          </cell>
          <cell r="BX277">
            <v>3</v>
          </cell>
          <cell r="BY277">
            <v>2</v>
          </cell>
          <cell r="BZ277">
            <v>1</v>
          </cell>
          <cell r="DD277">
            <v>3</v>
          </cell>
        </row>
        <row r="278">
          <cell r="F278" t="str">
            <v>X</v>
          </cell>
          <cell r="N278" t="str">
            <v>EDO. MEX.</v>
          </cell>
          <cell r="O278">
            <v>43</v>
          </cell>
          <cell r="S278" t="str">
            <v>X</v>
          </cell>
          <cell r="U278" t="str">
            <v>X</v>
          </cell>
          <cell r="AH278">
            <v>1986</v>
          </cell>
          <cell r="AI278">
            <v>1500000</v>
          </cell>
          <cell r="AT278" t="str">
            <v>FREIGHTLINER</v>
          </cell>
          <cell r="AV278">
            <v>0.5</v>
          </cell>
          <cell r="AX278">
            <v>2</v>
          </cell>
          <cell r="BE278">
            <v>12000</v>
          </cell>
          <cell r="BF278">
            <v>6000</v>
          </cell>
          <cell r="BG278">
            <v>30000</v>
          </cell>
          <cell r="BH278">
            <v>120000</v>
          </cell>
          <cell r="BI278">
            <v>30000</v>
          </cell>
          <cell r="BS278" t="str">
            <v>GENERAL</v>
          </cell>
          <cell r="BV278" t="str">
            <v>X</v>
          </cell>
          <cell r="BX278">
            <v>2</v>
          </cell>
          <cell r="BY278">
            <v>3</v>
          </cell>
          <cell r="BZ278">
            <v>1</v>
          </cell>
          <cell r="DD278">
            <v>2</v>
          </cell>
        </row>
        <row r="279">
          <cell r="G279" t="str">
            <v>X</v>
          </cell>
          <cell r="N279" t="str">
            <v>EDO. MEX.</v>
          </cell>
          <cell r="O279">
            <v>32</v>
          </cell>
          <cell r="Q279" t="str">
            <v>X</v>
          </cell>
          <cell r="U279" t="str">
            <v>X</v>
          </cell>
          <cell r="AH279">
            <v>1988</v>
          </cell>
          <cell r="AI279">
            <v>1250000</v>
          </cell>
          <cell r="AT279" t="str">
            <v>INTERNATIONAL</v>
          </cell>
          <cell r="AV279">
            <v>0.5</v>
          </cell>
          <cell r="AX279">
            <v>2.5</v>
          </cell>
          <cell r="BE279">
            <v>6000</v>
          </cell>
          <cell r="BF279">
            <v>10000</v>
          </cell>
          <cell r="BG279">
            <v>40000</v>
          </cell>
          <cell r="BH279">
            <v>90000</v>
          </cell>
          <cell r="BI279">
            <v>40000</v>
          </cell>
          <cell r="BS279" t="str">
            <v>GENERAL</v>
          </cell>
          <cell r="BU279" t="str">
            <v>X</v>
          </cell>
          <cell r="BX279">
            <v>1</v>
          </cell>
          <cell r="BY279">
            <v>3</v>
          </cell>
          <cell r="BZ279">
            <v>2</v>
          </cell>
          <cell r="DD279">
            <v>3</v>
          </cell>
        </row>
        <row r="280">
          <cell r="G280" t="str">
            <v>X</v>
          </cell>
          <cell r="N280" t="str">
            <v>D.F.</v>
          </cell>
          <cell r="O280">
            <v>12</v>
          </cell>
          <cell r="Q280" t="str">
            <v>X</v>
          </cell>
          <cell r="U280" t="str">
            <v>X</v>
          </cell>
          <cell r="AH280">
            <v>1990</v>
          </cell>
          <cell r="AI280">
            <v>950000</v>
          </cell>
          <cell r="AT280" t="str">
            <v>INTERNATIONAL</v>
          </cell>
          <cell r="AV280">
            <v>0.5</v>
          </cell>
          <cell r="AX280">
            <v>2.1</v>
          </cell>
          <cell r="BE280">
            <v>15000</v>
          </cell>
          <cell r="BF280">
            <v>10000</v>
          </cell>
          <cell r="BG280">
            <v>35000</v>
          </cell>
          <cell r="BH280">
            <v>200000</v>
          </cell>
          <cell r="BI280">
            <v>35000</v>
          </cell>
          <cell r="BS280" t="str">
            <v>MUEBLES</v>
          </cell>
          <cell r="BV280" t="str">
            <v>X</v>
          </cell>
          <cell r="BX280">
            <v>1</v>
          </cell>
          <cell r="BY280">
            <v>2</v>
          </cell>
          <cell r="BZ280">
            <v>3</v>
          </cell>
          <cell r="DD280">
            <v>3</v>
          </cell>
        </row>
        <row r="281">
          <cell r="F281" t="str">
            <v>X</v>
          </cell>
          <cell r="N281" t="str">
            <v>NAYARIT</v>
          </cell>
          <cell r="O281">
            <v>7</v>
          </cell>
          <cell r="S281" t="str">
            <v>X</v>
          </cell>
          <cell r="U281" t="str">
            <v>X</v>
          </cell>
          <cell r="AH281">
            <v>1998</v>
          </cell>
          <cell r="AI281">
            <v>973815</v>
          </cell>
          <cell r="AT281" t="str">
            <v>CUMMINS</v>
          </cell>
          <cell r="AV281">
            <v>0.1</v>
          </cell>
          <cell r="AX281">
            <v>2.4</v>
          </cell>
          <cell r="BE281">
            <v>18000</v>
          </cell>
          <cell r="BF281" t="str">
            <v>NO SABE</v>
          </cell>
          <cell r="BG281">
            <v>27000</v>
          </cell>
          <cell r="BH281">
            <v>100000</v>
          </cell>
          <cell r="BI281" t="str">
            <v>NO SABE</v>
          </cell>
          <cell r="BK281" t="str">
            <v>X</v>
          </cell>
          <cell r="BU281" t="str">
            <v>X</v>
          </cell>
          <cell r="BX281">
            <v>1</v>
          </cell>
          <cell r="BY281">
            <v>2</v>
          </cell>
          <cell r="BZ281">
            <v>3</v>
          </cell>
          <cell r="DD281">
            <v>2</v>
          </cell>
        </row>
        <row r="282">
          <cell r="H282" t="str">
            <v>X</v>
          </cell>
          <cell r="N282" t="str">
            <v>B. CALIFORNIA</v>
          </cell>
          <cell r="O282">
            <v>20</v>
          </cell>
          <cell r="S282" t="str">
            <v>X</v>
          </cell>
          <cell r="V282" t="str">
            <v>X</v>
          </cell>
          <cell r="AH282">
            <v>2007</v>
          </cell>
          <cell r="AI282">
            <v>618923</v>
          </cell>
          <cell r="AT282" t="str">
            <v>CUMMINS</v>
          </cell>
          <cell r="AV282">
            <v>0.5</v>
          </cell>
          <cell r="AX282">
            <v>2.5</v>
          </cell>
          <cell r="BE282">
            <v>18000</v>
          </cell>
          <cell r="BF282">
            <v>240000</v>
          </cell>
          <cell r="BG282">
            <v>36000</v>
          </cell>
          <cell r="BH282">
            <v>120000</v>
          </cell>
          <cell r="BI282" t="str">
            <v>NO SABE</v>
          </cell>
          <cell r="BQ282" t="str">
            <v>X</v>
          </cell>
          <cell r="BU282" t="str">
            <v>X</v>
          </cell>
          <cell r="BX282">
            <v>1</v>
          </cell>
          <cell r="BY282">
            <v>3</v>
          </cell>
          <cell r="BZ282">
            <v>2</v>
          </cell>
          <cell r="DD282">
            <v>7</v>
          </cell>
        </row>
        <row r="283">
          <cell r="E283" t="str">
            <v>X</v>
          </cell>
          <cell r="N283" t="str">
            <v>JALISCO</v>
          </cell>
          <cell r="O283">
            <v>3</v>
          </cell>
          <cell r="AH283">
            <v>1997</v>
          </cell>
          <cell r="AI283" t="str">
            <v>DAÑADO</v>
          </cell>
          <cell r="AT283" t="str">
            <v>CHEVROLET</v>
          </cell>
          <cell r="AV283">
            <v>0.5</v>
          </cell>
          <cell r="AX283">
            <v>4.2</v>
          </cell>
          <cell r="BE283">
            <v>20000</v>
          </cell>
          <cell r="BF283" t="str">
            <v>NO SABE</v>
          </cell>
          <cell r="BG283">
            <v>20000</v>
          </cell>
          <cell r="BH283" t="str">
            <v>NO SABE</v>
          </cell>
          <cell r="BI283" t="str">
            <v>NO APLICA</v>
          </cell>
          <cell r="BO283" t="str">
            <v>X</v>
          </cell>
          <cell r="BU283" t="str">
            <v>X</v>
          </cell>
          <cell r="BX283">
            <v>3</v>
          </cell>
          <cell r="BY283">
            <v>2</v>
          </cell>
          <cell r="BZ283">
            <v>1</v>
          </cell>
          <cell r="DD283">
            <v>1</v>
          </cell>
        </row>
        <row r="284">
          <cell r="G284" t="str">
            <v>X</v>
          </cell>
          <cell r="N284" t="str">
            <v>VERACRUZ</v>
          </cell>
          <cell r="O284">
            <v>29</v>
          </cell>
          <cell r="Q284" t="str">
            <v>X</v>
          </cell>
          <cell r="AH284">
            <v>2000</v>
          </cell>
          <cell r="AI284">
            <v>937616</v>
          </cell>
          <cell r="AT284" t="str">
            <v>CUMMINS</v>
          </cell>
          <cell r="AV284">
            <v>0.2</v>
          </cell>
          <cell r="AX284">
            <v>3.1</v>
          </cell>
          <cell r="BE284">
            <v>24000</v>
          </cell>
          <cell r="BF284">
            <v>180000</v>
          </cell>
          <cell r="BG284">
            <v>24000</v>
          </cell>
          <cell r="BH284">
            <v>120000</v>
          </cell>
          <cell r="BI284" t="str">
            <v>NO SABE</v>
          </cell>
          <cell r="BK284" t="str">
            <v>X</v>
          </cell>
          <cell r="BO284" t="str">
            <v>X</v>
          </cell>
          <cell r="BU284" t="str">
            <v>X</v>
          </cell>
          <cell r="BX284">
            <v>1</v>
          </cell>
          <cell r="BY284">
            <v>2</v>
          </cell>
          <cell r="BZ284">
            <v>3</v>
          </cell>
          <cell r="DD284">
            <v>3</v>
          </cell>
        </row>
        <row r="285">
          <cell r="G285" t="str">
            <v>X</v>
          </cell>
          <cell r="N285" t="str">
            <v>VERACRUZ</v>
          </cell>
          <cell r="O285">
            <v>33</v>
          </cell>
          <cell r="Q285" t="str">
            <v>X</v>
          </cell>
          <cell r="AH285">
            <v>1997</v>
          </cell>
          <cell r="AI285" t="str">
            <v>DAÑADO</v>
          </cell>
          <cell r="AT285" t="str">
            <v>DETROIT</v>
          </cell>
          <cell r="AV285">
            <v>0.1</v>
          </cell>
          <cell r="AX285">
            <v>2.9</v>
          </cell>
          <cell r="BE285">
            <v>30000</v>
          </cell>
          <cell r="BF285" t="str">
            <v>NO SABE</v>
          </cell>
          <cell r="BG285">
            <v>30000</v>
          </cell>
          <cell r="BH285" t="str">
            <v>NO SABE</v>
          </cell>
          <cell r="BI285" t="str">
            <v>NO SABE</v>
          </cell>
          <cell r="BK285" t="str">
            <v>X</v>
          </cell>
          <cell r="BO285" t="str">
            <v>X</v>
          </cell>
          <cell r="BT285" t="str">
            <v>X</v>
          </cell>
          <cell r="BX285">
            <v>3</v>
          </cell>
          <cell r="BY285">
            <v>1</v>
          </cell>
          <cell r="BZ285">
            <v>2</v>
          </cell>
          <cell r="DD285">
            <v>3</v>
          </cell>
        </row>
        <row r="286">
          <cell r="E286" t="str">
            <v>X</v>
          </cell>
          <cell r="N286" t="str">
            <v>JALISCO</v>
          </cell>
          <cell r="O286">
            <v>11</v>
          </cell>
          <cell r="Q286" t="str">
            <v>X</v>
          </cell>
          <cell r="U286" t="str">
            <v>X</v>
          </cell>
          <cell r="AH286">
            <v>2001</v>
          </cell>
          <cell r="AI286">
            <v>917890</v>
          </cell>
          <cell r="AT286" t="str">
            <v>CUMMINS</v>
          </cell>
          <cell r="AV286">
            <v>0.5</v>
          </cell>
          <cell r="AX286">
            <v>3.2</v>
          </cell>
          <cell r="BE286">
            <v>30000</v>
          </cell>
          <cell r="BF286" t="str">
            <v>NO SABE</v>
          </cell>
          <cell r="BG286">
            <v>30000</v>
          </cell>
          <cell r="BH286" t="str">
            <v>NO SABE</v>
          </cell>
          <cell r="BI286" t="str">
            <v>NO SABE</v>
          </cell>
          <cell r="BK286" t="str">
            <v>X</v>
          </cell>
          <cell r="BU286" t="str">
            <v>X</v>
          </cell>
          <cell r="BX286">
            <v>1</v>
          </cell>
          <cell r="BY286">
            <v>3</v>
          </cell>
          <cell r="BZ286">
            <v>2</v>
          </cell>
          <cell r="DD286">
            <v>1</v>
          </cell>
        </row>
        <row r="287">
          <cell r="G287" t="str">
            <v>X</v>
          </cell>
          <cell r="N287" t="str">
            <v>GUANAJUATO</v>
          </cell>
          <cell r="O287">
            <v>23</v>
          </cell>
          <cell r="Q287" t="str">
            <v>X</v>
          </cell>
          <cell r="U287" t="str">
            <v>X</v>
          </cell>
          <cell r="AH287">
            <v>2006</v>
          </cell>
          <cell r="AI287">
            <v>746922</v>
          </cell>
          <cell r="AT287" t="str">
            <v>CUMMINS</v>
          </cell>
          <cell r="AV287">
            <v>0.05</v>
          </cell>
          <cell r="AX287">
            <v>3.2</v>
          </cell>
          <cell r="BE287">
            <v>24000</v>
          </cell>
          <cell r="BF287">
            <v>240000</v>
          </cell>
          <cell r="BG287">
            <v>24000</v>
          </cell>
          <cell r="BH287">
            <v>120000</v>
          </cell>
          <cell r="BI287" t="str">
            <v>NO SABE</v>
          </cell>
          <cell r="BK287" t="str">
            <v>X</v>
          </cell>
          <cell r="BO287" t="str">
            <v>X</v>
          </cell>
          <cell r="BV287" t="str">
            <v>X</v>
          </cell>
          <cell r="BX287">
            <v>1</v>
          </cell>
          <cell r="BY287">
            <v>2</v>
          </cell>
          <cell r="BZ287">
            <v>3</v>
          </cell>
          <cell r="DD287">
            <v>3</v>
          </cell>
        </row>
        <row r="288">
          <cell r="G288" t="str">
            <v>X</v>
          </cell>
          <cell r="N288" t="str">
            <v>SONORA</v>
          </cell>
          <cell r="O288">
            <v>33</v>
          </cell>
          <cell r="S288" t="str">
            <v>X</v>
          </cell>
          <cell r="U288" t="str">
            <v>X</v>
          </cell>
          <cell r="AH288">
            <v>2004</v>
          </cell>
          <cell r="AI288">
            <v>973600</v>
          </cell>
          <cell r="AT288" t="str">
            <v>DETROIT</v>
          </cell>
          <cell r="AV288">
            <v>0.05</v>
          </cell>
          <cell r="AX288">
            <v>2.4</v>
          </cell>
          <cell r="BE288">
            <v>20000</v>
          </cell>
          <cell r="BF288">
            <v>240000</v>
          </cell>
          <cell r="BG288">
            <v>20000</v>
          </cell>
          <cell r="BH288">
            <v>120000</v>
          </cell>
          <cell r="BI288" t="str">
            <v>NO SABE</v>
          </cell>
          <cell r="BJ288" t="str">
            <v>X</v>
          </cell>
          <cell r="BK288" t="str">
            <v>X</v>
          </cell>
          <cell r="BV288" t="str">
            <v>X</v>
          </cell>
          <cell r="BX288">
            <v>1</v>
          </cell>
          <cell r="BY288">
            <v>3</v>
          </cell>
          <cell r="BZ288">
            <v>2</v>
          </cell>
          <cell r="DD288">
            <v>3</v>
          </cell>
        </row>
        <row r="289">
          <cell r="E289" t="str">
            <v>X</v>
          </cell>
          <cell r="N289" t="str">
            <v>EDO. MEX.</v>
          </cell>
          <cell r="O289">
            <v>11</v>
          </cell>
          <cell r="S289" t="str">
            <v>X</v>
          </cell>
          <cell r="U289" t="str">
            <v>X</v>
          </cell>
          <cell r="AH289">
            <v>2003</v>
          </cell>
          <cell r="AI289">
            <v>803973</v>
          </cell>
          <cell r="AT289" t="str">
            <v>DETROIT</v>
          </cell>
          <cell r="AV289">
            <v>0.1</v>
          </cell>
          <cell r="AX289">
            <v>2.4</v>
          </cell>
          <cell r="BE289">
            <v>17000</v>
          </cell>
          <cell r="BF289" t="str">
            <v>NO SABE</v>
          </cell>
          <cell r="BG289">
            <v>35000</v>
          </cell>
          <cell r="BH289">
            <v>100000</v>
          </cell>
          <cell r="BI289" t="str">
            <v>NO SABE</v>
          </cell>
          <cell r="BK289" t="str">
            <v>X</v>
          </cell>
          <cell r="BU289" t="str">
            <v>X</v>
          </cell>
          <cell r="BX289">
            <v>2</v>
          </cell>
          <cell r="BY289">
            <v>3</v>
          </cell>
          <cell r="BZ289">
            <v>1</v>
          </cell>
          <cell r="DD289">
            <v>1</v>
          </cell>
        </row>
        <row r="290">
          <cell r="H290" t="str">
            <v>X</v>
          </cell>
          <cell r="N290" t="str">
            <v>GUANAJUATO</v>
          </cell>
          <cell r="O290">
            <v>32</v>
          </cell>
          <cell r="S290" t="str">
            <v>X</v>
          </cell>
          <cell r="U290" t="str">
            <v>X</v>
          </cell>
          <cell r="AH290">
            <v>2008</v>
          </cell>
          <cell r="AI290">
            <v>615371</v>
          </cell>
          <cell r="AT290" t="str">
            <v>CUMMINS</v>
          </cell>
          <cell r="AV290">
            <v>0.05</v>
          </cell>
          <cell r="AX290">
            <v>2.4</v>
          </cell>
          <cell r="BE290">
            <v>18000</v>
          </cell>
          <cell r="BF290">
            <v>240000</v>
          </cell>
          <cell r="BG290">
            <v>36000</v>
          </cell>
          <cell r="BH290">
            <v>120000</v>
          </cell>
          <cell r="BI290" t="str">
            <v>NO SABE</v>
          </cell>
          <cell r="BK290" t="str">
            <v>X</v>
          </cell>
          <cell r="BV290" t="str">
            <v>X</v>
          </cell>
          <cell r="BX290">
            <v>1</v>
          </cell>
          <cell r="BY290">
            <v>3</v>
          </cell>
          <cell r="BZ290">
            <v>2</v>
          </cell>
          <cell r="DD290">
            <v>7</v>
          </cell>
        </row>
        <row r="291">
          <cell r="F291" t="str">
            <v>X</v>
          </cell>
          <cell r="N291" t="str">
            <v>DURANGO</v>
          </cell>
          <cell r="O291">
            <v>20</v>
          </cell>
          <cell r="Q291" t="str">
            <v>X</v>
          </cell>
          <cell r="AH291">
            <v>1997</v>
          </cell>
          <cell r="AI291">
            <v>881752</v>
          </cell>
          <cell r="AT291" t="str">
            <v>CATERPILLAR</v>
          </cell>
          <cell r="AV291">
            <v>0.1</v>
          </cell>
          <cell r="AX291">
            <v>3.1</v>
          </cell>
          <cell r="BE291">
            <v>24000</v>
          </cell>
          <cell r="BF291" t="str">
            <v>NO SABE</v>
          </cell>
          <cell r="BG291">
            <v>24000</v>
          </cell>
          <cell r="BH291" t="str">
            <v>NO SABE</v>
          </cell>
          <cell r="BI291" t="str">
            <v>NO SABE</v>
          </cell>
          <cell r="BJ291" t="str">
            <v>X</v>
          </cell>
          <cell r="BO291" t="str">
            <v>X</v>
          </cell>
          <cell r="BV291" t="str">
            <v>X</v>
          </cell>
          <cell r="BX291">
            <v>1</v>
          </cell>
          <cell r="BY291">
            <v>3</v>
          </cell>
          <cell r="BZ291">
            <v>2</v>
          </cell>
          <cell r="DD291">
            <v>2</v>
          </cell>
        </row>
        <row r="292">
          <cell r="G292" t="str">
            <v>X</v>
          </cell>
          <cell r="N292" t="str">
            <v>JALISCO</v>
          </cell>
          <cell r="O292">
            <v>10</v>
          </cell>
          <cell r="Q292" t="str">
            <v>X</v>
          </cell>
          <cell r="AH292">
            <v>1999</v>
          </cell>
          <cell r="AI292">
            <v>763415</v>
          </cell>
          <cell r="AT292" t="str">
            <v>CUMMINS</v>
          </cell>
          <cell r="AV292">
            <v>0.5</v>
          </cell>
          <cell r="AX292">
            <v>3.2</v>
          </cell>
          <cell r="BE292">
            <v>24000</v>
          </cell>
          <cell r="BF292">
            <v>180000</v>
          </cell>
          <cell r="BG292">
            <v>24000</v>
          </cell>
          <cell r="BH292">
            <v>100000</v>
          </cell>
          <cell r="BI292" t="str">
            <v>NO SABE</v>
          </cell>
          <cell r="BJ292" t="str">
            <v>X</v>
          </cell>
          <cell r="BO292" t="str">
            <v>X</v>
          </cell>
          <cell r="BV292" t="str">
            <v>X</v>
          </cell>
          <cell r="BX292">
            <v>1</v>
          </cell>
          <cell r="BY292">
            <v>3</v>
          </cell>
          <cell r="BZ292">
            <v>2</v>
          </cell>
          <cell r="DD292">
            <v>3</v>
          </cell>
        </row>
        <row r="293">
          <cell r="H293" t="str">
            <v>X</v>
          </cell>
          <cell r="N293" t="str">
            <v>GUANAJUATO</v>
          </cell>
          <cell r="O293">
            <v>22</v>
          </cell>
          <cell r="S293" t="str">
            <v>X</v>
          </cell>
          <cell r="U293" t="str">
            <v>X</v>
          </cell>
          <cell r="AH293">
            <v>2009</v>
          </cell>
          <cell r="AI293">
            <v>323892</v>
          </cell>
          <cell r="AT293" t="str">
            <v>CUMMINS</v>
          </cell>
          <cell r="AV293">
            <v>0.5</v>
          </cell>
          <cell r="AX293">
            <v>2.4</v>
          </cell>
          <cell r="BE293">
            <v>18000</v>
          </cell>
          <cell r="BF293">
            <v>180000</v>
          </cell>
          <cell r="BG293">
            <v>24000</v>
          </cell>
          <cell r="BH293">
            <v>120000</v>
          </cell>
          <cell r="BI293" t="str">
            <v>NO SABE</v>
          </cell>
          <cell r="BK293" t="str">
            <v>X</v>
          </cell>
          <cell r="BN293" t="str">
            <v>X</v>
          </cell>
          <cell r="BU293" t="str">
            <v>X</v>
          </cell>
          <cell r="BX293">
            <v>1</v>
          </cell>
          <cell r="BY293">
            <v>3</v>
          </cell>
          <cell r="BZ293">
            <v>2</v>
          </cell>
          <cell r="DD293">
            <v>7</v>
          </cell>
        </row>
        <row r="294">
          <cell r="G294" t="str">
            <v>X</v>
          </cell>
          <cell r="N294" t="str">
            <v>TAMAULIPAS</v>
          </cell>
          <cell r="O294">
            <v>17</v>
          </cell>
          <cell r="S294" t="str">
            <v>X</v>
          </cell>
          <cell r="V294" t="str">
            <v>X</v>
          </cell>
          <cell r="AH294">
            <v>2007</v>
          </cell>
          <cell r="AI294">
            <v>536789</v>
          </cell>
          <cell r="AT294" t="str">
            <v>DETROIT</v>
          </cell>
          <cell r="AV294">
            <v>0.5</v>
          </cell>
          <cell r="AX294">
            <v>2.5</v>
          </cell>
          <cell r="BE294">
            <v>24000</v>
          </cell>
          <cell r="BF294">
            <v>240000</v>
          </cell>
          <cell r="BG294">
            <v>24000</v>
          </cell>
          <cell r="BH294">
            <v>120000</v>
          </cell>
          <cell r="BI294" t="str">
            <v>NO SABE</v>
          </cell>
          <cell r="BJ294" t="str">
            <v>X</v>
          </cell>
          <cell r="BQ294" t="str">
            <v>X</v>
          </cell>
          <cell r="BU294" t="str">
            <v>X</v>
          </cell>
          <cell r="BX294">
            <v>1</v>
          </cell>
          <cell r="BY294">
            <v>2</v>
          </cell>
          <cell r="BZ294">
            <v>3</v>
          </cell>
          <cell r="DD294">
            <v>3</v>
          </cell>
        </row>
        <row r="295">
          <cell r="F295" t="str">
            <v>X</v>
          </cell>
          <cell r="N295" t="str">
            <v>COLIMA</v>
          </cell>
          <cell r="O295">
            <v>29</v>
          </cell>
          <cell r="S295" t="str">
            <v>X</v>
          </cell>
          <cell r="AH295">
            <v>2007</v>
          </cell>
          <cell r="AI295">
            <v>726430</v>
          </cell>
          <cell r="AT295" t="str">
            <v>CUMMINS</v>
          </cell>
          <cell r="AV295">
            <v>0.5</v>
          </cell>
          <cell r="AX295">
            <v>1.6</v>
          </cell>
          <cell r="BE295">
            <v>20000</v>
          </cell>
          <cell r="BF295">
            <v>240000</v>
          </cell>
          <cell r="BG295">
            <v>20000</v>
          </cell>
          <cell r="BH295">
            <v>120000</v>
          </cell>
          <cell r="BI295" t="str">
            <v>NO SABE</v>
          </cell>
          <cell r="BS295" t="str">
            <v>CONTENEDORES</v>
          </cell>
          <cell r="BV295" t="str">
            <v>X</v>
          </cell>
          <cell r="BX295">
            <v>1</v>
          </cell>
          <cell r="BY295">
            <v>3</v>
          </cell>
          <cell r="BZ295">
            <v>2</v>
          </cell>
          <cell r="DD295">
            <v>2</v>
          </cell>
        </row>
        <row r="296">
          <cell r="E296" t="str">
            <v>X</v>
          </cell>
          <cell r="N296" t="str">
            <v>PUEBLA</v>
          </cell>
          <cell r="O296">
            <v>5</v>
          </cell>
          <cell r="U296" t="str">
            <v>X</v>
          </cell>
          <cell r="AH296">
            <v>2005</v>
          </cell>
          <cell r="AI296">
            <v>471032</v>
          </cell>
          <cell r="AT296" t="str">
            <v>CHEVROLET</v>
          </cell>
          <cell r="AV296">
            <v>0.1</v>
          </cell>
          <cell r="AX296">
            <v>4.7</v>
          </cell>
          <cell r="BE296">
            <v>20000</v>
          </cell>
          <cell r="BF296" t="str">
            <v>NO SABE</v>
          </cell>
          <cell r="BG296">
            <v>30000</v>
          </cell>
          <cell r="BH296">
            <v>100000</v>
          </cell>
          <cell r="BI296" t="str">
            <v>NO SABE</v>
          </cell>
          <cell r="BK296" t="str">
            <v>X</v>
          </cell>
          <cell r="BN296" t="str">
            <v>X</v>
          </cell>
          <cell r="BU296" t="str">
            <v>X</v>
          </cell>
          <cell r="BX296">
            <v>1</v>
          </cell>
          <cell r="BY296">
            <v>2</v>
          </cell>
          <cell r="BZ296">
            <v>3</v>
          </cell>
          <cell r="DD296">
            <v>1</v>
          </cell>
        </row>
        <row r="297">
          <cell r="F297" t="str">
            <v>X</v>
          </cell>
          <cell r="N297" t="str">
            <v>SAN LUIS POTOSI</v>
          </cell>
          <cell r="O297">
            <v>4</v>
          </cell>
          <cell r="S297" t="str">
            <v>X</v>
          </cell>
          <cell r="U297" t="str">
            <v>X</v>
          </cell>
          <cell r="AH297">
            <v>2006</v>
          </cell>
          <cell r="AI297">
            <v>637902</v>
          </cell>
          <cell r="AT297" t="str">
            <v>CUMMINS</v>
          </cell>
          <cell r="AV297">
            <v>0.05</v>
          </cell>
          <cell r="AX297">
            <v>2.5</v>
          </cell>
          <cell r="BE297">
            <v>24000</v>
          </cell>
          <cell r="BF297" t="str">
            <v>NO SABE</v>
          </cell>
          <cell r="BG297">
            <v>24000</v>
          </cell>
          <cell r="BH297">
            <v>120000</v>
          </cell>
          <cell r="BI297" t="str">
            <v>NO SABE</v>
          </cell>
          <cell r="BK297" t="str">
            <v>X</v>
          </cell>
          <cell r="BO297" t="str">
            <v>X</v>
          </cell>
          <cell r="BV297" t="str">
            <v>X</v>
          </cell>
          <cell r="BX297">
            <v>1</v>
          </cell>
          <cell r="BY297">
            <v>3</v>
          </cell>
          <cell r="BZ297">
            <v>2</v>
          </cell>
          <cell r="DD297">
            <v>2</v>
          </cell>
        </row>
        <row r="298">
          <cell r="G298" t="str">
            <v>X</v>
          </cell>
          <cell r="N298" t="str">
            <v>JALISCO</v>
          </cell>
          <cell r="O298">
            <v>20</v>
          </cell>
          <cell r="S298" t="str">
            <v>X</v>
          </cell>
          <cell r="U298" t="str">
            <v>X</v>
          </cell>
          <cell r="AH298">
            <v>2005</v>
          </cell>
          <cell r="AI298">
            <v>630244</v>
          </cell>
          <cell r="AT298" t="str">
            <v>DETROIT</v>
          </cell>
          <cell r="AV298">
            <v>0.5</v>
          </cell>
          <cell r="AX298">
            <v>2.5</v>
          </cell>
          <cell r="BE298">
            <v>18000</v>
          </cell>
          <cell r="BF298">
            <v>200000</v>
          </cell>
          <cell r="BG298">
            <v>25000</v>
          </cell>
          <cell r="BH298">
            <v>100000</v>
          </cell>
          <cell r="BI298" t="str">
            <v>NO SABE</v>
          </cell>
          <cell r="BK298" t="str">
            <v>X</v>
          </cell>
          <cell r="BN298" t="str">
            <v>X</v>
          </cell>
          <cell r="BV298" t="str">
            <v>X</v>
          </cell>
          <cell r="BX298">
            <v>1</v>
          </cell>
          <cell r="BY298">
            <v>3</v>
          </cell>
          <cell r="BZ298">
            <v>2</v>
          </cell>
          <cell r="DD298">
            <v>3</v>
          </cell>
        </row>
        <row r="299">
          <cell r="G299" t="str">
            <v>X</v>
          </cell>
          <cell r="N299" t="str">
            <v>COLIMA</v>
          </cell>
          <cell r="O299">
            <v>7</v>
          </cell>
          <cell r="Q299" t="str">
            <v>X</v>
          </cell>
          <cell r="AH299">
            <v>1995</v>
          </cell>
          <cell r="AI299">
            <v>793611</v>
          </cell>
          <cell r="AT299" t="str">
            <v>MERCEDES BENZ</v>
          </cell>
          <cell r="AV299">
            <v>0.2</v>
          </cell>
          <cell r="AX299">
            <v>3</v>
          </cell>
          <cell r="BE299">
            <v>30000</v>
          </cell>
          <cell r="BF299" t="str">
            <v>NO SABE</v>
          </cell>
          <cell r="BG299">
            <v>30000</v>
          </cell>
          <cell r="BH299" t="str">
            <v>NO SABE</v>
          </cell>
          <cell r="BI299" t="str">
            <v>NO SABE</v>
          </cell>
          <cell r="BJ299" t="str">
            <v>X</v>
          </cell>
          <cell r="BV299" t="str">
            <v>X</v>
          </cell>
          <cell r="BX299">
            <v>1</v>
          </cell>
          <cell r="BY299">
            <v>3</v>
          </cell>
          <cell r="BZ299">
            <v>2</v>
          </cell>
          <cell r="DD299">
            <v>3</v>
          </cell>
        </row>
        <row r="300">
          <cell r="G300" t="str">
            <v>X</v>
          </cell>
          <cell r="N300" t="str">
            <v>JALISCO</v>
          </cell>
          <cell r="O300">
            <v>33</v>
          </cell>
          <cell r="S300" t="str">
            <v>X</v>
          </cell>
          <cell r="U300" t="str">
            <v>X</v>
          </cell>
          <cell r="AH300">
            <v>2001</v>
          </cell>
          <cell r="AI300">
            <v>868321</v>
          </cell>
          <cell r="AT300" t="str">
            <v>CUMMINS</v>
          </cell>
          <cell r="AV300">
            <v>0.2</v>
          </cell>
          <cell r="AX300">
            <v>2.4</v>
          </cell>
          <cell r="BE300">
            <v>20000</v>
          </cell>
          <cell r="BF300" t="str">
            <v>NO SABE</v>
          </cell>
          <cell r="BG300">
            <v>20000</v>
          </cell>
          <cell r="BH300">
            <v>100000</v>
          </cell>
          <cell r="BI300" t="str">
            <v>NO SABE</v>
          </cell>
          <cell r="BK300" t="str">
            <v>X</v>
          </cell>
          <cell r="BU300" t="str">
            <v>X</v>
          </cell>
          <cell r="BX300">
            <v>1</v>
          </cell>
          <cell r="BY300">
            <v>3</v>
          </cell>
          <cell r="BZ300">
            <v>2</v>
          </cell>
          <cell r="DD300">
            <v>3</v>
          </cell>
        </row>
        <row r="301">
          <cell r="E301" t="str">
            <v>X</v>
          </cell>
          <cell r="N301" t="str">
            <v>PUEBLA</v>
          </cell>
          <cell r="O301">
            <v>40</v>
          </cell>
          <cell r="Q301" t="str">
            <v>X</v>
          </cell>
          <cell r="AH301">
            <v>1987</v>
          </cell>
          <cell r="AI301" t="str">
            <v>DAÑADO</v>
          </cell>
          <cell r="AT301" t="str">
            <v>MERCEDES BENZ</v>
          </cell>
          <cell r="AV301">
            <v>0.1</v>
          </cell>
          <cell r="AX301">
            <v>3</v>
          </cell>
          <cell r="BE301">
            <v>30000</v>
          </cell>
          <cell r="BF301" t="str">
            <v>NO SABE</v>
          </cell>
          <cell r="BG301">
            <v>30000</v>
          </cell>
          <cell r="BH301" t="str">
            <v>NO SABE</v>
          </cell>
          <cell r="BI301" t="str">
            <v>NO SABE</v>
          </cell>
          <cell r="BJ301" t="str">
            <v>X</v>
          </cell>
          <cell r="BO301" t="str">
            <v>X</v>
          </cell>
          <cell r="BT301" t="str">
            <v>X</v>
          </cell>
          <cell r="BX301">
            <v>3</v>
          </cell>
          <cell r="BY301">
            <v>1</v>
          </cell>
          <cell r="BZ301">
            <v>2</v>
          </cell>
          <cell r="DD301">
            <v>1</v>
          </cell>
        </row>
        <row r="302">
          <cell r="H302" t="str">
            <v>X</v>
          </cell>
          <cell r="N302" t="str">
            <v>VERACRUZ</v>
          </cell>
          <cell r="O302">
            <v>11</v>
          </cell>
          <cell r="S302" t="str">
            <v>X</v>
          </cell>
          <cell r="U302" t="str">
            <v>X</v>
          </cell>
          <cell r="AH302">
            <v>2007</v>
          </cell>
          <cell r="AI302">
            <v>598301</v>
          </cell>
          <cell r="AT302" t="str">
            <v>CUMMINS</v>
          </cell>
          <cell r="AV302">
            <v>0.05</v>
          </cell>
          <cell r="AX302">
            <v>2.5</v>
          </cell>
          <cell r="BE302">
            <v>24000</v>
          </cell>
          <cell r="BF302">
            <v>200000</v>
          </cell>
          <cell r="BG302">
            <v>24000</v>
          </cell>
          <cell r="BH302">
            <v>120000</v>
          </cell>
          <cell r="BI302" t="str">
            <v>NO SABE</v>
          </cell>
          <cell r="BK302" t="str">
            <v>X</v>
          </cell>
          <cell r="BN302" t="str">
            <v>X</v>
          </cell>
          <cell r="BU302" t="str">
            <v>X</v>
          </cell>
          <cell r="BX302">
            <v>1</v>
          </cell>
          <cell r="BY302">
            <v>3</v>
          </cell>
          <cell r="BZ302">
            <v>2</v>
          </cell>
          <cell r="DD302">
            <v>7</v>
          </cell>
        </row>
        <row r="303">
          <cell r="F303" t="str">
            <v>X</v>
          </cell>
          <cell r="N303" t="str">
            <v>COLIMA</v>
          </cell>
          <cell r="O303">
            <v>18</v>
          </cell>
          <cell r="AH303">
            <v>1997</v>
          </cell>
          <cell r="AI303">
            <v>1348215</v>
          </cell>
          <cell r="AT303" t="str">
            <v>FORD</v>
          </cell>
          <cell r="AV303">
            <v>0.1</v>
          </cell>
          <cell r="AX303">
            <v>4</v>
          </cell>
          <cell r="BE303">
            <v>30000</v>
          </cell>
          <cell r="BF303" t="str">
            <v>NO SABE</v>
          </cell>
          <cell r="BG303">
            <v>30000</v>
          </cell>
          <cell r="BH303" t="str">
            <v>NO SABE</v>
          </cell>
          <cell r="BI303" t="str">
            <v>NO APLICA</v>
          </cell>
          <cell r="BJ303" t="str">
            <v>X</v>
          </cell>
          <cell r="BV303" t="str">
            <v>X</v>
          </cell>
          <cell r="BX303">
            <v>1</v>
          </cell>
          <cell r="BY303">
            <v>3</v>
          </cell>
          <cell r="BZ303">
            <v>2</v>
          </cell>
          <cell r="DD303">
            <v>2</v>
          </cell>
        </row>
        <row r="304">
          <cell r="G304" t="str">
            <v>X</v>
          </cell>
          <cell r="N304" t="str">
            <v>SINALOA</v>
          </cell>
          <cell r="O304">
            <v>15</v>
          </cell>
          <cell r="Q304" t="str">
            <v>X</v>
          </cell>
          <cell r="AH304">
            <v>1999</v>
          </cell>
          <cell r="AI304">
            <v>966412</v>
          </cell>
          <cell r="AT304" t="str">
            <v>CUMMINS</v>
          </cell>
          <cell r="AV304">
            <v>0.5</v>
          </cell>
          <cell r="AX304">
            <v>3</v>
          </cell>
          <cell r="BE304" t="str">
            <v>NO CONTESTO</v>
          </cell>
          <cell r="BF304" t="str">
            <v>NO CONTESTO</v>
          </cell>
          <cell r="BG304" t="str">
            <v>NO CONTESTO</v>
          </cell>
          <cell r="BH304" t="str">
            <v>NO CONTESTO</v>
          </cell>
          <cell r="BI304" t="str">
            <v>NO CONTESTO</v>
          </cell>
          <cell r="BS304" t="str">
            <v>NO CONTESTO</v>
          </cell>
          <cell r="BT304" t="str">
            <v>NO CONTESTO</v>
          </cell>
          <cell r="BU304" t="str">
            <v>NO CONTESTO</v>
          </cell>
          <cell r="BV304" t="str">
            <v>NO CONTESTO</v>
          </cell>
          <cell r="BW304" t="str">
            <v>NO CONTESTO</v>
          </cell>
          <cell r="BX304" t="str">
            <v>NO CONTESTO</v>
          </cell>
          <cell r="BY304" t="str">
            <v>NO CONTESTO</v>
          </cell>
          <cell r="BZ304" t="str">
            <v>NO CONTESTO</v>
          </cell>
          <cell r="DD304">
            <v>3</v>
          </cell>
        </row>
        <row r="305">
          <cell r="H305" t="str">
            <v>X</v>
          </cell>
          <cell r="N305" t="str">
            <v>JALISCO</v>
          </cell>
          <cell r="O305">
            <v>6</v>
          </cell>
          <cell r="S305" t="str">
            <v>X</v>
          </cell>
          <cell r="U305" t="str">
            <v>X</v>
          </cell>
          <cell r="AH305">
            <v>2004</v>
          </cell>
          <cell r="AI305">
            <v>874561</v>
          </cell>
          <cell r="AT305" t="str">
            <v>DETROIT</v>
          </cell>
          <cell r="AV305">
            <v>0.1</v>
          </cell>
          <cell r="AX305">
            <v>2.4</v>
          </cell>
          <cell r="BE305">
            <v>18000</v>
          </cell>
          <cell r="BF305">
            <v>220000</v>
          </cell>
          <cell r="BG305">
            <v>36000</v>
          </cell>
          <cell r="BH305">
            <v>140000</v>
          </cell>
          <cell r="BI305" t="str">
            <v>NO SABE</v>
          </cell>
          <cell r="BK305" t="str">
            <v>X</v>
          </cell>
          <cell r="BN305" t="str">
            <v>X</v>
          </cell>
          <cell r="BP305" t="str">
            <v>X</v>
          </cell>
          <cell r="BU305" t="str">
            <v>X</v>
          </cell>
          <cell r="BX305">
            <v>1</v>
          </cell>
          <cell r="BY305">
            <v>3</v>
          </cell>
          <cell r="BZ305">
            <v>2</v>
          </cell>
          <cell r="DD305">
            <v>7</v>
          </cell>
        </row>
        <row r="306">
          <cell r="F306" t="str">
            <v>X</v>
          </cell>
          <cell r="N306" t="str">
            <v>TLAXCALA</v>
          </cell>
          <cell r="O306">
            <v>13</v>
          </cell>
          <cell r="AH306">
            <v>1985</v>
          </cell>
          <cell r="AI306" t="str">
            <v>NO SABE</v>
          </cell>
          <cell r="AT306" t="str">
            <v>KODIAK</v>
          </cell>
          <cell r="AV306">
            <v>0.3</v>
          </cell>
          <cell r="AX306">
            <v>4.0999999999999996</v>
          </cell>
          <cell r="BE306">
            <v>30000</v>
          </cell>
          <cell r="BF306" t="str">
            <v>NO SABE</v>
          </cell>
          <cell r="BG306">
            <v>30000</v>
          </cell>
          <cell r="BH306" t="str">
            <v>NO SABE</v>
          </cell>
          <cell r="BI306" t="str">
            <v>NO SABE</v>
          </cell>
          <cell r="BJ306" t="str">
            <v>X</v>
          </cell>
          <cell r="BO306" t="str">
            <v>X</v>
          </cell>
          <cell r="BV306" t="str">
            <v>X</v>
          </cell>
          <cell r="BX306">
            <v>3</v>
          </cell>
          <cell r="BY306">
            <v>2</v>
          </cell>
          <cell r="BZ306">
            <v>1</v>
          </cell>
          <cell r="DD306">
            <v>2</v>
          </cell>
        </row>
        <row r="307">
          <cell r="G307" t="str">
            <v>X</v>
          </cell>
          <cell r="N307" t="str">
            <v>VERACRUZ</v>
          </cell>
          <cell r="O307">
            <v>19</v>
          </cell>
          <cell r="Q307" t="str">
            <v>X</v>
          </cell>
          <cell r="AH307">
            <v>1997</v>
          </cell>
          <cell r="AI307">
            <v>1083219</v>
          </cell>
          <cell r="AT307" t="str">
            <v>CUMMINS</v>
          </cell>
          <cell r="AV307">
            <v>0.5</v>
          </cell>
          <cell r="AX307">
            <v>2.9</v>
          </cell>
          <cell r="BE307">
            <v>20000</v>
          </cell>
          <cell r="BF307" t="str">
            <v>NO SABE</v>
          </cell>
          <cell r="BG307">
            <v>20000</v>
          </cell>
          <cell r="BH307">
            <v>120000</v>
          </cell>
          <cell r="BI307" t="str">
            <v>NO SABE</v>
          </cell>
          <cell r="BJ307" t="str">
            <v>X</v>
          </cell>
          <cell r="BK307" t="str">
            <v>X</v>
          </cell>
          <cell r="BO307" t="str">
            <v>X</v>
          </cell>
          <cell r="BV307" t="str">
            <v>X</v>
          </cell>
          <cell r="BX307">
            <v>1</v>
          </cell>
          <cell r="BY307">
            <v>3</v>
          </cell>
          <cell r="BZ307">
            <v>2</v>
          </cell>
          <cell r="DD307">
            <v>3</v>
          </cell>
        </row>
        <row r="308">
          <cell r="E308" t="str">
            <v>X</v>
          </cell>
          <cell r="N308" t="str">
            <v>JALISCO</v>
          </cell>
          <cell r="O308">
            <v>2</v>
          </cell>
          <cell r="AH308">
            <v>1987</v>
          </cell>
          <cell r="AI308" t="str">
            <v>NO SABE</v>
          </cell>
          <cell r="AT308" t="str">
            <v>FORD</v>
          </cell>
          <cell r="AV308">
            <v>0.5</v>
          </cell>
          <cell r="AX308">
            <v>4.2</v>
          </cell>
          <cell r="BE308">
            <v>16000</v>
          </cell>
          <cell r="BF308" t="str">
            <v>NO SABE</v>
          </cell>
          <cell r="BG308">
            <v>32000</v>
          </cell>
          <cell r="BH308" t="str">
            <v>NO SABE</v>
          </cell>
          <cell r="BI308" t="str">
            <v>NO APLICA</v>
          </cell>
          <cell r="BJ308" t="str">
            <v>X</v>
          </cell>
          <cell r="BO308" t="str">
            <v>X</v>
          </cell>
          <cell r="BU308" t="str">
            <v>X</v>
          </cell>
          <cell r="BX308">
            <v>2</v>
          </cell>
          <cell r="BY308">
            <v>1</v>
          </cell>
          <cell r="BZ308">
            <v>3</v>
          </cell>
          <cell r="DD308">
            <v>1</v>
          </cell>
        </row>
        <row r="309">
          <cell r="G309" t="str">
            <v>X</v>
          </cell>
          <cell r="N309" t="str">
            <v>SONORA</v>
          </cell>
          <cell r="O309">
            <v>23</v>
          </cell>
          <cell r="S309" t="str">
            <v>X</v>
          </cell>
          <cell r="U309" t="str">
            <v>X</v>
          </cell>
          <cell r="AH309">
            <v>2007</v>
          </cell>
          <cell r="AI309">
            <v>763821</v>
          </cell>
          <cell r="AT309" t="str">
            <v>DETROIT</v>
          </cell>
          <cell r="AV309">
            <v>0.05</v>
          </cell>
          <cell r="AX309">
            <v>2.5</v>
          </cell>
          <cell r="BE309">
            <v>20000</v>
          </cell>
          <cell r="BF309">
            <v>200000</v>
          </cell>
          <cell r="BG309">
            <v>20000</v>
          </cell>
          <cell r="BH309">
            <v>120000</v>
          </cell>
          <cell r="BI309" t="str">
            <v>NO SABE</v>
          </cell>
          <cell r="BK309" t="str">
            <v>X</v>
          </cell>
          <cell r="BM309" t="str">
            <v>X</v>
          </cell>
          <cell r="BN309" t="str">
            <v>X</v>
          </cell>
          <cell r="BO309" t="str">
            <v>X</v>
          </cell>
          <cell r="BP309" t="str">
            <v>X</v>
          </cell>
          <cell r="BU309" t="str">
            <v>X</v>
          </cell>
          <cell r="BX309">
            <v>3</v>
          </cell>
          <cell r="BY309">
            <v>2</v>
          </cell>
          <cell r="BZ309">
            <v>1</v>
          </cell>
          <cell r="DD309">
            <v>3</v>
          </cell>
        </row>
        <row r="310">
          <cell r="F310" t="str">
            <v>X</v>
          </cell>
          <cell r="N310" t="str">
            <v>JALISCO</v>
          </cell>
          <cell r="O310">
            <v>12</v>
          </cell>
          <cell r="Q310" t="str">
            <v>X</v>
          </cell>
          <cell r="U310" t="str">
            <v>X</v>
          </cell>
          <cell r="AH310">
            <v>2003</v>
          </cell>
          <cell r="AI310">
            <v>793680</v>
          </cell>
          <cell r="AT310" t="str">
            <v>INTERNATIONAL</v>
          </cell>
          <cell r="AV310">
            <v>0.1</v>
          </cell>
          <cell r="AX310">
            <v>3.1</v>
          </cell>
          <cell r="BE310">
            <v>15000</v>
          </cell>
          <cell r="BF310">
            <v>210000</v>
          </cell>
          <cell r="BG310">
            <v>30000</v>
          </cell>
          <cell r="BH310">
            <v>135000</v>
          </cell>
          <cell r="BI310" t="str">
            <v>NO SABE</v>
          </cell>
          <cell r="BK310" t="str">
            <v>X</v>
          </cell>
          <cell r="BO310" t="str">
            <v>X</v>
          </cell>
          <cell r="BV310" t="str">
            <v>X</v>
          </cell>
          <cell r="BX310">
            <v>3</v>
          </cell>
          <cell r="BY310">
            <v>2</v>
          </cell>
          <cell r="BZ310">
            <v>1</v>
          </cell>
          <cell r="DD310">
            <v>2</v>
          </cell>
        </row>
        <row r="311">
          <cell r="G311" t="str">
            <v>X</v>
          </cell>
          <cell r="N311" t="str">
            <v>SINALOA</v>
          </cell>
          <cell r="O311">
            <v>10</v>
          </cell>
          <cell r="S311" t="str">
            <v>X</v>
          </cell>
          <cell r="U311" t="str">
            <v>X</v>
          </cell>
          <cell r="AH311">
            <v>2007</v>
          </cell>
          <cell r="AI311">
            <v>820406</v>
          </cell>
          <cell r="AT311" t="str">
            <v>CUMMINS</v>
          </cell>
          <cell r="AV311">
            <v>0.1</v>
          </cell>
          <cell r="AX311">
            <v>2.4</v>
          </cell>
          <cell r="BE311">
            <v>20000</v>
          </cell>
          <cell r="BF311">
            <v>200000</v>
          </cell>
          <cell r="BG311">
            <v>20000</v>
          </cell>
          <cell r="BH311">
            <v>120000</v>
          </cell>
          <cell r="BI311" t="str">
            <v>NO SABE</v>
          </cell>
          <cell r="BN311" t="str">
            <v>X</v>
          </cell>
          <cell r="BP311" t="str">
            <v>X</v>
          </cell>
          <cell r="BV311" t="str">
            <v>X</v>
          </cell>
          <cell r="BX311">
            <v>1</v>
          </cell>
          <cell r="BY311">
            <v>2</v>
          </cell>
          <cell r="BZ311">
            <v>3</v>
          </cell>
          <cell r="DD311">
            <v>3</v>
          </cell>
        </row>
        <row r="312">
          <cell r="G312" t="str">
            <v>X</v>
          </cell>
          <cell r="N312" t="str">
            <v>EDO. MEX.</v>
          </cell>
          <cell r="O312">
            <v>30</v>
          </cell>
          <cell r="S312" t="str">
            <v>X</v>
          </cell>
          <cell r="AH312">
            <v>2007</v>
          </cell>
          <cell r="AI312">
            <v>693802</v>
          </cell>
          <cell r="AT312" t="str">
            <v>CUMMINS</v>
          </cell>
          <cell r="AV312">
            <v>0.5</v>
          </cell>
          <cell r="AX312">
            <v>1.5</v>
          </cell>
          <cell r="BE312">
            <v>15000</v>
          </cell>
          <cell r="BF312" t="str">
            <v>NO SABE</v>
          </cell>
          <cell r="BG312">
            <v>30000</v>
          </cell>
          <cell r="BH312">
            <v>120000</v>
          </cell>
          <cell r="BI312" t="str">
            <v>NO SABE</v>
          </cell>
          <cell r="BS312" t="str">
            <v>CONTENEDORES</v>
          </cell>
          <cell r="BU312" t="str">
            <v>X</v>
          </cell>
          <cell r="BX312">
            <v>1</v>
          </cell>
          <cell r="BY312">
            <v>2</v>
          </cell>
          <cell r="BZ312">
            <v>3</v>
          </cell>
          <cell r="DD312">
            <v>3</v>
          </cell>
        </row>
        <row r="313">
          <cell r="G313" t="str">
            <v>X</v>
          </cell>
          <cell r="N313" t="str">
            <v>CHIHUAHUA</v>
          </cell>
          <cell r="O313">
            <v>20</v>
          </cell>
          <cell r="Q313" t="str">
            <v>X</v>
          </cell>
          <cell r="U313" t="str">
            <v>X</v>
          </cell>
          <cell r="AH313">
            <v>2000</v>
          </cell>
          <cell r="AI313" t="str">
            <v>NO SABE</v>
          </cell>
          <cell r="AT313" t="str">
            <v>CUMMINS</v>
          </cell>
          <cell r="AV313">
            <v>0.1</v>
          </cell>
          <cell r="AX313">
            <v>3.1</v>
          </cell>
          <cell r="BE313">
            <v>18000</v>
          </cell>
          <cell r="BF313">
            <v>200000</v>
          </cell>
          <cell r="BG313">
            <v>24000</v>
          </cell>
          <cell r="BH313">
            <v>100000</v>
          </cell>
          <cell r="BI313" t="str">
            <v>NO SABE</v>
          </cell>
          <cell r="BJ313" t="str">
            <v>X</v>
          </cell>
          <cell r="BK313" t="str">
            <v>X</v>
          </cell>
          <cell r="BN313" t="str">
            <v>X</v>
          </cell>
          <cell r="BT313" t="str">
            <v>X</v>
          </cell>
          <cell r="BX313">
            <v>2</v>
          </cell>
          <cell r="BY313">
            <v>3</v>
          </cell>
          <cell r="BZ313">
            <v>1</v>
          </cell>
          <cell r="DD313">
            <v>3</v>
          </cell>
        </row>
        <row r="314">
          <cell r="G314" t="str">
            <v>X</v>
          </cell>
          <cell r="N314" t="str">
            <v>NAYARIT</v>
          </cell>
          <cell r="O314">
            <v>8</v>
          </cell>
          <cell r="AH314">
            <v>1985</v>
          </cell>
          <cell r="AI314" t="str">
            <v>NO SABE</v>
          </cell>
          <cell r="AT314" t="str">
            <v>KODIAK</v>
          </cell>
          <cell r="AV314">
            <v>0.3</v>
          </cell>
          <cell r="AX314">
            <v>4</v>
          </cell>
          <cell r="BE314">
            <v>14000</v>
          </cell>
          <cell r="BF314" t="str">
            <v>NO SABE</v>
          </cell>
          <cell r="BG314">
            <v>28000</v>
          </cell>
          <cell r="BH314" t="str">
            <v>NO SABE</v>
          </cell>
          <cell r="BI314" t="str">
            <v>NO SABE</v>
          </cell>
          <cell r="BJ314" t="str">
            <v>X</v>
          </cell>
          <cell r="BO314" t="str">
            <v>X</v>
          </cell>
          <cell r="BU314" t="str">
            <v>X</v>
          </cell>
          <cell r="BX314">
            <v>2</v>
          </cell>
          <cell r="BY314">
            <v>3</v>
          </cell>
          <cell r="BZ314">
            <v>1</v>
          </cell>
          <cell r="DD314">
            <v>3</v>
          </cell>
        </row>
        <row r="315">
          <cell r="H315" t="str">
            <v>X</v>
          </cell>
          <cell r="N315" t="str">
            <v>GUANAJUATO</v>
          </cell>
          <cell r="O315">
            <v>30</v>
          </cell>
          <cell r="S315" t="str">
            <v>X</v>
          </cell>
          <cell r="Y315" t="str">
            <v>X</v>
          </cell>
          <cell r="AH315">
            <v>2008</v>
          </cell>
          <cell r="AI315">
            <v>568900</v>
          </cell>
          <cell r="AT315" t="str">
            <v>CUMMINS</v>
          </cell>
          <cell r="AV315">
            <v>0.5</v>
          </cell>
          <cell r="AX315">
            <v>1.4</v>
          </cell>
          <cell r="BE315">
            <v>18000</v>
          </cell>
          <cell r="BF315">
            <v>180000</v>
          </cell>
          <cell r="BG315">
            <v>26000</v>
          </cell>
          <cell r="BH315">
            <v>120000</v>
          </cell>
          <cell r="BI315" t="str">
            <v>NO SABE</v>
          </cell>
          <cell r="BL315" t="str">
            <v>X</v>
          </cell>
          <cell r="BR315" t="str">
            <v>X</v>
          </cell>
          <cell r="BU315" t="str">
            <v>X</v>
          </cell>
          <cell r="BX315">
            <v>1</v>
          </cell>
          <cell r="BY315">
            <v>3</v>
          </cell>
          <cell r="BZ315">
            <v>2</v>
          </cell>
          <cell r="DD315">
            <v>7</v>
          </cell>
        </row>
        <row r="316">
          <cell r="F316" t="str">
            <v>X</v>
          </cell>
          <cell r="N316" t="str">
            <v>QUERÉTARO</v>
          </cell>
          <cell r="O316">
            <v>10</v>
          </cell>
          <cell r="S316" t="str">
            <v>X</v>
          </cell>
          <cell r="U316" t="str">
            <v>X</v>
          </cell>
          <cell r="AH316">
            <v>2008</v>
          </cell>
          <cell r="AI316">
            <v>520861</v>
          </cell>
          <cell r="AT316" t="str">
            <v>DETROIT</v>
          </cell>
          <cell r="AV316">
            <v>0.1</v>
          </cell>
          <cell r="AX316">
            <v>2.4</v>
          </cell>
          <cell r="BE316">
            <v>18000</v>
          </cell>
          <cell r="BF316">
            <v>200000</v>
          </cell>
          <cell r="BG316">
            <v>36000</v>
          </cell>
          <cell r="BH316">
            <v>108000</v>
          </cell>
          <cell r="BI316" t="str">
            <v>NO SABE</v>
          </cell>
          <cell r="BL316" t="str">
            <v>X</v>
          </cell>
          <cell r="BN316" t="str">
            <v>X</v>
          </cell>
          <cell r="BR316" t="str">
            <v>X</v>
          </cell>
          <cell r="BV316" t="str">
            <v>X</v>
          </cell>
          <cell r="BX316">
            <v>1</v>
          </cell>
          <cell r="BY316">
            <v>2</v>
          </cell>
          <cell r="BZ316">
            <v>3</v>
          </cell>
          <cell r="DD316">
            <v>2</v>
          </cell>
        </row>
        <row r="317">
          <cell r="G317" t="str">
            <v>X</v>
          </cell>
          <cell r="N317" t="str">
            <v>NVO. LEON</v>
          </cell>
          <cell r="O317">
            <v>15</v>
          </cell>
          <cell r="Q317" t="str">
            <v>X</v>
          </cell>
          <cell r="U317" t="str">
            <v>X</v>
          </cell>
          <cell r="AH317">
            <v>2004</v>
          </cell>
          <cell r="AI317">
            <v>736415</v>
          </cell>
          <cell r="AT317" t="str">
            <v>CUMMINS</v>
          </cell>
          <cell r="AV317">
            <v>0.1</v>
          </cell>
          <cell r="AX317">
            <v>3.1</v>
          </cell>
          <cell r="BE317">
            <v>16000</v>
          </cell>
          <cell r="BF317">
            <v>150000</v>
          </cell>
          <cell r="BG317">
            <v>32000</v>
          </cell>
          <cell r="BH317">
            <v>100000</v>
          </cell>
          <cell r="BI317" t="str">
            <v>NO SABE</v>
          </cell>
          <cell r="BL317" t="str">
            <v>X</v>
          </cell>
          <cell r="BN317" t="str">
            <v>X</v>
          </cell>
          <cell r="BR317" t="str">
            <v>X</v>
          </cell>
          <cell r="BV317" t="str">
            <v>X</v>
          </cell>
          <cell r="BX317">
            <v>1</v>
          </cell>
          <cell r="BY317">
            <v>3</v>
          </cell>
          <cell r="BZ317">
            <v>2</v>
          </cell>
          <cell r="DD317">
            <v>3</v>
          </cell>
        </row>
        <row r="318">
          <cell r="G318" t="str">
            <v>X</v>
          </cell>
          <cell r="N318" t="str">
            <v>HIDALGO</v>
          </cell>
          <cell r="O318">
            <v>20</v>
          </cell>
          <cell r="Q318" t="str">
            <v>X</v>
          </cell>
          <cell r="AH318">
            <v>1997</v>
          </cell>
          <cell r="AI318" t="str">
            <v>NO SABE</v>
          </cell>
          <cell r="AT318" t="str">
            <v>CUMMINS</v>
          </cell>
          <cell r="AV318">
            <v>0.1</v>
          </cell>
          <cell r="AX318">
            <v>3</v>
          </cell>
          <cell r="BE318">
            <v>15000</v>
          </cell>
          <cell r="BF318" t="str">
            <v>NO SABE</v>
          </cell>
          <cell r="BG318">
            <v>30000</v>
          </cell>
          <cell r="BH318" t="str">
            <v>NO SABE</v>
          </cell>
          <cell r="BI318" t="str">
            <v>NO SABE</v>
          </cell>
          <cell r="BJ318" t="str">
            <v>X</v>
          </cell>
          <cell r="BO318" t="str">
            <v>X</v>
          </cell>
          <cell r="BU318" t="str">
            <v>X</v>
          </cell>
          <cell r="BX318">
            <v>2</v>
          </cell>
          <cell r="BY318">
            <v>3</v>
          </cell>
          <cell r="BZ318">
            <v>1</v>
          </cell>
          <cell r="DD318">
            <v>3</v>
          </cell>
        </row>
        <row r="319">
          <cell r="F319" t="str">
            <v>X</v>
          </cell>
          <cell r="N319" t="str">
            <v>JALISCO</v>
          </cell>
          <cell r="O319">
            <v>21</v>
          </cell>
          <cell r="U319" t="str">
            <v>X</v>
          </cell>
          <cell r="AH319">
            <v>2004</v>
          </cell>
          <cell r="AI319">
            <v>836114</v>
          </cell>
          <cell r="AT319" t="str">
            <v>CUMMINS</v>
          </cell>
          <cell r="AV319">
            <v>0.5</v>
          </cell>
          <cell r="AX319">
            <v>4.2</v>
          </cell>
          <cell r="BE319">
            <v>16000</v>
          </cell>
          <cell r="BF319" t="str">
            <v>NO SABE</v>
          </cell>
          <cell r="BG319">
            <v>32000</v>
          </cell>
          <cell r="BH319">
            <v>100000</v>
          </cell>
          <cell r="BI319" t="str">
            <v>NO SABE</v>
          </cell>
          <cell r="BL319" t="str">
            <v>X</v>
          </cell>
          <cell r="BR319" t="str">
            <v>X</v>
          </cell>
          <cell r="BU319" t="str">
            <v>X</v>
          </cell>
          <cell r="BX319">
            <v>1</v>
          </cell>
          <cell r="BY319">
            <v>3</v>
          </cell>
          <cell r="BZ319">
            <v>2</v>
          </cell>
          <cell r="DD319">
            <v>2</v>
          </cell>
        </row>
        <row r="320">
          <cell r="G320" t="str">
            <v>X</v>
          </cell>
          <cell r="N320" t="str">
            <v>SAN LUIS POTOSI</v>
          </cell>
          <cell r="O320">
            <v>19</v>
          </cell>
          <cell r="Q320" t="str">
            <v>X</v>
          </cell>
          <cell r="U320" t="str">
            <v>X</v>
          </cell>
          <cell r="AH320">
            <v>2002</v>
          </cell>
          <cell r="AI320">
            <v>927620</v>
          </cell>
          <cell r="AT320" t="str">
            <v>CUMMINS</v>
          </cell>
          <cell r="AV320">
            <v>0.3</v>
          </cell>
          <cell r="AX320">
            <v>3.2</v>
          </cell>
          <cell r="BE320">
            <v>20000</v>
          </cell>
          <cell r="BF320">
            <v>200000</v>
          </cell>
          <cell r="BG320">
            <v>20000</v>
          </cell>
          <cell r="BH320">
            <v>100000</v>
          </cell>
          <cell r="BI320" t="str">
            <v>NO SABE</v>
          </cell>
          <cell r="BL320" t="str">
            <v>X</v>
          </cell>
          <cell r="BR320" t="str">
            <v>X</v>
          </cell>
          <cell r="BV320" t="str">
            <v>X</v>
          </cell>
          <cell r="BX320">
            <v>1</v>
          </cell>
          <cell r="BY320">
            <v>3</v>
          </cell>
          <cell r="BZ320">
            <v>2</v>
          </cell>
          <cell r="DD320">
            <v>3</v>
          </cell>
        </row>
        <row r="321">
          <cell r="G321" t="str">
            <v>X</v>
          </cell>
          <cell r="N321" t="str">
            <v>SINALOA</v>
          </cell>
          <cell r="O321">
            <v>25</v>
          </cell>
          <cell r="S321" t="str">
            <v>X</v>
          </cell>
          <cell r="AH321">
            <v>2006</v>
          </cell>
          <cell r="AI321">
            <v>815927</v>
          </cell>
          <cell r="AT321" t="str">
            <v>CUMMINS</v>
          </cell>
          <cell r="AV321">
            <v>0.2</v>
          </cell>
          <cell r="AX321">
            <v>2.2999999999999998</v>
          </cell>
          <cell r="BE321">
            <v>20000</v>
          </cell>
          <cell r="BF321" t="str">
            <v>NO SABE</v>
          </cell>
          <cell r="BG321">
            <v>20000</v>
          </cell>
          <cell r="BH321" t="str">
            <v>NO SABE</v>
          </cell>
          <cell r="BI321" t="str">
            <v>NO SABE</v>
          </cell>
          <cell r="BO321" t="str">
            <v>X</v>
          </cell>
          <cell r="BU321" t="str">
            <v>X</v>
          </cell>
          <cell r="BX321">
            <v>3</v>
          </cell>
          <cell r="BY321">
            <v>1</v>
          </cell>
          <cell r="BZ321">
            <v>2</v>
          </cell>
          <cell r="DD321">
            <v>3</v>
          </cell>
        </row>
        <row r="322">
          <cell r="H322" t="str">
            <v>X</v>
          </cell>
          <cell r="N322" t="str">
            <v>CHIHUAHUA</v>
          </cell>
          <cell r="O322">
            <v>23</v>
          </cell>
          <cell r="S322" t="str">
            <v>X</v>
          </cell>
          <cell r="U322" t="str">
            <v>X</v>
          </cell>
          <cell r="AH322">
            <v>2005</v>
          </cell>
          <cell r="AI322">
            <v>923863</v>
          </cell>
          <cell r="AT322" t="str">
            <v>DETROIT</v>
          </cell>
          <cell r="AV322">
            <v>0.1</v>
          </cell>
          <cell r="AX322">
            <v>2.4</v>
          </cell>
          <cell r="BE322">
            <v>18000</v>
          </cell>
          <cell r="BF322">
            <v>200000</v>
          </cell>
          <cell r="BG322">
            <v>36000</v>
          </cell>
          <cell r="BH322">
            <v>120000</v>
          </cell>
          <cell r="BI322" t="str">
            <v>NO SABE</v>
          </cell>
          <cell r="BN322" t="str">
            <v>X</v>
          </cell>
          <cell r="BP322" t="str">
            <v>X</v>
          </cell>
          <cell r="BU322" t="str">
            <v>X</v>
          </cell>
          <cell r="BX322">
            <v>1</v>
          </cell>
          <cell r="BY322">
            <v>3</v>
          </cell>
          <cell r="BZ322">
            <v>2</v>
          </cell>
          <cell r="DD322">
            <v>7</v>
          </cell>
        </row>
        <row r="323">
          <cell r="H323" t="str">
            <v>X</v>
          </cell>
          <cell r="N323" t="str">
            <v>EDO. MEX.</v>
          </cell>
          <cell r="O323">
            <v>20</v>
          </cell>
          <cell r="S323" t="str">
            <v>X</v>
          </cell>
          <cell r="U323" t="str">
            <v>X</v>
          </cell>
          <cell r="AH323">
            <v>2007</v>
          </cell>
          <cell r="AI323">
            <v>700652</v>
          </cell>
          <cell r="AT323" t="str">
            <v>CUMMINS</v>
          </cell>
          <cell r="AV323">
            <v>0.05</v>
          </cell>
          <cell r="AX323">
            <v>2.5</v>
          </cell>
          <cell r="BE323">
            <v>19000</v>
          </cell>
          <cell r="BF323">
            <v>240000</v>
          </cell>
          <cell r="BG323">
            <v>38000</v>
          </cell>
          <cell r="BH323">
            <v>120000</v>
          </cell>
          <cell r="BI323" t="str">
            <v>NO SABE</v>
          </cell>
          <cell r="BN323" t="str">
            <v>X</v>
          </cell>
          <cell r="BP323" t="str">
            <v>X</v>
          </cell>
          <cell r="BU323" t="str">
            <v>X</v>
          </cell>
          <cell r="BX323">
            <v>1</v>
          </cell>
          <cell r="BY323">
            <v>2</v>
          </cell>
          <cell r="BZ323">
            <v>3</v>
          </cell>
          <cell r="DD323">
            <v>7</v>
          </cell>
        </row>
        <row r="324">
          <cell r="H324" t="str">
            <v>X</v>
          </cell>
          <cell r="N324" t="str">
            <v>TAMAULIPAS</v>
          </cell>
          <cell r="O324">
            <v>19</v>
          </cell>
          <cell r="S324" t="str">
            <v>X</v>
          </cell>
          <cell r="U324" t="str">
            <v>X</v>
          </cell>
          <cell r="AH324">
            <v>2008</v>
          </cell>
          <cell r="AI324">
            <v>573508</v>
          </cell>
          <cell r="AT324" t="str">
            <v>DETROIT</v>
          </cell>
          <cell r="AV324">
            <v>0.05</v>
          </cell>
          <cell r="AX324">
            <v>2.5</v>
          </cell>
          <cell r="BE324">
            <v>24000</v>
          </cell>
          <cell r="BF324">
            <v>150000</v>
          </cell>
          <cell r="BG324">
            <v>24000</v>
          </cell>
          <cell r="BH324">
            <v>150000</v>
          </cell>
          <cell r="BI324" t="str">
            <v>NO SABE</v>
          </cell>
          <cell r="BN324" t="str">
            <v>X</v>
          </cell>
          <cell r="BP324" t="str">
            <v>X</v>
          </cell>
          <cell r="BU324" t="str">
            <v>X</v>
          </cell>
          <cell r="BX324">
            <v>1</v>
          </cell>
          <cell r="BY324">
            <v>2</v>
          </cell>
          <cell r="BZ324">
            <v>3</v>
          </cell>
          <cell r="DD324">
            <v>7</v>
          </cell>
        </row>
        <row r="325">
          <cell r="G325" t="str">
            <v>X</v>
          </cell>
          <cell r="N325" t="str">
            <v>JALISCO</v>
          </cell>
          <cell r="O325">
            <v>8</v>
          </cell>
          <cell r="S325" t="str">
            <v>X</v>
          </cell>
          <cell r="AH325">
            <v>2008</v>
          </cell>
          <cell r="AI325">
            <v>628331</v>
          </cell>
          <cell r="AT325" t="str">
            <v>CUMMINS</v>
          </cell>
          <cell r="AV325">
            <v>0.5</v>
          </cell>
          <cell r="AX325">
            <v>2.5</v>
          </cell>
          <cell r="BE325">
            <v>20000</v>
          </cell>
          <cell r="BF325">
            <v>240000</v>
          </cell>
          <cell r="BG325">
            <v>20000</v>
          </cell>
          <cell r="BH325">
            <v>120000</v>
          </cell>
          <cell r="BI325" t="str">
            <v>NO SABE</v>
          </cell>
          <cell r="BN325" t="str">
            <v>X</v>
          </cell>
          <cell r="BV325" t="str">
            <v>X</v>
          </cell>
          <cell r="BX325">
            <v>1</v>
          </cell>
          <cell r="BY325">
            <v>2</v>
          </cell>
          <cell r="BZ325">
            <v>3</v>
          </cell>
          <cell r="DD325">
            <v>3</v>
          </cell>
        </row>
        <row r="326">
          <cell r="G326" t="str">
            <v>X</v>
          </cell>
          <cell r="N326" t="str">
            <v>GUANAJUATO</v>
          </cell>
          <cell r="O326">
            <v>39</v>
          </cell>
          <cell r="Q326" t="str">
            <v>X</v>
          </cell>
          <cell r="U326" t="str">
            <v>X</v>
          </cell>
          <cell r="AH326">
            <v>2006</v>
          </cell>
          <cell r="AI326">
            <v>753821</v>
          </cell>
          <cell r="AT326" t="str">
            <v>CUMMINS</v>
          </cell>
          <cell r="AV326">
            <v>0.1</v>
          </cell>
          <cell r="AX326">
            <v>3.2</v>
          </cell>
          <cell r="BE326">
            <v>16000</v>
          </cell>
          <cell r="BF326" t="str">
            <v>NO SABE</v>
          </cell>
          <cell r="BG326">
            <v>32000</v>
          </cell>
          <cell r="BH326">
            <v>120000</v>
          </cell>
          <cell r="BI326" t="str">
            <v>NO SABE</v>
          </cell>
          <cell r="BN326" t="str">
            <v>X</v>
          </cell>
          <cell r="BP326" t="str">
            <v>X</v>
          </cell>
          <cell r="BV326" t="str">
            <v>X</v>
          </cell>
          <cell r="BX326">
            <v>1</v>
          </cell>
          <cell r="BY326">
            <v>2</v>
          </cell>
          <cell r="BZ326">
            <v>3</v>
          </cell>
          <cell r="DD326">
            <v>3</v>
          </cell>
        </row>
        <row r="327">
          <cell r="G327" t="str">
            <v>X</v>
          </cell>
          <cell r="N327" t="str">
            <v>NVO. LEON</v>
          </cell>
          <cell r="O327">
            <v>16</v>
          </cell>
          <cell r="S327" t="str">
            <v>X</v>
          </cell>
          <cell r="U327" t="str">
            <v>X</v>
          </cell>
          <cell r="AH327">
            <v>2004</v>
          </cell>
          <cell r="AI327">
            <v>936415</v>
          </cell>
          <cell r="AT327" t="str">
            <v>CUMMINS</v>
          </cell>
          <cell r="AV327">
            <v>0.5</v>
          </cell>
          <cell r="AX327">
            <v>2.4</v>
          </cell>
          <cell r="BE327">
            <v>18000</v>
          </cell>
          <cell r="BF327" t="str">
            <v>NO SABE</v>
          </cell>
          <cell r="BG327">
            <v>36000</v>
          </cell>
          <cell r="BH327" t="str">
            <v>NO SABE</v>
          </cell>
          <cell r="BI327" t="str">
            <v>NO SABE</v>
          </cell>
          <cell r="BN327" t="str">
            <v>X</v>
          </cell>
          <cell r="BP327" t="str">
            <v>X</v>
          </cell>
          <cell r="BU327" t="str">
            <v>X</v>
          </cell>
          <cell r="BX327">
            <v>1</v>
          </cell>
          <cell r="BY327">
            <v>3</v>
          </cell>
          <cell r="BZ327">
            <v>2</v>
          </cell>
          <cell r="DD327">
            <v>3</v>
          </cell>
        </row>
        <row r="328">
          <cell r="G328" t="str">
            <v>X</v>
          </cell>
          <cell r="N328" t="str">
            <v>EDO. MEX.</v>
          </cell>
          <cell r="O328">
            <v>30</v>
          </cell>
          <cell r="Q328" t="str">
            <v>X</v>
          </cell>
          <cell r="AH328">
            <v>1995</v>
          </cell>
          <cell r="AI328">
            <v>850000</v>
          </cell>
          <cell r="AT328" t="str">
            <v>INTERNATIONAL</v>
          </cell>
          <cell r="AV328">
            <v>0.5</v>
          </cell>
          <cell r="AX328">
            <v>2.4</v>
          </cell>
          <cell r="BE328">
            <v>10000</v>
          </cell>
          <cell r="BF328">
            <v>12000</v>
          </cell>
          <cell r="BG328">
            <v>35000</v>
          </cell>
          <cell r="BH328">
            <v>180000</v>
          </cell>
          <cell r="BI328">
            <v>35000</v>
          </cell>
          <cell r="BM328" t="str">
            <v>X</v>
          </cell>
          <cell r="BV328" t="str">
            <v>X</v>
          </cell>
          <cell r="BX328">
            <v>1</v>
          </cell>
          <cell r="BY328">
            <v>2</v>
          </cell>
          <cell r="BZ328">
            <v>3</v>
          </cell>
          <cell r="DD328">
            <v>3</v>
          </cell>
        </row>
        <row r="329">
          <cell r="G329" t="str">
            <v>X</v>
          </cell>
          <cell r="N329" t="str">
            <v>EDO. MEX.</v>
          </cell>
          <cell r="O329">
            <v>20</v>
          </cell>
          <cell r="Q329" t="str">
            <v>X</v>
          </cell>
          <cell r="AH329">
            <v>1992</v>
          </cell>
          <cell r="AI329">
            <v>783524</v>
          </cell>
          <cell r="AT329" t="str">
            <v>CUMMINS</v>
          </cell>
          <cell r="AV329">
            <v>0.5</v>
          </cell>
          <cell r="AX329">
            <v>2.5</v>
          </cell>
          <cell r="BE329">
            <v>13000</v>
          </cell>
          <cell r="BF329">
            <v>11000</v>
          </cell>
          <cell r="BG329">
            <v>50000</v>
          </cell>
          <cell r="BH329">
            <v>250000</v>
          </cell>
          <cell r="BI329">
            <v>50000</v>
          </cell>
          <cell r="BM329" t="str">
            <v>X</v>
          </cell>
          <cell r="BU329" t="str">
            <v>X</v>
          </cell>
          <cell r="BX329">
            <v>1</v>
          </cell>
          <cell r="BY329">
            <v>2</v>
          </cell>
          <cell r="BZ329">
            <v>3</v>
          </cell>
          <cell r="DD329">
            <v>3</v>
          </cell>
        </row>
        <row r="330">
          <cell r="H330" t="str">
            <v>X</v>
          </cell>
          <cell r="N330" t="str">
            <v>EDO. MEX.</v>
          </cell>
          <cell r="O330">
            <v>6</v>
          </cell>
          <cell r="S330" t="str">
            <v>X</v>
          </cell>
          <cell r="U330" t="str">
            <v>X</v>
          </cell>
          <cell r="AH330">
            <v>1990</v>
          </cell>
          <cell r="AI330">
            <v>750000</v>
          </cell>
          <cell r="AT330" t="str">
            <v>KENWORTH</v>
          </cell>
          <cell r="AV330">
            <v>0.3</v>
          </cell>
          <cell r="AX330">
            <v>2.1</v>
          </cell>
          <cell r="BE330">
            <v>17000</v>
          </cell>
          <cell r="BF330">
            <v>12000</v>
          </cell>
          <cell r="BG330">
            <v>42000</v>
          </cell>
          <cell r="BH330" t="str">
            <v>NO SABE</v>
          </cell>
          <cell r="BI330">
            <v>42000</v>
          </cell>
          <cell r="BS330" t="str">
            <v>BOTELLAS</v>
          </cell>
          <cell r="BV330" t="str">
            <v>X</v>
          </cell>
          <cell r="BX330">
            <v>3</v>
          </cell>
          <cell r="BY330">
            <v>2</v>
          </cell>
          <cell r="BZ330">
            <v>1</v>
          </cell>
          <cell r="DD330">
            <v>7</v>
          </cell>
        </row>
        <row r="331">
          <cell r="F331" t="str">
            <v>X</v>
          </cell>
          <cell r="N331" t="str">
            <v>EDO. MEX.</v>
          </cell>
          <cell r="O331">
            <v>29</v>
          </cell>
          <cell r="S331" t="str">
            <v>X</v>
          </cell>
          <cell r="U331" t="str">
            <v>X</v>
          </cell>
          <cell r="AH331">
            <v>1986</v>
          </cell>
          <cell r="AI331">
            <v>1753000</v>
          </cell>
          <cell r="AT331" t="str">
            <v>INTERNATIONAL</v>
          </cell>
          <cell r="AV331">
            <v>0.5</v>
          </cell>
          <cell r="AX331">
            <v>1.8</v>
          </cell>
          <cell r="BE331">
            <v>9000</v>
          </cell>
          <cell r="BF331">
            <v>7000</v>
          </cell>
          <cell r="BG331">
            <v>40000</v>
          </cell>
          <cell r="BH331">
            <v>200000</v>
          </cell>
          <cell r="BI331">
            <v>40000</v>
          </cell>
          <cell r="BS331" t="str">
            <v>GENERAL</v>
          </cell>
          <cell r="BV331" t="str">
            <v>X</v>
          </cell>
          <cell r="BX331">
            <v>1</v>
          </cell>
          <cell r="BY331">
            <v>2</v>
          </cell>
          <cell r="BZ331">
            <v>3</v>
          </cell>
          <cell r="DD331">
            <v>2</v>
          </cell>
        </row>
        <row r="332">
          <cell r="G332" t="str">
            <v>X</v>
          </cell>
          <cell r="N332" t="str">
            <v>EDO. MEX.</v>
          </cell>
          <cell r="O332">
            <v>33</v>
          </cell>
          <cell r="AH332">
            <v>1990</v>
          </cell>
          <cell r="AI332">
            <v>985000</v>
          </cell>
          <cell r="AT332" t="str">
            <v>CUMMINS</v>
          </cell>
          <cell r="AV332">
            <v>0.5</v>
          </cell>
          <cell r="AX332">
            <v>1.8</v>
          </cell>
          <cell r="BE332">
            <v>12000</v>
          </cell>
          <cell r="BF332">
            <v>5000</v>
          </cell>
          <cell r="BG332">
            <v>35000</v>
          </cell>
          <cell r="BH332">
            <v>250000</v>
          </cell>
          <cell r="BI332">
            <v>35000</v>
          </cell>
          <cell r="BM332" t="str">
            <v>X</v>
          </cell>
          <cell r="BU332" t="str">
            <v>X</v>
          </cell>
          <cell r="BX332">
            <v>1</v>
          </cell>
          <cell r="BY332">
            <v>3</v>
          </cell>
          <cell r="BZ332">
            <v>2</v>
          </cell>
          <cell r="DD332">
            <v>3</v>
          </cell>
        </row>
        <row r="333">
          <cell r="G333" t="str">
            <v>X</v>
          </cell>
          <cell r="N333" t="str">
            <v>D.F.</v>
          </cell>
          <cell r="O333">
            <v>25</v>
          </cell>
          <cell r="S333" t="str">
            <v>X</v>
          </cell>
          <cell r="AH333">
            <v>1987</v>
          </cell>
          <cell r="AI333">
            <v>1200000</v>
          </cell>
          <cell r="AT333" t="str">
            <v>KENWORTH</v>
          </cell>
          <cell r="AV333">
            <v>0.5</v>
          </cell>
          <cell r="AX333">
            <v>2</v>
          </cell>
          <cell r="BE333">
            <v>6000</v>
          </cell>
          <cell r="BF333">
            <v>12000</v>
          </cell>
          <cell r="BG333">
            <v>30000</v>
          </cell>
          <cell r="BH333">
            <v>120000</v>
          </cell>
          <cell r="BI333">
            <v>30000</v>
          </cell>
          <cell r="BM333" t="str">
            <v>X</v>
          </cell>
          <cell r="BU333" t="str">
            <v>X</v>
          </cell>
          <cell r="BX333">
            <v>1</v>
          </cell>
          <cell r="BY333">
            <v>2</v>
          </cell>
          <cell r="BZ333">
            <v>3</v>
          </cell>
          <cell r="DD333">
            <v>3</v>
          </cell>
        </row>
        <row r="334">
          <cell r="H334" t="str">
            <v>X</v>
          </cell>
          <cell r="N334" t="str">
            <v>D.F.</v>
          </cell>
          <cell r="O334">
            <v>16</v>
          </cell>
          <cell r="S334" t="str">
            <v>X</v>
          </cell>
          <cell r="AH334">
            <v>1986</v>
          </cell>
          <cell r="AI334">
            <v>1753625</v>
          </cell>
          <cell r="AT334" t="str">
            <v>CUMMINS</v>
          </cell>
          <cell r="AV334">
            <v>0.3</v>
          </cell>
          <cell r="AX334">
            <v>1.7</v>
          </cell>
          <cell r="BE334">
            <v>12000</v>
          </cell>
          <cell r="BF334">
            <v>10000</v>
          </cell>
          <cell r="BG334">
            <v>25000</v>
          </cell>
          <cell r="BH334" t="str">
            <v>NO SABE</v>
          </cell>
          <cell r="BI334">
            <v>25000</v>
          </cell>
          <cell r="BM334" t="str">
            <v>X</v>
          </cell>
          <cell r="BV334" t="str">
            <v>X</v>
          </cell>
          <cell r="BX334">
            <v>1</v>
          </cell>
          <cell r="BY334">
            <v>3</v>
          </cell>
          <cell r="BZ334">
            <v>2</v>
          </cell>
          <cell r="DD334">
            <v>7</v>
          </cell>
        </row>
        <row r="335">
          <cell r="G335" t="str">
            <v>X</v>
          </cell>
          <cell r="N335" t="str">
            <v>D.F.</v>
          </cell>
          <cell r="O335">
            <v>5</v>
          </cell>
          <cell r="S335" t="str">
            <v>X</v>
          </cell>
          <cell r="U335" t="str">
            <v>X</v>
          </cell>
          <cell r="AH335">
            <v>1988</v>
          </cell>
          <cell r="AI335">
            <v>1300000</v>
          </cell>
          <cell r="AT335" t="str">
            <v>KENWORTH</v>
          </cell>
          <cell r="AV335">
            <v>0.5</v>
          </cell>
          <cell r="AX335">
            <v>1.9</v>
          </cell>
          <cell r="BE335">
            <v>15000</v>
          </cell>
          <cell r="BF335">
            <v>40000</v>
          </cell>
          <cell r="BG335">
            <v>35000</v>
          </cell>
          <cell r="BH335" t="str">
            <v>NO SABE</v>
          </cell>
          <cell r="BI335">
            <v>35000</v>
          </cell>
          <cell r="BM335" t="str">
            <v>X</v>
          </cell>
          <cell r="BV335" t="str">
            <v>X</v>
          </cell>
          <cell r="BX335">
            <v>2</v>
          </cell>
          <cell r="BY335">
            <v>3</v>
          </cell>
          <cell r="BZ335">
            <v>1</v>
          </cell>
          <cell r="DD335">
            <v>3</v>
          </cell>
        </row>
        <row r="336">
          <cell r="H336" t="str">
            <v>X</v>
          </cell>
          <cell r="N336" t="str">
            <v>EDO. MEX.</v>
          </cell>
          <cell r="O336">
            <v>17</v>
          </cell>
          <cell r="S336" t="str">
            <v>X</v>
          </cell>
          <cell r="U336" t="str">
            <v>X</v>
          </cell>
          <cell r="AH336">
            <v>1989</v>
          </cell>
          <cell r="AI336">
            <v>1375437</v>
          </cell>
          <cell r="AT336" t="str">
            <v>INTERNATIONAL</v>
          </cell>
          <cell r="AV336">
            <v>0.5</v>
          </cell>
          <cell r="AX336">
            <v>1.8</v>
          </cell>
          <cell r="BE336">
            <v>15000</v>
          </cell>
          <cell r="BF336">
            <v>12000</v>
          </cell>
          <cell r="BG336">
            <v>25000</v>
          </cell>
          <cell r="BH336">
            <v>170000</v>
          </cell>
          <cell r="BI336">
            <v>25000</v>
          </cell>
          <cell r="BM336" t="str">
            <v>X</v>
          </cell>
          <cell r="BS336" t="str">
            <v>GENERAL</v>
          </cell>
          <cell r="BV336" t="str">
            <v>X</v>
          </cell>
          <cell r="BX336">
            <v>2</v>
          </cell>
          <cell r="BY336">
            <v>3</v>
          </cell>
          <cell r="BZ336">
            <v>1</v>
          </cell>
          <cell r="DD336">
            <v>7</v>
          </cell>
        </row>
        <row r="337">
          <cell r="G337" t="str">
            <v>X</v>
          </cell>
          <cell r="N337" t="str">
            <v>EDO. MEX.</v>
          </cell>
          <cell r="O337">
            <v>18</v>
          </cell>
          <cell r="S337" t="str">
            <v>X</v>
          </cell>
          <cell r="AH337">
            <v>1995</v>
          </cell>
          <cell r="AI337" t="str">
            <v>NO SABE</v>
          </cell>
          <cell r="AT337" t="str">
            <v>KENWORTH</v>
          </cell>
          <cell r="AV337">
            <v>0.5</v>
          </cell>
          <cell r="AX337">
            <v>2.2000000000000002</v>
          </cell>
          <cell r="BE337">
            <v>15000</v>
          </cell>
          <cell r="BF337">
            <v>10000</v>
          </cell>
          <cell r="BG337">
            <v>35000</v>
          </cell>
          <cell r="BH337" t="str">
            <v>NO SABE</v>
          </cell>
          <cell r="BI337">
            <v>35000</v>
          </cell>
          <cell r="BM337" t="str">
            <v>X</v>
          </cell>
          <cell r="BU337" t="str">
            <v>X</v>
          </cell>
          <cell r="BX337">
            <v>2</v>
          </cell>
          <cell r="BY337">
            <v>3</v>
          </cell>
          <cell r="BZ337">
            <v>1</v>
          </cell>
          <cell r="DD337">
            <v>3</v>
          </cell>
        </row>
        <row r="338">
          <cell r="H338" t="str">
            <v>X</v>
          </cell>
          <cell r="N338" t="str">
            <v>EDO. MEX.</v>
          </cell>
          <cell r="O338">
            <v>7</v>
          </cell>
          <cell r="S338" t="str">
            <v>X</v>
          </cell>
          <cell r="AH338">
            <v>1992</v>
          </cell>
          <cell r="AI338" t="str">
            <v>DAÑADO</v>
          </cell>
          <cell r="AT338" t="str">
            <v>KENWORTH</v>
          </cell>
          <cell r="AV338">
            <v>0.5</v>
          </cell>
          <cell r="AX338">
            <v>2.2999999999999998</v>
          </cell>
          <cell r="BE338">
            <v>20000</v>
          </cell>
          <cell r="BF338">
            <v>8000</v>
          </cell>
          <cell r="BG338">
            <v>40000</v>
          </cell>
          <cell r="BH338">
            <v>150000</v>
          </cell>
          <cell r="BI338">
            <v>40000</v>
          </cell>
          <cell r="BM338" t="str">
            <v>X</v>
          </cell>
          <cell r="BV338" t="str">
            <v>X</v>
          </cell>
          <cell r="BX338">
            <v>1</v>
          </cell>
          <cell r="BY338">
            <v>3</v>
          </cell>
          <cell r="BZ338">
            <v>2</v>
          </cell>
          <cell r="DD338">
            <v>7</v>
          </cell>
        </row>
        <row r="339">
          <cell r="G339" t="str">
            <v>X</v>
          </cell>
          <cell r="N339" t="str">
            <v>D.F.</v>
          </cell>
          <cell r="O339">
            <v>7</v>
          </cell>
          <cell r="Q339" t="str">
            <v>X</v>
          </cell>
          <cell r="U339" t="str">
            <v>X</v>
          </cell>
          <cell r="AH339">
            <v>1979</v>
          </cell>
          <cell r="AI339">
            <v>1833815</v>
          </cell>
          <cell r="AT339" t="str">
            <v>INTERNATIONAL</v>
          </cell>
          <cell r="AV339">
            <v>0.5</v>
          </cell>
          <cell r="AX339">
            <v>1.7</v>
          </cell>
          <cell r="BE339">
            <v>25000</v>
          </cell>
          <cell r="BF339">
            <v>15000</v>
          </cell>
          <cell r="BG339">
            <v>35000</v>
          </cell>
          <cell r="BH339">
            <v>140000</v>
          </cell>
          <cell r="BI339">
            <v>35000</v>
          </cell>
          <cell r="BM339" t="str">
            <v>X</v>
          </cell>
          <cell r="BV339" t="str">
            <v>X</v>
          </cell>
          <cell r="BX339">
            <v>2</v>
          </cell>
          <cell r="BY339">
            <v>3</v>
          </cell>
          <cell r="BZ339">
            <v>1</v>
          </cell>
          <cell r="DD339">
            <v>3</v>
          </cell>
        </row>
        <row r="340">
          <cell r="E340" t="str">
            <v>X</v>
          </cell>
          <cell r="N340" t="str">
            <v>ZACATECAS</v>
          </cell>
          <cell r="O340">
            <v>15</v>
          </cell>
          <cell r="AH340">
            <v>1982</v>
          </cell>
          <cell r="AI340">
            <v>1875620</v>
          </cell>
          <cell r="AT340" t="str">
            <v>CUMMINS</v>
          </cell>
          <cell r="AV340">
            <v>0.5</v>
          </cell>
          <cell r="AX340">
            <v>4.4000000000000004</v>
          </cell>
          <cell r="BE340">
            <v>30000</v>
          </cell>
          <cell r="BF340" t="str">
            <v>NO SABE</v>
          </cell>
          <cell r="BG340" t="str">
            <v>NO SABE</v>
          </cell>
          <cell r="BH340" t="str">
            <v>NO SABE</v>
          </cell>
          <cell r="BI340" t="str">
            <v>NO SABE</v>
          </cell>
          <cell r="BJ340" t="str">
            <v>X</v>
          </cell>
          <cell r="BK340" t="str">
            <v>X</v>
          </cell>
          <cell r="BO340" t="str">
            <v>X</v>
          </cell>
          <cell r="BT340" t="str">
            <v>X</v>
          </cell>
          <cell r="BX340">
            <v>3</v>
          </cell>
          <cell r="BY340">
            <v>2</v>
          </cell>
          <cell r="BZ340">
            <v>1</v>
          </cell>
          <cell r="DD340">
            <v>1</v>
          </cell>
        </row>
        <row r="341">
          <cell r="G341" t="str">
            <v>X</v>
          </cell>
          <cell r="N341" t="str">
            <v>D.F.</v>
          </cell>
          <cell r="O341">
            <v>8</v>
          </cell>
          <cell r="Q341" t="str">
            <v>X</v>
          </cell>
          <cell r="AH341">
            <v>1976</v>
          </cell>
          <cell r="AI341" t="str">
            <v>DAÑADO</v>
          </cell>
          <cell r="AT341" t="str">
            <v>CUMMINS</v>
          </cell>
          <cell r="AV341">
            <v>0.1</v>
          </cell>
          <cell r="AX341">
            <v>3.9</v>
          </cell>
          <cell r="BE341">
            <v>28000</v>
          </cell>
          <cell r="BF341" t="str">
            <v>NO SABE</v>
          </cell>
          <cell r="BG341" t="str">
            <v>NO SABE</v>
          </cell>
          <cell r="BH341" t="str">
            <v>NO SABE</v>
          </cell>
          <cell r="BI341" t="str">
            <v>NO SABE</v>
          </cell>
          <cell r="BJ341" t="str">
            <v>X</v>
          </cell>
          <cell r="BK341" t="str">
            <v>X</v>
          </cell>
          <cell r="BO341" t="str">
            <v>X</v>
          </cell>
          <cell r="BT341" t="str">
            <v>X</v>
          </cell>
          <cell r="BX341">
            <v>2</v>
          </cell>
          <cell r="BY341">
            <v>1</v>
          </cell>
          <cell r="BZ341">
            <v>3</v>
          </cell>
          <cell r="DD341">
            <v>3</v>
          </cell>
        </row>
        <row r="342">
          <cell r="G342" t="str">
            <v>X</v>
          </cell>
          <cell r="N342" t="str">
            <v>MICHOACAN</v>
          </cell>
          <cell r="O342">
            <v>25</v>
          </cell>
          <cell r="Q342" t="str">
            <v>X</v>
          </cell>
          <cell r="AH342">
            <v>1987</v>
          </cell>
          <cell r="AI342" t="str">
            <v>DAÑADO</v>
          </cell>
          <cell r="AT342" t="str">
            <v>DINA</v>
          </cell>
          <cell r="AV342">
            <v>0.5</v>
          </cell>
          <cell r="AX342">
            <v>3.5</v>
          </cell>
          <cell r="BE342">
            <v>30000</v>
          </cell>
          <cell r="BF342" t="str">
            <v>NO SABE</v>
          </cell>
          <cell r="BG342">
            <v>30000</v>
          </cell>
          <cell r="BH342" t="str">
            <v>NO SABE</v>
          </cell>
          <cell r="BI342" t="str">
            <v>NO SABE</v>
          </cell>
          <cell r="BJ342" t="str">
            <v>X</v>
          </cell>
          <cell r="BK342" t="str">
            <v>X</v>
          </cell>
          <cell r="BO342" t="str">
            <v>X</v>
          </cell>
          <cell r="BT342" t="str">
            <v>X</v>
          </cell>
          <cell r="BX342">
            <v>3</v>
          </cell>
          <cell r="BY342">
            <v>2</v>
          </cell>
          <cell r="BZ342">
            <v>1</v>
          </cell>
          <cell r="DD342">
            <v>3</v>
          </cell>
        </row>
        <row r="343">
          <cell r="E343" t="str">
            <v>X</v>
          </cell>
          <cell r="N343" t="str">
            <v>SAN LUIS POTOSI</v>
          </cell>
          <cell r="O343">
            <v>10</v>
          </cell>
          <cell r="AH343">
            <v>1985</v>
          </cell>
          <cell r="AI343" t="str">
            <v>DAÑADO</v>
          </cell>
          <cell r="AT343" t="str">
            <v>CHEVROLET</v>
          </cell>
          <cell r="AV343">
            <v>0.5</v>
          </cell>
          <cell r="AX343">
            <v>4.7</v>
          </cell>
          <cell r="BE343">
            <v>20000</v>
          </cell>
          <cell r="BF343" t="str">
            <v>NO SABE</v>
          </cell>
          <cell r="BG343" t="str">
            <v>NO SABE</v>
          </cell>
          <cell r="BH343" t="str">
            <v>NO SABE</v>
          </cell>
          <cell r="BI343" t="str">
            <v>NO APLICA</v>
          </cell>
          <cell r="BJ343" t="str">
            <v>X</v>
          </cell>
          <cell r="BK343" t="str">
            <v>X</v>
          </cell>
          <cell r="BO343" t="str">
            <v>X</v>
          </cell>
          <cell r="BT343" t="str">
            <v>X</v>
          </cell>
          <cell r="BX343">
            <v>2</v>
          </cell>
          <cell r="BY343">
            <v>3</v>
          </cell>
          <cell r="BZ343">
            <v>1</v>
          </cell>
          <cell r="DD343">
            <v>1</v>
          </cell>
        </row>
        <row r="344">
          <cell r="E344" t="str">
            <v>X</v>
          </cell>
          <cell r="N344" t="str">
            <v>JALISCO</v>
          </cell>
          <cell r="O344">
            <v>30</v>
          </cell>
          <cell r="Q344" t="str">
            <v>X</v>
          </cell>
          <cell r="AH344">
            <v>1998</v>
          </cell>
          <cell r="AI344">
            <v>1322678</v>
          </cell>
          <cell r="AT344" t="str">
            <v>CUMMINS</v>
          </cell>
          <cell r="AV344">
            <v>0.5</v>
          </cell>
          <cell r="AX344">
            <v>3.2</v>
          </cell>
          <cell r="BE344">
            <v>15000</v>
          </cell>
          <cell r="BF344">
            <v>180000</v>
          </cell>
          <cell r="BG344">
            <v>30000</v>
          </cell>
          <cell r="BH344">
            <v>150000</v>
          </cell>
          <cell r="BI344" t="str">
            <v>NO SABE</v>
          </cell>
          <cell r="BJ344" t="str">
            <v>X</v>
          </cell>
          <cell r="BK344" t="str">
            <v>X</v>
          </cell>
          <cell r="BO344" t="str">
            <v>X</v>
          </cell>
          <cell r="BT344" t="str">
            <v>X</v>
          </cell>
          <cell r="BX344">
            <v>3</v>
          </cell>
          <cell r="BY344">
            <v>2</v>
          </cell>
          <cell r="BZ344">
            <v>1</v>
          </cell>
          <cell r="DD344">
            <v>1</v>
          </cell>
        </row>
        <row r="345">
          <cell r="H345" t="str">
            <v>X</v>
          </cell>
          <cell r="N345" t="str">
            <v>JALISCO</v>
          </cell>
          <cell r="O345">
            <v>15</v>
          </cell>
          <cell r="S345" t="str">
            <v>X</v>
          </cell>
          <cell r="U345" t="str">
            <v>X</v>
          </cell>
          <cell r="AH345">
            <v>2003</v>
          </cell>
          <cell r="AI345">
            <v>729811</v>
          </cell>
          <cell r="AT345" t="str">
            <v>CUMMINS</v>
          </cell>
          <cell r="AV345">
            <v>0.5</v>
          </cell>
          <cell r="AX345">
            <v>2.4</v>
          </cell>
          <cell r="BE345">
            <v>25000</v>
          </cell>
          <cell r="BF345">
            <v>200000</v>
          </cell>
          <cell r="BG345">
            <v>25000</v>
          </cell>
          <cell r="BH345">
            <v>120000</v>
          </cell>
          <cell r="BI345" t="str">
            <v>NO SABE</v>
          </cell>
          <cell r="BK345" t="str">
            <v>X</v>
          </cell>
          <cell r="BM345" t="str">
            <v>X</v>
          </cell>
          <cell r="BN345" t="str">
            <v>X</v>
          </cell>
          <cell r="BO345" t="str">
            <v>X</v>
          </cell>
          <cell r="BP345" t="str">
            <v>X</v>
          </cell>
          <cell r="BU345" t="str">
            <v>X</v>
          </cell>
          <cell r="BX345">
            <v>1</v>
          </cell>
          <cell r="BY345">
            <v>3</v>
          </cell>
          <cell r="BZ345">
            <v>2</v>
          </cell>
          <cell r="DD345">
            <v>7</v>
          </cell>
        </row>
        <row r="346">
          <cell r="E346" t="str">
            <v>X</v>
          </cell>
          <cell r="N346" t="str">
            <v>GUANAJUATO</v>
          </cell>
          <cell r="O346">
            <v>12</v>
          </cell>
          <cell r="S346" t="str">
            <v>X</v>
          </cell>
          <cell r="V346" t="str">
            <v>X</v>
          </cell>
          <cell r="AH346">
            <v>2002</v>
          </cell>
          <cell r="AI346">
            <v>989615</v>
          </cell>
          <cell r="AT346" t="str">
            <v>DETROIT</v>
          </cell>
          <cell r="AV346">
            <v>0.1</v>
          </cell>
          <cell r="AX346">
            <v>2.5</v>
          </cell>
          <cell r="BE346">
            <v>20000</v>
          </cell>
          <cell r="BF346">
            <v>120000</v>
          </cell>
          <cell r="BG346">
            <v>20000</v>
          </cell>
          <cell r="BH346">
            <v>120000</v>
          </cell>
          <cell r="BI346" t="str">
            <v>NO SABE</v>
          </cell>
          <cell r="BJ346" t="str">
            <v>X</v>
          </cell>
          <cell r="BK346" t="str">
            <v>X</v>
          </cell>
          <cell r="BN346" t="str">
            <v>X</v>
          </cell>
          <cell r="BQ346" t="str">
            <v>X</v>
          </cell>
          <cell r="BU346" t="str">
            <v>X</v>
          </cell>
          <cell r="BX346">
            <v>1</v>
          </cell>
          <cell r="BY346">
            <v>2</v>
          </cell>
          <cell r="BZ346">
            <v>3</v>
          </cell>
          <cell r="DD346">
            <v>1</v>
          </cell>
        </row>
        <row r="347">
          <cell r="G347" t="str">
            <v>X</v>
          </cell>
          <cell r="N347" t="str">
            <v>NAYARIT</v>
          </cell>
          <cell r="O347">
            <v>20</v>
          </cell>
          <cell r="S347" t="str">
            <v>X</v>
          </cell>
          <cell r="U347" t="str">
            <v>X</v>
          </cell>
          <cell r="AH347">
            <v>2003</v>
          </cell>
          <cell r="AI347">
            <v>862115</v>
          </cell>
          <cell r="AT347" t="str">
            <v>CUMMINS</v>
          </cell>
          <cell r="AV347">
            <v>0.05</v>
          </cell>
          <cell r="AX347">
            <v>2.4</v>
          </cell>
          <cell r="BE347">
            <v>25000</v>
          </cell>
          <cell r="BF347">
            <v>150000</v>
          </cell>
          <cell r="BG347">
            <v>25000</v>
          </cell>
          <cell r="BH347">
            <v>100000</v>
          </cell>
          <cell r="BI347" t="str">
            <v>NO SABE</v>
          </cell>
          <cell r="BK347" t="str">
            <v>X</v>
          </cell>
          <cell r="BM347" t="str">
            <v>X</v>
          </cell>
          <cell r="BN347" t="str">
            <v>X</v>
          </cell>
          <cell r="BP347" t="str">
            <v>X</v>
          </cell>
          <cell r="BU347" t="str">
            <v>X</v>
          </cell>
          <cell r="BX347">
            <v>1</v>
          </cell>
          <cell r="BY347">
            <v>3</v>
          </cell>
          <cell r="BZ347">
            <v>2</v>
          </cell>
          <cell r="DD347">
            <v>3</v>
          </cell>
        </row>
        <row r="348">
          <cell r="E348" t="str">
            <v>X</v>
          </cell>
          <cell r="N348" t="str">
            <v>OAXACA</v>
          </cell>
          <cell r="O348">
            <v>30</v>
          </cell>
          <cell r="Q348" t="str">
            <v>X</v>
          </cell>
          <cell r="AH348">
            <v>1995</v>
          </cell>
          <cell r="AI348" t="str">
            <v>DAÑADO</v>
          </cell>
          <cell r="AT348" t="str">
            <v>CUMMINS</v>
          </cell>
          <cell r="AV348">
            <v>0.2</v>
          </cell>
          <cell r="AX348">
            <v>3.1</v>
          </cell>
          <cell r="BE348">
            <v>18000</v>
          </cell>
          <cell r="BF348" t="str">
            <v>NO SABE</v>
          </cell>
          <cell r="BG348">
            <v>36000</v>
          </cell>
          <cell r="BH348">
            <v>100000</v>
          </cell>
          <cell r="BI348" t="str">
            <v>NO SABE</v>
          </cell>
          <cell r="BK348" t="str">
            <v>X</v>
          </cell>
          <cell r="BO348" t="str">
            <v>X</v>
          </cell>
          <cell r="BT348" t="str">
            <v>X</v>
          </cell>
          <cell r="BX348">
            <v>3</v>
          </cell>
          <cell r="BY348">
            <v>2</v>
          </cell>
          <cell r="BZ348">
            <v>1</v>
          </cell>
          <cell r="DD348">
            <v>1</v>
          </cell>
        </row>
        <row r="349">
          <cell r="H349" t="str">
            <v>X</v>
          </cell>
          <cell r="N349" t="str">
            <v>NVO. LEON</v>
          </cell>
          <cell r="O349">
            <v>12</v>
          </cell>
          <cell r="S349" t="str">
            <v>X</v>
          </cell>
          <cell r="U349" t="str">
            <v>X</v>
          </cell>
          <cell r="AH349">
            <v>2007</v>
          </cell>
          <cell r="AI349">
            <v>713214</v>
          </cell>
          <cell r="AT349" t="str">
            <v>DETROIT</v>
          </cell>
          <cell r="AV349">
            <v>0</v>
          </cell>
          <cell r="AX349">
            <v>2.5</v>
          </cell>
          <cell r="BE349">
            <v>18000</v>
          </cell>
          <cell r="BF349">
            <v>220000</v>
          </cell>
          <cell r="BG349">
            <v>24000</v>
          </cell>
          <cell r="BH349">
            <v>180000</v>
          </cell>
          <cell r="BI349" t="str">
            <v>NO SABE</v>
          </cell>
          <cell r="BN349" t="str">
            <v>X</v>
          </cell>
          <cell r="BP349" t="str">
            <v>X</v>
          </cell>
          <cell r="BV349" t="str">
            <v>X</v>
          </cell>
          <cell r="BX349">
            <v>1</v>
          </cell>
          <cell r="BY349">
            <v>3</v>
          </cell>
          <cell r="BZ349">
            <v>2</v>
          </cell>
          <cell r="DD349">
            <v>7</v>
          </cell>
        </row>
        <row r="350">
          <cell r="H350" t="str">
            <v>X</v>
          </cell>
          <cell r="N350" t="str">
            <v>HIDALGO</v>
          </cell>
          <cell r="O350">
            <v>22</v>
          </cell>
          <cell r="S350" t="str">
            <v>X</v>
          </cell>
          <cell r="U350" t="str">
            <v>X</v>
          </cell>
          <cell r="AH350">
            <v>2008</v>
          </cell>
          <cell r="AI350">
            <v>478213</v>
          </cell>
          <cell r="AT350" t="str">
            <v>CUMMINS</v>
          </cell>
          <cell r="AV350">
            <v>0</v>
          </cell>
          <cell r="AX350">
            <v>2.5</v>
          </cell>
          <cell r="BE350">
            <v>18000</v>
          </cell>
          <cell r="BF350">
            <v>140000</v>
          </cell>
          <cell r="BG350">
            <v>36000</v>
          </cell>
          <cell r="BH350">
            <v>140000</v>
          </cell>
          <cell r="BI350" t="str">
            <v>NO SABE</v>
          </cell>
          <cell r="BM350" t="str">
            <v>X</v>
          </cell>
          <cell r="BN350" t="str">
            <v>X</v>
          </cell>
          <cell r="BP350" t="str">
            <v>X</v>
          </cell>
          <cell r="BV350" t="str">
            <v>X</v>
          </cell>
          <cell r="BX350">
            <v>1</v>
          </cell>
          <cell r="BY350">
            <v>3</v>
          </cell>
          <cell r="BZ350">
            <v>2</v>
          </cell>
          <cell r="DD350">
            <v>7</v>
          </cell>
        </row>
        <row r="351">
          <cell r="F351" t="str">
            <v>X</v>
          </cell>
          <cell r="N351" t="str">
            <v>GUANAJUATO</v>
          </cell>
          <cell r="O351">
            <v>10</v>
          </cell>
          <cell r="S351" t="str">
            <v>X</v>
          </cell>
          <cell r="U351" t="str">
            <v>X</v>
          </cell>
          <cell r="AH351">
            <v>2009</v>
          </cell>
          <cell r="AI351">
            <v>363248</v>
          </cell>
          <cell r="AT351" t="str">
            <v>DETROIT</v>
          </cell>
          <cell r="AV351">
            <v>0.1</v>
          </cell>
          <cell r="AX351">
            <v>2.4</v>
          </cell>
          <cell r="BE351">
            <v>20000</v>
          </cell>
          <cell r="BF351">
            <v>160000</v>
          </cell>
          <cell r="BG351">
            <v>25000</v>
          </cell>
          <cell r="BH351">
            <v>120000</v>
          </cell>
          <cell r="BI351" t="str">
            <v>NO SABE</v>
          </cell>
          <cell r="BN351" t="str">
            <v>X</v>
          </cell>
          <cell r="BP351" t="str">
            <v>X</v>
          </cell>
          <cell r="BV351" t="str">
            <v>X</v>
          </cell>
          <cell r="BX351">
            <v>2</v>
          </cell>
          <cell r="BY351">
            <v>3</v>
          </cell>
          <cell r="BZ351">
            <v>1</v>
          </cell>
          <cell r="DD351">
            <v>2</v>
          </cell>
        </row>
        <row r="352">
          <cell r="G352" t="str">
            <v>X</v>
          </cell>
          <cell r="N352" t="str">
            <v>GUANAJUATO</v>
          </cell>
          <cell r="O352">
            <v>15</v>
          </cell>
          <cell r="S352" t="str">
            <v>X</v>
          </cell>
          <cell r="U352" t="str">
            <v>X</v>
          </cell>
          <cell r="AH352">
            <v>2006</v>
          </cell>
          <cell r="AI352">
            <v>523219</v>
          </cell>
          <cell r="AT352" t="str">
            <v>CUMMINS</v>
          </cell>
          <cell r="AV352">
            <v>0.5</v>
          </cell>
          <cell r="AX352">
            <v>2.5</v>
          </cell>
          <cell r="BE352">
            <v>18000</v>
          </cell>
          <cell r="BF352" t="str">
            <v>NO SABE</v>
          </cell>
          <cell r="BG352">
            <v>24000</v>
          </cell>
          <cell r="BH352">
            <v>120000</v>
          </cell>
          <cell r="BI352" t="str">
            <v>NO SABE</v>
          </cell>
          <cell r="BN352" t="str">
            <v>X</v>
          </cell>
          <cell r="BP352" t="str">
            <v>X</v>
          </cell>
          <cell r="BV352" t="str">
            <v>X</v>
          </cell>
          <cell r="BX352">
            <v>1</v>
          </cell>
          <cell r="BY352">
            <v>2</v>
          </cell>
          <cell r="BZ352">
            <v>3</v>
          </cell>
          <cell r="DD352">
            <v>3</v>
          </cell>
        </row>
        <row r="353">
          <cell r="E353" t="str">
            <v>X</v>
          </cell>
          <cell r="N353" t="str">
            <v>COAHUILA</v>
          </cell>
          <cell r="O353">
            <v>1</v>
          </cell>
          <cell r="S353" t="str">
            <v>X</v>
          </cell>
          <cell r="AH353">
            <v>2004</v>
          </cell>
          <cell r="AI353">
            <v>651733</v>
          </cell>
          <cell r="AT353" t="str">
            <v>CUMMINS</v>
          </cell>
          <cell r="AV353">
            <v>0.05</v>
          </cell>
          <cell r="AX353">
            <v>1.5</v>
          </cell>
          <cell r="BE353">
            <v>20000</v>
          </cell>
          <cell r="BF353">
            <v>120000</v>
          </cell>
          <cell r="BG353">
            <v>20000</v>
          </cell>
          <cell r="BH353">
            <v>120000</v>
          </cell>
          <cell r="BI353" t="str">
            <v>NO SABE</v>
          </cell>
          <cell r="BN353" t="str">
            <v>X</v>
          </cell>
          <cell r="BV353" t="str">
            <v>X</v>
          </cell>
          <cell r="BX353">
            <v>1</v>
          </cell>
          <cell r="BY353">
            <v>3</v>
          </cell>
          <cell r="BZ353">
            <v>2</v>
          </cell>
          <cell r="DD353">
            <v>1</v>
          </cell>
        </row>
        <row r="354">
          <cell r="G354" t="str">
            <v>X</v>
          </cell>
          <cell r="N354" t="str">
            <v>GUANAJUATO</v>
          </cell>
          <cell r="O354">
            <v>10</v>
          </cell>
          <cell r="S354" t="str">
            <v>X</v>
          </cell>
          <cell r="AH354">
            <v>2011</v>
          </cell>
          <cell r="AI354">
            <v>490372</v>
          </cell>
          <cell r="AT354" t="str">
            <v>CUMMINS</v>
          </cell>
          <cell r="AV354">
            <v>0.5</v>
          </cell>
          <cell r="AX354">
            <v>2.6</v>
          </cell>
          <cell r="BE354">
            <v>25000</v>
          </cell>
          <cell r="BF354">
            <v>150000</v>
          </cell>
          <cell r="BG354">
            <v>25000</v>
          </cell>
          <cell r="BH354">
            <v>150000</v>
          </cell>
          <cell r="BI354" t="str">
            <v>NO SABE</v>
          </cell>
          <cell r="BM354" t="str">
            <v>X</v>
          </cell>
          <cell r="BN354" t="str">
            <v>X</v>
          </cell>
          <cell r="BV354" t="str">
            <v>X</v>
          </cell>
          <cell r="BX354">
            <v>1</v>
          </cell>
          <cell r="BY354">
            <v>3</v>
          </cell>
          <cell r="BZ354">
            <v>2</v>
          </cell>
          <cell r="DD354">
            <v>3</v>
          </cell>
        </row>
        <row r="355">
          <cell r="H355" t="str">
            <v>X</v>
          </cell>
          <cell r="N355" t="str">
            <v>JALISCO</v>
          </cell>
          <cell r="O355">
            <v>20</v>
          </cell>
          <cell r="S355" t="str">
            <v>X</v>
          </cell>
          <cell r="AH355">
            <v>2008</v>
          </cell>
          <cell r="AI355">
            <v>550273</v>
          </cell>
          <cell r="AT355" t="str">
            <v>CUMMINS</v>
          </cell>
          <cell r="AV355">
            <v>0.3</v>
          </cell>
          <cell r="AX355">
            <v>1.4</v>
          </cell>
          <cell r="BE355">
            <v>18000</v>
          </cell>
          <cell r="BF355">
            <v>100000</v>
          </cell>
          <cell r="BG355">
            <v>24000</v>
          </cell>
          <cell r="BH355">
            <v>100000</v>
          </cell>
          <cell r="BI355" t="str">
            <v>NO SABE</v>
          </cell>
          <cell r="BM355" t="str">
            <v>X</v>
          </cell>
          <cell r="BN355" t="str">
            <v>X</v>
          </cell>
          <cell r="BP355" t="str">
            <v>X</v>
          </cell>
          <cell r="BV355" t="str">
            <v>X</v>
          </cell>
          <cell r="BX355">
            <v>1</v>
          </cell>
          <cell r="BY355">
            <v>3</v>
          </cell>
          <cell r="BZ355">
            <v>2</v>
          </cell>
          <cell r="DD355">
            <v>7</v>
          </cell>
        </row>
        <row r="356">
          <cell r="H356" t="str">
            <v>X</v>
          </cell>
          <cell r="N356" t="str">
            <v>GUANAJUATO</v>
          </cell>
          <cell r="O356">
            <v>5</v>
          </cell>
          <cell r="S356" t="str">
            <v>X</v>
          </cell>
          <cell r="U356" t="str">
            <v>X</v>
          </cell>
          <cell r="AH356">
            <v>2000</v>
          </cell>
          <cell r="AI356">
            <v>1053216</v>
          </cell>
          <cell r="AT356" t="str">
            <v>CUMMINS</v>
          </cell>
          <cell r="AV356">
            <v>0.1</v>
          </cell>
          <cell r="AX356">
            <v>2.4</v>
          </cell>
          <cell r="BE356">
            <v>24000</v>
          </cell>
          <cell r="BF356" t="str">
            <v>NO SABE</v>
          </cell>
          <cell r="BG356">
            <v>24000</v>
          </cell>
          <cell r="BH356">
            <v>100000</v>
          </cell>
          <cell r="BI356" t="str">
            <v>NO SABE</v>
          </cell>
          <cell r="BN356" t="str">
            <v>X</v>
          </cell>
          <cell r="BP356" t="str">
            <v>X</v>
          </cell>
          <cell r="BV356" t="str">
            <v>X</v>
          </cell>
          <cell r="BX356">
            <v>1</v>
          </cell>
          <cell r="BY356">
            <v>3</v>
          </cell>
          <cell r="BZ356">
            <v>2</v>
          </cell>
          <cell r="DD356">
            <v>7</v>
          </cell>
        </row>
        <row r="357">
          <cell r="H357" t="str">
            <v>X</v>
          </cell>
          <cell r="N357" t="str">
            <v>QUERÉTARO</v>
          </cell>
          <cell r="O357">
            <v>15</v>
          </cell>
          <cell r="S357" t="str">
            <v>X</v>
          </cell>
          <cell r="AH357">
            <v>2008</v>
          </cell>
          <cell r="AI357">
            <v>425617</v>
          </cell>
          <cell r="AT357" t="str">
            <v>CUMMINS</v>
          </cell>
          <cell r="AV357">
            <v>0</v>
          </cell>
          <cell r="AX357">
            <v>2.4</v>
          </cell>
          <cell r="BE357">
            <v>16000</v>
          </cell>
          <cell r="BF357">
            <v>120000</v>
          </cell>
          <cell r="BG357">
            <v>32000</v>
          </cell>
          <cell r="BH357">
            <v>120000</v>
          </cell>
          <cell r="BI357" t="str">
            <v>NO SABE</v>
          </cell>
          <cell r="BN357" t="str">
            <v>X</v>
          </cell>
          <cell r="BP357" t="str">
            <v>X</v>
          </cell>
          <cell r="BV357" t="str">
            <v>X</v>
          </cell>
          <cell r="BX357">
            <v>1</v>
          </cell>
          <cell r="BY357">
            <v>3</v>
          </cell>
          <cell r="BZ357">
            <v>2</v>
          </cell>
          <cell r="DD357">
            <v>7</v>
          </cell>
        </row>
        <row r="358">
          <cell r="E358" t="str">
            <v>X</v>
          </cell>
          <cell r="N358" t="str">
            <v>GUANAJUATO</v>
          </cell>
          <cell r="O358">
            <v>2</v>
          </cell>
          <cell r="S358" t="str">
            <v>X</v>
          </cell>
          <cell r="U358" t="str">
            <v>X</v>
          </cell>
          <cell r="AH358">
            <v>2003</v>
          </cell>
          <cell r="AI358">
            <v>658299</v>
          </cell>
          <cell r="AT358" t="str">
            <v>CUMMINS</v>
          </cell>
          <cell r="AV358">
            <v>0.1</v>
          </cell>
          <cell r="AX358">
            <v>2.4</v>
          </cell>
          <cell r="BE358">
            <v>24000</v>
          </cell>
          <cell r="BF358">
            <v>130000</v>
          </cell>
          <cell r="BG358">
            <v>24000</v>
          </cell>
          <cell r="BH358">
            <v>130000</v>
          </cell>
          <cell r="BI358" t="str">
            <v xml:space="preserve">NO SABE </v>
          </cell>
          <cell r="BN358" t="str">
            <v>X</v>
          </cell>
          <cell r="BP358" t="str">
            <v>X</v>
          </cell>
          <cell r="BV358" t="str">
            <v>X</v>
          </cell>
          <cell r="BX358">
            <v>1</v>
          </cell>
          <cell r="BY358">
            <v>3</v>
          </cell>
          <cell r="BZ358">
            <v>2</v>
          </cell>
          <cell r="DD358">
            <v>1</v>
          </cell>
        </row>
        <row r="359">
          <cell r="E359" t="str">
            <v>X</v>
          </cell>
          <cell r="N359" t="str">
            <v>MICHOACAN</v>
          </cell>
          <cell r="O359">
            <v>38</v>
          </cell>
          <cell r="S359" t="str">
            <v>X</v>
          </cell>
          <cell r="U359" t="str">
            <v>X</v>
          </cell>
          <cell r="AH359">
            <v>2001</v>
          </cell>
          <cell r="AI359">
            <v>861478</v>
          </cell>
          <cell r="AT359" t="str">
            <v>CUMMINS</v>
          </cell>
          <cell r="AV359">
            <v>0.5</v>
          </cell>
          <cell r="AX359">
            <v>2.5</v>
          </cell>
          <cell r="BE359">
            <v>25000</v>
          </cell>
          <cell r="BF359">
            <v>100000</v>
          </cell>
          <cell r="BG359">
            <v>25000</v>
          </cell>
          <cell r="BH359">
            <v>100000</v>
          </cell>
          <cell r="BI359" t="str">
            <v>NO SABE</v>
          </cell>
          <cell r="BN359" t="str">
            <v>X</v>
          </cell>
          <cell r="BP359" t="str">
            <v>X</v>
          </cell>
          <cell r="BV359" t="str">
            <v>X</v>
          </cell>
          <cell r="BX359">
            <v>1</v>
          </cell>
          <cell r="BY359">
            <v>3</v>
          </cell>
          <cell r="BZ359">
            <v>2</v>
          </cell>
          <cell r="DD359">
            <v>1</v>
          </cell>
        </row>
        <row r="360">
          <cell r="F360" t="str">
            <v>X</v>
          </cell>
          <cell r="N360" t="str">
            <v>GUANAJUATO</v>
          </cell>
          <cell r="O360">
            <v>42</v>
          </cell>
          <cell r="S360" t="str">
            <v>X</v>
          </cell>
          <cell r="U360" t="str">
            <v>X</v>
          </cell>
          <cell r="AH360">
            <v>2006</v>
          </cell>
          <cell r="AI360">
            <v>623850</v>
          </cell>
          <cell r="AT360" t="str">
            <v>DETROIT</v>
          </cell>
          <cell r="AV360">
            <v>0.1</v>
          </cell>
          <cell r="AX360">
            <v>2.5</v>
          </cell>
          <cell r="BE360">
            <v>18000</v>
          </cell>
          <cell r="BF360" t="str">
            <v>NO SABE</v>
          </cell>
          <cell r="BG360">
            <v>24000</v>
          </cell>
          <cell r="BH360">
            <v>150000</v>
          </cell>
          <cell r="BI360" t="str">
            <v>NO SABE</v>
          </cell>
          <cell r="BN360" t="str">
            <v>X</v>
          </cell>
          <cell r="BP360" t="str">
            <v>X</v>
          </cell>
          <cell r="BV360" t="str">
            <v>X</v>
          </cell>
          <cell r="BX360">
            <v>1</v>
          </cell>
          <cell r="BY360">
            <v>3</v>
          </cell>
          <cell r="BZ360">
            <v>2</v>
          </cell>
          <cell r="DD360">
            <v>2</v>
          </cell>
        </row>
        <row r="361">
          <cell r="E361" t="str">
            <v>X</v>
          </cell>
          <cell r="N361" t="str">
            <v>GUANAJUATO</v>
          </cell>
          <cell r="O361">
            <v>33</v>
          </cell>
          <cell r="S361" t="str">
            <v>X</v>
          </cell>
          <cell r="U361" t="str">
            <v>X</v>
          </cell>
          <cell r="AH361">
            <v>2004</v>
          </cell>
          <cell r="AI361">
            <v>715608</v>
          </cell>
          <cell r="AT361" t="str">
            <v>CUMMINS</v>
          </cell>
          <cell r="AV361">
            <v>0.05</v>
          </cell>
          <cell r="AX361">
            <v>2.4</v>
          </cell>
          <cell r="BE361">
            <v>20000</v>
          </cell>
          <cell r="BF361">
            <v>120000</v>
          </cell>
          <cell r="BG361">
            <v>30000</v>
          </cell>
          <cell r="BH361">
            <v>100000</v>
          </cell>
          <cell r="BI361" t="str">
            <v xml:space="preserve">NO SABE </v>
          </cell>
          <cell r="BN361" t="str">
            <v>X</v>
          </cell>
          <cell r="BP361" t="str">
            <v>X</v>
          </cell>
          <cell r="BV361" t="str">
            <v>X</v>
          </cell>
          <cell r="BX361">
            <v>1</v>
          </cell>
          <cell r="BY361">
            <v>3</v>
          </cell>
          <cell r="BZ361">
            <v>2</v>
          </cell>
          <cell r="DD361">
            <v>1</v>
          </cell>
        </row>
        <row r="362">
          <cell r="H362" t="str">
            <v>X</v>
          </cell>
          <cell r="N362" t="str">
            <v>GUANAJUATO</v>
          </cell>
          <cell r="O362">
            <v>17</v>
          </cell>
          <cell r="S362" t="str">
            <v>X</v>
          </cell>
          <cell r="AH362">
            <v>2008</v>
          </cell>
          <cell r="AI362">
            <v>517629</v>
          </cell>
          <cell r="AT362" t="str">
            <v>DETROIT</v>
          </cell>
          <cell r="AV362">
            <v>0.4</v>
          </cell>
          <cell r="AX362">
            <v>1.4</v>
          </cell>
          <cell r="BE362">
            <v>20000</v>
          </cell>
          <cell r="BF362">
            <v>80000</v>
          </cell>
          <cell r="BG362">
            <v>20000</v>
          </cell>
          <cell r="BH362">
            <v>80000</v>
          </cell>
          <cell r="BI362" t="str">
            <v xml:space="preserve">NO SABE </v>
          </cell>
          <cell r="BN362" t="str">
            <v>X</v>
          </cell>
          <cell r="BV362" t="str">
            <v>X</v>
          </cell>
          <cell r="BX362">
            <v>1</v>
          </cell>
          <cell r="BY362">
            <v>2</v>
          </cell>
          <cell r="BZ362">
            <v>3</v>
          </cell>
          <cell r="DD362">
            <v>7</v>
          </cell>
        </row>
        <row r="363">
          <cell r="E363" t="str">
            <v>X</v>
          </cell>
          <cell r="N363" t="str">
            <v>GUANAJUATO</v>
          </cell>
          <cell r="O363">
            <v>5</v>
          </cell>
          <cell r="S363" t="str">
            <v>X</v>
          </cell>
          <cell r="U363" t="str">
            <v>X</v>
          </cell>
          <cell r="AH363">
            <v>2006</v>
          </cell>
          <cell r="AI363">
            <v>712601</v>
          </cell>
          <cell r="AT363" t="str">
            <v>CUMMINS</v>
          </cell>
          <cell r="AV363">
            <v>0.3</v>
          </cell>
          <cell r="AX363">
            <v>2.5</v>
          </cell>
          <cell r="BE363">
            <v>18000</v>
          </cell>
          <cell r="BF363">
            <v>120000</v>
          </cell>
          <cell r="BG363">
            <v>24000</v>
          </cell>
          <cell r="BH363">
            <v>120000</v>
          </cell>
          <cell r="BI363" t="str">
            <v xml:space="preserve">NO SABE </v>
          </cell>
          <cell r="BN363" t="str">
            <v>X</v>
          </cell>
          <cell r="BP363" t="str">
            <v>X</v>
          </cell>
          <cell r="BV363" t="str">
            <v>X</v>
          </cell>
          <cell r="BX363">
            <v>1</v>
          </cell>
          <cell r="BY363">
            <v>3</v>
          </cell>
          <cell r="BZ363">
            <v>2</v>
          </cell>
          <cell r="DD363">
            <v>1</v>
          </cell>
        </row>
        <row r="364">
          <cell r="H364" t="str">
            <v>X</v>
          </cell>
          <cell r="N364" t="str">
            <v>GUANAJUATO</v>
          </cell>
          <cell r="O364">
            <v>6</v>
          </cell>
          <cell r="S364" t="str">
            <v>X</v>
          </cell>
          <cell r="U364" t="str">
            <v>X</v>
          </cell>
          <cell r="AH364">
            <v>2008</v>
          </cell>
          <cell r="AI364">
            <v>453115</v>
          </cell>
          <cell r="AT364" t="str">
            <v>CUMMINS</v>
          </cell>
          <cell r="AV364">
            <v>0.5</v>
          </cell>
          <cell r="AX364">
            <v>2.5</v>
          </cell>
          <cell r="BE364">
            <v>24000</v>
          </cell>
          <cell r="BF364">
            <v>140000</v>
          </cell>
          <cell r="BG364">
            <v>24000</v>
          </cell>
          <cell r="BH364">
            <v>120000</v>
          </cell>
          <cell r="BI364" t="str">
            <v>NO SABE</v>
          </cell>
          <cell r="BM364" t="str">
            <v>X</v>
          </cell>
          <cell r="BN364" t="str">
            <v>X</v>
          </cell>
          <cell r="BP364" t="str">
            <v>X</v>
          </cell>
          <cell r="BU364" t="str">
            <v>X</v>
          </cell>
          <cell r="BX364">
            <v>1</v>
          </cell>
          <cell r="BY364">
            <v>2</v>
          </cell>
          <cell r="BZ364">
            <v>3</v>
          </cell>
          <cell r="DD364">
            <v>7</v>
          </cell>
        </row>
        <row r="365">
          <cell r="G365" t="str">
            <v>X</v>
          </cell>
          <cell r="N365" t="str">
            <v>GUANAJUATO</v>
          </cell>
          <cell r="O365">
            <v>22</v>
          </cell>
          <cell r="S365" t="str">
            <v>X</v>
          </cell>
          <cell r="AH365">
            <v>2007</v>
          </cell>
          <cell r="AI365">
            <v>612828</v>
          </cell>
          <cell r="AT365" t="str">
            <v>DETROIT</v>
          </cell>
          <cell r="AV365">
            <v>0.5</v>
          </cell>
          <cell r="AX365">
            <v>2.2999999999999998</v>
          </cell>
          <cell r="BE365">
            <v>20000</v>
          </cell>
          <cell r="BF365">
            <v>120000</v>
          </cell>
          <cell r="BG365">
            <v>30000</v>
          </cell>
          <cell r="BH365">
            <v>120000</v>
          </cell>
          <cell r="BI365" t="str">
            <v>NO SABE</v>
          </cell>
          <cell r="BN365" t="str">
            <v>X</v>
          </cell>
          <cell r="BU365" t="str">
            <v>X</v>
          </cell>
          <cell r="BX365">
            <v>2</v>
          </cell>
          <cell r="BY365">
            <v>1</v>
          </cell>
          <cell r="BZ365">
            <v>3</v>
          </cell>
          <cell r="DD365">
            <v>3</v>
          </cell>
        </row>
        <row r="366">
          <cell r="H366" t="str">
            <v>X</v>
          </cell>
          <cell r="N366" t="str">
            <v>NVO. LEON</v>
          </cell>
          <cell r="O366">
            <v>18</v>
          </cell>
          <cell r="S366" t="str">
            <v>X</v>
          </cell>
          <cell r="U366" t="str">
            <v>X</v>
          </cell>
          <cell r="AH366">
            <v>2009</v>
          </cell>
          <cell r="AI366">
            <v>375213</v>
          </cell>
          <cell r="AT366" t="str">
            <v>CUMMINS</v>
          </cell>
          <cell r="AV366">
            <v>0.5</v>
          </cell>
          <cell r="AX366">
            <v>2.5</v>
          </cell>
          <cell r="BE366">
            <v>20000</v>
          </cell>
          <cell r="BF366" t="str">
            <v>NO SABE</v>
          </cell>
          <cell r="BG366">
            <v>20000</v>
          </cell>
          <cell r="BH366">
            <v>120000</v>
          </cell>
          <cell r="BI366" t="str">
            <v>NO SABE</v>
          </cell>
          <cell r="BN366" t="str">
            <v>X</v>
          </cell>
          <cell r="BP366" t="str">
            <v>X</v>
          </cell>
          <cell r="BV366" t="str">
            <v>X</v>
          </cell>
          <cell r="BX366">
            <v>1</v>
          </cell>
          <cell r="BY366">
            <v>3</v>
          </cell>
          <cell r="BZ366">
            <v>2</v>
          </cell>
          <cell r="DD366">
            <v>7</v>
          </cell>
        </row>
        <row r="367">
          <cell r="G367" t="str">
            <v>X</v>
          </cell>
          <cell r="N367" t="str">
            <v>GUANAJUATO</v>
          </cell>
          <cell r="O367">
            <v>4</v>
          </cell>
          <cell r="S367" t="str">
            <v>X</v>
          </cell>
          <cell r="U367" t="str">
            <v>X</v>
          </cell>
          <cell r="AH367">
            <v>2005</v>
          </cell>
          <cell r="AI367">
            <v>654812</v>
          </cell>
          <cell r="AT367" t="str">
            <v>DETROIT</v>
          </cell>
          <cell r="AV367">
            <v>0.1</v>
          </cell>
          <cell r="AX367">
            <v>2.5</v>
          </cell>
          <cell r="BE367">
            <v>18000</v>
          </cell>
          <cell r="BF367">
            <v>180000</v>
          </cell>
          <cell r="BG367">
            <v>30000</v>
          </cell>
          <cell r="BH367">
            <v>120000</v>
          </cell>
          <cell r="BI367" t="str">
            <v>NO SABE</v>
          </cell>
          <cell r="BN367" t="str">
            <v>X</v>
          </cell>
          <cell r="BP367" t="str">
            <v>X</v>
          </cell>
          <cell r="BU367" t="str">
            <v>X</v>
          </cell>
          <cell r="BX367">
            <v>1</v>
          </cell>
          <cell r="BY367">
            <v>2</v>
          </cell>
          <cell r="BZ367">
            <v>3</v>
          </cell>
          <cell r="DD367">
            <v>3</v>
          </cell>
        </row>
        <row r="368">
          <cell r="F368" t="str">
            <v>X</v>
          </cell>
          <cell r="N368" t="str">
            <v>GUANAJUATO</v>
          </cell>
          <cell r="O368">
            <v>40</v>
          </cell>
          <cell r="S368" t="str">
            <v>X</v>
          </cell>
          <cell r="AH368">
            <v>2004</v>
          </cell>
          <cell r="AI368">
            <v>768496</v>
          </cell>
          <cell r="AT368" t="str">
            <v>CUMMINS</v>
          </cell>
          <cell r="AV368">
            <v>0.5</v>
          </cell>
          <cell r="AX368">
            <v>2.5</v>
          </cell>
          <cell r="BE368">
            <v>18000</v>
          </cell>
          <cell r="BF368">
            <v>200000</v>
          </cell>
          <cell r="BG368">
            <v>24000</v>
          </cell>
          <cell r="BH368">
            <v>140000</v>
          </cell>
          <cell r="BI368" t="str">
            <v>NO SABE</v>
          </cell>
          <cell r="BN368" t="str">
            <v>X</v>
          </cell>
          <cell r="BP368" t="str">
            <v>X</v>
          </cell>
          <cell r="BU368" t="str">
            <v>X</v>
          </cell>
          <cell r="BX368">
            <v>2</v>
          </cell>
          <cell r="BY368">
            <v>3</v>
          </cell>
          <cell r="BZ368">
            <v>1</v>
          </cell>
          <cell r="DD368">
            <v>2</v>
          </cell>
        </row>
        <row r="369">
          <cell r="E369" t="str">
            <v>X</v>
          </cell>
          <cell r="N369" t="str">
            <v>GUANAJUATO</v>
          </cell>
          <cell r="O369">
            <v>8</v>
          </cell>
          <cell r="S369" t="str">
            <v>X</v>
          </cell>
          <cell r="AH369">
            <v>2005</v>
          </cell>
          <cell r="AI369">
            <v>823661</v>
          </cell>
          <cell r="AT369" t="str">
            <v>DETROIT</v>
          </cell>
          <cell r="AV369">
            <v>0.3</v>
          </cell>
          <cell r="AX369">
            <v>2.5</v>
          </cell>
          <cell r="BE369">
            <v>20000</v>
          </cell>
          <cell r="BF369">
            <v>100000</v>
          </cell>
          <cell r="BG369">
            <v>25000</v>
          </cell>
          <cell r="BH369">
            <v>100000</v>
          </cell>
          <cell r="BI369" t="str">
            <v>NO SABE</v>
          </cell>
          <cell r="BL369" t="str">
            <v>X</v>
          </cell>
          <cell r="BN369" t="str">
            <v>X</v>
          </cell>
          <cell r="BR369" t="str">
            <v>X</v>
          </cell>
          <cell r="BU369" t="str">
            <v>X</v>
          </cell>
          <cell r="BX369">
            <v>2</v>
          </cell>
          <cell r="BY369">
            <v>3</v>
          </cell>
          <cell r="BZ369">
            <v>4</v>
          </cell>
          <cell r="CA369" t="str">
            <v>SEGURIDAD</v>
          </cell>
          <cell r="DD369">
            <v>1</v>
          </cell>
        </row>
        <row r="370">
          <cell r="E370" t="str">
            <v>X</v>
          </cell>
          <cell r="N370" t="str">
            <v>GUANAJUATO</v>
          </cell>
          <cell r="O370">
            <v>35</v>
          </cell>
          <cell r="S370" t="str">
            <v>X</v>
          </cell>
          <cell r="AH370">
            <v>2004</v>
          </cell>
          <cell r="AI370">
            <v>724392</v>
          </cell>
          <cell r="AT370" t="str">
            <v>CUMMINS</v>
          </cell>
          <cell r="AV370">
            <v>0.25</v>
          </cell>
          <cell r="AX370">
            <v>2.5</v>
          </cell>
          <cell r="BE370">
            <v>18000</v>
          </cell>
          <cell r="BF370">
            <v>120000</v>
          </cell>
          <cell r="BG370">
            <v>36000</v>
          </cell>
          <cell r="BH370">
            <v>120000</v>
          </cell>
          <cell r="BI370" t="str">
            <v>NO SABE</v>
          </cell>
          <cell r="BS370" t="str">
            <v>CONTENEDORES</v>
          </cell>
          <cell r="BV370" t="str">
            <v>X</v>
          </cell>
          <cell r="BX370">
            <v>1</v>
          </cell>
          <cell r="BY370">
            <v>3</v>
          </cell>
          <cell r="BZ370">
            <v>2</v>
          </cell>
          <cell r="DD370">
            <v>1</v>
          </cell>
        </row>
        <row r="371">
          <cell r="H371" t="str">
            <v>X</v>
          </cell>
          <cell r="N371" t="str">
            <v>GUANAJUATO</v>
          </cell>
          <cell r="O371">
            <v>20</v>
          </cell>
          <cell r="S371" t="str">
            <v>X</v>
          </cell>
          <cell r="AH371">
            <v>2008</v>
          </cell>
          <cell r="AI371">
            <v>452820</v>
          </cell>
          <cell r="AT371" t="str">
            <v>NO SABE</v>
          </cell>
          <cell r="AV371">
            <v>0.5</v>
          </cell>
          <cell r="AX371">
            <v>1.4</v>
          </cell>
          <cell r="BE371">
            <v>18000</v>
          </cell>
          <cell r="BF371">
            <v>140000</v>
          </cell>
          <cell r="BG371">
            <v>18000</v>
          </cell>
          <cell r="BH371">
            <v>140000</v>
          </cell>
          <cell r="BI371" t="str">
            <v>NO SABE</v>
          </cell>
          <cell r="BN371" t="str">
            <v>X</v>
          </cell>
          <cell r="BP371" t="str">
            <v>X</v>
          </cell>
          <cell r="BV371" t="str">
            <v>X</v>
          </cell>
          <cell r="BX371">
            <v>1</v>
          </cell>
          <cell r="BY371">
            <v>3</v>
          </cell>
          <cell r="BZ371">
            <v>2</v>
          </cell>
          <cell r="DD371">
            <v>7</v>
          </cell>
        </row>
        <row r="372">
          <cell r="G372" t="str">
            <v>X</v>
          </cell>
          <cell r="N372" t="str">
            <v>GUANAJUATO</v>
          </cell>
          <cell r="O372">
            <v>3</v>
          </cell>
          <cell r="S372" t="str">
            <v>X</v>
          </cell>
          <cell r="AH372">
            <v>2008</v>
          </cell>
          <cell r="AI372">
            <v>388700</v>
          </cell>
          <cell r="AT372" t="str">
            <v>DETROIT</v>
          </cell>
          <cell r="AV372">
            <v>0.5</v>
          </cell>
          <cell r="AX372">
            <v>2.5</v>
          </cell>
          <cell r="BE372">
            <v>16000</v>
          </cell>
          <cell r="BF372">
            <v>180000</v>
          </cell>
          <cell r="BG372">
            <v>24000</v>
          </cell>
          <cell r="BH372">
            <v>120000</v>
          </cell>
          <cell r="BI372" t="str">
            <v>NO SABE</v>
          </cell>
          <cell r="BN372" t="str">
            <v>X</v>
          </cell>
          <cell r="BP372" t="str">
            <v>X</v>
          </cell>
          <cell r="BS372" t="str">
            <v>CONTENEDORES</v>
          </cell>
          <cell r="BU372" t="str">
            <v>X</v>
          </cell>
          <cell r="BX372">
            <v>1</v>
          </cell>
          <cell r="BY372">
            <v>3</v>
          </cell>
          <cell r="BZ372">
            <v>2</v>
          </cell>
          <cell r="DD372">
            <v>3</v>
          </cell>
        </row>
        <row r="373">
          <cell r="G373" t="str">
            <v>X</v>
          </cell>
          <cell r="N373" t="str">
            <v>GUANAJUATO</v>
          </cell>
          <cell r="O373">
            <v>18</v>
          </cell>
          <cell r="S373" t="str">
            <v>X</v>
          </cell>
          <cell r="AH373">
            <v>2006</v>
          </cell>
          <cell r="AI373">
            <v>883708</v>
          </cell>
          <cell r="AT373" t="str">
            <v>CUMMINS</v>
          </cell>
          <cell r="AV373">
            <v>0.25</v>
          </cell>
          <cell r="AX373">
            <v>1.4</v>
          </cell>
          <cell r="BE373">
            <v>24000</v>
          </cell>
          <cell r="BF373">
            <v>100000</v>
          </cell>
          <cell r="BG373">
            <v>24000</v>
          </cell>
          <cell r="BH373">
            <v>100000</v>
          </cell>
          <cell r="BI373" t="str">
            <v>NO SABE</v>
          </cell>
          <cell r="BL373" t="str">
            <v>X</v>
          </cell>
          <cell r="BM373" t="str">
            <v>X</v>
          </cell>
          <cell r="BN373" t="str">
            <v>X</v>
          </cell>
          <cell r="BP373" t="str">
            <v>X</v>
          </cell>
          <cell r="BS373" t="str">
            <v>CONTENEDORES</v>
          </cell>
          <cell r="BU373" t="str">
            <v>X</v>
          </cell>
          <cell r="BX373">
            <v>1</v>
          </cell>
          <cell r="BY373">
            <v>3</v>
          </cell>
          <cell r="BZ373">
            <v>2</v>
          </cell>
          <cell r="DD373">
            <v>3</v>
          </cell>
        </row>
        <row r="374">
          <cell r="H374" t="str">
            <v>X</v>
          </cell>
          <cell r="N374" t="str">
            <v>GUANAJUATO</v>
          </cell>
          <cell r="O374">
            <v>18</v>
          </cell>
          <cell r="S374" t="str">
            <v>X</v>
          </cell>
          <cell r="U374" t="str">
            <v>X</v>
          </cell>
          <cell r="AH374">
            <v>2007</v>
          </cell>
          <cell r="AI374">
            <v>815023</v>
          </cell>
          <cell r="AT374" t="str">
            <v>CUMMINS</v>
          </cell>
          <cell r="AV374">
            <v>0</v>
          </cell>
          <cell r="AX374">
            <v>2.5</v>
          </cell>
          <cell r="BE374">
            <v>18000</v>
          </cell>
          <cell r="BF374">
            <v>200000</v>
          </cell>
          <cell r="BG374">
            <v>36000</v>
          </cell>
          <cell r="BH374">
            <v>110000</v>
          </cell>
          <cell r="BI374" t="str">
            <v>NO SABE</v>
          </cell>
          <cell r="BK374" t="str">
            <v>X</v>
          </cell>
          <cell r="BM374" t="str">
            <v>X</v>
          </cell>
          <cell r="BN374" t="str">
            <v>X</v>
          </cell>
          <cell r="BP374" t="str">
            <v>X</v>
          </cell>
          <cell r="BV374" t="str">
            <v>X</v>
          </cell>
          <cell r="BX374">
            <v>1</v>
          </cell>
          <cell r="BY374">
            <v>2</v>
          </cell>
          <cell r="BZ374">
            <v>3</v>
          </cell>
          <cell r="DD374">
            <v>7</v>
          </cell>
        </row>
        <row r="375">
          <cell r="G375" t="str">
            <v>X</v>
          </cell>
          <cell r="N375" t="str">
            <v>GUANAJUATO</v>
          </cell>
          <cell r="O375">
            <v>8</v>
          </cell>
          <cell r="U375" t="str">
            <v>X</v>
          </cell>
          <cell r="AH375">
            <v>2009</v>
          </cell>
          <cell r="AI375">
            <v>289105</v>
          </cell>
          <cell r="AT375" t="str">
            <v>CUMMINS</v>
          </cell>
          <cell r="AV375">
            <v>0</v>
          </cell>
          <cell r="AX375">
            <v>4.0999999999999996</v>
          </cell>
          <cell r="BE375">
            <v>20000</v>
          </cell>
          <cell r="BF375">
            <v>120000</v>
          </cell>
          <cell r="BG375">
            <v>20000</v>
          </cell>
          <cell r="BH375">
            <v>120000</v>
          </cell>
          <cell r="BI375" t="str">
            <v>NO SABE</v>
          </cell>
          <cell r="BK375" t="str">
            <v>X</v>
          </cell>
          <cell r="BN375" t="str">
            <v>X</v>
          </cell>
          <cell r="BV375" t="str">
            <v>X</v>
          </cell>
          <cell r="BX375">
            <v>2</v>
          </cell>
          <cell r="BY375">
            <v>3</v>
          </cell>
          <cell r="BZ375">
            <v>1</v>
          </cell>
          <cell r="DD375">
            <v>3</v>
          </cell>
        </row>
        <row r="376">
          <cell r="G376" t="str">
            <v>X</v>
          </cell>
          <cell r="N376" t="str">
            <v>GUANAJUATO</v>
          </cell>
          <cell r="O376">
            <v>18</v>
          </cell>
          <cell r="S376" t="str">
            <v>X</v>
          </cell>
          <cell r="AH376">
            <v>2002</v>
          </cell>
          <cell r="AI376">
            <v>678502</v>
          </cell>
          <cell r="AT376" t="str">
            <v>CUMMINS</v>
          </cell>
          <cell r="AV376">
            <v>0.5</v>
          </cell>
          <cell r="AX376">
            <v>2.1</v>
          </cell>
          <cell r="BE376">
            <v>25000</v>
          </cell>
          <cell r="BF376">
            <v>100000</v>
          </cell>
          <cell r="BG376">
            <v>25000</v>
          </cell>
          <cell r="BH376">
            <v>100000</v>
          </cell>
          <cell r="BI376" t="str">
            <v>NO SABE</v>
          </cell>
          <cell r="BM376" t="str">
            <v>X</v>
          </cell>
          <cell r="BU376" t="str">
            <v>X</v>
          </cell>
          <cell r="BX376">
            <v>3</v>
          </cell>
          <cell r="BY376">
            <v>2</v>
          </cell>
          <cell r="BZ376">
            <v>1</v>
          </cell>
          <cell r="DD376">
            <v>3</v>
          </cell>
        </row>
        <row r="377">
          <cell r="E377" t="str">
            <v>X</v>
          </cell>
          <cell r="N377" t="str">
            <v>GUANAJUATO</v>
          </cell>
          <cell r="O377">
            <v>30</v>
          </cell>
          <cell r="S377" t="str">
            <v>X</v>
          </cell>
          <cell r="AH377">
            <v>1998</v>
          </cell>
          <cell r="AI377" t="str">
            <v>DAÑADO</v>
          </cell>
          <cell r="AT377" t="str">
            <v>CUMMINS</v>
          </cell>
          <cell r="AV377">
            <v>0.5</v>
          </cell>
          <cell r="AX377">
            <v>2.1</v>
          </cell>
          <cell r="BE377">
            <v>20000</v>
          </cell>
          <cell r="BF377">
            <v>100000</v>
          </cell>
          <cell r="BG377">
            <v>20000</v>
          </cell>
          <cell r="BH377">
            <v>100000</v>
          </cell>
          <cell r="BI377" t="str">
            <v xml:space="preserve">NO SABE </v>
          </cell>
          <cell r="BM377" t="str">
            <v>X</v>
          </cell>
          <cell r="BU377" t="str">
            <v>X</v>
          </cell>
          <cell r="BX377">
            <v>2</v>
          </cell>
          <cell r="BY377">
            <v>3</v>
          </cell>
          <cell r="BZ377">
            <v>1</v>
          </cell>
          <cell r="DD377">
            <v>1</v>
          </cell>
        </row>
        <row r="378">
          <cell r="E378" t="str">
            <v>X</v>
          </cell>
          <cell r="N378" t="str">
            <v>JALISCO</v>
          </cell>
          <cell r="O378">
            <v>24</v>
          </cell>
          <cell r="Q378" t="str">
            <v>X</v>
          </cell>
          <cell r="AH378">
            <v>2001</v>
          </cell>
          <cell r="AI378">
            <v>1203677</v>
          </cell>
          <cell r="AT378" t="str">
            <v>CATERPILLAR</v>
          </cell>
          <cell r="AV378">
            <v>0.05</v>
          </cell>
          <cell r="AX378">
            <v>3.4</v>
          </cell>
          <cell r="BE378">
            <v>24000</v>
          </cell>
          <cell r="BF378">
            <v>150000</v>
          </cell>
          <cell r="BG378">
            <v>24000</v>
          </cell>
          <cell r="BH378">
            <v>150000</v>
          </cell>
          <cell r="BI378" t="str">
            <v>NO SABE</v>
          </cell>
          <cell r="BJ378" t="str">
            <v>X</v>
          </cell>
          <cell r="BK378" t="str">
            <v>X</v>
          </cell>
          <cell r="BN378" t="str">
            <v>X</v>
          </cell>
          <cell r="BO378" t="str">
            <v>X</v>
          </cell>
          <cell r="BP378" t="str">
            <v>X</v>
          </cell>
          <cell r="BV378" t="str">
            <v>X</v>
          </cell>
          <cell r="BX378">
            <v>1</v>
          </cell>
          <cell r="BY378">
            <v>3</v>
          </cell>
          <cell r="BZ378">
            <v>2</v>
          </cell>
          <cell r="DD378">
            <v>1</v>
          </cell>
        </row>
        <row r="379">
          <cell r="H379" t="str">
            <v>X</v>
          </cell>
          <cell r="N379" t="str">
            <v>CHIHUAHUA</v>
          </cell>
          <cell r="O379">
            <v>38</v>
          </cell>
          <cell r="S379" t="str">
            <v>X</v>
          </cell>
          <cell r="V379" t="str">
            <v>X</v>
          </cell>
          <cell r="AH379">
            <v>2004</v>
          </cell>
          <cell r="AI379">
            <v>910663</v>
          </cell>
          <cell r="AT379" t="str">
            <v>CUMMINS</v>
          </cell>
          <cell r="AV379">
            <v>0.2</v>
          </cell>
          <cell r="AX379">
            <v>2.4</v>
          </cell>
          <cell r="BE379">
            <v>25000</v>
          </cell>
          <cell r="BF379" t="str">
            <v>NO SABE</v>
          </cell>
          <cell r="BG379">
            <v>25000</v>
          </cell>
          <cell r="BH379">
            <v>120000</v>
          </cell>
          <cell r="BI379" t="str">
            <v>NO SABE</v>
          </cell>
          <cell r="BJ379" t="str">
            <v>X</v>
          </cell>
          <cell r="BQ379" t="str">
            <v>X</v>
          </cell>
          <cell r="BU379" t="str">
            <v>X</v>
          </cell>
          <cell r="BX379">
            <v>1</v>
          </cell>
          <cell r="BY379">
            <v>2</v>
          </cell>
          <cell r="BZ379">
            <v>3</v>
          </cell>
          <cell r="DD379">
            <v>7</v>
          </cell>
        </row>
        <row r="380">
          <cell r="F380" t="str">
            <v>X</v>
          </cell>
          <cell r="N380" t="str">
            <v>EDO. MEX.</v>
          </cell>
          <cell r="O380">
            <v>1</v>
          </cell>
          <cell r="AH380">
            <v>1995</v>
          </cell>
          <cell r="AI380" t="str">
            <v>DAÑADO</v>
          </cell>
          <cell r="AT380" t="str">
            <v>KODIAK</v>
          </cell>
          <cell r="AV380">
            <v>0.5</v>
          </cell>
          <cell r="AX380">
            <v>5.2</v>
          </cell>
          <cell r="BE380">
            <v>28000</v>
          </cell>
          <cell r="BF380" t="str">
            <v>NO SABE</v>
          </cell>
          <cell r="BG380">
            <v>28000</v>
          </cell>
          <cell r="BH380">
            <v>80000</v>
          </cell>
          <cell r="BI380" t="str">
            <v>NO SABE</v>
          </cell>
          <cell r="BJ380" t="str">
            <v>X</v>
          </cell>
          <cell r="BK380" t="str">
            <v>X</v>
          </cell>
          <cell r="BO380" t="str">
            <v>X</v>
          </cell>
          <cell r="BW380" t="str">
            <v>X</v>
          </cell>
          <cell r="BX380">
            <v>2</v>
          </cell>
          <cell r="BY380">
            <v>3</v>
          </cell>
          <cell r="BZ380">
            <v>1</v>
          </cell>
          <cell r="DD380">
            <v>2</v>
          </cell>
        </row>
        <row r="381">
          <cell r="E381" t="str">
            <v>X</v>
          </cell>
          <cell r="N381" t="str">
            <v>GUANAJUATO</v>
          </cell>
          <cell r="O381">
            <v>7</v>
          </cell>
          <cell r="Q381" t="str">
            <v>X</v>
          </cell>
          <cell r="AH381">
            <v>1989</v>
          </cell>
          <cell r="AI381" t="str">
            <v>DAÑADO</v>
          </cell>
          <cell r="AT381" t="str">
            <v>MERCEDES BENZ</v>
          </cell>
          <cell r="AV381">
            <v>0.5</v>
          </cell>
          <cell r="AX381">
            <v>3.4</v>
          </cell>
          <cell r="BE381">
            <v>30000</v>
          </cell>
          <cell r="BF381">
            <v>120000</v>
          </cell>
          <cell r="BG381">
            <v>30000</v>
          </cell>
          <cell r="BH381">
            <v>120000</v>
          </cell>
          <cell r="BI381" t="str">
            <v xml:space="preserve">NO SABE </v>
          </cell>
          <cell r="BJ381" t="str">
            <v>X</v>
          </cell>
          <cell r="BK381" t="str">
            <v>X</v>
          </cell>
          <cell r="BO381" t="str">
            <v>X</v>
          </cell>
          <cell r="BV381" t="str">
            <v>X</v>
          </cell>
          <cell r="BX381">
            <v>3</v>
          </cell>
          <cell r="BY381">
            <v>2</v>
          </cell>
          <cell r="BZ381">
            <v>1</v>
          </cell>
          <cell r="DD381">
            <v>1</v>
          </cell>
        </row>
        <row r="382">
          <cell r="E382" t="str">
            <v>X</v>
          </cell>
          <cell r="N382" t="str">
            <v>AGUASCALIENTES</v>
          </cell>
          <cell r="O382">
            <v>30</v>
          </cell>
          <cell r="S382" t="str">
            <v>X</v>
          </cell>
          <cell r="AH382">
            <v>2005</v>
          </cell>
          <cell r="AI382">
            <v>871056</v>
          </cell>
          <cell r="AT382" t="str">
            <v>CUMMINS</v>
          </cell>
          <cell r="AV382">
            <v>0.1</v>
          </cell>
          <cell r="AX382">
            <v>2.1</v>
          </cell>
          <cell r="BE382">
            <v>24000</v>
          </cell>
          <cell r="BF382" t="str">
            <v>NO SABE</v>
          </cell>
          <cell r="BG382">
            <v>24000</v>
          </cell>
          <cell r="BH382" t="str">
            <v>NO SABE</v>
          </cell>
          <cell r="BI382" t="str">
            <v>NO SABE</v>
          </cell>
          <cell r="BJ382" t="str">
            <v>X</v>
          </cell>
          <cell r="BK382" t="str">
            <v>X</v>
          </cell>
          <cell r="BO382" t="str">
            <v>X</v>
          </cell>
          <cell r="BV382" t="str">
            <v>X</v>
          </cell>
          <cell r="BX382">
            <v>1</v>
          </cell>
          <cell r="BY382">
            <v>3</v>
          </cell>
          <cell r="BZ382">
            <v>2</v>
          </cell>
          <cell r="DD382">
            <v>1</v>
          </cell>
        </row>
        <row r="383">
          <cell r="E383" t="str">
            <v>X</v>
          </cell>
          <cell r="N383" t="str">
            <v>TAMAULIPAS</v>
          </cell>
          <cell r="O383">
            <v>35</v>
          </cell>
          <cell r="S383" t="str">
            <v>X</v>
          </cell>
          <cell r="AH383">
            <v>2002</v>
          </cell>
          <cell r="AI383">
            <v>883710</v>
          </cell>
          <cell r="AT383" t="str">
            <v>DETROIT</v>
          </cell>
          <cell r="AV383">
            <v>0.1</v>
          </cell>
          <cell r="AX383">
            <v>2.2999999999999998</v>
          </cell>
          <cell r="BE383">
            <v>24000</v>
          </cell>
          <cell r="BF383">
            <v>160000</v>
          </cell>
          <cell r="BG383">
            <v>24000</v>
          </cell>
          <cell r="BH383">
            <v>160000</v>
          </cell>
          <cell r="BI383" t="str">
            <v>NO SABE</v>
          </cell>
          <cell r="BJ383" t="str">
            <v>X</v>
          </cell>
          <cell r="BO383" t="str">
            <v>X</v>
          </cell>
          <cell r="BV383" t="str">
            <v>X</v>
          </cell>
          <cell r="BX383">
            <v>1</v>
          </cell>
          <cell r="BY383">
            <v>3</v>
          </cell>
          <cell r="BZ383">
            <v>2</v>
          </cell>
          <cell r="DD383">
            <v>1</v>
          </cell>
        </row>
        <row r="384">
          <cell r="E384" t="str">
            <v>X</v>
          </cell>
          <cell r="N384" t="str">
            <v>VERACRUZ</v>
          </cell>
          <cell r="O384">
            <v>30</v>
          </cell>
          <cell r="S384" t="str">
            <v>X</v>
          </cell>
          <cell r="AH384">
            <v>2000</v>
          </cell>
          <cell r="AI384" t="str">
            <v>DAÑADO</v>
          </cell>
          <cell r="AT384" t="str">
            <v>CUMMINS</v>
          </cell>
          <cell r="AV384">
            <v>0.05</v>
          </cell>
          <cell r="AX384">
            <v>2.4</v>
          </cell>
          <cell r="BE384">
            <v>15000</v>
          </cell>
          <cell r="BF384">
            <v>180000</v>
          </cell>
          <cell r="BG384">
            <v>30000</v>
          </cell>
          <cell r="BH384">
            <v>100000</v>
          </cell>
          <cell r="BI384" t="str">
            <v>NO SABE</v>
          </cell>
          <cell r="BJ384" t="str">
            <v>X</v>
          </cell>
          <cell r="BK384" t="str">
            <v>X</v>
          </cell>
          <cell r="BM384" t="str">
            <v>X</v>
          </cell>
          <cell r="BO384" t="str">
            <v>X</v>
          </cell>
          <cell r="BV384" t="str">
            <v>X</v>
          </cell>
          <cell r="BX384">
            <v>2</v>
          </cell>
          <cell r="BY384">
            <v>1</v>
          </cell>
          <cell r="BZ384">
            <v>3</v>
          </cell>
          <cell r="DD384">
            <v>1</v>
          </cell>
        </row>
        <row r="385">
          <cell r="G385" t="str">
            <v>X</v>
          </cell>
          <cell r="N385" t="str">
            <v>HIDALGO</v>
          </cell>
          <cell r="O385">
            <v>14</v>
          </cell>
          <cell r="S385" t="str">
            <v>X</v>
          </cell>
          <cell r="U385" t="str">
            <v>X</v>
          </cell>
          <cell r="AH385">
            <v>2004</v>
          </cell>
          <cell r="AI385">
            <v>651023</v>
          </cell>
          <cell r="AT385" t="str">
            <v>DETROIT</v>
          </cell>
          <cell r="AV385">
            <v>0.5</v>
          </cell>
          <cell r="AX385">
            <v>2.5</v>
          </cell>
          <cell r="BE385">
            <v>18000</v>
          </cell>
          <cell r="BF385">
            <v>180000</v>
          </cell>
          <cell r="BG385">
            <v>30000</v>
          </cell>
          <cell r="BH385">
            <v>100000</v>
          </cell>
          <cell r="BI385" t="str">
            <v>NO SABE</v>
          </cell>
          <cell r="BK385" t="str">
            <v>X</v>
          </cell>
          <cell r="BN385" t="str">
            <v>X</v>
          </cell>
          <cell r="BV385" t="str">
            <v>X</v>
          </cell>
          <cell r="BX385">
            <v>1</v>
          </cell>
          <cell r="BY385">
            <v>3</v>
          </cell>
          <cell r="BZ385">
            <v>2</v>
          </cell>
          <cell r="DD385">
            <v>3</v>
          </cell>
        </row>
        <row r="386">
          <cell r="H386" t="str">
            <v>X</v>
          </cell>
          <cell r="N386" t="str">
            <v>AGUASCALIENTES</v>
          </cell>
          <cell r="O386">
            <v>14</v>
          </cell>
          <cell r="S386" t="str">
            <v>X</v>
          </cell>
          <cell r="V386" t="str">
            <v>X</v>
          </cell>
          <cell r="AH386">
            <v>2008</v>
          </cell>
          <cell r="AI386">
            <v>504673</v>
          </cell>
          <cell r="AT386" t="str">
            <v>CUMMINS</v>
          </cell>
          <cell r="AV386">
            <v>0.1</v>
          </cell>
          <cell r="AX386">
            <v>2.2999999999999998</v>
          </cell>
          <cell r="BE386">
            <v>18000</v>
          </cell>
          <cell r="BF386">
            <v>160000</v>
          </cell>
          <cell r="BG386">
            <v>22000</v>
          </cell>
          <cell r="BH386">
            <v>120000</v>
          </cell>
          <cell r="BI386" t="str">
            <v>NO SABE</v>
          </cell>
          <cell r="BJ386" t="str">
            <v>X</v>
          </cell>
          <cell r="BK386" t="str">
            <v>X</v>
          </cell>
          <cell r="BQ386" t="str">
            <v>X</v>
          </cell>
          <cell r="BV386" t="str">
            <v>X</v>
          </cell>
          <cell r="BX386">
            <v>1</v>
          </cell>
          <cell r="BY386">
            <v>3</v>
          </cell>
          <cell r="BZ386">
            <v>2</v>
          </cell>
          <cell r="DD386">
            <v>7</v>
          </cell>
        </row>
        <row r="387">
          <cell r="E387" t="str">
            <v>X</v>
          </cell>
          <cell r="N387" t="str">
            <v>GUANAJUATO</v>
          </cell>
          <cell r="O387">
            <v>25</v>
          </cell>
          <cell r="S387" t="str">
            <v>X</v>
          </cell>
          <cell r="V387" t="str">
            <v>X</v>
          </cell>
          <cell r="AH387">
            <v>2003</v>
          </cell>
          <cell r="AI387">
            <v>761002</v>
          </cell>
          <cell r="AT387" t="str">
            <v>CUMMINS</v>
          </cell>
          <cell r="AV387">
            <v>0.2</v>
          </cell>
          <cell r="AX387">
            <v>2.4</v>
          </cell>
          <cell r="BE387">
            <v>25000</v>
          </cell>
          <cell r="BF387">
            <v>250000</v>
          </cell>
          <cell r="BG387">
            <v>25000</v>
          </cell>
          <cell r="BH387">
            <v>180000</v>
          </cell>
          <cell r="BI387" t="str">
            <v>NO SABE</v>
          </cell>
          <cell r="BK387" t="str">
            <v>X</v>
          </cell>
          <cell r="BN387" t="str">
            <v>X</v>
          </cell>
          <cell r="BV387" t="str">
            <v>X</v>
          </cell>
          <cell r="BX387">
            <v>3</v>
          </cell>
          <cell r="BY387">
            <v>2</v>
          </cell>
          <cell r="BZ387">
            <v>1</v>
          </cell>
          <cell r="DD387">
            <v>1</v>
          </cell>
        </row>
        <row r="388">
          <cell r="E388" t="str">
            <v>X</v>
          </cell>
          <cell r="N388" t="str">
            <v>VERACRUZ</v>
          </cell>
          <cell r="O388">
            <v>40</v>
          </cell>
          <cell r="Q388" t="str">
            <v>X</v>
          </cell>
          <cell r="AH388">
            <v>1995</v>
          </cell>
          <cell r="AI388" t="str">
            <v>DAÑADO</v>
          </cell>
          <cell r="AT388" t="str">
            <v>MERCEDES BENZ</v>
          </cell>
          <cell r="AV388">
            <v>0.5</v>
          </cell>
          <cell r="AX388">
            <v>3.1</v>
          </cell>
          <cell r="BE388">
            <v>25000</v>
          </cell>
          <cell r="BF388" t="str">
            <v xml:space="preserve">NO SABE </v>
          </cell>
          <cell r="BG388">
            <v>25000</v>
          </cell>
          <cell r="BH388">
            <v>130000</v>
          </cell>
          <cell r="BI388" t="str">
            <v xml:space="preserve">NO SABE </v>
          </cell>
          <cell r="BJ388" t="str">
            <v>X</v>
          </cell>
          <cell r="BK388" t="str">
            <v>X</v>
          </cell>
          <cell r="BO388" t="str">
            <v>X</v>
          </cell>
          <cell r="BV388" t="str">
            <v>X</v>
          </cell>
          <cell r="BX388">
            <v>1</v>
          </cell>
          <cell r="BY388">
            <v>2</v>
          </cell>
          <cell r="BZ388">
            <v>3</v>
          </cell>
          <cell r="DD388">
            <v>1</v>
          </cell>
        </row>
        <row r="389">
          <cell r="G389" t="str">
            <v>X</v>
          </cell>
          <cell r="N389" t="str">
            <v>MICHOACAN</v>
          </cell>
          <cell r="O389">
            <v>3</v>
          </cell>
          <cell r="Q389" t="str">
            <v>X</v>
          </cell>
          <cell r="AH389">
            <v>1990</v>
          </cell>
          <cell r="AI389">
            <v>910755</v>
          </cell>
          <cell r="AT389" t="str">
            <v>CUMMINS</v>
          </cell>
          <cell r="AV389">
            <v>0.1</v>
          </cell>
          <cell r="AX389">
            <v>3.2</v>
          </cell>
          <cell r="BE389">
            <v>20000</v>
          </cell>
          <cell r="BF389">
            <v>100000</v>
          </cell>
          <cell r="BG389">
            <v>30000</v>
          </cell>
          <cell r="BH389">
            <v>100000</v>
          </cell>
          <cell r="BI389" t="str">
            <v>NO SABE</v>
          </cell>
          <cell r="BJ389" t="str">
            <v>X</v>
          </cell>
          <cell r="BK389" t="str">
            <v>X</v>
          </cell>
          <cell r="BO389" t="str">
            <v>X</v>
          </cell>
          <cell r="BV389" t="str">
            <v>X</v>
          </cell>
          <cell r="BX389">
            <v>1</v>
          </cell>
          <cell r="BY389">
            <v>3</v>
          </cell>
          <cell r="BZ389">
            <v>2</v>
          </cell>
          <cell r="DD389">
            <v>3</v>
          </cell>
        </row>
        <row r="390">
          <cell r="H390" t="str">
            <v>X</v>
          </cell>
          <cell r="N390" t="str">
            <v>D.F.</v>
          </cell>
          <cell r="O390">
            <v>12</v>
          </cell>
          <cell r="S390" t="str">
            <v>X</v>
          </cell>
          <cell r="U390" t="str">
            <v>X</v>
          </cell>
          <cell r="AH390">
            <v>2007</v>
          </cell>
          <cell r="AI390">
            <v>623700</v>
          </cell>
          <cell r="AT390" t="str">
            <v>DETROIT</v>
          </cell>
          <cell r="AV390">
            <v>0</v>
          </cell>
          <cell r="AX390">
            <v>2.5</v>
          </cell>
          <cell r="BE390">
            <v>18000</v>
          </cell>
          <cell r="BF390">
            <v>120000</v>
          </cell>
          <cell r="BG390">
            <v>22000</v>
          </cell>
          <cell r="BH390">
            <v>120000</v>
          </cell>
          <cell r="BI390" t="str">
            <v>NO SABE</v>
          </cell>
          <cell r="BK390" t="str">
            <v>X</v>
          </cell>
          <cell r="BM390" t="str">
            <v>X</v>
          </cell>
          <cell r="BN390" t="str">
            <v>X</v>
          </cell>
          <cell r="BP390" t="str">
            <v>X</v>
          </cell>
          <cell r="BU390" t="str">
            <v>X</v>
          </cell>
          <cell r="BX390">
            <v>1</v>
          </cell>
          <cell r="BY390">
            <v>3</v>
          </cell>
          <cell r="BZ390">
            <v>2</v>
          </cell>
          <cell r="DD390">
            <v>7</v>
          </cell>
        </row>
        <row r="391">
          <cell r="G391" t="str">
            <v>X</v>
          </cell>
          <cell r="N391" t="str">
            <v>DURANGO</v>
          </cell>
          <cell r="O391">
            <v>37</v>
          </cell>
          <cell r="S391" t="str">
            <v>X</v>
          </cell>
          <cell r="U391" t="str">
            <v>X</v>
          </cell>
          <cell r="AH391">
            <v>2006</v>
          </cell>
          <cell r="AI391">
            <v>731855</v>
          </cell>
          <cell r="AT391" t="str">
            <v>DETROIT</v>
          </cell>
          <cell r="AV391">
            <v>0.5</v>
          </cell>
          <cell r="AX391">
            <v>2.5</v>
          </cell>
          <cell r="BE391">
            <v>20000</v>
          </cell>
          <cell r="BF391">
            <v>100000</v>
          </cell>
          <cell r="BG391">
            <v>20000</v>
          </cell>
          <cell r="BH391">
            <v>100000</v>
          </cell>
          <cell r="BI391" t="str">
            <v>NO SABE</v>
          </cell>
          <cell r="BK391" t="str">
            <v>X</v>
          </cell>
          <cell r="BM391" t="str">
            <v>X</v>
          </cell>
          <cell r="BN391" t="str">
            <v>X</v>
          </cell>
          <cell r="BP391" t="str">
            <v>X</v>
          </cell>
          <cell r="BV391" t="str">
            <v>X</v>
          </cell>
          <cell r="BX391">
            <v>1</v>
          </cell>
          <cell r="BY391">
            <v>3</v>
          </cell>
          <cell r="BZ391">
            <v>2</v>
          </cell>
          <cell r="DD391">
            <v>3</v>
          </cell>
        </row>
        <row r="392">
          <cell r="H392" t="str">
            <v>X</v>
          </cell>
          <cell r="N392" t="str">
            <v>EDO. MEX.</v>
          </cell>
          <cell r="O392">
            <v>3</v>
          </cell>
          <cell r="S392" t="str">
            <v>X</v>
          </cell>
          <cell r="U392" t="str">
            <v>X</v>
          </cell>
          <cell r="AH392">
            <v>2007</v>
          </cell>
          <cell r="AI392">
            <v>543201</v>
          </cell>
          <cell r="AT392" t="str">
            <v>CUMMINS</v>
          </cell>
          <cell r="AV392">
            <v>0.5</v>
          </cell>
          <cell r="AX392">
            <v>2.4</v>
          </cell>
          <cell r="BE392">
            <v>18000</v>
          </cell>
          <cell r="BF392">
            <v>120000</v>
          </cell>
          <cell r="BG392">
            <v>20000</v>
          </cell>
          <cell r="BH392">
            <v>120000</v>
          </cell>
          <cell r="BI392" t="str">
            <v>NO SABE</v>
          </cell>
          <cell r="BK392" t="str">
            <v>X</v>
          </cell>
          <cell r="BN392" t="str">
            <v>X</v>
          </cell>
          <cell r="BV392" t="str">
            <v>X</v>
          </cell>
          <cell r="BX392">
            <v>1</v>
          </cell>
          <cell r="BY392">
            <v>3</v>
          </cell>
          <cell r="BZ392">
            <v>2</v>
          </cell>
          <cell r="DD392">
            <v>7</v>
          </cell>
        </row>
        <row r="393">
          <cell r="F393" t="str">
            <v>X</v>
          </cell>
          <cell r="N393" t="str">
            <v>NVO. LEON</v>
          </cell>
          <cell r="O393">
            <v>8</v>
          </cell>
          <cell r="S393" t="str">
            <v>X</v>
          </cell>
          <cell r="W393" t="str">
            <v>X</v>
          </cell>
          <cell r="AH393">
            <v>2005</v>
          </cell>
          <cell r="AI393">
            <v>771802</v>
          </cell>
          <cell r="AT393" t="str">
            <v>DETROIT</v>
          </cell>
          <cell r="AV393">
            <v>0.5</v>
          </cell>
          <cell r="AX393">
            <v>2.2999999999999998</v>
          </cell>
          <cell r="BE393">
            <v>18000</v>
          </cell>
          <cell r="BF393">
            <v>150000</v>
          </cell>
          <cell r="BG393">
            <v>24000</v>
          </cell>
          <cell r="BH393">
            <v>100000</v>
          </cell>
          <cell r="BI393" t="str">
            <v>NO SABE</v>
          </cell>
          <cell r="BJ393" t="str">
            <v>X</v>
          </cell>
          <cell r="BO393" t="str">
            <v>X</v>
          </cell>
          <cell r="BU393" t="str">
            <v>X</v>
          </cell>
          <cell r="BX393">
            <v>3</v>
          </cell>
          <cell r="BY393">
            <v>2</v>
          </cell>
          <cell r="BZ393">
            <v>1</v>
          </cell>
          <cell r="DD393">
            <v>2</v>
          </cell>
        </row>
        <row r="394">
          <cell r="E394" t="str">
            <v>X</v>
          </cell>
          <cell r="N394" t="str">
            <v>NAYARIT</v>
          </cell>
          <cell r="O394">
            <v>40</v>
          </cell>
          <cell r="Q394" t="str">
            <v>X</v>
          </cell>
          <cell r="AH394">
            <v>2003</v>
          </cell>
          <cell r="AI394">
            <v>905673</v>
          </cell>
          <cell r="AT394" t="str">
            <v>CUMMINS</v>
          </cell>
          <cell r="AV394">
            <v>0.2</v>
          </cell>
          <cell r="AX394">
            <v>3.2</v>
          </cell>
          <cell r="BE394">
            <v>24000</v>
          </cell>
          <cell r="BF394">
            <v>150000</v>
          </cell>
          <cell r="BG394">
            <v>24000</v>
          </cell>
          <cell r="BH394">
            <v>150000</v>
          </cell>
          <cell r="BI394" t="str">
            <v>NO SABE</v>
          </cell>
          <cell r="BJ394" t="str">
            <v>X</v>
          </cell>
          <cell r="BK394" t="str">
            <v>X</v>
          </cell>
          <cell r="BO394" t="str">
            <v>X</v>
          </cell>
          <cell r="BV394" t="str">
            <v>X</v>
          </cell>
          <cell r="BX394">
            <v>1</v>
          </cell>
          <cell r="BY394">
            <v>3</v>
          </cell>
          <cell r="BZ394">
            <v>2</v>
          </cell>
          <cell r="DD394">
            <v>1</v>
          </cell>
        </row>
        <row r="395">
          <cell r="E395" t="str">
            <v>X</v>
          </cell>
          <cell r="N395" t="str">
            <v>EDO. MEX.</v>
          </cell>
          <cell r="O395">
            <v>27</v>
          </cell>
          <cell r="Q395" t="str">
            <v>X</v>
          </cell>
          <cell r="AH395">
            <v>1985</v>
          </cell>
          <cell r="AI395" t="str">
            <v>DAÑADO</v>
          </cell>
          <cell r="AT395" t="str">
            <v>MERCEDES BENZ</v>
          </cell>
          <cell r="AV395">
            <v>0.1</v>
          </cell>
          <cell r="AX395">
            <v>3</v>
          </cell>
          <cell r="BE395">
            <v>20000</v>
          </cell>
          <cell r="BF395">
            <v>100000</v>
          </cell>
          <cell r="BG395">
            <v>20000</v>
          </cell>
          <cell r="BH395">
            <v>100000</v>
          </cell>
          <cell r="BI395" t="str">
            <v>NO SABE</v>
          </cell>
          <cell r="BJ395" t="str">
            <v>X</v>
          </cell>
          <cell r="BK395" t="str">
            <v>X</v>
          </cell>
          <cell r="BO395" t="str">
            <v>X</v>
          </cell>
          <cell r="BU395" t="str">
            <v>X</v>
          </cell>
          <cell r="BX395">
            <v>2</v>
          </cell>
          <cell r="BY395">
            <v>3</v>
          </cell>
          <cell r="BZ395">
            <v>1</v>
          </cell>
          <cell r="DD395">
            <v>1</v>
          </cell>
        </row>
        <row r="396">
          <cell r="G396" t="str">
            <v>X</v>
          </cell>
          <cell r="N396" t="str">
            <v>QUERÉTARO</v>
          </cell>
          <cell r="O396">
            <v>21</v>
          </cell>
          <cell r="S396" t="str">
            <v>X</v>
          </cell>
          <cell r="U396" t="str">
            <v>X</v>
          </cell>
          <cell r="AH396">
            <v>2006</v>
          </cell>
          <cell r="AI396">
            <v>683499</v>
          </cell>
          <cell r="AT396" t="str">
            <v>DETROIT</v>
          </cell>
          <cell r="AV396">
            <v>0.5</v>
          </cell>
          <cell r="AX396">
            <v>2.5</v>
          </cell>
          <cell r="BE396">
            <v>18000</v>
          </cell>
          <cell r="BF396">
            <v>150000</v>
          </cell>
          <cell r="BG396">
            <v>36000</v>
          </cell>
          <cell r="BH396">
            <v>15000</v>
          </cell>
          <cell r="BI396" t="str">
            <v>NO SABE</v>
          </cell>
          <cell r="BJ396" t="str">
            <v>X</v>
          </cell>
          <cell r="BK396" t="str">
            <v>X</v>
          </cell>
          <cell r="BM396" t="str">
            <v>X</v>
          </cell>
          <cell r="BN396" t="str">
            <v>X</v>
          </cell>
          <cell r="BO396" t="str">
            <v>X</v>
          </cell>
          <cell r="BP396" t="str">
            <v>X</v>
          </cell>
          <cell r="BU396" t="str">
            <v>X</v>
          </cell>
          <cell r="BX396">
            <v>1</v>
          </cell>
          <cell r="BY396">
            <v>3</v>
          </cell>
          <cell r="BZ396">
            <v>2</v>
          </cell>
          <cell r="DD396">
            <v>3</v>
          </cell>
        </row>
        <row r="397">
          <cell r="H397" t="str">
            <v>X</v>
          </cell>
          <cell r="N397" t="str">
            <v>NVO. LEON</v>
          </cell>
          <cell r="O397">
            <v>30</v>
          </cell>
          <cell r="S397" t="str">
            <v>X</v>
          </cell>
          <cell r="U397" t="str">
            <v>X</v>
          </cell>
          <cell r="AH397">
            <v>2007</v>
          </cell>
          <cell r="AI397">
            <v>583201</v>
          </cell>
          <cell r="AT397" t="str">
            <v>DETROIT</v>
          </cell>
          <cell r="AV397">
            <v>0.5</v>
          </cell>
          <cell r="AX397">
            <v>2.5</v>
          </cell>
          <cell r="BE397">
            <v>16000</v>
          </cell>
          <cell r="BF397">
            <v>120000</v>
          </cell>
          <cell r="BG397">
            <v>32000</v>
          </cell>
          <cell r="BH397">
            <v>120000</v>
          </cell>
          <cell r="BI397" t="str">
            <v>NO SABE</v>
          </cell>
          <cell r="BK397" t="str">
            <v>X</v>
          </cell>
          <cell r="BM397" t="str">
            <v>X</v>
          </cell>
          <cell r="BN397" t="str">
            <v>X</v>
          </cell>
          <cell r="BP397" t="str">
            <v>X</v>
          </cell>
          <cell r="BU397" t="str">
            <v>X</v>
          </cell>
          <cell r="BX397">
            <v>1</v>
          </cell>
          <cell r="BY397">
            <v>3</v>
          </cell>
          <cell r="BZ397">
            <v>2</v>
          </cell>
          <cell r="DD397">
            <v>7</v>
          </cell>
        </row>
        <row r="398">
          <cell r="E398" t="str">
            <v>X</v>
          </cell>
          <cell r="N398" t="str">
            <v>SAN LUIS POTOSI</v>
          </cell>
          <cell r="O398">
            <v>21</v>
          </cell>
          <cell r="S398" t="str">
            <v>X</v>
          </cell>
          <cell r="U398" t="str">
            <v>X</v>
          </cell>
          <cell r="AH398">
            <v>2008</v>
          </cell>
          <cell r="AI398">
            <v>428635</v>
          </cell>
          <cell r="AT398" t="str">
            <v>CUMMINS</v>
          </cell>
          <cell r="AV398">
            <v>0.5</v>
          </cell>
          <cell r="AX398">
            <v>2.4</v>
          </cell>
          <cell r="BE398">
            <v>20000</v>
          </cell>
          <cell r="BF398">
            <v>180000</v>
          </cell>
          <cell r="BG398">
            <v>30000</v>
          </cell>
          <cell r="BH398">
            <v>120000</v>
          </cell>
          <cell r="BI398" t="str">
            <v>NO SABE</v>
          </cell>
          <cell r="BJ398" t="str">
            <v>X</v>
          </cell>
          <cell r="BU398" t="str">
            <v>X</v>
          </cell>
          <cell r="BX398">
            <v>2</v>
          </cell>
          <cell r="BY398">
            <v>3</v>
          </cell>
          <cell r="BZ398">
            <v>1</v>
          </cell>
          <cell r="DD398">
            <v>1</v>
          </cell>
        </row>
        <row r="399">
          <cell r="E399" t="str">
            <v>X</v>
          </cell>
          <cell r="N399" t="str">
            <v>GUANAJUATO</v>
          </cell>
          <cell r="O399">
            <v>10</v>
          </cell>
          <cell r="S399" t="str">
            <v>X</v>
          </cell>
          <cell r="U399" t="str">
            <v>X</v>
          </cell>
          <cell r="AH399">
            <v>2004</v>
          </cell>
          <cell r="AI399">
            <v>825200</v>
          </cell>
          <cell r="AT399" t="str">
            <v>DETROIT</v>
          </cell>
          <cell r="AV399">
            <v>0.1</v>
          </cell>
          <cell r="AX399">
            <v>2.4</v>
          </cell>
          <cell r="BE399">
            <v>24000</v>
          </cell>
          <cell r="BF399">
            <v>200000</v>
          </cell>
          <cell r="BG399">
            <v>24000</v>
          </cell>
          <cell r="BH399">
            <v>100000</v>
          </cell>
          <cell r="BI399" t="str">
            <v>NO SABE</v>
          </cell>
          <cell r="BJ399" t="str">
            <v>X</v>
          </cell>
          <cell r="BK399" t="str">
            <v>X</v>
          </cell>
          <cell r="BN399" t="str">
            <v>X</v>
          </cell>
          <cell r="BV399" t="str">
            <v>X</v>
          </cell>
          <cell r="BX399">
            <v>1</v>
          </cell>
          <cell r="BY399">
            <v>3</v>
          </cell>
          <cell r="BZ399">
            <v>2</v>
          </cell>
          <cell r="DD399">
            <v>1</v>
          </cell>
        </row>
        <row r="400">
          <cell r="H400" t="str">
            <v>X</v>
          </cell>
          <cell r="N400" t="str">
            <v>AGUASCALIENTES</v>
          </cell>
          <cell r="O400">
            <v>18</v>
          </cell>
          <cell r="S400" t="str">
            <v>X</v>
          </cell>
          <cell r="V400" t="str">
            <v>X</v>
          </cell>
          <cell r="AH400">
            <v>2008</v>
          </cell>
          <cell r="AI400">
            <v>558791</v>
          </cell>
          <cell r="AT400" t="str">
            <v>CUMMINS</v>
          </cell>
          <cell r="AV400">
            <v>0.1</v>
          </cell>
          <cell r="AX400">
            <v>2.5</v>
          </cell>
          <cell r="BE400">
            <v>18000</v>
          </cell>
          <cell r="BF400">
            <v>160000</v>
          </cell>
          <cell r="BG400">
            <v>18000</v>
          </cell>
          <cell r="BH400">
            <v>160000</v>
          </cell>
          <cell r="BI400" t="str">
            <v>NO SABE</v>
          </cell>
          <cell r="BJ400" t="str">
            <v>X</v>
          </cell>
          <cell r="BK400" t="str">
            <v>X</v>
          </cell>
          <cell r="BQ400" t="str">
            <v>X</v>
          </cell>
          <cell r="BU400" t="str">
            <v>X</v>
          </cell>
          <cell r="BX400">
            <v>1</v>
          </cell>
          <cell r="BY400">
            <v>3</v>
          </cell>
          <cell r="BZ400">
            <v>2</v>
          </cell>
          <cell r="DD400">
            <v>7</v>
          </cell>
        </row>
        <row r="401">
          <cell r="F401" t="str">
            <v>X</v>
          </cell>
          <cell r="N401" t="str">
            <v>QUERÉTARO</v>
          </cell>
          <cell r="O401">
            <v>3</v>
          </cell>
          <cell r="S401" t="str">
            <v>X</v>
          </cell>
          <cell r="U401" t="str">
            <v>X</v>
          </cell>
          <cell r="AH401">
            <v>2001</v>
          </cell>
          <cell r="AI401">
            <v>857620</v>
          </cell>
          <cell r="AT401" t="str">
            <v>CUMMINS</v>
          </cell>
          <cell r="AV401">
            <v>0.2</v>
          </cell>
          <cell r="AX401">
            <v>2.4</v>
          </cell>
          <cell r="BE401">
            <v>16000</v>
          </cell>
          <cell r="BF401">
            <v>200000</v>
          </cell>
          <cell r="BG401">
            <v>24000</v>
          </cell>
          <cell r="BH401">
            <v>100000</v>
          </cell>
          <cell r="BI401" t="str">
            <v>NO SABE</v>
          </cell>
          <cell r="BJ401" t="str">
            <v>X</v>
          </cell>
          <cell r="BK401" t="str">
            <v>X</v>
          </cell>
          <cell r="BM401" t="str">
            <v>X</v>
          </cell>
          <cell r="BN401" t="str">
            <v>X</v>
          </cell>
          <cell r="BP401" t="str">
            <v>X</v>
          </cell>
          <cell r="BU401" t="str">
            <v>X</v>
          </cell>
          <cell r="BX401">
            <v>2</v>
          </cell>
          <cell r="BY401">
            <v>1</v>
          </cell>
          <cell r="BZ401">
            <v>3</v>
          </cell>
          <cell r="DD401">
            <v>2</v>
          </cell>
        </row>
        <row r="402">
          <cell r="E402" t="str">
            <v>X</v>
          </cell>
          <cell r="N402" t="str">
            <v>EDO. MEX.</v>
          </cell>
          <cell r="O402">
            <v>15</v>
          </cell>
          <cell r="S402" t="str">
            <v>X</v>
          </cell>
          <cell r="U402" t="str">
            <v>X</v>
          </cell>
          <cell r="AH402">
            <v>2005</v>
          </cell>
          <cell r="AI402">
            <v>615724</v>
          </cell>
          <cell r="AT402" t="str">
            <v>DETROIT</v>
          </cell>
          <cell r="AV402">
            <v>0.1</v>
          </cell>
          <cell r="AX402">
            <v>2.5</v>
          </cell>
          <cell r="BE402">
            <v>20000</v>
          </cell>
          <cell r="BF402">
            <v>120000</v>
          </cell>
          <cell r="BG402">
            <v>20000</v>
          </cell>
          <cell r="BH402">
            <v>120000</v>
          </cell>
          <cell r="BI402" t="str">
            <v>NO SABE</v>
          </cell>
          <cell r="BK402" t="str">
            <v>X</v>
          </cell>
          <cell r="BN402" t="str">
            <v>X</v>
          </cell>
          <cell r="BP402" t="str">
            <v>X</v>
          </cell>
          <cell r="BU402" t="str">
            <v>X</v>
          </cell>
          <cell r="BX402">
            <v>1</v>
          </cell>
          <cell r="BY402">
            <v>3</v>
          </cell>
          <cell r="BZ402">
            <v>2</v>
          </cell>
          <cell r="DD402">
            <v>1</v>
          </cell>
        </row>
        <row r="403">
          <cell r="F403" t="str">
            <v>X</v>
          </cell>
          <cell r="N403" t="str">
            <v>EDO. MEX.</v>
          </cell>
          <cell r="O403">
            <v>15</v>
          </cell>
          <cell r="Q403" t="str">
            <v>X</v>
          </cell>
          <cell r="U403" t="str">
            <v>X</v>
          </cell>
          <cell r="AH403">
            <v>2001</v>
          </cell>
          <cell r="AI403">
            <v>1200000</v>
          </cell>
          <cell r="AT403" t="str">
            <v>MERCEDES BENZ</v>
          </cell>
          <cell r="AV403">
            <v>0.25</v>
          </cell>
          <cell r="AX403">
            <v>2.2000000000000002</v>
          </cell>
          <cell r="BE403">
            <v>20000</v>
          </cell>
          <cell r="BF403">
            <v>40000</v>
          </cell>
          <cell r="BG403">
            <v>30000</v>
          </cell>
          <cell r="BH403">
            <v>90000</v>
          </cell>
          <cell r="BI403">
            <v>30000</v>
          </cell>
          <cell r="BS403" t="str">
            <v>GENERAL</v>
          </cell>
          <cell r="BV403" t="str">
            <v>X</v>
          </cell>
          <cell r="BX403">
            <v>3</v>
          </cell>
          <cell r="BY403">
            <v>1</v>
          </cell>
          <cell r="BZ403">
            <v>2</v>
          </cell>
          <cell r="DD403">
            <v>2</v>
          </cell>
        </row>
        <row r="404">
          <cell r="G404" t="str">
            <v>X</v>
          </cell>
          <cell r="N404" t="str">
            <v>SAN LUIS POTOSI</v>
          </cell>
          <cell r="O404">
            <v>10</v>
          </cell>
          <cell r="S404" t="str">
            <v>X</v>
          </cell>
          <cell r="U404" t="str">
            <v>X</v>
          </cell>
          <cell r="AH404">
            <v>2003</v>
          </cell>
          <cell r="AI404">
            <v>973591</v>
          </cell>
          <cell r="AT404" t="str">
            <v>CUMMINS</v>
          </cell>
          <cell r="AV404">
            <v>0.5</v>
          </cell>
          <cell r="AX404">
            <v>2.4</v>
          </cell>
          <cell r="BE404">
            <v>22000</v>
          </cell>
          <cell r="BF404" t="str">
            <v>NO SABE</v>
          </cell>
          <cell r="BG404">
            <v>44000</v>
          </cell>
          <cell r="BH404" t="str">
            <v>NO SABE</v>
          </cell>
          <cell r="BI404" t="str">
            <v>NO SABE</v>
          </cell>
          <cell r="BN404" t="str">
            <v>X</v>
          </cell>
          <cell r="BP404" t="str">
            <v>X</v>
          </cell>
          <cell r="BU404" t="str">
            <v>X</v>
          </cell>
          <cell r="BX404">
            <v>1</v>
          </cell>
          <cell r="BY404">
            <v>2</v>
          </cell>
          <cell r="BZ404">
            <v>3</v>
          </cell>
          <cell r="DD404">
            <v>3</v>
          </cell>
        </row>
        <row r="405">
          <cell r="F405" t="str">
            <v>X</v>
          </cell>
          <cell r="N405" t="str">
            <v>PUEBLA</v>
          </cell>
          <cell r="O405">
            <v>20</v>
          </cell>
          <cell r="S405" t="str">
            <v>X</v>
          </cell>
          <cell r="U405" t="str">
            <v>X</v>
          </cell>
          <cell r="AH405">
            <v>1999</v>
          </cell>
          <cell r="AI405" t="str">
            <v>NO SABE</v>
          </cell>
          <cell r="AT405" t="str">
            <v>CUMMINS</v>
          </cell>
          <cell r="AV405">
            <v>0.5</v>
          </cell>
          <cell r="AX405">
            <v>2.5</v>
          </cell>
          <cell r="BE405">
            <v>30000</v>
          </cell>
          <cell r="BF405" t="str">
            <v>NO SABE</v>
          </cell>
          <cell r="BG405" t="str">
            <v>NO SABE</v>
          </cell>
          <cell r="BH405" t="str">
            <v>NO SABE</v>
          </cell>
          <cell r="BI405" t="str">
            <v>NO SABE</v>
          </cell>
          <cell r="BN405" t="str">
            <v>X</v>
          </cell>
          <cell r="BP405" t="str">
            <v>X</v>
          </cell>
          <cell r="BV405" t="str">
            <v>X</v>
          </cell>
          <cell r="BX405">
            <v>1</v>
          </cell>
          <cell r="BY405">
            <v>3</v>
          </cell>
          <cell r="BZ405">
            <v>2</v>
          </cell>
          <cell r="DD405">
            <v>2</v>
          </cell>
        </row>
        <row r="406">
          <cell r="G406" t="str">
            <v>X</v>
          </cell>
          <cell r="N406" t="str">
            <v>QUERÉTARO</v>
          </cell>
          <cell r="O406">
            <v>30</v>
          </cell>
          <cell r="S406" t="str">
            <v>X</v>
          </cell>
          <cell r="U406" t="str">
            <v>X</v>
          </cell>
          <cell r="AH406">
            <v>2003</v>
          </cell>
          <cell r="AI406">
            <v>860990</v>
          </cell>
          <cell r="AT406" t="str">
            <v>CUMMINS</v>
          </cell>
          <cell r="AV406">
            <v>0.1</v>
          </cell>
          <cell r="AX406">
            <v>2.4</v>
          </cell>
          <cell r="BE406">
            <v>18000</v>
          </cell>
          <cell r="BF406" t="str">
            <v>NO SABE</v>
          </cell>
          <cell r="BG406">
            <v>36000</v>
          </cell>
          <cell r="BH406">
            <v>120000</v>
          </cell>
          <cell r="BI406" t="str">
            <v>NO SABE</v>
          </cell>
          <cell r="BN406" t="str">
            <v>X</v>
          </cell>
          <cell r="BP406" t="str">
            <v>X</v>
          </cell>
          <cell r="BU406" t="str">
            <v>X</v>
          </cell>
          <cell r="BX406">
            <v>1</v>
          </cell>
          <cell r="BY406">
            <v>3</v>
          </cell>
          <cell r="BZ406">
            <v>2</v>
          </cell>
          <cell r="DD406">
            <v>3</v>
          </cell>
        </row>
        <row r="407">
          <cell r="H407" t="str">
            <v>X</v>
          </cell>
          <cell r="N407" t="str">
            <v>NVO. LEON</v>
          </cell>
          <cell r="O407">
            <v>25</v>
          </cell>
          <cell r="S407" t="str">
            <v>X</v>
          </cell>
          <cell r="U407" t="str">
            <v>X</v>
          </cell>
          <cell r="AH407">
            <v>2005</v>
          </cell>
          <cell r="AI407">
            <v>758120</v>
          </cell>
          <cell r="AT407" t="str">
            <v>DETROIT</v>
          </cell>
          <cell r="AV407">
            <v>0.5</v>
          </cell>
          <cell r="AX407">
            <v>2.5</v>
          </cell>
          <cell r="BE407">
            <v>20000</v>
          </cell>
          <cell r="BF407">
            <v>200000</v>
          </cell>
          <cell r="BG407">
            <v>40000</v>
          </cell>
          <cell r="BH407">
            <v>120000</v>
          </cell>
          <cell r="BI407" t="str">
            <v>NO SABE</v>
          </cell>
          <cell r="BN407" t="str">
            <v>X</v>
          </cell>
          <cell r="BP407" t="str">
            <v>X</v>
          </cell>
          <cell r="BU407" t="str">
            <v>X</v>
          </cell>
          <cell r="BX407">
            <v>1</v>
          </cell>
          <cell r="BY407">
            <v>3</v>
          </cell>
          <cell r="BZ407">
            <v>2</v>
          </cell>
          <cell r="DD407">
            <v>7</v>
          </cell>
        </row>
        <row r="408">
          <cell r="G408" t="str">
            <v>X</v>
          </cell>
          <cell r="N408" t="str">
            <v>GUANAJUATO</v>
          </cell>
          <cell r="O408">
            <v>30</v>
          </cell>
          <cell r="S408" t="str">
            <v>X</v>
          </cell>
          <cell r="U408" t="str">
            <v>X</v>
          </cell>
          <cell r="AH408">
            <v>2006</v>
          </cell>
          <cell r="AI408">
            <v>721832</v>
          </cell>
          <cell r="AT408" t="str">
            <v>CUMMINS</v>
          </cell>
          <cell r="AV408">
            <v>0.5</v>
          </cell>
          <cell r="AX408">
            <v>2.5</v>
          </cell>
          <cell r="BE408">
            <v>19000</v>
          </cell>
          <cell r="BF408">
            <v>180000</v>
          </cell>
          <cell r="BG408">
            <v>38000</v>
          </cell>
          <cell r="BH408">
            <v>120000</v>
          </cell>
          <cell r="BI408" t="str">
            <v>NO SABE</v>
          </cell>
          <cell r="BN408" t="str">
            <v>X</v>
          </cell>
          <cell r="BS408" t="str">
            <v>PRODUCTOS DE HIGIENE PERSONAL</v>
          </cell>
          <cell r="BV408" t="str">
            <v>X</v>
          </cell>
          <cell r="BX408">
            <v>1</v>
          </cell>
          <cell r="BY408">
            <v>2</v>
          </cell>
          <cell r="BZ408">
            <v>3</v>
          </cell>
          <cell r="DD408">
            <v>3</v>
          </cell>
        </row>
        <row r="409">
          <cell r="G409" t="str">
            <v>X</v>
          </cell>
          <cell r="N409" t="str">
            <v>QUERÉTARO</v>
          </cell>
          <cell r="O409">
            <v>25</v>
          </cell>
          <cell r="S409" t="str">
            <v>X</v>
          </cell>
          <cell r="U409" t="str">
            <v>X</v>
          </cell>
          <cell r="AH409">
            <v>2007</v>
          </cell>
          <cell r="AI409">
            <v>619880</v>
          </cell>
          <cell r="AT409" t="str">
            <v>DETROIT</v>
          </cell>
          <cell r="AV409">
            <v>0.1</v>
          </cell>
          <cell r="AX409">
            <v>2.5</v>
          </cell>
          <cell r="BE409">
            <v>20000</v>
          </cell>
          <cell r="BF409">
            <v>240000</v>
          </cell>
          <cell r="BG409">
            <v>60000</v>
          </cell>
          <cell r="BH409">
            <v>120000</v>
          </cell>
          <cell r="BI409" t="str">
            <v>NO SABE</v>
          </cell>
          <cell r="BP409" t="str">
            <v>X</v>
          </cell>
          <cell r="BV409" t="str">
            <v>X</v>
          </cell>
          <cell r="BX409">
            <v>1</v>
          </cell>
          <cell r="BY409">
            <v>3</v>
          </cell>
          <cell r="BZ409">
            <v>2</v>
          </cell>
          <cell r="DD409">
            <v>3</v>
          </cell>
        </row>
        <row r="410">
          <cell r="E410" t="str">
            <v>X</v>
          </cell>
          <cell r="N410" t="str">
            <v>EDO. MEX.</v>
          </cell>
          <cell r="O410">
            <v>31</v>
          </cell>
          <cell r="Q410" t="str">
            <v>X</v>
          </cell>
          <cell r="V410" t="str">
            <v>X</v>
          </cell>
          <cell r="AH410">
            <v>1996</v>
          </cell>
          <cell r="AI410" t="str">
            <v>NO SABE</v>
          </cell>
          <cell r="AT410" t="str">
            <v>MERCEDES BENZ</v>
          </cell>
          <cell r="AV410">
            <v>0.5</v>
          </cell>
          <cell r="AX410">
            <v>2.9</v>
          </cell>
          <cell r="BE410">
            <v>30000</v>
          </cell>
          <cell r="BF410" t="str">
            <v>NO SABE</v>
          </cell>
          <cell r="BG410">
            <v>100000</v>
          </cell>
          <cell r="BH410" t="str">
            <v>NO SABE</v>
          </cell>
          <cell r="BI410" t="str">
            <v>NO SABE</v>
          </cell>
          <cell r="BQ410" t="str">
            <v>X</v>
          </cell>
          <cell r="BU410" t="str">
            <v>X</v>
          </cell>
          <cell r="BX410">
            <v>3</v>
          </cell>
          <cell r="BY410">
            <v>1</v>
          </cell>
          <cell r="BZ410">
            <v>2</v>
          </cell>
          <cell r="DD410">
            <v>1</v>
          </cell>
        </row>
        <row r="411">
          <cell r="G411" t="str">
            <v>X</v>
          </cell>
          <cell r="N411" t="str">
            <v>D.F.</v>
          </cell>
          <cell r="O411">
            <v>17</v>
          </cell>
          <cell r="Q411" t="str">
            <v>X</v>
          </cell>
          <cell r="U411" t="str">
            <v>X</v>
          </cell>
          <cell r="AH411">
            <v>2004</v>
          </cell>
          <cell r="AI411">
            <v>811703</v>
          </cell>
          <cell r="AT411" t="str">
            <v>CUMMINS</v>
          </cell>
          <cell r="AV411">
            <v>0</v>
          </cell>
          <cell r="AX411">
            <v>3.1</v>
          </cell>
          <cell r="BE411">
            <v>30000</v>
          </cell>
          <cell r="BF411" t="str">
            <v>NO SABE</v>
          </cell>
          <cell r="BG411">
            <v>60000</v>
          </cell>
          <cell r="BH411" t="str">
            <v>NO SABE</v>
          </cell>
          <cell r="BI411" t="str">
            <v>NO SABE</v>
          </cell>
          <cell r="BL411" t="str">
            <v>X</v>
          </cell>
          <cell r="BR411" t="str">
            <v>X</v>
          </cell>
          <cell r="BU411" t="str">
            <v>X</v>
          </cell>
          <cell r="BX411">
            <v>1</v>
          </cell>
          <cell r="BY411">
            <v>3</v>
          </cell>
          <cell r="BZ411">
            <v>2</v>
          </cell>
          <cell r="DD411">
            <v>3</v>
          </cell>
        </row>
        <row r="412">
          <cell r="H412" t="str">
            <v>X</v>
          </cell>
          <cell r="N412" t="str">
            <v>EDO. MEX.</v>
          </cell>
          <cell r="O412">
            <v>10</v>
          </cell>
          <cell r="S412" t="str">
            <v>X</v>
          </cell>
          <cell r="U412" t="str">
            <v>X</v>
          </cell>
          <cell r="AH412">
            <v>2008</v>
          </cell>
          <cell r="AI412">
            <v>552713</v>
          </cell>
          <cell r="AT412" t="str">
            <v>CUMMINS</v>
          </cell>
          <cell r="AV412">
            <v>0</v>
          </cell>
          <cell r="AX412">
            <v>2.5</v>
          </cell>
          <cell r="BE412">
            <v>11000</v>
          </cell>
          <cell r="BF412" t="str">
            <v>NO SABE</v>
          </cell>
          <cell r="BG412">
            <v>22000</v>
          </cell>
          <cell r="BH412">
            <v>130000</v>
          </cell>
          <cell r="BI412" t="str">
            <v>NO SABE</v>
          </cell>
          <cell r="BN412" t="str">
            <v>X</v>
          </cell>
          <cell r="BP412" t="str">
            <v>X</v>
          </cell>
          <cell r="BS412" t="str">
            <v>ELECTRONICA, LINEA BLANCA</v>
          </cell>
          <cell r="BU412" t="str">
            <v>X</v>
          </cell>
          <cell r="BX412">
            <v>2</v>
          </cell>
          <cell r="BY412">
            <v>1</v>
          </cell>
          <cell r="BZ412">
            <v>3</v>
          </cell>
          <cell r="DD412">
            <v>7</v>
          </cell>
        </row>
        <row r="413">
          <cell r="H413" t="str">
            <v>X</v>
          </cell>
          <cell r="N413" t="str">
            <v>D.F.</v>
          </cell>
          <cell r="O413">
            <v>30</v>
          </cell>
          <cell r="S413" t="str">
            <v>X</v>
          </cell>
          <cell r="U413" t="str">
            <v>X</v>
          </cell>
          <cell r="AH413">
            <v>2008</v>
          </cell>
          <cell r="AI413">
            <v>525612</v>
          </cell>
          <cell r="AT413" t="str">
            <v>CUMMINS</v>
          </cell>
          <cell r="AV413">
            <v>0</v>
          </cell>
          <cell r="AX413">
            <v>2.5</v>
          </cell>
          <cell r="BE413">
            <v>22000</v>
          </cell>
          <cell r="BF413">
            <v>200000</v>
          </cell>
          <cell r="BG413">
            <v>44000</v>
          </cell>
          <cell r="BH413">
            <v>130000</v>
          </cell>
          <cell r="BI413" t="str">
            <v>NO SABE</v>
          </cell>
          <cell r="BK413" t="str">
            <v>X</v>
          </cell>
          <cell r="BM413" t="str">
            <v>X</v>
          </cell>
          <cell r="BN413" t="str">
            <v>X</v>
          </cell>
          <cell r="BP413" t="str">
            <v>X</v>
          </cell>
          <cell r="BU413" t="str">
            <v>X</v>
          </cell>
          <cell r="BX413">
            <v>1</v>
          </cell>
          <cell r="BY413">
            <v>3</v>
          </cell>
          <cell r="BZ413">
            <v>2</v>
          </cell>
          <cell r="DD413">
            <v>7</v>
          </cell>
        </row>
        <row r="414">
          <cell r="E414" t="str">
            <v>X</v>
          </cell>
          <cell r="N414" t="str">
            <v>PUEBLA</v>
          </cell>
          <cell r="O414">
            <v>25</v>
          </cell>
          <cell r="S414" t="str">
            <v>X</v>
          </cell>
          <cell r="U414" t="str">
            <v>X</v>
          </cell>
          <cell r="AH414">
            <v>2005</v>
          </cell>
          <cell r="AI414">
            <v>731800</v>
          </cell>
          <cell r="AT414" t="str">
            <v>CUMMINS</v>
          </cell>
          <cell r="AV414">
            <v>0.05</v>
          </cell>
          <cell r="AX414">
            <v>2.5</v>
          </cell>
          <cell r="BE414">
            <v>20000</v>
          </cell>
          <cell r="BF414" t="str">
            <v>NO SABE</v>
          </cell>
          <cell r="BG414">
            <v>50000</v>
          </cell>
          <cell r="BH414">
            <v>120000</v>
          </cell>
          <cell r="BI414" t="str">
            <v>NO  SABE</v>
          </cell>
          <cell r="BN414" t="str">
            <v>X</v>
          </cell>
          <cell r="BT414" t="str">
            <v>X</v>
          </cell>
          <cell r="BX414">
            <v>3</v>
          </cell>
          <cell r="BY414">
            <v>1</v>
          </cell>
          <cell r="BZ414">
            <v>2</v>
          </cell>
          <cell r="DD414">
            <v>1</v>
          </cell>
        </row>
        <row r="415">
          <cell r="H415" t="str">
            <v>X</v>
          </cell>
          <cell r="N415" t="str">
            <v>TAMAULIPAS</v>
          </cell>
          <cell r="O415">
            <v>27</v>
          </cell>
          <cell r="S415" t="str">
            <v>X</v>
          </cell>
          <cell r="AH415">
            <v>2005</v>
          </cell>
          <cell r="AI415">
            <v>836325</v>
          </cell>
          <cell r="AT415" t="str">
            <v>DETROIT</v>
          </cell>
          <cell r="AV415">
            <v>0.5</v>
          </cell>
          <cell r="AX415">
            <v>1.6</v>
          </cell>
          <cell r="BE415">
            <v>24000</v>
          </cell>
          <cell r="BF415">
            <v>200000</v>
          </cell>
          <cell r="BG415">
            <v>50000</v>
          </cell>
          <cell r="BH415" t="str">
            <v>NO SABE</v>
          </cell>
          <cell r="BI415" t="str">
            <v>NO SABE</v>
          </cell>
          <cell r="BS415" t="str">
            <v>CONTENEDORES</v>
          </cell>
          <cell r="BU415" t="str">
            <v>X</v>
          </cell>
          <cell r="BX415">
            <v>1</v>
          </cell>
          <cell r="BY415">
            <v>2</v>
          </cell>
          <cell r="BZ415">
            <v>3</v>
          </cell>
          <cell r="DD415">
            <v>7</v>
          </cell>
        </row>
        <row r="416">
          <cell r="H416" t="str">
            <v>X</v>
          </cell>
          <cell r="N416" t="str">
            <v>TAMAULIPAS</v>
          </cell>
          <cell r="O416">
            <v>18</v>
          </cell>
          <cell r="S416" t="str">
            <v>X</v>
          </cell>
          <cell r="AH416">
            <v>2003</v>
          </cell>
          <cell r="AI416" t="str">
            <v>NO SABE</v>
          </cell>
          <cell r="AT416" t="str">
            <v>DETROIT</v>
          </cell>
          <cell r="AV416">
            <v>0.5</v>
          </cell>
          <cell r="AX416">
            <v>1.6</v>
          </cell>
          <cell r="BE416">
            <v>24000</v>
          </cell>
          <cell r="BF416" t="str">
            <v>NO SABE</v>
          </cell>
          <cell r="BG416">
            <v>50000</v>
          </cell>
          <cell r="BH416" t="str">
            <v>NO SABE</v>
          </cell>
          <cell r="BI416" t="str">
            <v>NO SABE</v>
          </cell>
          <cell r="BS416" t="str">
            <v>CONTENEDORES</v>
          </cell>
          <cell r="BU416" t="str">
            <v>X</v>
          </cell>
          <cell r="BX416">
            <v>1</v>
          </cell>
          <cell r="BY416">
            <v>2</v>
          </cell>
          <cell r="BZ416">
            <v>3</v>
          </cell>
          <cell r="DD416">
            <v>7</v>
          </cell>
        </row>
        <row r="417">
          <cell r="G417" t="str">
            <v>X</v>
          </cell>
          <cell r="N417" t="str">
            <v>MICHOACAN</v>
          </cell>
          <cell r="O417">
            <v>20</v>
          </cell>
          <cell r="S417" t="str">
            <v>X</v>
          </cell>
          <cell r="AH417">
            <v>2007</v>
          </cell>
          <cell r="AI417">
            <v>590783</v>
          </cell>
          <cell r="AT417" t="str">
            <v>CUMMINS</v>
          </cell>
          <cell r="AV417">
            <v>0.5</v>
          </cell>
          <cell r="AX417">
            <v>1.4</v>
          </cell>
          <cell r="BE417">
            <v>20000</v>
          </cell>
          <cell r="BF417">
            <v>240000</v>
          </cell>
          <cell r="BG417">
            <v>40000</v>
          </cell>
          <cell r="BH417">
            <v>120000</v>
          </cell>
          <cell r="BI417" t="str">
            <v>NO SABE</v>
          </cell>
          <cell r="BM417" t="str">
            <v>X</v>
          </cell>
          <cell r="BU417" t="str">
            <v>X</v>
          </cell>
          <cell r="BX417">
            <v>3</v>
          </cell>
          <cell r="BY417">
            <v>1</v>
          </cell>
          <cell r="BZ417">
            <v>2</v>
          </cell>
          <cell r="DD417">
            <v>3</v>
          </cell>
        </row>
        <row r="418">
          <cell r="G418" t="str">
            <v>X</v>
          </cell>
          <cell r="N418" t="str">
            <v>TAMAULIPAS</v>
          </cell>
          <cell r="O418">
            <v>10</v>
          </cell>
          <cell r="Q418" t="str">
            <v>X</v>
          </cell>
          <cell r="Y418" t="str">
            <v>X</v>
          </cell>
          <cell r="AH418">
            <v>2001</v>
          </cell>
          <cell r="AI418" t="str">
            <v>NO SABE</v>
          </cell>
          <cell r="AT418" t="str">
            <v>CUMMINS</v>
          </cell>
          <cell r="AV418">
            <v>0.5</v>
          </cell>
          <cell r="AX418">
            <v>2.9</v>
          </cell>
          <cell r="BE418">
            <v>20000</v>
          </cell>
          <cell r="BF418" t="str">
            <v>NO SABE</v>
          </cell>
          <cell r="BG418">
            <v>60000</v>
          </cell>
          <cell r="BH418" t="str">
            <v>NO SABE</v>
          </cell>
          <cell r="BI418" t="str">
            <v>NO SABE</v>
          </cell>
          <cell r="BR418" t="str">
            <v>X</v>
          </cell>
          <cell r="BV418" t="str">
            <v>X</v>
          </cell>
          <cell r="BX418">
            <v>1</v>
          </cell>
          <cell r="BY418">
            <v>2</v>
          </cell>
          <cell r="BZ418">
            <v>3</v>
          </cell>
          <cell r="DD418">
            <v>3</v>
          </cell>
        </row>
        <row r="419">
          <cell r="H419" t="str">
            <v>X</v>
          </cell>
          <cell r="N419" t="str">
            <v>NVO. LEON</v>
          </cell>
          <cell r="O419">
            <v>15</v>
          </cell>
          <cell r="S419" t="str">
            <v>X</v>
          </cell>
          <cell r="U419" t="str">
            <v>X</v>
          </cell>
          <cell r="AH419">
            <v>2002</v>
          </cell>
          <cell r="AI419">
            <v>1123601</v>
          </cell>
          <cell r="AT419" t="str">
            <v>CUMMINS</v>
          </cell>
          <cell r="AV419">
            <v>0.5</v>
          </cell>
          <cell r="AX419">
            <v>2.4</v>
          </cell>
          <cell r="BE419">
            <v>20000</v>
          </cell>
          <cell r="BF419">
            <v>200000</v>
          </cell>
          <cell r="BG419">
            <v>40000</v>
          </cell>
          <cell r="BH419">
            <v>150000</v>
          </cell>
          <cell r="BI419" t="str">
            <v>NO SABE</v>
          </cell>
          <cell r="BN419" t="str">
            <v>X</v>
          </cell>
          <cell r="BV419" t="str">
            <v>X</v>
          </cell>
          <cell r="BX419">
            <v>1</v>
          </cell>
          <cell r="BY419">
            <v>2</v>
          </cell>
          <cell r="BZ419">
            <v>3</v>
          </cell>
          <cell r="DD419">
            <v>7</v>
          </cell>
        </row>
        <row r="420">
          <cell r="F420" t="str">
            <v>X</v>
          </cell>
          <cell r="N420" t="str">
            <v>JALISCO</v>
          </cell>
          <cell r="O420">
            <v>3</v>
          </cell>
          <cell r="S420" t="str">
            <v>X</v>
          </cell>
          <cell r="U420" t="str">
            <v>X</v>
          </cell>
          <cell r="AH420">
            <v>2003</v>
          </cell>
          <cell r="AI420">
            <v>863120</v>
          </cell>
          <cell r="AT420" t="str">
            <v>CUMMINS</v>
          </cell>
          <cell r="AV420">
            <v>0.1</v>
          </cell>
          <cell r="AX420">
            <v>2.4</v>
          </cell>
          <cell r="BE420">
            <v>20000</v>
          </cell>
          <cell r="BF420" t="str">
            <v>NO SABE</v>
          </cell>
          <cell r="BG420">
            <v>60000</v>
          </cell>
          <cell r="BH420" t="str">
            <v>NO SABE</v>
          </cell>
          <cell r="BI420" t="str">
            <v>NO SABE</v>
          </cell>
          <cell r="BP420" t="str">
            <v>X</v>
          </cell>
          <cell r="BV420" t="str">
            <v>X</v>
          </cell>
          <cell r="BX420">
            <v>1</v>
          </cell>
          <cell r="BY420">
            <v>3</v>
          </cell>
          <cell r="BZ420">
            <v>2</v>
          </cell>
          <cell r="DD420">
            <v>2</v>
          </cell>
        </row>
        <row r="421">
          <cell r="G421" t="str">
            <v>X</v>
          </cell>
          <cell r="N421" t="str">
            <v>COAHUILA</v>
          </cell>
          <cell r="O421">
            <v>17</v>
          </cell>
          <cell r="S421" t="str">
            <v>X</v>
          </cell>
          <cell r="U421" t="str">
            <v>X</v>
          </cell>
          <cell r="AH421">
            <v>1998</v>
          </cell>
          <cell r="AI421" t="str">
            <v>NO SABE</v>
          </cell>
          <cell r="AT421" t="str">
            <v>CUMMINS</v>
          </cell>
          <cell r="AV421">
            <v>0.1</v>
          </cell>
          <cell r="AX421">
            <v>2.5</v>
          </cell>
          <cell r="BE421">
            <v>18000</v>
          </cell>
          <cell r="BF421" t="str">
            <v>NO SABE</v>
          </cell>
          <cell r="BG421">
            <v>36000</v>
          </cell>
          <cell r="BH421" t="str">
            <v>NO SABE</v>
          </cell>
          <cell r="BI421" t="str">
            <v>NO SABE</v>
          </cell>
          <cell r="BN421" t="str">
            <v>X</v>
          </cell>
          <cell r="BP421" t="str">
            <v>X</v>
          </cell>
          <cell r="BU421" t="str">
            <v>X</v>
          </cell>
          <cell r="BX421">
            <v>1</v>
          </cell>
          <cell r="BY421">
            <v>3</v>
          </cell>
          <cell r="BZ421">
            <v>2</v>
          </cell>
          <cell r="DD421">
            <v>3</v>
          </cell>
        </row>
        <row r="422">
          <cell r="G422" t="str">
            <v>X</v>
          </cell>
          <cell r="N422" t="str">
            <v>SAN LUIS POTOSI</v>
          </cell>
          <cell r="O422">
            <v>15</v>
          </cell>
          <cell r="S422" t="str">
            <v>X</v>
          </cell>
          <cell r="U422" t="str">
            <v>X</v>
          </cell>
          <cell r="AH422">
            <v>2006</v>
          </cell>
          <cell r="AI422">
            <v>782315</v>
          </cell>
          <cell r="AT422" t="str">
            <v>DETROIT</v>
          </cell>
          <cell r="AV422">
            <v>0.5</v>
          </cell>
          <cell r="AX422">
            <v>2.4</v>
          </cell>
          <cell r="BE422">
            <v>20000</v>
          </cell>
          <cell r="BF422">
            <v>12000</v>
          </cell>
          <cell r="BG422">
            <v>40000</v>
          </cell>
          <cell r="BH422">
            <v>130000</v>
          </cell>
          <cell r="BI422">
            <v>40000</v>
          </cell>
          <cell r="BN422" t="str">
            <v>X</v>
          </cell>
          <cell r="BV422" t="str">
            <v>X</v>
          </cell>
          <cell r="BX422">
            <v>1</v>
          </cell>
          <cell r="BY422">
            <v>2</v>
          </cell>
          <cell r="BZ422">
            <v>3</v>
          </cell>
          <cell r="DD422">
            <v>3</v>
          </cell>
        </row>
        <row r="423">
          <cell r="G423" t="str">
            <v>X</v>
          </cell>
          <cell r="N423" t="str">
            <v>CHIHUAHUA</v>
          </cell>
          <cell r="O423">
            <v>18</v>
          </cell>
          <cell r="S423" t="str">
            <v>X</v>
          </cell>
          <cell r="U423" t="str">
            <v>X</v>
          </cell>
          <cell r="AH423">
            <v>2003</v>
          </cell>
          <cell r="AI423">
            <v>953763</v>
          </cell>
          <cell r="AT423" t="str">
            <v>CUMMINS</v>
          </cell>
          <cell r="AV423">
            <v>0.5</v>
          </cell>
          <cell r="AX423">
            <v>2.4</v>
          </cell>
          <cell r="BE423">
            <v>19000</v>
          </cell>
          <cell r="BF423" t="str">
            <v>NO SABE</v>
          </cell>
          <cell r="BG423">
            <v>40000</v>
          </cell>
          <cell r="BH423">
            <v>120000</v>
          </cell>
          <cell r="BI423" t="str">
            <v>NO SABE</v>
          </cell>
          <cell r="BN423" t="str">
            <v>X</v>
          </cell>
          <cell r="BP423" t="str">
            <v>X</v>
          </cell>
          <cell r="BV423" t="str">
            <v>X</v>
          </cell>
          <cell r="BX423">
            <v>1</v>
          </cell>
          <cell r="BY423">
            <v>3</v>
          </cell>
          <cell r="BZ423">
            <v>2</v>
          </cell>
          <cell r="DD423">
            <v>3</v>
          </cell>
        </row>
        <row r="424">
          <cell r="H424" t="str">
            <v>X</v>
          </cell>
          <cell r="N424" t="str">
            <v>JALISCO</v>
          </cell>
          <cell r="O424">
            <v>12</v>
          </cell>
          <cell r="S424" t="str">
            <v>X</v>
          </cell>
          <cell r="U424" t="str">
            <v>X</v>
          </cell>
          <cell r="AH424">
            <v>2004</v>
          </cell>
          <cell r="AI424">
            <v>829615</v>
          </cell>
          <cell r="AT424" t="str">
            <v>CUMMINS</v>
          </cell>
          <cell r="AV424">
            <v>0.1</v>
          </cell>
          <cell r="AX424">
            <v>2.5</v>
          </cell>
          <cell r="BE424">
            <v>20000</v>
          </cell>
          <cell r="BF424">
            <v>200000</v>
          </cell>
          <cell r="BG424">
            <v>40000</v>
          </cell>
          <cell r="BH424">
            <v>100000</v>
          </cell>
          <cell r="BI424" t="str">
            <v>NO SABE</v>
          </cell>
          <cell r="BN424" t="str">
            <v>X</v>
          </cell>
          <cell r="BV424" t="str">
            <v>X</v>
          </cell>
          <cell r="BX424">
            <v>1</v>
          </cell>
          <cell r="BY424">
            <v>3</v>
          </cell>
          <cell r="BZ424">
            <v>2</v>
          </cell>
          <cell r="DD424">
            <v>7</v>
          </cell>
        </row>
        <row r="425">
          <cell r="E425" t="str">
            <v>X</v>
          </cell>
          <cell r="N425" t="str">
            <v>PUEBLA</v>
          </cell>
          <cell r="O425">
            <v>8</v>
          </cell>
          <cell r="S425" t="str">
            <v>X</v>
          </cell>
          <cell r="U425" t="str">
            <v>X</v>
          </cell>
          <cell r="AH425">
            <v>2001</v>
          </cell>
          <cell r="AI425" t="str">
            <v>NO SABE</v>
          </cell>
          <cell r="AT425" t="str">
            <v>CUMMINS</v>
          </cell>
          <cell r="AV425">
            <v>0.1</v>
          </cell>
          <cell r="AX425">
            <v>2.4</v>
          </cell>
          <cell r="BE425">
            <v>35000</v>
          </cell>
          <cell r="BF425" t="str">
            <v>NO SABE</v>
          </cell>
          <cell r="BG425">
            <v>70000</v>
          </cell>
          <cell r="BH425" t="str">
            <v>NO SABE</v>
          </cell>
          <cell r="BI425" t="str">
            <v>NO SABE</v>
          </cell>
          <cell r="BN425" t="str">
            <v>X</v>
          </cell>
          <cell r="BU425" t="str">
            <v>X</v>
          </cell>
          <cell r="BX425">
            <v>1</v>
          </cell>
          <cell r="BY425">
            <v>2</v>
          </cell>
          <cell r="BZ425">
            <v>3</v>
          </cell>
          <cell r="DD425">
            <v>1</v>
          </cell>
        </row>
        <row r="426">
          <cell r="G426" t="str">
            <v>X</v>
          </cell>
          <cell r="N426" t="str">
            <v>TAMAULIPAS</v>
          </cell>
          <cell r="O426">
            <v>20</v>
          </cell>
          <cell r="S426" t="str">
            <v>X</v>
          </cell>
          <cell r="U426" t="str">
            <v>X</v>
          </cell>
          <cell r="AH426">
            <v>2005</v>
          </cell>
          <cell r="AI426">
            <v>793119</v>
          </cell>
          <cell r="AT426" t="str">
            <v>CUMMINS</v>
          </cell>
          <cell r="AV426">
            <v>0.5</v>
          </cell>
          <cell r="AX426">
            <v>2.5</v>
          </cell>
          <cell r="BE426">
            <v>25000</v>
          </cell>
          <cell r="BF426">
            <v>200000</v>
          </cell>
          <cell r="BG426">
            <v>75000</v>
          </cell>
          <cell r="BH426">
            <v>150000</v>
          </cell>
          <cell r="BI426" t="str">
            <v>NO SABE</v>
          </cell>
          <cell r="BN426" t="str">
            <v>X</v>
          </cell>
          <cell r="BP426" t="str">
            <v>X</v>
          </cell>
          <cell r="BU426" t="str">
            <v>X</v>
          </cell>
          <cell r="BX426">
            <v>1</v>
          </cell>
          <cell r="BY426">
            <v>3</v>
          </cell>
          <cell r="BZ426">
            <v>2</v>
          </cell>
          <cell r="DD426">
            <v>3</v>
          </cell>
        </row>
        <row r="427">
          <cell r="G427" t="str">
            <v>X</v>
          </cell>
          <cell r="N427" t="str">
            <v>NVO. LEON</v>
          </cell>
          <cell r="O427">
            <v>19</v>
          </cell>
          <cell r="S427" t="str">
            <v>X</v>
          </cell>
          <cell r="U427" t="str">
            <v>X</v>
          </cell>
          <cell r="AH427">
            <v>2000</v>
          </cell>
          <cell r="AI427">
            <v>913625</v>
          </cell>
          <cell r="AT427" t="str">
            <v>DETROIT</v>
          </cell>
          <cell r="AV427">
            <v>0.05</v>
          </cell>
          <cell r="AX427">
            <v>2.4</v>
          </cell>
          <cell r="BE427">
            <v>30000</v>
          </cell>
          <cell r="BF427" t="str">
            <v>NO SABE</v>
          </cell>
          <cell r="BG427" t="str">
            <v>NO SABE</v>
          </cell>
          <cell r="BH427" t="str">
            <v>NO SABE</v>
          </cell>
          <cell r="BI427" t="str">
            <v>NO SABE</v>
          </cell>
          <cell r="BN427" t="str">
            <v>X</v>
          </cell>
          <cell r="BV427" t="str">
            <v>X</v>
          </cell>
          <cell r="BX427">
            <v>1</v>
          </cell>
          <cell r="BY427">
            <v>2</v>
          </cell>
          <cell r="BZ427">
            <v>3</v>
          </cell>
          <cell r="DD427">
            <v>3</v>
          </cell>
        </row>
        <row r="428">
          <cell r="G428" t="str">
            <v>X</v>
          </cell>
          <cell r="N428" t="str">
            <v>COAHUILA</v>
          </cell>
          <cell r="O428">
            <v>25</v>
          </cell>
          <cell r="S428" t="str">
            <v>X</v>
          </cell>
          <cell r="U428" t="str">
            <v>X</v>
          </cell>
          <cell r="AH428">
            <v>2004</v>
          </cell>
          <cell r="AI428">
            <v>861753</v>
          </cell>
          <cell r="AT428" t="str">
            <v>CUMMINS</v>
          </cell>
          <cell r="AV428">
            <v>0.5</v>
          </cell>
          <cell r="AX428">
            <v>2.4</v>
          </cell>
          <cell r="BE428">
            <v>22000</v>
          </cell>
          <cell r="BF428" t="str">
            <v>NO SABE</v>
          </cell>
          <cell r="BG428">
            <v>45000</v>
          </cell>
          <cell r="BH428" t="str">
            <v>NO SABE</v>
          </cell>
          <cell r="BI428" t="str">
            <v>NO SABE</v>
          </cell>
          <cell r="BN428" t="str">
            <v>X</v>
          </cell>
          <cell r="BP428" t="str">
            <v>X</v>
          </cell>
          <cell r="BU428" t="str">
            <v>X</v>
          </cell>
          <cell r="BX428">
            <v>1</v>
          </cell>
          <cell r="BY428">
            <v>3</v>
          </cell>
          <cell r="BZ428">
            <v>2</v>
          </cell>
          <cell r="DD428">
            <v>3</v>
          </cell>
        </row>
        <row r="429">
          <cell r="G429" t="str">
            <v>X</v>
          </cell>
          <cell r="N429" t="str">
            <v>NVO. LEON</v>
          </cell>
          <cell r="O429">
            <v>15</v>
          </cell>
          <cell r="S429" t="str">
            <v>X</v>
          </cell>
          <cell r="U429" t="str">
            <v>X</v>
          </cell>
          <cell r="AH429">
            <v>2004</v>
          </cell>
          <cell r="AI429">
            <v>767982</v>
          </cell>
          <cell r="AT429" t="str">
            <v>CUMMINS</v>
          </cell>
          <cell r="AV429">
            <v>0.5</v>
          </cell>
          <cell r="AX429">
            <v>2.4</v>
          </cell>
          <cell r="BE429">
            <v>18000</v>
          </cell>
          <cell r="BF429">
            <v>200000</v>
          </cell>
          <cell r="BG429">
            <v>36000</v>
          </cell>
          <cell r="BH429">
            <v>100000</v>
          </cell>
          <cell r="BI429" t="str">
            <v>NO SABE</v>
          </cell>
          <cell r="BN429" t="str">
            <v>X</v>
          </cell>
          <cell r="BP429" t="str">
            <v>X</v>
          </cell>
          <cell r="BU429" t="str">
            <v>X</v>
          </cell>
          <cell r="BX429">
            <v>1</v>
          </cell>
          <cell r="BY429">
            <v>2</v>
          </cell>
          <cell r="BZ429">
            <v>3</v>
          </cell>
          <cell r="DD429">
            <v>3</v>
          </cell>
        </row>
        <row r="430">
          <cell r="G430" t="str">
            <v>X</v>
          </cell>
          <cell r="N430" t="str">
            <v>HIDALGO</v>
          </cell>
          <cell r="O430">
            <v>30</v>
          </cell>
          <cell r="S430" t="str">
            <v>X</v>
          </cell>
          <cell r="Y430" t="str">
            <v>X</v>
          </cell>
          <cell r="AH430">
            <v>2005</v>
          </cell>
          <cell r="AI430">
            <v>759836</v>
          </cell>
          <cell r="AT430" t="str">
            <v>CUMMINS</v>
          </cell>
          <cell r="AV430">
            <v>0.5</v>
          </cell>
          <cell r="AX430">
            <v>2.4</v>
          </cell>
          <cell r="BE430">
            <v>20000</v>
          </cell>
          <cell r="BF430">
            <v>180000</v>
          </cell>
          <cell r="BG430">
            <v>40000</v>
          </cell>
          <cell r="BH430">
            <v>120000</v>
          </cell>
          <cell r="BI430" t="str">
            <v>NO SABE</v>
          </cell>
          <cell r="BL430" t="str">
            <v>X</v>
          </cell>
          <cell r="BR430" t="str">
            <v>X</v>
          </cell>
          <cell r="BU430" t="str">
            <v>X</v>
          </cell>
          <cell r="BX430">
            <v>1</v>
          </cell>
          <cell r="BY430">
            <v>2</v>
          </cell>
          <cell r="BZ430">
            <v>3</v>
          </cell>
          <cell r="DD430">
            <v>3</v>
          </cell>
        </row>
        <row r="431">
          <cell r="H431" t="str">
            <v>X</v>
          </cell>
          <cell r="N431" t="str">
            <v>NVO. LEON</v>
          </cell>
          <cell r="O431">
            <v>20</v>
          </cell>
          <cell r="Q431" t="str">
            <v>X</v>
          </cell>
          <cell r="Y431" t="str">
            <v>X</v>
          </cell>
          <cell r="AH431">
            <v>2006</v>
          </cell>
          <cell r="AI431">
            <v>573903</v>
          </cell>
          <cell r="AT431" t="str">
            <v>CUMMINS</v>
          </cell>
          <cell r="AV431">
            <v>0.5</v>
          </cell>
          <cell r="AX431">
            <v>3.2</v>
          </cell>
          <cell r="BE431">
            <v>22000</v>
          </cell>
          <cell r="BF431">
            <v>240000</v>
          </cell>
          <cell r="BG431">
            <v>44000</v>
          </cell>
          <cell r="BH431">
            <v>120000</v>
          </cell>
          <cell r="BI431" t="str">
            <v>NO SABE</v>
          </cell>
          <cell r="BL431" t="str">
            <v>X</v>
          </cell>
          <cell r="BR431" t="str">
            <v>X</v>
          </cell>
          <cell r="BU431" t="str">
            <v>X</v>
          </cell>
          <cell r="BX431">
            <v>1</v>
          </cell>
          <cell r="BY431">
            <v>2</v>
          </cell>
          <cell r="BZ431">
            <v>3</v>
          </cell>
          <cell r="DD431">
            <v>7</v>
          </cell>
        </row>
        <row r="432">
          <cell r="F432" t="str">
            <v>X</v>
          </cell>
          <cell r="N432" t="str">
            <v>GUANAJUATO</v>
          </cell>
          <cell r="O432">
            <v>7</v>
          </cell>
          <cell r="Q432" t="str">
            <v>X</v>
          </cell>
          <cell r="AH432">
            <v>1997</v>
          </cell>
          <cell r="AI432" t="str">
            <v>NO SABE</v>
          </cell>
          <cell r="AT432" t="str">
            <v>CUMMINS</v>
          </cell>
          <cell r="AV432">
            <v>0.1</v>
          </cell>
          <cell r="AX432">
            <v>3.1</v>
          </cell>
          <cell r="BE432">
            <v>30000</v>
          </cell>
          <cell r="BF432" t="str">
            <v>NO SABE</v>
          </cell>
          <cell r="BG432">
            <v>60000</v>
          </cell>
          <cell r="BH432" t="str">
            <v>NO SABE</v>
          </cell>
          <cell r="BI432" t="str">
            <v>NO SABE</v>
          </cell>
          <cell r="BO432" t="str">
            <v>X</v>
          </cell>
          <cell r="BU432" t="str">
            <v>X</v>
          </cell>
          <cell r="BX432">
            <v>3</v>
          </cell>
          <cell r="BY432">
            <v>2</v>
          </cell>
          <cell r="BZ432">
            <v>1</v>
          </cell>
          <cell r="DD432">
            <v>2</v>
          </cell>
        </row>
        <row r="433">
          <cell r="G433" t="str">
            <v>X</v>
          </cell>
          <cell r="N433" t="str">
            <v>GUANAJUATO</v>
          </cell>
          <cell r="O433">
            <v>8</v>
          </cell>
          <cell r="S433" t="str">
            <v>X</v>
          </cell>
          <cell r="AH433">
            <v>1998</v>
          </cell>
          <cell r="AI433" t="str">
            <v>NO SABE</v>
          </cell>
          <cell r="AT433" t="str">
            <v>CUMMINS</v>
          </cell>
          <cell r="AV433">
            <v>0.2</v>
          </cell>
          <cell r="AX433">
            <v>2.2000000000000002</v>
          </cell>
          <cell r="BE433">
            <v>35000</v>
          </cell>
          <cell r="BF433">
            <v>24000</v>
          </cell>
          <cell r="BG433">
            <v>70000</v>
          </cell>
          <cell r="BH433">
            <v>120000</v>
          </cell>
          <cell r="BI433" t="str">
            <v>NO SABE</v>
          </cell>
          <cell r="BO433" t="str">
            <v>X</v>
          </cell>
          <cell r="BU433" t="str">
            <v>X</v>
          </cell>
          <cell r="BX433">
            <v>2</v>
          </cell>
          <cell r="BY433">
            <v>1</v>
          </cell>
          <cell r="BZ433">
            <v>3</v>
          </cell>
          <cell r="DD433">
            <v>3</v>
          </cell>
        </row>
        <row r="434">
          <cell r="F434" t="str">
            <v>X</v>
          </cell>
          <cell r="N434" t="str">
            <v>NVO. LEON</v>
          </cell>
          <cell r="O434">
            <v>10</v>
          </cell>
          <cell r="U434" t="str">
            <v>X</v>
          </cell>
          <cell r="AH434">
            <v>1980</v>
          </cell>
          <cell r="AI434" t="str">
            <v>NO SABE</v>
          </cell>
          <cell r="AT434" t="str">
            <v>KODIAK</v>
          </cell>
          <cell r="AV434">
            <v>0.2</v>
          </cell>
          <cell r="AX434">
            <v>4.5999999999999996</v>
          </cell>
          <cell r="BE434">
            <v>30000</v>
          </cell>
          <cell r="BF434" t="str">
            <v>NO SABE</v>
          </cell>
          <cell r="BG434">
            <v>30000</v>
          </cell>
          <cell r="BH434" t="str">
            <v>NO SABE</v>
          </cell>
          <cell r="BI434" t="str">
            <v>NO SABE</v>
          </cell>
          <cell r="BN434" t="str">
            <v>X</v>
          </cell>
          <cell r="BP434" t="str">
            <v>X</v>
          </cell>
          <cell r="BU434" t="str">
            <v>X</v>
          </cell>
          <cell r="BX434">
            <v>1</v>
          </cell>
          <cell r="BY434">
            <v>3</v>
          </cell>
          <cell r="BZ434">
            <v>2</v>
          </cell>
          <cell r="DD434">
            <v>2</v>
          </cell>
        </row>
        <row r="435">
          <cell r="G435" t="str">
            <v>X</v>
          </cell>
          <cell r="N435" t="str">
            <v>TAMAULIPAS</v>
          </cell>
          <cell r="O435">
            <v>22</v>
          </cell>
          <cell r="S435" t="str">
            <v>X</v>
          </cell>
          <cell r="U435" t="str">
            <v>X</v>
          </cell>
          <cell r="AH435">
            <v>2004</v>
          </cell>
          <cell r="AI435">
            <v>750969</v>
          </cell>
          <cell r="AT435" t="str">
            <v>CUMMINS</v>
          </cell>
          <cell r="AV435">
            <v>0.5</v>
          </cell>
          <cell r="AX435">
            <v>2.5</v>
          </cell>
          <cell r="BE435">
            <v>20000</v>
          </cell>
          <cell r="BF435" t="str">
            <v>NO SABE</v>
          </cell>
          <cell r="BG435">
            <v>40000</v>
          </cell>
          <cell r="BH435" t="str">
            <v>NO SABE</v>
          </cell>
          <cell r="BI435" t="str">
            <v>NO SABE</v>
          </cell>
          <cell r="BP435" t="str">
            <v>X</v>
          </cell>
          <cell r="BV435" t="str">
            <v>X</v>
          </cell>
          <cell r="BX435">
            <v>1</v>
          </cell>
          <cell r="BY435">
            <v>2</v>
          </cell>
          <cell r="BZ435">
            <v>3</v>
          </cell>
          <cell r="DD435">
            <v>3</v>
          </cell>
        </row>
        <row r="436">
          <cell r="F436" t="str">
            <v>X</v>
          </cell>
          <cell r="N436" t="str">
            <v>TAMAULIPAS</v>
          </cell>
          <cell r="O436">
            <v>5</v>
          </cell>
          <cell r="Q436" t="str">
            <v>X</v>
          </cell>
          <cell r="AH436">
            <v>1980</v>
          </cell>
          <cell r="AI436" t="str">
            <v>NO SABE</v>
          </cell>
          <cell r="AT436" t="str">
            <v>MERCEDES BENZ</v>
          </cell>
          <cell r="AV436">
            <v>0.5</v>
          </cell>
          <cell r="AX436">
            <v>3</v>
          </cell>
          <cell r="BE436">
            <v>35000</v>
          </cell>
          <cell r="BF436" t="str">
            <v>NO SABE</v>
          </cell>
          <cell r="BG436">
            <v>70000</v>
          </cell>
          <cell r="BH436" t="str">
            <v>NO SABE</v>
          </cell>
          <cell r="BI436" t="str">
            <v>NO SABE</v>
          </cell>
          <cell r="BO436" t="str">
            <v>X</v>
          </cell>
          <cell r="BU436" t="str">
            <v>X</v>
          </cell>
          <cell r="BX436">
            <v>1</v>
          </cell>
          <cell r="BY436">
            <v>3</v>
          </cell>
          <cell r="BZ436">
            <v>2</v>
          </cell>
          <cell r="DD436">
            <v>2</v>
          </cell>
        </row>
        <row r="437">
          <cell r="G437" t="str">
            <v>X</v>
          </cell>
          <cell r="N437" t="str">
            <v>CHIHUAHUA</v>
          </cell>
          <cell r="O437">
            <v>30</v>
          </cell>
          <cell r="S437" t="str">
            <v>X</v>
          </cell>
          <cell r="U437" t="str">
            <v>X</v>
          </cell>
          <cell r="AH437">
            <v>2004</v>
          </cell>
          <cell r="AI437">
            <v>758911</v>
          </cell>
          <cell r="AT437" t="str">
            <v>CUMMINS</v>
          </cell>
          <cell r="AV437">
            <v>0.5</v>
          </cell>
          <cell r="AX437">
            <v>2.4</v>
          </cell>
          <cell r="BE437">
            <v>20000</v>
          </cell>
          <cell r="BF437" t="str">
            <v>NO SABE</v>
          </cell>
          <cell r="BG437" t="str">
            <v>NO SABE</v>
          </cell>
          <cell r="BH437" t="str">
            <v>NO SABE</v>
          </cell>
          <cell r="BI437" t="str">
            <v>NO SABE</v>
          </cell>
          <cell r="BN437" t="str">
            <v>X</v>
          </cell>
          <cell r="BP437" t="str">
            <v>X</v>
          </cell>
          <cell r="BU437" t="str">
            <v>X</v>
          </cell>
          <cell r="BX437">
            <v>1</v>
          </cell>
          <cell r="BY437">
            <v>2</v>
          </cell>
          <cell r="BZ437">
            <v>3</v>
          </cell>
          <cell r="DD437">
            <v>3</v>
          </cell>
        </row>
        <row r="438">
          <cell r="F438" t="str">
            <v>X</v>
          </cell>
          <cell r="N438" t="str">
            <v>COAHUILA</v>
          </cell>
          <cell r="O438">
            <v>37</v>
          </cell>
          <cell r="Q438" t="str">
            <v>X</v>
          </cell>
          <cell r="AH438">
            <v>2001</v>
          </cell>
          <cell r="AI438" t="str">
            <v>NO SABE</v>
          </cell>
          <cell r="AT438" t="str">
            <v>NAVISTAR</v>
          </cell>
          <cell r="AV438">
            <v>0.5</v>
          </cell>
          <cell r="AX438">
            <v>2.2000000000000002</v>
          </cell>
          <cell r="BE438">
            <v>15000</v>
          </cell>
          <cell r="BF438">
            <v>200000</v>
          </cell>
          <cell r="BG438">
            <v>60000</v>
          </cell>
          <cell r="BH438">
            <v>180000</v>
          </cell>
          <cell r="BI438" t="str">
            <v>NO SABE</v>
          </cell>
          <cell r="BJ438" t="str">
            <v>X</v>
          </cell>
          <cell r="BU438" t="str">
            <v>X</v>
          </cell>
          <cell r="BX438">
            <v>1</v>
          </cell>
          <cell r="BY438">
            <v>2</v>
          </cell>
          <cell r="BZ438">
            <v>3</v>
          </cell>
          <cell r="DD438">
            <v>2</v>
          </cell>
        </row>
        <row r="439">
          <cell r="F439" t="str">
            <v>X</v>
          </cell>
          <cell r="N439" t="str">
            <v>MICHOACAN</v>
          </cell>
          <cell r="O439">
            <v>20</v>
          </cell>
          <cell r="AH439">
            <v>1973</v>
          </cell>
          <cell r="AI439" t="str">
            <v>NO SABE</v>
          </cell>
          <cell r="AT439" t="str">
            <v>BICAM</v>
          </cell>
          <cell r="AV439">
            <v>0.5</v>
          </cell>
          <cell r="AX439">
            <v>2.4</v>
          </cell>
          <cell r="BE439">
            <v>60000</v>
          </cell>
          <cell r="BF439" t="str">
            <v>NO SABE</v>
          </cell>
          <cell r="BG439">
            <v>60000</v>
          </cell>
          <cell r="BH439" t="str">
            <v>NO SABE</v>
          </cell>
          <cell r="BI439" t="str">
            <v>NO SABE</v>
          </cell>
          <cell r="BJ439" t="str">
            <v>X</v>
          </cell>
          <cell r="BV439" t="str">
            <v>X</v>
          </cell>
          <cell r="BX439">
            <v>1</v>
          </cell>
          <cell r="BY439">
            <v>3</v>
          </cell>
          <cell r="BZ439">
            <v>2</v>
          </cell>
          <cell r="DD439">
            <v>2</v>
          </cell>
        </row>
        <row r="440">
          <cell r="E440" t="str">
            <v>X</v>
          </cell>
          <cell r="N440" t="str">
            <v>MICHOACAN</v>
          </cell>
          <cell r="O440">
            <v>21</v>
          </cell>
          <cell r="S440" t="str">
            <v>X</v>
          </cell>
          <cell r="V440" t="str">
            <v>X</v>
          </cell>
          <cell r="AH440">
            <v>1985</v>
          </cell>
          <cell r="AI440" t="str">
            <v>NO SABE</v>
          </cell>
          <cell r="AT440" t="str">
            <v>CUMMINS</v>
          </cell>
          <cell r="AV440">
            <v>0.1</v>
          </cell>
          <cell r="AX440">
            <v>2.4</v>
          </cell>
          <cell r="BE440">
            <v>40000</v>
          </cell>
          <cell r="BF440" t="str">
            <v>NO SABE</v>
          </cell>
          <cell r="BG440">
            <v>40000</v>
          </cell>
          <cell r="BH440" t="str">
            <v>NO SABE</v>
          </cell>
          <cell r="BI440" t="str">
            <v>NO SABE</v>
          </cell>
          <cell r="BJ440" t="str">
            <v>X</v>
          </cell>
          <cell r="BQ440" t="str">
            <v>X</v>
          </cell>
          <cell r="BV440" t="str">
            <v>X</v>
          </cell>
          <cell r="BX440">
            <v>1</v>
          </cell>
          <cell r="BY440">
            <v>2</v>
          </cell>
          <cell r="BZ440">
            <v>3</v>
          </cell>
          <cell r="DD440">
            <v>1</v>
          </cell>
        </row>
        <row r="441">
          <cell r="H441" t="str">
            <v>X</v>
          </cell>
          <cell r="N441" t="str">
            <v>QUERÉTARO</v>
          </cell>
          <cell r="O441">
            <v>15</v>
          </cell>
          <cell r="S441" t="str">
            <v>X</v>
          </cell>
          <cell r="AH441">
            <v>1989</v>
          </cell>
          <cell r="AI441">
            <v>787390</v>
          </cell>
          <cell r="AT441" t="str">
            <v>CUMMINS</v>
          </cell>
          <cell r="AV441">
            <v>0.5</v>
          </cell>
          <cell r="AX441">
            <v>2</v>
          </cell>
          <cell r="BE441">
            <v>22000</v>
          </cell>
          <cell r="BF441" t="str">
            <v>NO SABE</v>
          </cell>
          <cell r="BG441">
            <v>44000</v>
          </cell>
          <cell r="BH441" t="str">
            <v>NO SABE</v>
          </cell>
          <cell r="BI441" t="str">
            <v>NO SABE</v>
          </cell>
          <cell r="BJ441" t="str">
            <v>X</v>
          </cell>
          <cell r="BT441" t="str">
            <v>X</v>
          </cell>
          <cell r="BX441">
            <v>1</v>
          </cell>
          <cell r="BY441">
            <v>2</v>
          </cell>
          <cell r="BZ441">
            <v>3</v>
          </cell>
          <cell r="DD441">
            <v>7</v>
          </cell>
        </row>
        <row r="442">
          <cell r="G442" t="str">
            <v>X</v>
          </cell>
          <cell r="N442" t="str">
            <v>CHIHUAHUA</v>
          </cell>
          <cell r="O442">
            <v>25</v>
          </cell>
          <cell r="S442" t="str">
            <v>X</v>
          </cell>
          <cell r="V442" t="str">
            <v>X</v>
          </cell>
          <cell r="AH442">
            <v>2006</v>
          </cell>
          <cell r="AI442">
            <v>573815</v>
          </cell>
          <cell r="AT442" t="str">
            <v>CUMMINS</v>
          </cell>
          <cell r="AV442">
            <v>0.2</v>
          </cell>
          <cell r="AX442">
            <v>2.4</v>
          </cell>
          <cell r="BE442">
            <v>60000</v>
          </cell>
          <cell r="BF442">
            <v>50000</v>
          </cell>
          <cell r="BG442">
            <v>60000</v>
          </cell>
          <cell r="BH442">
            <v>130000</v>
          </cell>
          <cell r="BI442">
            <v>50000</v>
          </cell>
          <cell r="BX442">
            <v>2</v>
          </cell>
          <cell r="BY442">
            <v>4</v>
          </cell>
          <cell r="BZ442">
            <v>3</v>
          </cell>
          <cell r="CA442" t="str">
            <v>SEGURIDAD</v>
          </cell>
          <cell r="DD442">
            <v>3</v>
          </cell>
        </row>
        <row r="443">
          <cell r="E443" t="str">
            <v>X</v>
          </cell>
          <cell r="N443" t="str">
            <v>VERACRUZ</v>
          </cell>
          <cell r="O443">
            <v>23</v>
          </cell>
          <cell r="Q443" t="str">
            <v>X</v>
          </cell>
          <cell r="AH443">
            <v>1980</v>
          </cell>
          <cell r="AI443">
            <v>1900000</v>
          </cell>
          <cell r="AT443" t="str">
            <v>MERCEDES BENZ</v>
          </cell>
          <cell r="AV443">
            <v>0.5</v>
          </cell>
          <cell r="AX443">
            <v>2.2000000000000002</v>
          </cell>
          <cell r="BE443">
            <v>40000</v>
          </cell>
          <cell r="BF443">
            <v>60000</v>
          </cell>
          <cell r="BG443">
            <v>40000</v>
          </cell>
          <cell r="BH443">
            <v>100000</v>
          </cell>
          <cell r="BI443">
            <v>40000</v>
          </cell>
          <cell r="BO443" t="str">
            <v>X</v>
          </cell>
          <cell r="BU443" t="str">
            <v>X</v>
          </cell>
          <cell r="BX443">
            <v>3</v>
          </cell>
          <cell r="BY443">
            <v>2</v>
          </cell>
          <cell r="BZ443">
            <v>1</v>
          </cell>
          <cell r="DD443">
            <v>1</v>
          </cell>
        </row>
        <row r="444">
          <cell r="H444" t="str">
            <v>X</v>
          </cell>
          <cell r="N444" t="str">
            <v>CHIHUAHUA</v>
          </cell>
          <cell r="O444">
            <v>27</v>
          </cell>
          <cell r="S444" t="str">
            <v>X</v>
          </cell>
          <cell r="U444" t="str">
            <v>X</v>
          </cell>
          <cell r="AH444">
            <v>1991</v>
          </cell>
          <cell r="AI444">
            <v>1200000</v>
          </cell>
          <cell r="AT444" t="str">
            <v>CUMMINS</v>
          </cell>
          <cell r="AV444">
            <v>0</v>
          </cell>
          <cell r="AX444">
            <v>1.9</v>
          </cell>
          <cell r="BE444">
            <v>25000</v>
          </cell>
          <cell r="BF444" t="str">
            <v>NO SABE</v>
          </cell>
          <cell r="BG444" t="str">
            <v>NO SABE</v>
          </cell>
          <cell r="BH444" t="str">
            <v>NO SABE</v>
          </cell>
          <cell r="BI444" t="str">
            <v>NOSABE</v>
          </cell>
          <cell r="BR444" t="str">
            <v>X</v>
          </cell>
          <cell r="BW444" t="str">
            <v>X</v>
          </cell>
          <cell r="BX444">
            <v>2</v>
          </cell>
          <cell r="BY444">
            <v>3</v>
          </cell>
          <cell r="BZ444">
            <v>4</v>
          </cell>
          <cell r="CA444" t="str">
            <v>TIPO DE CARGA</v>
          </cell>
          <cell r="DD444">
            <v>7</v>
          </cell>
        </row>
        <row r="445">
          <cell r="G445" t="str">
            <v>X</v>
          </cell>
          <cell r="N445" t="str">
            <v>CHIHUAHUA</v>
          </cell>
          <cell r="O445">
            <v>10</v>
          </cell>
          <cell r="S445" t="str">
            <v>X</v>
          </cell>
          <cell r="AH445">
            <v>1996</v>
          </cell>
          <cell r="AI445">
            <v>614380</v>
          </cell>
          <cell r="AT445" t="str">
            <v>CUMMINS</v>
          </cell>
          <cell r="AV445">
            <v>0.5</v>
          </cell>
          <cell r="AX445">
            <v>1.9</v>
          </cell>
          <cell r="BE445">
            <v>18000</v>
          </cell>
          <cell r="BF445">
            <v>84000</v>
          </cell>
          <cell r="BG445" t="str">
            <v>NO SABE</v>
          </cell>
          <cell r="BH445">
            <v>84000</v>
          </cell>
          <cell r="BI445">
            <v>18000</v>
          </cell>
          <cell r="BK445" t="str">
            <v>X</v>
          </cell>
          <cell r="BN445" t="str">
            <v>X</v>
          </cell>
          <cell r="BP445" t="str">
            <v>X</v>
          </cell>
          <cell r="BW445" t="str">
            <v>X</v>
          </cell>
          <cell r="BX445">
            <v>2</v>
          </cell>
          <cell r="BY445">
            <v>3</v>
          </cell>
          <cell r="BZ445">
            <v>1</v>
          </cell>
          <cell r="DD445">
            <v>3</v>
          </cell>
        </row>
        <row r="446">
          <cell r="G446" t="str">
            <v>X</v>
          </cell>
          <cell r="N446" t="str">
            <v>CHIHUAHUA</v>
          </cell>
          <cell r="O446">
            <v>13</v>
          </cell>
          <cell r="Q446" t="str">
            <v>X</v>
          </cell>
          <cell r="AH446">
            <v>1990</v>
          </cell>
          <cell r="AI446" t="str">
            <v>NO SABE</v>
          </cell>
          <cell r="AT446" t="str">
            <v>NO SABE</v>
          </cell>
          <cell r="AV446">
            <v>0.5</v>
          </cell>
          <cell r="AX446">
            <v>2</v>
          </cell>
          <cell r="BE446">
            <v>21000</v>
          </cell>
          <cell r="BF446" t="str">
            <v>NO SABE</v>
          </cell>
          <cell r="BG446" t="str">
            <v>NO SABE</v>
          </cell>
          <cell r="BH446" t="str">
            <v>NO SABE</v>
          </cell>
          <cell r="BI446">
            <v>21000</v>
          </cell>
          <cell r="BN446" t="str">
            <v>X</v>
          </cell>
          <cell r="BP446" t="str">
            <v>X</v>
          </cell>
          <cell r="BW446" t="str">
            <v>X</v>
          </cell>
          <cell r="BX446">
            <v>2</v>
          </cell>
          <cell r="BY446">
            <v>3</v>
          </cell>
          <cell r="BZ446">
            <v>1</v>
          </cell>
          <cell r="DD446">
            <v>3</v>
          </cell>
        </row>
        <row r="447">
          <cell r="G447" t="str">
            <v>X</v>
          </cell>
          <cell r="N447" t="str">
            <v>CHIHUAHUA</v>
          </cell>
          <cell r="O447">
            <v>12</v>
          </cell>
          <cell r="Q447" t="str">
            <v>X</v>
          </cell>
          <cell r="U447" t="str">
            <v>X</v>
          </cell>
          <cell r="AH447">
            <v>1999</v>
          </cell>
          <cell r="AI447" t="str">
            <v>NO SABE</v>
          </cell>
          <cell r="AT447" t="str">
            <v>NO SABE</v>
          </cell>
          <cell r="AV447">
            <v>0.5</v>
          </cell>
          <cell r="AX447">
            <v>2</v>
          </cell>
          <cell r="BE447">
            <v>21000</v>
          </cell>
          <cell r="BF447" t="str">
            <v>NO SABE</v>
          </cell>
          <cell r="BG447" t="str">
            <v>NO SABE</v>
          </cell>
          <cell r="BH447" t="str">
            <v>NO SABE</v>
          </cell>
          <cell r="BI447">
            <v>21000</v>
          </cell>
          <cell r="BN447" t="str">
            <v>X</v>
          </cell>
          <cell r="BP447" t="str">
            <v>X</v>
          </cell>
          <cell r="BV447" t="str">
            <v>X</v>
          </cell>
          <cell r="BX447">
            <v>2</v>
          </cell>
          <cell r="BY447">
            <v>3</v>
          </cell>
          <cell r="BZ447">
            <v>1</v>
          </cell>
          <cell r="DD447">
            <v>3</v>
          </cell>
        </row>
        <row r="448">
          <cell r="H448" t="str">
            <v>X</v>
          </cell>
          <cell r="N448" t="str">
            <v>CHIHUAHUA</v>
          </cell>
          <cell r="O448">
            <v>3</v>
          </cell>
          <cell r="S448" t="str">
            <v>X</v>
          </cell>
          <cell r="U448" t="str">
            <v>X</v>
          </cell>
          <cell r="AH448">
            <v>1994</v>
          </cell>
          <cell r="AI448">
            <v>1633250</v>
          </cell>
          <cell r="AT448" t="str">
            <v>NO SABE</v>
          </cell>
          <cell r="AV448">
            <v>0.15</v>
          </cell>
          <cell r="AX448">
            <v>2.4</v>
          </cell>
          <cell r="BE448">
            <v>11270</v>
          </cell>
          <cell r="BF448" t="str">
            <v>NO SABE</v>
          </cell>
          <cell r="BG448" t="str">
            <v>NO SABE</v>
          </cell>
          <cell r="BH448" t="str">
            <v>NO SABE</v>
          </cell>
          <cell r="BI448" t="str">
            <v>NO SABE</v>
          </cell>
          <cell r="BN448" t="str">
            <v>X</v>
          </cell>
          <cell r="BT448" t="str">
            <v>X</v>
          </cell>
          <cell r="BX448">
            <v>1</v>
          </cell>
          <cell r="BY448">
            <v>3</v>
          </cell>
          <cell r="BZ448">
            <v>2</v>
          </cell>
          <cell r="DD448">
            <v>7</v>
          </cell>
        </row>
        <row r="449">
          <cell r="H449" t="str">
            <v>X</v>
          </cell>
          <cell r="N449" t="str">
            <v>CHIHUAHUA</v>
          </cell>
          <cell r="O449">
            <v>20</v>
          </cell>
          <cell r="S449" t="str">
            <v>X</v>
          </cell>
          <cell r="U449" t="str">
            <v>X</v>
          </cell>
          <cell r="AH449">
            <v>1984</v>
          </cell>
          <cell r="AI449">
            <v>1400000</v>
          </cell>
          <cell r="AT449" t="str">
            <v>NO SABE</v>
          </cell>
          <cell r="AV449">
            <v>0.3</v>
          </cell>
          <cell r="AX449">
            <v>2</v>
          </cell>
          <cell r="BE449">
            <v>25000</v>
          </cell>
          <cell r="BF449">
            <v>30000</v>
          </cell>
          <cell r="BG449">
            <v>50000</v>
          </cell>
          <cell r="BH449">
            <v>90000</v>
          </cell>
          <cell r="BI449">
            <v>10000</v>
          </cell>
          <cell r="BN449" t="str">
            <v>X</v>
          </cell>
          <cell r="BU449" t="str">
            <v>X</v>
          </cell>
          <cell r="BX449">
            <v>1</v>
          </cell>
          <cell r="BY449">
            <v>3</v>
          </cell>
          <cell r="BZ449">
            <v>2</v>
          </cell>
          <cell r="DD449">
            <v>7</v>
          </cell>
        </row>
        <row r="450">
          <cell r="H450" t="str">
            <v>X</v>
          </cell>
          <cell r="N450" t="str">
            <v>CHIHUAHUA</v>
          </cell>
          <cell r="O450">
            <v>20</v>
          </cell>
          <cell r="S450" t="str">
            <v>X</v>
          </cell>
          <cell r="U450" t="str">
            <v>X</v>
          </cell>
          <cell r="AH450">
            <v>1996</v>
          </cell>
          <cell r="AI450">
            <v>2500000</v>
          </cell>
          <cell r="AT450" t="str">
            <v>CUMMINS</v>
          </cell>
          <cell r="AV450">
            <v>0.5</v>
          </cell>
          <cell r="AX450">
            <v>1.9</v>
          </cell>
          <cell r="BE450">
            <v>24000</v>
          </cell>
          <cell r="BF450">
            <v>16000</v>
          </cell>
          <cell r="BG450">
            <v>24000</v>
          </cell>
          <cell r="BH450">
            <v>110000</v>
          </cell>
          <cell r="BI450">
            <v>24000</v>
          </cell>
          <cell r="BN450" t="str">
            <v>X</v>
          </cell>
          <cell r="BV450" t="str">
            <v>X</v>
          </cell>
          <cell r="BX450">
            <v>2</v>
          </cell>
          <cell r="BY450">
            <v>3</v>
          </cell>
          <cell r="BZ450">
            <v>1</v>
          </cell>
          <cell r="DD450">
            <v>7</v>
          </cell>
        </row>
        <row r="451">
          <cell r="F451" t="str">
            <v>X</v>
          </cell>
          <cell r="N451" t="str">
            <v>CHIHUAHUA</v>
          </cell>
          <cell r="O451">
            <v>11</v>
          </cell>
          <cell r="S451" t="str">
            <v>X</v>
          </cell>
          <cell r="AH451">
            <v>1995</v>
          </cell>
          <cell r="AI451">
            <v>61367</v>
          </cell>
          <cell r="AT451" t="str">
            <v>NO SABE</v>
          </cell>
          <cell r="AV451">
            <v>0.5</v>
          </cell>
          <cell r="AX451">
            <v>1.7</v>
          </cell>
          <cell r="BE451">
            <v>8000</v>
          </cell>
          <cell r="BF451">
            <v>6000</v>
          </cell>
          <cell r="BG451">
            <v>17000</v>
          </cell>
          <cell r="BH451">
            <v>130000</v>
          </cell>
          <cell r="BI451">
            <v>17000</v>
          </cell>
          <cell r="BN451" t="str">
            <v>X</v>
          </cell>
          <cell r="BV451" t="str">
            <v>X</v>
          </cell>
          <cell r="BX451">
            <v>1</v>
          </cell>
          <cell r="BY451">
            <v>3</v>
          </cell>
          <cell r="BZ451">
            <v>2</v>
          </cell>
          <cell r="DD451">
            <v>2</v>
          </cell>
        </row>
        <row r="452">
          <cell r="H452" t="str">
            <v>X</v>
          </cell>
          <cell r="N452" t="str">
            <v>CHIHUAHUA</v>
          </cell>
          <cell r="O452">
            <v>13</v>
          </cell>
          <cell r="S452" t="str">
            <v>X</v>
          </cell>
          <cell r="U452" t="str">
            <v>X</v>
          </cell>
          <cell r="AH452">
            <v>1994</v>
          </cell>
          <cell r="AI452" t="str">
            <v>NO SABE</v>
          </cell>
          <cell r="AT452" t="str">
            <v>CUMMINS</v>
          </cell>
          <cell r="AV452">
            <v>0.5</v>
          </cell>
          <cell r="AX452">
            <v>2</v>
          </cell>
          <cell r="BE452">
            <v>15000</v>
          </cell>
          <cell r="BF452">
            <v>10000</v>
          </cell>
          <cell r="BG452">
            <v>22000</v>
          </cell>
          <cell r="BH452">
            <v>150000</v>
          </cell>
          <cell r="BI452">
            <v>22000</v>
          </cell>
          <cell r="BN452" t="str">
            <v>X</v>
          </cell>
          <cell r="BP452" t="str">
            <v>X</v>
          </cell>
          <cell r="BV452" t="str">
            <v>X</v>
          </cell>
          <cell r="BX452">
            <v>2</v>
          </cell>
          <cell r="BY452">
            <v>1</v>
          </cell>
          <cell r="BZ452">
            <v>3</v>
          </cell>
          <cell r="DD452">
            <v>7</v>
          </cell>
        </row>
        <row r="453">
          <cell r="H453" t="str">
            <v>X</v>
          </cell>
          <cell r="N453" t="str">
            <v>CHIHUAHUA</v>
          </cell>
          <cell r="O453">
            <v>13</v>
          </cell>
          <cell r="S453" t="str">
            <v>X</v>
          </cell>
          <cell r="U453" t="str">
            <v>X</v>
          </cell>
          <cell r="AH453">
            <v>1992</v>
          </cell>
          <cell r="AI453">
            <v>1300000</v>
          </cell>
          <cell r="AT453" t="str">
            <v>CUMMINS</v>
          </cell>
          <cell r="AV453">
            <v>0.5</v>
          </cell>
          <cell r="AX453">
            <v>2</v>
          </cell>
          <cell r="BE453">
            <v>18000</v>
          </cell>
          <cell r="BF453">
            <v>15000</v>
          </cell>
          <cell r="BG453" t="str">
            <v>NO SABE</v>
          </cell>
          <cell r="BH453">
            <v>120000</v>
          </cell>
          <cell r="BI453" t="str">
            <v>NO SABE</v>
          </cell>
          <cell r="BN453" t="str">
            <v>X</v>
          </cell>
          <cell r="BV453" t="str">
            <v>X</v>
          </cell>
          <cell r="BX453">
            <v>1</v>
          </cell>
          <cell r="BY453">
            <v>2</v>
          </cell>
          <cell r="BZ453">
            <v>3</v>
          </cell>
          <cell r="DD453">
            <v>7</v>
          </cell>
        </row>
        <row r="454">
          <cell r="H454" t="str">
            <v>X</v>
          </cell>
          <cell r="N454" t="str">
            <v>CHIHUAHUA</v>
          </cell>
          <cell r="O454">
            <v>5</v>
          </cell>
          <cell r="S454" t="str">
            <v>X</v>
          </cell>
          <cell r="U454" t="str">
            <v>X</v>
          </cell>
          <cell r="AH454">
            <v>2000</v>
          </cell>
          <cell r="AI454">
            <v>1100000</v>
          </cell>
          <cell r="AT454" t="str">
            <v>NO SABE</v>
          </cell>
          <cell r="AV454">
            <v>0.5</v>
          </cell>
          <cell r="AX454">
            <v>1.7</v>
          </cell>
          <cell r="BE454">
            <v>21000</v>
          </cell>
          <cell r="BF454" t="str">
            <v>NO SABE</v>
          </cell>
          <cell r="BG454" t="str">
            <v>NO SABE</v>
          </cell>
          <cell r="BH454" t="str">
            <v>NO SABE</v>
          </cell>
          <cell r="BI454" t="str">
            <v>NO SABE</v>
          </cell>
          <cell r="BN454" t="str">
            <v>X</v>
          </cell>
          <cell r="BU454" t="str">
            <v>X</v>
          </cell>
          <cell r="BX454">
            <v>3</v>
          </cell>
          <cell r="BY454">
            <v>2</v>
          </cell>
          <cell r="BZ454">
            <v>1</v>
          </cell>
          <cell r="DD454">
            <v>7</v>
          </cell>
        </row>
        <row r="455">
          <cell r="H455" t="str">
            <v>X</v>
          </cell>
          <cell r="N455" t="str">
            <v>CHIHUAHUA</v>
          </cell>
          <cell r="O455">
            <v>18</v>
          </cell>
          <cell r="S455" t="str">
            <v>X</v>
          </cell>
          <cell r="U455" t="str">
            <v>X</v>
          </cell>
          <cell r="AH455">
            <v>1995</v>
          </cell>
          <cell r="AI455">
            <v>1824000</v>
          </cell>
          <cell r="AT455" t="str">
            <v>CUMMINS</v>
          </cell>
          <cell r="AV455">
            <v>0.5</v>
          </cell>
          <cell r="AX455">
            <v>2</v>
          </cell>
          <cell r="BE455">
            <v>30000</v>
          </cell>
          <cell r="BF455" t="str">
            <v>NO SABE</v>
          </cell>
          <cell r="BG455" t="str">
            <v>NO SABE</v>
          </cell>
          <cell r="BH455" t="str">
            <v>NO SABE</v>
          </cell>
          <cell r="BI455">
            <v>30000</v>
          </cell>
          <cell r="BN455" t="str">
            <v>X</v>
          </cell>
          <cell r="BP455" t="str">
            <v>X</v>
          </cell>
          <cell r="BV455" t="str">
            <v>X</v>
          </cell>
          <cell r="BX455">
            <v>1</v>
          </cell>
          <cell r="BY455">
            <v>3</v>
          </cell>
          <cell r="BZ455">
            <v>2</v>
          </cell>
          <cell r="DD455">
            <v>7</v>
          </cell>
        </row>
        <row r="456">
          <cell r="F456" t="str">
            <v>X</v>
          </cell>
          <cell r="N456" t="str">
            <v>CHIHUAHUA</v>
          </cell>
          <cell r="O456">
            <v>20</v>
          </cell>
          <cell r="S456" t="str">
            <v>X</v>
          </cell>
          <cell r="U456" t="str">
            <v>X</v>
          </cell>
          <cell r="AH456">
            <v>1997</v>
          </cell>
          <cell r="AI456">
            <v>832000</v>
          </cell>
          <cell r="AT456" t="str">
            <v>CUMMINS</v>
          </cell>
          <cell r="AV456">
            <v>0.4</v>
          </cell>
          <cell r="AX456">
            <v>2.8</v>
          </cell>
          <cell r="BE456">
            <v>25000</v>
          </cell>
          <cell r="BF456">
            <v>50000</v>
          </cell>
          <cell r="BG456">
            <v>25000</v>
          </cell>
          <cell r="BH456">
            <v>50000</v>
          </cell>
          <cell r="BI456">
            <v>25000</v>
          </cell>
          <cell r="BM456" t="str">
            <v>X</v>
          </cell>
          <cell r="BN456" t="str">
            <v>X</v>
          </cell>
          <cell r="BP456" t="str">
            <v>X</v>
          </cell>
          <cell r="BW456" t="str">
            <v>X</v>
          </cell>
          <cell r="BX456">
            <v>3</v>
          </cell>
          <cell r="BY456">
            <v>1</v>
          </cell>
          <cell r="BZ456">
            <v>2</v>
          </cell>
          <cell r="DD456">
            <v>2</v>
          </cell>
        </row>
        <row r="457">
          <cell r="F457" t="str">
            <v>X</v>
          </cell>
          <cell r="N457" t="str">
            <v>CHIHUAHUA</v>
          </cell>
          <cell r="O457">
            <v>14</v>
          </cell>
          <cell r="S457" t="str">
            <v>X</v>
          </cell>
          <cell r="U457" t="str">
            <v>X</v>
          </cell>
          <cell r="AH457">
            <v>1996</v>
          </cell>
          <cell r="AI457">
            <v>989000</v>
          </cell>
          <cell r="AT457" t="str">
            <v>CUMMINS</v>
          </cell>
          <cell r="AV457">
            <v>0.4</v>
          </cell>
          <cell r="AX457">
            <v>2.8</v>
          </cell>
          <cell r="BE457">
            <v>25000</v>
          </cell>
          <cell r="BF457">
            <v>50000</v>
          </cell>
          <cell r="BG457">
            <v>25000</v>
          </cell>
          <cell r="BH457">
            <v>50000</v>
          </cell>
          <cell r="BI457">
            <v>25000</v>
          </cell>
          <cell r="BM457" t="str">
            <v>X</v>
          </cell>
          <cell r="BN457" t="str">
            <v>X</v>
          </cell>
          <cell r="BP457" t="str">
            <v>X</v>
          </cell>
          <cell r="BW457" t="str">
            <v>X</v>
          </cell>
          <cell r="BX457">
            <v>3</v>
          </cell>
          <cell r="BY457">
            <v>1</v>
          </cell>
          <cell r="BZ457">
            <v>2</v>
          </cell>
          <cell r="DD457">
            <v>2</v>
          </cell>
        </row>
        <row r="458">
          <cell r="H458" t="str">
            <v>X</v>
          </cell>
          <cell r="N458" t="str">
            <v>CHIHUAHUA</v>
          </cell>
          <cell r="O458">
            <v>4</v>
          </cell>
          <cell r="S458" t="str">
            <v>X</v>
          </cell>
          <cell r="U458" t="str">
            <v>X</v>
          </cell>
          <cell r="AH458">
            <v>1992</v>
          </cell>
          <cell r="AI458">
            <v>1100000</v>
          </cell>
          <cell r="AT458" t="str">
            <v>GMC</v>
          </cell>
          <cell r="AV458">
            <v>0.4</v>
          </cell>
          <cell r="AX458">
            <v>1.9</v>
          </cell>
          <cell r="BE458">
            <v>5000</v>
          </cell>
          <cell r="BF458">
            <v>60000</v>
          </cell>
          <cell r="BG458">
            <v>30000</v>
          </cell>
          <cell r="BH458">
            <v>120000</v>
          </cell>
          <cell r="BI458">
            <v>30000</v>
          </cell>
          <cell r="BN458" t="str">
            <v>X</v>
          </cell>
          <cell r="BV458" t="str">
            <v>X</v>
          </cell>
          <cell r="BX458">
            <v>1</v>
          </cell>
          <cell r="BY458">
            <v>2</v>
          </cell>
          <cell r="BZ458">
            <v>3</v>
          </cell>
          <cell r="DD458">
            <v>7</v>
          </cell>
        </row>
        <row r="459">
          <cell r="G459" t="str">
            <v>X</v>
          </cell>
          <cell r="N459" t="str">
            <v>CHIHUAHUA</v>
          </cell>
          <cell r="O459">
            <v>9</v>
          </cell>
          <cell r="S459" t="str">
            <v>X</v>
          </cell>
          <cell r="U459" t="str">
            <v>X</v>
          </cell>
          <cell r="AH459">
            <v>1985</v>
          </cell>
          <cell r="AI459" t="str">
            <v>DAÑADO</v>
          </cell>
          <cell r="AT459" t="str">
            <v>FREIGHTLINER</v>
          </cell>
          <cell r="AV459">
            <v>0.5</v>
          </cell>
          <cell r="AX459">
            <v>1.8</v>
          </cell>
          <cell r="BE459">
            <v>10000</v>
          </cell>
          <cell r="BF459">
            <v>25000</v>
          </cell>
          <cell r="BG459">
            <v>30000</v>
          </cell>
          <cell r="BH459">
            <v>130000</v>
          </cell>
          <cell r="BI459">
            <v>10000</v>
          </cell>
          <cell r="BN459" t="str">
            <v>X</v>
          </cell>
          <cell r="BV459" t="str">
            <v>X</v>
          </cell>
          <cell r="BX459">
            <v>1</v>
          </cell>
          <cell r="BY459">
            <v>2</v>
          </cell>
          <cell r="BZ459">
            <v>3</v>
          </cell>
          <cell r="DD459">
            <v>3</v>
          </cell>
        </row>
        <row r="461">
          <cell r="P461">
            <v>106</v>
          </cell>
          <cell r="Q461">
            <v>84</v>
          </cell>
          <cell r="R461">
            <v>13</v>
          </cell>
          <cell r="S461">
            <v>250</v>
          </cell>
          <cell r="U461">
            <v>243</v>
          </cell>
          <cell r="V461">
            <v>19</v>
          </cell>
          <cell r="W461">
            <v>6</v>
          </cell>
          <cell r="X461">
            <v>27</v>
          </cell>
          <cell r="Y461">
            <v>41</v>
          </cell>
          <cell r="Z461">
            <v>0</v>
          </cell>
          <cell r="AJ461">
            <v>22</v>
          </cell>
          <cell r="AK461">
            <v>3</v>
          </cell>
          <cell r="AL461">
            <v>428</v>
          </cell>
          <cell r="BJ461">
            <v>80</v>
          </cell>
          <cell r="BK461">
            <v>72</v>
          </cell>
          <cell r="BL461">
            <v>28</v>
          </cell>
          <cell r="BM461">
            <v>63</v>
          </cell>
          <cell r="BN461">
            <v>111</v>
          </cell>
          <cell r="BO461">
            <v>65</v>
          </cell>
          <cell r="BP461">
            <v>65</v>
          </cell>
          <cell r="BQ461">
            <v>25</v>
          </cell>
          <cell r="BR461">
            <v>51</v>
          </cell>
          <cell r="BS461">
            <v>104</v>
          </cell>
          <cell r="BT461">
            <v>15</v>
          </cell>
          <cell r="BU461">
            <v>231</v>
          </cell>
          <cell r="BV461">
            <v>192</v>
          </cell>
          <cell r="BW461">
            <v>14</v>
          </cell>
          <cell r="BX461">
            <v>258</v>
          </cell>
          <cell r="BY461">
            <v>49</v>
          </cell>
          <cell r="BZ461">
            <v>96</v>
          </cell>
          <cell r="CA461">
            <v>40</v>
          </cell>
        </row>
        <row r="462">
          <cell r="D462">
            <v>28</v>
          </cell>
          <cell r="BX462">
            <v>127</v>
          </cell>
          <cell r="BY462">
            <v>115</v>
          </cell>
          <cell r="BZ462">
            <v>206</v>
          </cell>
          <cell r="CA462">
            <v>0</v>
          </cell>
        </row>
        <row r="463">
          <cell r="D463">
            <v>228</v>
          </cell>
          <cell r="AG463">
            <v>1</v>
          </cell>
          <cell r="BX463">
            <v>63</v>
          </cell>
          <cell r="BY463">
            <v>250</v>
          </cell>
          <cell r="BZ463">
            <v>135</v>
          </cell>
          <cell r="CA463">
            <v>0</v>
          </cell>
        </row>
        <row r="464">
          <cell r="D464">
            <v>27</v>
          </cell>
          <cell r="BX464">
            <v>0</v>
          </cell>
          <cell r="BY464">
            <v>34</v>
          </cell>
          <cell r="BZ464">
            <v>11</v>
          </cell>
          <cell r="CA464">
            <v>0</v>
          </cell>
        </row>
        <row r="465">
          <cell r="D465">
            <v>47</v>
          </cell>
        </row>
        <row r="466">
          <cell r="D466">
            <v>67</v>
          </cell>
        </row>
        <row r="467">
          <cell r="D467">
            <v>14</v>
          </cell>
        </row>
        <row r="468">
          <cell r="D468">
            <v>0</v>
          </cell>
        </row>
        <row r="469">
          <cell r="D469">
            <v>26</v>
          </cell>
        </row>
        <row r="470">
          <cell r="D470">
            <v>0</v>
          </cell>
        </row>
        <row r="471">
          <cell r="D471">
            <v>16</v>
          </cell>
        </row>
        <row r="472">
          <cell r="D472">
            <v>0</v>
          </cell>
        </row>
      </sheetData>
      <sheetData sheetId="1">
        <row r="5">
          <cell r="T5">
            <v>33</v>
          </cell>
        </row>
        <row r="6">
          <cell r="T6">
            <v>57</v>
          </cell>
        </row>
        <row r="7">
          <cell r="T7">
            <v>42</v>
          </cell>
        </row>
        <row r="8">
          <cell r="T8">
            <v>34</v>
          </cell>
        </row>
        <row r="9">
          <cell r="T9">
            <v>162</v>
          </cell>
        </row>
        <row r="10">
          <cell r="T10">
            <v>71</v>
          </cell>
        </row>
        <row r="11">
          <cell r="T11">
            <v>37</v>
          </cell>
        </row>
        <row r="12">
          <cell r="T12">
            <v>12</v>
          </cell>
        </row>
        <row r="13">
          <cell r="T13">
            <v>4</v>
          </cell>
        </row>
        <row r="18">
          <cell r="T18">
            <v>22</v>
          </cell>
        </row>
        <row r="19">
          <cell r="T19">
            <v>62</v>
          </cell>
        </row>
        <row r="20">
          <cell r="T20">
            <v>20</v>
          </cell>
        </row>
        <row r="21">
          <cell r="T21">
            <v>44</v>
          </cell>
        </row>
        <row r="22">
          <cell r="T22">
            <v>137</v>
          </cell>
        </row>
        <row r="23">
          <cell r="T23">
            <v>85</v>
          </cell>
        </row>
        <row r="24">
          <cell r="T24">
            <v>58</v>
          </cell>
        </row>
        <row r="25">
          <cell r="T25">
            <v>21</v>
          </cell>
        </row>
        <row r="26">
          <cell r="T26">
            <v>3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1</v>
          </cell>
          <cell r="O37">
            <v>277</v>
          </cell>
        </row>
        <row r="38">
          <cell r="G38">
            <v>0</v>
          </cell>
        </row>
        <row r="39">
          <cell r="G39">
            <v>1</v>
          </cell>
          <cell r="O39">
            <v>17</v>
          </cell>
        </row>
        <row r="40">
          <cell r="G40">
            <v>3</v>
          </cell>
          <cell r="O40">
            <v>58</v>
          </cell>
        </row>
        <row r="41">
          <cell r="G41">
            <v>1</v>
          </cell>
          <cell r="O41">
            <v>73</v>
          </cell>
        </row>
        <row r="42">
          <cell r="G42">
            <v>2</v>
          </cell>
          <cell r="O42">
            <v>116</v>
          </cell>
        </row>
        <row r="43">
          <cell r="G43">
            <v>5</v>
          </cell>
          <cell r="O43">
            <v>12</v>
          </cell>
        </row>
        <row r="44">
          <cell r="G44">
            <v>7</v>
          </cell>
          <cell r="O44">
            <v>116</v>
          </cell>
        </row>
        <row r="45">
          <cell r="G45">
            <v>3</v>
          </cell>
          <cell r="O45">
            <v>274</v>
          </cell>
        </row>
        <row r="46">
          <cell r="G46">
            <v>4</v>
          </cell>
          <cell r="O46">
            <v>55</v>
          </cell>
        </row>
        <row r="47">
          <cell r="G47">
            <v>2</v>
          </cell>
          <cell r="O47">
            <v>295</v>
          </cell>
        </row>
        <row r="48">
          <cell r="G48">
            <v>3</v>
          </cell>
        </row>
        <row r="49">
          <cell r="G49">
            <v>7</v>
          </cell>
        </row>
        <row r="50">
          <cell r="G50">
            <v>6</v>
          </cell>
        </row>
        <row r="51">
          <cell r="G51">
            <v>6</v>
          </cell>
        </row>
        <row r="52">
          <cell r="G52">
            <v>4</v>
          </cell>
        </row>
        <row r="53">
          <cell r="G53">
            <v>7</v>
          </cell>
        </row>
        <row r="54">
          <cell r="G54">
            <v>11</v>
          </cell>
        </row>
        <row r="55">
          <cell r="G55">
            <v>3</v>
          </cell>
        </row>
        <row r="56">
          <cell r="G56">
            <v>6</v>
          </cell>
        </row>
        <row r="57">
          <cell r="G57">
            <v>2</v>
          </cell>
        </row>
        <row r="58">
          <cell r="G58">
            <v>6</v>
          </cell>
        </row>
        <row r="59">
          <cell r="G59">
            <v>13</v>
          </cell>
        </row>
        <row r="60">
          <cell r="G60">
            <v>6</v>
          </cell>
        </row>
        <row r="61">
          <cell r="G61">
            <v>11</v>
          </cell>
        </row>
        <row r="62">
          <cell r="G62">
            <v>15</v>
          </cell>
        </row>
        <row r="63">
          <cell r="G63">
            <v>9</v>
          </cell>
        </row>
        <row r="64">
          <cell r="G64">
            <v>25</v>
          </cell>
        </row>
        <row r="65">
          <cell r="G65">
            <v>18</v>
          </cell>
        </row>
        <row r="66">
          <cell r="G66">
            <v>12</v>
          </cell>
        </row>
        <row r="67">
          <cell r="G67">
            <v>21</v>
          </cell>
        </row>
        <row r="68">
          <cell r="G68">
            <v>27</v>
          </cell>
        </row>
        <row r="69">
          <cell r="G69">
            <v>29</v>
          </cell>
        </row>
        <row r="70">
          <cell r="G70">
            <v>26</v>
          </cell>
        </row>
        <row r="71">
          <cell r="G71">
            <v>33</v>
          </cell>
        </row>
        <row r="72">
          <cell r="G72">
            <v>32</v>
          </cell>
        </row>
        <row r="73">
          <cell r="G73">
            <v>22</v>
          </cell>
        </row>
        <row r="74">
          <cell r="G74">
            <v>21</v>
          </cell>
        </row>
        <row r="75">
          <cell r="G75">
            <v>12</v>
          </cell>
        </row>
        <row r="76">
          <cell r="G76">
            <v>16</v>
          </cell>
        </row>
        <row r="77">
          <cell r="G77">
            <v>10</v>
          </cell>
        </row>
        <row r="78">
          <cell r="G78">
            <v>5</v>
          </cell>
        </row>
        <row r="81">
          <cell r="H81">
            <v>40</v>
          </cell>
        </row>
        <row r="82">
          <cell r="H82">
            <v>67</v>
          </cell>
        </row>
        <row r="83">
          <cell r="H83">
            <v>197</v>
          </cell>
        </row>
        <row r="84">
          <cell r="H84">
            <v>43</v>
          </cell>
        </row>
        <row r="85">
          <cell r="H85">
            <v>30</v>
          </cell>
        </row>
        <row r="86">
          <cell r="H86">
            <v>12</v>
          </cell>
        </row>
        <row r="87">
          <cell r="H87">
            <v>6</v>
          </cell>
        </row>
        <row r="88">
          <cell r="H88">
            <v>26</v>
          </cell>
        </row>
        <row r="89">
          <cell r="H89">
            <v>32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465"/>
  <sheetViews>
    <sheetView topLeftCell="F1" zoomScale="80" zoomScaleNormal="80" workbookViewId="0"/>
  </sheetViews>
  <sheetFormatPr baseColWidth="10" defaultColWidth="11.42578125" defaultRowHeight="15" x14ac:dyDescent="0.25"/>
  <cols>
    <col min="1" max="2" width="17" style="17" customWidth="1"/>
    <col min="3" max="3" width="39.28515625" style="17" customWidth="1"/>
    <col min="4" max="4" width="13.7109375" style="17" customWidth="1"/>
    <col min="5" max="5" width="14.28515625" style="17" customWidth="1"/>
    <col min="6" max="6" width="12.5703125" style="17" customWidth="1"/>
    <col min="7" max="8" width="11.42578125" style="17"/>
    <col min="9" max="9" width="16.42578125" style="17" bestFit="1" customWidth="1"/>
    <col min="10" max="10" width="28.7109375" style="17" customWidth="1"/>
    <col min="11" max="11" width="21.7109375" style="17" customWidth="1"/>
    <col min="12" max="12" width="20.28515625" style="17" customWidth="1"/>
    <col min="13" max="13" width="12.5703125" style="17" customWidth="1"/>
    <col min="14" max="17" width="11.42578125" style="17" customWidth="1"/>
    <col min="18" max="18" width="12.5703125" style="17" customWidth="1"/>
    <col min="19" max="26" width="11.42578125" style="17" customWidth="1"/>
    <col min="27" max="27" width="13.140625" style="17" customWidth="1"/>
    <col min="28" max="28" width="12" style="17" customWidth="1"/>
    <col min="29" max="29" width="12.42578125" style="17" customWidth="1"/>
    <col min="30" max="30" width="11.42578125" style="17" customWidth="1"/>
    <col min="31" max="31" width="12" style="17" customWidth="1"/>
    <col min="32" max="36" width="11.42578125" style="17" customWidth="1"/>
    <col min="37" max="37" width="13.28515625" style="17" customWidth="1"/>
    <col min="38" max="38" width="14.140625" style="17" bestFit="1" customWidth="1"/>
    <col min="39" max="39" width="11.42578125" style="17"/>
    <col min="40" max="40" width="15.85546875" style="17" customWidth="1"/>
    <col min="41" max="41" width="13.42578125" style="17" customWidth="1"/>
    <col min="42" max="43" width="11.42578125" style="17"/>
    <col min="44" max="45" width="15.140625" style="17" customWidth="1"/>
    <col min="46" max="52" width="11.42578125" style="17"/>
    <col min="53" max="53" width="14" style="17" customWidth="1"/>
    <col min="54" max="54" width="13.7109375" style="17" customWidth="1"/>
    <col min="55" max="55" width="14" style="17" customWidth="1"/>
    <col min="56" max="56" width="11.42578125" style="17"/>
    <col min="57" max="57" width="15.28515625" style="17" customWidth="1"/>
    <col min="58" max="62" width="11.42578125" style="17"/>
    <col min="63" max="63" width="10.140625" style="17" customWidth="1"/>
    <col min="64" max="64" width="10" style="17" customWidth="1"/>
    <col min="65" max="65" width="12.140625" style="17" customWidth="1"/>
    <col min="66" max="66" width="12.42578125" style="17" customWidth="1"/>
    <col min="67" max="67" width="12.5703125" style="17" customWidth="1"/>
    <col min="68" max="73" width="11.42578125" style="17"/>
    <col min="74" max="74" width="12.42578125" style="17" customWidth="1"/>
    <col min="75" max="77" width="11.42578125" style="17"/>
    <col min="78" max="78" width="14.28515625" style="17" customWidth="1"/>
    <col min="79" max="79" width="11.42578125" style="17"/>
    <col min="80" max="80" width="12.42578125" style="17" customWidth="1"/>
    <col min="81" max="83" width="11.42578125" style="17"/>
    <col min="84" max="84" width="12" style="17" customWidth="1"/>
    <col min="85" max="85" width="11.42578125" style="17"/>
    <col min="86" max="86" width="23.7109375" style="17" bestFit="1" customWidth="1"/>
    <col min="87" max="91" width="11.42578125" style="17"/>
    <col min="92" max="97" width="15.42578125" style="17" customWidth="1"/>
    <col min="98" max="98" width="11.42578125" style="17"/>
    <col min="99" max="99" width="14.7109375" style="17" customWidth="1"/>
    <col min="100" max="105" width="11.42578125" style="17"/>
    <col min="106" max="106" width="20.28515625" style="17" customWidth="1"/>
    <col min="107" max="107" width="11.42578125" style="17"/>
    <col min="108" max="108" width="15.28515625" style="17" customWidth="1"/>
    <col min="109" max="112" width="11.42578125" style="17"/>
    <col min="113" max="113" width="19" style="17" customWidth="1"/>
    <col min="114" max="114" width="14.28515625" style="17" customWidth="1"/>
    <col min="115" max="115" width="15.85546875" style="17" customWidth="1"/>
    <col min="116" max="116" width="11.42578125" style="17"/>
    <col min="117" max="117" width="29" style="17" customWidth="1"/>
    <col min="118" max="118" width="11.42578125" style="17"/>
    <col min="119" max="119" width="25.42578125" style="17" customWidth="1"/>
    <col min="120" max="120" width="32" style="17" customWidth="1"/>
    <col min="121" max="121" width="14" style="17" customWidth="1"/>
    <col min="122" max="122" width="13.7109375" style="17" customWidth="1"/>
    <col min="123" max="123" width="12.7109375" style="17" customWidth="1"/>
    <col min="124" max="124" width="19.28515625" style="17" customWidth="1"/>
    <col min="125" max="125" width="15.140625" style="17" customWidth="1"/>
    <col min="126" max="126" width="25.85546875" style="17" customWidth="1"/>
    <col min="127" max="127" width="28.140625" style="17" customWidth="1"/>
    <col min="128" max="128" width="36" style="17" bestFit="1" customWidth="1"/>
    <col min="129" max="129" width="16.5703125" style="17" customWidth="1"/>
    <col min="130" max="130" width="15.5703125" style="17" customWidth="1"/>
    <col min="131" max="131" width="13.7109375" style="17" customWidth="1"/>
    <col min="132" max="132" width="25.85546875" style="17" customWidth="1"/>
    <col min="133" max="133" width="15.7109375" style="17" customWidth="1"/>
    <col min="134" max="134" width="27.5703125" style="17" customWidth="1"/>
    <col min="135" max="135" width="29.28515625" style="17" customWidth="1"/>
    <col min="136" max="136" width="56.5703125" style="17" customWidth="1"/>
    <col min="137" max="137" width="14.140625" style="17" customWidth="1"/>
    <col min="138" max="16384" width="11.42578125" style="17"/>
  </cols>
  <sheetData>
    <row r="1" spans="1:137" ht="15.75" thickBot="1" x14ac:dyDescent="0.3"/>
    <row r="2" spans="1:137" ht="15.75" thickBot="1" x14ac:dyDescent="0.3">
      <c r="D2" s="268" t="s">
        <v>0</v>
      </c>
      <c r="E2" s="277" t="s">
        <v>1</v>
      </c>
      <c r="F2" s="278"/>
      <c r="G2" s="262">
        <v>1</v>
      </c>
      <c r="H2" s="263"/>
      <c r="I2" s="84">
        <v>2</v>
      </c>
      <c r="J2" s="85">
        <v>3</v>
      </c>
      <c r="K2" s="85"/>
      <c r="L2" s="85"/>
      <c r="M2" s="85">
        <v>4</v>
      </c>
      <c r="N2" s="84">
        <v>5</v>
      </c>
      <c r="O2" s="289">
        <v>6</v>
      </c>
      <c r="P2" s="290"/>
      <c r="Q2" s="290"/>
      <c r="R2" s="290"/>
      <c r="S2" s="290"/>
      <c r="T2" s="290"/>
      <c r="U2" s="291"/>
      <c r="V2" s="291"/>
      <c r="W2" s="291"/>
      <c r="X2" s="291"/>
      <c r="Y2" s="291"/>
      <c r="Z2" s="291"/>
      <c r="AA2" s="292"/>
      <c r="AB2" s="262">
        <v>7</v>
      </c>
      <c r="AC2" s="284"/>
      <c r="AD2" s="284"/>
      <c r="AE2" s="284"/>
      <c r="AF2" s="284"/>
      <c r="AG2" s="284"/>
      <c r="AH2" s="284"/>
      <c r="AI2" s="284"/>
      <c r="AJ2" s="284"/>
      <c r="AK2" s="263"/>
      <c r="AL2" s="297">
        <v>8</v>
      </c>
      <c r="AM2" s="298"/>
      <c r="AN2" s="298"/>
      <c r="AO2" s="298"/>
      <c r="AP2" s="298"/>
      <c r="AQ2" s="299"/>
      <c r="AR2" s="262">
        <v>9</v>
      </c>
      <c r="AS2" s="263"/>
      <c r="AT2" s="262">
        <v>10</v>
      </c>
      <c r="AU2" s="284"/>
      <c r="AV2" s="284"/>
      <c r="AW2" s="284"/>
      <c r="AX2" s="284"/>
      <c r="AY2" s="284"/>
      <c r="AZ2" s="284"/>
      <c r="BA2" s="263"/>
      <c r="BB2" s="262">
        <v>11</v>
      </c>
      <c r="BC2" s="263"/>
      <c r="BD2" s="262">
        <v>12</v>
      </c>
      <c r="BE2" s="284"/>
      <c r="BF2" s="284"/>
      <c r="BG2" s="284"/>
      <c r="BH2" s="284"/>
      <c r="BI2" s="301"/>
      <c r="BJ2" s="301"/>
      <c r="BK2" s="301"/>
      <c r="BL2" s="301"/>
      <c r="BM2" s="263"/>
      <c r="BN2" s="262">
        <v>13</v>
      </c>
      <c r="BO2" s="263"/>
      <c r="BP2" s="262">
        <v>14</v>
      </c>
      <c r="BQ2" s="263"/>
      <c r="BR2" s="262">
        <v>15</v>
      </c>
      <c r="BS2" s="284"/>
      <c r="BT2" s="284"/>
      <c r="BU2" s="284"/>
      <c r="BV2" s="284"/>
      <c r="BW2" s="284"/>
      <c r="BX2" s="263"/>
      <c r="BY2" s="262">
        <v>16</v>
      </c>
      <c r="BZ2" s="284"/>
      <c r="CA2" s="284"/>
      <c r="CB2" s="284"/>
      <c r="CC2" s="284"/>
      <c r="CD2" s="284"/>
      <c r="CE2" s="284"/>
      <c r="CF2" s="284"/>
      <c r="CG2" s="284"/>
      <c r="CH2" s="263"/>
      <c r="CI2" s="262">
        <v>17</v>
      </c>
      <c r="CJ2" s="284"/>
      <c r="CK2" s="284"/>
      <c r="CL2" s="301"/>
      <c r="CM2" s="263"/>
      <c r="CN2" s="262">
        <v>18</v>
      </c>
      <c r="CO2" s="284"/>
      <c r="CP2" s="284"/>
      <c r="CQ2" s="284"/>
      <c r="CR2" s="284"/>
      <c r="CS2" s="263"/>
      <c r="CT2" s="262">
        <v>19</v>
      </c>
      <c r="CU2" s="284"/>
      <c r="CV2" s="284"/>
      <c r="CW2" s="284"/>
      <c r="CX2" s="284"/>
      <c r="CY2" s="284"/>
      <c r="CZ2" s="263"/>
      <c r="DA2" s="262">
        <v>20</v>
      </c>
      <c r="DB2" s="284"/>
      <c r="DC2" s="284"/>
      <c r="DD2" s="284"/>
      <c r="DE2" s="284"/>
      <c r="DF2" s="284"/>
      <c r="DG2" s="284"/>
      <c r="DH2" s="284"/>
      <c r="DI2" s="263"/>
      <c r="DJ2" s="262">
        <v>21</v>
      </c>
      <c r="DK2" s="284"/>
      <c r="DL2" s="284"/>
      <c r="DM2" s="284"/>
      <c r="DN2" s="284"/>
      <c r="DO2" s="284"/>
      <c r="DP2" s="263"/>
      <c r="DQ2" s="262">
        <v>22</v>
      </c>
      <c r="DR2" s="284"/>
      <c r="DS2" s="284"/>
      <c r="DT2" s="284"/>
      <c r="DU2" s="284"/>
      <c r="DV2" s="284"/>
      <c r="DW2" s="284"/>
      <c r="DX2" s="263"/>
      <c r="DY2" s="289">
        <v>23</v>
      </c>
      <c r="DZ2" s="290"/>
      <c r="EA2" s="290"/>
      <c r="EB2" s="290"/>
      <c r="EC2" s="290"/>
      <c r="ED2" s="290"/>
      <c r="EE2" s="292"/>
      <c r="EF2" s="86"/>
    </row>
    <row r="3" spans="1:137" ht="74.25" customHeight="1" thickBot="1" x14ac:dyDescent="0.3">
      <c r="D3" s="269"/>
      <c r="E3" s="279" t="s">
        <v>7</v>
      </c>
      <c r="F3" s="281" t="s">
        <v>8</v>
      </c>
      <c r="G3" s="271" t="s">
        <v>2</v>
      </c>
      <c r="H3" s="273" t="s">
        <v>3</v>
      </c>
      <c r="I3" s="266" t="s">
        <v>4</v>
      </c>
      <c r="J3" s="275" t="s">
        <v>5</v>
      </c>
      <c r="K3" s="226" t="s">
        <v>1180</v>
      </c>
      <c r="L3" s="226" t="s">
        <v>1328</v>
      </c>
      <c r="M3" s="275" t="s">
        <v>6</v>
      </c>
      <c r="N3" s="266" t="s">
        <v>9</v>
      </c>
      <c r="O3" s="285" t="s">
        <v>10</v>
      </c>
      <c r="P3" s="286"/>
      <c r="Q3" s="286"/>
      <c r="R3" s="286"/>
      <c r="S3" s="286"/>
      <c r="T3" s="286"/>
      <c r="U3" s="287"/>
      <c r="V3" s="287"/>
      <c r="W3" s="287"/>
      <c r="X3" s="287"/>
      <c r="Y3" s="287"/>
      <c r="Z3" s="287"/>
      <c r="AA3" s="288"/>
      <c r="AB3" s="264" t="s">
        <v>18</v>
      </c>
      <c r="AC3" s="265"/>
      <c r="AD3" s="265"/>
      <c r="AE3" s="265"/>
      <c r="AF3" s="265"/>
      <c r="AG3" s="265"/>
      <c r="AH3" s="265"/>
      <c r="AI3" s="265"/>
      <c r="AJ3" s="265"/>
      <c r="AK3" s="293"/>
      <c r="AL3" s="294" t="s">
        <v>29</v>
      </c>
      <c r="AM3" s="295"/>
      <c r="AN3" s="295"/>
      <c r="AO3" s="295"/>
      <c r="AP3" s="295"/>
      <c r="AQ3" s="296"/>
      <c r="AR3" s="260" t="s">
        <v>37</v>
      </c>
      <c r="AS3" s="261"/>
      <c r="AT3" s="264" t="s">
        <v>38</v>
      </c>
      <c r="AU3" s="265"/>
      <c r="AV3" s="265"/>
      <c r="AW3" s="265"/>
      <c r="AX3" s="283" t="s">
        <v>42</v>
      </c>
      <c r="AY3" s="283"/>
      <c r="AZ3" s="283"/>
      <c r="BA3" s="261"/>
      <c r="BB3" s="260" t="s">
        <v>47</v>
      </c>
      <c r="BC3" s="261"/>
      <c r="BD3" s="260" t="s">
        <v>51</v>
      </c>
      <c r="BE3" s="283"/>
      <c r="BF3" s="283"/>
      <c r="BG3" s="283"/>
      <c r="BH3" s="283"/>
      <c r="BI3" s="300"/>
      <c r="BJ3" s="300"/>
      <c r="BK3" s="300"/>
      <c r="BL3" s="300"/>
      <c r="BM3" s="261"/>
      <c r="BN3" s="260" t="s">
        <v>56</v>
      </c>
      <c r="BO3" s="261"/>
      <c r="BP3" s="260" t="s">
        <v>266</v>
      </c>
      <c r="BQ3" s="261"/>
      <c r="BR3" s="260" t="s">
        <v>58</v>
      </c>
      <c r="BS3" s="283"/>
      <c r="BT3" s="283"/>
      <c r="BU3" s="283"/>
      <c r="BV3" s="283"/>
      <c r="BW3" s="283"/>
      <c r="BX3" s="261"/>
      <c r="BY3" s="260" t="s">
        <v>66</v>
      </c>
      <c r="BZ3" s="283"/>
      <c r="CA3" s="283"/>
      <c r="CB3" s="283"/>
      <c r="CC3" s="283"/>
      <c r="CD3" s="283"/>
      <c r="CE3" s="283"/>
      <c r="CF3" s="283"/>
      <c r="CG3" s="283"/>
      <c r="CH3" s="261"/>
      <c r="CI3" s="264" t="s">
        <v>268</v>
      </c>
      <c r="CJ3" s="265"/>
      <c r="CK3" s="265"/>
      <c r="CL3" s="302"/>
      <c r="CM3" s="293"/>
      <c r="CN3" s="260" t="s">
        <v>85</v>
      </c>
      <c r="CO3" s="283"/>
      <c r="CP3" s="283"/>
      <c r="CQ3" s="283"/>
      <c r="CR3" s="283"/>
      <c r="CS3" s="261"/>
      <c r="CT3" s="260" t="s">
        <v>269</v>
      </c>
      <c r="CU3" s="283"/>
      <c r="CV3" s="283"/>
      <c r="CW3" s="283"/>
      <c r="CX3" s="283"/>
      <c r="CY3" s="283"/>
      <c r="CZ3" s="261"/>
      <c r="DA3" s="260" t="s">
        <v>94</v>
      </c>
      <c r="DB3" s="283"/>
      <c r="DC3" s="283"/>
      <c r="DD3" s="283"/>
      <c r="DE3" s="283"/>
      <c r="DF3" s="283"/>
      <c r="DG3" s="283"/>
      <c r="DH3" s="283"/>
      <c r="DI3" s="261"/>
      <c r="DJ3" s="260" t="s">
        <v>95</v>
      </c>
      <c r="DK3" s="283"/>
      <c r="DL3" s="283" t="s">
        <v>96</v>
      </c>
      <c r="DM3" s="283"/>
      <c r="DN3" s="283"/>
      <c r="DO3" s="283" t="s">
        <v>97</v>
      </c>
      <c r="DP3" s="261" t="s">
        <v>98</v>
      </c>
      <c r="DQ3" s="260" t="s">
        <v>99</v>
      </c>
      <c r="DR3" s="300"/>
      <c r="DS3" s="313" t="s">
        <v>96</v>
      </c>
      <c r="DT3" s="314"/>
      <c r="DU3" s="314"/>
      <c r="DV3" s="315"/>
      <c r="DW3" s="308" t="s">
        <v>97</v>
      </c>
      <c r="DX3" s="261" t="s">
        <v>98</v>
      </c>
      <c r="DY3" s="260" t="s">
        <v>100</v>
      </c>
      <c r="DZ3" s="300"/>
      <c r="EA3" s="310" t="s">
        <v>96</v>
      </c>
      <c r="EB3" s="311"/>
      <c r="EC3" s="312"/>
      <c r="ED3" s="308" t="s">
        <v>101</v>
      </c>
      <c r="EE3" s="261" t="s">
        <v>98</v>
      </c>
      <c r="EF3" s="87"/>
    </row>
    <row r="4" spans="1:137" ht="60.75" thickBot="1" x14ac:dyDescent="0.3">
      <c r="D4" s="270"/>
      <c r="E4" s="280"/>
      <c r="F4" s="282"/>
      <c r="G4" s="272"/>
      <c r="H4" s="274"/>
      <c r="I4" s="267"/>
      <c r="J4" s="276"/>
      <c r="K4" s="227"/>
      <c r="L4" s="227"/>
      <c r="M4" s="276"/>
      <c r="N4" s="267"/>
      <c r="O4" s="230" t="s">
        <v>11</v>
      </c>
      <c r="P4" s="229" t="s">
        <v>12</v>
      </c>
      <c r="Q4" s="229" t="s">
        <v>13</v>
      </c>
      <c r="R4" s="229" t="s">
        <v>14</v>
      </c>
      <c r="S4" s="229" t="s">
        <v>15</v>
      </c>
      <c r="T4" s="229" t="s">
        <v>16</v>
      </c>
      <c r="U4" s="257" t="s">
        <v>17</v>
      </c>
      <c r="V4" s="258"/>
      <c r="W4" s="258"/>
      <c r="X4" s="258"/>
      <c r="Y4" s="258"/>
      <c r="Z4" s="258"/>
      <c r="AA4" s="259"/>
      <c r="AB4" s="88" t="s">
        <v>19</v>
      </c>
      <c r="AC4" s="229" t="s">
        <v>20</v>
      </c>
      <c r="AD4" s="229" t="s">
        <v>21</v>
      </c>
      <c r="AE4" s="229" t="s">
        <v>22</v>
      </c>
      <c r="AF4" s="229" t="s">
        <v>23</v>
      </c>
      <c r="AG4" s="229" t="s">
        <v>24</v>
      </c>
      <c r="AH4" s="229" t="s">
        <v>25</v>
      </c>
      <c r="AI4" s="229" t="s">
        <v>26</v>
      </c>
      <c r="AJ4" s="229" t="s">
        <v>27</v>
      </c>
      <c r="AK4" s="228" t="s">
        <v>28</v>
      </c>
      <c r="AL4" s="88" t="s">
        <v>30</v>
      </c>
      <c r="AM4" s="229" t="s">
        <v>31</v>
      </c>
      <c r="AN4" s="229" t="s">
        <v>32</v>
      </c>
      <c r="AO4" s="229" t="s">
        <v>33</v>
      </c>
      <c r="AP4" s="228" t="s">
        <v>34</v>
      </c>
      <c r="AQ4" s="224" t="s">
        <v>263</v>
      </c>
      <c r="AR4" s="88" t="s">
        <v>35</v>
      </c>
      <c r="AS4" s="228" t="s">
        <v>36</v>
      </c>
      <c r="AT4" s="88" t="s">
        <v>39</v>
      </c>
      <c r="AU4" s="229" t="s">
        <v>40</v>
      </c>
      <c r="AV4" s="229" t="s">
        <v>41</v>
      </c>
      <c r="AW4" s="229" t="s">
        <v>1344</v>
      </c>
      <c r="AX4" s="229" t="s">
        <v>43</v>
      </c>
      <c r="AY4" s="229" t="s">
        <v>44</v>
      </c>
      <c r="AZ4" s="229" t="s">
        <v>45</v>
      </c>
      <c r="BA4" s="228" t="s">
        <v>46</v>
      </c>
      <c r="BB4" s="88" t="s">
        <v>48</v>
      </c>
      <c r="BC4" s="228" t="s">
        <v>49</v>
      </c>
      <c r="BD4" s="88" t="s">
        <v>50</v>
      </c>
      <c r="BE4" s="229" t="s">
        <v>52</v>
      </c>
      <c r="BF4" s="229" t="s">
        <v>53</v>
      </c>
      <c r="BG4" s="229" t="s">
        <v>54</v>
      </c>
      <c r="BH4" s="229" t="s">
        <v>55</v>
      </c>
      <c r="BI4" s="223" t="s">
        <v>861</v>
      </c>
      <c r="BJ4" s="223" t="s">
        <v>862</v>
      </c>
      <c r="BK4" s="223" t="s">
        <v>1345</v>
      </c>
      <c r="BL4" s="223" t="s">
        <v>866</v>
      </c>
      <c r="BM4" s="228" t="s">
        <v>46</v>
      </c>
      <c r="BN4" s="88" t="s">
        <v>49</v>
      </c>
      <c r="BO4" s="228" t="s">
        <v>57</v>
      </c>
      <c r="BP4" s="88" t="s">
        <v>49</v>
      </c>
      <c r="BQ4" s="228" t="s">
        <v>57</v>
      </c>
      <c r="BR4" s="88" t="s">
        <v>59</v>
      </c>
      <c r="BS4" s="229" t="s">
        <v>60</v>
      </c>
      <c r="BT4" s="229" t="s">
        <v>61</v>
      </c>
      <c r="BU4" s="229" t="s">
        <v>62</v>
      </c>
      <c r="BV4" s="229" t="s">
        <v>63</v>
      </c>
      <c r="BW4" s="229" t="s">
        <v>64</v>
      </c>
      <c r="BX4" s="228" t="s">
        <v>65</v>
      </c>
      <c r="BY4" s="88" t="s">
        <v>67</v>
      </c>
      <c r="BZ4" s="229" t="s">
        <v>267</v>
      </c>
      <c r="CA4" s="229" t="s">
        <v>68</v>
      </c>
      <c r="CB4" s="229" t="s">
        <v>69</v>
      </c>
      <c r="CC4" s="229" t="s">
        <v>70</v>
      </c>
      <c r="CD4" s="229" t="s">
        <v>218</v>
      </c>
      <c r="CE4" s="229" t="s">
        <v>71</v>
      </c>
      <c r="CF4" s="229" t="s">
        <v>72</v>
      </c>
      <c r="CG4" s="229" t="s">
        <v>73</v>
      </c>
      <c r="CH4" s="228" t="s">
        <v>74</v>
      </c>
      <c r="CI4" s="88" t="s">
        <v>75</v>
      </c>
      <c r="CJ4" s="229" t="s">
        <v>76</v>
      </c>
      <c r="CK4" s="229" t="s">
        <v>77</v>
      </c>
      <c r="CL4" s="223" t="s">
        <v>900</v>
      </c>
      <c r="CM4" s="228" t="s">
        <v>78</v>
      </c>
      <c r="CN4" s="88" t="s">
        <v>79</v>
      </c>
      <c r="CO4" s="229" t="s">
        <v>80</v>
      </c>
      <c r="CP4" s="229" t="s">
        <v>81</v>
      </c>
      <c r="CQ4" s="229" t="s">
        <v>82</v>
      </c>
      <c r="CR4" s="229" t="s">
        <v>83</v>
      </c>
      <c r="CS4" s="228" t="s">
        <v>84</v>
      </c>
      <c r="CT4" s="88" t="s">
        <v>86</v>
      </c>
      <c r="CU4" s="229" t="s">
        <v>87</v>
      </c>
      <c r="CV4" s="229" t="s">
        <v>88</v>
      </c>
      <c r="CW4" s="229" t="s">
        <v>89</v>
      </c>
      <c r="CX4" s="229" t="s">
        <v>90</v>
      </c>
      <c r="CY4" s="229" t="s">
        <v>91</v>
      </c>
      <c r="CZ4" s="228" t="s">
        <v>28</v>
      </c>
      <c r="DA4" s="88" t="s">
        <v>92</v>
      </c>
      <c r="DB4" s="229" t="s">
        <v>93</v>
      </c>
      <c r="DC4" s="229" t="s">
        <v>86</v>
      </c>
      <c r="DD4" s="229" t="s">
        <v>87</v>
      </c>
      <c r="DE4" s="229" t="s">
        <v>88</v>
      </c>
      <c r="DF4" s="229" t="s">
        <v>89</v>
      </c>
      <c r="DG4" s="229" t="s">
        <v>90</v>
      </c>
      <c r="DH4" s="229" t="s">
        <v>91</v>
      </c>
      <c r="DI4" s="228" t="s">
        <v>28</v>
      </c>
      <c r="DJ4" s="88" t="s">
        <v>48</v>
      </c>
      <c r="DK4" s="229" t="s">
        <v>49</v>
      </c>
      <c r="DL4" s="229" t="s">
        <v>48</v>
      </c>
      <c r="DM4" s="229" t="s">
        <v>270</v>
      </c>
      <c r="DN4" s="229" t="s">
        <v>49</v>
      </c>
      <c r="DO4" s="307"/>
      <c r="DP4" s="306"/>
      <c r="DQ4" s="88" t="s">
        <v>48</v>
      </c>
      <c r="DR4" s="223" t="s">
        <v>49</v>
      </c>
      <c r="DS4" s="89" t="s">
        <v>48</v>
      </c>
      <c r="DT4" s="90" t="s">
        <v>93</v>
      </c>
      <c r="DU4" s="90" t="s">
        <v>49</v>
      </c>
      <c r="DV4" s="90" t="s">
        <v>93</v>
      </c>
      <c r="DW4" s="309"/>
      <c r="DX4" s="306"/>
      <c r="DY4" s="88" t="s">
        <v>48</v>
      </c>
      <c r="DZ4" s="223" t="s">
        <v>49</v>
      </c>
      <c r="EA4" s="88" t="s">
        <v>48</v>
      </c>
      <c r="EB4" s="91" t="s">
        <v>93</v>
      </c>
      <c r="EC4" s="228" t="s">
        <v>49</v>
      </c>
      <c r="ED4" s="309"/>
      <c r="EE4" s="306"/>
      <c r="EF4" s="92" t="s">
        <v>284</v>
      </c>
    </row>
    <row r="5" spans="1:137" ht="15.75" thickBot="1" x14ac:dyDescent="0.3"/>
    <row r="6" spans="1:137" s="4" customFormat="1" ht="64.5" thickBot="1" x14ac:dyDescent="0.3">
      <c r="A6" s="4" t="s">
        <v>402</v>
      </c>
      <c r="B6" s="5" t="s">
        <v>2740</v>
      </c>
      <c r="C6" s="5" t="s">
        <v>2741</v>
      </c>
      <c r="D6" s="5" t="s">
        <v>0</v>
      </c>
      <c r="E6" s="93" t="s">
        <v>7</v>
      </c>
      <c r="F6" s="93" t="s">
        <v>8</v>
      </c>
      <c r="G6" s="93" t="s">
        <v>177</v>
      </c>
      <c r="H6" s="93" t="s">
        <v>3</v>
      </c>
      <c r="I6" s="93" t="s">
        <v>178</v>
      </c>
      <c r="J6" s="93" t="s">
        <v>179</v>
      </c>
      <c r="K6" s="225" t="s">
        <v>1180</v>
      </c>
      <c r="L6" s="225" t="s">
        <v>1328</v>
      </c>
      <c r="M6" s="93" t="s">
        <v>285</v>
      </c>
      <c r="N6" s="93" t="s">
        <v>180</v>
      </c>
      <c r="O6" s="93" t="s">
        <v>181</v>
      </c>
      <c r="P6" s="93" t="s">
        <v>182</v>
      </c>
      <c r="Q6" s="93" t="s">
        <v>183</v>
      </c>
      <c r="R6" s="93" t="s">
        <v>184</v>
      </c>
      <c r="S6" s="93" t="s">
        <v>185</v>
      </c>
      <c r="T6" s="93" t="s">
        <v>186</v>
      </c>
      <c r="U6" s="93" t="s">
        <v>818</v>
      </c>
      <c r="V6" s="93" t="s">
        <v>819</v>
      </c>
      <c r="W6" s="93" t="s">
        <v>820</v>
      </c>
      <c r="X6" s="93" t="s">
        <v>821</v>
      </c>
      <c r="Y6" s="93" t="s">
        <v>822</v>
      </c>
      <c r="Z6" s="93" t="s">
        <v>1342</v>
      </c>
      <c r="AA6" s="93" t="s">
        <v>187</v>
      </c>
      <c r="AB6" s="93" t="s">
        <v>188</v>
      </c>
      <c r="AC6" s="93" t="s">
        <v>189</v>
      </c>
      <c r="AD6" s="93" t="s">
        <v>190</v>
      </c>
      <c r="AE6" s="93" t="s">
        <v>191</v>
      </c>
      <c r="AF6" s="93" t="s">
        <v>192</v>
      </c>
      <c r="AG6" s="93" t="s">
        <v>193</v>
      </c>
      <c r="AH6" s="93" t="s">
        <v>194</v>
      </c>
      <c r="AI6" s="93" t="s">
        <v>195</v>
      </c>
      <c r="AJ6" s="93" t="s">
        <v>196</v>
      </c>
      <c r="AK6" s="93" t="s">
        <v>197</v>
      </c>
      <c r="AL6" s="93" t="s">
        <v>198</v>
      </c>
      <c r="AM6" s="93" t="s">
        <v>199</v>
      </c>
      <c r="AN6" s="93" t="s">
        <v>200</v>
      </c>
      <c r="AO6" s="93" t="s">
        <v>201</v>
      </c>
      <c r="AP6" s="93" t="s">
        <v>1021</v>
      </c>
      <c r="AQ6" s="93" t="s">
        <v>264</v>
      </c>
      <c r="AR6" s="93" t="s">
        <v>265</v>
      </c>
      <c r="AS6" s="93" t="s">
        <v>36</v>
      </c>
      <c r="AT6" s="93" t="s">
        <v>202</v>
      </c>
      <c r="AU6" s="93" t="s">
        <v>203</v>
      </c>
      <c r="AV6" s="93" t="s">
        <v>204</v>
      </c>
      <c r="AW6" s="93" t="s">
        <v>205</v>
      </c>
      <c r="AX6" s="93" t="s">
        <v>286</v>
      </c>
      <c r="AY6" s="93" t="s">
        <v>287</v>
      </c>
      <c r="AZ6" s="93" t="s">
        <v>288</v>
      </c>
      <c r="BA6" s="93" t="s">
        <v>289</v>
      </c>
      <c r="BB6" s="93" t="s">
        <v>206</v>
      </c>
      <c r="BC6" s="93" t="s">
        <v>207</v>
      </c>
      <c r="BD6" s="93" t="s">
        <v>208</v>
      </c>
      <c r="BE6" s="93" t="s">
        <v>209</v>
      </c>
      <c r="BF6" s="93" t="s">
        <v>210</v>
      </c>
      <c r="BG6" s="93" t="s">
        <v>211</v>
      </c>
      <c r="BH6" s="93" t="s">
        <v>212</v>
      </c>
      <c r="BI6" s="93" t="s">
        <v>863</v>
      </c>
      <c r="BJ6" s="93" t="s">
        <v>864</v>
      </c>
      <c r="BK6" s="93" t="s">
        <v>1345</v>
      </c>
      <c r="BL6" s="93" t="s">
        <v>866</v>
      </c>
      <c r="BM6" s="93" t="s">
        <v>213</v>
      </c>
      <c r="BN6" s="93" t="s">
        <v>214</v>
      </c>
      <c r="BO6" s="93" t="s">
        <v>215</v>
      </c>
      <c r="BP6" s="93" t="s">
        <v>216</v>
      </c>
      <c r="BQ6" s="93" t="s">
        <v>217</v>
      </c>
      <c r="BR6" s="93" t="s">
        <v>290</v>
      </c>
      <c r="BS6" s="93" t="s">
        <v>291</v>
      </c>
      <c r="BT6" s="93" t="s">
        <v>292</v>
      </c>
      <c r="BU6" s="93" t="s">
        <v>293</v>
      </c>
      <c r="BV6" s="93" t="s">
        <v>294</v>
      </c>
      <c r="BW6" s="93" t="s">
        <v>295</v>
      </c>
      <c r="BX6" s="93" t="s">
        <v>296</v>
      </c>
      <c r="BY6" s="93" t="s">
        <v>219</v>
      </c>
      <c r="BZ6" s="93" t="s">
        <v>297</v>
      </c>
      <c r="CA6" s="93" t="s">
        <v>220</v>
      </c>
      <c r="CB6" s="93" t="s">
        <v>221</v>
      </c>
      <c r="CC6" s="93" t="s">
        <v>222</v>
      </c>
      <c r="CD6" s="93" t="s">
        <v>223</v>
      </c>
      <c r="CE6" s="93" t="s">
        <v>224</v>
      </c>
      <c r="CF6" s="93" t="s">
        <v>225</v>
      </c>
      <c r="CG6" s="93" t="s">
        <v>298</v>
      </c>
      <c r="CH6" s="93" t="s">
        <v>226</v>
      </c>
      <c r="CI6" s="93" t="s">
        <v>299</v>
      </c>
      <c r="CJ6" s="93" t="s">
        <v>300</v>
      </c>
      <c r="CK6" s="93" t="s">
        <v>301</v>
      </c>
      <c r="CL6" s="93" t="s">
        <v>332</v>
      </c>
      <c r="CM6" s="93" t="s">
        <v>302</v>
      </c>
      <c r="CN6" s="93" t="s">
        <v>227</v>
      </c>
      <c r="CO6" s="93" t="s">
        <v>228</v>
      </c>
      <c r="CP6" s="93" t="s">
        <v>229</v>
      </c>
      <c r="CQ6" s="93" t="s">
        <v>230</v>
      </c>
      <c r="CR6" s="93" t="s">
        <v>231</v>
      </c>
      <c r="CS6" s="93" t="s">
        <v>232</v>
      </c>
      <c r="CT6" s="93" t="s">
        <v>233</v>
      </c>
      <c r="CU6" s="93" t="s">
        <v>303</v>
      </c>
      <c r="CV6" s="93" t="s">
        <v>304</v>
      </c>
      <c r="CW6" s="93" t="s">
        <v>305</v>
      </c>
      <c r="CX6" s="93" t="s">
        <v>306</v>
      </c>
      <c r="CY6" s="93" t="s">
        <v>234</v>
      </c>
      <c r="CZ6" s="93" t="s">
        <v>235</v>
      </c>
      <c r="DA6" s="93" t="s">
        <v>244</v>
      </c>
      <c r="DB6" s="93" t="s">
        <v>236</v>
      </c>
      <c r="DC6" s="93" t="s">
        <v>237</v>
      </c>
      <c r="DD6" s="93" t="s">
        <v>238</v>
      </c>
      <c r="DE6" s="93" t="s">
        <v>239</v>
      </c>
      <c r="DF6" s="93" t="s">
        <v>240</v>
      </c>
      <c r="DG6" s="93" t="s">
        <v>241</v>
      </c>
      <c r="DH6" s="93" t="s">
        <v>242</v>
      </c>
      <c r="DI6" s="93" t="s">
        <v>243</v>
      </c>
      <c r="DJ6" s="93" t="s">
        <v>245</v>
      </c>
      <c r="DK6" s="93" t="s">
        <v>246</v>
      </c>
      <c r="DL6" s="93" t="s">
        <v>247</v>
      </c>
      <c r="DM6" s="93" t="s">
        <v>271</v>
      </c>
      <c r="DN6" s="93" t="s">
        <v>248</v>
      </c>
      <c r="DO6" s="93" t="s">
        <v>249</v>
      </c>
      <c r="DP6" s="93" t="s">
        <v>250</v>
      </c>
      <c r="DQ6" s="93" t="s">
        <v>251</v>
      </c>
      <c r="DR6" s="94" t="s">
        <v>252</v>
      </c>
      <c r="DS6" s="5" t="s">
        <v>253</v>
      </c>
      <c r="DT6" s="93" t="s">
        <v>272</v>
      </c>
      <c r="DU6" s="95" t="s">
        <v>254</v>
      </c>
      <c r="DV6" s="96"/>
      <c r="DW6" s="97" t="s">
        <v>255</v>
      </c>
      <c r="DX6" s="93" t="s">
        <v>256</v>
      </c>
      <c r="DY6" s="93" t="s">
        <v>257</v>
      </c>
      <c r="DZ6" s="94" t="s">
        <v>258</v>
      </c>
      <c r="EA6" s="5" t="s">
        <v>259</v>
      </c>
      <c r="EB6" s="93" t="s">
        <v>273</v>
      </c>
      <c r="EC6" s="95" t="s">
        <v>260</v>
      </c>
      <c r="ED6" s="97" t="s">
        <v>261</v>
      </c>
      <c r="EE6" s="95" t="s">
        <v>262</v>
      </c>
      <c r="EF6" s="232" t="s">
        <v>284</v>
      </c>
    </row>
    <row r="7" spans="1:137" x14ac:dyDescent="0.25">
      <c r="A7" s="49" t="s">
        <v>1854</v>
      </c>
      <c r="B7" s="206">
        <v>41512</v>
      </c>
      <c r="C7" s="207" t="s">
        <v>2742</v>
      </c>
      <c r="D7" s="54" t="s">
        <v>308</v>
      </c>
      <c r="E7" s="55" t="s">
        <v>328</v>
      </c>
      <c r="F7" s="55"/>
      <c r="G7" s="55">
        <v>50</v>
      </c>
      <c r="H7" s="55" t="s">
        <v>329</v>
      </c>
      <c r="I7" s="55" t="s">
        <v>330</v>
      </c>
      <c r="J7" s="55" t="s">
        <v>331</v>
      </c>
      <c r="K7" s="55" t="s">
        <v>1181</v>
      </c>
      <c r="L7" s="55" t="s">
        <v>1182</v>
      </c>
      <c r="M7" s="55">
        <v>32</v>
      </c>
      <c r="N7" s="55">
        <v>1</v>
      </c>
      <c r="O7" s="55"/>
      <c r="P7" s="55"/>
      <c r="Q7" s="55"/>
      <c r="R7" s="55"/>
      <c r="S7" s="55">
        <v>1</v>
      </c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 t="s">
        <v>328</v>
      </c>
      <c r="AK7" s="55"/>
      <c r="AL7" s="55" t="s">
        <v>328</v>
      </c>
      <c r="AM7" s="55" t="s">
        <v>328</v>
      </c>
      <c r="AN7" s="55"/>
      <c r="AO7" s="55" t="s">
        <v>328</v>
      </c>
      <c r="AP7" s="55"/>
      <c r="AQ7" s="55" t="s">
        <v>328</v>
      </c>
      <c r="AR7" s="55">
        <v>9</v>
      </c>
      <c r="AS7" s="55">
        <v>3</v>
      </c>
      <c r="AT7" s="55"/>
      <c r="AU7" s="55"/>
      <c r="AV7" s="55" t="s">
        <v>328</v>
      </c>
      <c r="AW7" s="55"/>
      <c r="AX7" s="55">
        <v>2</v>
      </c>
      <c r="AY7" s="55">
        <v>3</v>
      </c>
      <c r="AZ7" s="55">
        <v>1</v>
      </c>
      <c r="BA7" s="55"/>
      <c r="BB7" s="55"/>
      <c r="BC7" s="55" t="s">
        <v>328</v>
      </c>
      <c r="BD7" s="55" t="s">
        <v>328</v>
      </c>
      <c r="BE7" s="55"/>
      <c r="BF7" s="55" t="s">
        <v>328</v>
      </c>
      <c r="BG7" s="55"/>
      <c r="BH7" s="55" t="s">
        <v>328</v>
      </c>
      <c r="BI7" s="55"/>
      <c r="BJ7" s="55"/>
      <c r="BK7" s="55"/>
      <c r="BL7" s="55"/>
      <c r="BM7" s="55"/>
      <c r="BN7" s="55" t="s">
        <v>328</v>
      </c>
      <c r="BO7" s="55"/>
      <c r="BP7" s="55" t="s">
        <v>328</v>
      </c>
      <c r="BQ7" s="55"/>
      <c r="BR7" s="55"/>
      <c r="BS7" s="55"/>
      <c r="BT7" s="55"/>
      <c r="BU7" s="55"/>
      <c r="BV7" s="55" t="s">
        <v>328</v>
      </c>
      <c r="BW7" s="55"/>
      <c r="BX7" s="55"/>
      <c r="BY7" s="55"/>
      <c r="BZ7" s="55"/>
      <c r="CA7" s="55"/>
      <c r="CB7" s="55" t="s">
        <v>328</v>
      </c>
      <c r="CC7" s="55" t="s">
        <v>328</v>
      </c>
      <c r="CD7" s="55"/>
      <c r="CE7" s="55"/>
      <c r="CF7" s="55"/>
      <c r="CG7" s="55"/>
      <c r="CH7" s="55"/>
      <c r="CI7" s="55" t="s">
        <v>328</v>
      </c>
      <c r="CJ7" s="55" t="s">
        <v>328</v>
      </c>
      <c r="CK7" s="55"/>
      <c r="CL7" s="55"/>
      <c r="CM7" s="55"/>
      <c r="CN7" s="55">
        <v>4</v>
      </c>
      <c r="CO7" s="55">
        <v>1</v>
      </c>
      <c r="CP7" s="55">
        <v>2</v>
      </c>
      <c r="CQ7" s="55">
        <v>5</v>
      </c>
      <c r="CR7" s="55">
        <v>6</v>
      </c>
      <c r="CS7" s="55">
        <v>3</v>
      </c>
      <c r="CT7" s="55"/>
      <c r="CU7" s="55"/>
      <c r="CV7" s="55"/>
      <c r="CW7" s="55"/>
      <c r="CX7" s="55"/>
      <c r="CY7" s="55"/>
      <c r="CZ7" s="55" t="s">
        <v>332</v>
      </c>
      <c r="DA7" s="55"/>
      <c r="DB7" s="55"/>
      <c r="DC7" s="55">
        <v>2</v>
      </c>
      <c r="DD7" s="55">
        <v>3</v>
      </c>
      <c r="DE7" s="55">
        <v>6</v>
      </c>
      <c r="DF7" s="55">
        <v>5</v>
      </c>
      <c r="DG7" s="55">
        <v>1</v>
      </c>
      <c r="DH7" s="55">
        <v>4</v>
      </c>
      <c r="DI7" s="55"/>
      <c r="DJ7" s="55" t="s">
        <v>328</v>
      </c>
      <c r="DK7" s="55"/>
      <c r="DL7" s="55"/>
      <c r="DM7" s="55"/>
      <c r="DN7" s="55"/>
      <c r="DO7" s="55"/>
      <c r="DP7" s="55" t="s">
        <v>333</v>
      </c>
      <c r="DQ7" s="55"/>
      <c r="DR7" s="55" t="s">
        <v>328</v>
      </c>
      <c r="DS7" s="55"/>
      <c r="DT7" s="55"/>
      <c r="DU7" s="55" t="s">
        <v>328</v>
      </c>
      <c r="DV7" s="55" t="s">
        <v>334</v>
      </c>
      <c r="DW7" s="55" t="s">
        <v>335</v>
      </c>
      <c r="DX7" s="55" t="s">
        <v>336</v>
      </c>
      <c r="DY7" s="55" t="s">
        <v>328</v>
      </c>
      <c r="DZ7" s="55"/>
      <c r="EA7" s="55"/>
      <c r="EB7" s="55"/>
      <c r="EC7" s="55"/>
      <c r="ED7" s="55"/>
      <c r="EE7" s="100" t="s">
        <v>333</v>
      </c>
      <c r="EF7" s="48"/>
      <c r="EG7" s="17">
        <f>IF(AS7=0,IF(AR7&gt;0,"ERR",0),0)</f>
        <v>0</v>
      </c>
    </row>
    <row r="8" spans="1:137" x14ac:dyDescent="0.25">
      <c r="A8" s="50" t="s">
        <v>1854</v>
      </c>
      <c r="B8" s="208">
        <v>41512</v>
      </c>
      <c r="C8" s="209" t="s">
        <v>2742</v>
      </c>
      <c r="D8" s="61" t="s">
        <v>309</v>
      </c>
      <c r="E8" s="14" t="s">
        <v>328</v>
      </c>
      <c r="F8" s="14"/>
      <c r="G8" s="14">
        <v>61</v>
      </c>
      <c r="H8" s="14" t="s">
        <v>329</v>
      </c>
      <c r="I8" s="14" t="s">
        <v>330</v>
      </c>
      <c r="J8" s="14" t="s">
        <v>345</v>
      </c>
      <c r="K8" s="14" t="s">
        <v>1182</v>
      </c>
      <c r="L8" s="14" t="s">
        <v>1182</v>
      </c>
      <c r="M8" s="14">
        <v>40</v>
      </c>
      <c r="N8" s="14">
        <v>2</v>
      </c>
      <c r="O8" s="14">
        <v>2</v>
      </c>
      <c r="P8" s="14"/>
      <c r="Q8" s="14"/>
      <c r="R8" s="14"/>
      <c r="S8" s="14"/>
      <c r="T8" s="14"/>
      <c r="U8" s="14"/>
      <c r="V8" s="14"/>
      <c r="W8" s="14"/>
      <c r="X8" s="14">
        <v>1</v>
      </c>
      <c r="Y8" s="14"/>
      <c r="Z8" s="14"/>
      <c r="AA8" s="14"/>
      <c r="AB8" s="14" t="s">
        <v>328</v>
      </c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 t="s">
        <v>328</v>
      </c>
      <c r="AN8" s="14"/>
      <c r="AO8" s="14"/>
      <c r="AP8" s="14"/>
      <c r="AQ8" s="14" t="s">
        <v>328</v>
      </c>
      <c r="AR8" s="14">
        <v>5</v>
      </c>
      <c r="AS8" s="14">
        <v>2</v>
      </c>
      <c r="AT8" s="14"/>
      <c r="AU8" s="14"/>
      <c r="AV8" s="14" t="s">
        <v>328</v>
      </c>
      <c r="AW8" s="14"/>
      <c r="AX8" s="14">
        <v>4</v>
      </c>
      <c r="AY8" s="14">
        <v>3</v>
      </c>
      <c r="AZ8" s="14">
        <v>2</v>
      </c>
      <c r="BA8" s="14" t="s">
        <v>346</v>
      </c>
      <c r="BB8" s="14"/>
      <c r="BC8" s="14" t="s">
        <v>328</v>
      </c>
      <c r="BD8" s="14" t="s">
        <v>328</v>
      </c>
      <c r="BE8" s="14"/>
      <c r="BF8" s="14"/>
      <c r="BG8" s="14"/>
      <c r="BH8" s="14"/>
      <c r="BI8" s="14"/>
      <c r="BJ8" s="14"/>
      <c r="BK8" s="14"/>
      <c r="BL8" s="14"/>
      <c r="BM8" s="14"/>
      <c r="BN8" s="14" t="s">
        <v>328</v>
      </c>
      <c r="BO8" s="14"/>
      <c r="BP8" s="14" t="s">
        <v>328</v>
      </c>
      <c r="BQ8" s="14"/>
      <c r="BR8" s="14" t="s">
        <v>328</v>
      </c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 t="s">
        <v>328</v>
      </c>
      <c r="CD8" s="14" t="s">
        <v>328</v>
      </c>
      <c r="CE8" s="14"/>
      <c r="CF8" s="14"/>
      <c r="CG8" s="14"/>
      <c r="CH8" s="14"/>
      <c r="CI8" s="14"/>
      <c r="CJ8" s="14" t="s">
        <v>328</v>
      </c>
      <c r="CK8" s="14"/>
      <c r="CL8" s="14"/>
      <c r="CM8" s="14"/>
      <c r="CN8" s="14">
        <v>1</v>
      </c>
      <c r="CO8" s="14">
        <v>3</v>
      </c>
      <c r="CP8" s="14">
        <v>4</v>
      </c>
      <c r="CQ8" s="14">
        <v>5</v>
      </c>
      <c r="CR8" s="14">
        <v>6</v>
      </c>
      <c r="CS8" s="14">
        <v>2</v>
      </c>
      <c r="CT8" s="14"/>
      <c r="CU8" s="14"/>
      <c r="CV8" s="14"/>
      <c r="CW8" s="14"/>
      <c r="CX8" s="14"/>
      <c r="CY8" s="14"/>
      <c r="CZ8" s="14" t="s">
        <v>332</v>
      </c>
      <c r="DA8" s="14" t="s">
        <v>328</v>
      </c>
      <c r="DB8" s="14" t="s">
        <v>347</v>
      </c>
      <c r="DC8" s="14"/>
      <c r="DD8" s="14"/>
      <c r="DE8" s="14"/>
      <c r="DF8" s="14"/>
      <c r="DG8" s="14"/>
      <c r="DH8" s="14"/>
      <c r="DI8" s="14"/>
      <c r="DJ8" s="14" t="s">
        <v>328</v>
      </c>
      <c r="DK8" s="14"/>
      <c r="DL8" s="14"/>
      <c r="DM8" s="14"/>
      <c r="DN8" s="14"/>
      <c r="DO8" s="14"/>
      <c r="DP8" s="14" t="s">
        <v>333</v>
      </c>
      <c r="DQ8" s="14" t="s">
        <v>328</v>
      </c>
      <c r="DR8" s="14"/>
      <c r="DS8" s="14"/>
      <c r="DT8" s="14"/>
      <c r="DU8" s="14"/>
      <c r="DV8" s="14"/>
      <c r="DW8" s="14"/>
      <c r="DX8" s="14" t="s">
        <v>333</v>
      </c>
      <c r="DY8" s="14" t="s">
        <v>328</v>
      </c>
      <c r="DZ8" s="14"/>
      <c r="EA8" s="14"/>
      <c r="EB8" s="14"/>
      <c r="EC8" s="14"/>
      <c r="ED8" s="14"/>
      <c r="EE8" s="101" t="s">
        <v>333</v>
      </c>
      <c r="EF8" s="48"/>
      <c r="EG8" s="17">
        <f t="shared" ref="EG8:EG71" si="0">IF(AS8=0,IF(AR8&gt;0,"ERR",0),0)</f>
        <v>0</v>
      </c>
    </row>
    <row r="9" spans="1:137" x14ac:dyDescent="0.25">
      <c r="A9" s="50" t="s">
        <v>1854</v>
      </c>
      <c r="B9" s="208">
        <v>41512</v>
      </c>
      <c r="C9" s="209" t="s">
        <v>2742</v>
      </c>
      <c r="D9" s="61" t="s">
        <v>310</v>
      </c>
      <c r="E9" s="14" t="s">
        <v>328</v>
      </c>
      <c r="F9" s="14"/>
      <c r="G9" s="14">
        <v>46</v>
      </c>
      <c r="H9" s="14" t="s">
        <v>329</v>
      </c>
      <c r="I9" s="14" t="s">
        <v>353</v>
      </c>
      <c r="J9" s="14" t="s">
        <v>345</v>
      </c>
      <c r="K9" s="14" t="s">
        <v>1182</v>
      </c>
      <c r="L9" s="14" t="s">
        <v>1182</v>
      </c>
      <c r="M9" s="14">
        <v>20</v>
      </c>
      <c r="N9" s="14">
        <v>1</v>
      </c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>
        <v>1</v>
      </c>
      <c r="AA9" s="14"/>
      <c r="AB9" s="14" t="s">
        <v>328</v>
      </c>
      <c r="AC9" s="14"/>
      <c r="AD9" s="14"/>
      <c r="AE9" s="14"/>
      <c r="AF9" s="14"/>
      <c r="AG9" s="14" t="s">
        <v>328</v>
      </c>
      <c r="AH9" s="14"/>
      <c r="AI9" s="14"/>
      <c r="AJ9" s="14"/>
      <c r="AK9" s="14"/>
      <c r="AL9" s="14"/>
      <c r="AM9" s="14" t="s">
        <v>328</v>
      </c>
      <c r="AN9" s="14"/>
      <c r="AO9" s="14"/>
      <c r="AP9" s="14"/>
      <c r="AQ9" s="14" t="s">
        <v>328</v>
      </c>
      <c r="AR9" s="14">
        <v>8</v>
      </c>
      <c r="AS9" s="14">
        <v>3</v>
      </c>
      <c r="AT9" s="14"/>
      <c r="AU9" s="14"/>
      <c r="AV9" s="14"/>
      <c r="AW9" s="14" t="s">
        <v>328</v>
      </c>
      <c r="AX9" s="14">
        <v>2</v>
      </c>
      <c r="AY9" s="14">
        <v>3</v>
      </c>
      <c r="AZ9" s="14">
        <v>1</v>
      </c>
      <c r="BA9" s="14"/>
      <c r="BB9" s="14" t="s">
        <v>328</v>
      </c>
      <c r="BC9" s="14"/>
      <c r="BD9" s="14" t="s">
        <v>328</v>
      </c>
      <c r="BE9" s="14"/>
      <c r="BF9" s="14" t="s">
        <v>328</v>
      </c>
      <c r="BG9" s="14"/>
      <c r="BH9" s="14"/>
      <c r="BI9" s="14"/>
      <c r="BJ9" s="14"/>
      <c r="BK9" s="14"/>
      <c r="BL9" s="14"/>
      <c r="BM9" s="14"/>
      <c r="BN9" s="14"/>
      <c r="BO9" s="14" t="s">
        <v>328</v>
      </c>
      <c r="BP9" s="14" t="s">
        <v>328</v>
      </c>
      <c r="BQ9" s="14"/>
      <c r="BR9" s="14" t="s">
        <v>328</v>
      </c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 t="s">
        <v>328</v>
      </c>
      <c r="CD9" s="14" t="s">
        <v>328</v>
      </c>
      <c r="CE9" s="14"/>
      <c r="CF9" s="14"/>
      <c r="CG9" s="14"/>
      <c r="CH9" s="14"/>
      <c r="CI9" s="14"/>
      <c r="CJ9" s="14" t="s">
        <v>328</v>
      </c>
      <c r="CK9" s="14"/>
      <c r="CL9" s="14"/>
      <c r="CM9" s="14"/>
      <c r="CN9" s="14">
        <v>4</v>
      </c>
      <c r="CO9" s="14">
        <v>2</v>
      </c>
      <c r="CP9" s="14">
        <v>3</v>
      </c>
      <c r="CQ9" s="14">
        <v>6</v>
      </c>
      <c r="CR9" s="14">
        <v>5</v>
      </c>
      <c r="CS9" s="14">
        <v>1</v>
      </c>
      <c r="CT9" s="14"/>
      <c r="CU9" s="14"/>
      <c r="CV9" s="14"/>
      <c r="CW9" s="14"/>
      <c r="CX9" s="14"/>
      <c r="CY9" s="14"/>
      <c r="CZ9" s="14" t="s">
        <v>332</v>
      </c>
      <c r="DA9" s="14"/>
      <c r="DB9" s="14"/>
      <c r="DC9" s="14">
        <v>2</v>
      </c>
      <c r="DD9" s="14">
        <v>3</v>
      </c>
      <c r="DE9" s="14">
        <v>6</v>
      </c>
      <c r="DF9" s="14">
        <v>4</v>
      </c>
      <c r="DG9" s="14">
        <v>1</v>
      </c>
      <c r="DH9" s="14">
        <v>5</v>
      </c>
      <c r="DI9" s="14"/>
      <c r="DJ9" s="14" t="s">
        <v>328</v>
      </c>
      <c r="DK9" s="14"/>
      <c r="DL9" s="14"/>
      <c r="DM9" s="14"/>
      <c r="DN9" s="14"/>
      <c r="DO9" s="14"/>
      <c r="DP9" s="14" t="s">
        <v>333</v>
      </c>
      <c r="DQ9" s="14"/>
      <c r="DR9" s="14" t="s">
        <v>328</v>
      </c>
      <c r="DS9" s="14" t="s">
        <v>328</v>
      </c>
      <c r="DT9" s="14" t="s">
        <v>354</v>
      </c>
      <c r="DU9" s="14"/>
      <c r="DV9" s="14"/>
      <c r="DW9" s="14" t="s">
        <v>335</v>
      </c>
      <c r="DX9" s="14" t="s">
        <v>336</v>
      </c>
      <c r="DY9" s="14" t="s">
        <v>328</v>
      </c>
      <c r="DZ9" s="14"/>
      <c r="EA9" s="14"/>
      <c r="EB9" s="14"/>
      <c r="EC9" s="14"/>
      <c r="ED9" s="14"/>
      <c r="EE9" s="101" t="s">
        <v>333</v>
      </c>
      <c r="EF9" s="48"/>
      <c r="EG9" s="17">
        <f t="shared" si="0"/>
        <v>0</v>
      </c>
    </row>
    <row r="10" spans="1:137" x14ac:dyDescent="0.25">
      <c r="A10" s="50" t="s">
        <v>1854</v>
      </c>
      <c r="B10" s="208">
        <v>41512</v>
      </c>
      <c r="C10" s="209" t="s">
        <v>2742</v>
      </c>
      <c r="D10" s="61" t="s">
        <v>311</v>
      </c>
      <c r="E10" s="14" t="s">
        <v>328</v>
      </c>
      <c r="F10" s="14"/>
      <c r="G10" s="14">
        <v>43</v>
      </c>
      <c r="H10" s="14" t="s">
        <v>329</v>
      </c>
      <c r="I10" s="14" t="s">
        <v>355</v>
      </c>
      <c r="J10" s="14" t="s">
        <v>356</v>
      </c>
      <c r="K10" s="8" t="s">
        <v>1183</v>
      </c>
      <c r="L10" s="8" t="s">
        <v>1183</v>
      </c>
      <c r="M10" s="14">
        <v>22</v>
      </c>
      <c r="N10" s="14">
        <v>1</v>
      </c>
      <c r="O10" s="14">
        <v>1</v>
      </c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 t="s">
        <v>328</v>
      </c>
      <c r="AG10" s="14" t="s">
        <v>328</v>
      </c>
      <c r="AH10" s="14" t="s">
        <v>328</v>
      </c>
      <c r="AI10" s="14"/>
      <c r="AJ10" s="14"/>
      <c r="AK10" s="14"/>
      <c r="AL10" s="14"/>
      <c r="AM10" s="14" t="s">
        <v>328</v>
      </c>
      <c r="AN10" s="14"/>
      <c r="AO10" s="14"/>
      <c r="AP10" s="14"/>
      <c r="AQ10" s="14" t="s">
        <v>328</v>
      </c>
      <c r="AR10" s="14">
        <v>5</v>
      </c>
      <c r="AS10" s="14">
        <v>1</v>
      </c>
      <c r="AT10" s="14"/>
      <c r="AU10" s="14"/>
      <c r="AV10" s="14" t="s">
        <v>328</v>
      </c>
      <c r="AW10" s="14"/>
      <c r="AX10" s="14">
        <v>3</v>
      </c>
      <c r="AY10" s="14">
        <v>2</v>
      </c>
      <c r="AZ10" s="14">
        <v>1</v>
      </c>
      <c r="BA10" s="14"/>
      <c r="BB10" s="14" t="s">
        <v>328</v>
      </c>
      <c r="BC10" s="14"/>
      <c r="BD10" s="14" t="s">
        <v>328</v>
      </c>
      <c r="BE10" s="14"/>
      <c r="BF10" s="14" t="s">
        <v>328</v>
      </c>
      <c r="BG10" s="14" t="s">
        <v>328</v>
      </c>
      <c r="BH10" s="14"/>
      <c r="BI10" s="14"/>
      <c r="BJ10" s="14"/>
      <c r="BK10" s="14"/>
      <c r="BL10" s="14"/>
      <c r="BM10" s="14"/>
      <c r="BN10" s="14"/>
      <c r="BO10" s="14" t="s">
        <v>328</v>
      </c>
      <c r="BP10" s="14"/>
      <c r="BQ10" s="14" t="s">
        <v>328</v>
      </c>
      <c r="BR10" s="14" t="s">
        <v>328</v>
      </c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 t="s">
        <v>328</v>
      </c>
      <c r="CH10" s="14"/>
      <c r="CI10" s="14"/>
      <c r="CJ10" s="14" t="s">
        <v>328</v>
      </c>
      <c r="CK10" s="14"/>
      <c r="CL10" s="14"/>
      <c r="CM10" s="14"/>
      <c r="CN10" s="14">
        <v>2</v>
      </c>
      <c r="CO10" s="14">
        <v>4</v>
      </c>
      <c r="CP10" s="14">
        <v>1</v>
      </c>
      <c r="CQ10" s="14">
        <v>6</v>
      </c>
      <c r="CR10" s="14">
        <v>5</v>
      </c>
      <c r="CS10" s="14">
        <v>3</v>
      </c>
      <c r="CT10" s="14"/>
      <c r="CU10" s="14"/>
      <c r="CV10" s="14"/>
      <c r="CW10" s="14"/>
      <c r="CX10" s="14" t="s">
        <v>328</v>
      </c>
      <c r="CY10" s="14"/>
      <c r="CZ10" s="14"/>
      <c r="DA10" s="14"/>
      <c r="DB10" s="14"/>
      <c r="DC10" s="14">
        <v>1</v>
      </c>
      <c r="DD10" s="14">
        <v>3</v>
      </c>
      <c r="DE10" s="14">
        <v>6</v>
      </c>
      <c r="DF10" s="14">
        <v>5</v>
      </c>
      <c r="DG10" s="14">
        <v>2</v>
      </c>
      <c r="DH10" s="14">
        <v>4</v>
      </c>
      <c r="DI10" s="14"/>
      <c r="DJ10" s="14" t="s">
        <v>328</v>
      </c>
      <c r="DK10" s="14"/>
      <c r="DL10" s="14"/>
      <c r="DM10" s="14"/>
      <c r="DN10" s="14"/>
      <c r="DO10" s="14"/>
      <c r="DP10" s="14" t="s">
        <v>333</v>
      </c>
      <c r="DQ10" s="14"/>
      <c r="DR10" s="14" t="s">
        <v>328</v>
      </c>
      <c r="DS10" s="14" t="s">
        <v>328</v>
      </c>
      <c r="DT10" s="14" t="s">
        <v>354</v>
      </c>
      <c r="DU10" s="14"/>
      <c r="DV10" s="14"/>
      <c r="DW10" s="14" t="s">
        <v>335</v>
      </c>
      <c r="DX10" s="14" t="s">
        <v>336</v>
      </c>
      <c r="DY10" s="14" t="s">
        <v>328</v>
      </c>
      <c r="DZ10" s="14"/>
      <c r="EA10" s="14"/>
      <c r="EB10" s="14"/>
      <c r="EC10" s="14"/>
      <c r="ED10" s="14"/>
      <c r="EE10" s="101" t="s">
        <v>333</v>
      </c>
      <c r="EF10" s="48"/>
      <c r="EG10" s="17">
        <f t="shared" si="0"/>
        <v>0</v>
      </c>
    </row>
    <row r="11" spans="1:137" x14ac:dyDescent="0.25">
      <c r="A11" s="50" t="s">
        <v>1854</v>
      </c>
      <c r="B11" s="208">
        <v>41512</v>
      </c>
      <c r="C11" s="209" t="s">
        <v>2742</v>
      </c>
      <c r="D11" s="61" t="s">
        <v>312</v>
      </c>
      <c r="E11" s="14" t="s">
        <v>328</v>
      </c>
      <c r="F11" s="14"/>
      <c r="G11" s="14">
        <v>35</v>
      </c>
      <c r="H11" s="14" t="s">
        <v>329</v>
      </c>
      <c r="I11" s="14" t="s">
        <v>330</v>
      </c>
      <c r="J11" s="14" t="s">
        <v>345</v>
      </c>
      <c r="K11" s="14" t="s">
        <v>1182</v>
      </c>
      <c r="L11" s="14" t="s">
        <v>1182</v>
      </c>
      <c r="M11" s="14">
        <v>14</v>
      </c>
      <c r="N11" s="14">
        <v>1</v>
      </c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>
        <v>1</v>
      </c>
      <c r="AA11" s="14"/>
      <c r="AB11" s="14" t="s">
        <v>328</v>
      </c>
      <c r="AC11" s="14"/>
      <c r="AD11" s="14"/>
      <c r="AE11" s="14"/>
      <c r="AF11" s="14"/>
      <c r="AG11" s="14" t="s">
        <v>328</v>
      </c>
      <c r="AH11" s="14"/>
      <c r="AI11" s="14"/>
      <c r="AJ11" s="14"/>
      <c r="AK11" s="14"/>
      <c r="AL11" s="14"/>
      <c r="AM11" s="14" t="s">
        <v>328</v>
      </c>
      <c r="AN11" s="14"/>
      <c r="AO11" s="14" t="s">
        <v>328</v>
      </c>
      <c r="AP11" s="14"/>
      <c r="AQ11" s="14"/>
      <c r="AR11" s="14">
        <v>5</v>
      </c>
      <c r="AS11" s="14">
        <v>2</v>
      </c>
      <c r="AT11" s="14"/>
      <c r="AU11" s="14"/>
      <c r="AV11" s="14" t="s">
        <v>328</v>
      </c>
      <c r="AW11" s="14"/>
      <c r="AX11" s="14">
        <v>1</v>
      </c>
      <c r="AY11" s="14">
        <v>2</v>
      </c>
      <c r="AZ11" s="14">
        <v>3</v>
      </c>
      <c r="BA11" s="14"/>
      <c r="BB11" s="14" t="s">
        <v>328</v>
      </c>
      <c r="BC11" s="14"/>
      <c r="BD11" s="14" t="s">
        <v>328</v>
      </c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 t="s">
        <v>328</v>
      </c>
      <c r="BP11" s="14"/>
      <c r="BQ11" s="14" t="s">
        <v>328</v>
      </c>
      <c r="BR11" s="14"/>
      <c r="BS11" s="14"/>
      <c r="BT11" s="14" t="s">
        <v>328</v>
      </c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 t="s">
        <v>328</v>
      </c>
      <c r="CH11" s="14"/>
      <c r="CI11" s="14"/>
      <c r="CJ11" s="14" t="s">
        <v>328</v>
      </c>
      <c r="CK11" s="14" t="s">
        <v>328</v>
      </c>
      <c r="CL11" s="14"/>
      <c r="CM11" s="14"/>
      <c r="CN11" s="14">
        <v>1</v>
      </c>
      <c r="CO11" s="14">
        <v>2</v>
      </c>
      <c r="CP11" s="14">
        <v>4</v>
      </c>
      <c r="CQ11" s="14">
        <v>6</v>
      </c>
      <c r="CR11" s="14">
        <v>5</v>
      </c>
      <c r="CS11" s="14">
        <v>3</v>
      </c>
      <c r="CT11" s="14"/>
      <c r="CU11" s="14"/>
      <c r="CV11" s="14"/>
      <c r="CW11" s="14"/>
      <c r="CX11" s="14"/>
      <c r="CY11" s="14"/>
      <c r="CZ11" s="14" t="s">
        <v>332</v>
      </c>
      <c r="DA11" s="14"/>
      <c r="DB11" s="14"/>
      <c r="DC11" s="14">
        <v>2</v>
      </c>
      <c r="DD11" s="14">
        <v>3</v>
      </c>
      <c r="DE11" s="14">
        <v>4</v>
      </c>
      <c r="DF11" s="14">
        <v>5</v>
      </c>
      <c r="DG11" s="14">
        <v>1</v>
      </c>
      <c r="DH11" s="14">
        <v>6</v>
      </c>
      <c r="DI11" s="14"/>
      <c r="DJ11" s="14" t="s">
        <v>328</v>
      </c>
      <c r="DK11" s="14"/>
      <c r="DL11" s="14"/>
      <c r="DM11" s="14"/>
      <c r="DN11" s="14"/>
      <c r="DO11" s="14"/>
      <c r="DP11" s="14" t="s">
        <v>333</v>
      </c>
      <c r="DQ11" s="14"/>
      <c r="DR11" s="14" t="s">
        <v>328</v>
      </c>
      <c r="DS11" s="14" t="s">
        <v>328</v>
      </c>
      <c r="DT11" s="14" t="s">
        <v>354</v>
      </c>
      <c r="DU11" s="14"/>
      <c r="DV11" s="14"/>
      <c r="DW11" s="14" t="s">
        <v>335</v>
      </c>
      <c r="DX11" s="14" t="s">
        <v>336</v>
      </c>
      <c r="DY11" s="14" t="s">
        <v>328</v>
      </c>
      <c r="DZ11" s="14"/>
      <c r="EA11" s="14"/>
      <c r="EB11" s="14"/>
      <c r="EC11" s="14"/>
      <c r="ED11" s="14"/>
      <c r="EE11" s="101" t="s">
        <v>333</v>
      </c>
      <c r="EF11" s="48"/>
      <c r="EG11" s="17">
        <f t="shared" si="0"/>
        <v>0</v>
      </c>
    </row>
    <row r="12" spans="1:137" x14ac:dyDescent="0.25">
      <c r="A12" s="50" t="s">
        <v>1854</v>
      </c>
      <c r="B12" s="208">
        <v>41512</v>
      </c>
      <c r="C12" s="209" t="s">
        <v>2742</v>
      </c>
      <c r="D12" s="61" t="s">
        <v>313</v>
      </c>
      <c r="E12" s="14" t="s">
        <v>328</v>
      </c>
      <c r="F12" s="14"/>
      <c r="G12" s="14">
        <v>22</v>
      </c>
      <c r="H12" s="14" t="s">
        <v>329</v>
      </c>
      <c r="I12" s="14" t="s">
        <v>357</v>
      </c>
      <c r="J12" s="14" t="s">
        <v>358</v>
      </c>
      <c r="K12" s="8" t="s">
        <v>1184</v>
      </c>
      <c r="L12" s="14" t="s">
        <v>1188</v>
      </c>
      <c r="M12" s="14">
        <v>5</v>
      </c>
      <c r="N12" s="14">
        <v>1</v>
      </c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>
        <v>1</v>
      </c>
      <c r="AA12" s="14"/>
      <c r="AB12" s="14" t="s">
        <v>328</v>
      </c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 t="s">
        <v>328</v>
      </c>
      <c r="AN12" s="14"/>
      <c r="AO12" s="14"/>
      <c r="AP12" s="14"/>
      <c r="AQ12" s="14" t="s">
        <v>328</v>
      </c>
      <c r="AR12" s="14">
        <v>10</v>
      </c>
      <c r="AS12" s="14">
        <v>5</v>
      </c>
      <c r="AT12" s="14"/>
      <c r="AU12" s="14"/>
      <c r="AV12" s="14"/>
      <c r="AW12" s="14" t="s">
        <v>328</v>
      </c>
      <c r="AX12" s="14">
        <v>2</v>
      </c>
      <c r="AY12" s="14">
        <v>3</v>
      </c>
      <c r="AZ12" s="14">
        <v>1</v>
      </c>
      <c r="BA12" s="14"/>
      <c r="BB12" s="14" t="s">
        <v>328</v>
      </c>
      <c r="BC12" s="14"/>
      <c r="BD12" s="14" t="s">
        <v>328</v>
      </c>
      <c r="BE12" s="14"/>
      <c r="BF12" s="14"/>
      <c r="BG12" s="14"/>
      <c r="BH12" s="14"/>
      <c r="BI12" s="14"/>
      <c r="BJ12" s="14"/>
      <c r="BK12" s="14"/>
      <c r="BL12" s="14"/>
      <c r="BM12" s="14"/>
      <c r="BN12" s="14" t="s">
        <v>328</v>
      </c>
      <c r="BO12" s="14"/>
      <c r="BP12" s="14" t="s">
        <v>328</v>
      </c>
      <c r="BQ12" s="14"/>
      <c r="BR12" s="14" t="s">
        <v>328</v>
      </c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 t="s">
        <v>328</v>
      </c>
      <c r="CH12" s="14"/>
      <c r="CI12" s="14"/>
      <c r="CJ12" s="14" t="s">
        <v>328</v>
      </c>
      <c r="CK12" s="14"/>
      <c r="CL12" s="14"/>
      <c r="CM12" s="14"/>
      <c r="CN12" s="14">
        <v>1</v>
      </c>
      <c r="CO12" s="14">
        <v>2</v>
      </c>
      <c r="CP12" s="14">
        <v>3</v>
      </c>
      <c r="CQ12" s="14">
        <v>6</v>
      </c>
      <c r="CR12" s="14">
        <v>5</v>
      </c>
      <c r="CS12" s="14">
        <v>4</v>
      </c>
      <c r="CT12" s="14"/>
      <c r="CU12" s="14"/>
      <c r="CV12" s="14"/>
      <c r="CW12" s="14"/>
      <c r="CX12" s="14"/>
      <c r="CY12" s="14"/>
      <c r="CZ12" s="14" t="s">
        <v>332</v>
      </c>
      <c r="DA12" s="14"/>
      <c r="DB12" s="14"/>
      <c r="DC12" s="14">
        <v>3</v>
      </c>
      <c r="DD12" s="14">
        <v>4</v>
      </c>
      <c r="DE12" s="14">
        <v>5</v>
      </c>
      <c r="DF12" s="14">
        <v>6</v>
      </c>
      <c r="DG12" s="14">
        <v>1</v>
      </c>
      <c r="DH12" s="14">
        <v>2</v>
      </c>
      <c r="DI12" s="14"/>
      <c r="DJ12" s="14" t="s">
        <v>328</v>
      </c>
      <c r="DK12" s="14"/>
      <c r="DL12" s="14"/>
      <c r="DM12" s="14"/>
      <c r="DN12" s="14"/>
      <c r="DO12" s="14"/>
      <c r="DP12" s="14" t="s">
        <v>333</v>
      </c>
      <c r="DQ12" s="14" t="s">
        <v>328</v>
      </c>
      <c r="DR12" s="14"/>
      <c r="DS12" s="14"/>
      <c r="DT12" s="14"/>
      <c r="DU12" s="14"/>
      <c r="DV12" s="14"/>
      <c r="DW12" s="14"/>
      <c r="DX12" s="14" t="s">
        <v>333</v>
      </c>
      <c r="DY12" s="14" t="s">
        <v>328</v>
      </c>
      <c r="DZ12" s="14"/>
      <c r="EA12" s="14"/>
      <c r="EB12" s="14"/>
      <c r="EC12" s="14"/>
      <c r="ED12" s="14"/>
      <c r="EE12" s="101" t="s">
        <v>333</v>
      </c>
      <c r="EF12" s="48"/>
      <c r="EG12" s="17">
        <f t="shared" si="0"/>
        <v>0</v>
      </c>
    </row>
    <row r="13" spans="1:137" x14ac:dyDescent="0.25">
      <c r="A13" s="50" t="s">
        <v>1854</v>
      </c>
      <c r="B13" s="208">
        <v>41513</v>
      </c>
      <c r="C13" s="209" t="s">
        <v>2742</v>
      </c>
      <c r="D13" s="61" t="s">
        <v>314</v>
      </c>
      <c r="E13" s="14" t="s">
        <v>328</v>
      </c>
      <c r="F13" s="14"/>
      <c r="G13" s="14">
        <v>36</v>
      </c>
      <c r="H13" s="14" t="s">
        <v>329</v>
      </c>
      <c r="I13" s="14" t="s">
        <v>330</v>
      </c>
      <c r="J13" s="14" t="s">
        <v>345</v>
      </c>
      <c r="K13" s="14" t="s">
        <v>1182</v>
      </c>
      <c r="L13" s="14" t="s">
        <v>1182</v>
      </c>
      <c r="M13" s="14">
        <v>16</v>
      </c>
      <c r="N13" s="14">
        <v>2</v>
      </c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>
        <v>2</v>
      </c>
      <c r="AA13" s="14"/>
      <c r="AB13" s="14"/>
      <c r="AC13" s="14"/>
      <c r="AD13" s="14"/>
      <c r="AE13" s="14" t="s">
        <v>328</v>
      </c>
      <c r="AF13" s="14"/>
      <c r="AG13" s="14"/>
      <c r="AH13" s="14"/>
      <c r="AI13" s="14"/>
      <c r="AJ13" s="14"/>
      <c r="AK13" s="14"/>
      <c r="AL13" s="14"/>
      <c r="AM13" s="14" t="s">
        <v>328</v>
      </c>
      <c r="AN13" s="14"/>
      <c r="AO13" s="14"/>
      <c r="AP13" s="14"/>
      <c r="AQ13" s="14" t="s">
        <v>328</v>
      </c>
      <c r="AR13" s="14">
        <v>8</v>
      </c>
      <c r="AS13" s="14">
        <v>3</v>
      </c>
      <c r="AT13" s="14"/>
      <c r="AU13" s="14"/>
      <c r="AV13" s="14" t="s">
        <v>328</v>
      </c>
      <c r="AW13" s="14"/>
      <c r="AX13" s="14">
        <v>2</v>
      </c>
      <c r="AY13" s="14">
        <v>3</v>
      </c>
      <c r="AZ13" s="14">
        <v>1</v>
      </c>
      <c r="BA13" s="14"/>
      <c r="BB13" s="14"/>
      <c r="BC13" s="14" t="s">
        <v>328</v>
      </c>
      <c r="BD13" s="14" t="s">
        <v>328</v>
      </c>
      <c r="BE13" s="14"/>
      <c r="BF13" s="14" t="s">
        <v>328</v>
      </c>
      <c r="BG13" s="14"/>
      <c r="BH13" s="14"/>
      <c r="BI13" s="14"/>
      <c r="BJ13" s="14"/>
      <c r="BK13" s="14"/>
      <c r="BL13" s="14"/>
      <c r="BM13" s="14"/>
      <c r="BN13" s="14"/>
      <c r="BO13" s="14" t="s">
        <v>328</v>
      </c>
      <c r="BP13" s="14"/>
      <c r="BQ13" s="14" t="s">
        <v>328</v>
      </c>
      <c r="BR13" s="14" t="s">
        <v>328</v>
      </c>
      <c r="BS13" s="14"/>
      <c r="BT13" s="14"/>
      <c r="BU13" s="14"/>
      <c r="BV13" s="14"/>
      <c r="BW13" s="14"/>
      <c r="BX13" s="14"/>
      <c r="BY13" s="14"/>
      <c r="BZ13" s="14"/>
      <c r="CA13" s="14"/>
      <c r="CB13" s="14" t="s">
        <v>328</v>
      </c>
      <c r="CC13" s="14"/>
      <c r="CD13" s="14"/>
      <c r="CE13" s="14"/>
      <c r="CF13" s="14" t="s">
        <v>328</v>
      </c>
      <c r="CG13" s="14" t="s">
        <v>328</v>
      </c>
      <c r="CH13" s="14"/>
      <c r="CI13" s="14"/>
      <c r="CJ13" s="14"/>
      <c r="CK13" s="14" t="s">
        <v>328</v>
      </c>
      <c r="CL13" s="14"/>
      <c r="CM13" s="14"/>
      <c r="CN13" s="14">
        <v>3</v>
      </c>
      <c r="CO13" s="14">
        <v>2</v>
      </c>
      <c r="CP13" s="14">
        <v>4</v>
      </c>
      <c r="CQ13" s="14">
        <v>6</v>
      </c>
      <c r="CR13" s="14">
        <v>5</v>
      </c>
      <c r="CS13" s="14">
        <v>1</v>
      </c>
      <c r="CT13" s="14"/>
      <c r="CU13" s="14"/>
      <c r="CV13" s="14"/>
      <c r="CW13" s="14"/>
      <c r="CX13" s="14"/>
      <c r="CY13" s="14"/>
      <c r="CZ13" s="14" t="s">
        <v>332</v>
      </c>
      <c r="DA13" s="14"/>
      <c r="DB13" s="14"/>
      <c r="DC13" s="14">
        <v>4</v>
      </c>
      <c r="DD13" s="14">
        <v>3</v>
      </c>
      <c r="DE13" s="14">
        <v>5</v>
      </c>
      <c r="DF13" s="14">
        <v>6</v>
      </c>
      <c r="DG13" s="14">
        <v>1</v>
      </c>
      <c r="DH13" s="14">
        <v>2</v>
      </c>
      <c r="DI13" s="14"/>
      <c r="DJ13" s="14" t="s">
        <v>328</v>
      </c>
      <c r="DK13" s="14"/>
      <c r="DL13" s="14"/>
      <c r="DM13" s="14"/>
      <c r="DN13" s="14"/>
      <c r="DO13" s="14"/>
      <c r="DP13" s="14" t="s">
        <v>333</v>
      </c>
      <c r="DQ13" s="14"/>
      <c r="DR13" s="14" t="s">
        <v>328</v>
      </c>
      <c r="DS13" s="14" t="s">
        <v>328</v>
      </c>
      <c r="DT13" s="14" t="s">
        <v>354</v>
      </c>
      <c r="DU13" s="14"/>
      <c r="DV13" s="14"/>
      <c r="DW13" s="14" t="s">
        <v>335</v>
      </c>
      <c r="DX13" s="14" t="s">
        <v>336</v>
      </c>
      <c r="DY13" s="14" t="s">
        <v>328</v>
      </c>
      <c r="DZ13" s="14"/>
      <c r="EA13" s="14"/>
      <c r="EB13" s="14"/>
      <c r="EC13" s="14"/>
      <c r="ED13" s="14"/>
      <c r="EE13" s="101" t="s">
        <v>333</v>
      </c>
      <c r="EF13" s="48"/>
      <c r="EG13" s="17">
        <f t="shared" si="0"/>
        <v>0</v>
      </c>
    </row>
    <row r="14" spans="1:137" x14ac:dyDescent="0.25">
      <c r="A14" s="50" t="s">
        <v>1854</v>
      </c>
      <c r="B14" s="208">
        <v>41513</v>
      </c>
      <c r="C14" s="209" t="s">
        <v>2742</v>
      </c>
      <c r="D14" s="61" t="s">
        <v>315</v>
      </c>
      <c r="E14" s="14"/>
      <c r="F14" s="14" t="s">
        <v>328</v>
      </c>
      <c r="G14" s="14">
        <v>38</v>
      </c>
      <c r="H14" s="14" t="s">
        <v>329</v>
      </c>
      <c r="I14" s="14" t="s">
        <v>355</v>
      </c>
      <c r="J14" s="14" t="s">
        <v>345</v>
      </c>
      <c r="K14" s="14" t="s">
        <v>1182</v>
      </c>
      <c r="L14" s="14" t="s">
        <v>1182</v>
      </c>
      <c r="M14" s="14">
        <v>12</v>
      </c>
      <c r="N14" s="14">
        <v>7</v>
      </c>
      <c r="O14" s="14"/>
      <c r="P14" s="14"/>
      <c r="Q14" s="14"/>
      <c r="R14" s="14"/>
      <c r="S14" s="14">
        <v>7</v>
      </c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 t="s">
        <v>328</v>
      </c>
      <c r="AK14" s="14"/>
      <c r="AL14" s="14" t="s">
        <v>328</v>
      </c>
      <c r="AM14" s="14"/>
      <c r="AN14" s="14"/>
      <c r="AO14" s="14"/>
      <c r="AP14" s="14"/>
      <c r="AQ14" s="14" t="s">
        <v>328</v>
      </c>
      <c r="AR14" s="14">
        <v>10</v>
      </c>
      <c r="AS14" s="14">
        <v>7</v>
      </c>
      <c r="AT14" s="14"/>
      <c r="AU14" s="14"/>
      <c r="AV14" s="14"/>
      <c r="AW14" s="14" t="s">
        <v>328</v>
      </c>
      <c r="AX14" s="14">
        <v>2</v>
      </c>
      <c r="AY14" s="14">
        <v>3</v>
      </c>
      <c r="AZ14" s="14">
        <v>1</v>
      </c>
      <c r="BA14" s="14"/>
      <c r="BB14" s="14"/>
      <c r="BC14" s="14" t="s">
        <v>328</v>
      </c>
      <c r="BD14" s="14"/>
      <c r="BE14" s="14"/>
      <c r="BF14" s="14"/>
      <c r="BG14" s="14" t="s">
        <v>328</v>
      </c>
      <c r="BH14" s="14"/>
      <c r="BI14" s="14"/>
      <c r="BJ14" s="14"/>
      <c r="BK14" s="14"/>
      <c r="BL14" s="14"/>
      <c r="BM14" s="14"/>
      <c r="BN14" s="14" t="s">
        <v>328</v>
      </c>
      <c r="BO14" s="14"/>
      <c r="BP14" s="14" t="s">
        <v>328</v>
      </c>
      <c r="BQ14" s="14"/>
      <c r="BR14" s="14" t="s">
        <v>328</v>
      </c>
      <c r="BS14" s="14"/>
      <c r="BT14" s="14"/>
      <c r="BU14" s="14"/>
      <c r="BV14" s="14"/>
      <c r="BW14" s="14" t="s">
        <v>328</v>
      </c>
      <c r="BX14" s="14"/>
      <c r="BY14" s="14"/>
      <c r="BZ14" s="14" t="s">
        <v>328</v>
      </c>
      <c r="CA14" s="14"/>
      <c r="CB14" s="14"/>
      <c r="CC14" s="14" t="s">
        <v>328</v>
      </c>
      <c r="CD14" s="14"/>
      <c r="CE14" s="14"/>
      <c r="CF14" s="14"/>
      <c r="CG14" s="14"/>
      <c r="CH14" s="14"/>
      <c r="CI14" s="14" t="s">
        <v>328</v>
      </c>
      <c r="CJ14" s="14"/>
      <c r="CK14" s="14"/>
      <c r="CL14" s="14"/>
      <c r="CM14" s="14"/>
      <c r="CN14" s="14">
        <v>1</v>
      </c>
      <c r="CO14" s="14">
        <v>4</v>
      </c>
      <c r="CP14" s="14">
        <v>2</v>
      </c>
      <c r="CQ14" s="14">
        <v>3</v>
      </c>
      <c r="CR14" s="14">
        <v>5</v>
      </c>
      <c r="CS14" s="14">
        <v>6</v>
      </c>
      <c r="CT14" s="14"/>
      <c r="CU14" s="14"/>
      <c r="CV14" s="14"/>
      <c r="CW14" s="14"/>
      <c r="CX14" s="14"/>
      <c r="CY14" s="14"/>
      <c r="CZ14" s="14" t="s">
        <v>332</v>
      </c>
      <c r="DA14" s="14"/>
      <c r="DB14" s="14"/>
      <c r="DC14" s="14">
        <v>1</v>
      </c>
      <c r="DD14" s="14">
        <v>6</v>
      </c>
      <c r="DE14" s="14">
        <v>4</v>
      </c>
      <c r="DF14" s="14">
        <v>5</v>
      </c>
      <c r="DG14" s="14">
        <v>2</v>
      </c>
      <c r="DH14" s="14">
        <v>3</v>
      </c>
      <c r="DI14" s="14"/>
      <c r="DJ14" s="14" t="s">
        <v>328</v>
      </c>
      <c r="DK14" s="14"/>
      <c r="DL14" s="14"/>
      <c r="DM14" s="14"/>
      <c r="DN14" s="14"/>
      <c r="DO14" s="14"/>
      <c r="DP14" s="14" t="s">
        <v>333</v>
      </c>
      <c r="DQ14" s="14"/>
      <c r="DR14" s="14" t="s">
        <v>328</v>
      </c>
      <c r="DS14" s="14" t="s">
        <v>328</v>
      </c>
      <c r="DT14" s="14" t="s">
        <v>354</v>
      </c>
      <c r="DU14" s="14"/>
      <c r="DV14" s="14"/>
      <c r="DW14" s="14" t="s">
        <v>335</v>
      </c>
      <c r="DX14" s="14" t="s">
        <v>336</v>
      </c>
      <c r="DY14" s="14" t="s">
        <v>328</v>
      </c>
      <c r="DZ14" s="14"/>
      <c r="EA14" s="14"/>
      <c r="EB14" s="14"/>
      <c r="EC14" s="14"/>
      <c r="ED14" s="14"/>
      <c r="EE14" s="101" t="s">
        <v>333</v>
      </c>
      <c r="EF14" s="48"/>
      <c r="EG14" s="17">
        <f t="shared" si="0"/>
        <v>0</v>
      </c>
    </row>
    <row r="15" spans="1:137" x14ac:dyDescent="0.25">
      <c r="A15" s="50" t="s">
        <v>1854</v>
      </c>
      <c r="B15" s="208">
        <v>41513</v>
      </c>
      <c r="C15" s="209" t="s">
        <v>2742</v>
      </c>
      <c r="D15" s="61" t="s">
        <v>316</v>
      </c>
      <c r="E15" s="14" t="s">
        <v>328</v>
      </c>
      <c r="F15" s="14"/>
      <c r="G15" s="14">
        <v>34</v>
      </c>
      <c r="H15" s="14" t="s">
        <v>329</v>
      </c>
      <c r="I15" s="14" t="s">
        <v>330</v>
      </c>
      <c r="J15" s="14" t="s">
        <v>345</v>
      </c>
      <c r="K15" s="14" t="s">
        <v>1182</v>
      </c>
      <c r="L15" s="14" t="s">
        <v>1182</v>
      </c>
      <c r="M15" s="14">
        <v>15</v>
      </c>
      <c r="N15" s="14">
        <v>2</v>
      </c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>
        <v>2</v>
      </c>
      <c r="AA15" s="14"/>
      <c r="AB15" s="14" t="s">
        <v>328</v>
      </c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 t="s">
        <v>328</v>
      </c>
      <c r="AN15" s="14" t="s">
        <v>328</v>
      </c>
      <c r="AO15" s="14"/>
      <c r="AP15" s="14"/>
      <c r="AQ15" s="14"/>
      <c r="AR15" s="14">
        <v>10</v>
      </c>
      <c r="AS15" s="14">
        <v>1</v>
      </c>
      <c r="AT15" s="14"/>
      <c r="AU15" s="14" t="s">
        <v>328</v>
      </c>
      <c r="AV15" s="14"/>
      <c r="AW15" s="14"/>
      <c r="AX15" s="14">
        <v>2</v>
      </c>
      <c r="AY15" s="14">
        <v>3</v>
      </c>
      <c r="AZ15" s="14">
        <v>1</v>
      </c>
      <c r="BA15" s="14"/>
      <c r="BB15" s="14"/>
      <c r="BC15" s="14" t="s">
        <v>328</v>
      </c>
      <c r="BD15" s="14"/>
      <c r="BE15" s="14"/>
      <c r="BF15" s="14" t="s">
        <v>328</v>
      </c>
      <c r="BG15" s="14"/>
      <c r="BH15" s="14"/>
      <c r="BI15" s="14"/>
      <c r="BJ15" s="14"/>
      <c r="BK15" s="14"/>
      <c r="BL15" s="14"/>
      <c r="BM15" s="14"/>
      <c r="BN15" s="14" t="s">
        <v>328</v>
      </c>
      <c r="BO15" s="14"/>
      <c r="BP15" s="14" t="s">
        <v>328</v>
      </c>
      <c r="BQ15" s="14"/>
      <c r="BR15" s="14" t="s">
        <v>328</v>
      </c>
      <c r="BS15" s="14"/>
      <c r="BT15" s="14"/>
      <c r="BU15" s="14"/>
      <c r="BV15" s="14"/>
      <c r="BW15" s="14"/>
      <c r="BX15" s="14"/>
      <c r="BY15" s="14" t="s">
        <v>328</v>
      </c>
      <c r="BZ15" s="14"/>
      <c r="CA15" s="14"/>
      <c r="CB15" s="14"/>
      <c r="CC15" s="14" t="s">
        <v>328</v>
      </c>
      <c r="CD15" s="14"/>
      <c r="CE15" s="14"/>
      <c r="CF15" s="14"/>
      <c r="CG15" s="14"/>
      <c r="CH15" s="14"/>
      <c r="CI15" s="14" t="s">
        <v>328</v>
      </c>
      <c r="CJ15" s="14"/>
      <c r="CK15" s="14"/>
      <c r="CL15" s="14"/>
      <c r="CM15" s="14"/>
      <c r="CN15" s="14">
        <v>3</v>
      </c>
      <c r="CO15" s="14">
        <v>1</v>
      </c>
      <c r="CP15" s="14">
        <v>4</v>
      </c>
      <c r="CQ15" s="14">
        <v>6</v>
      </c>
      <c r="CR15" s="14">
        <v>5</v>
      </c>
      <c r="CS15" s="14">
        <v>2</v>
      </c>
      <c r="CT15" s="14"/>
      <c r="CU15" s="14" t="s">
        <v>328</v>
      </c>
      <c r="CV15" s="14"/>
      <c r="CW15" s="14"/>
      <c r="CX15" s="14" t="s">
        <v>328</v>
      </c>
      <c r="CY15" s="14"/>
      <c r="CZ15" s="14"/>
      <c r="DA15" s="14"/>
      <c r="DB15" s="14"/>
      <c r="DC15" s="14">
        <v>1</v>
      </c>
      <c r="DD15" s="14">
        <v>3</v>
      </c>
      <c r="DE15" s="14">
        <v>5</v>
      </c>
      <c r="DF15" s="14">
        <v>4</v>
      </c>
      <c r="DG15" s="14">
        <v>2</v>
      </c>
      <c r="DH15" s="14">
        <v>6</v>
      </c>
      <c r="DI15" s="14"/>
      <c r="DJ15" s="14" t="s">
        <v>328</v>
      </c>
      <c r="DK15" s="14"/>
      <c r="DL15" s="14"/>
      <c r="DM15" s="14"/>
      <c r="DN15" s="14"/>
      <c r="DO15" s="14"/>
      <c r="DP15" s="14" t="s">
        <v>333</v>
      </c>
      <c r="DQ15" s="14"/>
      <c r="DR15" s="14" t="s">
        <v>328</v>
      </c>
      <c r="DS15" s="14" t="s">
        <v>328</v>
      </c>
      <c r="DT15" s="14" t="s">
        <v>354</v>
      </c>
      <c r="DU15" s="14"/>
      <c r="DV15" s="14"/>
      <c r="DW15" s="14" t="s">
        <v>335</v>
      </c>
      <c r="DX15" s="14" t="s">
        <v>336</v>
      </c>
      <c r="DY15" s="14" t="s">
        <v>328</v>
      </c>
      <c r="DZ15" s="14"/>
      <c r="EA15" s="14"/>
      <c r="EB15" s="14"/>
      <c r="EC15" s="14"/>
      <c r="ED15" s="14"/>
      <c r="EE15" s="101" t="s">
        <v>333</v>
      </c>
      <c r="EF15" s="48" t="s">
        <v>368</v>
      </c>
      <c r="EG15" s="17">
        <f t="shared" si="0"/>
        <v>0</v>
      </c>
    </row>
    <row r="16" spans="1:137" x14ac:dyDescent="0.25">
      <c r="A16" s="50" t="s">
        <v>1854</v>
      </c>
      <c r="B16" s="208">
        <v>41513</v>
      </c>
      <c r="C16" s="209" t="s">
        <v>2742</v>
      </c>
      <c r="D16" s="61" t="s">
        <v>317</v>
      </c>
      <c r="E16" s="14" t="s">
        <v>328</v>
      </c>
      <c r="F16" s="14"/>
      <c r="G16" s="14">
        <v>65</v>
      </c>
      <c r="H16" s="14" t="s">
        <v>329</v>
      </c>
      <c r="I16" s="14" t="s">
        <v>353</v>
      </c>
      <c r="J16" s="14" t="s">
        <v>369</v>
      </c>
      <c r="K16" s="14" t="s">
        <v>1185</v>
      </c>
      <c r="L16" s="14" t="s">
        <v>1182</v>
      </c>
      <c r="M16" s="14">
        <v>45</v>
      </c>
      <c r="N16" s="14">
        <v>5</v>
      </c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>
        <v>5</v>
      </c>
      <c r="AA16" s="14"/>
      <c r="AB16" s="14"/>
      <c r="AC16" s="14"/>
      <c r="AD16" s="14"/>
      <c r="AE16" s="14" t="s">
        <v>328</v>
      </c>
      <c r="AF16" s="14"/>
      <c r="AG16" s="14"/>
      <c r="AH16" s="14"/>
      <c r="AI16" s="14"/>
      <c r="AJ16" s="14"/>
      <c r="AK16" s="14"/>
      <c r="AL16" s="14"/>
      <c r="AM16" s="14" t="s">
        <v>328</v>
      </c>
      <c r="AN16" s="14"/>
      <c r="AO16" s="14"/>
      <c r="AP16" s="14"/>
      <c r="AQ16" s="14" t="s">
        <v>328</v>
      </c>
      <c r="AR16" s="14">
        <v>5</v>
      </c>
      <c r="AS16" s="14">
        <v>1</v>
      </c>
      <c r="AT16" s="14"/>
      <c r="AU16" s="14"/>
      <c r="AV16" s="14" t="s">
        <v>328</v>
      </c>
      <c r="AW16" s="14" t="s">
        <v>328</v>
      </c>
      <c r="AX16" s="14">
        <v>1</v>
      </c>
      <c r="AY16" s="14">
        <v>2</v>
      </c>
      <c r="AZ16" s="14">
        <v>3</v>
      </c>
      <c r="BA16" s="14"/>
      <c r="BB16" s="14"/>
      <c r="BC16" s="14" t="s">
        <v>328</v>
      </c>
      <c r="BD16" s="14" t="s">
        <v>328</v>
      </c>
      <c r="BE16" s="14"/>
      <c r="BF16" s="14" t="s">
        <v>328</v>
      </c>
      <c r="BG16" s="14"/>
      <c r="BH16" s="14" t="s">
        <v>328</v>
      </c>
      <c r="BI16" s="14"/>
      <c r="BJ16" s="14"/>
      <c r="BK16" s="14"/>
      <c r="BL16" s="14"/>
      <c r="BM16" s="14"/>
      <c r="BN16" s="14"/>
      <c r="BO16" s="14" t="s">
        <v>328</v>
      </c>
      <c r="BP16" s="14" t="s">
        <v>328</v>
      </c>
      <c r="BQ16" s="14"/>
      <c r="BR16" s="14" t="s">
        <v>328</v>
      </c>
      <c r="BS16" s="14"/>
      <c r="BT16" s="14"/>
      <c r="BU16" s="14"/>
      <c r="BV16" s="14"/>
      <c r="BW16" s="14" t="s">
        <v>328</v>
      </c>
      <c r="BX16" s="14"/>
      <c r="BY16" s="14"/>
      <c r="BZ16" s="14"/>
      <c r="CA16" s="14" t="s">
        <v>328</v>
      </c>
      <c r="CB16" s="14" t="s">
        <v>328</v>
      </c>
      <c r="CC16" s="14" t="s">
        <v>328</v>
      </c>
      <c r="CD16" s="14"/>
      <c r="CE16" s="14"/>
      <c r="CF16" s="14"/>
      <c r="CG16" s="14"/>
      <c r="CH16" s="14"/>
      <c r="CI16" s="14"/>
      <c r="CJ16" s="14" t="s">
        <v>328</v>
      </c>
      <c r="CK16" s="14"/>
      <c r="CL16" s="14"/>
      <c r="CM16" s="14"/>
      <c r="CN16" s="14">
        <v>2</v>
      </c>
      <c r="CO16" s="14">
        <v>3</v>
      </c>
      <c r="CP16" s="14">
        <v>1</v>
      </c>
      <c r="CQ16" s="14">
        <v>6</v>
      </c>
      <c r="CR16" s="14">
        <v>5</v>
      </c>
      <c r="CS16" s="14">
        <v>4</v>
      </c>
      <c r="CT16" s="14"/>
      <c r="CU16" s="14"/>
      <c r="CV16" s="14"/>
      <c r="CW16" s="14"/>
      <c r="CX16" s="14"/>
      <c r="CY16" s="14"/>
      <c r="CZ16" s="14" t="s">
        <v>332</v>
      </c>
      <c r="DA16" s="14"/>
      <c r="DB16" s="14"/>
      <c r="DC16" s="14">
        <v>2</v>
      </c>
      <c r="DD16" s="14">
        <v>4</v>
      </c>
      <c r="DE16" s="14">
        <v>5</v>
      </c>
      <c r="DF16" s="14">
        <v>3</v>
      </c>
      <c r="DG16" s="14">
        <v>1</v>
      </c>
      <c r="DH16" s="14">
        <v>6</v>
      </c>
      <c r="DI16" s="14"/>
      <c r="DJ16" s="14" t="s">
        <v>328</v>
      </c>
      <c r="DK16" s="14"/>
      <c r="DL16" s="14"/>
      <c r="DM16" s="14"/>
      <c r="DN16" s="14"/>
      <c r="DO16" s="14"/>
      <c r="DP16" s="14" t="s">
        <v>333</v>
      </c>
      <c r="DQ16" s="14"/>
      <c r="DR16" s="14" t="s">
        <v>328</v>
      </c>
      <c r="DS16" s="14" t="s">
        <v>328</v>
      </c>
      <c r="DT16" s="14" t="s">
        <v>354</v>
      </c>
      <c r="DU16" s="14"/>
      <c r="DV16" s="14"/>
      <c r="DW16" s="14"/>
      <c r="DX16" s="14" t="s">
        <v>336</v>
      </c>
      <c r="DY16" s="14" t="s">
        <v>328</v>
      </c>
      <c r="DZ16" s="14"/>
      <c r="EA16" s="14"/>
      <c r="EB16" s="14"/>
      <c r="EC16" s="14"/>
      <c r="ED16" s="14"/>
      <c r="EE16" s="101" t="s">
        <v>333</v>
      </c>
      <c r="EF16" s="48"/>
      <c r="EG16" s="17">
        <f t="shared" si="0"/>
        <v>0</v>
      </c>
    </row>
    <row r="17" spans="1:137" x14ac:dyDescent="0.25">
      <c r="A17" s="50" t="s">
        <v>1854</v>
      </c>
      <c r="B17" s="208">
        <v>41513</v>
      </c>
      <c r="C17" s="209" t="s">
        <v>2742</v>
      </c>
      <c r="D17" s="61" t="s">
        <v>318</v>
      </c>
      <c r="E17" s="14" t="s">
        <v>328</v>
      </c>
      <c r="F17" s="14"/>
      <c r="G17" s="14">
        <v>41</v>
      </c>
      <c r="H17" s="14" t="s">
        <v>329</v>
      </c>
      <c r="I17" s="14" t="s">
        <v>330</v>
      </c>
      <c r="J17" s="14" t="s">
        <v>369</v>
      </c>
      <c r="K17" s="14" t="s">
        <v>1185</v>
      </c>
      <c r="L17" s="14" t="s">
        <v>1182</v>
      </c>
      <c r="M17" s="14">
        <v>41</v>
      </c>
      <c r="N17" s="14">
        <v>1</v>
      </c>
      <c r="O17" s="14">
        <v>1</v>
      </c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 t="s">
        <v>328</v>
      </c>
      <c r="AF17" s="14"/>
      <c r="AG17" s="14"/>
      <c r="AH17" s="14"/>
      <c r="AI17" s="14"/>
      <c r="AJ17" s="14"/>
      <c r="AK17" s="14"/>
      <c r="AL17" s="14"/>
      <c r="AM17" s="14" t="s">
        <v>328</v>
      </c>
      <c r="AN17" s="14"/>
      <c r="AO17" s="14"/>
      <c r="AP17" s="14"/>
      <c r="AQ17" s="14" t="s">
        <v>328</v>
      </c>
      <c r="AR17" s="14">
        <v>8</v>
      </c>
      <c r="AS17" s="14">
        <v>1</v>
      </c>
      <c r="AT17" s="14"/>
      <c r="AU17" s="14"/>
      <c r="AV17" s="14"/>
      <c r="AW17" s="14" t="s">
        <v>328</v>
      </c>
      <c r="AX17" s="14">
        <v>2</v>
      </c>
      <c r="AY17" s="14">
        <v>3</v>
      </c>
      <c r="AZ17" s="14">
        <v>1</v>
      </c>
      <c r="BA17" s="14"/>
      <c r="BB17" s="14"/>
      <c r="BC17" s="14" t="s">
        <v>328</v>
      </c>
      <c r="BD17" s="14"/>
      <c r="BE17" s="14"/>
      <c r="BF17" s="14"/>
      <c r="BG17" s="14"/>
      <c r="BH17" s="14"/>
      <c r="BI17" s="14"/>
      <c r="BJ17" s="14"/>
      <c r="BK17" s="14" t="s">
        <v>328</v>
      </c>
      <c r="BL17" s="14"/>
      <c r="BM17" s="14"/>
      <c r="BN17" s="14" t="s">
        <v>328</v>
      </c>
      <c r="BO17" s="14"/>
      <c r="BP17" s="14" t="s">
        <v>328</v>
      </c>
      <c r="BQ17" s="14"/>
      <c r="BR17" s="14"/>
      <c r="BS17" s="14"/>
      <c r="BT17" s="14"/>
      <c r="BU17" s="14"/>
      <c r="BV17" s="14"/>
      <c r="BW17" s="14" t="s">
        <v>328</v>
      </c>
      <c r="BX17" s="14"/>
      <c r="BY17" s="14"/>
      <c r="BZ17" s="14"/>
      <c r="CA17" s="14"/>
      <c r="CB17" s="14"/>
      <c r="CC17" s="14" t="s">
        <v>328</v>
      </c>
      <c r="CD17" s="14"/>
      <c r="CE17" s="14"/>
      <c r="CF17" s="14"/>
      <c r="CG17" s="14" t="s">
        <v>328</v>
      </c>
      <c r="CH17" s="14"/>
      <c r="CI17" s="14"/>
      <c r="CJ17" s="14" t="s">
        <v>328</v>
      </c>
      <c r="CK17" s="14" t="s">
        <v>328</v>
      </c>
      <c r="CL17" s="14"/>
      <c r="CM17" s="14"/>
      <c r="CN17" s="14">
        <v>4</v>
      </c>
      <c r="CO17" s="14">
        <v>2</v>
      </c>
      <c r="CP17" s="14">
        <v>1</v>
      </c>
      <c r="CQ17" s="14">
        <v>5</v>
      </c>
      <c r="CR17" s="14">
        <v>6</v>
      </c>
      <c r="CS17" s="14">
        <v>3</v>
      </c>
      <c r="CT17" s="14"/>
      <c r="CU17" s="14"/>
      <c r="CV17" s="14"/>
      <c r="CW17" s="14"/>
      <c r="CX17" s="14"/>
      <c r="CY17" s="14"/>
      <c r="CZ17" s="14" t="s">
        <v>332</v>
      </c>
      <c r="DA17" s="14"/>
      <c r="DB17" s="14"/>
      <c r="DC17" s="14">
        <v>2</v>
      </c>
      <c r="DD17" s="14">
        <v>5</v>
      </c>
      <c r="DE17" s="14">
        <v>4</v>
      </c>
      <c r="DF17" s="14">
        <v>6</v>
      </c>
      <c r="DG17" s="14">
        <v>1</v>
      </c>
      <c r="DH17" s="14">
        <v>3</v>
      </c>
      <c r="DI17" s="14"/>
      <c r="DJ17" s="14" t="s">
        <v>328</v>
      </c>
      <c r="DK17" s="14"/>
      <c r="DL17" s="14"/>
      <c r="DM17" s="14"/>
      <c r="DN17" s="14"/>
      <c r="DO17" s="14"/>
      <c r="DP17" s="14" t="s">
        <v>333</v>
      </c>
      <c r="DQ17" s="14" t="s">
        <v>328</v>
      </c>
      <c r="DR17" s="14"/>
      <c r="DS17" s="14"/>
      <c r="DT17" s="14"/>
      <c r="DU17" s="14"/>
      <c r="DV17" s="14"/>
      <c r="DW17" s="14"/>
      <c r="DX17" s="14" t="s">
        <v>333</v>
      </c>
      <c r="DY17" s="14" t="s">
        <v>328</v>
      </c>
      <c r="DZ17" s="14"/>
      <c r="EA17" s="14"/>
      <c r="EB17" s="14"/>
      <c r="EC17" s="14"/>
      <c r="ED17" s="14"/>
      <c r="EE17" s="101" t="s">
        <v>333</v>
      </c>
      <c r="EF17" s="48"/>
      <c r="EG17" s="17">
        <f t="shared" si="0"/>
        <v>0</v>
      </c>
    </row>
    <row r="18" spans="1:137" x14ac:dyDescent="0.25">
      <c r="A18" s="50" t="s">
        <v>1854</v>
      </c>
      <c r="B18" s="208">
        <v>41513</v>
      </c>
      <c r="C18" s="209" t="s">
        <v>2742</v>
      </c>
      <c r="D18" s="61" t="s">
        <v>319</v>
      </c>
      <c r="E18" s="14" t="s">
        <v>328</v>
      </c>
      <c r="F18" s="14"/>
      <c r="G18" s="14">
        <v>59</v>
      </c>
      <c r="H18" s="14" t="s">
        <v>329</v>
      </c>
      <c r="I18" s="14" t="s">
        <v>353</v>
      </c>
      <c r="J18" s="14" t="s">
        <v>369</v>
      </c>
      <c r="K18" s="14" t="s">
        <v>1185</v>
      </c>
      <c r="L18" s="14" t="s">
        <v>1182</v>
      </c>
      <c r="M18" s="14">
        <v>25</v>
      </c>
      <c r="N18" s="14">
        <v>3</v>
      </c>
      <c r="O18" s="14">
        <v>3</v>
      </c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 t="s">
        <v>328</v>
      </c>
      <c r="AI18" s="14"/>
      <c r="AJ18" s="14"/>
      <c r="AK18" s="14"/>
      <c r="AL18" s="14"/>
      <c r="AM18" s="14" t="s">
        <v>328</v>
      </c>
      <c r="AN18" s="14"/>
      <c r="AO18" s="14"/>
      <c r="AP18" s="14"/>
      <c r="AQ18" s="14" t="s">
        <v>328</v>
      </c>
      <c r="AR18" s="14">
        <v>9</v>
      </c>
      <c r="AS18" s="14">
        <v>1</v>
      </c>
      <c r="AT18" s="14"/>
      <c r="AU18" s="14"/>
      <c r="AV18" s="14"/>
      <c r="AW18" s="14" t="s">
        <v>328</v>
      </c>
      <c r="AX18" s="14">
        <v>3</v>
      </c>
      <c r="AY18" s="14">
        <v>2</v>
      </c>
      <c r="AZ18" s="14">
        <v>1</v>
      </c>
      <c r="BA18" s="14"/>
      <c r="BB18" s="14" t="s">
        <v>328</v>
      </c>
      <c r="BC18" s="14"/>
      <c r="BD18" s="14" t="s">
        <v>328</v>
      </c>
      <c r="BE18" s="14"/>
      <c r="BF18" s="14" t="s">
        <v>328</v>
      </c>
      <c r="BG18" s="14"/>
      <c r="BH18" s="14"/>
      <c r="BI18" s="14"/>
      <c r="BJ18" s="14"/>
      <c r="BK18" s="14"/>
      <c r="BL18" s="14"/>
      <c r="BM18" s="14"/>
      <c r="BN18" s="14" t="s">
        <v>328</v>
      </c>
      <c r="BO18" s="14"/>
      <c r="BP18" s="14" t="s">
        <v>328</v>
      </c>
      <c r="BQ18" s="14"/>
      <c r="BR18" s="14"/>
      <c r="BS18" s="14"/>
      <c r="BT18" s="14"/>
      <c r="BU18" s="14"/>
      <c r="BV18" s="14"/>
      <c r="BW18" s="14" t="s">
        <v>328</v>
      </c>
      <c r="BX18" s="14"/>
      <c r="BY18" s="14"/>
      <c r="BZ18" s="14"/>
      <c r="CA18" s="14"/>
      <c r="CB18" s="14"/>
      <c r="CC18" s="14" t="s">
        <v>328</v>
      </c>
      <c r="CD18" s="14"/>
      <c r="CE18" s="14"/>
      <c r="CF18" s="14"/>
      <c r="CG18" s="14" t="s">
        <v>328</v>
      </c>
      <c r="CH18" s="14"/>
      <c r="CI18" s="14"/>
      <c r="CJ18" s="14" t="s">
        <v>328</v>
      </c>
      <c r="CK18" s="14"/>
      <c r="CL18" s="14"/>
      <c r="CM18" s="14"/>
      <c r="CN18" s="14">
        <v>1</v>
      </c>
      <c r="CO18" s="14">
        <v>2</v>
      </c>
      <c r="CP18" s="14">
        <v>4</v>
      </c>
      <c r="CQ18" s="14">
        <v>6</v>
      </c>
      <c r="CR18" s="14">
        <v>5</v>
      </c>
      <c r="CS18" s="14">
        <v>3</v>
      </c>
      <c r="CT18" s="14"/>
      <c r="CU18" s="14"/>
      <c r="CV18" s="14"/>
      <c r="CW18" s="14"/>
      <c r="CX18" s="14"/>
      <c r="CY18" s="14"/>
      <c r="CZ18" s="14" t="s">
        <v>332</v>
      </c>
      <c r="DA18" s="14"/>
      <c r="DB18" s="14"/>
      <c r="DC18" s="14">
        <v>6</v>
      </c>
      <c r="DD18" s="14">
        <v>2</v>
      </c>
      <c r="DE18" s="14">
        <v>3</v>
      </c>
      <c r="DF18" s="14">
        <v>4</v>
      </c>
      <c r="DG18" s="14">
        <v>5</v>
      </c>
      <c r="DH18" s="14">
        <v>1</v>
      </c>
      <c r="DI18" s="14"/>
      <c r="DJ18" s="14" t="s">
        <v>328</v>
      </c>
      <c r="DK18" s="14"/>
      <c r="DL18" s="14"/>
      <c r="DM18" s="14"/>
      <c r="DN18" s="14"/>
      <c r="DO18" s="14"/>
      <c r="DP18" s="14" t="s">
        <v>333</v>
      </c>
      <c r="DQ18" s="14" t="s">
        <v>328</v>
      </c>
      <c r="DR18" s="14"/>
      <c r="DS18" s="14"/>
      <c r="DT18" s="14"/>
      <c r="DU18" s="14"/>
      <c r="DV18" s="14"/>
      <c r="DW18" s="14"/>
      <c r="DX18" s="14" t="s">
        <v>333</v>
      </c>
      <c r="DY18" s="14" t="s">
        <v>328</v>
      </c>
      <c r="DZ18" s="14"/>
      <c r="EA18" s="14"/>
      <c r="EB18" s="14"/>
      <c r="EC18" s="14"/>
      <c r="ED18" s="14"/>
      <c r="EE18" s="101" t="s">
        <v>333</v>
      </c>
      <c r="EF18" s="48"/>
      <c r="EG18" s="17">
        <f t="shared" si="0"/>
        <v>0</v>
      </c>
    </row>
    <row r="19" spans="1:137" x14ac:dyDescent="0.25">
      <c r="A19" s="50" t="s">
        <v>1854</v>
      </c>
      <c r="B19" s="208">
        <v>41513</v>
      </c>
      <c r="C19" s="209" t="s">
        <v>2742</v>
      </c>
      <c r="D19" s="61" t="s">
        <v>320</v>
      </c>
      <c r="E19" s="14" t="s">
        <v>328</v>
      </c>
      <c r="F19" s="14"/>
      <c r="G19" s="14">
        <v>54</v>
      </c>
      <c r="H19" s="14" t="s">
        <v>329</v>
      </c>
      <c r="I19" s="14" t="s">
        <v>357</v>
      </c>
      <c r="J19" s="14" t="s">
        <v>372</v>
      </c>
      <c r="K19" s="8" t="s">
        <v>1186</v>
      </c>
      <c r="L19" s="14" t="s">
        <v>1182</v>
      </c>
      <c r="M19" s="14">
        <v>20</v>
      </c>
      <c r="N19" s="14">
        <v>3</v>
      </c>
      <c r="O19" s="14">
        <v>2</v>
      </c>
      <c r="P19" s="14"/>
      <c r="Q19" s="14"/>
      <c r="R19" s="14"/>
      <c r="S19" s="14"/>
      <c r="T19" s="14"/>
      <c r="U19" s="14"/>
      <c r="V19" s="14">
        <v>1</v>
      </c>
      <c r="W19" s="14"/>
      <c r="X19" s="14"/>
      <c r="Y19" s="14"/>
      <c r="Z19" s="14"/>
      <c r="AA19" s="14"/>
      <c r="AB19" s="14"/>
      <c r="AC19" s="14"/>
      <c r="AD19" s="14"/>
      <c r="AE19" s="14" t="s">
        <v>328</v>
      </c>
      <c r="AF19" s="14" t="s">
        <v>328</v>
      </c>
      <c r="AG19" s="14"/>
      <c r="AH19" s="14" t="s">
        <v>328</v>
      </c>
      <c r="AI19" s="14"/>
      <c r="AJ19" s="14"/>
      <c r="AK19" s="14"/>
      <c r="AL19" s="14"/>
      <c r="AM19" s="14" t="s">
        <v>328</v>
      </c>
      <c r="AN19" s="14"/>
      <c r="AO19" s="14"/>
      <c r="AP19" s="14"/>
      <c r="AQ19" s="14" t="s">
        <v>328</v>
      </c>
      <c r="AR19" s="14">
        <v>9</v>
      </c>
      <c r="AS19" s="14">
        <v>2</v>
      </c>
      <c r="AT19" s="14"/>
      <c r="AU19" s="14"/>
      <c r="AV19" s="14"/>
      <c r="AW19" s="14" t="s">
        <v>328</v>
      </c>
      <c r="AX19" s="14">
        <v>1</v>
      </c>
      <c r="AY19" s="14">
        <v>3</v>
      </c>
      <c r="AZ19" s="14">
        <v>2</v>
      </c>
      <c r="BA19" s="14"/>
      <c r="BB19" s="14" t="s">
        <v>328</v>
      </c>
      <c r="BC19" s="14"/>
      <c r="BD19" s="14" t="s">
        <v>328</v>
      </c>
      <c r="BE19" s="14"/>
      <c r="BF19" s="14"/>
      <c r="BG19" s="14"/>
      <c r="BH19" s="14"/>
      <c r="BI19" s="14"/>
      <c r="BJ19" s="14"/>
      <c r="BK19" s="14" t="s">
        <v>328</v>
      </c>
      <c r="BL19" s="14"/>
      <c r="BM19" s="14"/>
      <c r="BN19" s="14" t="s">
        <v>328</v>
      </c>
      <c r="BO19" s="14"/>
      <c r="BP19" s="14" t="s">
        <v>328</v>
      </c>
      <c r="BQ19" s="14"/>
      <c r="BR19" s="14" t="s">
        <v>328</v>
      </c>
      <c r="BS19" s="14"/>
      <c r="BT19" s="14"/>
      <c r="BU19" s="14"/>
      <c r="BV19" s="14"/>
      <c r="BW19" s="14"/>
      <c r="BX19" s="14"/>
      <c r="BY19" s="14"/>
      <c r="BZ19" s="14"/>
      <c r="CA19" s="14" t="s">
        <v>328</v>
      </c>
      <c r="CB19" s="14"/>
      <c r="CC19" s="14" t="s">
        <v>328</v>
      </c>
      <c r="CD19" s="14"/>
      <c r="CE19" s="14"/>
      <c r="CF19" s="14"/>
      <c r="CG19" s="14"/>
      <c r="CH19" s="14" t="s">
        <v>1837</v>
      </c>
      <c r="CI19" s="14" t="s">
        <v>328</v>
      </c>
      <c r="CJ19" s="14"/>
      <c r="CK19" s="14"/>
      <c r="CL19" s="14"/>
      <c r="CM19" s="14"/>
      <c r="CN19" s="14">
        <v>3</v>
      </c>
      <c r="CO19" s="14">
        <v>4</v>
      </c>
      <c r="CP19" s="14">
        <v>5</v>
      </c>
      <c r="CQ19" s="14">
        <v>6</v>
      </c>
      <c r="CR19" s="14">
        <v>1</v>
      </c>
      <c r="CS19" s="14">
        <v>2</v>
      </c>
      <c r="CT19" s="14"/>
      <c r="CU19" s="14"/>
      <c r="CV19" s="14"/>
      <c r="CW19" s="14"/>
      <c r="CX19" s="14"/>
      <c r="CY19" s="14"/>
      <c r="CZ19" s="14" t="s">
        <v>332</v>
      </c>
      <c r="DA19" s="14"/>
      <c r="DB19" s="14"/>
      <c r="DC19" s="14">
        <v>6</v>
      </c>
      <c r="DD19" s="14">
        <v>1</v>
      </c>
      <c r="DE19" s="14">
        <v>4</v>
      </c>
      <c r="DF19" s="14">
        <v>2</v>
      </c>
      <c r="DG19" s="14">
        <v>5</v>
      </c>
      <c r="DH19" s="14">
        <v>3</v>
      </c>
      <c r="DI19" s="14"/>
      <c r="DJ19" s="14" t="s">
        <v>328</v>
      </c>
      <c r="DK19" s="14"/>
      <c r="DL19" s="14"/>
      <c r="DM19" s="14"/>
      <c r="DN19" s="14"/>
      <c r="DO19" s="14"/>
      <c r="DP19" s="14" t="s">
        <v>333</v>
      </c>
      <c r="DQ19" s="14"/>
      <c r="DR19" s="14" t="s">
        <v>328</v>
      </c>
      <c r="DS19" s="14" t="s">
        <v>328</v>
      </c>
      <c r="DT19" s="14" t="s">
        <v>354</v>
      </c>
      <c r="DU19" s="14"/>
      <c r="DV19" s="14"/>
      <c r="DW19" s="14" t="s">
        <v>373</v>
      </c>
      <c r="DX19" s="14" t="s">
        <v>336</v>
      </c>
      <c r="DY19" s="14" t="s">
        <v>328</v>
      </c>
      <c r="DZ19" s="14"/>
      <c r="EA19" s="14"/>
      <c r="EB19" s="14"/>
      <c r="EC19" s="14"/>
      <c r="ED19" s="14"/>
      <c r="EE19" s="101" t="s">
        <v>333</v>
      </c>
      <c r="EF19" s="48" t="s">
        <v>375</v>
      </c>
      <c r="EG19" s="17">
        <f t="shared" si="0"/>
        <v>0</v>
      </c>
    </row>
    <row r="20" spans="1:137" x14ac:dyDescent="0.25">
      <c r="A20" s="50" t="s">
        <v>1854</v>
      </c>
      <c r="B20" s="208">
        <v>41513</v>
      </c>
      <c r="C20" s="209" t="s">
        <v>2742</v>
      </c>
      <c r="D20" s="61" t="s">
        <v>321</v>
      </c>
      <c r="E20" s="14" t="s">
        <v>328</v>
      </c>
      <c r="F20" s="14"/>
      <c r="G20" s="14">
        <v>52</v>
      </c>
      <c r="H20" s="14" t="s">
        <v>376</v>
      </c>
      <c r="I20" s="14" t="s">
        <v>353</v>
      </c>
      <c r="J20" s="14" t="s">
        <v>358</v>
      </c>
      <c r="K20" s="14" t="s">
        <v>1184</v>
      </c>
      <c r="L20" s="14" t="s">
        <v>1188</v>
      </c>
      <c r="M20" s="14">
        <v>15</v>
      </c>
      <c r="N20" s="14">
        <v>2</v>
      </c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>
        <v>2</v>
      </c>
      <c r="AA20" s="14"/>
      <c r="AB20" s="14"/>
      <c r="AC20" s="14"/>
      <c r="AD20" s="14"/>
      <c r="AE20" s="14" t="s">
        <v>328</v>
      </c>
      <c r="AF20" s="14" t="s">
        <v>328</v>
      </c>
      <c r="AG20" s="14"/>
      <c r="AH20" s="14"/>
      <c r="AI20" s="14"/>
      <c r="AJ20" s="14"/>
      <c r="AK20" s="14"/>
      <c r="AL20" s="14"/>
      <c r="AM20" s="14" t="s">
        <v>328</v>
      </c>
      <c r="AN20" s="14"/>
      <c r="AO20" s="14"/>
      <c r="AP20" s="14"/>
      <c r="AQ20" s="14" t="s">
        <v>328</v>
      </c>
      <c r="AR20" s="14">
        <v>10</v>
      </c>
      <c r="AS20" s="14">
        <v>6</v>
      </c>
      <c r="AT20" s="14"/>
      <c r="AU20" s="14" t="s">
        <v>328</v>
      </c>
      <c r="AV20" s="14"/>
      <c r="AW20" s="14"/>
      <c r="AX20" s="14">
        <v>2</v>
      </c>
      <c r="AY20" s="14">
        <v>4</v>
      </c>
      <c r="AZ20" s="14">
        <v>3</v>
      </c>
      <c r="BA20" s="14" t="s">
        <v>346</v>
      </c>
      <c r="BB20" s="14" t="s">
        <v>328</v>
      </c>
      <c r="BC20" s="14"/>
      <c r="BD20" s="14" t="s">
        <v>328</v>
      </c>
      <c r="BE20" s="14"/>
      <c r="BF20" s="14"/>
      <c r="BG20" s="14" t="s">
        <v>328</v>
      </c>
      <c r="BH20" s="14"/>
      <c r="BI20" s="14"/>
      <c r="BJ20" s="14"/>
      <c r="BK20" s="14"/>
      <c r="BL20" s="14"/>
      <c r="BM20" s="14"/>
      <c r="BN20" s="14" t="s">
        <v>328</v>
      </c>
      <c r="BO20" s="14"/>
      <c r="BP20" s="14" t="s">
        <v>328</v>
      </c>
      <c r="BQ20" s="14"/>
      <c r="BR20" s="14" t="s">
        <v>328</v>
      </c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 t="s">
        <v>328</v>
      </c>
      <c r="CD20" s="14"/>
      <c r="CE20" s="14"/>
      <c r="CF20" s="14"/>
      <c r="CG20" s="14"/>
      <c r="CH20" s="14"/>
      <c r="CI20" s="14"/>
      <c r="CJ20" s="14" t="s">
        <v>328</v>
      </c>
      <c r="CK20" s="14"/>
      <c r="CL20" s="14"/>
      <c r="CM20" s="14"/>
      <c r="CN20" s="14">
        <v>2</v>
      </c>
      <c r="CO20" s="14">
        <v>3</v>
      </c>
      <c r="CP20" s="14">
        <v>4</v>
      </c>
      <c r="CQ20" s="14">
        <v>6</v>
      </c>
      <c r="CR20" s="14">
        <v>5</v>
      </c>
      <c r="CS20" s="14">
        <v>1</v>
      </c>
      <c r="CT20" s="14"/>
      <c r="CU20" s="14"/>
      <c r="CV20" s="14"/>
      <c r="CW20" s="14"/>
      <c r="CX20" s="14"/>
      <c r="CY20" s="14"/>
      <c r="CZ20" s="14" t="s">
        <v>332</v>
      </c>
      <c r="DA20" s="14"/>
      <c r="DB20" s="14"/>
      <c r="DC20" s="14">
        <v>2</v>
      </c>
      <c r="DD20" s="14">
        <v>3</v>
      </c>
      <c r="DE20" s="14">
        <v>5</v>
      </c>
      <c r="DF20" s="14">
        <v>6</v>
      </c>
      <c r="DG20" s="14">
        <v>1</v>
      </c>
      <c r="DH20" s="14">
        <v>4</v>
      </c>
      <c r="DI20" s="14"/>
      <c r="DJ20" s="14" t="s">
        <v>328</v>
      </c>
      <c r="DK20" s="14"/>
      <c r="DL20" s="14"/>
      <c r="DM20" s="14"/>
      <c r="DN20" s="14"/>
      <c r="DO20" s="14"/>
      <c r="DP20" s="14" t="s">
        <v>333</v>
      </c>
      <c r="DQ20" s="14" t="s">
        <v>328</v>
      </c>
      <c r="DR20" s="14"/>
      <c r="DS20" s="14"/>
      <c r="DT20" s="14"/>
      <c r="DU20" s="14"/>
      <c r="DV20" s="14"/>
      <c r="DW20" s="14"/>
      <c r="DX20" s="14" t="s">
        <v>333</v>
      </c>
      <c r="DY20" s="14" t="s">
        <v>328</v>
      </c>
      <c r="DZ20" s="14"/>
      <c r="EA20" s="14"/>
      <c r="EB20" s="14"/>
      <c r="EC20" s="14"/>
      <c r="ED20" s="14"/>
      <c r="EE20" s="101" t="s">
        <v>333</v>
      </c>
      <c r="EF20" s="48" t="s">
        <v>377</v>
      </c>
      <c r="EG20" s="17">
        <f t="shared" si="0"/>
        <v>0</v>
      </c>
    </row>
    <row r="21" spans="1:137" x14ac:dyDescent="0.25">
      <c r="A21" s="50" t="s">
        <v>1854</v>
      </c>
      <c r="B21" s="208">
        <v>41513</v>
      </c>
      <c r="C21" s="209" t="s">
        <v>2742</v>
      </c>
      <c r="D21" s="61" t="s">
        <v>322</v>
      </c>
      <c r="E21" s="14" t="s">
        <v>328</v>
      </c>
      <c r="F21" s="14"/>
      <c r="G21" s="14">
        <v>43</v>
      </c>
      <c r="H21" s="14" t="s">
        <v>329</v>
      </c>
      <c r="I21" s="14" t="s">
        <v>353</v>
      </c>
      <c r="J21" s="14" t="s">
        <v>345</v>
      </c>
      <c r="K21" s="14" t="s">
        <v>1182</v>
      </c>
      <c r="L21" s="14" t="s">
        <v>1182</v>
      </c>
      <c r="M21" s="14">
        <v>24</v>
      </c>
      <c r="N21" s="14">
        <v>2</v>
      </c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>
        <v>2</v>
      </c>
      <c r="AA21" s="14"/>
      <c r="AB21" s="14" t="s">
        <v>328</v>
      </c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 t="s">
        <v>328</v>
      </c>
      <c r="AN21" s="14"/>
      <c r="AO21" s="14"/>
      <c r="AP21" s="14"/>
      <c r="AQ21" s="14" t="s">
        <v>328</v>
      </c>
      <c r="AR21" s="14">
        <v>3</v>
      </c>
      <c r="AS21" s="14">
        <v>3</v>
      </c>
      <c r="AT21" s="14"/>
      <c r="AU21" s="14" t="s">
        <v>328</v>
      </c>
      <c r="AV21" s="14"/>
      <c r="AW21" s="14"/>
      <c r="AX21" s="14">
        <v>3</v>
      </c>
      <c r="AY21" s="14">
        <v>2</v>
      </c>
      <c r="AZ21" s="14">
        <v>4</v>
      </c>
      <c r="BA21" s="14" t="s">
        <v>346</v>
      </c>
      <c r="BB21" s="14" t="s">
        <v>328</v>
      </c>
      <c r="BC21" s="14"/>
      <c r="BD21" s="14" t="s">
        <v>328</v>
      </c>
      <c r="BE21" s="14"/>
      <c r="BF21" s="14"/>
      <c r="BG21" s="14"/>
      <c r="BH21" s="14"/>
      <c r="BI21" s="14"/>
      <c r="BJ21" s="14"/>
      <c r="BK21" s="14" t="s">
        <v>328</v>
      </c>
      <c r="BL21" s="14"/>
      <c r="BM21" s="14"/>
      <c r="BN21" s="14" t="s">
        <v>328</v>
      </c>
      <c r="BO21" s="14"/>
      <c r="BP21" s="14" t="s">
        <v>328</v>
      </c>
      <c r="BQ21" s="14"/>
      <c r="BR21" s="14"/>
      <c r="BS21" s="14"/>
      <c r="BT21" s="14" t="s">
        <v>328</v>
      </c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 t="s">
        <v>332</v>
      </c>
      <c r="CI21" s="14"/>
      <c r="CJ21" s="14"/>
      <c r="CK21" s="14" t="s">
        <v>328</v>
      </c>
      <c r="CL21" s="14"/>
      <c r="CM21" s="14"/>
      <c r="CN21" s="14">
        <v>2</v>
      </c>
      <c r="CO21" s="14">
        <v>4</v>
      </c>
      <c r="CP21" s="14">
        <v>3</v>
      </c>
      <c r="CQ21" s="14">
        <v>1</v>
      </c>
      <c r="CR21" s="14">
        <v>6</v>
      </c>
      <c r="CS21" s="14">
        <v>5</v>
      </c>
      <c r="CT21" s="14"/>
      <c r="CU21" s="14"/>
      <c r="CV21" s="14"/>
      <c r="CW21" s="14"/>
      <c r="CX21" s="14"/>
      <c r="CY21" s="14"/>
      <c r="CZ21" s="14" t="s">
        <v>332</v>
      </c>
      <c r="DA21" s="14"/>
      <c r="DB21" s="14"/>
      <c r="DC21" s="14">
        <v>2</v>
      </c>
      <c r="DD21" s="14">
        <v>4</v>
      </c>
      <c r="DE21" s="14">
        <v>5</v>
      </c>
      <c r="DF21" s="14">
        <v>6</v>
      </c>
      <c r="DG21" s="14">
        <v>1</v>
      </c>
      <c r="DH21" s="14">
        <v>3</v>
      </c>
      <c r="DI21" s="14"/>
      <c r="DJ21" s="14" t="s">
        <v>328</v>
      </c>
      <c r="DK21" s="14"/>
      <c r="DL21" s="14"/>
      <c r="DM21" s="14"/>
      <c r="DN21" s="14"/>
      <c r="DO21" s="14"/>
      <c r="DP21" s="14" t="s">
        <v>333</v>
      </c>
      <c r="DQ21" s="14"/>
      <c r="DR21" s="14" t="s">
        <v>328</v>
      </c>
      <c r="DS21" s="14" t="s">
        <v>328</v>
      </c>
      <c r="DT21" s="14" t="s">
        <v>354</v>
      </c>
      <c r="DU21" s="14"/>
      <c r="DV21" s="14"/>
      <c r="DW21" s="14" t="s">
        <v>379</v>
      </c>
      <c r="DX21" s="14" t="s">
        <v>336</v>
      </c>
      <c r="DY21" s="14" t="s">
        <v>328</v>
      </c>
      <c r="DZ21" s="14"/>
      <c r="EA21" s="14"/>
      <c r="EB21" s="14"/>
      <c r="EC21" s="14"/>
      <c r="ED21" s="14"/>
      <c r="EE21" s="101" t="s">
        <v>333</v>
      </c>
      <c r="EF21" s="48" t="s">
        <v>378</v>
      </c>
      <c r="EG21" s="17">
        <f t="shared" si="0"/>
        <v>0</v>
      </c>
    </row>
    <row r="22" spans="1:137" x14ac:dyDescent="0.25">
      <c r="A22" s="50" t="s">
        <v>1854</v>
      </c>
      <c r="B22" s="208">
        <v>41513</v>
      </c>
      <c r="C22" s="209" t="s">
        <v>2742</v>
      </c>
      <c r="D22" s="61" t="s">
        <v>323</v>
      </c>
      <c r="E22" s="14" t="s">
        <v>328</v>
      </c>
      <c r="F22" s="14"/>
      <c r="G22" s="14">
        <v>30</v>
      </c>
      <c r="H22" s="14" t="s">
        <v>329</v>
      </c>
      <c r="I22" s="14" t="s">
        <v>330</v>
      </c>
      <c r="J22" s="14" t="s">
        <v>803</v>
      </c>
      <c r="K22" s="8" t="s">
        <v>1187</v>
      </c>
      <c r="L22" s="14" t="s">
        <v>1280</v>
      </c>
      <c r="M22" s="14">
        <v>10</v>
      </c>
      <c r="N22" s="14">
        <v>1</v>
      </c>
      <c r="O22" s="14">
        <v>1</v>
      </c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 t="s">
        <v>328</v>
      </c>
      <c r="AF22" s="14"/>
      <c r="AG22" s="14"/>
      <c r="AH22" s="14"/>
      <c r="AI22" s="14"/>
      <c r="AJ22" s="14"/>
      <c r="AK22" s="14"/>
      <c r="AL22" s="14"/>
      <c r="AM22" s="14" t="s">
        <v>328</v>
      </c>
      <c r="AN22" s="14"/>
      <c r="AO22" s="14"/>
      <c r="AP22" s="14"/>
      <c r="AQ22" s="14" t="s">
        <v>328</v>
      </c>
      <c r="AR22" s="14">
        <v>3</v>
      </c>
      <c r="AS22" s="14">
        <v>1</v>
      </c>
      <c r="AT22" s="14"/>
      <c r="AU22" s="14"/>
      <c r="AV22" s="14"/>
      <c r="AW22" s="14" t="s">
        <v>328</v>
      </c>
      <c r="AX22" s="14">
        <v>1</v>
      </c>
      <c r="AY22" s="14">
        <v>3</v>
      </c>
      <c r="AZ22" s="14">
        <v>2</v>
      </c>
      <c r="BA22" s="14"/>
      <c r="BB22" s="14" t="s">
        <v>328</v>
      </c>
      <c r="BC22" s="14"/>
      <c r="BD22" s="14" t="s">
        <v>328</v>
      </c>
      <c r="BE22" s="14" t="s">
        <v>328</v>
      </c>
      <c r="BF22" s="14"/>
      <c r="BG22" s="14"/>
      <c r="BH22" s="14"/>
      <c r="BI22" s="14"/>
      <c r="BJ22" s="14"/>
      <c r="BK22" s="14"/>
      <c r="BL22" s="14"/>
      <c r="BM22" s="14"/>
      <c r="BN22" s="14" t="s">
        <v>328</v>
      </c>
      <c r="BO22" s="14"/>
      <c r="BP22" s="14"/>
      <c r="BQ22" s="14" t="s">
        <v>328</v>
      </c>
      <c r="BR22" s="14" t="s">
        <v>328</v>
      </c>
      <c r="BS22" s="14"/>
      <c r="BT22" s="14"/>
      <c r="BU22" s="14"/>
      <c r="BV22" s="14"/>
      <c r="BW22" s="14"/>
      <c r="BX22" s="14"/>
      <c r="BY22" s="14"/>
      <c r="BZ22" s="14" t="s">
        <v>328</v>
      </c>
      <c r="CA22" s="14"/>
      <c r="CB22" s="14"/>
      <c r="CC22" s="14"/>
      <c r="CD22" s="14"/>
      <c r="CE22" s="14"/>
      <c r="CF22" s="14"/>
      <c r="CG22" s="14" t="s">
        <v>328</v>
      </c>
      <c r="CH22" s="14"/>
      <c r="CI22" s="14" t="s">
        <v>328</v>
      </c>
      <c r="CJ22" s="14"/>
      <c r="CK22" s="14"/>
      <c r="CL22" s="14"/>
      <c r="CM22" s="14"/>
      <c r="CN22" s="14">
        <v>2</v>
      </c>
      <c r="CO22" s="14">
        <v>1</v>
      </c>
      <c r="CP22" s="14">
        <v>4</v>
      </c>
      <c r="CQ22" s="14">
        <v>5</v>
      </c>
      <c r="CR22" s="14">
        <v>6</v>
      </c>
      <c r="CS22" s="14">
        <v>3</v>
      </c>
      <c r="CT22" s="14"/>
      <c r="CU22" s="14"/>
      <c r="CV22" s="14"/>
      <c r="CW22" s="14"/>
      <c r="CX22" s="14"/>
      <c r="CY22" s="14"/>
      <c r="CZ22" s="14" t="s">
        <v>332</v>
      </c>
      <c r="DA22" s="14"/>
      <c r="DB22" s="14"/>
      <c r="DC22" s="14">
        <v>1</v>
      </c>
      <c r="DD22" s="14">
        <v>5</v>
      </c>
      <c r="DE22" s="14">
        <v>6</v>
      </c>
      <c r="DF22" s="14">
        <v>4</v>
      </c>
      <c r="DG22" s="14">
        <v>2</v>
      </c>
      <c r="DH22" s="14">
        <v>3</v>
      </c>
      <c r="DI22" s="14"/>
      <c r="DJ22" s="14" t="s">
        <v>328</v>
      </c>
      <c r="DK22" s="14"/>
      <c r="DL22" s="14"/>
      <c r="DM22" s="14"/>
      <c r="DN22" s="14"/>
      <c r="DO22" s="14"/>
      <c r="DP22" s="14" t="s">
        <v>333</v>
      </c>
      <c r="DQ22" s="14"/>
      <c r="DR22" s="14" t="s">
        <v>328</v>
      </c>
      <c r="DS22" s="14" t="s">
        <v>328</v>
      </c>
      <c r="DT22" s="14" t="s">
        <v>354</v>
      </c>
      <c r="DU22" s="14"/>
      <c r="DV22" s="14"/>
      <c r="DW22" s="14" t="s">
        <v>335</v>
      </c>
      <c r="DX22" s="14" t="s">
        <v>336</v>
      </c>
      <c r="DY22" s="14" t="s">
        <v>328</v>
      </c>
      <c r="DZ22" s="14"/>
      <c r="EA22" s="14"/>
      <c r="EB22" s="14"/>
      <c r="EC22" s="14"/>
      <c r="ED22" s="14"/>
      <c r="EE22" s="101" t="s">
        <v>333</v>
      </c>
      <c r="EF22" s="48"/>
      <c r="EG22" s="17">
        <f t="shared" si="0"/>
        <v>0</v>
      </c>
    </row>
    <row r="23" spans="1:137" x14ac:dyDescent="0.25">
      <c r="A23" s="50" t="s">
        <v>1854</v>
      </c>
      <c r="B23" s="208">
        <v>41513</v>
      </c>
      <c r="C23" s="209" t="s">
        <v>2742</v>
      </c>
      <c r="D23" s="61" t="s">
        <v>324</v>
      </c>
      <c r="E23" s="14" t="s">
        <v>328</v>
      </c>
      <c r="F23" s="14"/>
      <c r="G23" s="14">
        <v>38</v>
      </c>
      <c r="H23" s="14" t="s">
        <v>329</v>
      </c>
      <c r="I23" s="14" t="s">
        <v>357</v>
      </c>
      <c r="J23" s="14" t="s">
        <v>380</v>
      </c>
      <c r="K23" s="14" t="s">
        <v>1188</v>
      </c>
      <c r="L23" s="14" t="s">
        <v>1188</v>
      </c>
      <c r="M23" s="14">
        <v>5</v>
      </c>
      <c r="N23" s="14">
        <v>1</v>
      </c>
      <c r="O23" s="14">
        <v>1</v>
      </c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 t="s">
        <v>328</v>
      </c>
      <c r="AF23" s="14"/>
      <c r="AG23" s="14"/>
      <c r="AH23" s="14"/>
      <c r="AI23" s="14"/>
      <c r="AJ23" s="14"/>
      <c r="AK23" s="14"/>
      <c r="AL23" s="14"/>
      <c r="AM23" s="14" t="s">
        <v>328</v>
      </c>
      <c r="AN23" s="14"/>
      <c r="AO23" s="14"/>
      <c r="AP23" s="14"/>
      <c r="AQ23" s="14" t="s">
        <v>328</v>
      </c>
      <c r="AR23" s="14">
        <v>9</v>
      </c>
      <c r="AS23" s="14">
        <v>2</v>
      </c>
      <c r="AT23" s="14"/>
      <c r="AU23" s="14" t="s">
        <v>328</v>
      </c>
      <c r="AV23" s="14" t="s">
        <v>328</v>
      </c>
      <c r="AW23" s="14"/>
      <c r="AX23" s="14">
        <v>1</v>
      </c>
      <c r="AY23" s="14">
        <v>2</v>
      </c>
      <c r="AZ23" s="14">
        <v>3</v>
      </c>
      <c r="BA23" s="14"/>
      <c r="BB23" s="14" t="s">
        <v>328</v>
      </c>
      <c r="BC23" s="14"/>
      <c r="BD23" s="14" t="s">
        <v>328</v>
      </c>
      <c r="BE23" s="14" t="s">
        <v>328</v>
      </c>
      <c r="BF23" s="14"/>
      <c r="BG23" s="14"/>
      <c r="BH23" s="14"/>
      <c r="BI23" s="14"/>
      <c r="BJ23" s="14"/>
      <c r="BK23" s="14"/>
      <c r="BL23" s="14"/>
      <c r="BM23" s="14"/>
      <c r="BN23" s="14"/>
      <c r="BO23" s="14" t="s">
        <v>328</v>
      </c>
      <c r="BP23" s="14"/>
      <c r="BQ23" s="14" t="s">
        <v>328</v>
      </c>
      <c r="BR23" s="14"/>
      <c r="BS23" s="14"/>
      <c r="BT23" s="14" t="s">
        <v>328</v>
      </c>
      <c r="BU23" s="14"/>
      <c r="BV23" s="14"/>
      <c r="BW23" s="14"/>
      <c r="BX23" s="14"/>
      <c r="BY23" s="14"/>
      <c r="BZ23" s="14" t="s">
        <v>328</v>
      </c>
      <c r="CA23" s="14"/>
      <c r="CB23" s="14"/>
      <c r="CC23" s="14" t="s">
        <v>328</v>
      </c>
      <c r="CD23" s="14"/>
      <c r="CE23" s="14"/>
      <c r="CF23" s="14"/>
      <c r="CG23" s="14"/>
      <c r="CH23" s="14"/>
      <c r="CI23" s="14"/>
      <c r="CJ23" s="14"/>
      <c r="CK23" s="14" t="s">
        <v>328</v>
      </c>
      <c r="CL23" s="14"/>
      <c r="CM23" s="14"/>
      <c r="CN23" s="14">
        <v>3</v>
      </c>
      <c r="CO23" s="14">
        <v>1</v>
      </c>
      <c r="CP23" s="14">
        <v>2</v>
      </c>
      <c r="CQ23" s="14">
        <v>6</v>
      </c>
      <c r="CR23" s="14">
        <v>5</v>
      </c>
      <c r="CS23" s="14">
        <v>4</v>
      </c>
      <c r="CT23" s="14"/>
      <c r="CU23" s="14"/>
      <c r="CV23" s="14"/>
      <c r="CW23" s="14"/>
      <c r="CX23" s="14"/>
      <c r="CY23" s="14"/>
      <c r="CZ23" s="14" t="s">
        <v>332</v>
      </c>
      <c r="DA23" s="14" t="s">
        <v>328</v>
      </c>
      <c r="DB23" s="14" t="s">
        <v>347</v>
      </c>
      <c r="DC23" s="14"/>
      <c r="DD23" s="14"/>
      <c r="DE23" s="14"/>
      <c r="DF23" s="14"/>
      <c r="DG23" s="14"/>
      <c r="DH23" s="14"/>
      <c r="DI23" s="14"/>
      <c r="DJ23" s="14" t="s">
        <v>328</v>
      </c>
      <c r="DK23" s="14"/>
      <c r="DL23" s="14"/>
      <c r="DM23" s="14"/>
      <c r="DN23" s="14"/>
      <c r="DO23" s="14"/>
      <c r="DP23" s="14" t="s">
        <v>333</v>
      </c>
      <c r="DQ23" s="14" t="s">
        <v>328</v>
      </c>
      <c r="DR23" s="14"/>
      <c r="DS23" s="14"/>
      <c r="DT23" s="14"/>
      <c r="DU23" s="14"/>
      <c r="DV23" s="14"/>
      <c r="DW23" s="14"/>
      <c r="DX23" s="14" t="s">
        <v>333</v>
      </c>
      <c r="DY23" s="14" t="s">
        <v>328</v>
      </c>
      <c r="DZ23" s="14"/>
      <c r="EA23" s="14"/>
      <c r="EB23" s="14"/>
      <c r="EC23" s="14"/>
      <c r="ED23" s="14"/>
      <c r="EE23" s="101" t="s">
        <v>333</v>
      </c>
      <c r="EF23" s="48"/>
      <c r="EG23" s="17">
        <f t="shared" si="0"/>
        <v>0</v>
      </c>
    </row>
    <row r="24" spans="1:137" x14ac:dyDescent="0.25">
      <c r="A24" s="50" t="s">
        <v>1854</v>
      </c>
      <c r="B24" s="208">
        <v>41514</v>
      </c>
      <c r="C24" s="209" t="s">
        <v>2742</v>
      </c>
      <c r="D24" s="61" t="s">
        <v>325</v>
      </c>
      <c r="E24" s="14" t="s">
        <v>328</v>
      </c>
      <c r="F24" s="14"/>
      <c r="G24" s="14">
        <v>47</v>
      </c>
      <c r="H24" s="14" t="s">
        <v>329</v>
      </c>
      <c r="I24" s="14" t="s">
        <v>330</v>
      </c>
      <c r="J24" s="14" t="s">
        <v>356</v>
      </c>
      <c r="K24" s="14" t="s">
        <v>1183</v>
      </c>
      <c r="L24" s="14" t="s">
        <v>1183</v>
      </c>
      <c r="M24" s="14">
        <v>16</v>
      </c>
      <c r="N24" s="14">
        <v>1</v>
      </c>
      <c r="O24" s="14">
        <v>1</v>
      </c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 t="s">
        <v>328</v>
      </c>
      <c r="AG24" s="14"/>
      <c r="AH24" s="14" t="s">
        <v>328</v>
      </c>
      <c r="AI24" s="14"/>
      <c r="AJ24" s="14"/>
      <c r="AK24" s="14"/>
      <c r="AL24" s="14"/>
      <c r="AM24" s="14" t="s">
        <v>328</v>
      </c>
      <c r="AN24" s="14"/>
      <c r="AO24" s="14"/>
      <c r="AP24" s="14"/>
      <c r="AQ24" s="14" t="s">
        <v>328</v>
      </c>
      <c r="AR24" s="14">
        <v>8</v>
      </c>
      <c r="AS24" s="14">
        <v>2</v>
      </c>
      <c r="AT24" s="14"/>
      <c r="AU24" s="14" t="s">
        <v>328</v>
      </c>
      <c r="AV24" s="14" t="s">
        <v>328</v>
      </c>
      <c r="AW24" s="14"/>
      <c r="AX24" s="14">
        <v>2</v>
      </c>
      <c r="AY24" s="14">
        <v>3</v>
      </c>
      <c r="AZ24" s="14">
        <v>1</v>
      </c>
      <c r="BA24" s="14"/>
      <c r="BB24" s="14" t="s">
        <v>328</v>
      </c>
      <c r="BC24" s="14"/>
      <c r="BD24" s="14" t="s">
        <v>328</v>
      </c>
      <c r="BE24" s="14"/>
      <c r="BF24" s="14" t="s">
        <v>328</v>
      </c>
      <c r="BG24" s="14"/>
      <c r="BH24" s="14"/>
      <c r="BI24" s="14"/>
      <c r="BJ24" s="14"/>
      <c r="BK24" s="14"/>
      <c r="BL24" s="14"/>
      <c r="BM24" s="14"/>
      <c r="BN24" s="14"/>
      <c r="BO24" s="14" t="s">
        <v>328</v>
      </c>
      <c r="BP24" s="14"/>
      <c r="BQ24" s="14" t="s">
        <v>328</v>
      </c>
      <c r="BR24" s="14" t="s">
        <v>328</v>
      </c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 t="s">
        <v>332</v>
      </c>
      <c r="CI24" s="14" t="s">
        <v>328</v>
      </c>
      <c r="CJ24" s="14"/>
      <c r="CK24" s="14"/>
      <c r="CL24" s="14"/>
      <c r="CM24" s="14"/>
      <c r="CN24" s="14">
        <v>2</v>
      </c>
      <c r="CO24" s="14">
        <v>3</v>
      </c>
      <c r="CP24" s="14">
        <v>1</v>
      </c>
      <c r="CQ24" s="14">
        <v>6</v>
      </c>
      <c r="CR24" s="14">
        <v>5</v>
      </c>
      <c r="CS24" s="14">
        <v>4</v>
      </c>
      <c r="CT24" s="14"/>
      <c r="CU24" s="14"/>
      <c r="CV24" s="14"/>
      <c r="CW24" s="14"/>
      <c r="CX24" s="14"/>
      <c r="CY24" s="14"/>
      <c r="CZ24" s="14" t="s">
        <v>332</v>
      </c>
      <c r="DA24" s="14"/>
      <c r="DB24" s="14"/>
      <c r="DC24" s="14">
        <v>1</v>
      </c>
      <c r="DD24" s="14">
        <v>4</v>
      </c>
      <c r="DE24" s="14">
        <v>5</v>
      </c>
      <c r="DF24" s="14">
        <v>6</v>
      </c>
      <c r="DG24" s="14">
        <v>2</v>
      </c>
      <c r="DH24" s="14">
        <v>3</v>
      </c>
      <c r="DI24" s="14"/>
      <c r="DJ24" s="14" t="s">
        <v>328</v>
      </c>
      <c r="DK24" s="14"/>
      <c r="DL24" s="14"/>
      <c r="DM24" s="14"/>
      <c r="DN24" s="14"/>
      <c r="DO24" s="14"/>
      <c r="DP24" s="14" t="s">
        <v>333</v>
      </c>
      <c r="DQ24" s="14" t="s">
        <v>328</v>
      </c>
      <c r="DR24" s="14"/>
      <c r="DS24" s="14"/>
      <c r="DT24" s="14"/>
      <c r="DU24" s="14"/>
      <c r="DV24" s="14"/>
      <c r="DW24" s="14"/>
      <c r="DX24" s="14" t="s">
        <v>333</v>
      </c>
      <c r="DY24" s="14" t="s">
        <v>328</v>
      </c>
      <c r="DZ24" s="14"/>
      <c r="EA24" s="14"/>
      <c r="EB24" s="14"/>
      <c r="EC24" s="14"/>
      <c r="ED24" s="14"/>
      <c r="EE24" s="101" t="s">
        <v>333</v>
      </c>
      <c r="EF24" s="48"/>
      <c r="EG24" s="17">
        <f t="shared" si="0"/>
        <v>0</v>
      </c>
    </row>
    <row r="25" spans="1:137" x14ac:dyDescent="0.25">
      <c r="A25" s="50" t="s">
        <v>1854</v>
      </c>
      <c r="B25" s="208">
        <v>41514</v>
      </c>
      <c r="C25" s="209" t="s">
        <v>2742</v>
      </c>
      <c r="D25" s="61" t="s">
        <v>326</v>
      </c>
      <c r="E25" s="14" t="s">
        <v>328</v>
      </c>
      <c r="F25" s="14"/>
      <c r="G25" s="14">
        <v>50</v>
      </c>
      <c r="H25" s="14" t="s">
        <v>329</v>
      </c>
      <c r="I25" s="14" t="s">
        <v>353</v>
      </c>
      <c r="J25" s="14" t="s">
        <v>358</v>
      </c>
      <c r="K25" s="14" t="s">
        <v>1184</v>
      </c>
      <c r="L25" s="14" t="s">
        <v>1188</v>
      </c>
      <c r="M25" s="14">
        <v>25</v>
      </c>
      <c r="N25" s="14">
        <v>1</v>
      </c>
      <c r="O25" s="14"/>
      <c r="P25" s="14"/>
      <c r="Q25" s="14"/>
      <c r="R25" s="14"/>
      <c r="S25" s="14">
        <v>1</v>
      </c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 t="s">
        <v>328</v>
      </c>
      <c r="AE25" s="14"/>
      <c r="AF25" s="14"/>
      <c r="AG25" s="14"/>
      <c r="AH25" s="14"/>
      <c r="AI25" s="14"/>
      <c r="AJ25" s="14"/>
      <c r="AK25" s="14"/>
      <c r="AL25" s="14" t="s">
        <v>328</v>
      </c>
      <c r="AM25" s="14"/>
      <c r="AN25" s="14"/>
      <c r="AO25" s="14"/>
      <c r="AP25" s="14"/>
      <c r="AQ25" s="14" t="s">
        <v>328</v>
      </c>
      <c r="AR25" s="14">
        <v>10</v>
      </c>
      <c r="AS25" s="14">
        <v>1</v>
      </c>
      <c r="AT25" s="14"/>
      <c r="AU25" s="14"/>
      <c r="AV25" s="14" t="s">
        <v>328</v>
      </c>
      <c r="AW25" s="14"/>
      <c r="AX25" s="14">
        <v>1</v>
      </c>
      <c r="AY25" s="14">
        <v>3</v>
      </c>
      <c r="AZ25" s="14">
        <v>2</v>
      </c>
      <c r="BA25" s="14"/>
      <c r="BB25" s="14" t="s">
        <v>328</v>
      </c>
      <c r="BC25" s="14"/>
      <c r="BD25" s="14"/>
      <c r="BE25" s="14"/>
      <c r="BF25" s="14"/>
      <c r="BG25" s="14" t="s">
        <v>328</v>
      </c>
      <c r="BH25" s="14"/>
      <c r="BI25" s="14"/>
      <c r="BJ25" s="14"/>
      <c r="BK25" s="14"/>
      <c r="BL25" s="14"/>
      <c r="BM25" s="14"/>
      <c r="BN25" s="14" t="s">
        <v>328</v>
      </c>
      <c r="BO25" s="14"/>
      <c r="BP25" s="14" t="s">
        <v>328</v>
      </c>
      <c r="BQ25" s="14"/>
      <c r="BR25" s="14" t="s">
        <v>328</v>
      </c>
      <c r="BS25" s="14"/>
      <c r="BT25" s="14" t="s">
        <v>328</v>
      </c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 t="s">
        <v>332</v>
      </c>
      <c r="CI25" s="14" t="s">
        <v>328</v>
      </c>
      <c r="CJ25" s="14"/>
      <c r="CK25" s="14"/>
      <c r="CL25" s="14"/>
      <c r="CM25" s="14"/>
      <c r="CN25" s="14">
        <v>3</v>
      </c>
      <c r="CO25" s="14">
        <v>4</v>
      </c>
      <c r="CP25" s="14">
        <v>1</v>
      </c>
      <c r="CQ25" s="14">
        <v>5</v>
      </c>
      <c r="CR25" s="14">
        <v>6</v>
      </c>
      <c r="CS25" s="14">
        <v>2</v>
      </c>
      <c r="CT25" s="14"/>
      <c r="CU25" s="14"/>
      <c r="CV25" s="14"/>
      <c r="CW25" s="14"/>
      <c r="CX25" s="14"/>
      <c r="CY25" s="14"/>
      <c r="CZ25" s="14" t="s">
        <v>332</v>
      </c>
      <c r="DA25" s="14"/>
      <c r="DB25" s="14"/>
      <c r="DC25" s="14">
        <v>1</v>
      </c>
      <c r="DD25" s="14">
        <v>4</v>
      </c>
      <c r="DE25" s="14">
        <v>3</v>
      </c>
      <c r="DF25" s="14">
        <v>6</v>
      </c>
      <c r="DG25" s="14">
        <v>2</v>
      </c>
      <c r="DH25" s="14">
        <v>5</v>
      </c>
      <c r="DI25" s="14"/>
      <c r="DJ25" s="14" t="s">
        <v>328</v>
      </c>
      <c r="DK25" s="14"/>
      <c r="DL25" s="14"/>
      <c r="DM25" s="14"/>
      <c r="DN25" s="14"/>
      <c r="DO25" s="14"/>
      <c r="DP25" s="14" t="s">
        <v>333</v>
      </c>
      <c r="DQ25" s="14" t="s">
        <v>328</v>
      </c>
      <c r="DR25" s="14"/>
      <c r="DS25" s="14"/>
      <c r="DT25" s="14"/>
      <c r="DU25" s="14"/>
      <c r="DV25" s="14"/>
      <c r="DW25" s="14"/>
      <c r="DX25" s="14" t="s">
        <v>333</v>
      </c>
      <c r="DY25" s="14" t="s">
        <v>328</v>
      </c>
      <c r="DZ25" s="14"/>
      <c r="EA25" s="14"/>
      <c r="EB25" s="14"/>
      <c r="EC25" s="14"/>
      <c r="ED25" s="14"/>
      <c r="EE25" s="101" t="s">
        <v>333</v>
      </c>
      <c r="EF25" s="48"/>
      <c r="EG25" s="17">
        <f t="shared" si="0"/>
        <v>0</v>
      </c>
    </row>
    <row r="26" spans="1:137" x14ac:dyDescent="0.25">
      <c r="A26" s="50" t="s">
        <v>1854</v>
      </c>
      <c r="B26" s="208">
        <v>41514</v>
      </c>
      <c r="C26" s="209" t="s">
        <v>2742</v>
      </c>
      <c r="D26" s="61" t="s">
        <v>327</v>
      </c>
      <c r="E26" s="14" t="s">
        <v>328</v>
      </c>
      <c r="F26" s="14"/>
      <c r="G26" s="14">
        <v>38</v>
      </c>
      <c r="H26" s="14" t="s">
        <v>329</v>
      </c>
      <c r="I26" s="14" t="s">
        <v>355</v>
      </c>
      <c r="J26" s="14" t="s">
        <v>345</v>
      </c>
      <c r="K26" s="14" t="s">
        <v>1182</v>
      </c>
      <c r="L26" s="14" t="s">
        <v>1182</v>
      </c>
      <c r="M26" s="14">
        <v>16</v>
      </c>
      <c r="N26" s="14">
        <v>1</v>
      </c>
      <c r="O26" s="14">
        <v>1</v>
      </c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 t="s">
        <v>328</v>
      </c>
      <c r="AD26" s="14"/>
      <c r="AE26" s="14"/>
      <c r="AF26" s="14"/>
      <c r="AG26" s="14" t="s">
        <v>328</v>
      </c>
      <c r="AH26" s="14"/>
      <c r="AI26" s="14"/>
      <c r="AJ26" s="14"/>
      <c r="AK26" s="14"/>
      <c r="AL26" s="14"/>
      <c r="AM26" s="14" t="s">
        <v>328</v>
      </c>
      <c r="AN26" s="14"/>
      <c r="AO26" s="14"/>
      <c r="AP26" s="14"/>
      <c r="AQ26" s="14" t="s">
        <v>328</v>
      </c>
      <c r="AR26" s="14">
        <v>9</v>
      </c>
      <c r="AS26" s="14">
        <v>2</v>
      </c>
      <c r="AT26" s="14"/>
      <c r="AU26" s="14" t="s">
        <v>328</v>
      </c>
      <c r="AV26" s="14"/>
      <c r="AW26" s="14" t="s">
        <v>328</v>
      </c>
      <c r="AX26" s="14">
        <v>1</v>
      </c>
      <c r="AY26" s="14">
        <v>3</v>
      </c>
      <c r="AZ26" s="14">
        <v>2</v>
      </c>
      <c r="BA26" s="14"/>
      <c r="BB26" s="14"/>
      <c r="BC26" s="14" t="s">
        <v>328</v>
      </c>
      <c r="BD26" s="14" t="s">
        <v>328</v>
      </c>
      <c r="BE26" s="14"/>
      <c r="BF26" s="14"/>
      <c r="BG26" s="14"/>
      <c r="BH26" s="14"/>
      <c r="BI26" s="14"/>
      <c r="BJ26" s="14"/>
      <c r="BK26" s="14" t="s">
        <v>328</v>
      </c>
      <c r="BL26" s="14"/>
      <c r="BM26" s="14"/>
      <c r="BN26" s="14" t="s">
        <v>328</v>
      </c>
      <c r="BO26" s="14"/>
      <c r="BP26" s="14" t="s">
        <v>328</v>
      </c>
      <c r="BQ26" s="14"/>
      <c r="BR26" s="14"/>
      <c r="BS26" s="14"/>
      <c r="BT26" s="14"/>
      <c r="BU26" s="14"/>
      <c r="BV26" s="14"/>
      <c r="BW26" s="14" t="s">
        <v>328</v>
      </c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 t="s">
        <v>332</v>
      </c>
      <c r="CI26" s="14" t="s">
        <v>328</v>
      </c>
      <c r="CJ26" s="14"/>
      <c r="CK26" s="14"/>
      <c r="CL26" s="14"/>
      <c r="CM26" s="14"/>
      <c r="CN26" s="14">
        <v>4</v>
      </c>
      <c r="CO26" s="14">
        <v>2</v>
      </c>
      <c r="CP26" s="14">
        <v>1</v>
      </c>
      <c r="CQ26" s="14">
        <v>5</v>
      </c>
      <c r="CR26" s="14">
        <v>6</v>
      </c>
      <c r="CS26" s="14">
        <v>3</v>
      </c>
      <c r="CT26" s="14"/>
      <c r="CU26" s="14"/>
      <c r="CV26" s="14"/>
      <c r="CW26" s="14"/>
      <c r="CX26" s="14"/>
      <c r="CY26" s="14"/>
      <c r="CZ26" s="14" t="s">
        <v>332</v>
      </c>
      <c r="DA26" s="14"/>
      <c r="DB26" s="14"/>
      <c r="DC26" s="14">
        <v>2</v>
      </c>
      <c r="DD26" s="14">
        <v>5</v>
      </c>
      <c r="DE26" s="14">
        <v>4</v>
      </c>
      <c r="DF26" s="14">
        <v>6</v>
      </c>
      <c r="DG26" s="14">
        <v>1</v>
      </c>
      <c r="DH26" s="14">
        <v>3</v>
      </c>
      <c r="DI26" s="14"/>
      <c r="DJ26" s="14" t="s">
        <v>328</v>
      </c>
      <c r="DK26" s="14"/>
      <c r="DL26" s="14"/>
      <c r="DM26" s="14"/>
      <c r="DN26" s="14"/>
      <c r="DO26" s="14"/>
      <c r="DP26" s="14" t="s">
        <v>333</v>
      </c>
      <c r="DQ26" s="14"/>
      <c r="DR26" s="14" t="s">
        <v>328</v>
      </c>
      <c r="DS26" s="14" t="s">
        <v>328</v>
      </c>
      <c r="DT26" s="14" t="s">
        <v>354</v>
      </c>
      <c r="DU26" s="14"/>
      <c r="DV26" s="14"/>
      <c r="DW26" s="14" t="s">
        <v>335</v>
      </c>
      <c r="DX26" s="14" t="s">
        <v>336</v>
      </c>
      <c r="DY26" s="14" t="s">
        <v>328</v>
      </c>
      <c r="DZ26" s="14"/>
      <c r="EA26" s="14"/>
      <c r="EB26" s="14"/>
      <c r="EC26" s="14"/>
      <c r="ED26" s="14"/>
      <c r="EE26" s="101" t="s">
        <v>333</v>
      </c>
      <c r="EF26" s="48" t="s">
        <v>382</v>
      </c>
      <c r="EG26" s="17">
        <f t="shared" si="0"/>
        <v>0</v>
      </c>
    </row>
    <row r="27" spans="1:137" x14ac:dyDescent="0.25">
      <c r="A27" s="50" t="s">
        <v>1854</v>
      </c>
      <c r="B27" s="208">
        <v>41514</v>
      </c>
      <c r="C27" s="209" t="s">
        <v>2742</v>
      </c>
      <c r="D27" s="61" t="s">
        <v>390</v>
      </c>
      <c r="E27" s="14"/>
      <c r="F27" s="14" t="s">
        <v>328</v>
      </c>
      <c r="G27" s="14">
        <v>66</v>
      </c>
      <c r="H27" s="14" t="s">
        <v>329</v>
      </c>
      <c r="I27" s="14" t="s">
        <v>399</v>
      </c>
      <c r="J27" s="14" t="s">
        <v>345</v>
      </c>
      <c r="K27" s="14" t="s">
        <v>1182</v>
      </c>
      <c r="L27" s="14" t="s">
        <v>1182</v>
      </c>
      <c r="M27" s="14">
        <v>40</v>
      </c>
      <c r="N27" s="14">
        <v>7</v>
      </c>
      <c r="O27" s="14">
        <v>7</v>
      </c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 t="s">
        <v>328</v>
      </c>
      <c r="AD27" s="14"/>
      <c r="AE27" s="14"/>
      <c r="AF27" s="14"/>
      <c r="AG27" s="14" t="s">
        <v>328</v>
      </c>
      <c r="AH27" s="14"/>
      <c r="AI27" s="14"/>
      <c r="AJ27" s="14"/>
      <c r="AK27" s="14"/>
      <c r="AL27" s="14" t="s">
        <v>328</v>
      </c>
      <c r="AM27" s="14" t="s">
        <v>328</v>
      </c>
      <c r="AN27" s="14"/>
      <c r="AO27" s="14" t="s">
        <v>328</v>
      </c>
      <c r="AP27" s="14"/>
      <c r="AQ27" s="14" t="s">
        <v>328</v>
      </c>
      <c r="AR27" s="14">
        <v>8</v>
      </c>
      <c r="AS27" s="14">
        <v>15</v>
      </c>
      <c r="AT27" s="14"/>
      <c r="AU27" s="14" t="s">
        <v>328</v>
      </c>
      <c r="AV27" s="14"/>
      <c r="AW27" s="14" t="s">
        <v>328</v>
      </c>
      <c r="AX27" s="14">
        <v>2</v>
      </c>
      <c r="AY27" s="14">
        <v>3</v>
      </c>
      <c r="AZ27" s="14">
        <v>4</v>
      </c>
      <c r="BA27" s="14" t="s">
        <v>346</v>
      </c>
      <c r="BB27" s="14"/>
      <c r="BC27" s="14" t="s">
        <v>328</v>
      </c>
      <c r="BD27" s="14" t="s">
        <v>328</v>
      </c>
      <c r="BE27" s="14"/>
      <c r="BF27" s="14"/>
      <c r="BG27" s="14" t="s">
        <v>328</v>
      </c>
      <c r="BH27" s="14"/>
      <c r="BI27" s="14"/>
      <c r="BJ27" s="14"/>
      <c r="BK27" s="14" t="s">
        <v>328</v>
      </c>
      <c r="BL27" s="14"/>
      <c r="BM27" s="14"/>
      <c r="BN27" s="14" t="s">
        <v>328</v>
      </c>
      <c r="BO27" s="14"/>
      <c r="BP27" s="14" t="s">
        <v>328</v>
      </c>
      <c r="BQ27" s="14"/>
      <c r="BR27" s="14" t="s">
        <v>328</v>
      </c>
      <c r="BS27" s="14"/>
      <c r="BT27" s="14"/>
      <c r="BU27" s="14"/>
      <c r="BV27" s="14"/>
      <c r="BW27" s="14" t="s">
        <v>328</v>
      </c>
      <c r="BX27" s="14"/>
      <c r="BY27" s="14"/>
      <c r="BZ27" s="14" t="s">
        <v>328</v>
      </c>
      <c r="CA27" s="14" t="s">
        <v>328</v>
      </c>
      <c r="CB27" s="14"/>
      <c r="CC27" s="14"/>
      <c r="CD27" s="14"/>
      <c r="CE27" s="14"/>
      <c r="CF27" s="14"/>
      <c r="CG27" s="14"/>
      <c r="CH27" s="14"/>
      <c r="CI27" s="14" t="s">
        <v>328</v>
      </c>
      <c r="CJ27" s="14"/>
      <c r="CK27" s="14"/>
      <c r="CL27" s="14"/>
      <c r="CM27" s="14"/>
      <c r="CN27" s="14">
        <v>3</v>
      </c>
      <c r="CO27" s="14">
        <v>2</v>
      </c>
      <c r="CP27" s="14">
        <v>1</v>
      </c>
      <c r="CQ27" s="14">
        <v>6</v>
      </c>
      <c r="CR27" s="14">
        <v>5</v>
      </c>
      <c r="CS27" s="14">
        <v>4</v>
      </c>
      <c r="CT27" s="14"/>
      <c r="CU27" s="14"/>
      <c r="CV27" s="14"/>
      <c r="CW27" s="14"/>
      <c r="CX27" s="14" t="s">
        <v>328</v>
      </c>
      <c r="CY27" s="14"/>
      <c r="CZ27" s="14"/>
      <c r="DA27" s="14"/>
      <c r="DB27" s="14"/>
      <c r="DC27" s="14">
        <v>2</v>
      </c>
      <c r="DD27" s="14">
        <v>6</v>
      </c>
      <c r="DE27" s="14">
        <v>5</v>
      </c>
      <c r="DF27" s="14">
        <v>3</v>
      </c>
      <c r="DG27" s="14">
        <v>1</v>
      </c>
      <c r="DH27" s="14">
        <v>4</v>
      </c>
      <c r="DI27" s="14"/>
      <c r="DJ27" s="14" t="s">
        <v>328</v>
      </c>
      <c r="DK27" s="14"/>
      <c r="DL27" s="14"/>
      <c r="DM27" s="14"/>
      <c r="DN27" s="14"/>
      <c r="DO27" s="14"/>
      <c r="DP27" s="14" t="s">
        <v>333</v>
      </c>
      <c r="DQ27" s="14"/>
      <c r="DR27" s="14" t="s">
        <v>328</v>
      </c>
      <c r="DS27" s="14" t="s">
        <v>328</v>
      </c>
      <c r="DT27" s="14" t="s">
        <v>397</v>
      </c>
      <c r="DU27" s="14"/>
      <c r="DV27" s="14"/>
      <c r="DW27" s="14" t="s">
        <v>335</v>
      </c>
      <c r="DX27" s="14" t="s">
        <v>336</v>
      </c>
      <c r="DY27" s="14" t="s">
        <v>328</v>
      </c>
      <c r="DZ27" s="14"/>
      <c r="EA27" s="14"/>
      <c r="EB27" s="14"/>
      <c r="EC27" s="14"/>
      <c r="ED27" s="14"/>
      <c r="EE27" s="101" t="s">
        <v>333</v>
      </c>
      <c r="EF27" s="48" t="s">
        <v>383</v>
      </c>
      <c r="EG27" s="17">
        <f t="shared" si="0"/>
        <v>0</v>
      </c>
    </row>
    <row r="28" spans="1:137" x14ac:dyDescent="0.25">
      <c r="A28" s="50" t="s">
        <v>1854</v>
      </c>
      <c r="B28" s="208">
        <v>41514</v>
      </c>
      <c r="C28" s="209" t="s">
        <v>2742</v>
      </c>
      <c r="D28" s="61" t="s">
        <v>391</v>
      </c>
      <c r="E28" s="14" t="s">
        <v>328</v>
      </c>
      <c r="F28" s="14"/>
      <c r="G28" s="14">
        <v>32</v>
      </c>
      <c r="H28" s="14" t="s">
        <v>329</v>
      </c>
      <c r="I28" s="14" t="s">
        <v>357</v>
      </c>
      <c r="J28" s="14" t="s">
        <v>380</v>
      </c>
      <c r="K28" s="14" t="s">
        <v>1188</v>
      </c>
      <c r="L28" s="14" t="s">
        <v>1188</v>
      </c>
      <c r="M28" s="14">
        <v>10</v>
      </c>
      <c r="N28" s="14">
        <v>1</v>
      </c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>
        <v>1</v>
      </c>
      <c r="AA28" s="14"/>
      <c r="AB28" s="14" t="s">
        <v>328</v>
      </c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 t="s">
        <v>328</v>
      </c>
      <c r="AN28" s="14"/>
      <c r="AO28" s="14" t="s">
        <v>328</v>
      </c>
      <c r="AP28" s="14"/>
      <c r="AQ28" s="14"/>
      <c r="AR28" s="14">
        <v>8</v>
      </c>
      <c r="AS28" s="14">
        <v>2</v>
      </c>
      <c r="AT28" s="14"/>
      <c r="AU28" s="14" t="s">
        <v>328</v>
      </c>
      <c r="AV28" s="14"/>
      <c r="AW28" s="14"/>
      <c r="AX28" s="14">
        <v>4</v>
      </c>
      <c r="AY28" s="14">
        <v>3</v>
      </c>
      <c r="AZ28" s="14">
        <v>2</v>
      </c>
      <c r="BA28" s="14" t="s">
        <v>346</v>
      </c>
      <c r="BB28" s="14" t="s">
        <v>328</v>
      </c>
      <c r="BC28" s="14"/>
      <c r="BD28" s="14" t="s">
        <v>328</v>
      </c>
      <c r="BE28" s="14" t="s">
        <v>328</v>
      </c>
      <c r="BF28" s="14"/>
      <c r="BG28" s="14"/>
      <c r="BH28" s="14"/>
      <c r="BI28" s="14"/>
      <c r="BJ28" s="14"/>
      <c r="BK28" s="14"/>
      <c r="BL28" s="14"/>
      <c r="BM28" s="14"/>
      <c r="BN28" s="14" t="s">
        <v>328</v>
      </c>
      <c r="BO28" s="14"/>
      <c r="BP28" s="14" t="s">
        <v>328</v>
      </c>
      <c r="BQ28" s="14"/>
      <c r="BR28" s="14"/>
      <c r="BS28" s="14"/>
      <c r="BT28" s="14" t="s">
        <v>328</v>
      </c>
      <c r="BU28" s="14"/>
      <c r="BV28" s="14"/>
      <c r="BW28" s="14"/>
      <c r="BX28" s="14"/>
      <c r="BY28" s="14" t="s">
        <v>328</v>
      </c>
      <c r="BZ28" s="14"/>
      <c r="CA28" s="14"/>
      <c r="CB28" s="14"/>
      <c r="CC28" s="14" t="s">
        <v>328</v>
      </c>
      <c r="CD28" s="14"/>
      <c r="CE28" s="14"/>
      <c r="CF28" s="14"/>
      <c r="CG28" s="14"/>
      <c r="CH28" s="14"/>
      <c r="CI28" s="14" t="s">
        <v>328</v>
      </c>
      <c r="CJ28" s="14"/>
      <c r="CK28" s="14" t="s">
        <v>328</v>
      </c>
      <c r="CL28" s="14"/>
      <c r="CM28" s="14"/>
      <c r="CN28" s="14">
        <v>2</v>
      </c>
      <c r="CO28" s="14">
        <v>4</v>
      </c>
      <c r="CP28" s="14">
        <v>1</v>
      </c>
      <c r="CQ28" s="14">
        <v>5</v>
      </c>
      <c r="CR28" s="14">
        <v>6</v>
      </c>
      <c r="CS28" s="14">
        <v>3</v>
      </c>
      <c r="CT28" s="14"/>
      <c r="CU28" s="14"/>
      <c r="CV28" s="14"/>
      <c r="CW28" s="14"/>
      <c r="CX28" s="14" t="s">
        <v>328</v>
      </c>
      <c r="CY28" s="14"/>
      <c r="CZ28" s="14"/>
      <c r="DA28" s="14" t="s">
        <v>328</v>
      </c>
      <c r="DB28" s="14" t="s">
        <v>347</v>
      </c>
      <c r="DC28" s="14"/>
      <c r="DD28" s="14"/>
      <c r="DE28" s="14"/>
      <c r="DF28" s="14"/>
      <c r="DG28" s="14"/>
      <c r="DH28" s="14"/>
      <c r="DI28" s="14"/>
      <c r="DJ28" s="14" t="s">
        <v>328</v>
      </c>
      <c r="DK28" s="14"/>
      <c r="DL28" s="14"/>
      <c r="DM28" s="14"/>
      <c r="DN28" s="14"/>
      <c r="DO28" s="14"/>
      <c r="DP28" s="14" t="s">
        <v>333</v>
      </c>
      <c r="DQ28" s="14" t="s">
        <v>328</v>
      </c>
      <c r="DR28" s="14"/>
      <c r="DS28" s="14"/>
      <c r="DT28" s="14"/>
      <c r="DU28" s="14"/>
      <c r="DV28" s="14"/>
      <c r="DW28" s="14"/>
      <c r="DX28" s="14" t="s">
        <v>333</v>
      </c>
      <c r="DY28" s="14" t="s">
        <v>328</v>
      </c>
      <c r="DZ28" s="14"/>
      <c r="EA28" s="14"/>
      <c r="EB28" s="14"/>
      <c r="EC28" s="14"/>
      <c r="ED28" s="14"/>
      <c r="EE28" s="101" t="s">
        <v>333</v>
      </c>
      <c r="EF28" s="48"/>
      <c r="EG28" s="17">
        <f t="shared" si="0"/>
        <v>0</v>
      </c>
    </row>
    <row r="29" spans="1:137" x14ac:dyDescent="0.25">
      <c r="A29" s="50" t="s">
        <v>1854</v>
      </c>
      <c r="B29" s="208">
        <v>41514</v>
      </c>
      <c r="C29" s="209" t="s">
        <v>2742</v>
      </c>
      <c r="D29" s="61" t="s">
        <v>392</v>
      </c>
      <c r="E29" s="14" t="s">
        <v>328</v>
      </c>
      <c r="F29" s="14"/>
      <c r="G29" s="14">
        <v>32</v>
      </c>
      <c r="H29" s="14" t="s">
        <v>329</v>
      </c>
      <c r="I29" s="14" t="s">
        <v>353</v>
      </c>
      <c r="J29" s="14" t="s">
        <v>386</v>
      </c>
      <c r="K29" s="8" t="s">
        <v>1189</v>
      </c>
      <c r="L29" s="14" t="s">
        <v>1256</v>
      </c>
      <c r="M29" s="14">
        <v>14</v>
      </c>
      <c r="N29" s="14">
        <v>1</v>
      </c>
      <c r="O29" s="14">
        <v>1</v>
      </c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 t="s">
        <v>328</v>
      </c>
      <c r="AF29" s="14"/>
      <c r="AG29" s="14"/>
      <c r="AH29" s="14" t="s">
        <v>328</v>
      </c>
      <c r="AI29" s="14"/>
      <c r="AJ29" s="14"/>
      <c r="AK29" s="14"/>
      <c r="AL29" s="14"/>
      <c r="AM29" s="14" t="s">
        <v>328</v>
      </c>
      <c r="AN29" s="14"/>
      <c r="AO29" s="14" t="s">
        <v>328</v>
      </c>
      <c r="AP29" s="14"/>
      <c r="AQ29" s="14" t="s">
        <v>328</v>
      </c>
      <c r="AR29" s="14">
        <v>8</v>
      </c>
      <c r="AS29" s="14">
        <v>2</v>
      </c>
      <c r="AT29" s="14"/>
      <c r="AU29" s="14"/>
      <c r="AV29" s="14" t="s">
        <v>328</v>
      </c>
      <c r="AW29" s="14"/>
      <c r="AX29" s="14">
        <v>1</v>
      </c>
      <c r="AY29" s="14">
        <v>2</v>
      </c>
      <c r="AZ29" s="14">
        <v>3</v>
      </c>
      <c r="BA29" s="14"/>
      <c r="BB29" s="14" t="s">
        <v>328</v>
      </c>
      <c r="BC29" s="14"/>
      <c r="BD29" s="14" t="s">
        <v>328</v>
      </c>
      <c r="BE29" s="14"/>
      <c r="BF29" s="14"/>
      <c r="BG29" s="14"/>
      <c r="BH29" s="14"/>
      <c r="BI29" s="14"/>
      <c r="BJ29" s="14"/>
      <c r="BK29" s="14" t="s">
        <v>328</v>
      </c>
      <c r="BL29" s="14"/>
      <c r="BM29" s="14"/>
      <c r="BN29" s="14" t="s">
        <v>328</v>
      </c>
      <c r="BO29" s="14"/>
      <c r="BP29" s="14"/>
      <c r="BQ29" s="14" t="s">
        <v>328</v>
      </c>
      <c r="BR29" s="14" t="s">
        <v>328</v>
      </c>
      <c r="BS29" s="14" t="s">
        <v>328</v>
      </c>
      <c r="BT29" s="14"/>
      <c r="BU29" s="14"/>
      <c r="BV29" s="14"/>
      <c r="BW29" s="14"/>
      <c r="BX29" s="14"/>
      <c r="BY29" s="14" t="s">
        <v>328</v>
      </c>
      <c r="BZ29" s="14"/>
      <c r="CA29" s="14"/>
      <c r="CB29" s="14"/>
      <c r="CC29" s="14" t="s">
        <v>328</v>
      </c>
      <c r="CD29" s="14"/>
      <c r="CE29" s="14"/>
      <c r="CF29" s="14"/>
      <c r="CG29" s="14" t="s">
        <v>328</v>
      </c>
      <c r="CH29" s="14"/>
      <c r="CI29" s="14" t="s">
        <v>328</v>
      </c>
      <c r="CJ29" s="14"/>
      <c r="CK29" s="14" t="s">
        <v>328</v>
      </c>
      <c r="CL29" s="14"/>
      <c r="CM29" s="14"/>
      <c r="CN29" s="14">
        <v>4</v>
      </c>
      <c r="CO29" s="14">
        <v>3</v>
      </c>
      <c r="CP29" s="14">
        <v>1</v>
      </c>
      <c r="CQ29" s="14">
        <v>5</v>
      </c>
      <c r="CR29" s="14">
        <v>6</v>
      </c>
      <c r="CS29" s="14">
        <v>2</v>
      </c>
      <c r="CT29" s="14"/>
      <c r="CU29" s="14"/>
      <c r="CV29" s="14"/>
      <c r="CW29" s="14"/>
      <c r="CX29" s="14"/>
      <c r="CY29" s="14"/>
      <c r="CZ29" s="14" t="s">
        <v>332</v>
      </c>
      <c r="DA29" s="14"/>
      <c r="DB29" s="14"/>
      <c r="DC29" s="14">
        <v>2</v>
      </c>
      <c r="DD29" s="14">
        <v>4</v>
      </c>
      <c r="DE29" s="14">
        <v>5</v>
      </c>
      <c r="DF29" s="14">
        <v>6</v>
      </c>
      <c r="DG29" s="14">
        <v>1</v>
      </c>
      <c r="DH29" s="14">
        <v>3</v>
      </c>
      <c r="DI29" s="14"/>
      <c r="DJ29" s="14" t="s">
        <v>328</v>
      </c>
      <c r="DK29" s="14"/>
      <c r="DL29" s="14"/>
      <c r="DM29" s="14"/>
      <c r="DN29" s="14"/>
      <c r="DO29" s="14"/>
      <c r="DP29" s="14" t="s">
        <v>333</v>
      </c>
      <c r="DQ29" s="14" t="s">
        <v>328</v>
      </c>
      <c r="DR29" s="14"/>
      <c r="DS29" s="14"/>
      <c r="DT29" s="14"/>
      <c r="DU29" s="14"/>
      <c r="DV29" s="14"/>
      <c r="DW29" s="14"/>
      <c r="DX29" s="14" t="s">
        <v>333</v>
      </c>
      <c r="DY29" s="14" t="s">
        <v>328</v>
      </c>
      <c r="DZ29" s="14"/>
      <c r="EA29" s="14"/>
      <c r="EB29" s="14"/>
      <c r="EC29" s="14"/>
      <c r="ED29" s="14"/>
      <c r="EE29" s="101" t="s">
        <v>333</v>
      </c>
      <c r="EF29" s="48"/>
      <c r="EG29" s="17">
        <f t="shared" si="0"/>
        <v>0</v>
      </c>
    </row>
    <row r="30" spans="1:137" x14ac:dyDescent="0.25">
      <c r="A30" s="50" t="s">
        <v>1854</v>
      </c>
      <c r="B30" s="208">
        <v>41514</v>
      </c>
      <c r="C30" s="209" t="s">
        <v>2742</v>
      </c>
      <c r="D30" s="61" t="s">
        <v>393</v>
      </c>
      <c r="E30" s="14" t="s">
        <v>328</v>
      </c>
      <c r="F30" s="14"/>
      <c r="G30" s="14">
        <v>51</v>
      </c>
      <c r="H30" s="14" t="s">
        <v>329</v>
      </c>
      <c r="I30" s="14" t="s">
        <v>355</v>
      </c>
      <c r="J30" s="14" t="s">
        <v>386</v>
      </c>
      <c r="K30" s="14" t="s">
        <v>1189</v>
      </c>
      <c r="L30" s="14" t="s">
        <v>1256</v>
      </c>
      <c r="M30" s="14">
        <v>20</v>
      </c>
      <c r="N30" s="14">
        <v>2</v>
      </c>
      <c r="O30" s="14">
        <v>2</v>
      </c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 t="s">
        <v>328</v>
      </c>
      <c r="AD30" s="14"/>
      <c r="AE30" s="14"/>
      <c r="AF30" s="14"/>
      <c r="AG30" s="14" t="s">
        <v>328</v>
      </c>
      <c r="AH30" s="14"/>
      <c r="AI30" s="14"/>
      <c r="AJ30" s="14"/>
      <c r="AK30" s="14"/>
      <c r="AL30" s="14" t="s">
        <v>328</v>
      </c>
      <c r="AM30" s="14"/>
      <c r="AN30" s="14"/>
      <c r="AO30" s="14" t="s">
        <v>328</v>
      </c>
      <c r="AP30" s="14"/>
      <c r="AQ30" s="14"/>
      <c r="AR30" s="14">
        <v>10</v>
      </c>
      <c r="AS30" s="14">
        <v>10</v>
      </c>
      <c r="AT30" s="14"/>
      <c r="AU30" s="14" t="s">
        <v>328</v>
      </c>
      <c r="AV30" s="14"/>
      <c r="AW30" s="14" t="s">
        <v>328</v>
      </c>
      <c r="AX30" s="14">
        <v>3</v>
      </c>
      <c r="AY30" s="14">
        <v>4</v>
      </c>
      <c r="AZ30" s="14">
        <v>2</v>
      </c>
      <c r="BA30" s="14" t="s">
        <v>346</v>
      </c>
      <c r="BB30" s="14"/>
      <c r="BC30" s="14" t="s">
        <v>328</v>
      </c>
      <c r="BD30" s="14" t="s">
        <v>328</v>
      </c>
      <c r="BE30" s="14"/>
      <c r="BF30" s="14" t="s">
        <v>328</v>
      </c>
      <c r="BG30" s="14"/>
      <c r="BH30" s="14"/>
      <c r="BI30" s="14"/>
      <c r="BJ30" s="14"/>
      <c r="BK30" s="14"/>
      <c r="BL30" s="14"/>
      <c r="BM30" s="14"/>
      <c r="BN30" s="14" t="s">
        <v>328</v>
      </c>
      <c r="BO30" s="14"/>
      <c r="BP30" s="14"/>
      <c r="BQ30" s="14" t="s">
        <v>328</v>
      </c>
      <c r="BR30" s="14"/>
      <c r="BS30" s="14"/>
      <c r="BT30" s="14" t="s">
        <v>328</v>
      </c>
      <c r="BU30" s="14"/>
      <c r="BV30" s="14"/>
      <c r="BW30" s="14" t="s">
        <v>328</v>
      </c>
      <c r="BX30" s="14"/>
      <c r="BY30" s="14" t="s">
        <v>328</v>
      </c>
      <c r="BZ30" s="14"/>
      <c r="CA30" s="14"/>
      <c r="CB30" s="14"/>
      <c r="CC30" s="14"/>
      <c r="CD30" s="14"/>
      <c r="CE30" s="14"/>
      <c r="CF30" s="14"/>
      <c r="CG30" s="14" t="s">
        <v>328</v>
      </c>
      <c r="CH30" s="14"/>
      <c r="CI30" s="14" t="s">
        <v>328</v>
      </c>
      <c r="CJ30" s="14"/>
      <c r="CK30" s="14" t="s">
        <v>328</v>
      </c>
      <c r="CL30" s="14"/>
      <c r="CM30" s="14"/>
      <c r="CN30" s="14">
        <v>2</v>
      </c>
      <c r="CO30" s="14">
        <v>3</v>
      </c>
      <c r="CP30" s="14">
        <v>1</v>
      </c>
      <c r="CQ30" s="14">
        <v>6</v>
      </c>
      <c r="CR30" s="14">
        <v>5</v>
      </c>
      <c r="CS30" s="14">
        <v>4</v>
      </c>
      <c r="CT30" s="14"/>
      <c r="CU30" s="14"/>
      <c r="CV30" s="14"/>
      <c r="CW30" s="14"/>
      <c r="CX30" s="14"/>
      <c r="CY30" s="14"/>
      <c r="CZ30" s="14" t="s">
        <v>332</v>
      </c>
      <c r="DA30" s="14"/>
      <c r="DB30" s="14"/>
      <c r="DC30" s="14">
        <v>2</v>
      </c>
      <c r="DD30" s="14">
        <v>4</v>
      </c>
      <c r="DE30" s="14">
        <v>3</v>
      </c>
      <c r="DF30" s="14">
        <v>6</v>
      </c>
      <c r="DG30" s="14">
        <v>1</v>
      </c>
      <c r="DH30" s="14">
        <v>5</v>
      </c>
      <c r="DI30" s="14"/>
      <c r="DJ30" s="14"/>
      <c r="DK30" s="14" t="s">
        <v>328</v>
      </c>
      <c r="DL30" s="14" t="s">
        <v>328</v>
      </c>
      <c r="DM30" s="14" t="s">
        <v>387</v>
      </c>
      <c r="DN30" s="14"/>
      <c r="DO30" s="14" t="s">
        <v>388</v>
      </c>
      <c r="DP30" s="14" t="s">
        <v>389</v>
      </c>
      <c r="DQ30" s="14"/>
      <c r="DR30" s="14" t="s">
        <v>328</v>
      </c>
      <c r="DS30" s="14" t="s">
        <v>328</v>
      </c>
      <c r="DT30" s="14" t="s">
        <v>354</v>
      </c>
      <c r="DU30" s="14"/>
      <c r="DV30" s="14"/>
      <c r="DW30" s="14" t="s">
        <v>335</v>
      </c>
      <c r="DX30" s="14" t="s">
        <v>336</v>
      </c>
      <c r="DY30" s="14" t="s">
        <v>328</v>
      </c>
      <c r="DZ30" s="14"/>
      <c r="EA30" s="14"/>
      <c r="EB30" s="14"/>
      <c r="EC30" s="14"/>
      <c r="ED30" s="14"/>
      <c r="EE30" s="101" t="s">
        <v>333</v>
      </c>
      <c r="EF30" s="48"/>
      <c r="EG30" s="17">
        <f t="shared" si="0"/>
        <v>0</v>
      </c>
    </row>
    <row r="31" spans="1:137" x14ac:dyDescent="0.25">
      <c r="A31" s="50" t="s">
        <v>1404</v>
      </c>
      <c r="B31" s="208">
        <v>41540</v>
      </c>
      <c r="C31" s="209" t="s">
        <v>2767</v>
      </c>
      <c r="D31" s="61" t="s">
        <v>394</v>
      </c>
      <c r="E31" s="14" t="s">
        <v>328</v>
      </c>
      <c r="F31" s="14"/>
      <c r="G31" s="14">
        <v>50</v>
      </c>
      <c r="H31" s="14" t="s">
        <v>329</v>
      </c>
      <c r="I31" s="14" t="s">
        <v>399</v>
      </c>
      <c r="J31" s="14" t="s">
        <v>753</v>
      </c>
      <c r="K31" s="8" t="s">
        <v>1190</v>
      </c>
      <c r="L31" s="14" t="s">
        <v>1280</v>
      </c>
      <c r="M31" s="14">
        <v>12</v>
      </c>
      <c r="N31" s="14">
        <v>5</v>
      </c>
      <c r="O31" s="14"/>
      <c r="P31" s="14"/>
      <c r="Q31" s="14"/>
      <c r="R31" s="14"/>
      <c r="S31" s="14">
        <v>5</v>
      </c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 t="s">
        <v>328</v>
      </c>
      <c r="AK31" s="14"/>
      <c r="AL31" s="14" t="s">
        <v>328</v>
      </c>
      <c r="AM31" s="14"/>
      <c r="AN31" s="14"/>
      <c r="AO31" s="14"/>
      <c r="AP31" s="14"/>
      <c r="AQ31" s="14" t="s">
        <v>328</v>
      </c>
      <c r="AR31" s="14">
        <v>10</v>
      </c>
      <c r="AS31" s="14">
        <v>150</v>
      </c>
      <c r="AT31" s="14"/>
      <c r="AU31" s="14" t="s">
        <v>328</v>
      </c>
      <c r="AV31" s="14"/>
      <c r="AW31" s="14"/>
      <c r="AX31" s="14">
        <v>1</v>
      </c>
      <c r="AY31" s="14">
        <v>3</v>
      </c>
      <c r="AZ31" s="14">
        <v>2</v>
      </c>
      <c r="BA31" s="14"/>
      <c r="BB31" s="14"/>
      <c r="BC31" s="14" t="s">
        <v>328</v>
      </c>
      <c r="BD31" s="14" t="s">
        <v>328</v>
      </c>
      <c r="BE31" s="14"/>
      <c r="BF31" s="14"/>
      <c r="BG31" s="14"/>
      <c r="BH31" s="14"/>
      <c r="BI31" s="14"/>
      <c r="BJ31" s="14"/>
      <c r="BK31" s="14"/>
      <c r="BL31" s="14"/>
      <c r="BM31" s="14"/>
      <c r="BN31" s="14" t="s">
        <v>328</v>
      </c>
      <c r="BO31" s="14"/>
      <c r="BP31" s="14" t="s">
        <v>328</v>
      </c>
      <c r="BQ31" s="14"/>
      <c r="BR31" s="14" t="s">
        <v>328</v>
      </c>
      <c r="BS31" s="14"/>
      <c r="BT31" s="14"/>
      <c r="BU31" s="14"/>
      <c r="BV31" s="14"/>
      <c r="BW31" s="14"/>
      <c r="BX31" s="14"/>
      <c r="BY31" s="14"/>
      <c r="BZ31" s="14" t="s">
        <v>328</v>
      </c>
      <c r="CA31" s="14" t="s">
        <v>328</v>
      </c>
      <c r="CB31" s="14"/>
      <c r="CC31" s="14" t="s">
        <v>328</v>
      </c>
      <c r="CD31" s="14"/>
      <c r="CE31" s="14"/>
      <c r="CF31" s="14"/>
      <c r="CG31" s="14"/>
      <c r="CH31" s="14"/>
      <c r="CI31" s="14" t="s">
        <v>328</v>
      </c>
      <c r="CJ31" s="14"/>
      <c r="CK31" s="14"/>
      <c r="CL31" s="14"/>
      <c r="CM31" s="14"/>
      <c r="CN31" s="14">
        <v>3</v>
      </c>
      <c r="CO31" s="14">
        <v>2</v>
      </c>
      <c r="CP31" s="14">
        <v>4</v>
      </c>
      <c r="CQ31" s="14">
        <v>5</v>
      </c>
      <c r="CR31" s="14">
        <v>6</v>
      </c>
      <c r="CS31" s="14">
        <v>1</v>
      </c>
      <c r="CT31" s="14"/>
      <c r="CU31" s="14" t="s">
        <v>328</v>
      </c>
      <c r="CV31" s="14" t="s">
        <v>328</v>
      </c>
      <c r="CW31" s="14"/>
      <c r="CX31" s="14" t="s">
        <v>328</v>
      </c>
      <c r="CY31" s="14"/>
      <c r="CZ31" s="14"/>
      <c r="DA31" s="14"/>
      <c r="DB31" s="14"/>
      <c r="DC31" s="14">
        <v>2</v>
      </c>
      <c r="DD31" s="14">
        <v>6</v>
      </c>
      <c r="DE31" s="14">
        <v>5</v>
      </c>
      <c r="DF31" s="14">
        <v>3</v>
      </c>
      <c r="DG31" s="14">
        <v>1</v>
      </c>
      <c r="DH31" s="14">
        <v>4</v>
      </c>
      <c r="DI31" s="14"/>
      <c r="DJ31" s="14"/>
      <c r="DK31" s="14" t="s">
        <v>328</v>
      </c>
      <c r="DL31" s="14" t="s">
        <v>328</v>
      </c>
      <c r="DM31" s="14" t="s">
        <v>387</v>
      </c>
      <c r="DN31" s="14"/>
      <c r="DO31" s="14" t="s">
        <v>396</v>
      </c>
      <c r="DP31" s="14" t="s">
        <v>389</v>
      </c>
      <c r="DQ31" s="14"/>
      <c r="DR31" s="14" t="s">
        <v>328</v>
      </c>
      <c r="DS31" s="14" t="s">
        <v>328</v>
      </c>
      <c r="DT31" s="14" t="s">
        <v>397</v>
      </c>
      <c r="DU31" s="14"/>
      <c r="DV31" s="14"/>
      <c r="DW31" s="14" t="s">
        <v>335</v>
      </c>
      <c r="DX31" s="14" t="s">
        <v>336</v>
      </c>
      <c r="DY31" s="14"/>
      <c r="DZ31" s="14" t="s">
        <v>328</v>
      </c>
      <c r="EA31" s="14" t="s">
        <v>328</v>
      </c>
      <c r="EB31" s="14" t="s">
        <v>397</v>
      </c>
      <c r="EC31" s="14"/>
      <c r="ED31" s="14" t="s">
        <v>398</v>
      </c>
      <c r="EE31" s="102" t="s">
        <v>1145</v>
      </c>
      <c r="EF31" s="48" t="s">
        <v>395</v>
      </c>
      <c r="EG31" s="17">
        <f t="shared" si="0"/>
        <v>0</v>
      </c>
    </row>
    <row r="32" spans="1:137" x14ac:dyDescent="0.25">
      <c r="A32" s="50" t="s">
        <v>1404</v>
      </c>
      <c r="B32" s="208">
        <v>41540</v>
      </c>
      <c r="C32" s="209" t="s">
        <v>2767</v>
      </c>
      <c r="D32" s="61" t="s">
        <v>403</v>
      </c>
      <c r="E32" s="14" t="s">
        <v>328</v>
      </c>
      <c r="F32" s="14"/>
      <c r="G32" s="14">
        <v>37</v>
      </c>
      <c r="H32" s="14" t="s">
        <v>329</v>
      </c>
      <c r="I32" s="14" t="s">
        <v>330</v>
      </c>
      <c r="J32" s="14" t="s">
        <v>764</v>
      </c>
      <c r="K32" s="14" t="s">
        <v>1191</v>
      </c>
      <c r="L32" s="14" t="s">
        <v>1281</v>
      </c>
      <c r="M32" s="14">
        <v>19</v>
      </c>
      <c r="N32" s="14">
        <v>1</v>
      </c>
      <c r="O32" s="14"/>
      <c r="P32" s="14"/>
      <c r="Q32" s="14"/>
      <c r="R32" s="14">
        <v>1</v>
      </c>
      <c r="S32" s="14"/>
      <c r="T32" s="14"/>
      <c r="U32" s="14"/>
      <c r="V32" s="14"/>
      <c r="W32" s="14"/>
      <c r="X32" s="14"/>
      <c r="Y32" s="14"/>
      <c r="Z32" s="14"/>
      <c r="AA32" s="14"/>
      <c r="AB32" s="14" t="s">
        <v>328</v>
      </c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 t="s">
        <v>328</v>
      </c>
      <c r="AN32" s="14"/>
      <c r="AO32" s="14" t="s">
        <v>328</v>
      </c>
      <c r="AP32" s="14"/>
      <c r="AQ32" s="14" t="s">
        <v>328</v>
      </c>
      <c r="AR32" s="14">
        <v>10</v>
      </c>
      <c r="AS32" s="14">
        <v>8</v>
      </c>
      <c r="AT32" s="14"/>
      <c r="AU32" s="14"/>
      <c r="AV32" s="14" t="s">
        <v>328</v>
      </c>
      <c r="AW32" s="14"/>
      <c r="AX32" s="14">
        <v>2</v>
      </c>
      <c r="AY32" s="14">
        <v>1</v>
      </c>
      <c r="AZ32" s="14">
        <v>3</v>
      </c>
      <c r="BA32" s="14"/>
      <c r="BB32" s="14" t="s">
        <v>328</v>
      </c>
      <c r="BC32" s="14"/>
      <c r="BD32" s="14"/>
      <c r="BE32" s="14"/>
      <c r="BF32" s="14"/>
      <c r="BG32" s="14"/>
      <c r="BH32" s="14"/>
      <c r="BI32" s="14"/>
      <c r="BJ32" s="14"/>
      <c r="BK32" s="14" t="s">
        <v>328</v>
      </c>
      <c r="BL32" s="14"/>
      <c r="BM32" s="14"/>
      <c r="BN32" s="14"/>
      <c r="BO32" s="14" t="s">
        <v>328</v>
      </c>
      <c r="BP32" s="14"/>
      <c r="BQ32" s="14" t="s">
        <v>328</v>
      </c>
      <c r="BR32" s="14"/>
      <c r="BS32" s="14" t="s">
        <v>328</v>
      </c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 t="s">
        <v>332</v>
      </c>
      <c r="CI32" s="14" t="s">
        <v>328</v>
      </c>
      <c r="CJ32" s="14" t="s">
        <v>328</v>
      </c>
      <c r="CK32" s="14"/>
      <c r="CL32" s="14"/>
      <c r="CM32" s="14"/>
      <c r="CN32" s="14">
        <v>5</v>
      </c>
      <c r="CO32" s="14">
        <v>2</v>
      </c>
      <c r="CP32" s="14">
        <v>1</v>
      </c>
      <c r="CQ32" s="14">
        <v>4</v>
      </c>
      <c r="CR32" s="14">
        <v>6</v>
      </c>
      <c r="CS32" s="14">
        <v>3</v>
      </c>
      <c r="CT32" s="14" t="s">
        <v>328</v>
      </c>
      <c r="CU32" s="14"/>
      <c r="CV32" s="14"/>
      <c r="CW32" s="14"/>
      <c r="CX32" s="14" t="s">
        <v>328</v>
      </c>
      <c r="CY32" s="14" t="s">
        <v>328</v>
      </c>
      <c r="CZ32" s="14"/>
      <c r="DA32" s="14" t="s">
        <v>328</v>
      </c>
      <c r="DB32" s="14" t="s">
        <v>404</v>
      </c>
      <c r="DC32" s="14"/>
      <c r="DD32" s="14"/>
      <c r="DE32" s="14"/>
      <c r="DF32" s="14"/>
      <c r="DG32" s="14"/>
      <c r="DH32" s="14"/>
      <c r="DI32" s="14"/>
      <c r="DJ32" s="14"/>
      <c r="DK32" s="14" t="s">
        <v>328</v>
      </c>
      <c r="DL32" s="14" t="s">
        <v>328</v>
      </c>
      <c r="DM32" s="14" t="s">
        <v>404</v>
      </c>
      <c r="DN32" s="14"/>
      <c r="DO32" s="14" t="s">
        <v>396</v>
      </c>
      <c r="DP32" s="14" t="s">
        <v>333</v>
      </c>
      <c r="DQ32" s="14" t="s">
        <v>328</v>
      </c>
      <c r="DR32" s="14"/>
      <c r="DS32" s="14"/>
      <c r="DT32" s="14"/>
      <c r="DU32" s="14"/>
      <c r="DV32" s="14"/>
      <c r="DW32" s="14" t="s">
        <v>406</v>
      </c>
      <c r="DX32" s="14" t="s">
        <v>438</v>
      </c>
      <c r="DY32" s="14" t="s">
        <v>328</v>
      </c>
      <c r="DZ32" s="14"/>
      <c r="EA32" s="14"/>
      <c r="EB32" s="14"/>
      <c r="EC32" s="14"/>
      <c r="ED32" s="14"/>
      <c r="EE32" s="101" t="s">
        <v>333</v>
      </c>
      <c r="EF32" s="48" t="s">
        <v>333</v>
      </c>
      <c r="EG32" s="17">
        <f t="shared" si="0"/>
        <v>0</v>
      </c>
    </row>
    <row r="33" spans="1:137" x14ac:dyDescent="0.25">
      <c r="A33" s="50" t="s">
        <v>1404</v>
      </c>
      <c r="B33" s="208">
        <v>41540</v>
      </c>
      <c r="C33" s="209" t="s">
        <v>2767</v>
      </c>
      <c r="D33" s="61" t="s">
        <v>408</v>
      </c>
      <c r="E33" s="14" t="s">
        <v>328</v>
      </c>
      <c r="F33" s="14"/>
      <c r="G33" s="14">
        <v>64</v>
      </c>
      <c r="H33" s="14" t="s">
        <v>329</v>
      </c>
      <c r="I33" s="14" t="s">
        <v>353</v>
      </c>
      <c r="J33" s="14" t="s">
        <v>765</v>
      </c>
      <c r="K33" s="8" t="s">
        <v>1192</v>
      </c>
      <c r="L33" s="14" t="s">
        <v>1281</v>
      </c>
      <c r="M33" s="14">
        <v>45</v>
      </c>
      <c r="N33" s="14">
        <v>5</v>
      </c>
      <c r="O33" s="14"/>
      <c r="P33" s="14"/>
      <c r="Q33" s="14">
        <v>2</v>
      </c>
      <c r="R33" s="14">
        <v>4</v>
      </c>
      <c r="S33" s="14"/>
      <c r="T33" s="14"/>
      <c r="U33" s="14"/>
      <c r="V33" s="14"/>
      <c r="W33" s="14"/>
      <c r="X33" s="14"/>
      <c r="Y33" s="14"/>
      <c r="Z33" s="14"/>
      <c r="AA33" s="14"/>
      <c r="AB33" s="14" t="s">
        <v>328</v>
      </c>
      <c r="AC33" s="14"/>
      <c r="AD33" s="14"/>
      <c r="AE33" s="14"/>
      <c r="AF33" s="14"/>
      <c r="AG33" s="14" t="s">
        <v>328</v>
      </c>
      <c r="AH33" s="14"/>
      <c r="AI33" s="14"/>
      <c r="AJ33" s="14"/>
      <c r="AK33" s="14"/>
      <c r="AL33" s="14" t="s">
        <v>328</v>
      </c>
      <c r="AM33" s="14" t="s">
        <v>328</v>
      </c>
      <c r="AN33" s="14"/>
      <c r="AO33" s="14"/>
      <c r="AP33" s="14"/>
      <c r="AQ33" s="14" t="s">
        <v>328</v>
      </c>
      <c r="AR33" s="14">
        <v>8</v>
      </c>
      <c r="AS33" s="14">
        <v>4</v>
      </c>
      <c r="AT33" s="14"/>
      <c r="AU33" s="14"/>
      <c r="AV33" s="14" t="s">
        <v>328</v>
      </c>
      <c r="AW33" s="14"/>
      <c r="AX33" s="14">
        <v>2</v>
      </c>
      <c r="AY33" s="14">
        <v>1</v>
      </c>
      <c r="AZ33" s="14">
        <v>3</v>
      </c>
      <c r="BA33" s="14"/>
      <c r="BB33" s="14" t="s">
        <v>328</v>
      </c>
      <c r="BC33" s="14"/>
      <c r="BD33" s="14" t="s">
        <v>328</v>
      </c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 t="s">
        <v>328</v>
      </c>
      <c r="BP33" s="14"/>
      <c r="BQ33" s="14" t="s">
        <v>328</v>
      </c>
      <c r="BR33" s="14"/>
      <c r="BS33" s="14"/>
      <c r="BT33" s="14"/>
      <c r="BU33" s="14"/>
      <c r="BV33" s="14"/>
      <c r="BW33" s="14"/>
      <c r="BX33" s="8" t="s">
        <v>409</v>
      </c>
      <c r="BY33" s="14"/>
      <c r="BZ33" s="14"/>
      <c r="CA33" s="14"/>
      <c r="CB33" s="14"/>
      <c r="CC33" s="14"/>
      <c r="CD33" s="14"/>
      <c r="CE33" s="14"/>
      <c r="CF33" s="14"/>
      <c r="CG33" s="14"/>
      <c r="CH33" s="14" t="s">
        <v>332</v>
      </c>
      <c r="CI33" s="14"/>
      <c r="CJ33" s="14" t="s">
        <v>328</v>
      </c>
      <c r="CK33" s="14"/>
      <c r="CL33" s="14"/>
      <c r="CM33" s="14"/>
      <c r="CN33" s="14">
        <v>3</v>
      </c>
      <c r="CO33" s="14">
        <v>4</v>
      </c>
      <c r="CP33" s="14">
        <v>1</v>
      </c>
      <c r="CQ33" s="14">
        <v>5</v>
      </c>
      <c r="CR33" s="14">
        <v>6</v>
      </c>
      <c r="CS33" s="14">
        <v>2</v>
      </c>
      <c r="CT33" s="14" t="s">
        <v>328</v>
      </c>
      <c r="CU33" s="14"/>
      <c r="CV33" s="14"/>
      <c r="CW33" s="14"/>
      <c r="CX33" s="14" t="s">
        <v>328</v>
      </c>
      <c r="CY33" s="14"/>
      <c r="CZ33" s="14"/>
      <c r="DA33" s="14"/>
      <c r="DB33" s="14"/>
      <c r="DC33" s="14">
        <v>2</v>
      </c>
      <c r="DD33" s="14">
        <v>3</v>
      </c>
      <c r="DE33" s="14">
        <v>5</v>
      </c>
      <c r="DF33" s="14">
        <v>6</v>
      </c>
      <c r="DG33" s="14">
        <v>1</v>
      </c>
      <c r="DH33" s="14">
        <v>4</v>
      </c>
      <c r="DI33" s="14"/>
      <c r="DJ33" s="14" t="s">
        <v>328</v>
      </c>
      <c r="DK33" s="14"/>
      <c r="DL33" s="14"/>
      <c r="DM33" s="14"/>
      <c r="DN33" s="14"/>
      <c r="DO33" s="14"/>
      <c r="DP33" s="14" t="s">
        <v>396</v>
      </c>
      <c r="DQ33" s="14"/>
      <c r="DR33" s="14" t="s">
        <v>328</v>
      </c>
      <c r="DS33" s="14" t="s">
        <v>328</v>
      </c>
      <c r="DT33" s="14" t="s">
        <v>354</v>
      </c>
      <c r="DU33" s="14"/>
      <c r="DV33" s="14"/>
      <c r="DW33" s="14" t="s">
        <v>410</v>
      </c>
      <c r="DX33" s="14" t="s">
        <v>411</v>
      </c>
      <c r="DY33" s="14" t="s">
        <v>328</v>
      </c>
      <c r="DZ33" s="14"/>
      <c r="EA33" s="14"/>
      <c r="EB33" s="14"/>
      <c r="EC33" s="14"/>
      <c r="ED33" s="14"/>
      <c r="EE33" s="102" t="s">
        <v>1145</v>
      </c>
      <c r="EF33" s="48"/>
      <c r="EG33" s="17">
        <f t="shared" si="0"/>
        <v>0</v>
      </c>
    </row>
    <row r="34" spans="1:137" x14ac:dyDescent="0.25">
      <c r="A34" s="50" t="s">
        <v>1404</v>
      </c>
      <c r="B34" s="208">
        <v>41540</v>
      </c>
      <c r="C34" s="209" t="s">
        <v>2767</v>
      </c>
      <c r="D34" s="61" t="s">
        <v>413</v>
      </c>
      <c r="E34" s="14" t="s">
        <v>328</v>
      </c>
      <c r="F34" s="14"/>
      <c r="G34" s="14">
        <v>61</v>
      </c>
      <c r="H34" s="14" t="s">
        <v>329</v>
      </c>
      <c r="I34" s="14" t="s">
        <v>399</v>
      </c>
      <c r="J34" s="14" t="s">
        <v>804</v>
      </c>
      <c r="K34" s="8" t="s">
        <v>1193</v>
      </c>
      <c r="L34" s="8" t="s">
        <v>1282</v>
      </c>
      <c r="M34" s="14">
        <v>0</v>
      </c>
      <c r="N34" s="14">
        <v>2</v>
      </c>
      <c r="O34" s="14"/>
      <c r="P34" s="14"/>
      <c r="Q34" s="14">
        <v>1</v>
      </c>
      <c r="R34" s="14"/>
      <c r="S34" s="14"/>
      <c r="T34" s="14"/>
      <c r="U34" s="14">
        <v>1</v>
      </c>
      <c r="V34" s="14"/>
      <c r="W34" s="14"/>
      <c r="X34" s="14"/>
      <c r="Y34" s="14"/>
      <c r="Z34" s="14"/>
      <c r="AA34" s="14"/>
      <c r="AB34" s="14"/>
      <c r="AC34" s="14"/>
      <c r="AD34" s="14"/>
      <c r="AE34" s="14" t="s">
        <v>328</v>
      </c>
      <c r="AF34" s="14"/>
      <c r="AG34" s="14"/>
      <c r="AH34" s="14"/>
      <c r="AI34" s="14"/>
      <c r="AJ34" s="14"/>
      <c r="AK34" s="14" t="s">
        <v>423</v>
      </c>
      <c r="AL34" s="14" t="s">
        <v>328</v>
      </c>
      <c r="AM34" s="14" t="s">
        <v>328</v>
      </c>
      <c r="AN34" s="14" t="s">
        <v>328</v>
      </c>
      <c r="AO34" s="14"/>
      <c r="AP34" s="14"/>
      <c r="AQ34" s="14"/>
      <c r="AR34" s="14">
        <v>10</v>
      </c>
      <c r="AS34" s="14">
        <v>10</v>
      </c>
      <c r="AT34" s="14"/>
      <c r="AU34" s="14" t="s">
        <v>328</v>
      </c>
      <c r="AV34" s="14"/>
      <c r="AW34" s="14"/>
      <c r="AX34" s="14">
        <v>2</v>
      </c>
      <c r="AY34" s="14">
        <v>4</v>
      </c>
      <c r="AZ34" s="14">
        <v>3</v>
      </c>
      <c r="BA34" s="14" t="s">
        <v>346</v>
      </c>
      <c r="BB34" s="14"/>
      <c r="BC34" s="14" t="s">
        <v>328</v>
      </c>
      <c r="BD34" s="14"/>
      <c r="BE34" s="14" t="s">
        <v>328</v>
      </c>
      <c r="BF34" s="14"/>
      <c r="BG34" s="14"/>
      <c r="BH34" s="14"/>
      <c r="BI34" s="14"/>
      <c r="BJ34" s="14"/>
      <c r="BK34" s="14" t="s">
        <v>328</v>
      </c>
      <c r="BL34" s="14"/>
      <c r="BM34" s="14"/>
      <c r="BN34" s="14"/>
      <c r="BO34" s="14" t="s">
        <v>328</v>
      </c>
      <c r="BP34" s="14" t="s">
        <v>328</v>
      </c>
      <c r="BQ34" s="14"/>
      <c r="BR34" s="14"/>
      <c r="BS34" s="14"/>
      <c r="BT34" s="14"/>
      <c r="BU34" s="14"/>
      <c r="BV34" s="14" t="s">
        <v>328</v>
      </c>
      <c r="BW34" s="14" t="s">
        <v>328</v>
      </c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 t="s">
        <v>332</v>
      </c>
      <c r="CI34" s="14"/>
      <c r="CJ34" s="14"/>
      <c r="CK34" s="14"/>
      <c r="CL34" s="14" t="s">
        <v>328</v>
      </c>
      <c r="CM34" s="14"/>
      <c r="CN34" s="14">
        <v>2</v>
      </c>
      <c r="CO34" s="14">
        <v>4</v>
      </c>
      <c r="CP34" s="14">
        <v>3</v>
      </c>
      <c r="CQ34" s="14">
        <v>5</v>
      </c>
      <c r="CR34" s="14">
        <v>6</v>
      </c>
      <c r="CS34" s="14">
        <v>1</v>
      </c>
      <c r="CT34" s="14" t="s">
        <v>328</v>
      </c>
      <c r="CU34" s="14"/>
      <c r="CV34" s="14"/>
      <c r="CW34" s="14"/>
      <c r="CX34" s="14" t="s">
        <v>328</v>
      </c>
      <c r="CY34" s="14"/>
      <c r="CZ34" s="14"/>
      <c r="DA34" s="14"/>
      <c r="DB34" s="14"/>
      <c r="DC34" s="14">
        <v>1</v>
      </c>
      <c r="DD34" s="14">
        <v>3</v>
      </c>
      <c r="DE34" s="14">
        <v>4</v>
      </c>
      <c r="DF34" s="14">
        <v>5</v>
      </c>
      <c r="DG34" s="14">
        <v>2</v>
      </c>
      <c r="DH34" s="14">
        <v>6</v>
      </c>
      <c r="DI34" s="14"/>
      <c r="DJ34" s="14" t="s">
        <v>328</v>
      </c>
      <c r="DK34" s="14"/>
      <c r="DL34" s="14"/>
      <c r="DM34" s="14"/>
      <c r="DN34" s="14"/>
      <c r="DO34" s="14"/>
      <c r="DP34" s="14" t="s">
        <v>1145</v>
      </c>
      <c r="DQ34" s="14"/>
      <c r="DR34" s="14" t="s">
        <v>328</v>
      </c>
      <c r="DS34" s="14" t="s">
        <v>328</v>
      </c>
      <c r="DT34" s="14" t="s">
        <v>354</v>
      </c>
      <c r="DU34" s="14"/>
      <c r="DV34" s="14"/>
      <c r="DW34" s="14" t="s">
        <v>410</v>
      </c>
      <c r="DX34" s="14" t="s">
        <v>411</v>
      </c>
      <c r="DY34" s="14" t="s">
        <v>328</v>
      </c>
      <c r="DZ34" s="14"/>
      <c r="EA34" s="14"/>
      <c r="EB34" s="14"/>
      <c r="EC34" s="14"/>
      <c r="ED34" s="14"/>
      <c r="EE34" s="101" t="s">
        <v>333</v>
      </c>
      <c r="EF34" s="48"/>
      <c r="EG34" s="17">
        <f t="shared" si="0"/>
        <v>0</v>
      </c>
    </row>
    <row r="35" spans="1:137" x14ac:dyDescent="0.25">
      <c r="A35" s="50" t="s">
        <v>1404</v>
      </c>
      <c r="B35" s="208">
        <v>41540</v>
      </c>
      <c r="C35" s="209" t="s">
        <v>2767</v>
      </c>
      <c r="D35" s="61" t="s">
        <v>416</v>
      </c>
      <c r="E35" s="14"/>
      <c r="F35" s="14" t="s">
        <v>328</v>
      </c>
      <c r="G35" s="14">
        <v>51</v>
      </c>
      <c r="H35" s="14" t="s">
        <v>329</v>
      </c>
      <c r="I35" s="14" t="s">
        <v>357</v>
      </c>
      <c r="J35" s="14" t="s">
        <v>735</v>
      </c>
      <c r="K35" s="8" t="s">
        <v>1194</v>
      </c>
      <c r="L35" s="14" t="s">
        <v>1280</v>
      </c>
      <c r="M35" s="14">
        <v>15</v>
      </c>
      <c r="N35" s="14">
        <v>10</v>
      </c>
      <c r="O35" s="14"/>
      <c r="P35" s="14"/>
      <c r="Q35" s="14">
        <v>10</v>
      </c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 t="s">
        <v>418</v>
      </c>
      <c r="AL35" s="14" t="s">
        <v>328</v>
      </c>
      <c r="AM35" s="14" t="s">
        <v>328</v>
      </c>
      <c r="AN35" s="14"/>
      <c r="AO35" s="14" t="s">
        <v>328</v>
      </c>
      <c r="AP35" s="14"/>
      <c r="AQ35" s="14"/>
      <c r="AR35" s="14">
        <v>1</v>
      </c>
      <c r="AS35" s="14">
        <v>10</v>
      </c>
      <c r="AT35" s="14"/>
      <c r="AU35" s="14"/>
      <c r="AV35" s="14" t="s">
        <v>328</v>
      </c>
      <c r="AW35" s="14"/>
      <c r="AX35" s="14">
        <v>3</v>
      </c>
      <c r="AY35" s="14">
        <v>4</v>
      </c>
      <c r="AZ35" s="14">
        <v>2</v>
      </c>
      <c r="BA35" s="14" t="s">
        <v>346</v>
      </c>
      <c r="BB35" s="14"/>
      <c r="BC35" s="14" t="s">
        <v>328</v>
      </c>
      <c r="BD35" s="14"/>
      <c r="BE35" s="14" t="s">
        <v>328</v>
      </c>
      <c r="BF35" s="14"/>
      <c r="BG35" s="14"/>
      <c r="BH35" s="14"/>
      <c r="BI35" s="14"/>
      <c r="BJ35" s="14"/>
      <c r="BK35" s="14"/>
      <c r="BL35" s="14"/>
      <c r="BM35" s="14"/>
      <c r="BN35" s="14" t="s">
        <v>328</v>
      </c>
      <c r="BO35" s="14"/>
      <c r="BP35" s="14" t="s">
        <v>328</v>
      </c>
      <c r="BQ35" s="14"/>
      <c r="BR35" s="14"/>
      <c r="BS35" s="14"/>
      <c r="BT35" s="14" t="s">
        <v>328</v>
      </c>
      <c r="BU35" s="14"/>
      <c r="BV35" s="14"/>
      <c r="BW35" s="14"/>
      <c r="BX35" s="14"/>
      <c r="BY35" s="14"/>
      <c r="BZ35" s="14"/>
      <c r="CA35" s="14"/>
      <c r="CB35" s="14" t="s">
        <v>328</v>
      </c>
      <c r="CC35" s="14"/>
      <c r="CD35" s="14"/>
      <c r="CE35" s="14"/>
      <c r="CF35" s="14"/>
      <c r="CG35" s="14"/>
      <c r="CH35" s="14"/>
      <c r="CI35" s="14" t="s">
        <v>328</v>
      </c>
      <c r="CJ35" s="14"/>
      <c r="CK35" s="14"/>
      <c r="CL35" s="14"/>
      <c r="CM35" s="14"/>
      <c r="CN35" s="14">
        <v>2</v>
      </c>
      <c r="CO35" s="14">
        <v>3</v>
      </c>
      <c r="CP35" s="14">
        <v>4</v>
      </c>
      <c r="CQ35" s="14">
        <v>5</v>
      </c>
      <c r="CR35" s="14">
        <v>6</v>
      </c>
      <c r="CS35" s="14">
        <v>1</v>
      </c>
      <c r="CT35" s="14"/>
      <c r="CU35" s="14"/>
      <c r="CV35" s="14"/>
      <c r="CW35" s="14"/>
      <c r="CX35" s="14" t="s">
        <v>328</v>
      </c>
      <c r="CY35" s="14"/>
      <c r="CZ35" s="14"/>
      <c r="DA35" s="14"/>
      <c r="DB35" s="14"/>
      <c r="DC35" s="14">
        <v>1</v>
      </c>
      <c r="DD35" s="14">
        <v>3</v>
      </c>
      <c r="DE35" s="14">
        <v>4</v>
      </c>
      <c r="DF35" s="14">
        <v>5</v>
      </c>
      <c r="DG35" s="14">
        <v>2</v>
      </c>
      <c r="DH35" s="14">
        <v>6</v>
      </c>
      <c r="DI35" s="14"/>
      <c r="DJ35" s="14" t="s">
        <v>328</v>
      </c>
      <c r="DK35" s="14"/>
      <c r="DL35" s="14"/>
      <c r="DM35" s="14"/>
      <c r="DN35" s="14"/>
      <c r="DO35" s="14"/>
      <c r="DP35" s="14" t="s">
        <v>472</v>
      </c>
      <c r="DQ35" s="14"/>
      <c r="DR35" s="14" t="s">
        <v>328</v>
      </c>
      <c r="DS35" s="14" t="s">
        <v>328</v>
      </c>
      <c r="DT35" s="14" t="s">
        <v>397</v>
      </c>
      <c r="DU35" s="14"/>
      <c r="DV35" s="14"/>
      <c r="DW35" s="14" t="s">
        <v>335</v>
      </c>
      <c r="DX35" s="14" t="s">
        <v>411</v>
      </c>
      <c r="DY35" s="14"/>
      <c r="DZ35" s="14" t="s">
        <v>328</v>
      </c>
      <c r="EA35" s="14" t="s">
        <v>328</v>
      </c>
      <c r="EB35" s="14" t="s">
        <v>397</v>
      </c>
      <c r="EC35" s="14"/>
      <c r="ED35" s="14" t="s">
        <v>398</v>
      </c>
      <c r="EE35" s="101" t="s">
        <v>333</v>
      </c>
      <c r="EF35" s="48"/>
      <c r="EG35" s="17">
        <f t="shared" si="0"/>
        <v>0</v>
      </c>
    </row>
    <row r="36" spans="1:137" x14ac:dyDescent="0.25">
      <c r="A36" s="50" t="s">
        <v>1404</v>
      </c>
      <c r="B36" s="208">
        <v>41540</v>
      </c>
      <c r="C36" s="209" t="s">
        <v>2767</v>
      </c>
      <c r="D36" s="61" t="s">
        <v>417</v>
      </c>
      <c r="E36" s="14"/>
      <c r="F36" s="14" t="s">
        <v>328</v>
      </c>
      <c r="G36" s="14">
        <v>49</v>
      </c>
      <c r="H36" s="14" t="s">
        <v>329</v>
      </c>
      <c r="I36" s="14" t="s">
        <v>399</v>
      </c>
      <c r="J36" s="14" t="s">
        <v>745</v>
      </c>
      <c r="K36" s="8" t="s">
        <v>1195</v>
      </c>
      <c r="L36" s="14" t="s">
        <v>1283</v>
      </c>
      <c r="M36" s="14">
        <v>15</v>
      </c>
      <c r="N36" s="14">
        <v>16</v>
      </c>
      <c r="O36" s="14"/>
      <c r="P36" s="14"/>
      <c r="Q36" s="14">
        <v>54</v>
      </c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 t="s">
        <v>328</v>
      </c>
      <c r="AG36" s="14"/>
      <c r="AH36" s="14"/>
      <c r="AI36" s="14"/>
      <c r="AJ36" s="14"/>
      <c r="AK36" s="15" t="s">
        <v>832</v>
      </c>
      <c r="AL36" s="14" t="s">
        <v>328</v>
      </c>
      <c r="AM36" s="14" t="s">
        <v>328</v>
      </c>
      <c r="AN36" s="14"/>
      <c r="AO36" s="14"/>
      <c r="AP36" s="14" t="s">
        <v>328</v>
      </c>
      <c r="AQ36" s="14"/>
      <c r="AR36" s="14">
        <v>10</v>
      </c>
      <c r="AS36" s="14">
        <v>6</v>
      </c>
      <c r="AT36" s="14"/>
      <c r="AU36" s="14" t="s">
        <v>328</v>
      </c>
      <c r="AV36" s="14"/>
      <c r="AW36" s="14"/>
      <c r="AX36" s="14">
        <v>2</v>
      </c>
      <c r="AY36" s="14">
        <v>3</v>
      </c>
      <c r="AZ36" s="14">
        <v>1</v>
      </c>
      <c r="BA36" s="14"/>
      <c r="BB36" s="14"/>
      <c r="BC36" s="14" t="s">
        <v>328</v>
      </c>
      <c r="BD36" s="14"/>
      <c r="BE36" s="14" t="s">
        <v>328</v>
      </c>
      <c r="BF36" s="14"/>
      <c r="BG36" s="14"/>
      <c r="BH36" s="14"/>
      <c r="BI36" s="14"/>
      <c r="BJ36" s="14"/>
      <c r="BK36" s="14"/>
      <c r="BL36" s="14"/>
      <c r="BM36" s="14"/>
      <c r="BN36" s="14" t="s">
        <v>328</v>
      </c>
      <c r="BO36" s="14"/>
      <c r="BP36" s="14" t="s">
        <v>328</v>
      </c>
      <c r="BQ36" s="14"/>
      <c r="BR36" s="14" t="s">
        <v>328</v>
      </c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 t="s">
        <v>419</v>
      </c>
      <c r="CI36" s="14" t="s">
        <v>328</v>
      </c>
      <c r="CJ36" s="14"/>
      <c r="CK36" s="14"/>
      <c r="CL36" s="14"/>
      <c r="CM36" s="14"/>
      <c r="CN36" s="14">
        <v>3</v>
      </c>
      <c r="CO36" s="14">
        <v>4</v>
      </c>
      <c r="CP36" s="14">
        <v>5</v>
      </c>
      <c r="CQ36" s="14">
        <v>2</v>
      </c>
      <c r="CR36" s="14">
        <v>6</v>
      </c>
      <c r="CS36" s="14">
        <v>1</v>
      </c>
      <c r="CT36" s="14" t="s">
        <v>328</v>
      </c>
      <c r="CU36" s="14"/>
      <c r="CV36" s="14"/>
      <c r="CW36" s="14"/>
      <c r="CX36" s="14" t="s">
        <v>328</v>
      </c>
      <c r="CY36" s="14"/>
      <c r="CZ36" s="14"/>
      <c r="DA36" s="14"/>
      <c r="DB36" s="14"/>
      <c r="DC36" s="14">
        <v>1</v>
      </c>
      <c r="DD36" s="14">
        <v>4</v>
      </c>
      <c r="DE36" s="14">
        <v>5</v>
      </c>
      <c r="DF36" s="14">
        <v>3</v>
      </c>
      <c r="DG36" s="14">
        <v>2</v>
      </c>
      <c r="DH36" s="14">
        <v>6</v>
      </c>
      <c r="DI36" s="14"/>
      <c r="DJ36" s="14" t="s">
        <v>328</v>
      </c>
      <c r="DK36" s="14"/>
      <c r="DL36" s="14"/>
      <c r="DM36" s="14"/>
      <c r="DN36" s="14"/>
      <c r="DO36" s="14"/>
      <c r="DP36" s="14" t="s">
        <v>333</v>
      </c>
      <c r="DQ36" s="14"/>
      <c r="DR36" s="14" t="s">
        <v>328</v>
      </c>
      <c r="DS36" s="14" t="s">
        <v>328</v>
      </c>
      <c r="DT36" s="14" t="s">
        <v>618</v>
      </c>
      <c r="DU36" s="14"/>
      <c r="DV36" s="14"/>
      <c r="DW36" s="14" t="s">
        <v>335</v>
      </c>
      <c r="DX36" s="14" t="s">
        <v>411</v>
      </c>
      <c r="DY36" s="14"/>
      <c r="DZ36" s="14" t="s">
        <v>328</v>
      </c>
      <c r="EA36" s="14" t="s">
        <v>328</v>
      </c>
      <c r="EB36" s="14" t="s">
        <v>420</v>
      </c>
      <c r="EC36" s="14"/>
      <c r="ED36" s="14" t="s">
        <v>398</v>
      </c>
      <c r="EE36" s="101" t="s">
        <v>333</v>
      </c>
      <c r="EF36" s="48"/>
      <c r="EG36" s="17">
        <f t="shared" si="0"/>
        <v>0</v>
      </c>
    </row>
    <row r="37" spans="1:137" x14ac:dyDescent="0.25">
      <c r="A37" s="50" t="s">
        <v>1404</v>
      </c>
      <c r="B37" s="208">
        <v>41540</v>
      </c>
      <c r="C37" s="209" t="s">
        <v>2767</v>
      </c>
      <c r="D37" s="61" t="s">
        <v>422</v>
      </c>
      <c r="E37" s="14" t="s">
        <v>328</v>
      </c>
      <c r="F37" s="14"/>
      <c r="G37" s="14">
        <v>39</v>
      </c>
      <c r="H37" s="14" t="s">
        <v>329</v>
      </c>
      <c r="I37" s="14" t="s">
        <v>330</v>
      </c>
      <c r="J37" s="14" t="s">
        <v>739</v>
      </c>
      <c r="K37" s="14" t="s">
        <v>1196</v>
      </c>
      <c r="L37" s="14" t="s">
        <v>1280</v>
      </c>
      <c r="M37" s="14">
        <v>15</v>
      </c>
      <c r="N37" s="14">
        <v>1</v>
      </c>
      <c r="O37" s="14"/>
      <c r="P37" s="14"/>
      <c r="Q37" s="14"/>
      <c r="R37" s="14"/>
      <c r="S37" s="14"/>
      <c r="T37" s="14"/>
      <c r="U37" s="14"/>
      <c r="V37" s="14">
        <v>1</v>
      </c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 t="s">
        <v>423</v>
      </c>
      <c r="AL37" s="15"/>
      <c r="AM37" s="14" t="s">
        <v>328</v>
      </c>
      <c r="AN37" s="14"/>
      <c r="AO37" s="14"/>
      <c r="AP37" s="14"/>
      <c r="AQ37" s="14" t="s">
        <v>328</v>
      </c>
      <c r="AR37" s="14">
        <v>10</v>
      </c>
      <c r="AS37" s="14">
        <v>1</v>
      </c>
      <c r="AT37" s="14"/>
      <c r="AU37" s="14"/>
      <c r="AV37" s="14" t="s">
        <v>328</v>
      </c>
      <c r="AW37" s="14"/>
      <c r="AX37" s="14">
        <v>3</v>
      </c>
      <c r="AY37" s="14">
        <v>2</v>
      </c>
      <c r="AZ37" s="14">
        <v>1</v>
      </c>
      <c r="BA37" s="14"/>
      <c r="BB37" s="14"/>
      <c r="BC37" s="14" t="s">
        <v>328</v>
      </c>
      <c r="BD37" s="14"/>
      <c r="BE37" s="14"/>
      <c r="BF37" s="14" t="s">
        <v>328</v>
      </c>
      <c r="BG37" s="14"/>
      <c r="BH37" s="14"/>
      <c r="BI37" s="14"/>
      <c r="BJ37" s="14"/>
      <c r="BK37" s="14"/>
      <c r="BL37" s="14"/>
      <c r="BM37" s="14"/>
      <c r="BN37" s="14" t="s">
        <v>328</v>
      </c>
      <c r="BO37" s="14"/>
      <c r="BP37" s="14" t="s">
        <v>328</v>
      </c>
      <c r="BQ37" s="14"/>
      <c r="BR37" s="14" t="s">
        <v>328</v>
      </c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 t="s">
        <v>332</v>
      </c>
      <c r="CI37" s="14"/>
      <c r="CJ37" s="14"/>
      <c r="CK37" s="14"/>
      <c r="CL37" s="14" t="s">
        <v>328</v>
      </c>
      <c r="CM37" s="14"/>
      <c r="CN37" s="14">
        <v>3</v>
      </c>
      <c r="CO37" s="14">
        <v>4</v>
      </c>
      <c r="CP37" s="14">
        <v>2</v>
      </c>
      <c r="CQ37" s="14">
        <v>5</v>
      </c>
      <c r="CR37" s="14">
        <v>6</v>
      </c>
      <c r="CS37" s="14">
        <v>1</v>
      </c>
      <c r="CT37" s="14" t="s">
        <v>328</v>
      </c>
      <c r="CU37" s="14"/>
      <c r="CV37" s="14"/>
      <c r="CW37" s="14"/>
      <c r="CX37" s="14"/>
      <c r="CY37" s="14"/>
      <c r="CZ37" s="14" t="s">
        <v>424</v>
      </c>
      <c r="DA37" s="14" t="s">
        <v>328</v>
      </c>
      <c r="DB37" s="14" t="s">
        <v>425</v>
      </c>
      <c r="DC37" s="14">
        <v>2</v>
      </c>
      <c r="DD37" s="14">
        <v>3</v>
      </c>
      <c r="DE37" s="14">
        <v>5</v>
      </c>
      <c r="DF37" s="14">
        <v>6</v>
      </c>
      <c r="DG37" s="14">
        <v>1</v>
      </c>
      <c r="DH37" s="14">
        <v>4</v>
      </c>
      <c r="DI37" s="14"/>
      <c r="DJ37" s="14"/>
      <c r="DK37" s="14" t="s">
        <v>328</v>
      </c>
      <c r="DL37" s="14" t="s">
        <v>328</v>
      </c>
      <c r="DM37" s="14" t="s">
        <v>426</v>
      </c>
      <c r="DN37" s="14"/>
      <c r="DO37" s="14" t="s">
        <v>427</v>
      </c>
      <c r="DP37" s="15" t="s">
        <v>411</v>
      </c>
      <c r="DQ37" s="14"/>
      <c r="DR37" s="14" t="s">
        <v>328</v>
      </c>
      <c r="DS37" s="14" t="s">
        <v>328</v>
      </c>
      <c r="DT37" s="14" t="s">
        <v>397</v>
      </c>
      <c r="DU37" s="14"/>
      <c r="DV37" s="14"/>
      <c r="DW37" s="14" t="s">
        <v>428</v>
      </c>
      <c r="DX37" s="15" t="s">
        <v>1162</v>
      </c>
      <c r="DY37" s="14" t="s">
        <v>328</v>
      </c>
      <c r="DZ37" s="14"/>
      <c r="EA37" s="14"/>
      <c r="EB37" s="14"/>
      <c r="EC37" s="14"/>
      <c r="ED37" s="14"/>
      <c r="EE37" s="101" t="s">
        <v>1145</v>
      </c>
      <c r="EF37" s="48"/>
      <c r="EG37" s="17">
        <f t="shared" si="0"/>
        <v>0</v>
      </c>
    </row>
    <row r="38" spans="1:137" x14ac:dyDescent="0.25">
      <c r="A38" s="50" t="s">
        <v>1404</v>
      </c>
      <c r="B38" s="208">
        <v>41540</v>
      </c>
      <c r="C38" s="209" t="s">
        <v>2767</v>
      </c>
      <c r="D38" s="61" t="s">
        <v>431</v>
      </c>
      <c r="E38" s="14"/>
      <c r="F38" s="14" t="s">
        <v>328</v>
      </c>
      <c r="G38" s="14">
        <v>63</v>
      </c>
      <c r="H38" s="14" t="s">
        <v>329</v>
      </c>
      <c r="I38" s="14" t="s">
        <v>399</v>
      </c>
      <c r="J38" s="14" t="s">
        <v>758</v>
      </c>
      <c r="K38" s="14" t="s">
        <v>1197</v>
      </c>
      <c r="L38" s="14" t="s">
        <v>1283</v>
      </c>
      <c r="M38" s="14">
        <v>10</v>
      </c>
      <c r="N38" s="14">
        <v>8</v>
      </c>
      <c r="O38" s="14">
        <v>8</v>
      </c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 t="s">
        <v>418</v>
      </c>
      <c r="AL38" s="15"/>
      <c r="AM38" s="14" t="s">
        <v>328</v>
      </c>
      <c r="AN38" s="14"/>
      <c r="AO38" s="14"/>
      <c r="AP38" s="14"/>
      <c r="AQ38" s="14" t="s">
        <v>328</v>
      </c>
      <c r="AR38" s="14">
        <v>1</v>
      </c>
      <c r="AS38" s="14">
        <v>6</v>
      </c>
      <c r="AT38" s="14"/>
      <c r="AU38" s="14"/>
      <c r="AV38" s="14" t="s">
        <v>328</v>
      </c>
      <c r="AW38" s="14"/>
      <c r="AX38" s="14">
        <v>3</v>
      </c>
      <c r="AY38" s="14">
        <v>2</v>
      </c>
      <c r="AZ38" s="14">
        <v>1</v>
      </c>
      <c r="BA38" s="14"/>
      <c r="BB38" s="14"/>
      <c r="BC38" s="14" t="s">
        <v>328</v>
      </c>
      <c r="BD38" s="14"/>
      <c r="BE38" s="14"/>
      <c r="BF38" s="14"/>
      <c r="BG38" s="14" t="s">
        <v>328</v>
      </c>
      <c r="BH38" s="14"/>
      <c r="BI38" s="14"/>
      <c r="BJ38" s="14"/>
      <c r="BK38" s="14"/>
      <c r="BL38" s="14"/>
      <c r="BM38" s="14"/>
      <c r="BN38" s="14" t="s">
        <v>328</v>
      </c>
      <c r="BO38" s="14"/>
      <c r="BP38" s="14" t="s">
        <v>328</v>
      </c>
      <c r="BQ38" s="14"/>
      <c r="BR38" s="14" t="s">
        <v>328</v>
      </c>
      <c r="BS38" s="14"/>
      <c r="BT38" s="14"/>
      <c r="BU38" s="14"/>
      <c r="BV38" s="14"/>
      <c r="BW38" s="14"/>
      <c r="BX38" s="14"/>
      <c r="BY38" s="14" t="s">
        <v>328</v>
      </c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 t="s">
        <v>328</v>
      </c>
      <c r="CM38" s="14"/>
      <c r="CN38" s="14">
        <v>2</v>
      </c>
      <c r="CO38" s="14">
        <v>6</v>
      </c>
      <c r="CP38" s="14">
        <v>4</v>
      </c>
      <c r="CQ38" s="14">
        <v>5</v>
      </c>
      <c r="CR38" s="14">
        <v>3</v>
      </c>
      <c r="CS38" s="14">
        <v>1</v>
      </c>
      <c r="CT38" s="14"/>
      <c r="CU38" s="14"/>
      <c r="CV38" s="14"/>
      <c r="CW38" s="14"/>
      <c r="CX38" s="14"/>
      <c r="CY38" s="14"/>
      <c r="CZ38" s="14" t="s">
        <v>332</v>
      </c>
      <c r="DA38" s="14" t="s">
        <v>696</v>
      </c>
      <c r="DB38" s="14"/>
      <c r="DC38" s="14">
        <v>2</v>
      </c>
      <c r="DD38" s="14"/>
      <c r="DE38" s="14">
        <v>5</v>
      </c>
      <c r="DF38" s="14">
        <v>6</v>
      </c>
      <c r="DG38" s="14">
        <v>3</v>
      </c>
      <c r="DH38" s="14">
        <v>4</v>
      </c>
      <c r="DI38" s="14" t="s">
        <v>346</v>
      </c>
      <c r="DJ38" s="14" t="s">
        <v>328</v>
      </c>
      <c r="DK38" s="14"/>
      <c r="DL38" s="14"/>
      <c r="DM38" s="14"/>
      <c r="DN38" s="14"/>
      <c r="DO38" s="14"/>
      <c r="DP38" s="14" t="s">
        <v>1145</v>
      </c>
      <c r="DQ38" s="14"/>
      <c r="DR38" s="14" t="s">
        <v>328</v>
      </c>
      <c r="DS38" s="14" t="s">
        <v>328</v>
      </c>
      <c r="DT38" s="14" t="s">
        <v>397</v>
      </c>
      <c r="DU38" s="14"/>
      <c r="DV38" s="14"/>
      <c r="DW38" s="14" t="s">
        <v>428</v>
      </c>
      <c r="DX38" s="14" t="s">
        <v>411</v>
      </c>
      <c r="DY38" s="14"/>
      <c r="DZ38" s="14" t="s">
        <v>328</v>
      </c>
      <c r="EA38" s="14" t="s">
        <v>328</v>
      </c>
      <c r="EB38" s="14" t="s">
        <v>397</v>
      </c>
      <c r="EC38" s="14"/>
      <c r="ED38" s="14" t="s">
        <v>412</v>
      </c>
      <c r="EE38" s="101" t="s">
        <v>433</v>
      </c>
      <c r="EF38" s="48"/>
      <c r="EG38" s="17">
        <f t="shared" si="0"/>
        <v>0</v>
      </c>
    </row>
    <row r="39" spans="1:137" x14ac:dyDescent="0.25">
      <c r="A39" s="50" t="s">
        <v>1404</v>
      </c>
      <c r="B39" s="208">
        <v>41540</v>
      </c>
      <c r="C39" s="209" t="s">
        <v>2767</v>
      </c>
      <c r="D39" s="61" t="s">
        <v>434</v>
      </c>
      <c r="E39" s="14" t="s">
        <v>328</v>
      </c>
      <c r="F39" s="14"/>
      <c r="G39" s="14">
        <v>42</v>
      </c>
      <c r="H39" s="14" t="s">
        <v>329</v>
      </c>
      <c r="I39" s="14" t="s">
        <v>357</v>
      </c>
      <c r="J39" s="14" t="s">
        <v>763</v>
      </c>
      <c r="K39" s="8" t="s">
        <v>1198</v>
      </c>
      <c r="L39" s="14" t="s">
        <v>1280</v>
      </c>
      <c r="M39" s="14">
        <v>15</v>
      </c>
      <c r="N39" s="14">
        <v>3</v>
      </c>
      <c r="O39" s="14">
        <v>3</v>
      </c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 t="s">
        <v>418</v>
      </c>
      <c r="AL39" s="15"/>
      <c r="AM39" s="14" t="s">
        <v>328</v>
      </c>
      <c r="AN39" s="14"/>
      <c r="AO39" s="14"/>
      <c r="AP39" s="14"/>
      <c r="AQ39" s="14" t="s">
        <v>328</v>
      </c>
      <c r="AR39" s="14">
        <v>10</v>
      </c>
      <c r="AS39" s="14">
        <v>8</v>
      </c>
      <c r="AT39" s="14"/>
      <c r="AU39" s="14"/>
      <c r="AV39" s="14" t="s">
        <v>328</v>
      </c>
      <c r="AW39" s="14"/>
      <c r="AX39" s="14">
        <v>1</v>
      </c>
      <c r="AY39" s="14">
        <v>2</v>
      </c>
      <c r="AZ39" s="14">
        <v>3</v>
      </c>
      <c r="BA39" s="14"/>
      <c r="BB39" s="14" t="s">
        <v>328</v>
      </c>
      <c r="BC39" s="14"/>
      <c r="BD39" s="14" t="s">
        <v>328</v>
      </c>
      <c r="BE39" s="14"/>
      <c r="BF39" s="14"/>
      <c r="BG39" s="14"/>
      <c r="BH39" s="14"/>
      <c r="BI39" s="14"/>
      <c r="BJ39" s="14"/>
      <c r="BK39" s="14"/>
      <c r="BL39" s="14"/>
      <c r="BM39" s="14"/>
      <c r="BN39" s="14" t="s">
        <v>328</v>
      </c>
      <c r="BO39" s="14"/>
      <c r="BP39" s="14" t="s">
        <v>328</v>
      </c>
      <c r="BQ39" s="14"/>
      <c r="BR39" s="14"/>
      <c r="BS39" s="14"/>
      <c r="BT39" s="14"/>
      <c r="BU39" s="14"/>
      <c r="BV39" s="14"/>
      <c r="BW39" s="14" t="s">
        <v>328</v>
      </c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 t="s">
        <v>332</v>
      </c>
      <c r="CI39" s="14"/>
      <c r="CJ39" s="14"/>
      <c r="CK39" s="14"/>
      <c r="CL39" s="14"/>
      <c r="CM39" s="14" t="s">
        <v>328</v>
      </c>
      <c r="CN39" s="14">
        <v>1</v>
      </c>
      <c r="CO39" s="14">
        <v>3</v>
      </c>
      <c r="CP39" s="14">
        <v>4</v>
      </c>
      <c r="CQ39" s="14">
        <v>5</v>
      </c>
      <c r="CR39" s="14">
        <v>6</v>
      </c>
      <c r="CS39" s="14">
        <v>2</v>
      </c>
      <c r="CT39" s="14" t="s">
        <v>328</v>
      </c>
      <c r="CU39" s="14"/>
      <c r="CV39" s="14"/>
      <c r="CW39" s="14"/>
      <c r="CX39" s="14" t="s">
        <v>328</v>
      </c>
      <c r="CY39" s="14"/>
      <c r="CZ39" s="14"/>
      <c r="DA39" s="14"/>
      <c r="DB39" s="14"/>
      <c r="DC39" s="14">
        <v>2</v>
      </c>
      <c r="DD39" s="14">
        <v>4</v>
      </c>
      <c r="DE39" s="14">
        <v>6</v>
      </c>
      <c r="DF39" s="14">
        <v>5</v>
      </c>
      <c r="DG39" s="14">
        <v>1</v>
      </c>
      <c r="DH39" s="14">
        <v>3</v>
      </c>
      <c r="DI39" s="14"/>
      <c r="DJ39" s="14"/>
      <c r="DK39" s="14" t="s">
        <v>328</v>
      </c>
      <c r="DL39" s="14" t="s">
        <v>328</v>
      </c>
      <c r="DM39" s="14" t="s">
        <v>397</v>
      </c>
      <c r="DN39" s="14"/>
      <c r="DO39" s="14" t="s">
        <v>432</v>
      </c>
      <c r="DP39" s="14" t="s">
        <v>389</v>
      </c>
      <c r="DQ39" s="14"/>
      <c r="DR39" s="14" t="s">
        <v>328</v>
      </c>
      <c r="DS39" s="14" t="s">
        <v>328</v>
      </c>
      <c r="DT39" s="14" t="s">
        <v>397</v>
      </c>
      <c r="DU39" s="14"/>
      <c r="DV39" s="14"/>
      <c r="DW39" s="14" t="s">
        <v>410</v>
      </c>
      <c r="DX39" s="14" t="s">
        <v>411</v>
      </c>
      <c r="DY39" s="14"/>
      <c r="DZ39" s="14" t="s">
        <v>328</v>
      </c>
      <c r="EA39" s="14" t="s">
        <v>328</v>
      </c>
      <c r="EB39" s="14" t="s">
        <v>397</v>
      </c>
      <c r="EC39" s="14"/>
      <c r="ED39" s="14" t="s">
        <v>435</v>
      </c>
      <c r="EE39" s="101" t="s">
        <v>497</v>
      </c>
      <c r="EF39" s="48"/>
      <c r="EG39" s="17">
        <f t="shared" si="0"/>
        <v>0</v>
      </c>
    </row>
    <row r="40" spans="1:137" x14ac:dyDescent="0.25">
      <c r="A40" s="50" t="s">
        <v>1404</v>
      </c>
      <c r="B40" s="208">
        <v>41541</v>
      </c>
      <c r="C40" s="209" t="s">
        <v>2767</v>
      </c>
      <c r="D40" s="61" t="s">
        <v>436</v>
      </c>
      <c r="E40" s="14"/>
      <c r="F40" s="14" t="s">
        <v>328</v>
      </c>
      <c r="G40" s="14">
        <v>56</v>
      </c>
      <c r="H40" s="14" t="s">
        <v>329</v>
      </c>
      <c r="I40" s="14" t="s">
        <v>357</v>
      </c>
      <c r="J40" s="14" t="s">
        <v>380</v>
      </c>
      <c r="K40" s="14" t="s">
        <v>1188</v>
      </c>
      <c r="L40" s="14" t="s">
        <v>1188</v>
      </c>
      <c r="M40" s="14">
        <v>30</v>
      </c>
      <c r="N40" s="14">
        <v>6</v>
      </c>
      <c r="O40" s="14">
        <v>6</v>
      </c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 t="s">
        <v>440</v>
      </c>
      <c r="AL40" s="14" t="s">
        <v>328</v>
      </c>
      <c r="AM40" s="14"/>
      <c r="AN40" s="14" t="s">
        <v>328</v>
      </c>
      <c r="AO40" s="14"/>
      <c r="AP40" s="14"/>
      <c r="AQ40" s="14"/>
      <c r="AR40" s="14">
        <v>10</v>
      </c>
      <c r="AS40" s="14">
        <v>1</v>
      </c>
      <c r="AT40" s="14"/>
      <c r="AU40" s="14" t="s">
        <v>328</v>
      </c>
      <c r="AV40" s="14"/>
      <c r="AW40" s="14"/>
      <c r="AX40" s="14">
        <v>2</v>
      </c>
      <c r="AY40" s="14">
        <v>3</v>
      </c>
      <c r="AZ40" s="14">
        <v>1</v>
      </c>
      <c r="BA40" s="14"/>
      <c r="BB40" s="14"/>
      <c r="BC40" s="14" t="s">
        <v>328</v>
      </c>
      <c r="BD40" s="14"/>
      <c r="BE40" s="14"/>
      <c r="BF40" s="14"/>
      <c r="BG40" s="14"/>
      <c r="BH40" s="14"/>
      <c r="BI40" s="14"/>
      <c r="BJ40" s="14"/>
      <c r="BK40" s="14" t="s">
        <v>328</v>
      </c>
      <c r="BL40" s="14"/>
      <c r="BM40" s="14"/>
      <c r="BN40" s="14" t="s">
        <v>328</v>
      </c>
      <c r="BO40" s="14"/>
      <c r="BP40" s="14" t="s">
        <v>328</v>
      </c>
      <c r="BQ40" s="14"/>
      <c r="BR40" s="14" t="s">
        <v>328</v>
      </c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 t="s">
        <v>332</v>
      </c>
      <c r="CI40" s="14" t="s">
        <v>328</v>
      </c>
      <c r="CJ40" s="14"/>
      <c r="CK40" s="14"/>
      <c r="CL40" s="14"/>
      <c r="CM40" s="14"/>
      <c r="CN40" s="14">
        <v>3</v>
      </c>
      <c r="CO40" s="14">
        <v>2</v>
      </c>
      <c r="CP40" s="14">
        <v>4</v>
      </c>
      <c r="CQ40" s="14">
        <v>5</v>
      </c>
      <c r="CR40" s="14">
        <v>6</v>
      </c>
      <c r="CS40" s="14">
        <v>1</v>
      </c>
      <c r="CT40" s="14" t="s">
        <v>328</v>
      </c>
      <c r="CU40" s="14" t="s">
        <v>328</v>
      </c>
      <c r="CV40" s="14"/>
      <c r="CW40" s="14"/>
      <c r="CX40" s="14" t="s">
        <v>328</v>
      </c>
      <c r="CY40" s="14"/>
      <c r="CZ40" s="14"/>
      <c r="DA40" s="14"/>
      <c r="DB40" s="14"/>
      <c r="DC40" s="14">
        <v>2</v>
      </c>
      <c r="DD40" s="14">
        <v>1</v>
      </c>
      <c r="DE40" s="14">
        <v>6</v>
      </c>
      <c r="DF40" s="14">
        <v>5</v>
      </c>
      <c r="DG40" s="14">
        <v>3</v>
      </c>
      <c r="DH40" s="14">
        <v>4</v>
      </c>
      <c r="DI40" s="14"/>
      <c r="DJ40" s="14" t="s">
        <v>328</v>
      </c>
      <c r="DK40" s="14"/>
      <c r="DL40" s="14"/>
      <c r="DM40" s="14"/>
      <c r="DN40" s="14"/>
      <c r="DO40" s="14"/>
      <c r="DP40" s="14" t="s">
        <v>1145</v>
      </c>
      <c r="DQ40" s="14"/>
      <c r="DR40" s="14" t="s">
        <v>328</v>
      </c>
      <c r="DS40" s="14" t="s">
        <v>328</v>
      </c>
      <c r="DT40" s="14" t="s">
        <v>397</v>
      </c>
      <c r="DU40" s="14"/>
      <c r="DV40" s="14"/>
      <c r="DW40" s="14" t="s">
        <v>428</v>
      </c>
      <c r="DX40" s="14" t="s">
        <v>411</v>
      </c>
      <c r="DY40" s="14"/>
      <c r="DZ40" s="14" t="s">
        <v>328</v>
      </c>
      <c r="EA40" s="14" t="s">
        <v>328</v>
      </c>
      <c r="EB40" s="14" t="s">
        <v>405</v>
      </c>
      <c r="EC40" s="14"/>
      <c r="ED40" s="14" t="s">
        <v>432</v>
      </c>
      <c r="EE40" s="101" t="s">
        <v>433</v>
      </c>
      <c r="EF40" s="48"/>
      <c r="EG40" s="17">
        <f t="shared" si="0"/>
        <v>0</v>
      </c>
    </row>
    <row r="41" spans="1:137" x14ac:dyDescent="0.25">
      <c r="A41" s="50" t="s">
        <v>1404</v>
      </c>
      <c r="B41" s="208">
        <v>41541</v>
      </c>
      <c r="C41" s="209" t="s">
        <v>2767</v>
      </c>
      <c r="D41" s="61" t="s">
        <v>439</v>
      </c>
      <c r="E41" s="15" t="s">
        <v>328</v>
      </c>
      <c r="F41" s="15"/>
      <c r="G41" s="15">
        <v>52</v>
      </c>
      <c r="H41" s="15" t="s">
        <v>329</v>
      </c>
      <c r="I41" s="15" t="s">
        <v>399</v>
      </c>
      <c r="J41" s="15" t="s">
        <v>746</v>
      </c>
      <c r="K41" s="18" t="s">
        <v>1199</v>
      </c>
      <c r="L41" s="15" t="s">
        <v>1281</v>
      </c>
      <c r="M41" s="15">
        <v>20</v>
      </c>
      <c r="N41" s="15">
        <v>2</v>
      </c>
      <c r="O41" s="15"/>
      <c r="P41" s="15"/>
      <c r="Q41" s="15"/>
      <c r="R41" s="15">
        <v>2</v>
      </c>
      <c r="S41" s="15"/>
      <c r="T41" s="15"/>
      <c r="U41" s="15"/>
      <c r="V41" s="15"/>
      <c r="W41" s="15"/>
      <c r="X41" s="15"/>
      <c r="Y41" s="15"/>
      <c r="Z41" s="15"/>
      <c r="AA41" s="15"/>
      <c r="AB41" s="15" t="s">
        <v>328</v>
      </c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4" t="s">
        <v>328</v>
      </c>
      <c r="AN41" s="15"/>
      <c r="AO41" s="15"/>
      <c r="AP41" s="15"/>
      <c r="AQ41" s="15" t="s">
        <v>328</v>
      </c>
      <c r="AR41" s="15">
        <v>3</v>
      </c>
      <c r="AS41" s="15">
        <v>6</v>
      </c>
      <c r="AT41" s="15"/>
      <c r="AU41" s="15" t="s">
        <v>328</v>
      </c>
      <c r="AV41" s="15"/>
      <c r="AW41" s="15"/>
      <c r="AX41" s="15">
        <v>2</v>
      </c>
      <c r="AY41" s="15">
        <v>3</v>
      </c>
      <c r="AZ41" s="15">
        <v>4</v>
      </c>
      <c r="BA41" s="15" t="s">
        <v>346</v>
      </c>
      <c r="BB41" s="15" t="s">
        <v>328</v>
      </c>
      <c r="BC41" s="15"/>
      <c r="BD41" s="15" t="s">
        <v>328</v>
      </c>
      <c r="BE41" s="15"/>
      <c r="BF41" s="15"/>
      <c r="BG41" s="15"/>
      <c r="BH41" s="15"/>
      <c r="BI41" s="15"/>
      <c r="BJ41" s="15"/>
      <c r="BK41" s="15"/>
      <c r="BL41" s="15"/>
      <c r="BM41" s="15"/>
      <c r="BN41" s="15" t="s">
        <v>328</v>
      </c>
      <c r="BO41" s="15"/>
      <c r="BP41" s="15" t="s">
        <v>328</v>
      </c>
      <c r="BQ41" s="15"/>
      <c r="BR41" s="15" t="s">
        <v>328</v>
      </c>
      <c r="BS41" s="15"/>
      <c r="BT41" s="15"/>
      <c r="BU41" s="15"/>
      <c r="BV41" s="15"/>
      <c r="BW41" s="15"/>
      <c r="BX41" s="15"/>
      <c r="BY41" s="15" t="s">
        <v>328</v>
      </c>
      <c r="BZ41" s="15"/>
      <c r="CA41" s="15"/>
      <c r="CB41" s="15"/>
      <c r="CC41" s="15"/>
      <c r="CD41" s="15"/>
      <c r="CE41" s="15"/>
      <c r="CF41" s="15"/>
      <c r="CG41" s="15"/>
      <c r="CH41" s="15"/>
      <c r="CI41" s="15" t="s">
        <v>328</v>
      </c>
      <c r="CJ41" s="15"/>
      <c r="CK41" s="15"/>
      <c r="CL41" s="15"/>
      <c r="CM41" s="15" t="s">
        <v>328</v>
      </c>
      <c r="CN41" s="15">
        <v>4</v>
      </c>
      <c r="CO41" s="15">
        <v>1</v>
      </c>
      <c r="CP41" s="15">
        <v>3</v>
      </c>
      <c r="CQ41" s="15">
        <v>5</v>
      </c>
      <c r="CR41" s="15">
        <v>6</v>
      </c>
      <c r="CS41" s="15">
        <v>2</v>
      </c>
      <c r="CT41" s="15" t="s">
        <v>328</v>
      </c>
      <c r="CU41" s="15"/>
      <c r="CV41" s="15"/>
      <c r="CW41" s="15"/>
      <c r="CX41" s="15" t="s">
        <v>328</v>
      </c>
      <c r="CY41" s="15"/>
      <c r="CZ41" s="15"/>
      <c r="DA41" s="15"/>
      <c r="DB41" s="15"/>
      <c r="DC41" s="15">
        <v>3</v>
      </c>
      <c r="DD41" s="15">
        <v>4</v>
      </c>
      <c r="DE41" s="15"/>
      <c r="DF41" s="15">
        <v>6</v>
      </c>
      <c r="DG41" s="15">
        <v>2</v>
      </c>
      <c r="DH41" s="15">
        <v>5</v>
      </c>
      <c r="DI41" s="15" t="s">
        <v>485</v>
      </c>
      <c r="DJ41" s="15"/>
      <c r="DK41" s="15" t="s">
        <v>328</v>
      </c>
      <c r="DL41" s="15" t="s">
        <v>328</v>
      </c>
      <c r="DM41" s="15" t="s">
        <v>405</v>
      </c>
      <c r="DN41" s="15"/>
      <c r="DO41" s="14" t="s">
        <v>388</v>
      </c>
      <c r="DP41" s="14" t="s">
        <v>333</v>
      </c>
      <c r="DQ41" s="15"/>
      <c r="DR41" s="15" t="s">
        <v>328</v>
      </c>
      <c r="DS41" s="15" t="s">
        <v>328</v>
      </c>
      <c r="DT41" s="15" t="s">
        <v>354</v>
      </c>
      <c r="DU41" s="15"/>
      <c r="DV41" s="15"/>
      <c r="DW41" s="15" t="s">
        <v>457</v>
      </c>
      <c r="DX41" s="15" t="s">
        <v>411</v>
      </c>
      <c r="DY41" s="15"/>
      <c r="DZ41" s="15" t="s">
        <v>328</v>
      </c>
      <c r="EA41" s="15" t="s">
        <v>328</v>
      </c>
      <c r="EB41" s="15" t="s">
        <v>405</v>
      </c>
      <c r="EC41" s="15"/>
      <c r="ED41" s="14" t="s">
        <v>398</v>
      </c>
      <c r="EE41" s="102" t="s">
        <v>1145</v>
      </c>
      <c r="EF41" s="48"/>
      <c r="EG41" s="17">
        <f t="shared" si="0"/>
        <v>0</v>
      </c>
    </row>
    <row r="42" spans="1:137" x14ac:dyDescent="0.25">
      <c r="A42" s="50" t="s">
        <v>1404</v>
      </c>
      <c r="B42" s="208">
        <v>41541</v>
      </c>
      <c r="C42" s="209" t="s">
        <v>2767</v>
      </c>
      <c r="D42" s="61" t="s">
        <v>441</v>
      </c>
      <c r="E42" s="15"/>
      <c r="F42" s="15" t="s">
        <v>328</v>
      </c>
      <c r="G42" s="15">
        <v>54</v>
      </c>
      <c r="H42" s="15" t="s">
        <v>329</v>
      </c>
      <c r="I42" s="15" t="s">
        <v>399</v>
      </c>
      <c r="J42" s="15" t="s">
        <v>755</v>
      </c>
      <c r="K42" s="15" t="s">
        <v>1200</v>
      </c>
      <c r="L42" s="15" t="s">
        <v>1280</v>
      </c>
      <c r="M42" s="15">
        <v>33</v>
      </c>
      <c r="N42" s="15">
        <v>7</v>
      </c>
      <c r="O42" s="15">
        <v>3</v>
      </c>
      <c r="P42" s="15">
        <v>3</v>
      </c>
      <c r="Q42" s="15">
        <v>1</v>
      </c>
      <c r="R42" s="15"/>
      <c r="S42" s="15"/>
      <c r="T42" s="15"/>
      <c r="U42" s="15"/>
      <c r="V42" s="15">
        <v>1</v>
      </c>
      <c r="W42" s="15"/>
      <c r="X42" s="15"/>
      <c r="Y42" s="15"/>
      <c r="Z42" s="15"/>
      <c r="AA42" s="15"/>
      <c r="AB42" s="15" t="s">
        <v>328</v>
      </c>
      <c r="AC42" s="15"/>
      <c r="AD42" s="15"/>
      <c r="AE42" s="15"/>
      <c r="AF42" s="15"/>
      <c r="AG42" s="15" t="s">
        <v>328</v>
      </c>
      <c r="AH42" s="15" t="s">
        <v>328</v>
      </c>
      <c r="AI42" s="15"/>
      <c r="AJ42" s="15"/>
      <c r="AK42" s="15" t="s">
        <v>418</v>
      </c>
      <c r="AL42" s="15"/>
      <c r="AM42" s="14" t="s">
        <v>328</v>
      </c>
      <c r="AN42" s="15"/>
      <c r="AO42" s="15"/>
      <c r="AP42" s="15" t="s">
        <v>328</v>
      </c>
      <c r="AQ42" s="15" t="s">
        <v>328</v>
      </c>
      <c r="AR42" s="15">
        <v>5</v>
      </c>
      <c r="AS42" s="15">
        <v>3</v>
      </c>
      <c r="AT42" s="15"/>
      <c r="AU42" s="15"/>
      <c r="AV42" s="15"/>
      <c r="AW42" s="15" t="s">
        <v>328</v>
      </c>
      <c r="AX42" s="15">
        <v>4</v>
      </c>
      <c r="AY42" s="15">
        <v>3</v>
      </c>
      <c r="AZ42" s="15">
        <v>2</v>
      </c>
      <c r="BA42" s="15" t="s">
        <v>346</v>
      </c>
      <c r="BB42" s="15" t="s">
        <v>328</v>
      </c>
      <c r="BC42" s="15"/>
      <c r="BD42" s="15" t="s">
        <v>328</v>
      </c>
      <c r="BE42" s="15"/>
      <c r="BF42" s="15"/>
      <c r="BG42" s="15"/>
      <c r="BH42" s="15"/>
      <c r="BI42" s="15"/>
      <c r="BJ42" s="15"/>
      <c r="BK42" s="15" t="s">
        <v>328</v>
      </c>
      <c r="BL42" s="15"/>
      <c r="BM42" s="14"/>
      <c r="BN42" s="15" t="s">
        <v>328</v>
      </c>
      <c r="BO42" s="15"/>
      <c r="BP42" s="15" t="s">
        <v>328</v>
      </c>
      <c r="BQ42" s="15"/>
      <c r="BR42" s="15"/>
      <c r="BS42" s="15"/>
      <c r="BT42" s="15"/>
      <c r="BU42" s="15"/>
      <c r="BV42" s="15" t="s">
        <v>328</v>
      </c>
      <c r="BW42" s="15" t="s">
        <v>328</v>
      </c>
      <c r="BX42" s="15"/>
      <c r="BY42" s="15"/>
      <c r="BZ42" s="15"/>
      <c r="CA42" s="15"/>
      <c r="CB42" s="15"/>
      <c r="CC42" s="15" t="s">
        <v>328</v>
      </c>
      <c r="CD42" s="15"/>
      <c r="CE42" s="15"/>
      <c r="CF42" s="15"/>
      <c r="CG42" s="15" t="s">
        <v>328</v>
      </c>
      <c r="CH42" s="15"/>
      <c r="CI42" s="15" t="s">
        <v>328</v>
      </c>
      <c r="CJ42" s="15"/>
      <c r="CK42" s="15"/>
      <c r="CL42" s="15"/>
      <c r="CM42" s="15"/>
      <c r="CN42" s="15">
        <v>6</v>
      </c>
      <c r="CO42" s="15">
        <v>2</v>
      </c>
      <c r="CP42" s="15">
        <v>3</v>
      </c>
      <c r="CQ42" s="15">
        <v>5</v>
      </c>
      <c r="CR42" s="15">
        <v>4</v>
      </c>
      <c r="CS42" s="15">
        <v>1</v>
      </c>
      <c r="CT42" s="15" t="s">
        <v>328</v>
      </c>
      <c r="CU42" s="15"/>
      <c r="CV42" s="15" t="s">
        <v>328</v>
      </c>
      <c r="CW42" s="15"/>
      <c r="CX42" s="15" t="s">
        <v>328</v>
      </c>
      <c r="CY42" s="15"/>
      <c r="CZ42" s="15" t="s">
        <v>905</v>
      </c>
      <c r="DA42" s="15"/>
      <c r="DB42" s="15"/>
      <c r="DC42" s="15">
        <v>3</v>
      </c>
      <c r="DD42" s="15">
        <v>2</v>
      </c>
      <c r="DE42" s="15"/>
      <c r="DF42" s="15">
        <v>1</v>
      </c>
      <c r="DG42" s="15">
        <v>5</v>
      </c>
      <c r="DH42" s="15">
        <v>4</v>
      </c>
      <c r="DI42" s="14" t="s">
        <v>346</v>
      </c>
      <c r="DJ42" s="15"/>
      <c r="DK42" s="15" t="s">
        <v>328</v>
      </c>
      <c r="DL42" s="15"/>
      <c r="DM42" s="15"/>
      <c r="DN42" s="15" t="s">
        <v>328</v>
      </c>
      <c r="DO42" s="14" t="s">
        <v>432</v>
      </c>
      <c r="DP42" s="14" t="s">
        <v>472</v>
      </c>
      <c r="DQ42" s="15"/>
      <c r="DR42" s="15" t="s">
        <v>328</v>
      </c>
      <c r="DS42" s="15" t="s">
        <v>328</v>
      </c>
      <c r="DT42" s="15" t="s">
        <v>354</v>
      </c>
      <c r="DU42" s="15"/>
      <c r="DV42" s="15"/>
      <c r="DW42" s="15" t="s">
        <v>410</v>
      </c>
      <c r="DX42" s="15" t="s">
        <v>411</v>
      </c>
      <c r="DY42" s="15"/>
      <c r="DZ42" s="15" t="s">
        <v>328</v>
      </c>
      <c r="EA42" s="15" t="s">
        <v>328</v>
      </c>
      <c r="EB42" s="15" t="s">
        <v>684</v>
      </c>
      <c r="EC42" s="15"/>
      <c r="ED42" s="15" t="s">
        <v>473</v>
      </c>
      <c r="EE42" s="102" t="s">
        <v>497</v>
      </c>
      <c r="EF42" s="99"/>
      <c r="EG42" s="17">
        <f t="shared" si="0"/>
        <v>0</v>
      </c>
    </row>
    <row r="43" spans="1:137" x14ac:dyDescent="0.25">
      <c r="A43" s="50" t="s">
        <v>1404</v>
      </c>
      <c r="B43" s="208">
        <v>41541</v>
      </c>
      <c r="C43" s="209" t="s">
        <v>2767</v>
      </c>
      <c r="D43" s="61" t="s">
        <v>442</v>
      </c>
      <c r="E43" s="15" t="s">
        <v>328</v>
      </c>
      <c r="F43" s="15"/>
      <c r="G43" s="15">
        <v>55</v>
      </c>
      <c r="H43" s="15" t="s">
        <v>329</v>
      </c>
      <c r="I43" s="15" t="s">
        <v>399</v>
      </c>
      <c r="J43" s="15" t="s">
        <v>756</v>
      </c>
      <c r="K43" s="18" t="s">
        <v>1201</v>
      </c>
      <c r="L43" s="15" t="s">
        <v>1280</v>
      </c>
      <c r="M43" s="15">
        <v>30</v>
      </c>
      <c r="N43" s="15">
        <v>1</v>
      </c>
      <c r="O43" s="15">
        <v>1</v>
      </c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 t="s">
        <v>418</v>
      </c>
      <c r="AL43" s="15"/>
      <c r="AM43" s="15" t="s">
        <v>328</v>
      </c>
      <c r="AN43" s="15"/>
      <c r="AO43" s="15" t="s">
        <v>328</v>
      </c>
      <c r="AP43" s="15"/>
      <c r="AQ43" s="15"/>
      <c r="AR43" s="15">
        <v>10</v>
      </c>
      <c r="AS43" s="15">
        <v>1</v>
      </c>
      <c r="AT43" s="15"/>
      <c r="AU43" s="15"/>
      <c r="AV43" s="15" t="s">
        <v>328</v>
      </c>
      <c r="AW43" s="15"/>
      <c r="AX43" s="15">
        <v>1</v>
      </c>
      <c r="AY43" s="15">
        <v>3</v>
      </c>
      <c r="AZ43" s="15">
        <v>2</v>
      </c>
      <c r="BA43" s="15"/>
      <c r="BB43" s="15" t="s">
        <v>328</v>
      </c>
      <c r="BC43" s="15"/>
      <c r="BD43" s="15"/>
      <c r="BE43" s="15"/>
      <c r="BF43" s="15"/>
      <c r="BG43" s="15" t="s">
        <v>328</v>
      </c>
      <c r="BH43" s="15"/>
      <c r="BI43" s="15"/>
      <c r="BJ43" s="15"/>
      <c r="BK43" s="15"/>
      <c r="BL43" s="15"/>
      <c r="BM43" s="15"/>
      <c r="BN43" s="15" t="s">
        <v>328</v>
      </c>
      <c r="BO43" s="15"/>
      <c r="BP43" s="15" t="s">
        <v>328</v>
      </c>
      <c r="BQ43" s="15"/>
      <c r="BR43" s="15"/>
      <c r="BS43" s="15"/>
      <c r="BT43" s="15"/>
      <c r="BU43" s="15"/>
      <c r="BV43" s="15"/>
      <c r="BW43" s="15" t="s">
        <v>328</v>
      </c>
      <c r="BX43" s="15"/>
      <c r="BY43" s="15"/>
      <c r="BZ43" s="15"/>
      <c r="CA43" s="15"/>
      <c r="CB43" s="15"/>
      <c r="CC43" s="15"/>
      <c r="CD43" s="15"/>
      <c r="CE43" s="15"/>
      <c r="CF43" s="15" t="s">
        <v>328</v>
      </c>
      <c r="CG43" s="15"/>
      <c r="CH43" s="15"/>
      <c r="CI43" s="15" t="s">
        <v>328</v>
      </c>
      <c r="CJ43" s="15"/>
      <c r="CK43" s="15"/>
      <c r="CL43" s="15"/>
      <c r="CM43" s="15"/>
      <c r="CN43" s="15">
        <v>2</v>
      </c>
      <c r="CO43" s="15">
        <v>3</v>
      </c>
      <c r="CP43" s="15">
        <v>6</v>
      </c>
      <c r="CQ43" s="15">
        <v>5</v>
      </c>
      <c r="CR43" s="15">
        <v>4</v>
      </c>
      <c r="CS43" s="15">
        <v>1</v>
      </c>
      <c r="CT43" s="15"/>
      <c r="CU43" s="15"/>
      <c r="CV43" s="15"/>
      <c r="CW43" s="15"/>
      <c r="CX43" s="15"/>
      <c r="CY43" s="15"/>
      <c r="CZ43" s="15" t="s">
        <v>332</v>
      </c>
      <c r="DA43" s="15"/>
      <c r="DB43" s="15"/>
      <c r="DC43" s="15">
        <v>1</v>
      </c>
      <c r="DD43" s="15">
        <v>3</v>
      </c>
      <c r="DE43" s="15">
        <v>5</v>
      </c>
      <c r="DF43" s="15">
        <v>6</v>
      </c>
      <c r="DG43" s="15">
        <v>2</v>
      </c>
      <c r="DH43" s="15">
        <v>4</v>
      </c>
      <c r="DI43" s="15"/>
      <c r="DJ43" s="15" t="s">
        <v>328</v>
      </c>
      <c r="DK43" s="15"/>
      <c r="DL43" s="15"/>
      <c r="DM43" s="15"/>
      <c r="DN43" s="15"/>
      <c r="DO43" s="15"/>
      <c r="DP43" s="14" t="s">
        <v>389</v>
      </c>
      <c r="DQ43" s="15"/>
      <c r="DR43" s="15" t="s">
        <v>328</v>
      </c>
      <c r="DS43" s="15" t="s">
        <v>328</v>
      </c>
      <c r="DT43" s="15" t="s">
        <v>437</v>
      </c>
      <c r="DU43" s="15"/>
      <c r="DV43" s="15"/>
      <c r="DW43" s="15" t="s">
        <v>410</v>
      </c>
      <c r="DX43" s="15" t="s">
        <v>411</v>
      </c>
      <c r="DY43" s="15" t="s">
        <v>328</v>
      </c>
      <c r="DZ43" s="15"/>
      <c r="EA43" s="15"/>
      <c r="EB43" s="15"/>
      <c r="EC43" s="15"/>
      <c r="ED43" s="15"/>
      <c r="EE43" s="102" t="s">
        <v>411</v>
      </c>
      <c r="EF43" s="99"/>
      <c r="EG43" s="17">
        <f t="shared" si="0"/>
        <v>0</v>
      </c>
    </row>
    <row r="44" spans="1:137" x14ac:dyDescent="0.25">
      <c r="A44" s="50" t="s">
        <v>1404</v>
      </c>
      <c r="B44" s="208">
        <v>41541</v>
      </c>
      <c r="C44" s="209" t="s">
        <v>2767</v>
      </c>
      <c r="D44" s="61" t="s">
        <v>445</v>
      </c>
      <c r="E44" s="15" t="s">
        <v>328</v>
      </c>
      <c r="F44" s="15"/>
      <c r="G44" s="15">
        <v>38</v>
      </c>
      <c r="H44" s="15" t="s">
        <v>329</v>
      </c>
      <c r="I44" s="15" t="s">
        <v>399</v>
      </c>
      <c r="J44" s="15" t="s">
        <v>757</v>
      </c>
      <c r="K44" s="18" t="s">
        <v>1202</v>
      </c>
      <c r="L44" s="15" t="s">
        <v>1280</v>
      </c>
      <c r="M44" s="15">
        <v>10</v>
      </c>
      <c r="N44" s="15">
        <v>4</v>
      </c>
      <c r="O44" s="15">
        <v>4</v>
      </c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 t="s">
        <v>418</v>
      </c>
      <c r="AL44" s="14" t="s">
        <v>328</v>
      </c>
      <c r="AM44" s="15"/>
      <c r="AN44" s="15"/>
      <c r="AO44" s="15"/>
      <c r="AP44" s="15" t="s">
        <v>328</v>
      </c>
      <c r="AQ44" s="15" t="s">
        <v>328</v>
      </c>
      <c r="AR44" s="15">
        <v>1</v>
      </c>
      <c r="AS44" s="15">
        <v>4</v>
      </c>
      <c r="AT44" s="15"/>
      <c r="AU44" s="15" t="s">
        <v>328</v>
      </c>
      <c r="AV44" s="15"/>
      <c r="AW44" s="15"/>
      <c r="AX44" s="15">
        <v>2</v>
      </c>
      <c r="AY44" s="15">
        <v>3</v>
      </c>
      <c r="AZ44" s="15">
        <v>1</v>
      </c>
      <c r="BA44" s="15"/>
      <c r="BB44" s="15" t="s">
        <v>328</v>
      </c>
      <c r="BC44" s="15"/>
      <c r="BD44" s="15" t="s">
        <v>328</v>
      </c>
      <c r="BE44" s="15"/>
      <c r="BF44" s="15"/>
      <c r="BG44" s="15"/>
      <c r="BH44" s="15"/>
      <c r="BI44" s="15"/>
      <c r="BJ44" s="15"/>
      <c r="BK44" s="15" t="s">
        <v>328</v>
      </c>
      <c r="BL44" s="15"/>
      <c r="BM44" s="14"/>
      <c r="BN44" s="15" t="s">
        <v>328</v>
      </c>
      <c r="BO44" s="15"/>
      <c r="BP44" s="15" t="s">
        <v>328</v>
      </c>
      <c r="BQ44" s="15"/>
      <c r="BR44" s="15" t="s">
        <v>328</v>
      </c>
      <c r="BS44" s="15"/>
      <c r="BT44" s="15"/>
      <c r="BU44" s="15"/>
      <c r="BV44" s="15" t="s">
        <v>328</v>
      </c>
      <c r="BW44" s="15" t="s">
        <v>328</v>
      </c>
      <c r="BX44" s="15"/>
      <c r="BY44" s="15"/>
      <c r="BZ44" s="15"/>
      <c r="CA44" s="15"/>
      <c r="CB44" s="15" t="s">
        <v>328</v>
      </c>
      <c r="CC44" s="15"/>
      <c r="CD44" s="15"/>
      <c r="CE44" s="15"/>
      <c r="CF44" s="15"/>
      <c r="CG44" s="15"/>
      <c r="CH44" s="15"/>
      <c r="CI44" s="15" t="s">
        <v>328</v>
      </c>
      <c r="CJ44" s="15"/>
      <c r="CK44" s="15"/>
      <c r="CL44" s="15"/>
      <c r="CM44" s="15"/>
      <c r="CN44" s="15">
        <v>3</v>
      </c>
      <c r="CO44" s="15">
        <v>2</v>
      </c>
      <c r="CP44" s="15">
        <v>5</v>
      </c>
      <c r="CQ44" s="15">
        <v>4</v>
      </c>
      <c r="CR44" s="15">
        <v>6</v>
      </c>
      <c r="CS44" s="15">
        <v>1</v>
      </c>
      <c r="CT44" s="15" t="s">
        <v>328</v>
      </c>
      <c r="CU44" s="15" t="s">
        <v>328</v>
      </c>
      <c r="CV44" s="15"/>
      <c r="CW44" s="15"/>
      <c r="CX44" s="15" t="s">
        <v>328</v>
      </c>
      <c r="CY44" s="15"/>
      <c r="CZ44" s="15"/>
      <c r="DA44" s="15"/>
      <c r="DB44" s="15"/>
      <c r="DC44" s="15">
        <v>3</v>
      </c>
      <c r="DD44" s="15">
        <v>4</v>
      </c>
      <c r="DE44" s="15">
        <v>1</v>
      </c>
      <c r="DF44" s="15">
        <v>6</v>
      </c>
      <c r="DG44" s="15">
        <v>2</v>
      </c>
      <c r="DH44" s="15"/>
      <c r="DI44" s="14" t="s">
        <v>905</v>
      </c>
      <c r="DJ44" s="15"/>
      <c r="DK44" s="15" t="s">
        <v>328</v>
      </c>
      <c r="DL44" s="15" t="s">
        <v>328</v>
      </c>
      <c r="DM44" s="15" t="s">
        <v>618</v>
      </c>
      <c r="DN44" s="15"/>
      <c r="DO44" s="14" t="s">
        <v>432</v>
      </c>
      <c r="DP44" s="14" t="s">
        <v>472</v>
      </c>
      <c r="DQ44" s="15" t="s">
        <v>328</v>
      </c>
      <c r="DR44" s="15"/>
      <c r="DS44" s="15"/>
      <c r="DT44" s="15"/>
      <c r="DU44" s="15"/>
      <c r="DV44" s="15"/>
      <c r="DW44" s="15" t="s">
        <v>410</v>
      </c>
      <c r="DX44" s="15" t="s">
        <v>449</v>
      </c>
      <c r="DY44" s="15"/>
      <c r="DZ44" s="15" t="s">
        <v>328</v>
      </c>
      <c r="EA44" s="15" t="s">
        <v>328</v>
      </c>
      <c r="EB44" s="15" t="s">
        <v>397</v>
      </c>
      <c r="EC44" s="15"/>
      <c r="ED44" s="15" t="s">
        <v>1158</v>
      </c>
      <c r="EE44" s="102" t="s">
        <v>450</v>
      </c>
      <c r="EF44" s="99"/>
      <c r="EG44" s="17">
        <f t="shared" si="0"/>
        <v>0</v>
      </c>
    </row>
    <row r="45" spans="1:137" x14ac:dyDescent="0.25">
      <c r="A45" s="50" t="s">
        <v>1404</v>
      </c>
      <c r="B45" s="208">
        <v>41541</v>
      </c>
      <c r="C45" s="209" t="s">
        <v>2767</v>
      </c>
      <c r="D45" s="61" t="s">
        <v>446</v>
      </c>
      <c r="E45" s="15"/>
      <c r="F45" s="15" t="s">
        <v>328</v>
      </c>
      <c r="G45" s="15">
        <v>55</v>
      </c>
      <c r="H45" s="15" t="s">
        <v>329</v>
      </c>
      <c r="I45" s="15" t="s">
        <v>399</v>
      </c>
      <c r="J45" s="15" t="s">
        <v>749</v>
      </c>
      <c r="K45" s="15" t="s">
        <v>1203</v>
      </c>
      <c r="L45" s="15" t="s">
        <v>1284</v>
      </c>
      <c r="M45" s="15">
        <v>20</v>
      </c>
      <c r="N45" s="15">
        <v>8</v>
      </c>
      <c r="O45" s="15">
        <v>6</v>
      </c>
      <c r="P45" s="15">
        <v>2</v>
      </c>
      <c r="Q45" s="15"/>
      <c r="R45" s="15"/>
      <c r="S45" s="15"/>
      <c r="T45" s="15"/>
      <c r="U45" s="15"/>
      <c r="V45" s="15">
        <v>2</v>
      </c>
      <c r="W45" s="15"/>
      <c r="X45" s="15"/>
      <c r="Y45" s="15"/>
      <c r="Z45" s="15"/>
      <c r="AA45" s="15"/>
      <c r="AB45" s="15" t="s">
        <v>328</v>
      </c>
      <c r="AC45" s="15" t="s">
        <v>328</v>
      </c>
      <c r="AD45" s="15"/>
      <c r="AE45" s="15" t="s">
        <v>328</v>
      </c>
      <c r="AF45" s="15"/>
      <c r="AG45" s="15" t="s">
        <v>328</v>
      </c>
      <c r="AH45" s="15"/>
      <c r="AI45" s="15"/>
      <c r="AJ45" s="15"/>
      <c r="AK45" s="15"/>
      <c r="AL45" s="14" t="s">
        <v>328</v>
      </c>
      <c r="AM45" s="15"/>
      <c r="AN45" s="15" t="s">
        <v>328</v>
      </c>
      <c r="AO45" s="15"/>
      <c r="AP45" s="15"/>
      <c r="AQ45" s="15" t="s">
        <v>328</v>
      </c>
      <c r="AR45" s="15">
        <v>10</v>
      </c>
      <c r="AS45" s="15">
        <v>3</v>
      </c>
      <c r="AT45" s="15"/>
      <c r="AU45" s="15"/>
      <c r="AV45" s="15"/>
      <c r="AW45" s="15" t="s">
        <v>328</v>
      </c>
      <c r="AX45" s="15">
        <v>2</v>
      </c>
      <c r="AY45" s="15">
        <v>4</v>
      </c>
      <c r="AZ45" s="15">
        <v>3</v>
      </c>
      <c r="BA45" s="15" t="s">
        <v>346</v>
      </c>
      <c r="BB45" s="15"/>
      <c r="BC45" s="15" t="s">
        <v>328</v>
      </c>
      <c r="BD45" s="15" t="s">
        <v>328</v>
      </c>
      <c r="BE45" s="15"/>
      <c r="BF45" s="15"/>
      <c r="BG45" s="15"/>
      <c r="BH45" s="15"/>
      <c r="BI45" s="15"/>
      <c r="BJ45" s="15"/>
      <c r="BK45" s="15" t="s">
        <v>328</v>
      </c>
      <c r="BL45" s="15"/>
      <c r="BM45" s="15"/>
      <c r="BN45" s="15" t="s">
        <v>328</v>
      </c>
      <c r="BO45" s="15"/>
      <c r="BP45" s="15" t="s">
        <v>328</v>
      </c>
      <c r="BQ45" s="15"/>
      <c r="BR45" s="15" t="s">
        <v>328</v>
      </c>
      <c r="BS45" s="15"/>
      <c r="BT45" s="15"/>
      <c r="BU45" s="15"/>
      <c r="BV45" s="15" t="s">
        <v>328</v>
      </c>
      <c r="BW45" s="15"/>
      <c r="BX45" s="15"/>
      <c r="BY45" s="15"/>
      <c r="BZ45" s="15" t="s">
        <v>328</v>
      </c>
      <c r="CA45" s="15"/>
      <c r="CB45" s="15"/>
      <c r="CC45" s="15"/>
      <c r="CD45" s="15"/>
      <c r="CE45" s="15"/>
      <c r="CF45" s="15"/>
      <c r="CG45" s="15"/>
      <c r="CH45" s="15"/>
      <c r="CI45" s="15" t="s">
        <v>328</v>
      </c>
      <c r="CJ45" s="15"/>
      <c r="CK45" s="15"/>
      <c r="CL45" s="15"/>
      <c r="CM45" s="15"/>
      <c r="CN45" s="15">
        <v>4</v>
      </c>
      <c r="CO45" s="15">
        <v>2</v>
      </c>
      <c r="CP45" s="15">
        <v>5</v>
      </c>
      <c r="CQ45" s="15">
        <v>1</v>
      </c>
      <c r="CR45" s="15">
        <v>3</v>
      </c>
      <c r="CS45" s="15">
        <v>6</v>
      </c>
      <c r="CT45" s="15" t="s">
        <v>328</v>
      </c>
      <c r="CU45" s="15"/>
      <c r="CV45" s="15"/>
      <c r="CW45" s="15"/>
      <c r="CX45" s="15" t="s">
        <v>328</v>
      </c>
      <c r="CY45" s="15"/>
      <c r="CZ45" s="15"/>
      <c r="DA45" s="15"/>
      <c r="DB45" s="15"/>
      <c r="DC45" s="15">
        <v>3</v>
      </c>
      <c r="DD45" s="15">
        <v>2</v>
      </c>
      <c r="DE45" s="15">
        <v>4</v>
      </c>
      <c r="DF45" s="15">
        <v>1</v>
      </c>
      <c r="DG45" s="15">
        <v>5</v>
      </c>
      <c r="DH45" s="15">
        <v>6</v>
      </c>
      <c r="DI45" s="15"/>
      <c r="DJ45" s="15"/>
      <c r="DK45" s="15" t="s">
        <v>328</v>
      </c>
      <c r="DL45" s="15" t="s">
        <v>328</v>
      </c>
      <c r="DM45" s="15" t="s">
        <v>618</v>
      </c>
      <c r="DN45" s="15"/>
      <c r="DO45" s="15" t="s">
        <v>921</v>
      </c>
      <c r="DP45" s="14" t="s">
        <v>918</v>
      </c>
      <c r="DQ45" s="15"/>
      <c r="DR45" s="15" t="s">
        <v>328</v>
      </c>
      <c r="DS45" s="15" t="s">
        <v>328</v>
      </c>
      <c r="DT45" s="15" t="s">
        <v>437</v>
      </c>
      <c r="DU45" s="15"/>
      <c r="DV45" s="15"/>
      <c r="DW45" s="15" t="s">
        <v>410</v>
      </c>
      <c r="DX45" s="15" t="s">
        <v>411</v>
      </c>
      <c r="DY45" s="15" t="s">
        <v>328</v>
      </c>
      <c r="DZ45" s="15"/>
      <c r="EA45" s="15"/>
      <c r="EB45" s="15"/>
      <c r="EC45" s="15"/>
      <c r="ED45" s="15"/>
      <c r="EE45" s="102" t="s">
        <v>497</v>
      </c>
      <c r="EF45" s="99"/>
      <c r="EG45" s="17">
        <f t="shared" si="0"/>
        <v>0</v>
      </c>
    </row>
    <row r="46" spans="1:137" x14ac:dyDescent="0.25">
      <c r="A46" s="50" t="s">
        <v>1404</v>
      </c>
      <c r="B46" s="208">
        <v>41541</v>
      </c>
      <c r="C46" s="209" t="s">
        <v>2767</v>
      </c>
      <c r="D46" s="61" t="s">
        <v>447</v>
      </c>
      <c r="E46" s="14"/>
      <c r="F46" s="14" t="s">
        <v>328</v>
      </c>
      <c r="G46" s="14">
        <v>58</v>
      </c>
      <c r="H46" s="15" t="s">
        <v>329</v>
      </c>
      <c r="I46" s="14" t="s">
        <v>1329</v>
      </c>
      <c r="J46" s="14" t="s">
        <v>740</v>
      </c>
      <c r="K46" s="8" t="s">
        <v>1204</v>
      </c>
      <c r="L46" s="14" t="s">
        <v>1280</v>
      </c>
      <c r="M46" s="14">
        <v>15</v>
      </c>
      <c r="N46" s="14">
        <v>6</v>
      </c>
      <c r="O46" s="14">
        <v>4</v>
      </c>
      <c r="P46" s="14"/>
      <c r="Q46" s="14"/>
      <c r="R46" s="14">
        <v>2</v>
      </c>
      <c r="S46" s="14"/>
      <c r="T46" s="14"/>
      <c r="U46" s="14"/>
      <c r="V46" s="14"/>
      <c r="W46" s="14"/>
      <c r="X46" s="14"/>
      <c r="Y46" s="14"/>
      <c r="Z46" s="14"/>
      <c r="AA46" s="14"/>
      <c r="AB46" s="14" t="s">
        <v>328</v>
      </c>
      <c r="AC46" s="14"/>
      <c r="AD46" s="14"/>
      <c r="AE46" s="14"/>
      <c r="AF46" s="14" t="s">
        <v>328</v>
      </c>
      <c r="AG46" s="14"/>
      <c r="AH46" s="14"/>
      <c r="AI46" s="14"/>
      <c r="AJ46" s="14"/>
      <c r="AK46" s="14"/>
      <c r="AL46" s="14" t="s">
        <v>328</v>
      </c>
      <c r="AM46" s="14"/>
      <c r="AN46" s="14"/>
      <c r="AO46" s="14"/>
      <c r="AP46" s="14"/>
      <c r="AQ46" s="14" t="s">
        <v>328</v>
      </c>
      <c r="AR46" s="14">
        <v>10</v>
      </c>
      <c r="AS46" s="14">
        <v>8</v>
      </c>
      <c r="AT46" s="14" t="s">
        <v>328</v>
      </c>
      <c r="AU46" s="14" t="s">
        <v>328</v>
      </c>
      <c r="AV46" s="14"/>
      <c r="AW46" s="14"/>
      <c r="AX46" s="14">
        <v>3</v>
      </c>
      <c r="AY46" s="14">
        <v>2</v>
      </c>
      <c r="AZ46" s="14">
        <v>4</v>
      </c>
      <c r="BA46" s="15" t="s">
        <v>346</v>
      </c>
      <c r="BB46" s="14"/>
      <c r="BC46" s="14" t="s">
        <v>328</v>
      </c>
      <c r="BD46" s="14"/>
      <c r="BE46" s="14"/>
      <c r="BF46" s="14"/>
      <c r="BG46" s="14"/>
      <c r="BH46" s="14"/>
      <c r="BI46" s="14"/>
      <c r="BJ46" s="14" t="s">
        <v>328</v>
      </c>
      <c r="BK46" s="14"/>
      <c r="BL46" s="14"/>
      <c r="BM46" s="14"/>
      <c r="BN46" s="14" t="s">
        <v>328</v>
      </c>
      <c r="BO46" s="14"/>
      <c r="BP46" s="14" t="s">
        <v>328</v>
      </c>
      <c r="BQ46" s="14"/>
      <c r="BR46" s="14"/>
      <c r="BS46" s="14" t="s">
        <v>328</v>
      </c>
      <c r="BT46" s="14"/>
      <c r="BU46" s="14"/>
      <c r="BV46" s="14" t="s">
        <v>328</v>
      </c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 t="s">
        <v>332</v>
      </c>
      <c r="CI46" s="14" t="s">
        <v>328</v>
      </c>
      <c r="CJ46" s="14"/>
      <c r="CK46" s="14"/>
      <c r="CL46" s="14"/>
      <c r="CM46" s="14"/>
      <c r="CN46" s="14">
        <v>2</v>
      </c>
      <c r="CO46" s="14">
        <v>1</v>
      </c>
      <c r="CP46" s="14">
        <v>4</v>
      </c>
      <c r="CQ46" s="14">
        <v>6</v>
      </c>
      <c r="CR46" s="14">
        <v>5</v>
      </c>
      <c r="CS46" s="14">
        <v>3</v>
      </c>
      <c r="CT46" s="14" t="s">
        <v>328</v>
      </c>
      <c r="CU46" s="14" t="s">
        <v>328</v>
      </c>
      <c r="CV46" s="14"/>
      <c r="CW46" s="14"/>
      <c r="CX46" s="14" t="s">
        <v>328</v>
      </c>
      <c r="CY46" s="14" t="s">
        <v>328</v>
      </c>
      <c r="CZ46" s="14"/>
      <c r="DA46" s="14"/>
      <c r="DB46" s="14"/>
      <c r="DC46" s="14">
        <v>3</v>
      </c>
      <c r="DD46" s="14">
        <v>4</v>
      </c>
      <c r="DE46" s="14">
        <v>5</v>
      </c>
      <c r="DF46" s="14">
        <v>1</v>
      </c>
      <c r="DG46" s="14">
        <v>2</v>
      </c>
      <c r="DH46" s="14">
        <v>6</v>
      </c>
      <c r="DI46" s="14" t="s">
        <v>424</v>
      </c>
      <c r="DJ46" s="14" t="s">
        <v>328</v>
      </c>
      <c r="DK46" s="14"/>
      <c r="DL46" s="14"/>
      <c r="DM46" s="14"/>
      <c r="DN46" s="14"/>
      <c r="DO46" s="14" t="s">
        <v>448</v>
      </c>
      <c r="DP46" s="14" t="s">
        <v>1146</v>
      </c>
      <c r="DQ46" s="14"/>
      <c r="DR46" s="14" t="s">
        <v>328</v>
      </c>
      <c r="DS46" s="14" t="s">
        <v>328</v>
      </c>
      <c r="DT46" s="14" t="s">
        <v>405</v>
      </c>
      <c r="DU46" s="14"/>
      <c r="DV46" s="14"/>
      <c r="DW46" s="14" t="s">
        <v>448</v>
      </c>
      <c r="DX46" s="14" t="s">
        <v>449</v>
      </c>
      <c r="DY46" s="14"/>
      <c r="DZ46" s="14" t="s">
        <v>328</v>
      </c>
      <c r="EA46" s="14" t="s">
        <v>328</v>
      </c>
      <c r="EB46" s="14" t="s">
        <v>397</v>
      </c>
      <c r="EC46" s="14"/>
      <c r="ED46" s="14" t="s">
        <v>432</v>
      </c>
      <c r="EE46" s="101" t="s">
        <v>450</v>
      </c>
      <c r="EF46" s="99"/>
      <c r="EG46" s="17">
        <f t="shared" si="0"/>
        <v>0</v>
      </c>
    </row>
    <row r="47" spans="1:137" x14ac:dyDescent="0.25">
      <c r="A47" s="50" t="s">
        <v>1404</v>
      </c>
      <c r="B47" s="208">
        <v>41542</v>
      </c>
      <c r="C47" s="209" t="s">
        <v>2767</v>
      </c>
      <c r="D47" s="61" t="s">
        <v>452</v>
      </c>
      <c r="E47" s="15" t="s">
        <v>328</v>
      </c>
      <c r="F47" s="15"/>
      <c r="G47" s="15">
        <v>45</v>
      </c>
      <c r="H47" s="15" t="s">
        <v>329</v>
      </c>
      <c r="I47" s="15" t="s">
        <v>399</v>
      </c>
      <c r="J47" s="14" t="s">
        <v>744</v>
      </c>
      <c r="K47" s="8" t="s">
        <v>1205</v>
      </c>
      <c r="L47" s="14" t="s">
        <v>1283</v>
      </c>
      <c r="M47" s="15">
        <v>15</v>
      </c>
      <c r="N47" s="15">
        <v>3</v>
      </c>
      <c r="O47" s="15"/>
      <c r="P47" s="15"/>
      <c r="Q47" s="15"/>
      <c r="R47" s="15">
        <v>4</v>
      </c>
      <c r="S47" s="15"/>
      <c r="T47" s="15"/>
      <c r="U47" s="15"/>
      <c r="V47" s="15"/>
      <c r="W47" s="15"/>
      <c r="X47" s="15"/>
      <c r="Y47" s="15"/>
      <c r="Z47" s="15"/>
      <c r="AA47" s="15"/>
      <c r="AB47" s="15" t="s">
        <v>328</v>
      </c>
      <c r="AC47" s="15"/>
      <c r="AD47" s="15"/>
      <c r="AE47" s="15"/>
      <c r="AF47" s="15"/>
      <c r="AG47" s="15"/>
      <c r="AH47" s="15"/>
      <c r="AI47" s="15" t="s">
        <v>328</v>
      </c>
      <c r="AJ47" s="15"/>
      <c r="AK47" s="15"/>
      <c r="AL47" s="14" t="s">
        <v>328</v>
      </c>
      <c r="AM47" s="15"/>
      <c r="AN47" s="15"/>
      <c r="AO47" s="15"/>
      <c r="AP47" s="15"/>
      <c r="AQ47" s="15" t="s">
        <v>328</v>
      </c>
      <c r="AR47" s="15">
        <v>10</v>
      </c>
      <c r="AS47" s="15">
        <v>12</v>
      </c>
      <c r="AT47" s="15"/>
      <c r="AU47" s="15" t="s">
        <v>328</v>
      </c>
      <c r="AV47" s="15"/>
      <c r="AW47" s="15"/>
      <c r="AX47" s="15">
        <v>3</v>
      </c>
      <c r="AY47" s="15">
        <v>2</v>
      </c>
      <c r="AZ47" s="15">
        <v>4</v>
      </c>
      <c r="BA47" s="15" t="s">
        <v>346</v>
      </c>
      <c r="BB47" s="15"/>
      <c r="BC47" s="15" t="s">
        <v>328</v>
      </c>
      <c r="BD47" s="15" t="s">
        <v>328</v>
      </c>
      <c r="BE47" s="15"/>
      <c r="BF47" s="15"/>
      <c r="BG47" s="15"/>
      <c r="BH47" s="15"/>
      <c r="BI47" s="15"/>
      <c r="BJ47" s="15"/>
      <c r="BK47" s="15"/>
      <c r="BL47" s="15"/>
      <c r="BM47" s="15"/>
      <c r="BN47" s="15" t="s">
        <v>328</v>
      </c>
      <c r="BO47" s="15"/>
      <c r="BP47" s="15" t="s">
        <v>328</v>
      </c>
      <c r="BQ47" s="15"/>
      <c r="BR47" s="15"/>
      <c r="BS47" s="15"/>
      <c r="BT47" s="15"/>
      <c r="BU47" s="15"/>
      <c r="BV47" s="15" t="s">
        <v>328</v>
      </c>
      <c r="BW47" s="15" t="s">
        <v>328</v>
      </c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4" t="s">
        <v>332</v>
      </c>
      <c r="CI47" s="15" t="s">
        <v>328</v>
      </c>
      <c r="CJ47" s="15"/>
      <c r="CK47" s="15" t="s">
        <v>328</v>
      </c>
      <c r="CL47" s="15"/>
      <c r="CM47" s="15"/>
      <c r="CN47" s="15">
        <v>3</v>
      </c>
      <c r="CO47" s="15">
        <v>1</v>
      </c>
      <c r="CP47" s="15">
        <v>4</v>
      </c>
      <c r="CQ47" s="15">
        <v>6</v>
      </c>
      <c r="CR47" s="15">
        <v>5</v>
      </c>
      <c r="CS47" s="15">
        <v>2</v>
      </c>
      <c r="CT47" s="15"/>
      <c r="CU47" s="15" t="s">
        <v>328</v>
      </c>
      <c r="CV47" s="15"/>
      <c r="CW47" s="15"/>
      <c r="CX47" s="15" t="s">
        <v>328</v>
      </c>
      <c r="CY47" s="15"/>
      <c r="CZ47" s="15"/>
      <c r="DA47" s="15" t="s">
        <v>328</v>
      </c>
      <c r="DB47" s="15" t="s">
        <v>404</v>
      </c>
      <c r="DC47" s="15"/>
      <c r="DD47" s="15"/>
      <c r="DE47" s="15"/>
      <c r="DF47" s="15"/>
      <c r="DG47" s="15"/>
      <c r="DH47" s="15"/>
      <c r="DI47" s="15"/>
      <c r="DJ47" s="15" t="s">
        <v>328</v>
      </c>
      <c r="DK47" s="15"/>
      <c r="DL47" s="15"/>
      <c r="DM47" s="14"/>
      <c r="DN47" s="15"/>
      <c r="DO47" s="14"/>
      <c r="DP47" s="14" t="s">
        <v>1146</v>
      </c>
      <c r="DQ47" s="15" t="s">
        <v>328</v>
      </c>
      <c r="DR47" s="15"/>
      <c r="DS47" s="15"/>
      <c r="DT47" s="14"/>
      <c r="DU47" s="15"/>
      <c r="DV47" s="15"/>
      <c r="DW47" s="14" t="s">
        <v>335</v>
      </c>
      <c r="DX47" s="14" t="s">
        <v>411</v>
      </c>
      <c r="DY47" s="15" t="s">
        <v>328</v>
      </c>
      <c r="DZ47" s="15"/>
      <c r="EA47" s="15"/>
      <c r="EB47" s="15"/>
      <c r="EC47" s="15"/>
      <c r="ED47" s="15"/>
      <c r="EE47" s="101" t="s">
        <v>1145</v>
      </c>
      <c r="EF47" s="99"/>
      <c r="EG47" s="17">
        <f t="shared" si="0"/>
        <v>0</v>
      </c>
    </row>
    <row r="48" spans="1:137" x14ac:dyDescent="0.25">
      <c r="A48" s="50" t="s">
        <v>1404</v>
      </c>
      <c r="B48" s="208">
        <v>41542</v>
      </c>
      <c r="C48" s="209" t="s">
        <v>2767</v>
      </c>
      <c r="D48" s="61" t="s">
        <v>454</v>
      </c>
      <c r="E48" s="15" t="s">
        <v>328</v>
      </c>
      <c r="F48" s="15"/>
      <c r="G48" s="15">
        <v>59</v>
      </c>
      <c r="H48" s="15" t="s">
        <v>329</v>
      </c>
      <c r="I48" s="15" t="s">
        <v>330</v>
      </c>
      <c r="J48" s="15" t="s">
        <v>805</v>
      </c>
      <c r="K48" s="15" t="s">
        <v>1206</v>
      </c>
      <c r="L48" s="15" t="s">
        <v>1280</v>
      </c>
      <c r="M48" s="15">
        <v>30</v>
      </c>
      <c r="N48" s="15">
        <v>5</v>
      </c>
      <c r="O48" s="15"/>
      <c r="P48" s="15"/>
      <c r="Q48" s="15"/>
      <c r="R48" s="15"/>
      <c r="S48" s="15">
        <v>5</v>
      </c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 t="s">
        <v>328</v>
      </c>
      <c r="AK48" s="15"/>
      <c r="AL48" s="15" t="s">
        <v>328</v>
      </c>
      <c r="AM48" s="15"/>
      <c r="AN48" s="15"/>
      <c r="AO48" s="14" t="s">
        <v>328</v>
      </c>
      <c r="AP48" s="15"/>
      <c r="AQ48" s="15"/>
      <c r="AR48" s="15">
        <v>10</v>
      </c>
      <c r="AS48" s="15">
        <v>1</v>
      </c>
      <c r="AT48" s="15"/>
      <c r="AU48" s="15" t="s">
        <v>328</v>
      </c>
      <c r="AV48" s="15"/>
      <c r="AW48" s="15"/>
      <c r="AX48" s="15">
        <v>3</v>
      </c>
      <c r="AY48" s="15">
        <v>1</v>
      </c>
      <c r="AZ48" s="15">
        <v>2</v>
      </c>
      <c r="BA48" s="15"/>
      <c r="BB48" s="15"/>
      <c r="BC48" s="15" t="s">
        <v>328</v>
      </c>
      <c r="BD48" s="15"/>
      <c r="BE48" s="15"/>
      <c r="BF48" s="15"/>
      <c r="BG48" s="15"/>
      <c r="BH48" s="15"/>
      <c r="BI48" s="15"/>
      <c r="BJ48" s="15"/>
      <c r="BK48" s="15" t="s">
        <v>328</v>
      </c>
      <c r="BL48" s="15"/>
      <c r="BM48" s="15"/>
      <c r="BN48" s="15" t="s">
        <v>328</v>
      </c>
      <c r="BO48" s="15"/>
      <c r="BP48" s="15" t="s">
        <v>328</v>
      </c>
      <c r="BQ48" s="15"/>
      <c r="BR48" s="15" t="s">
        <v>328</v>
      </c>
      <c r="BS48" s="15"/>
      <c r="BT48" s="15"/>
      <c r="BU48" s="15"/>
      <c r="BV48" s="15" t="s">
        <v>328</v>
      </c>
      <c r="BW48" s="15" t="s">
        <v>328</v>
      </c>
      <c r="BX48" s="15"/>
      <c r="BY48" s="15"/>
      <c r="BZ48" s="15"/>
      <c r="CA48" s="15"/>
      <c r="CB48" s="15" t="s">
        <v>328</v>
      </c>
      <c r="CC48" s="15"/>
      <c r="CD48" s="15"/>
      <c r="CE48" s="15"/>
      <c r="CF48" s="15"/>
      <c r="CG48" s="15"/>
      <c r="CH48" s="15"/>
      <c r="CI48" s="15" t="s">
        <v>328</v>
      </c>
      <c r="CJ48" s="15"/>
      <c r="CK48" s="15"/>
      <c r="CL48" s="15"/>
      <c r="CM48" s="15"/>
      <c r="CN48" s="15">
        <v>4</v>
      </c>
      <c r="CO48" s="15">
        <v>3</v>
      </c>
      <c r="CP48" s="15">
        <v>1</v>
      </c>
      <c r="CQ48" s="15">
        <v>5</v>
      </c>
      <c r="CR48" s="15">
        <v>6</v>
      </c>
      <c r="CS48" s="15">
        <v>2</v>
      </c>
      <c r="CT48" s="15" t="s">
        <v>328</v>
      </c>
      <c r="CU48" s="15" t="s">
        <v>328</v>
      </c>
      <c r="CV48" s="15"/>
      <c r="CW48" s="15"/>
      <c r="CX48" s="15" t="s">
        <v>328</v>
      </c>
      <c r="CY48" s="15"/>
      <c r="CZ48" s="15"/>
      <c r="DA48" s="14"/>
      <c r="DB48" s="14"/>
      <c r="DC48" s="15">
        <v>2</v>
      </c>
      <c r="DD48" s="15">
        <v>3</v>
      </c>
      <c r="DE48" s="15">
        <v>4</v>
      </c>
      <c r="DF48" s="15">
        <v>5</v>
      </c>
      <c r="DG48" s="15">
        <v>1</v>
      </c>
      <c r="DH48" s="15">
        <v>6</v>
      </c>
      <c r="DI48" s="15"/>
      <c r="DJ48" s="15"/>
      <c r="DK48" s="15" t="s">
        <v>328</v>
      </c>
      <c r="DL48" s="15" t="s">
        <v>328</v>
      </c>
      <c r="DM48" s="14" t="s">
        <v>397</v>
      </c>
      <c r="DN48" s="15"/>
      <c r="DO48" s="14" t="s">
        <v>432</v>
      </c>
      <c r="DP48" s="14" t="s">
        <v>389</v>
      </c>
      <c r="DQ48" s="15"/>
      <c r="DR48" s="15" t="s">
        <v>328</v>
      </c>
      <c r="DS48" s="15" t="s">
        <v>328</v>
      </c>
      <c r="DT48" s="14" t="s">
        <v>354</v>
      </c>
      <c r="DU48" s="15"/>
      <c r="DV48" s="15"/>
      <c r="DW48" s="15" t="s">
        <v>457</v>
      </c>
      <c r="DX48" s="14" t="s">
        <v>411</v>
      </c>
      <c r="DY48" s="15"/>
      <c r="DZ48" s="15" t="s">
        <v>328</v>
      </c>
      <c r="EA48" s="15" t="s">
        <v>328</v>
      </c>
      <c r="EB48" s="14" t="s">
        <v>397</v>
      </c>
      <c r="EC48" s="15"/>
      <c r="ED48" s="14" t="s">
        <v>410</v>
      </c>
      <c r="EE48" s="102" t="s">
        <v>497</v>
      </c>
      <c r="EF48" s="99"/>
      <c r="EG48" s="17">
        <f t="shared" si="0"/>
        <v>0</v>
      </c>
    </row>
    <row r="49" spans="1:137" x14ac:dyDescent="0.25">
      <c r="A49" s="50" t="s">
        <v>1404</v>
      </c>
      <c r="B49" s="208">
        <v>41542</v>
      </c>
      <c r="C49" s="209" t="s">
        <v>2767</v>
      </c>
      <c r="D49" s="61" t="s">
        <v>455</v>
      </c>
      <c r="E49" s="15" t="s">
        <v>328</v>
      </c>
      <c r="F49" s="15"/>
      <c r="G49" s="15">
        <v>36</v>
      </c>
      <c r="H49" s="15" t="s">
        <v>329</v>
      </c>
      <c r="I49" s="15" t="s">
        <v>399</v>
      </c>
      <c r="J49" s="15" t="s">
        <v>766</v>
      </c>
      <c r="K49" s="18" t="s">
        <v>1207</v>
      </c>
      <c r="L49" s="15" t="s">
        <v>1285</v>
      </c>
      <c r="M49" s="15">
        <v>6</v>
      </c>
      <c r="N49" s="15">
        <v>1</v>
      </c>
      <c r="O49" s="15"/>
      <c r="P49" s="15"/>
      <c r="Q49" s="15"/>
      <c r="R49" s="15">
        <v>1</v>
      </c>
      <c r="S49" s="15"/>
      <c r="T49" s="15"/>
      <c r="U49" s="15"/>
      <c r="V49" s="15"/>
      <c r="W49" s="15"/>
      <c r="X49" s="15"/>
      <c r="Y49" s="15"/>
      <c r="Z49" s="15"/>
      <c r="AA49" s="15"/>
      <c r="AB49" s="15" t="s">
        <v>328</v>
      </c>
      <c r="AC49" s="15"/>
      <c r="AD49" s="15"/>
      <c r="AE49" s="15"/>
      <c r="AF49" s="15"/>
      <c r="AG49" s="15"/>
      <c r="AH49" s="15"/>
      <c r="AI49" s="15"/>
      <c r="AJ49" s="15"/>
      <c r="AK49" s="15"/>
      <c r="AL49" s="15" t="s">
        <v>328</v>
      </c>
      <c r="AM49" s="15"/>
      <c r="AN49" s="15"/>
      <c r="AO49" s="14" t="s">
        <v>328</v>
      </c>
      <c r="AP49" s="15"/>
      <c r="AQ49" s="15"/>
      <c r="AR49" s="15">
        <v>7</v>
      </c>
      <c r="AS49" s="15">
        <v>7</v>
      </c>
      <c r="AT49" s="15"/>
      <c r="AU49" s="15" t="s">
        <v>328</v>
      </c>
      <c r="AV49" s="15"/>
      <c r="AW49" s="15"/>
      <c r="AX49" s="15">
        <v>2</v>
      </c>
      <c r="AY49" s="15">
        <v>3</v>
      </c>
      <c r="AZ49" s="15">
        <v>1</v>
      </c>
      <c r="BA49" s="15"/>
      <c r="BB49" s="15" t="s">
        <v>328</v>
      </c>
      <c r="BC49" s="15"/>
      <c r="BD49" s="15" t="s">
        <v>328</v>
      </c>
      <c r="BE49" s="15"/>
      <c r="BF49" s="15"/>
      <c r="BG49" s="15"/>
      <c r="BH49" s="15"/>
      <c r="BI49" s="15"/>
      <c r="BJ49" s="15"/>
      <c r="BK49" s="15"/>
      <c r="BL49" s="15"/>
      <c r="BM49" s="15"/>
      <c r="BN49" s="15" t="s">
        <v>328</v>
      </c>
      <c r="BO49" s="15"/>
      <c r="BP49" s="15" t="s">
        <v>328</v>
      </c>
      <c r="BQ49" s="15"/>
      <c r="BR49" s="15"/>
      <c r="BS49" s="15"/>
      <c r="BT49" s="15"/>
      <c r="BU49" s="15"/>
      <c r="BV49" s="15"/>
      <c r="BW49" s="15"/>
      <c r="BX49" s="15" t="s">
        <v>332</v>
      </c>
      <c r="BY49" s="15"/>
      <c r="BZ49" s="15"/>
      <c r="CA49" s="15"/>
      <c r="CB49" s="15"/>
      <c r="CC49" s="15"/>
      <c r="CD49" s="15"/>
      <c r="CE49" s="15"/>
      <c r="CF49" s="15"/>
      <c r="CG49" s="15"/>
      <c r="CH49" s="15" t="s">
        <v>332</v>
      </c>
      <c r="CI49" s="15" t="s">
        <v>328</v>
      </c>
      <c r="CJ49" s="15"/>
      <c r="CK49" s="15"/>
      <c r="CL49" s="15"/>
      <c r="CM49" s="15"/>
      <c r="CN49" s="15" t="s">
        <v>405</v>
      </c>
      <c r="CO49" s="15" t="s">
        <v>405</v>
      </c>
      <c r="CP49" s="15" t="s">
        <v>405</v>
      </c>
      <c r="CQ49" s="15" t="s">
        <v>405</v>
      </c>
      <c r="CR49" s="15" t="s">
        <v>405</v>
      </c>
      <c r="CS49" s="15" t="s">
        <v>405</v>
      </c>
      <c r="CT49" s="15" t="s">
        <v>328</v>
      </c>
      <c r="CU49" s="15" t="s">
        <v>328</v>
      </c>
      <c r="CV49" s="15"/>
      <c r="CW49" s="15"/>
      <c r="CX49" s="15" t="s">
        <v>328</v>
      </c>
      <c r="CY49" s="15"/>
      <c r="CZ49" s="15"/>
      <c r="DA49" s="15" t="s">
        <v>328</v>
      </c>
      <c r="DB49" s="18" t="s">
        <v>404</v>
      </c>
      <c r="DC49" s="15"/>
      <c r="DD49" s="15"/>
      <c r="DE49" s="15"/>
      <c r="DF49" s="15"/>
      <c r="DG49" s="15"/>
      <c r="DH49" s="15"/>
      <c r="DI49" s="15"/>
      <c r="DJ49" s="15"/>
      <c r="DK49" s="15" t="s">
        <v>328</v>
      </c>
      <c r="DL49" s="15" t="s">
        <v>328</v>
      </c>
      <c r="DM49" s="14" t="s">
        <v>397</v>
      </c>
      <c r="DN49" s="15"/>
      <c r="DO49" s="14" t="s">
        <v>432</v>
      </c>
      <c r="DP49" s="14" t="s">
        <v>389</v>
      </c>
      <c r="DQ49" s="15"/>
      <c r="DR49" s="15" t="s">
        <v>328</v>
      </c>
      <c r="DS49" s="15" t="s">
        <v>328</v>
      </c>
      <c r="DT49" s="14" t="s">
        <v>397</v>
      </c>
      <c r="DU49" s="15"/>
      <c r="DV49" s="15"/>
      <c r="DW49" s="15" t="s">
        <v>428</v>
      </c>
      <c r="DX49" s="15" t="s">
        <v>474</v>
      </c>
      <c r="DY49" s="15"/>
      <c r="DZ49" s="15" t="s">
        <v>328</v>
      </c>
      <c r="EA49" s="15" t="s">
        <v>328</v>
      </c>
      <c r="EB49" s="14" t="s">
        <v>397</v>
      </c>
      <c r="EC49" s="15"/>
      <c r="ED49" s="15" t="s">
        <v>1158</v>
      </c>
      <c r="EE49" s="102" t="s">
        <v>474</v>
      </c>
      <c r="EF49" s="99"/>
      <c r="EG49" s="17">
        <f t="shared" si="0"/>
        <v>0</v>
      </c>
    </row>
    <row r="50" spans="1:137" x14ac:dyDescent="0.25">
      <c r="A50" s="50" t="s">
        <v>1404</v>
      </c>
      <c r="B50" s="208">
        <v>41542</v>
      </c>
      <c r="C50" s="209" t="s">
        <v>2767</v>
      </c>
      <c r="D50" s="61" t="s">
        <v>464</v>
      </c>
      <c r="E50" s="15"/>
      <c r="F50" s="15" t="s">
        <v>328</v>
      </c>
      <c r="G50" s="15">
        <v>63</v>
      </c>
      <c r="H50" s="15" t="s">
        <v>329</v>
      </c>
      <c r="I50" s="15" t="s">
        <v>330</v>
      </c>
      <c r="J50" s="15" t="s">
        <v>380</v>
      </c>
      <c r="K50" s="15" t="s">
        <v>1188</v>
      </c>
      <c r="L50" s="15" t="s">
        <v>1188</v>
      </c>
      <c r="M50" s="15">
        <v>40</v>
      </c>
      <c r="N50" s="15">
        <v>6</v>
      </c>
      <c r="O50" s="15">
        <v>3</v>
      </c>
      <c r="P50" s="15"/>
      <c r="Q50" s="15"/>
      <c r="R50" s="15"/>
      <c r="S50" s="15"/>
      <c r="T50" s="15"/>
      <c r="U50" s="15"/>
      <c r="V50" s="15">
        <v>3</v>
      </c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 t="s">
        <v>328</v>
      </c>
      <c r="AH50" s="15"/>
      <c r="AI50" s="15"/>
      <c r="AJ50" s="15"/>
      <c r="AK50" s="14" t="s">
        <v>423</v>
      </c>
      <c r="AL50" s="15"/>
      <c r="AM50" s="14" t="s">
        <v>328</v>
      </c>
      <c r="AN50" s="15"/>
      <c r="AO50" s="15"/>
      <c r="AP50" s="15"/>
      <c r="AQ50" s="15" t="s">
        <v>328</v>
      </c>
      <c r="AR50" s="15">
        <v>10</v>
      </c>
      <c r="AS50" s="15">
        <v>3</v>
      </c>
      <c r="AT50" s="15"/>
      <c r="AU50" s="15" t="s">
        <v>328</v>
      </c>
      <c r="AV50" s="15" t="s">
        <v>328</v>
      </c>
      <c r="AW50" s="15"/>
      <c r="AX50" s="15">
        <v>2</v>
      </c>
      <c r="AY50" s="15">
        <v>1</v>
      </c>
      <c r="AZ50" s="15">
        <v>3</v>
      </c>
      <c r="BA50" s="15"/>
      <c r="BB50" s="15"/>
      <c r="BC50" s="15" t="s">
        <v>328</v>
      </c>
      <c r="BD50" s="15" t="s">
        <v>328</v>
      </c>
      <c r="BE50" s="15"/>
      <c r="BF50" s="15"/>
      <c r="BG50" s="15"/>
      <c r="BH50" s="15"/>
      <c r="BI50" s="15"/>
      <c r="BJ50" s="15"/>
      <c r="BK50" s="15"/>
      <c r="BL50" s="15"/>
      <c r="BM50" s="15"/>
      <c r="BN50" s="15" t="s">
        <v>328</v>
      </c>
      <c r="BO50" s="15"/>
      <c r="BP50" s="15" t="s">
        <v>328</v>
      </c>
      <c r="BQ50" s="15"/>
      <c r="BR50" s="15"/>
      <c r="BS50" s="15"/>
      <c r="BT50" s="15" t="s">
        <v>328</v>
      </c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 t="s">
        <v>332</v>
      </c>
      <c r="CI50" s="15" t="s">
        <v>328</v>
      </c>
      <c r="CJ50" s="15"/>
      <c r="CK50" s="15"/>
      <c r="CL50" s="15"/>
      <c r="CM50" s="15"/>
      <c r="CN50" s="15">
        <v>3</v>
      </c>
      <c r="CO50" s="15">
        <v>4</v>
      </c>
      <c r="CP50" s="15">
        <v>1</v>
      </c>
      <c r="CQ50" s="15">
        <v>5</v>
      </c>
      <c r="CR50" s="15">
        <v>6</v>
      </c>
      <c r="CS50" s="15">
        <v>2</v>
      </c>
      <c r="CT50" s="15" t="s">
        <v>328</v>
      </c>
      <c r="CU50" s="15"/>
      <c r="CV50" s="15"/>
      <c r="CW50" s="15"/>
      <c r="CX50" s="15" t="s">
        <v>328</v>
      </c>
      <c r="CY50" s="15"/>
      <c r="CZ50" s="15"/>
      <c r="DA50" s="15" t="s">
        <v>328</v>
      </c>
      <c r="DB50" s="18" t="s">
        <v>404</v>
      </c>
      <c r="DC50" s="15"/>
      <c r="DD50" s="15"/>
      <c r="DE50" s="15"/>
      <c r="DF50" s="15"/>
      <c r="DG50" s="15"/>
      <c r="DH50" s="15"/>
      <c r="DI50" s="15"/>
      <c r="DJ50" s="15" t="s">
        <v>328</v>
      </c>
      <c r="DK50" s="15"/>
      <c r="DL50" s="15"/>
      <c r="DM50" s="14"/>
      <c r="DN50" s="15"/>
      <c r="DO50" s="15" t="s">
        <v>492</v>
      </c>
      <c r="DP50" s="14" t="s">
        <v>1145</v>
      </c>
      <c r="DQ50" s="15" t="s">
        <v>328</v>
      </c>
      <c r="DR50" s="15"/>
      <c r="DS50" s="15"/>
      <c r="DT50" s="14"/>
      <c r="DU50" s="15"/>
      <c r="DV50" s="15"/>
      <c r="DW50" s="15" t="s">
        <v>1163</v>
      </c>
      <c r="DX50" s="15" t="s">
        <v>438</v>
      </c>
      <c r="DY50" s="15" t="s">
        <v>328</v>
      </c>
      <c r="DZ50" s="15"/>
      <c r="EA50" s="15"/>
      <c r="EB50" s="14"/>
      <c r="EC50" s="15"/>
      <c r="ED50" s="15"/>
      <c r="EE50" s="102" t="s">
        <v>450</v>
      </c>
      <c r="EF50" s="99"/>
      <c r="EG50" s="17">
        <f t="shared" si="0"/>
        <v>0</v>
      </c>
    </row>
    <row r="51" spans="1:137" x14ac:dyDescent="0.25">
      <c r="A51" s="50" t="s">
        <v>1404</v>
      </c>
      <c r="B51" s="208">
        <v>41542</v>
      </c>
      <c r="C51" s="209" t="s">
        <v>2767</v>
      </c>
      <c r="D51" s="61" t="s">
        <v>465</v>
      </c>
      <c r="E51" s="15" t="s">
        <v>328</v>
      </c>
      <c r="F51" s="15"/>
      <c r="G51" s="15">
        <v>41</v>
      </c>
      <c r="H51" s="15" t="s">
        <v>329</v>
      </c>
      <c r="I51" s="15" t="s">
        <v>330</v>
      </c>
      <c r="J51" s="15" t="s">
        <v>767</v>
      </c>
      <c r="K51" s="18" t="s">
        <v>1208</v>
      </c>
      <c r="L51" s="15" t="s">
        <v>1286</v>
      </c>
      <c r="M51" s="15">
        <v>23</v>
      </c>
      <c r="N51" s="15">
        <v>2</v>
      </c>
      <c r="O51" s="15"/>
      <c r="P51" s="15"/>
      <c r="Q51" s="15"/>
      <c r="R51" s="15"/>
      <c r="S51" s="15"/>
      <c r="T51" s="15"/>
      <c r="U51" s="15"/>
      <c r="V51" s="15">
        <v>2</v>
      </c>
      <c r="W51" s="15"/>
      <c r="X51" s="15"/>
      <c r="Y51" s="15"/>
      <c r="Z51" s="15"/>
      <c r="AA51" s="18"/>
      <c r="AB51" s="15"/>
      <c r="AC51" s="15"/>
      <c r="AD51" s="15"/>
      <c r="AE51" s="15"/>
      <c r="AF51" s="15"/>
      <c r="AG51" s="15"/>
      <c r="AH51" s="15"/>
      <c r="AI51" s="15"/>
      <c r="AJ51" s="15" t="s">
        <v>328</v>
      </c>
      <c r="AK51" s="15"/>
      <c r="AL51" s="15"/>
      <c r="AM51" s="14" t="s">
        <v>328</v>
      </c>
      <c r="AN51" s="15"/>
      <c r="AO51" s="15"/>
      <c r="AP51" s="15"/>
      <c r="AQ51" s="15" t="s">
        <v>328</v>
      </c>
      <c r="AR51" s="15">
        <v>10</v>
      </c>
      <c r="AS51" s="15">
        <v>5</v>
      </c>
      <c r="AT51" s="15"/>
      <c r="AU51" s="15"/>
      <c r="AV51" s="15" t="s">
        <v>328</v>
      </c>
      <c r="AW51" s="15"/>
      <c r="AX51" s="15">
        <v>3</v>
      </c>
      <c r="AY51" s="15">
        <v>2</v>
      </c>
      <c r="AZ51" s="15">
        <v>1</v>
      </c>
      <c r="BA51" s="15"/>
      <c r="BB51" s="15"/>
      <c r="BC51" s="15" t="s">
        <v>328</v>
      </c>
      <c r="BD51" s="15"/>
      <c r="BE51" s="15"/>
      <c r="BF51" s="15"/>
      <c r="BG51" s="15"/>
      <c r="BH51" s="15"/>
      <c r="BI51" s="15"/>
      <c r="BJ51" s="15"/>
      <c r="BK51" s="15" t="s">
        <v>328</v>
      </c>
      <c r="BL51" s="15"/>
      <c r="BM51" s="15"/>
      <c r="BN51" s="15"/>
      <c r="BO51" s="15" t="s">
        <v>328</v>
      </c>
      <c r="BP51" s="15"/>
      <c r="BQ51" s="15" t="s">
        <v>328</v>
      </c>
      <c r="BR51" s="15"/>
      <c r="BS51" s="15" t="s">
        <v>328</v>
      </c>
      <c r="BT51" s="15"/>
      <c r="BU51" s="15"/>
      <c r="BV51" s="15"/>
      <c r="BW51" s="15"/>
      <c r="BX51" s="15"/>
      <c r="BY51" s="15"/>
      <c r="BZ51" s="15"/>
      <c r="CA51" s="15"/>
      <c r="CB51" s="15"/>
      <c r="CC51" s="15" t="s">
        <v>328</v>
      </c>
      <c r="CD51" s="15"/>
      <c r="CE51" s="15"/>
      <c r="CF51" s="15"/>
      <c r="CG51" s="15"/>
      <c r="CH51" s="15"/>
      <c r="CI51" s="15"/>
      <c r="CJ51" s="15"/>
      <c r="CK51" s="15" t="s">
        <v>328</v>
      </c>
      <c r="CL51" s="15"/>
      <c r="CM51" s="15"/>
      <c r="CN51" s="15">
        <v>2</v>
      </c>
      <c r="CO51" s="15">
        <v>3</v>
      </c>
      <c r="CP51" s="15">
        <v>4</v>
      </c>
      <c r="CQ51" s="15">
        <v>6</v>
      </c>
      <c r="CR51" s="15">
        <v>5</v>
      </c>
      <c r="CS51" s="15">
        <v>1</v>
      </c>
      <c r="CT51" s="15"/>
      <c r="CU51" s="15"/>
      <c r="CV51" s="15"/>
      <c r="CW51" s="15"/>
      <c r="CX51" s="15"/>
      <c r="CY51" s="15"/>
      <c r="CZ51" s="15" t="s">
        <v>332</v>
      </c>
      <c r="DA51" s="15" t="s">
        <v>328</v>
      </c>
      <c r="DB51" s="15" t="s">
        <v>404</v>
      </c>
      <c r="DC51" s="15"/>
      <c r="DD51" s="15"/>
      <c r="DE51" s="15"/>
      <c r="DF51" s="15"/>
      <c r="DG51" s="15"/>
      <c r="DH51" s="15"/>
      <c r="DI51" s="15"/>
      <c r="DJ51" s="15" t="s">
        <v>328</v>
      </c>
      <c r="DK51" s="15"/>
      <c r="DL51" s="15"/>
      <c r="DM51" s="14"/>
      <c r="DN51" s="15"/>
      <c r="DO51" s="15"/>
      <c r="DP51" s="14" t="s">
        <v>1146</v>
      </c>
      <c r="DQ51" s="15" t="s">
        <v>328</v>
      </c>
      <c r="DR51" s="15"/>
      <c r="DS51" s="15"/>
      <c r="DT51" s="15"/>
      <c r="DU51" s="15"/>
      <c r="DV51" s="15"/>
      <c r="DW51" s="15"/>
      <c r="DX51" s="15" t="s">
        <v>333</v>
      </c>
      <c r="DY51" s="15" t="s">
        <v>328</v>
      </c>
      <c r="DZ51" s="15"/>
      <c r="EA51" s="15"/>
      <c r="EB51" s="15"/>
      <c r="EC51" s="15"/>
      <c r="ED51" s="15"/>
      <c r="EE51" s="102" t="s">
        <v>450</v>
      </c>
      <c r="EF51" s="99"/>
      <c r="EG51" s="17">
        <f t="shared" si="0"/>
        <v>0</v>
      </c>
    </row>
    <row r="52" spans="1:137" x14ac:dyDescent="0.25">
      <c r="A52" s="50" t="s">
        <v>1404</v>
      </c>
      <c r="B52" s="208">
        <v>41542</v>
      </c>
      <c r="C52" s="209" t="s">
        <v>2767</v>
      </c>
      <c r="D52" s="61" t="s">
        <v>466</v>
      </c>
      <c r="E52" s="15" t="s">
        <v>328</v>
      </c>
      <c r="F52" s="15"/>
      <c r="G52" s="15">
        <v>40</v>
      </c>
      <c r="H52" s="15" t="s">
        <v>329</v>
      </c>
      <c r="I52" s="15" t="s">
        <v>399</v>
      </c>
      <c r="J52" s="15" t="s">
        <v>754</v>
      </c>
      <c r="K52" s="15" t="s">
        <v>1209</v>
      </c>
      <c r="L52" s="15" t="s">
        <v>1283</v>
      </c>
      <c r="M52" s="15">
        <v>11</v>
      </c>
      <c r="N52" s="15">
        <v>2</v>
      </c>
      <c r="O52" s="15"/>
      <c r="P52" s="15"/>
      <c r="Q52" s="15"/>
      <c r="R52" s="15">
        <v>2</v>
      </c>
      <c r="S52" s="15"/>
      <c r="T52" s="15"/>
      <c r="U52" s="15"/>
      <c r="V52" s="15"/>
      <c r="W52" s="15"/>
      <c r="X52" s="15"/>
      <c r="Y52" s="15"/>
      <c r="Z52" s="15"/>
      <c r="AA52" s="15"/>
      <c r="AB52" s="15" t="s">
        <v>328</v>
      </c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4" t="s">
        <v>328</v>
      </c>
      <c r="AN52" s="15"/>
      <c r="AO52" s="15"/>
      <c r="AP52" s="15"/>
      <c r="AQ52" s="15" t="s">
        <v>328</v>
      </c>
      <c r="AR52" s="15">
        <v>10</v>
      </c>
      <c r="AS52" s="15">
        <v>4</v>
      </c>
      <c r="AT52" s="15"/>
      <c r="AU52" s="15" t="s">
        <v>328</v>
      </c>
      <c r="AV52" s="15"/>
      <c r="AW52" s="15"/>
      <c r="AX52" s="15">
        <v>4</v>
      </c>
      <c r="AY52" s="15">
        <v>3</v>
      </c>
      <c r="AZ52" s="15">
        <v>2</v>
      </c>
      <c r="BA52" s="15" t="s">
        <v>346</v>
      </c>
      <c r="BB52" s="15" t="s">
        <v>328</v>
      </c>
      <c r="BC52" s="15"/>
      <c r="BD52" s="15"/>
      <c r="BE52" s="15"/>
      <c r="BF52" s="15" t="s">
        <v>328</v>
      </c>
      <c r="BG52" s="15"/>
      <c r="BH52" s="15"/>
      <c r="BI52" s="15"/>
      <c r="BJ52" s="15"/>
      <c r="BK52" s="15"/>
      <c r="BL52" s="15"/>
      <c r="BM52" s="15"/>
      <c r="BN52" s="15" t="s">
        <v>328</v>
      </c>
      <c r="BO52" s="15"/>
      <c r="BP52" s="15" t="s">
        <v>328</v>
      </c>
      <c r="BQ52" s="15"/>
      <c r="BR52" s="15" t="s">
        <v>328</v>
      </c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 t="s">
        <v>332</v>
      </c>
      <c r="CI52" s="15" t="s">
        <v>328</v>
      </c>
      <c r="CJ52" s="15"/>
      <c r="CK52" s="15"/>
      <c r="CL52" s="15"/>
      <c r="CM52" s="15"/>
      <c r="CN52" s="15">
        <v>3</v>
      </c>
      <c r="CO52" s="15">
        <v>1</v>
      </c>
      <c r="CP52" s="15">
        <v>4</v>
      </c>
      <c r="CQ52" s="15">
        <v>5</v>
      </c>
      <c r="CR52" s="15">
        <v>6</v>
      </c>
      <c r="CS52" s="15">
        <v>2</v>
      </c>
      <c r="CT52" s="15"/>
      <c r="CU52" s="15" t="s">
        <v>328</v>
      </c>
      <c r="CV52" s="15"/>
      <c r="CW52" s="15" t="s">
        <v>328</v>
      </c>
      <c r="CX52" s="15"/>
      <c r="CY52" s="15" t="s">
        <v>328</v>
      </c>
      <c r="CZ52" s="15"/>
      <c r="DA52" s="15"/>
      <c r="DB52" s="15"/>
      <c r="DC52" s="15">
        <v>5</v>
      </c>
      <c r="DD52" s="15">
        <v>1</v>
      </c>
      <c r="DE52" s="15">
        <v>4</v>
      </c>
      <c r="DF52" s="15">
        <v>3</v>
      </c>
      <c r="DG52" s="15">
        <v>6</v>
      </c>
      <c r="DH52" s="15">
        <v>2</v>
      </c>
      <c r="DI52" s="15"/>
      <c r="DJ52" s="15" t="s">
        <v>328</v>
      </c>
      <c r="DK52" s="15"/>
      <c r="DL52" s="15"/>
      <c r="DM52" s="15"/>
      <c r="DN52" s="15"/>
      <c r="DO52" s="15"/>
      <c r="DP52" s="14" t="s">
        <v>1145</v>
      </c>
      <c r="DQ52" s="15" t="s">
        <v>328</v>
      </c>
      <c r="DR52" s="15"/>
      <c r="DS52" s="15"/>
      <c r="DT52" s="15"/>
      <c r="DU52" s="15"/>
      <c r="DV52" s="15"/>
      <c r="DW52" s="15"/>
      <c r="DX52" s="15" t="s">
        <v>333</v>
      </c>
      <c r="DY52" s="15" t="s">
        <v>328</v>
      </c>
      <c r="DZ52" s="15"/>
      <c r="EA52" s="15"/>
      <c r="EB52" s="15"/>
      <c r="EC52" s="15"/>
      <c r="ED52" s="15"/>
      <c r="EE52" s="102" t="s">
        <v>450</v>
      </c>
      <c r="EF52" s="99"/>
      <c r="EG52" s="17">
        <f t="shared" si="0"/>
        <v>0</v>
      </c>
    </row>
    <row r="53" spans="1:137" x14ac:dyDescent="0.25">
      <c r="A53" s="50" t="s">
        <v>1404</v>
      </c>
      <c r="B53" s="208">
        <v>41542</v>
      </c>
      <c r="C53" s="209" t="s">
        <v>2767</v>
      </c>
      <c r="D53" s="61" t="s">
        <v>467</v>
      </c>
      <c r="E53" s="15" t="s">
        <v>328</v>
      </c>
      <c r="F53" s="15"/>
      <c r="G53" s="15">
        <v>52</v>
      </c>
      <c r="H53" s="15" t="s">
        <v>329</v>
      </c>
      <c r="I53" s="15" t="s">
        <v>353</v>
      </c>
      <c r="J53" s="15" t="s">
        <v>768</v>
      </c>
      <c r="K53" s="15" t="s">
        <v>1210</v>
      </c>
      <c r="L53" s="15" t="s">
        <v>1280</v>
      </c>
      <c r="M53" s="15">
        <v>20</v>
      </c>
      <c r="N53" s="15">
        <v>1</v>
      </c>
      <c r="O53" s="15">
        <v>1</v>
      </c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 t="s">
        <v>328</v>
      </c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4" t="s">
        <v>328</v>
      </c>
      <c r="AN53" s="15"/>
      <c r="AO53" s="15"/>
      <c r="AP53" s="15"/>
      <c r="AQ53" s="15" t="s">
        <v>328</v>
      </c>
      <c r="AR53" s="15">
        <v>6</v>
      </c>
      <c r="AS53" s="15">
        <v>8</v>
      </c>
      <c r="AT53" s="15"/>
      <c r="AU53" s="15" t="s">
        <v>328</v>
      </c>
      <c r="AV53" s="15"/>
      <c r="AW53" s="15"/>
      <c r="AX53" s="15">
        <v>1</v>
      </c>
      <c r="AY53" s="15">
        <v>3</v>
      </c>
      <c r="AZ53" s="15">
        <v>2</v>
      </c>
      <c r="BA53" s="15"/>
      <c r="BB53" s="15" t="s">
        <v>328</v>
      </c>
      <c r="BC53" s="15"/>
      <c r="BD53" s="15"/>
      <c r="BE53" s="15"/>
      <c r="BF53" s="15"/>
      <c r="BG53" s="15"/>
      <c r="BH53" s="15"/>
      <c r="BI53" s="15"/>
      <c r="BJ53" s="15"/>
      <c r="BK53" s="15" t="s">
        <v>328</v>
      </c>
      <c r="BL53" s="15"/>
      <c r="BM53" s="15"/>
      <c r="BN53" s="15"/>
      <c r="BO53" s="15" t="s">
        <v>328</v>
      </c>
      <c r="BP53" s="15"/>
      <c r="BQ53" s="15" t="s">
        <v>328</v>
      </c>
      <c r="BR53" s="15"/>
      <c r="BS53" s="15"/>
      <c r="BT53" s="15"/>
      <c r="BU53" s="15"/>
      <c r="BV53" s="15" t="s">
        <v>328</v>
      </c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 t="s">
        <v>332</v>
      </c>
      <c r="CI53" s="15" t="s">
        <v>328</v>
      </c>
      <c r="CJ53" s="15"/>
      <c r="CK53" s="15"/>
      <c r="CL53" s="15"/>
      <c r="CM53" s="15"/>
      <c r="CN53" s="15">
        <v>2</v>
      </c>
      <c r="CO53" s="15">
        <v>6</v>
      </c>
      <c r="CP53" s="15">
        <v>3</v>
      </c>
      <c r="CQ53" s="15">
        <v>5</v>
      </c>
      <c r="CR53" s="15">
        <v>4</v>
      </c>
      <c r="CS53" s="15">
        <v>1</v>
      </c>
      <c r="CT53" s="15" t="s">
        <v>328</v>
      </c>
      <c r="CU53" s="15" t="s">
        <v>328</v>
      </c>
      <c r="CV53" s="15"/>
      <c r="CW53" s="15"/>
      <c r="CX53" s="15" t="s">
        <v>328</v>
      </c>
      <c r="CY53" s="15"/>
      <c r="CZ53" s="15"/>
      <c r="DA53" s="15" t="s">
        <v>328</v>
      </c>
      <c r="DB53" s="15" t="s">
        <v>404</v>
      </c>
      <c r="DC53" s="15"/>
      <c r="DD53" s="15"/>
      <c r="DE53" s="15"/>
      <c r="DF53" s="15"/>
      <c r="DG53" s="15"/>
      <c r="DH53" s="15"/>
      <c r="DI53" s="15"/>
      <c r="DJ53" s="15" t="s">
        <v>328</v>
      </c>
      <c r="DK53" s="15"/>
      <c r="DL53" s="15"/>
      <c r="DM53" s="15"/>
      <c r="DN53" s="15"/>
      <c r="DO53" s="15"/>
      <c r="DP53" s="14" t="s">
        <v>1145</v>
      </c>
      <c r="DQ53" s="15" t="s">
        <v>328</v>
      </c>
      <c r="DR53" s="15"/>
      <c r="DS53" s="15"/>
      <c r="DT53" s="15"/>
      <c r="DU53" s="15"/>
      <c r="DV53" s="15"/>
      <c r="DW53" s="15"/>
      <c r="DX53" s="14" t="s">
        <v>333</v>
      </c>
      <c r="DY53" s="15" t="s">
        <v>328</v>
      </c>
      <c r="DZ53" s="15"/>
      <c r="EA53" s="15"/>
      <c r="EB53" s="15"/>
      <c r="EC53" s="15"/>
      <c r="ED53" s="15"/>
      <c r="EE53" s="102" t="s">
        <v>1145</v>
      </c>
      <c r="EF53" s="99"/>
      <c r="EG53" s="17">
        <f t="shared" si="0"/>
        <v>0</v>
      </c>
    </row>
    <row r="54" spans="1:137" x14ac:dyDescent="0.25">
      <c r="A54" s="50" t="s">
        <v>1404</v>
      </c>
      <c r="B54" s="208">
        <v>41543</v>
      </c>
      <c r="C54" s="209" t="s">
        <v>2767</v>
      </c>
      <c r="D54" s="61" t="s">
        <v>468</v>
      </c>
      <c r="E54" s="15" t="s">
        <v>328</v>
      </c>
      <c r="F54" s="15"/>
      <c r="G54" s="15">
        <v>38</v>
      </c>
      <c r="H54" s="15" t="s">
        <v>329</v>
      </c>
      <c r="I54" s="15" t="s">
        <v>330</v>
      </c>
      <c r="J54" s="15" t="s">
        <v>737</v>
      </c>
      <c r="K54" s="15" t="s">
        <v>1211</v>
      </c>
      <c r="L54" s="15" t="s">
        <v>1280</v>
      </c>
      <c r="M54" s="15">
        <v>12</v>
      </c>
      <c r="N54" s="15">
        <v>2</v>
      </c>
      <c r="O54" s="15">
        <v>2</v>
      </c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 t="s">
        <v>418</v>
      </c>
      <c r="AL54" s="15"/>
      <c r="AM54" s="14" t="s">
        <v>328</v>
      </c>
      <c r="AN54" s="15"/>
      <c r="AO54" s="15"/>
      <c r="AP54" s="15"/>
      <c r="AQ54" s="15" t="s">
        <v>328</v>
      </c>
      <c r="AR54" s="15">
        <v>1</v>
      </c>
      <c r="AS54" s="15">
        <v>4</v>
      </c>
      <c r="AT54" s="15" t="s">
        <v>328</v>
      </c>
      <c r="AU54" s="15" t="s">
        <v>328</v>
      </c>
      <c r="AV54" s="15"/>
      <c r="AW54" s="15"/>
      <c r="AX54" s="15">
        <v>3</v>
      </c>
      <c r="AY54" s="15">
        <v>1</v>
      </c>
      <c r="AZ54" s="15">
        <v>2</v>
      </c>
      <c r="BA54" s="15"/>
      <c r="BB54" s="15" t="s">
        <v>328</v>
      </c>
      <c r="BC54" s="15"/>
      <c r="BD54" s="15"/>
      <c r="BE54" s="15"/>
      <c r="BF54" s="15"/>
      <c r="BG54" s="15"/>
      <c r="BH54" s="15"/>
      <c r="BI54" s="15"/>
      <c r="BJ54" s="15"/>
      <c r="BK54" s="15" t="s">
        <v>328</v>
      </c>
      <c r="BL54" s="15"/>
      <c r="BM54" s="15"/>
      <c r="BN54" s="15" t="s">
        <v>328</v>
      </c>
      <c r="BO54" s="15"/>
      <c r="BP54" s="15" t="s">
        <v>328</v>
      </c>
      <c r="BQ54" s="15"/>
      <c r="BR54" s="15" t="s">
        <v>328</v>
      </c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 t="s">
        <v>332</v>
      </c>
      <c r="CI54" s="15" t="s">
        <v>328</v>
      </c>
      <c r="CJ54" s="15"/>
      <c r="CK54" s="15"/>
      <c r="CL54" s="15"/>
      <c r="CM54" s="15"/>
      <c r="CN54" s="15">
        <v>2</v>
      </c>
      <c r="CO54" s="15">
        <v>1</v>
      </c>
      <c r="CP54" s="15">
        <v>4</v>
      </c>
      <c r="CQ54" s="15">
        <v>6</v>
      </c>
      <c r="CR54" s="15">
        <v>5</v>
      </c>
      <c r="CS54" s="15">
        <v>3</v>
      </c>
      <c r="CT54" s="15" t="s">
        <v>328</v>
      </c>
      <c r="CU54" s="15"/>
      <c r="CV54" s="15"/>
      <c r="CW54" s="15"/>
      <c r="CX54" s="15" t="s">
        <v>328</v>
      </c>
      <c r="CY54" s="15"/>
      <c r="CZ54" s="15"/>
      <c r="DA54" s="15"/>
      <c r="DB54" s="15"/>
      <c r="DC54" s="15">
        <v>2</v>
      </c>
      <c r="DD54" s="15">
        <v>3</v>
      </c>
      <c r="DE54" s="15">
        <v>5</v>
      </c>
      <c r="DF54" s="15">
        <v>4</v>
      </c>
      <c r="DG54" s="15">
        <v>1</v>
      </c>
      <c r="DH54" s="15">
        <v>6</v>
      </c>
      <c r="DI54" s="15"/>
      <c r="DJ54" s="15"/>
      <c r="DK54" s="15" t="s">
        <v>328</v>
      </c>
      <c r="DL54" s="15" t="s">
        <v>328</v>
      </c>
      <c r="DM54" s="14" t="s">
        <v>404</v>
      </c>
      <c r="DN54" s="15"/>
      <c r="DO54" s="15" t="s">
        <v>492</v>
      </c>
      <c r="DP54" s="14" t="s">
        <v>389</v>
      </c>
      <c r="DQ54" s="15"/>
      <c r="DR54" s="15" t="s">
        <v>328</v>
      </c>
      <c r="DS54" s="15" t="s">
        <v>328</v>
      </c>
      <c r="DT54" s="15" t="s">
        <v>478</v>
      </c>
      <c r="DU54" s="15"/>
      <c r="DV54" s="15"/>
      <c r="DW54" s="15" t="s">
        <v>428</v>
      </c>
      <c r="DX54" s="14" t="s">
        <v>411</v>
      </c>
      <c r="DY54" s="15" t="s">
        <v>328</v>
      </c>
      <c r="DZ54" s="15"/>
      <c r="EA54" s="15"/>
      <c r="EB54" s="15"/>
      <c r="EC54" s="15"/>
      <c r="ED54" s="15"/>
      <c r="EE54" s="102" t="s">
        <v>1145</v>
      </c>
      <c r="EF54" s="99"/>
      <c r="EG54" s="17">
        <f t="shared" si="0"/>
        <v>0</v>
      </c>
    </row>
    <row r="55" spans="1:137" x14ac:dyDescent="0.25">
      <c r="A55" s="50" t="s">
        <v>1404</v>
      </c>
      <c r="B55" s="208">
        <v>41543</v>
      </c>
      <c r="C55" s="209" t="s">
        <v>2767</v>
      </c>
      <c r="D55" s="61" t="s">
        <v>469</v>
      </c>
      <c r="E55" s="15" t="s">
        <v>328</v>
      </c>
      <c r="F55" s="15"/>
      <c r="G55" s="15">
        <v>38</v>
      </c>
      <c r="H55" s="15" t="s">
        <v>329</v>
      </c>
      <c r="I55" s="15" t="s">
        <v>357</v>
      </c>
      <c r="J55" s="15" t="s">
        <v>741</v>
      </c>
      <c r="K55" s="15" t="s">
        <v>1212</v>
      </c>
      <c r="L55" s="15" t="s">
        <v>1283</v>
      </c>
      <c r="M55" s="15">
        <v>0</v>
      </c>
      <c r="N55" s="15">
        <v>4</v>
      </c>
      <c r="O55" s="15">
        <v>4</v>
      </c>
      <c r="P55" s="15">
        <v>1</v>
      </c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 t="s">
        <v>328</v>
      </c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 t="s">
        <v>328</v>
      </c>
      <c r="AN55" s="15"/>
      <c r="AO55" s="15"/>
      <c r="AP55" s="15"/>
      <c r="AQ55" s="14" t="s">
        <v>328</v>
      </c>
      <c r="AR55" s="15">
        <v>5</v>
      </c>
      <c r="AS55" s="15">
        <v>4</v>
      </c>
      <c r="AT55" s="15"/>
      <c r="AU55" s="15"/>
      <c r="AV55" s="15" t="s">
        <v>328</v>
      </c>
      <c r="AW55" s="15"/>
      <c r="AX55" s="15">
        <v>1</v>
      </c>
      <c r="AY55" s="15">
        <v>3</v>
      </c>
      <c r="AZ55" s="15">
        <v>2</v>
      </c>
      <c r="BA55" s="15"/>
      <c r="BB55" s="15"/>
      <c r="BC55" s="15" t="s">
        <v>328</v>
      </c>
      <c r="BD55" s="15"/>
      <c r="BE55" s="15"/>
      <c r="BF55" s="15"/>
      <c r="BG55" s="15"/>
      <c r="BH55" s="15"/>
      <c r="BI55" s="15"/>
      <c r="BJ55" s="15"/>
      <c r="BK55" s="15" t="s">
        <v>328</v>
      </c>
      <c r="BL55" s="15"/>
      <c r="BM55" s="15"/>
      <c r="BN55" s="15" t="s">
        <v>328</v>
      </c>
      <c r="BO55" s="15"/>
      <c r="BP55" s="15"/>
      <c r="BQ55" s="15" t="s">
        <v>328</v>
      </c>
      <c r="BR55" s="15" t="s">
        <v>328</v>
      </c>
      <c r="BS55" s="15"/>
      <c r="BT55" s="15"/>
      <c r="BU55" s="15"/>
      <c r="BV55" s="15"/>
      <c r="BW55" s="15"/>
      <c r="BX55" s="15" t="s">
        <v>479</v>
      </c>
      <c r="BY55" s="15"/>
      <c r="BZ55" s="15"/>
      <c r="CA55" s="15"/>
      <c r="CB55" s="15"/>
      <c r="CC55" s="15"/>
      <c r="CD55" s="15"/>
      <c r="CE55" s="15"/>
      <c r="CF55" s="15"/>
      <c r="CG55" s="15"/>
      <c r="CH55" s="15" t="s">
        <v>332</v>
      </c>
      <c r="CI55" s="15" t="s">
        <v>328</v>
      </c>
      <c r="CJ55" s="15"/>
      <c r="CK55" s="15"/>
      <c r="CL55" s="15"/>
      <c r="CM55" s="15"/>
      <c r="CN55" s="15">
        <v>3</v>
      </c>
      <c r="CO55" s="15">
        <v>4</v>
      </c>
      <c r="CP55" s="15">
        <v>2</v>
      </c>
      <c r="CQ55" s="15">
        <v>6</v>
      </c>
      <c r="CR55" s="15">
        <v>5</v>
      </c>
      <c r="CS55" s="15">
        <v>1</v>
      </c>
      <c r="CT55" s="15" t="s">
        <v>328</v>
      </c>
      <c r="CU55" s="15"/>
      <c r="CV55" s="15"/>
      <c r="CW55" s="15"/>
      <c r="CX55" s="15"/>
      <c r="CY55" s="15"/>
      <c r="CZ55" s="15"/>
      <c r="DA55" s="15"/>
      <c r="DB55" s="15"/>
      <c r="DC55" s="15">
        <v>1</v>
      </c>
      <c r="DD55" s="15">
        <v>4</v>
      </c>
      <c r="DE55" s="15">
        <v>5</v>
      </c>
      <c r="DF55" s="15">
        <v>3</v>
      </c>
      <c r="DG55" s="15">
        <v>6</v>
      </c>
      <c r="DH55" s="15">
        <v>2</v>
      </c>
      <c r="DI55" s="15"/>
      <c r="DJ55" s="15" t="s">
        <v>328</v>
      </c>
      <c r="DK55" s="15"/>
      <c r="DL55" s="15"/>
      <c r="DM55" s="15"/>
      <c r="DN55" s="15"/>
      <c r="DO55" s="15"/>
      <c r="DP55" s="14" t="s">
        <v>1145</v>
      </c>
      <c r="DQ55" s="15"/>
      <c r="DR55" s="15" t="s">
        <v>328</v>
      </c>
      <c r="DS55" s="15" t="s">
        <v>328</v>
      </c>
      <c r="DT55" s="14" t="s">
        <v>618</v>
      </c>
      <c r="DU55" s="15"/>
      <c r="DV55" s="15"/>
      <c r="DW55" s="15" t="s">
        <v>428</v>
      </c>
      <c r="DX55" s="14" t="s">
        <v>411</v>
      </c>
      <c r="DY55" s="15" t="s">
        <v>328</v>
      </c>
      <c r="DZ55" s="15"/>
      <c r="EA55" s="15"/>
      <c r="EB55" s="15"/>
      <c r="EC55" s="15"/>
      <c r="ED55" s="15"/>
      <c r="EE55" s="101" t="s">
        <v>1145</v>
      </c>
      <c r="EF55" s="99"/>
      <c r="EG55" s="17">
        <f t="shared" si="0"/>
        <v>0</v>
      </c>
    </row>
    <row r="56" spans="1:137" x14ac:dyDescent="0.25">
      <c r="A56" s="50" t="s">
        <v>1404</v>
      </c>
      <c r="B56" s="208">
        <v>41543</v>
      </c>
      <c r="C56" s="209" t="s">
        <v>2767</v>
      </c>
      <c r="D56" s="61" t="s">
        <v>470</v>
      </c>
      <c r="E56" s="15" t="s">
        <v>328</v>
      </c>
      <c r="F56" s="15"/>
      <c r="G56" s="15">
        <v>34</v>
      </c>
      <c r="H56" s="15" t="s">
        <v>329</v>
      </c>
      <c r="I56" s="15" t="s">
        <v>330</v>
      </c>
      <c r="J56" s="15" t="s">
        <v>757</v>
      </c>
      <c r="K56" s="15" t="s">
        <v>1202</v>
      </c>
      <c r="L56" s="15" t="s">
        <v>1280</v>
      </c>
      <c r="M56" s="15">
        <v>16</v>
      </c>
      <c r="N56" s="15">
        <v>2</v>
      </c>
      <c r="O56" s="15"/>
      <c r="P56" s="15"/>
      <c r="Q56" s="15"/>
      <c r="R56" s="15"/>
      <c r="S56" s="15"/>
      <c r="T56" s="15"/>
      <c r="U56" s="15"/>
      <c r="V56" s="15">
        <v>3</v>
      </c>
      <c r="W56" s="15"/>
      <c r="X56" s="15"/>
      <c r="Y56" s="15"/>
      <c r="Z56" s="15"/>
      <c r="AA56" s="18"/>
      <c r="AB56" s="15"/>
      <c r="AC56" s="15"/>
      <c r="AD56" s="15"/>
      <c r="AE56" s="15"/>
      <c r="AF56" s="15"/>
      <c r="AG56" s="15"/>
      <c r="AH56" s="15"/>
      <c r="AI56" s="15"/>
      <c r="AJ56" s="15"/>
      <c r="AK56" s="15" t="s">
        <v>423</v>
      </c>
      <c r="AL56" s="15"/>
      <c r="AM56" s="15" t="s">
        <v>328</v>
      </c>
      <c r="AN56" s="15"/>
      <c r="AO56" s="15"/>
      <c r="AP56" s="15"/>
      <c r="AQ56" s="15" t="s">
        <v>328</v>
      </c>
      <c r="AR56" s="15">
        <v>10</v>
      </c>
      <c r="AS56" s="15">
        <v>3</v>
      </c>
      <c r="AT56" s="15"/>
      <c r="AU56" s="15"/>
      <c r="AV56" s="15"/>
      <c r="AW56" s="15" t="s">
        <v>328</v>
      </c>
      <c r="AX56" s="15">
        <v>3</v>
      </c>
      <c r="AY56" s="15">
        <v>1</v>
      </c>
      <c r="AZ56" s="15">
        <v>2</v>
      </c>
      <c r="BA56" s="15"/>
      <c r="BB56" s="15" t="s">
        <v>328</v>
      </c>
      <c r="BC56" s="15"/>
      <c r="BD56" s="15" t="s">
        <v>328</v>
      </c>
      <c r="BE56" s="15"/>
      <c r="BF56" s="15"/>
      <c r="BG56" s="15" t="s">
        <v>328</v>
      </c>
      <c r="BH56" s="15"/>
      <c r="BI56" s="15" t="s">
        <v>328</v>
      </c>
      <c r="BJ56" s="15"/>
      <c r="BK56" s="15" t="s">
        <v>328</v>
      </c>
      <c r="BL56" s="15"/>
      <c r="BM56" s="15"/>
      <c r="BN56" s="15"/>
      <c r="BO56" s="15" t="s">
        <v>328</v>
      </c>
      <c r="BP56" s="15" t="s">
        <v>328</v>
      </c>
      <c r="BQ56" s="15"/>
      <c r="BR56" s="15"/>
      <c r="BS56" s="15"/>
      <c r="BT56" s="15" t="s">
        <v>328</v>
      </c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 t="s">
        <v>332</v>
      </c>
      <c r="CI56" s="15"/>
      <c r="CJ56" s="15"/>
      <c r="CK56" s="15"/>
      <c r="CL56" s="15" t="s">
        <v>328</v>
      </c>
      <c r="CM56" s="15"/>
      <c r="CN56" s="15">
        <v>2</v>
      </c>
      <c r="CO56" s="15">
        <v>4</v>
      </c>
      <c r="CP56" s="15">
        <v>5</v>
      </c>
      <c r="CQ56" s="15">
        <v>6</v>
      </c>
      <c r="CR56" s="15">
        <v>3</v>
      </c>
      <c r="CS56" s="15">
        <v>1</v>
      </c>
      <c r="CT56" s="15"/>
      <c r="CU56" s="15"/>
      <c r="CV56" s="15"/>
      <c r="CW56" s="15"/>
      <c r="CX56" s="15"/>
      <c r="CY56" s="15"/>
      <c r="CZ56" s="15" t="s">
        <v>332</v>
      </c>
      <c r="DA56" s="15" t="s">
        <v>328</v>
      </c>
      <c r="DB56" s="15" t="s">
        <v>404</v>
      </c>
      <c r="DC56" s="15"/>
      <c r="DD56" s="15"/>
      <c r="DE56" s="15"/>
      <c r="DF56" s="15"/>
      <c r="DG56" s="15"/>
      <c r="DH56" s="15"/>
      <c r="DI56" s="15"/>
      <c r="DJ56" s="15" t="s">
        <v>328</v>
      </c>
      <c r="DK56" s="15"/>
      <c r="DL56" s="15"/>
      <c r="DM56" s="15"/>
      <c r="DN56" s="15"/>
      <c r="DO56" s="15"/>
      <c r="DP56" s="14" t="s">
        <v>1145</v>
      </c>
      <c r="DQ56" s="15"/>
      <c r="DR56" s="15" t="s">
        <v>328</v>
      </c>
      <c r="DS56" s="15" t="s">
        <v>328</v>
      </c>
      <c r="DT56" s="15" t="s">
        <v>397</v>
      </c>
      <c r="DU56" s="15"/>
      <c r="DV56" s="15"/>
      <c r="DW56" s="15"/>
      <c r="DX56" s="15" t="s">
        <v>411</v>
      </c>
      <c r="DY56" s="15"/>
      <c r="DZ56" s="15" t="s">
        <v>328</v>
      </c>
      <c r="EA56" s="15" t="s">
        <v>328</v>
      </c>
      <c r="EB56" s="15" t="s">
        <v>397</v>
      </c>
      <c r="EC56" s="15"/>
      <c r="ED56" s="14" t="s">
        <v>410</v>
      </c>
      <c r="EE56" s="102" t="s">
        <v>450</v>
      </c>
      <c r="EF56" s="99"/>
      <c r="EG56" s="17">
        <f t="shared" si="0"/>
        <v>0</v>
      </c>
    </row>
    <row r="57" spans="1:137" x14ac:dyDescent="0.25">
      <c r="A57" s="50" t="s">
        <v>1404</v>
      </c>
      <c r="B57" s="208">
        <v>41543</v>
      </c>
      <c r="C57" s="209" t="s">
        <v>2767</v>
      </c>
      <c r="D57" s="61" t="s">
        <v>458</v>
      </c>
      <c r="E57" s="14" t="s">
        <v>328</v>
      </c>
      <c r="F57" s="14"/>
      <c r="G57" s="14">
        <v>50</v>
      </c>
      <c r="H57" s="15" t="s">
        <v>329</v>
      </c>
      <c r="I57" s="14" t="s">
        <v>399</v>
      </c>
      <c r="J57" s="14" t="s">
        <v>733</v>
      </c>
      <c r="K57" s="8" t="s">
        <v>1213</v>
      </c>
      <c r="L57" s="14" t="s">
        <v>1283</v>
      </c>
      <c r="M57" s="14">
        <v>10</v>
      </c>
      <c r="N57" s="14">
        <v>4</v>
      </c>
      <c r="O57" s="14"/>
      <c r="P57" s="14"/>
      <c r="Q57" s="14"/>
      <c r="R57" s="14"/>
      <c r="S57" s="14"/>
      <c r="T57" s="14"/>
      <c r="U57" s="14"/>
      <c r="V57" s="14">
        <v>4</v>
      </c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 t="s">
        <v>1165</v>
      </c>
      <c r="AL57" s="14"/>
      <c r="AM57" s="14" t="s">
        <v>328</v>
      </c>
      <c r="AN57" s="14"/>
      <c r="AO57" s="14"/>
      <c r="AP57" s="14"/>
      <c r="AQ57" s="14" t="s">
        <v>328</v>
      </c>
      <c r="AR57" s="14">
        <v>10</v>
      </c>
      <c r="AS57" s="14">
        <v>5</v>
      </c>
      <c r="AT57" s="14"/>
      <c r="AU57" s="14"/>
      <c r="AV57" s="14" t="s">
        <v>328</v>
      </c>
      <c r="AW57" s="14"/>
      <c r="AX57" s="14">
        <v>4</v>
      </c>
      <c r="AY57" s="14">
        <v>2</v>
      </c>
      <c r="AZ57" s="14">
        <v>3</v>
      </c>
      <c r="BA57" s="14" t="s">
        <v>346</v>
      </c>
      <c r="BB57" s="14"/>
      <c r="BC57" s="14" t="s">
        <v>328</v>
      </c>
      <c r="BD57" s="14"/>
      <c r="BE57" s="14"/>
      <c r="BF57" s="14"/>
      <c r="BG57" s="14"/>
      <c r="BH57" s="14"/>
      <c r="BI57" s="14"/>
      <c r="BJ57" s="14"/>
      <c r="BK57" s="14" t="s">
        <v>328</v>
      </c>
      <c r="BL57" s="14"/>
      <c r="BM57" s="14"/>
      <c r="BN57" s="14" t="s">
        <v>328</v>
      </c>
      <c r="BO57" s="14"/>
      <c r="BP57" s="14" t="s">
        <v>328</v>
      </c>
      <c r="BQ57" s="14"/>
      <c r="BR57" s="14" t="s">
        <v>328</v>
      </c>
      <c r="BS57" s="14"/>
      <c r="BT57" s="14" t="s">
        <v>328</v>
      </c>
      <c r="BU57" s="14"/>
      <c r="BV57" s="14"/>
      <c r="BW57" s="14" t="s">
        <v>328</v>
      </c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 t="s">
        <v>332</v>
      </c>
      <c r="CI57" s="14" t="s">
        <v>328</v>
      </c>
      <c r="CJ57" s="14"/>
      <c r="CK57" s="14"/>
      <c r="CL57" s="14"/>
      <c r="CM57" s="14"/>
      <c r="CN57" s="14">
        <v>3</v>
      </c>
      <c r="CO57" s="14">
        <v>2</v>
      </c>
      <c r="CP57" s="14">
        <v>4</v>
      </c>
      <c r="CQ57" s="14">
        <v>6</v>
      </c>
      <c r="CR57" s="14">
        <v>5</v>
      </c>
      <c r="CS57" s="14">
        <v>1</v>
      </c>
      <c r="CT57" s="14"/>
      <c r="CU57" s="14"/>
      <c r="CV57" s="14"/>
      <c r="CW57" s="14"/>
      <c r="CX57" s="14"/>
      <c r="CY57" s="14" t="s">
        <v>328</v>
      </c>
      <c r="CZ57" s="14"/>
      <c r="DA57" s="14" t="s">
        <v>328</v>
      </c>
      <c r="DB57" s="14" t="s">
        <v>404</v>
      </c>
      <c r="DC57" s="14"/>
      <c r="DD57" s="14"/>
      <c r="DE57" s="14"/>
      <c r="DF57" s="14"/>
      <c r="DG57" s="14"/>
      <c r="DH57" s="14"/>
      <c r="DI57" s="14"/>
      <c r="DJ57" s="14"/>
      <c r="DK57" s="14" t="s">
        <v>328</v>
      </c>
      <c r="DL57" s="14" t="s">
        <v>328</v>
      </c>
      <c r="DM57" s="14" t="s">
        <v>397</v>
      </c>
      <c r="DN57" s="14"/>
      <c r="DO57" s="15" t="s">
        <v>492</v>
      </c>
      <c r="DP57" s="14" t="s">
        <v>918</v>
      </c>
      <c r="DQ57" s="14"/>
      <c r="DR57" s="14" t="s">
        <v>328</v>
      </c>
      <c r="DS57" s="14" t="s">
        <v>328</v>
      </c>
      <c r="DT57" s="14" t="s">
        <v>397</v>
      </c>
      <c r="DU57" s="14"/>
      <c r="DV57" s="14"/>
      <c r="DW57" s="14" t="s">
        <v>335</v>
      </c>
      <c r="DX57" s="14" t="s">
        <v>411</v>
      </c>
      <c r="DY57" s="14"/>
      <c r="DZ57" s="14" t="s">
        <v>328</v>
      </c>
      <c r="EA57" s="14" t="s">
        <v>328</v>
      </c>
      <c r="EB57" s="14" t="s">
        <v>397</v>
      </c>
      <c r="EC57" s="14"/>
      <c r="ED57" s="14" t="s">
        <v>410</v>
      </c>
      <c r="EE57" s="101" t="s">
        <v>450</v>
      </c>
      <c r="EF57" s="99"/>
      <c r="EG57" s="17">
        <f t="shared" si="0"/>
        <v>0</v>
      </c>
    </row>
    <row r="58" spans="1:137" x14ac:dyDescent="0.25">
      <c r="A58" s="50" t="s">
        <v>1404</v>
      </c>
      <c r="B58" s="208">
        <v>41543</v>
      </c>
      <c r="C58" s="209" t="s">
        <v>2767</v>
      </c>
      <c r="D58" s="61" t="s">
        <v>471</v>
      </c>
      <c r="E58" s="15" t="s">
        <v>328</v>
      </c>
      <c r="F58" s="15"/>
      <c r="G58" s="15">
        <v>58</v>
      </c>
      <c r="H58" s="15" t="s">
        <v>329</v>
      </c>
      <c r="I58" s="15" t="s">
        <v>330</v>
      </c>
      <c r="J58" s="15" t="s">
        <v>755</v>
      </c>
      <c r="K58" s="15" t="s">
        <v>1200</v>
      </c>
      <c r="L58" s="15" t="s">
        <v>1280</v>
      </c>
      <c r="M58" s="15">
        <v>32</v>
      </c>
      <c r="N58" s="15">
        <v>1</v>
      </c>
      <c r="O58" s="15">
        <v>1</v>
      </c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 t="s">
        <v>418</v>
      </c>
      <c r="AL58" s="15"/>
      <c r="AM58" s="15" t="s">
        <v>328</v>
      </c>
      <c r="AN58" s="15"/>
      <c r="AO58" s="15"/>
      <c r="AP58" s="14" t="s">
        <v>328</v>
      </c>
      <c r="AQ58" s="15"/>
      <c r="AR58" s="15" t="s">
        <v>396</v>
      </c>
      <c r="AS58" s="15" t="s">
        <v>396</v>
      </c>
      <c r="AT58" s="15"/>
      <c r="AU58" s="15" t="s">
        <v>328</v>
      </c>
      <c r="AV58" s="15"/>
      <c r="AW58" s="15"/>
      <c r="AX58" s="15">
        <v>1</v>
      </c>
      <c r="AY58" s="15">
        <v>3</v>
      </c>
      <c r="AZ58" s="15">
        <v>2</v>
      </c>
      <c r="BA58" s="15"/>
      <c r="BB58" s="15" t="s">
        <v>328</v>
      </c>
      <c r="BC58" s="15"/>
      <c r="BD58" s="15"/>
      <c r="BE58" s="15"/>
      <c r="BF58" s="15"/>
      <c r="BG58" s="15"/>
      <c r="BH58" s="15"/>
      <c r="BI58" s="15"/>
      <c r="BJ58" s="15"/>
      <c r="BK58" s="15" t="s">
        <v>328</v>
      </c>
      <c r="BL58" s="15"/>
      <c r="BM58" s="15"/>
      <c r="BN58" s="15"/>
      <c r="BO58" s="15" t="s">
        <v>328</v>
      </c>
      <c r="BP58" s="15"/>
      <c r="BQ58" s="15" t="s">
        <v>328</v>
      </c>
      <c r="BR58" s="15" t="s">
        <v>328</v>
      </c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 t="s">
        <v>332</v>
      </c>
      <c r="CI58" s="15" t="s">
        <v>328</v>
      </c>
      <c r="CJ58" s="15"/>
      <c r="CK58" s="15"/>
      <c r="CL58" s="15"/>
      <c r="CM58" s="15"/>
      <c r="CN58" s="15">
        <v>2</v>
      </c>
      <c r="CO58" s="15">
        <v>5</v>
      </c>
      <c r="CP58" s="15">
        <v>1</v>
      </c>
      <c r="CQ58" s="15">
        <v>4</v>
      </c>
      <c r="CR58" s="15">
        <v>6</v>
      </c>
      <c r="CS58" s="15">
        <v>3</v>
      </c>
      <c r="CT58" s="15"/>
      <c r="CU58" s="15" t="s">
        <v>328</v>
      </c>
      <c r="CV58" s="15"/>
      <c r="CW58" s="15"/>
      <c r="CX58" s="15"/>
      <c r="CY58" s="15"/>
      <c r="CZ58" s="15"/>
      <c r="DA58" s="15" t="s">
        <v>328</v>
      </c>
      <c r="DB58" s="15" t="s">
        <v>404</v>
      </c>
      <c r="DC58" s="15"/>
      <c r="DD58" s="15"/>
      <c r="DE58" s="15"/>
      <c r="DF58" s="15"/>
      <c r="DG58" s="15"/>
      <c r="DH58" s="15"/>
      <c r="DI58" s="15"/>
      <c r="DJ58" s="15" t="s">
        <v>328</v>
      </c>
      <c r="DK58" s="15"/>
      <c r="DL58" s="15"/>
      <c r="DM58" s="15"/>
      <c r="DN58" s="15"/>
      <c r="DO58" s="15"/>
      <c r="DP58" s="14" t="s">
        <v>1145</v>
      </c>
      <c r="DQ58" s="15" t="s">
        <v>328</v>
      </c>
      <c r="DR58" s="15"/>
      <c r="DS58" s="15"/>
      <c r="DT58" s="15"/>
      <c r="DU58" s="15"/>
      <c r="DV58" s="15"/>
      <c r="DW58" s="15"/>
      <c r="DX58" s="15" t="s">
        <v>1145</v>
      </c>
      <c r="DY58" s="15" t="s">
        <v>328</v>
      </c>
      <c r="DZ58" s="15"/>
      <c r="EA58" s="15"/>
      <c r="EB58" s="15"/>
      <c r="EC58" s="15"/>
      <c r="ED58" s="15"/>
      <c r="EE58" s="102" t="s">
        <v>1145</v>
      </c>
      <c r="EF58" s="99"/>
      <c r="EG58" s="17">
        <f t="shared" si="0"/>
        <v>0</v>
      </c>
    </row>
    <row r="59" spans="1:137" x14ac:dyDescent="0.25">
      <c r="A59" s="50" t="s">
        <v>1404</v>
      </c>
      <c r="B59" s="208">
        <v>41543</v>
      </c>
      <c r="C59" s="209" t="s">
        <v>2767</v>
      </c>
      <c r="D59" s="61" t="s">
        <v>459</v>
      </c>
      <c r="E59" s="14" t="s">
        <v>328</v>
      </c>
      <c r="F59" s="14"/>
      <c r="G59" s="14">
        <v>44</v>
      </c>
      <c r="H59" s="14" t="s">
        <v>329</v>
      </c>
      <c r="I59" s="14" t="s">
        <v>399</v>
      </c>
      <c r="J59" s="8" t="s">
        <v>1166</v>
      </c>
      <c r="K59" s="14" t="s">
        <v>1214</v>
      </c>
      <c r="L59" s="14" t="s">
        <v>1280</v>
      </c>
      <c r="M59" s="14">
        <v>8</v>
      </c>
      <c r="N59" s="14">
        <v>1</v>
      </c>
      <c r="O59" s="14"/>
      <c r="P59" s="14"/>
      <c r="Q59" s="14"/>
      <c r="R59" s="14"/>
      <c r="S59" s="14"/>
      <c r="T59" s="14"/>
      <c r="U59" s="14"/>
      <c r="V59" s="14">
        <v>1</v>
      </c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 t="s">
        <v>565</v>
      </c>
      <c r="AL59" s="14" t="s">
        <v>328</v>
      </c>
      <c r="AM59" s="14"/>
      <c r="AN59" s="14"/>
      <c r="AO59" s="14"/>
      <c r="AP59" s="14" t="s">
        <v>328</v>
      </c>
      <c r="AQ59" s="14"/>
      <c r="AR59" s="14">
        <v>10</v>
      </c>
      <c r="AS59" s="14">
        <v>7</v>
      </c>
      <c r="AT59" s="14"/>
      <c r="AU59" s="14" t="s">
        <v>328</v>
      </c>
      <c r="AV59" s="14"/>
      <c r="AW59" s="14"/>
      <c r="AX59" s="14">
        <v>1</v>
      </c>
      <c r="AY59" s="14">
        <v>2</v>
      </c>
      <c r="AZ59" s="14">
        <v>3</v>
      </c>
      <c r="BA59" s="14"/>
      <c r="BB59" s="14"/>
      <c r="BC59" s="14" t="s">
        <v>328</v>
      </c>
      <c r="BD59" s="14"/>
      <c r="BE59" s="14"/>
      <c r="BF59" s="14"/>
      <c r="BG59" s="14"/>
      <c r="BH59" s="14"/>
      <c r="BI59" s="14" t="s">
        <v>328</v>
      </c>
      <c r="BJ59" s="14"/>
      <c r="BK59" s="14"/>
      <c r="BL59" s="14"/>
      <c r="BM59" s="14"/>
      <c r="BN59" s="14"/>
      <c r="BO59" s="14" t="s">
        <v>328</v>
      </c>
      <c r="BP59" s="14" t="s">
        <v>328</v>
      </c>
      <c r="BQ59" s="14"/>
      <c r="BR59" s="14" t="s">
        <v>328</v>
      </c>
      <c r="BS59" s="14"/>
      <c r="BT59" s="14"/>
      <c r="BU59" s="14"/>
      <c r="BV59" s="14"/>
      <c r="BW59" s="14"/>
      <c r="BX59" s="14"/>
      <c r="BY59" s="14"/>
      <c r="BZ59" s="14"/>
      <c r="CA59" s="14"/>
      <c r="CB59" s="14" t="s">
        <v>328</v>
      </c>
      <c r="CC59" s="14" t="s">
        <v>328</v>
      </c>
      <c r="CD59" s="14"/>
      <c r="CE59" s="14"/>
      <c r="CF59" s="14"/>
      <c r="CG59" s="14"/>
      <c r="CH59" s="14"/>
      <c r="CI59" s="14" t="s">
        <v>328</v>
      </c>
      <c r="CJ59" s="14"/>
      <c r="CK59" s="14"/>
      <c r="CL59" s="14"/>
      <c r="CM59" s="14"/>
      <c r="CN59" s="14">
        <v>3</v>
      </c>
      <c r="CO59" s="14">
        <v>2</v>
      </c>
      <c r="CP59" s="14">
        <v>4</v>
      </c>
      <c r="CQ59" s="14">
        <v>5</v>
      </c>
      <c r="CR59" s="14">
        <v>6</v>
      </c>
      <c r="CS59" s="14">
        <v>1</v>
      </c>
      <c r="CT59" s="14" t="s">
        <v>328</v>
      </c>
      <c r="CU59" s="14"/>
      <c r="CV59" s="14"/>
      <c r="CW59" s="14"/>
      <c r="CX59" s="14"/>
      <c r="CY59" s="14"/>
      <c r="CZ59" s="14"/>
      <c r="DA59" s="14"/>
      <c r="DB59" s="14"/>
      <c r="DC59" s="14">
        <v>2</v>
      </c>
      <c r="DD59" s="14">
        <v>3</v>
      </c>
      <c r="DE59" s="14">
        <v>6</v>
      </c>
      <c r="DF59" s="14">
        <v>5</v>
      </c>
      <c r="DG59" s="14">
        <v>1</v>
      </c>
      <c r="DH59" s="14">
        <v>4</v>
      </c>
      <c r="DI59" s="14"/>
      <c r="DJ59" s="14" t="s">
        <v>328</v>
      </c>
      <c r="DK59" s="14"/>
      <c r="DL59" s="14"/>
      <c r="DM59" s="14"/>
      <c r="DN59" s="14"/>
      <c r="DO59" s="14" t="s">
        <v>1167</v>
      </c>
      <c r="DP59" s="14" t="s">
        <v>396</v>
      </c>
      <c r="DQ59" s="14" t="s">
        <v>328</v>
      </c>
      <c r="DR59" s="14"/>
      <c r="DS59" s="14"/>
      <c r="DT59" s="14"/>
      <c r="DU59" s="14"/>
      <c r="DV59" s="14"/>
      <c r="DW59" s="14" t="s">
        <v>453</v>
      </c>
      <c r="DX59" s="14" t="s">
        <v>1168</v>
      </c>
      <c r="DY59" s="14" t="s">
        <v>328</v>
      </c>
      <c r="DZ59" s="14"/>
      <c r="EA59" s="14"/>
      <c r="EB59" s="14"/>
      <c r="EC59" s="14"/>
      <c r="ED59" s="14"/>
      <c r="EE59" s="101" t="s">
        <v>1169</v>
      </c>
      <c r="EF59" s="99"/>
      <c r="EG59" s="17">
        <f t="shared" si="0"/>
        <v>0</v>
      </c>
    </row>
    <row r="60" spans="1:137" x14ac:dyDescent="0.25">
      <c r="A60" s="50" t="s">
        <v>1404</v>
      </c>
      <c r="B60" s="208">
        <v>41543</v>
      </c>
      <c r="C60" s="209" t="s">
        <v>2767</v>
      </c>
      <c r="D60" s="61" t="s">
        <v>460</v>
      </c>
      <c r="E60" s="14"/>
      <c r="F60" s="14" t="s">
        <v>328</v>
      </c>
      <c r="G60" s="14">
        <v>50</v>
      </c>
      <c r="H60" s="14" t="s">
        <v>329</v>
      </c>
      <c r="I60" s="14" t="s">
        <v>330</v>
      </c>
      <c r="J60" s="14" t="s">
        <v>1170</v>
      </c>
      <c r="K60" s="14" t="s">
        <v>1215</v>
      </c>
      <c r="L60" s="14" t="s">
        <v>1280</v>
      </c>
      <c r="M60" s="14">
        <v>25</v>
      </c>
      <c r="N60" s="14">
        <v>6</v>
      </c>
      <c r="O60" s="14">
        <v>3</v>
      </c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>
        <v>3</v>
      </c>
      <c r="AA60" s="14"/>
      <c r="AB60" s="14"/>
      <c r="AC60" s="14"/>
      <c r="AD60" s="14"/>
      <c r="AE60" s="14"/>
      <c r="AF60" s="14" t="s">
        <v>328</v>
      </c>
      <c r="AG60" s="14"/>
      <c r="AH60" s="14"/>
      <c r="AI60" s="14"/>
      <c r="AJ60" s="14"/>
      <c r="AK60" s="14" t="s">
        <v>443</v>
      </c>
      <c r="AL60" s="14"/>
      <c r="AM60" s="14" t="s">
        <v>328</v>
      </c>
      <c r="AN60" s="14"/>
      <c r="AO60" s="14"/>
      <c r="AP60" s="14" t="s">
        <v>328</v>
      </c>
      <c r="AQ60" s="14"/>
      <c r="AR60" s="14">
        <v>10</v>
      </c>
      <c r="AS60" s="14">
        <v>15</v>
      </c>
      <c r="AT60" s="14"/>
      <c r="AU60" s="14"/>
      <c r="AV60" s="14" t="s">
        <v>328</v>
      </c>
      <c r="AW60" s="14"/>
      <c r="AX60" s="14">
        <v>3</v>
      </c>
      <c r="AY60" s="14">
        <v>1</v>
      </c>
      <c r="AZ60" s="14">
        <v>2</v>
      </c>
      <c r="BA60" s="14"/>
      <c r="BB60" s="14"/>
      <c r="BC60" s="14" t="s">
        <v>328</v>
      </c>
      <c r="BD60" s="14"/>
      <c r="BE60" s="14"/>
      <c r="BF60" s="14"/>
      <c r="BG60" s="14"/>
      <c r="BH60" s="14"/>
      <c r="BI60" s="14"/>
      <c r="BJ60" s="14"/>
      <c r="BK60" s="14" t="s">
        <v>328</v>
      </c>
      <c r="BL60" s="14"/>
      <c r="BM60" s="14"/>
      <c r="BN60" s="14" t="s">
        <v>328</v>
      </c>
      <c r="BO60" s="14"/>
      <c r="BP60" s="14" t="s">
        <v>328</v>
      </c>
      <c r="BQ60" s="14"/>
      <c r="BR60" s="14"/>
      <c r="BS60" s="14" t="s">
        <v>328</v>
      </c>
      <c r="BT60" s="14"/>
      <c r="BU60" s="14"/>
      <c r="BV60" s="14"/>
      <c r="BW60" s="14" t="s">
        <v>328</v>
      </c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 t="s">
        <v>332</v>
      </c>
      <c r="CI60" s="14" t="s">
        <v>328</v>
      </c>
      <c r="CJ60" s="14"/>
      <c r="CK60" s="14" t="s">
        <v>328</v>
      </c>
      <c r="CL60" s="14"/>
      <c r="CM60" s="14"/>
      <c r="CN60" s="14">
        <v>1</v>
      </c>
      <c r="CO60" s="14">
        <v>3</v>
      </c>
      <c r="CP60" s="14">
        <v>6</v>
      </c>
      <c r="CQ60" s="14">
        <v>4</v>
      </c>
      <c r="CR60" s="14">
        <v>5</v>
      </c>
      <c r="CS60" s="14">
        <v>2</v>
      </c>
      <c r="CT60" s="14" t="s">
        <v>328</v>
      </c>
      <c r="CU60" s="14" t="s">
        <v>328</v>
      </c>
      <c r="CV60" s="14"/>
      <c r="CW60" s="14"/>
      <c r="CX60" s="14" t="s">
        <v>328</v>
      </c>
      <c r="CY60" s="14" t="s">
        <v>328</v>
      </c>
      <c r="CZ60" s="14"/>
      <c r="DA60" s="14" t="s">
        <v>328</v>
      </c>
      <c r="DB60" s="14" t="s">
        <v>404</v>
      </c>
      <c r="DC60" s="14"/>
      <c r="DD60" s="14"/>
      <c r="DE60" s="14"/>
      <c r="DF60" s="14"/>
      <c r="DG60" s="14"/>
      <c r="DH60" s="14"/>
      <c r="DI60" s="14"/>
      <c r="DJ60" s="14" t="s">
        <v>328</v>
      </c>
      <c r="DK60" s="14"/>
      <c r="DL60" s="14"/>
      <c r="DM60" s="14"/>
      <c r="DN60" s="14"/>
      <c r="DO60" s="14"/>
      <c r="DP60" s="14" t="s">
        <v>1146</v>
      </c>
      <c r="DQ60" s="14"/>
      <c r="DR60" s="14" t="s">
        <v>328</v>
      </c>
      <c r="DS60" s="14" t="s">
        <v>328</v>
      </c>
      <c r="DT60" s="14" t="s">
        <v>397</v>
      </c>
      <c r="DU60" s="14"/>
      <c r="DV60" s="14"/>
      <c r="DW60" s="15" t="s">
        <v>428</v>
      </c>
      <c r="DX60" s="14" t="s">
        <v>497</v>
      </c>
      <c r="DY60" s="14" t="s">
        <v>328</v>
      </c>
      <c r="DZ60" s="14"/>
      <c r="EA60" s="14"/>
      <c r="EB60" s="15"/>
      <c r="EC60" s="14"/>
      <c r="ED60" s="14"/>
      <c r="EE60" s="101" t="s">
        <v>497</v>
      </c>
      <c r="EF60" s="99"/>
      <c r="EG60" s="17">
        <f t="shared" si="0"/>
        <v>0</v>
      </c>
    </row>
    <row r="61" spans="1:137" x14ac:dyDescent="0.25">
      <c r="A61" s="50" t="s">
        <v>1404</v>
      </c>
      <c r="B61" s="208">
        <v>41543</v>
      </c>
      <c r="C61" s="209" t="s">
        <v>2767</v>
      </c>
      <c r="D61" s="61" t="s">
        <v>461</v>
      </c>
      <c r="E61" s="14" t="s">
        <v>328</v>
      </c>
      <c r="F61" s="14"/>
      <c r="G61" s="14">
        <v>56</v>
      </c>
      <c r="H61" s="14" t="s">
        <v>329</v>
      </c>
      <c r="I61" s="14" t="s">
        <v>330</v>
      </c>
      <c r="J61" s="14" t="s">
        <v>747</v>
      </c>
      <c r="K61" s="14" t="s">
        <v>1216</v>
      </c>
      <c r="L61" s="14" t="s">
        <v>1280</v>
      </c>
      <c r="M61" s="14">
        <v>30</v>
      </c>
      <c r="N61" s="14">
        <v>2</v>
      </c>
      <c r="O61" s="14">
        <v>2</v>
      </c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 t="s">
        <v>418</v>
      </c>
      <c r="AL61" s="14"/>
      <c r="AM61" s="14" t="s">
        <v>328</v>
      </c>
      <c r="AN61" s="14"/>
      <c r="AO61" s="14"/>
      <c r="AP61" s="14" t="s">
        <v>328</v>
      </c>
      <c r="AQ61" s="14"/>
      <c r="AR61" s="14">
        <v>4</v>
      </c>
      <c r="AS61" s="14">
        <v>5</v>
      </c>
      <c r="AT61" s="14"/>
      <c r="AU61" s="14"/>
      <c r="AV61" s="14" t="s">
        <v>328</v>
      </c>
      <c r="AW61" s="14"/>
      <c r="AX61" s="14">
        <v>2</v>
      </c>
      <c r="AY61" s="14">
        <v>3</v>
      </c>
      <c r="AZ61" s="14">
        <v>4</v>
      </c>
      <c r="BA61" s="14" t="s">
        <v>346</v>
      </c>
      <c r="BB61" s="14" t="s">
        <v>328</v>
      </c>
      <c r="BC61" s="14"/>
      <c r="BD61" s="14"/>
      <c r="BE61" s="14" t="s">
        <v>328</v>
      </c>
      <c r="BF61" s="14" t="s">
        <v>328</v>
      </c>
      <c r="BG61" s="14"/>
      <c r="BH61" s="14"/>
      <c r="BI61" s="14" t="s">
        <v>328</v>
      </c>
      <c r="BJ61" s="14" t="s">
        <v>328</v>
      </c>
      <c r="BK61" s="14" t="s">
        <v>328</v>
      </c>
      <c r="BL61" s="14"/>
      <c r="BM61" s="15"/>
      <c r="BN61" s="14"/>
      <c r="BO61" s="14" t="s">
        <v>328</v>
      </c>
      <c r="BP61" s="14" t="s">
        <v>328</v>
      </c>
      <c r="BQ61" s="14"/>
      <c r="BR61" s="14" t="s">
        <v>328</v>
      </c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 t="s">
        <v>332</v>
      </c>
      <c r="CI61" s="14"/>
      <c r="CJ61" s="14"/>
      <c r="CK61" s="14"/>
      <c r="CL61" s="14" t="s">
        <v>328</v>
      </c>
      <c r="CM61" s="14"/>
      <c r="CN61" s="14">
        <v>2</v>
      </c>
      <c r="CO61" s="14">
        <v>3</v>
      </c>
      <c r="CP61" s="14">
        <v>4</v>
      </c>
      <c r="CQ61" s="14">
        <v>6</v>
      </c>
      <c r="CR61" s="14">
        <v>5</v>
      </c>
      <c r="CS61" s="14">
        <v>1</v>
      </c>
      <c r="CT61" s="14"/>
      <c r="CU61" s="14"/>
      <c r="CV61" s="14"/>
      <c r="CW61" s="14"/>
      <c r="CX61" s="14"/>
      <c r="CY61" s="14"/>
      <c r="CZ61" s="14" t="s">
        <v>332</v>
      </c>
      <c r="DA61" s="14" t="s">
        <v>328</v>
      </c>
      <c r="DB61" s="14" t="s">
        <v>404</v>
      </c>
      <c r="DC61" s="14"/>
      <c r="DD61" s="14"/>
      <c r="DE61" s="14"/>
      <c r="DF61" s="14"/>
      <c r="DG61" s="14"/>
      <c r="DH61" s="14"/>
      <c r="DI61" s="14"/>
      <c r="DJ61" s="14" t="s">
        <v>328</v>
      </c>
      <c r="DK61" s="14"/>
      <c r="DL61" s="14"/>
      <c r="DM61" s="14"/>
      <c r="DN61" s="14"/>
      <c r="DO61" s="14"/>
      <c r="DP61" s="14" t="s">
        <v>333</v>
      </c>
      <c r="DQ61" s="14" t="s">
        <v>328</v>
      </c>
      <c r="DR61" s="14"/>
      <c r="DS61" s="14"/>
      <c r="DT61" s="14"/>
      <c r="DU61" s="14"/>
      <c r="DV61" s="14"/>
      <c r="DW61" s="14"/>
      <c r="DX61" s="14" t="s">
        <v>1145</v>
      </c>
      <c r="DY61" s="14" t="s">
        <v>328</v>
      </c>
      <c r="DZ61" s="14"/>
      <c r="EA61" s="14"/>
      <c r="EB61" s="14"/>
      <c r="EC61" s="14"/>
      <c r="ED61" s="14"/>
      <c r="EE61" s="101" t="s">
        <v>450</v>
      </c>
      <c r="EF61" s="99"/>
      <c r="EG61" s="17">
        <f t="shared" si="0"/>
        <v>0</v>
      </c>
    </row>
    <row r="62" spans="1:137" x14ac:dyDescent="0.25">
      <c r="A62" s="50" t="s">
        <v>1404</v>
      </c>
      <c r="B62" s="208">
        <v>41544</v>
      </c>
      <c r="C62" s="209" t="s">
        <v>2767</v>
      </c>
      <c r="D62" s="61" t="s">
        <v>462</v>
      </c>
      <c r="E62" s="14" t="s">
        <v>328</v>
      </c>
      <c r="F62" s="14"/>
      <c r="G62" s="14">
        <v>42</v>
      </c>
      <c r="H62" s="14" t="s">
        <v>329</v>
      </c>
      <c r="I62" s="14" t="s">
        <v>357</v>
      </c>
      <c r="J62" s="14" t="s">
        <v>740</v>
      </c>
      <c r="K62" s="14" t="s">
        <v>1204</v>
      </c>
      <c r="L62" s="14" t="s">
        <v>1280</v>
      </c>
      <c r="M62" s="14">
        <v>20</v>
      </c>
      <c r="N62" s="14">
        <v>1</v>
      </c>
      <c r="O62" s="14">
        <v>1</v>
      </c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 t="s">
        <v>418</v>
      </c>
      <c r="AL62" s="14"/>
      <c r="AM62" s="14" t="s">
        <v>328</v>
      </c>
      <c r="AN62" s="14"/>
      <c r="AO62" s="14"/>
      <c r="AP62" s="14"/>
      <c r="AQ62" s="14" t="s">
        <v>328</v>
      </c>
      <c r="AR62" s="14">
        <v>7</v>
      </c>
      <c r="AS62" s="14">
        <v>8</v>
      </c>
      <c r="AT62" s="14"/>
      <c r="AU62" s="14"/>
      <c r="AV62" s="14" t="s">
        <v>328</v>
      </c>
      <c r="AW62" s="14"/>
      <c r="AX62" s="14">
        <v>3</v>
      </c>
      <c r="AY62" s="14">
        <v>2</v>
      </c>
      <c r="AZ62" s="14">
        <v>1</v>
      </c>
      <c r="BA62" s="14"/>
      <c r="BB62" s="14" t="s">
        <v>328</v>
      </c>
      <c r="BC62" s="14"/>
      <c r="BD62" s="14" t="s">
        <v>328</v>
      </c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 t="s">
        <v>328</v>
      </c>
      <c r="BP62" s="14"/>
      <c r="BQ62" s="14" t="s">
        <v>328</v>
      </c>
      <c r="BR62" s="14"/>
      <c r="BS62" s="14" t="s">
        <v>328</v>
      </c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 t="s">
        <v>328</v>
      </c>
      <c r="CH62" s="14"/>
      <c r="CI62" s="14"/>
      <c r="CJ62" s="14"/>
      <c r="CK62" s="14"/>
      <c r="CL62" s="14" t="s">
        <v>328</v>
      </c>
      <c r="CM62" s="14"/>
      <c r="CN62" s="14">
        <v>2</v>
      </c>
      <c r="CO62" s="14">
        <v>3</v>
      </c>
      <c r="CP62" s="14">
        <v>1</v>
      </c>
      <c r="CQ62" s="14">
        <v>5</v>
      </c>
      <c r="CR62" s="14">
        <v>6</v>
      </c>
      <c r="CS62" s="14">
        <v>4</v>
      </c>
      <c r="CT62" s="14" t="s">
        <v>328</v>
      </c>
      <c r="CU62" s="14"/>
      <c r="CV62" s="14"/>
      <c r="CW62" s="14"/>
      <c r="CX62" s="14" t="s">
        <v>328</v>
      </c>
      <c r="CY62" s="14"/>
      <c r="CZ62" s="14"/>
      <c r="DA62" s="14"/>
      <c r="DB62" s="14"/>
      <c r="DC62" s="14">
        <v>5</v>
      </c>
      <c r="DD62" s="14">
        <v>1</v>
      </c>
      <c r="DE62" s="14">
        <v>6</v>
      </c>
      <c r="DF62" s="14">
        <v>2</v>
      </c>
      <c r="DG62" s="14">
        <v>4</v>
      </c>
      <c r="DH62" s="14">
        <v>3</v>
      </c>
      <c r="DI62" s="14"/>
      <c r="DJ62" s="14" t="s">
        <v>328</v>
      </c>
      <c r="DK62" s="14"/>
      <c r="DL62" s="14"/>
      <c r="DM62" s="14"/>
      <c r="DN62" s="14"/>
      <c r="DO62" s="14"/>
      <c r="DP62" s="14" t="s">
        <v>1145</v>
      </c>
      <c r="DQ62" s="14" t="s">
        <v>328</v>
      </c>
      <c r="DR62" s="14"/>
      <c r="DS62" s="14"/>
      <c r="DT62" s="14"/>
      <c r="DU62" s="14"/>
      <c r="DV62" s="14"/>
      <c r="DW62" s="14"/>
      <c r="DX62" s="14" t="s">
        <v>1145</v>
      </c>
      <c r="DY62" s="14" t="s">
        <v>328</v>
      </c>
      <c r="DZ62" s="14"/>
      <c r="EA62" s="14"/>
      <c r="EB62" s="14"/>
      <c r="EC62" s="14"/>
      <c r="ED62" s="14"/>
      <c r="EE62" s="101" t="s">
        <v>1145</v>
      </c>
      <c r="EF62" s="99"/>
      <c r="EG62" s="17">
        <f t="shared" si="0"/>
        <v>0</v>
      </c>
    </row>
    <row r="63" spans="1:137" x14ac:dyDescent="0.25">
      <c r="A63" s="50" t="s">
        <v>1404</v>
      </c>
      <c r="B63" s="208">
        <v>41544</v>
      </c>
      <c r="C63" s="209" t="s">
        <v>2767</v>
      </c>
      <c r="D63" s="61" t="s">
        <v>463</v>
      </c>
      <c r="E63" s="14" t="s">
        <v>328</v>
      </c>
      <c r="F63" s="14"/>
      <c r="G63" s="14">
        <v>47</v>
      </c>
      <c r="H63" s="14" t="s">
        <v>329</v>
      </c>
      <c r="I63" s="14" t="s">
        <v>330</v>
      </c>
      <c r="J63" s="14" t="s">
        <v>380</v>
      </c>
      <c r="K63" s="14" t="s">
        <v>1188</v>
      </c>
      <c r="L63" s="14" t="s">
        <v>1188</v>
      </c>
      <c r="M63" s="14">
        <v>20</v>
      </c>
      <c r="N63" s="14">
        <v>3</v>
      </c>
      <c r="O63" s="14">
        <v>2</v>
      </c>
      <c r="P63" s="14"/>
      <c r="Q63" s="14"/>
      <c r="R63" s="14">
        <v>1</v>
      </c>
      <c r="S63" s="14"/>
      <c r="T63" s="14"/>
      <c r="U63" s="14"/>
      <c r="V63" s="14"/>
      <c r="W63" s="14"/>
      <c r="X63" s="14"/>
      <c r="Y63" s="14"/>
      <c r="Z63" s="14"/>
      <c r="AA63" s="14"/>
      <c r="AB63" s="14" t="s">
        <v>328</v>
      </c>
      <c r="AC63" s="14"/>
      <c r="AD63" s="14"/>
      <c r="AE63" s="14"/>
      <c r="AF63" s="14"/>
      <c r="AG63" s="14"/>
      <c r="AH63" s="14"/>
      <c r="AI63" s="14"/>
      <c r="AJ63" s="14"/>
      <c r="AK63" s="14"/>
      <c r="AL63" s="14" t="s">
        <v>328</v>
      </c>
      <c r="AM63" s="14"/>
      <c r="AN63" s="14"/>
      <c r="AO63" s="14"/>
      <c r="AP63" s="14"/>
      <c r="AQ63" s="14" t="s">
        <v>328</v>
      </c>
      <c r="AR63" s="14">
        <v>10</v>
      </c>
      <c r="AS63" s="14">
        <v>10</v>
      </c>
      <c r="AT63" s="14"/>
      <c r="AU63" s="14"/>
      <c r="AV63" s="14" t="s">
        <v>328</v>
      </c>
      <c r="AW63" s="14"/>
      <c r="AX63" s="14">
        <v>2</v>
      </c>
      <c r="AY63" s="14">
        <v>1</v>
      </c>
      <c r="AZ63" s="14">
        <v>3</v>
      </c>
      <c r="BA63" s="14"/>
      <c r="BB63" s="14"/>
      <c r="BC63" s="14" t="s">
        <v>328</v>
      </c>
      <c r="BD63" s="14"/>
      <c r="BE63" s="14"/>
      <c r="BF63" s="14" t="s">
        <v>328</v>
      </c>
      <c r="BG63" s="14"/>
      <c r="BH63" s="14"/>
      <c r="BI63" s="14"/>
      <c r="BJ63" s="14"/>
      <c r="BK63" s="14"/>
      <c r="BL63" s="14"/>
      <c r="BM63" s="14"/>
      <c r="BN63" s="14"/>
      <c r="BO63" s="14" t="s">
        <v>328</v>
      </c>
      <c r="BP63" s="14" t="s">
        <v>328</v>
      </c>
      <c r="BQ63" s="14"/>
      <c r="BR63" s="14"/>
      <c r="BS63" s="14"/>
      <c r="BT63" s="14"/>
      <c r="BU63" s="14"/>
      <c r="BV63" s="14" t="s">
        <v>328</v>
      </c>
      <c r="BW63" s="14"/>
      <c r="BX63" s="14"/>
      <c r="BY63" s="14" t="s">
        <v>328</v>
      </c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 t="s">
        <v>328</v>
      </c>
      <c r="CL63" s="14"/>
      <c r="CM63" s="14"/>
      <c r="CN63" s="14">
        <v>3</v>
      </c>
      <c r="CO63" s="14">
        <v>5</v>
      </c>
      <c r="CP63" s="14">
        <v>4</v>
      </c>
      <c r="CQ63" s="14">
        <v>1</v>
      </c>
      <c r="CR63" s="14">
        <v>6</v>
      </c>
      <c r="CS63" s="14">
        <v>2</v>
      </c>
      <c r="CT63" s="14" t="s">
        <v>328</v>
      </c>
      <c r="CU63" s="14"/>
      <c r="CV63" s="14"/>
      <c r="CW63" s="14"/>
      <c r="CX63" s="14" t="s">
        <v>328</v>
      </c>
      <c r="CY63" s="14"/>
      <c r="CZ63" s="14"/>
      <c r="DA63" s="14"/>
      <c r="DB63" s="14"/>
      <c r="DC63" s="14">
        <v>1</v>
      </c>
      <c r="DD63" s="14">
        <v>3</v>
      </c>
      <c r="DE63" s="14">
        <v>4</v>
      </c>
      <c r="DF63" s="14">
        <v>6</v>
      </c>
      <c r="DG63" s="14">
        <v>2</v>
      </c>
      <c r="DH63" s="14">
        <v>5</v>
      </c>
      <c r="DI63" s="14"/>
      <c r="DJ63" s="14" t="s">
        <v>328</v>
      </c>
      <c r="DK63" s="14"/>
      <c r="DL63" s="14"/>
      <c r="DM63" s="14"/>
      <c r="DN63" s="14"/>
      <c r="DO63" s="14"/>
      <c r="DP63" s="14" t="s">
        <v>1145</v>
      </c>
      <c r="DQ63" s="14"/>
      <c r="DR63" s="14" t="s">
        <v>328</v>
      </c>
      <c r="DS63" s="14" t="s">
        <v>328</v>
      </c>
      <c r="DT63" s="14" t="s">
        <v>354</v>
      </c>
      <c r="DU63" s="14"/>
      <c r="DV63" s="14"/>
      <c r="DW63" s="14" t="s">
        <v>453</v>
      </c>
      <c r="DX63" s="14" t="s">
        <v>438</v>
      </c>
      <c r="DY63" s="14"/>
      <c r="DZ63" s="14" t="s">
        <v>328</v>
      </c>
      <c r="EA63" s="14" t="s">
        <v>328</v>
      </c>
      <c r="EB63" s="14" t="s">
        <v>397</v>
      </c>
      <c r="EC63" s="14"/>
      <c r="ED63" s="14" t="s">
        <v>410</v>
      </c>
      <c r="EE63" s="101" t="s">
        <v>438</v>
      </c>
      <c r="EF63" s="99"/>
      <c r="EG63" s="17">
        <f t="shared" si="0"/>
        <v>0</v>
      </c>
    </row>
    <row r="64" spans="1:137" x14ac:dyDescent="0.25">
      <c r="A64" s="50" t="s">
        <v>1404</v>
      </c>
      <c r="B64" s="208">
        <v>41544</v>
      </c>
      <c r="C64" s="209" t="s">
        <v>2767</v>
      </c>
      <c r="D64" s="61" t="s">
        <v>481</v>
      </c>
      <c r="E64" s="14" t="s">
        <v>328</v>
      </c>
      <c r="F64" s="14"/>
      <c r="G64" s="14">
        <v>50</v>
      </c>
      <c r="H64" s="14" t="s">
        <v>329</v>
      </c>
      <c r="I64" s="14" t="s">
        <v>330</v>
      </c>
      <c r="J64" s="14" t="s">
        <v>755</v>
      </c>
      <c r="K64" s="14" t="s">
        <v>1200</v>
      </c>
      <c r="L64" s="14" t="s">
        <v>1280</v>
      </c>
      <c r="M64" s="14">
        <v>25</v>
      </c>
      <c r="N64" s="14">
        <v>1</v>
      </c>
      <c r="O64" s="14">
        <v>1</v>
      </c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 t="s">
        <v>328</v>
      </c>
      <c r="AG64" s="14"/>
      <c r="AH64" s="14"/>
      <c r="AI64" s="14"/>
      <c r="AJ64" s="14"/>
      <c r="AK64" s="14" t="s">
        <v>443</v>
      </c>
      <c r="AL64" s="14"/>
      <c r="AM64" s="14" t="s">
        <v>328</v>
      </c>
      <c r="AN64" s="14"/>
      <c r="AO64" s="14" t="s">
        <v>328</v>
      </c>
      <c r="AP64" s="14"/>
      <c r="AQ64" s="14"/>
      <c r="AR64" s="14">
        <v>10</v>
      </c>
      <c r="AS64" s="14">
        <v>15</v>
      </c>
      <c r="AT64" s="14"/>
      <c r="AU64" s="14" t="s">
        <v>328</v>
      </c>
      <c r="AV64" s="14"/>
      <c r="AW64" s="14"/>
      <c r="AX64" s="14">
        <v>3</v>
      </c>
      <c r="AY64" s="14">
        <v>1</v>
      </c>
      <c r="AZ64" s="14">
        <v>2</v>
      </c>
      <c r="BA64" s="14"/>
      <c r="BB64" s="14"/>
      <c r="BC64" s="14" t="s">
        <v>328</v>
      </c>
      <c r="BD64" s="14"/>
      <c r="BE64" s="14"/>
      <c r="BF64" s="14"/>
      <c r="BG64" s="14"/>
      <c r="BH64" s="14"/>
      <c r="BI64" s="14"/>
      <c r="BJ64" s="14"/>
      <c r="BK64" s="14" t="s">
        <v>328</v>
      </c>
      <c r="BL64" s="14"/>
      <c r="BM64" s="14"/>
      <c r="BN64" s="14" t="s">
        <v>328</v>
      </c>
      <c r="BO64" s="14"/>
      <c r="BP64" s="14" t="s">
        <v>328</v>
      </c>
      <c r="BQ64" s="14"/>
      <c r="BR64" s="14"/>
      <c r="BS64" s="14" t="s">
        <v>328</v>
      </c>
      <c r="BT64" s="14"/>
      <c r="BU64" s="14"/>
      <c r="BV64" s="14"/>
      <c r="BW64" s="14" t="s">
        <v>328</v>
      </c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 t="s">
        <v>332</v>
      </c>
      <c r="CI64" s="14" t="s">
        <v>328</v>
      </c>
      <c r="CJ64" s="14"/>
      <c r="CK64" s="14" t="s">
        <v>328</v>
      </c>
      <c r="CL64" s="14"/>
      <c r="CM64" s="14"/>
      <c r="CN64" s="14">
        <v>1</v>
      </c>
      <c r="CO64" s="14">
        <v>3</v>
      </c>
      <c r="CP64" s="14">
        <v>6</v>
      </c>
      <c r="CQ64" s="14">
        <v>4</v>
      </c>
      <c r="CR64" s="14">
        <v>5</v>
      </c>
      <c r="CS64" s="14">
        <v>2</v>
      </c>
      <c r="CT64" s="14" t="s">
        <v>328</v>
      </c>
      <c r="CU64" s="14" t="s">
        <v>328</v>
      </c>
      <c r="CV64" s="14"/>
      <c r="CW64" s="14" t="s">
        <v>328</v>
      </c>
      <c r="CX64" s="14" t="s">
        <v>328</v>
      </c>
      <c r="CY64" s="14"/>
      <c r="CZ64" s="14"/>
      <c r="DA64" s="14" t="s">
        <v>328</v>
      </c>
      <c r="DB64" s="14" t="s">
        <v>404</v>
      </c>
      <c r="DC64" s="14"/>
      <c r="DD64" s="14"/>
      <c r="DE64" s="14"/>
      <c r="DF64" s="14"/>
      <c r="DG64" s="14"/>
      <c r="DH64" s="14"/>
      <c r="DI64" s="14"/>
      <c r="DJ64" s="14" t="s">
        <v>328</v>
      </c>
      <c r="DK64" s="14"/>
      <c r="DL64" s="14"/>
      <c r="DM64" s="14"/>
      <c r="DN64" s="14"/>
      <c r="DO64" s="14"/>
      <c r="DP64" s="14" t="s">
        <v>1146</v>
      </c>
      <c r="DQ64" s="14"/>
      <c r="DR64" s="14" t="s">
        <v>328</v>
      </c>
      <c r="DS64" s="14" t="s">
        <v>328</v>
      </c>
      <c r="DT64" s="14" t="s">
        <v>397</v>
      </c>
      <c r="DU64" s="14"/>
      <c r="DV64" s="14"/>
      <c r="DW64" s="15" t="s">
        <v>428</v>
      </c>
      <c r="DX64" s="14" t="s">
        <v>411</v>
      </c>
      <c r="DY64" s="14"/>
      <c r="DZ64" s="14" t="s">
        <v>328</v>
      </c>
      <c r="EA64" s="14" t="s">
        <v>328</v>
      </c>
      <c r="EB64" s="14" t="s">
        <v>613</v>
      </c>
      <c r="EC64" s="14"/>
      <c r="ED64" s="14" t="s">
        <v>1171</v>
      </c>
      <c r="EE64" s="101" t="s">
        <v>1174</v>
      </c>
      <c r="EF64" s="99"/>
      <c r="EG64" s="17">
        <f t="shared" si="0"/>
        <v>0</v>
      </c>
    </row>
    <row r="65" spans="1:137" x14ac:dyDescent="0.25">
      <c r="A65" s="50" t="s">
        <v>1404</v>
      </c>
      <c r="B65" s="208">
        <v>41544</v>
      </c>
      <c r="C65" s="209" t="s">
        <v>2767</v>
      </c>
      <c r="D65" s="63" t="s">
        <v>482</v>
      </c>
      <c r="E65" s="15" t="s">
        <v>328</v>
      </c>
      <c r="F65" s="15"/>
      <c r="G65" s="15">
        <v>41</v>
      </c>
      <c r="H65" s="15" t="s">
        <v>329</v>
      </c>
      <c r="I65" s="15" t="s">
        <v>330</v>
      </c>
      <c r="J65" s="15" t="s">
        <v>729</v>
      </c>
      <c r="K65" s="18" t="s">
        <v>1217</v>
      </c>
      <c r="L65" s="15" t="s">
        <v>1280</v>
      </c>
      <c r="M65" s="15">
        <v>20</v>
      </c>
      <c r="N65" s="15">
        <v>3</v>
      </c>
      <c r="O65" s="15"/>
      <c r="P65" s="15"/>
      <c r="Q65" s="15"/>
      <c r="R65" s="15"/>
      <c r="S65" s="15">
        <v>3</v>
      </c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 t="s">
        <v>328</v>
      </c>
      <c r="AK65" s="15"/>
      <c r="AL65" s="15" t="s">
        <v>328</v>
      </c>
      <c r="AM65" s="15"/>
      <c r="AN65" s="15"/>
      <c r="AO65" s="14" t="s">
        <v>328</v>
      </c>
      <c r="AP65" s="15"/>
      <c r="AQ65" s="15"/>
      <c r="AR65" s="15">
        <v>10</v>
      </c>
      <c r="AS65" s="15">
        <v>2</v>
      </c>
      <c r="AT65" s="15"/>
      <c r="AU65" s="15" t="s">
        <v>328</v>
      </c>
      <c r="AV65" s="15"/>
      <c r="AW65" s="15"/>
      <c r="AX65" s="15">
        <v>3</v>
      </c>
      <c r="AY65" s="15">
        <v>2</v>
      </c>
      <c r="AZ65" s="15">
        <v>1</v>
      </c>
      <c r="BA65" s="15"/>
      <c r="BB65" s="15"/>
      <c r="BC65" s="15" t="s">
        <v>328</v>
      </c>
      <c r="BD65" s="15"/>
      <c r="BE65" s="15"/>
      <c r="BF65" s="15"/>
      <c r="BG65" s="15"/>
      <c r="BH65" s="15"/>
      <c r="BI65" s="15"/>
      <c r="BJ65" s="15"/>
      <c r="BK65" s="15" t="s">
        <v>328</v>
      </c>
      <c r="BL65" s="15"/>
      <c r="BM65" s="15"/>
      <c r="BN65" s="15" t="s">
        <v>328</v>
      </c>
      <c r="BO65" s="15"/>
      <c r="BP65" s="15" t="s">
        <v>328</v>
      </c>
      <c r="BQ65" s="15"/>
      <c r="BR65" s="15" t="s">
        <v>328</v>
      </c>
      <c r="BS65" s="15"/>
      <c r="BT65" s="15"/>
      <c r="BU65" s="15"/>
      <c r="BV65" s="15" t="s">
        <v>328</v>
      </c>
      <c r="BW65" s="15" t="s">
        <v>328</v>
      </c>
      <c r="BX65" s="15"/>
      <c r="BY65" s="15"/>
      <c r="BZ65" s="15"/>
      <c r="CA65" s="15"/>
      <c r="CB65" s="15"/>
      <c r="CC65" s="15" t="s">
        <v>328</v>
      </c>
      <c r="CD65" s="15" t="s">
        <v>328</v>
      </c>
      <c r="CE65" s="15"/>
      <c r="CF65" s="15"/>
      <c r="CG65" s="15"/>
      <c r="CH65" s="15"/>
      <c r="CI65" s="15" t="s">
        <v>328</v>
      </c>
      <c r="CJ65" s="15"/>
      <c r="CK65" s="15"/>
      <c r="CL65" s="15"/>
      <c r="CM65" s="15"/>
      <c r="CN65" s="15">
        <v>5</v>
      </c>
      <c r="CO65" s="15">
        <v>1</v>
      </c>
      <c r="CP65" s="15">
        <v>3</v>
      </c>
      <c r="CQ65" s="15">
        <v>6</v>
      </c>
      <c r="CR65" s="15">
        <v>4</v>
      </c>
      <c r="CS65" s="15">
        <v>2</v>
      </c>
      <c r="CT65" s="15" t="s">
        <v>328</v>
      </c>
      <c r="CU65" s="15" t="s">
        <v>328</v>
      </c>
      <c r="CV65" s="15"/>
      <c r="CW65" s="15"/>
      <c r="CX65" s="15" t="s">
        <v>328</v>
      </c>
      <c r="CY65" s="15"/>
      <c r="CZ65" s="15"/>
      <c r="DA65" s="15" t="s">
        <v>328</v>
      </c>
      <c r="DB65" s="15" t="s">
        <v>404</v>
      </c>
      <c r="DC65" s="15"/>
      <c r="DD65" s="15"/>
      <c r="DE65" s="15"/>
      <c r="DF65" s="15"/>
      <c r="DG65" s="15"/>
      <c r="DH65" s="15"/>
      <c r="DI65" s="15"/>
      <c r="DJ65" s="15"/>
      <c r="DK65" s="15" t="s">
        <v>328</v>
      </c>
      <c r="DL65" s="15" t="s">
        <v>328</v>
      </c>
      <c r="DM65" s="15" t="s">
        <v>618</v>
      </c>
      <c r="DN65" s="15"/>
      <c r="DO65" s="15" t="s">
        <v>483</v>
      </c>
      <c r="DP65" s="14" t="s">
        <v>389</v>
      </c>
      <c r="DQ65" s="15"/>
      <c r="DR65" s="15" t="s">
        <v>328</v>
      </c>
      <c r="DS65" s="15" t="s">
        <v>328</v>
      </c>
      <c r="DT65" s="14" t="s">
        <v>618</v>
      </c>
      <c r="DU65" s="15"/>
      <c r="DV65" s="15"/>
      <c r="DW65" s="15" t="s">
        <v>410</v>
      </c>
      <c r="DX65" s="14" t="s">
        <v>411</v>
      </c>
      <c r="DY65" s="15"/>
      <c r="DZ65" s="15" t="s">
        <v>328</v>
      </c>
      <c r="EA65" s="15" t="s">
        <v>328</v>
      </c>
      <c r="EB65" s="15" t="s">
        <v>620</v>
      </c>
      <c r="EC65" s="15"/>
      <c r="ED65" s="14" t="s">
        <v>1158</v>
      </c>
      <c r="EE65" s="102" t="s">
        <v>450</v>
      </c>
      <c r="EF65" s="99"/>
      <c r="EG65" s="17">
        <f t="shared" si="0"/>
        <v>0</v>
      </c>
    </row>
    <row r="66" spans="1:137" x14ac:dyDescent="0.25">
      <c r="A66" s="50" t="s">
        <v>1404</v>
      </c>
      <c r="B66" s="208">
        <v>41544</v>
      </c>
      <c r="C66" s="209" t="s">
        <v>2767</v>
      </c>
      <c r="D66" s="61" t="s">
        <v>484</v>
      </c>
      <c r="E66" s="15" t="s">
        <v>328</v>
      </c>
      <c r="F66" s="15"/>
      <c r="G66" s="15">
        <v>37</v>
      </c>
      <c r="H66" s="15" t="s">
        <v>329</v>
      </c>
      <c r="I66" s="15" t="s">
        <v>399</v>
      </c>
      <c r="J66" s="15" t="s">
        <v>743</v>
      </c>
      <c r="K66" s="15" t="s">
        <v>1218</v>
      </c>
      <c r="L66" s="15" t="s">
        <v>1283</v>
      </c>
      <c r="M66" s="15">
        <v>15</v>
      </c>
      <c r="N66" s="15">
        <v>3</v>
      </c>
      <c r="O66" s="15">
        <v>6</v>
      </c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 t="s">
        <v>328</v>
      </c>
      <c r="AG66" s="15"/>
      <c r="AH66" s="15"/>
      <c r="AI66" s="15"/>
      <c r="AJ66" s="15"/>
      <c r="AK66" s="15"/>
      <c r="AL66" s="15" t="s">
        <v>328</v>
      </c>
      <c r="AM66" s="15"/>
      <c r="AN66" s="15"/>
      <c r="AO66" s="14" t="s">
        <v>328</v>
      </c>
      <c r="AP66" s="15"/>
      <c r="AQ66" s="15"/>
      <c r="AR66" s="15">
        <v>10</v>
      </c>
      <c r="AS66" s="15">
        <v>5</v>
      </c>
      <c r="AT66" s="15"/>
      <c r="AU66" s="15" t="s">
        <v>328</v>
      </c>
      <c r="AV66" s="15"/>
      <c r="AW66" s="15"/>
      <c r="AX66" s="15">
        <v>3</v>
      </c>
      <c r="AY66" s="15">
        <v>2</v>
      </c>
      <c r="AZ66" s="15">
        <v>4</v>
      </c>
      <c r="BA66" s="15" t="s">
        <v>346</v>
      </c>
      <c r="BB66" s="15"/>
      <c r="BC66" s="15" t="s">
        <v>328</v>
      </c>
      <c r="BD66" s="15"/>
      <c r="BE66" s="15"/>
      <c r="BF66" s="15"/>
      <c r="BG66" s="15"/>
      <c r="BH66" s="15"/>
      <c r="BI66" s="15"/>
      <c r="BJ66" s="15"/>
      <c r="BK66" s="15" t="s">
        <v>328</v>
      </c>
      <c r="BL66" s="15"/>
      <c r="BM66" s="15"/>
      <c r="BN66" s="15" t="s">
        <v>328</v>
      </c>
      <c r="BO66" s="15"/>
      <c r="BP66" s="15" t="s">
        <v>328</v>
      </c>
      <c r="BQ66" s="15"/>
      <c r="BR66" s="15" t="s">
        <v>328</v>
      </c>
      <c r="BS66" s="15"/>
      <c r="BT66" s="15"/>
      <c r="BU66" s="15"/>
      <c r="BV66" s="15" t="s">
        <v>328</v>
      </c>
      <c r="BW66" s="15"/>
      <c r="BX66" s="15"/>
      <c r="BY66" s="15"/>
      <c r="BZ66" s="15"/>
      <c r="CA66" s="15"/>
      <c r="CB66" s="15" t="s">
        <v>328</v>
      </c>
      <c r="CC66" s="15"/>
      <c r="CD66" s="15"/>
      <c r="CE66" s="15"/>
      <c r="CF66" s="15"/>
      <c r="CG66" s="15"/>
      <c r="CH66" s="15"/>
      <c r="CI66" s="15"/>
      <c r="CJ66" s="15" t="s">
        <v>328</v>
      </c>
      <c r="CK66" s="15"/>
      <c r="CL66" s="15"/>
      <c r="CM66" s="15"/>
      <c r="CN66" s="15">
        <v>6</v>
      </c>
      <c r="CO66" s="15">
        <v>1</v>
      </c>
      <c r="CP66" s="15">
        <v>3</v>
      </c>
      <c r="CQ66" s="15">
        <v>5</v>
      </c>
      <c r="CR66" s="15">
        <v>4</v>
      </c>
      <c r="CS66" s="15">
        <v>2</v>
      </c>
      <c r="CT66" s="15" t="s">
        <v>328</v>
      </c>
      <c r="CU66" s="15" t="s">
        <v>328</v>
      </c>
      <c r="CV66" s="15"/>
      <c r="CW66" s="15"/>
      <c r="CX66" s="15" t="s">
        <v>328</v>
      </c>
      <c r="CY66" s="15"/>
      <c r="CZ66" s="15"/>
      <c r="DA66" s="15"/>
      <c r="DB66" s="15"/>
      <c r="DC66" s="15">
        <v>2</v>
      </c>
      <c r="DD66" s="15">
        <v>4</v>
      </c>
      <c r="DE66" s="15">
        <v>6</v>
      </c>
      <c r="DF66" s="15">
        <v>1</v>
      </c>
      <c r="DG66" s="15">
        <v>3</v>
      </c>
      <c r="DH66" s="15">
        <v>5</v>
      </c>
      <c r="DI66" s="14" t="s">
        <v>346</v>
      </c>
      <c r="DJ66" s="15"/>
      <c r="DK66" s="15" t="s">
        <v>328</v>
      </c>
      <c r="DL66" s="15" t="s">
        <v>328</v>
      </c>
      <c r="DM66" s="15" t="s">
        <v>486</v>
      </c>
      <c r="DN66" s="15"/>
      <c r="DO66" s="14" t="s">
        <v>432</v>
      </c>
      <c r="DP66" s="14" t="s">
        <v>389</v>
      </c>
      <c r="DQ66" s="15"/>
      <c r="DR66" s="15" t="s">
        <v>328</v>
      </c>
      <c r="DS66" s="15" t="s">
        <v>328</v>
      </c>
      <c r="DT66" s="15" t="s">
        <v>397</v>
      </c>
      <c r="DU66" s="15"/>
      <c r="DV66" s="15"/>
      <c r="DW66" s="15" t="s">
        <v>410</v>
      </c>
      <c r="DX66" s="14" t="s">
        <v>411</v>
      </c>
      <c r="DY66" s="15"/>
      <c r="DZ66" s="15" t="s">
        <v>328</v>
      </c>
      <c r="EA66" s="15" t="s">
        <v>328</v>
      </c>
      <c r="EB66" s="15" t="s">
        <v>620</v>
      </c>
      <c r="EC66" s="15"/>
      <c r="ED66" s="14" t="s">
        <v>1158</v>
      </c>
      <c r="EE66" s="102" t="s">
        <v>497</v>
      </c>
      <c r="EF66" s="99"/>
      <c r="EG66" s="17">
        <f t="shared" si="0"/>
        <v>0</v>
      </c>
    </row>
    <row r="67" spans="1:137" x14ac:dyDescent="0.25">
      <c r="A67" s="50" t="s">
        <v>1404</v>
      </c>
      <c r="B67" s="208">
        <v>41544</v>
      </c>
      <c r="C67" s="209" t="s">
        <v>2767</v>
      </c>
      <c r="D67" s="63" t="s">
        <v>487</v>
      </c>
      <c r="E67" s="15" t="s">
        <v>328</v>
      </c>
      <c r="F67" s="15"/>
      <c r="G67" s="15">
        <v>50</v>
      </c>
      <c r="H67" s="15" t="s">
        <v>329</v>
      </c>
      <c r="I67" s="15" t="s">
        <v>330</v>
      </c>
      <c r="J67" s="15" t="s">
        <v>737</v>
      </c>
      <c r="K67" s="15" t="s">
        <v>1211</v>
      </c>
      <c r="L67" s="15" t="s">
        <v>1280</v>
      </c>
      <c r="M67" s="15">
        <v>25</v>
      </c>
      <c r="N67" s="15">
        <v>1</v>
      </c>
      <c r="O67" s="15"/>
      <c r="P67" s="15"/>
      <c r="Q67" s="15"/>
      <c r="R67" s="15"/>
      <c r="S67" s="15"/>
      <c r="T67" s="15"/>
      <c r="U67" s="15">
        <v>1</v>
      </c>
      <c r="V67" s="15"/>
      <c r="W67" s="15"/>
      <c r="X67" s="15"/>
      <c r="Y67" s="15"/>
      <c r="Z67" s="15"/>
      <c r="AA67" s="15"/>
      <c r="AB67" s="15"/>
      <c r="AC67" s="15"/>
      <c r="AD67" s="15"/>
      <c r="AE67" s="15" t="s">
        <v>328</v>
      </c>
      <c r="AF67" s="15"/>
      <c r="AG67" s="15"/>
      <c r="AH67" s="15"/>
      <c r="AI67" s="15"/>
      <c r="AJ67" s="15"/>
      <c r="AK67" s="15"/>
      <c r="AL67" s="15"/>
      <c r="AM67" s="15" t="s">
        <v>328</v>
      </c>
      <c r="AN67" s="15"/>
      <c r="AO67" s="14" t="s">
        <v>328</v>
      </c>
      <c r="AP67" s="15"/>
      <c r="AQ67" s="15"/>
      <c r="AR67" s="15">
        <v>6</v>
      </c>
      <c r="AS67" s="15">
        <v>9</v>
      </c>
      <c r="AT67" s="15"/>
      <c r="AU67" s="15" t="s">
        <v>328</v>
      </c>
      <c r="AV67" s="15"/>
      <c r="AW67" s="15"/>
      <c r="AX67" s="15">
        <v>1</v>
      </c>
      <c r="AY67" s="15">
        <v>3</v>
      </c>
      <c r="AZ67" s="15">
        <v>2</v>
      </c>
      <c r="BA67" s="15"/>
      <c r="BB67" s="15" t="s">
        <v>328</v>
      </c>
      <c r="BC67" s="15"/>
      <c r="BD67" s="15"/>
      <c r="BE67" s="15" t="s">
        <v>328</v>
      </c>
      <c r="BF67" s="15"/>
      <c r="BG67" s="15"/>
      <c r="BH67" s="15"/>
      <c r="BI67" s="15"/>
      <c r="BJ67" s="15"/>
      <c r="BK67" s="15"/>
      <c r="BL67" s="15"/>
      <c r="BM67" s="15"/>
      <c r="BN67" s="15"/>
      <c r="BO67" s="15" t="s">
        <v>328</v>
      </c>
      <c r="BP67" s="15"/>
      <c r="BQ67" s="15" t="s">
        <v>328</v>
      </c>
      <c r="BR67" s="15"/>
      <c r="BS67" s="15"/>
      <c r="BT67" s="15" t="s">
        <v>328</v>
      </c>
      <c r="BU67" s="15"/>
      <c r="BV67" s="15"/>
      <c r="BW67" s="15" t="s">
        <v>328</v>
      </c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 t="s">
        <v>332</v>
      </c>
      <c r="CI67" s="15"/>
      <c r="CJ67" s="15"/>
      <c r="CK67" s="15" t="s">
        <v>328</v>
      </c>
      <c r="CL67" s="15"/>
      <c r="CM67" s="15" t="s">
        <v>328</v>
      </c>
      <c r="CN67" s="15">
        <v>4</v>
      </c>
      <c r="CO67" s="15">
        <v>1</v>
      </c>
      <c r="CP67" s="15">
        <v>3</v>
      </c>
      <c r="CQ67" s="15">
        <v>5</v>
      </c>
      <c r="CR67" s="15">
        <v>6</v>
      </c>
      <c r="CS67" s="15">
        <v>2</v>
      </c>
      <c r="CT67" s="15" t="s">
        <v>328</v>
      </c>
      <c r="CU67" s="15"/>
      <c r="CV67" s="15"/>
      <c r="CW67" s="15"/>
      <c r="CX67" s="15" t="s">
        <v>328</v>
      </c>
      <c r="CY67" s="15"/>
      <c r="CZ67" s="15"/>
      <c r="DA67" s="15" t="s">
        <v>328</v>
      </c>
      <c r="DB67" s="15" t="s">
        <v>404</v>
      </c>
      <c r="DC67" s="15"/>
      <c r="DD67" s="15"/>
      <c r="DE67" s="15"/>
      <c r="DF67" s="15"/>
      <c r="DG67" s="15"/>
      <c r="DH67" s="15"/>
      <c r="DI67" s="15"/>
      <c r="DJ67" s="15" t="s">
        <v>328</v>
      </c>
      <c r="DK67" s="15"/>
      <c r="DL67" s="15"/>
      <c r="DM67" s="15"/>
      <c r="DN67" s="15"/>
      <c r="DO67" s="15"/>
      <c r="DP67" s="14" t="s">
        <v>1146</v>
      </c>
      <c r="DQ67" s="15" t="s">
        <v>328</v>
      </c>
      <c r="DR67" s="15"/>
      <c r="DS67" s="15"/>
      <c r="DT67" s="15"/>
      <c r="DU67" s="15"/>
      <c r="DV67" s="15"/>
      <c r="DW67" s="15"/>
      <c r="DX67" s="15" t="s">
        <v>1152</v>
      </c>
      <c r="DY67" s="15" t="s">
        <v>328</v>
      </c>
      <c r="DZ67" s="15"/>
      <c r="EA67" s="15"/>
      <c r="EB67" s="15"/>
      <c r="EC67" s="15"/>
      <c r="ED67" s="15"/>
      <c r="EE67" s="102" t="s">
        <v>1152</v>
      </c>
      <c r="EF67" s="99"/>
      <c r="EG67" s="17">
        <f t="shared" si="0"/>
        <v>0</v>
      </c>
    </row>
    <row r="68" spans="1:137" x14ac:dyDescent="0.25">
      <c r="A68" s="50" t="s">
        <v>1404</v>
      </c>
      <c r="B68" s="208">
        <v>41544</v>
      </c>
      <c r="C68" s="209" t="s">
        <v>2767</v>
      </c>
      <c r="D68" s="61" t="s">
        <v>488</v>
      </c>
      <c r="E68" s="15" t="s">
        <v>328</v>
      </c>
      <c r="F68" s="15"/>
      <c r="G68" s="15">
        <v>52</v>
      </c>
      <c r="H68" s="15" t="s">
        <v>329</v>
      </c>
      <c r="I68" s="15" t="s">
        <v>399</v>
      </c>
      <c r="J68" s="15" t="s">
        <v>753</v>
      </c>
      <c r="K68" s="15" t="s">
        <v>1190</v>
      </c>
      <c r="L68" s="15" t="s">
        <v>1280</v>
      </c>
      <c r="M68" s="15">
        <v>10</v>
      </c>
      <c r="N68" s="15">
        <v>1</v>
      </c>
      <c r="O68" s="15">
        <v>1</v>
      </c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 t="s">
        <v>418</v>
      </c>
      <c r="AL68" s="15"/>
      <c r="AM68" s="15" t="s">
        <v>328</v>
      </c>
      <c r="AN68" s="15"/>
      <c r="AO68" s="14" t="s">
        <v>328</v>
      </c>
      <c r="AP68" s="15"/>
      <c r="AQ68" s="15"/>
      <c r="AR68" s="15">
        <v>3</v>
      </c>
      <c r="AS68" s="15">
        <v>7</v>
      </c>
      <c r="AT68" s="15"/>
      <c r="AU68" s="15"/>
      <c r="AV68" s="15" t="s">
        <v>328</v>
      </c>
      <c r="AW68" s="15"/>
      <c r="AX68" s="15">
        <v>2</v>
      </c>
      <c r="AY68" s="15">
        <v>1</v>
      </c>
      <c r="AZ68" s="15">
        <v>3</v>
      </c>
      <c r="BA68" s="15"/>
      <c r="BB68" s="15" t="s">
        <v>328</v>
      </c>
      <c r="BC68" s="15"/>
      <c r="BD68" s="15"/>
      <c r="BE68" s="15"/>
      <c r="BF68" s="15"/>
      <c r="BG68" s="15"/>
      <c r="BH68" s="15"/>
      <c r="BI68" s="15"/>
      <c r="BJ68" s="15"/>
      <c r="BK68" s="15" t="s">
        <v>328</v>
      </c>
      <c r="BL68" s="15"/>
      <c r="BM68" s="15"/>
      <c r="BN68" s="15"/>
      <c r="BO68" s="15" t="s">
        <v>328</v>
      </c>
      <c r="BP68" s="15"/>
      <c r="BQ68" s="15" t="s">
        <v>328</v>
      </c>
      <c r="BR68" s="15"/>
      <c r="BS68" s="15"/>
      <c r="BT68" s="15"/>
      <c r="BU68" s="15"/>
      <c r="BV68" s="15"/>
      <c r="BW68" s="15" t="s">
        <v>328</v>
      </c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 t="s">
        <v>332</v>
      </c>
      <c r="CI68" s="15" t="s">
        <v>328</v>
      </c>
      <c r="CJ68" s="15"/>
      <c r="CK68" s="15"/>
      <c r="CL68" s="15"/>
      <c r="CM68" s="15"/>
      <c r="CN68" s="15">
        <v>3</v>
      </c>
      <c r="CO68" s="15">
        <v>1</v>
      </c>
      <c r="CP68" s="15">
        <v>4</v>
      </c>
      <c r="CQ68" s="15">
        <v>6</v>
      </c>
      <c r="CR68" s="15">
        <v>5</v>
      </c>
      <c r="CS68" s="15">
        <v>2</v>
      </c>
      <c r="CT68" s="15"/>
      <c r="CU68" s="15"/>
      <c r="CV68" s="15"/>
      <c r="CW68" s="15"/>
      <c r="CX68" s="15"/>
      <c r="CY68" s="15"/>
      <c r="CZ68" s="15" t="s">
        <v>332</v>
      </c>
      <c r="DA68" s="15" t="s">
        <v>328</v>
      </c>
      <c r="DB68" s="15" t="s">
        <v>404</v>
      </c>
      <c r="DC68" s="15"/>
      <c r="DD68" s="15"/>
      <c r="DE68" s="15"/>
      <c r="DF68" s="15"/>
      <c r="DG68" s="15"/>
      <c r="DH68" s="15"/>
      <c r="DI68" s="15"/>
      <c r="DJ68" s="15"/>
      <c r="DK68" s="15" t="s">
        <v>328</v>
      </c>
      <c r="DL68" s="15" t="s">
        <v>328</v>
      </c>
      <c r="DM68" s="14" t="s">
        <v>404</v>
      </c>
      <c r="DN68" s="15"/>
      <c r="DO68" s="14" t="s">
        <v>432</v>
      </c>
      <c r="DP68" s="14" t="s">
        <v>472</v>
      </c>
      <c r="DQ68" s="15"/>
      <c r="DR68" s="15" t="s">
        <v>328</v>
      </c>
      <c r="DS68" s="15" t="s">
        <v>328</v>
      </c>
      <c r="DT68" s="15" t="s">
        <v>489</v>
      </c>
      <c r="DU68" s="15"/>
      <c r="DV68" s="15"/>
      <c r="DW68" s="15" t="s">
        <v>489</v>
      </c>
      <c r="DX68" s="14" t="s">
        <v>411</v>
      </c>
      <c r="DY68" s="15" t="s">
        <v>328</v>
      </c>
      <c r="DZ68" s="15"/>
      <c r="EA68" s="15"/>
      <c r="EB68" s="15"/>
      <c r="EC68" s="15"/>
      <c r="ED68" s="15"/>
      <c r="EE68" s="102" t="s">
        <v>333</v>
      </c>
      <c r="EF68" s="99"/>
      <c r="EG68" s="17">
        <f t="shared" si="0"/>
        <v>0</v>
      </c>
    </row>
    <row r="69" spans="1:137" x14ac:dyDescent="0.25">
      <c r="A69" s="50" t="s">
        <v>1404</v>
      </c>
      <c r="B69" s="208">
        <v>41547</v>
      </c>
      <c r="C69" s="209" t="s">
        <v>2767</v>
      </c>
      <c r="D69" s="63" t="s">
        <v>490</v>
      </c>
      <c r="E69" s="15"/>
      <c r="F69" s="15" t="s">
        <v>328</v>
      </c>
      <c r="G69" s="15">
        <v>60</v>
      </c>
      <c r="H69" s="15" t="s">
        <v>329</v>
      </c>
      <c r="I69" s="15" t="s">
        <v>357</v>
      </c>
      <c r="J69" s="15" t="s">
        <v>767</v>
      </c>
      <c r="K69" s="15" t="s">
        <v>1208</v>
      </c>
      <c r="L69" s="15" t="s">
        <v>1286</v>
      </c>
      <c r="M69" s="15">
        <v>40</v>
      </c>
      <c r="N69" s="15">
        <v>6</v>
      </c>
      <c r="O69" s="15">
        <v>6</v>
      </c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 t="s">
        <v>418</v>
      </c>
      <c r="AL69" s="14" t="s">
        <v>328</v>
      </c>
      <c r="AM69" s="15"/>
      <c r="AN69" s="15"/>
      <c r="AO69" s="15"/>
      <c r="AP69" s="15" t="s">
        <v>328</v>
      </c>
      <c r="AQ69" s="15"/>
      <c r="AR69" s="15">
        <v>1</v>
      </c>
      <c r="AS69" s="15">
        <v>6</v>
      </c>
      <c r="AT69" s="15"/>
      <c r="AU69" s="15" t="s">
        <v>328</v>
      </c>
      <c r="AV69" s="15" t="s">
        <v>328</v>
      </c>
      <c r="AW69" s="15"/>
      <c r="AX69" s="15">
        <v>4</v>
      </c>
      <c r="AY69" s="15">
        <v>2</v>
      </c>
      <c r="AZ69" s="15">
        <v>3</v>
      </c>
      <c r="BA69" s="15" t="s">
        <v>346</v>
      </c>
      <c r="BB69" s="15"/>
      <c r="BC69" s="15" t="s">
        <v>328</v>
      </c>
      <c r="BD69" s="15"/>
      <c r="BE69" s="15" t="s">
        <v>328</v>
      </c>
      <c r="BF69" s="15"/>
      <c r="BG69" s="15"/>
      <c r="BH69" s="15"/>
      <c r="BI69" s="15"/>
      <c r="BJ69" s="15"/>
      <c r="BK69" s="15"/>
      <c r="BL69" s="15"/>
      <c r="BM69" s="15"/>
      <c r="BN69" s="15" t="s">
        <v>328</v>
      </c>
      <c r="BO69" s="15"/>
      <c r="BP69" s="15" t="s">
        <v>328</v>
      </c>
      <c r="BQ69" s="15"/>
      <c r="BR69" s="15" t="s">
        <v>328</v>
      </c>
      <c r="BS69" s="15"/>
      <c r="BT69" s="15"/>
      <c r="BU69" s="15"/>
      <c r="BV69" s="15" t="s">
        <v>328</v>
      </c>
      <c r="BW69" s="15" t="s">
        <v>328</v>
      </c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 t="s">
        <v>332</v>
      </c>
      <c r="CI69" s="15" t="s">
        <v>328</v>
      </c>
      <c r="CJ69" s="15"/>
      <c r="CK69" s="15" t="s">
        <v>328</v>
      </c>
      <c r="CL69" s="15"/>
      <c r="CM69" s="15"/>
      <c r="CN69" s="15">
        <v>4</v>
      </c>
      <c r="CO69" s="15">
        <v>1</v>
      </c>
      <c r="CP69" s="15">
        <v>5</v>
      </c>
      <c r="CQ69" s="15">
        <v>2</v>
      </c>
      <c r="CR69" s="15">
        <v>6</v>
      </c>
      <c r="CS69" s="15">
        <v>3</v>
      </c>
      <c r="CT69" s="15" t="s">
        <v>328</v>
      </c>
      <c r="CU69" s="15" t="s">
        <v>328</v>
      </c>
      <c r="CV69" s="15"/>
      <c r="CW69" s="15"/>
      <c r="CX69" s="15" t="s">
        <v>328</v>
      </c>
      <c r="CY69" s="15" t="s">
        <v>328</v>
      </c>
      <c r="CZ69" s="15"/>
      <c r="DA69" s="15"/>
      <c r="DB69" s="15"/>
      <c r="DC69" s="15">
        <v>3</v>
      </c>
      <c r="DD69" s="15">
        <v>5</v>
      </c>
      <c r="DE69" s="15">
        <v>1</v>
      </c>
      <c r="DF69" s="15">
        <v>2</v>
      </c>
      <c r="DG69" s="15">
        <v>4</v>
      </c>
      <c r="DH69" s="15">
        <v>6</v>
      </c>
      <c r="DI69" s="15"/>
      <c r="DJ69" s="15"/>
      <c r="DK69" s="15" t="s">
        <v>328</v>
      </c>
      <c r="DL69" s="15" t="s">
        <v>328</v>
      </c>
      <c r="DM69" s="15" t="s">
        <v>618</v>
      </c>
      <c r="DN69" s="15"/>
      <c r="DO69" s="14" t="s">
        <v>432</v>
      </c>
      <c r="DP69" s="14" t="s">
        <v>333</v>
      </c>
      <c r="DQ69" s="15"/>
      <c r="DR69" s="15" t="s">
        <v>328</v>
      </c>
      <c r="DS69" s="15" t="s">
        <v>328</v>
      </c>
      <c r="DT69" s="15" t="s">
        <v>397</v>
      </c>
      <c r="DU69" s="15"/>
      <c r="DV69" s="15"/>
      <c r="DW69" s="15" t="s">
        <v>491</v>
      </c>
      <c r="DX69" s="15" t="s">
        <v>438</v>
      </c>
      <c r="DY69" s="15"/>
      <c r="DZ69" s="15" t="s">
        <v>328</v>
      </c>
      <c r="EA69" s="15" t="s">
        <v>328</v>
      </c>
      <c r="EB69" s="15" t="s">
        <v>405</v>
      </c>
      <c r="EC69" s="15"/>
      <c r="ED69" s="15" t="s">
        <v>492</v>
      </c>
      <c r="EE69" s="102" t="s">
        <v>497</v>
      </c>
      <c r="EF69" s="99"/>
      <c r="EG69" s="17">
        <f t="shared" si="0"/>
        <v>0</v>
      </c>
    </row>
    <row r="70" spans="1:137" x14ac:dyDescent="0.25">
      <c r="A70" s="50" t="s">
        <v>1404</v>
      </c>
      <c r="B70" s="208">
        <v>41547</v>
      </c>
      <c r="C70" s="209" t="s">
        <v>2767</v>
      </c>
      <c r="D70" s="61" t="s">
        <v>493</v>
      </c>
      <c r="E70" s="15" t="s">
        <v>328</v>
      </c>
      <c r="F70" s="15"/>
      <c r="G70" s="15">
        <v>40</v>
      </c>
      <c r="H70" s="15" t="s">
        <v>329</v>
      </c>
      <c r="I70" s="15" t="s">
        <v>399</v>
      </c>
      <c r="J70" s="15" t="s">
        <v>737</v>
      </c>
      <c r="K70" s="15" t="s">
        <v>1211</v>
      </c>
      <c r="L70" s="15" t="s">
        <v>1280</v>
      </c>
      <c r="M70" s="15">
        <v>15</v>
      </c>
      <c r="N70" s="15">
        <v>2</v>
      </c>
      <c r="O70" s="15"/>
      <c r="P70" s="15"/>
      <c r="Q70" s="15"/>
      <c r="R70" s="15">
        <v>2</v>
      </c>
      <c r="S70" s="15"/>
      <c r="T70" s="15"/>
      <c r="U70" s="15"/>
      <c r="V70" s="15"/>
      <c r="W70" s="15"/>
      <c r="X70" s="15"/>
      <c r="Y70" s="15"/>
      <c r="Z70" s="15"/>
      <c r="AA70" s="15"/>
      <c r="AB70" s="15" t="s">
        <v>328</v>
      </c>
      <c r="AC70" s="15"/>
      <c r="AD70" s="15"/>
      <c r="AE70" s="15"/>
      <c r="AF70" s="15"/>
      <c r="AG70" s="15"/>
      <c r="AH70" s="15"/>
      <c r="AI70" s="15" t="s">
        <v>328</v>
      </c>
      <c r="AJ70" s="15"/>
      <c r="AK70" s="15"/>
      <c r="AL70" s="15" t="s">
        <v>328</v>
      </c>
      <c r="AM70" s="15"/>
      <c r="AN70" s="15"/>
      <c r="AO70" s="15"/>
      <c r="AP70" s="15"/>
      <c r="AQ70" s="14" t="s">
        <v>328</v>
      </c>
      <c r="AR70" s="15">
        <v>10</v>
      </c>
      <c r="AS70" s="15">
        <v>1</v>
      </c>
      <c r="AT70" s="15"/>
      <c r="AU70" s="15" t="s">
        <v>328</v>
      </c>
      <c r="AV70" s="15"/>
      <c r="AW70" s="15"/>
      <c r="AX70" s="15">
        <v>3</v>
      </c>
      <c r="AY70" s="15">
        <v>2</v>
      </c>
      <c r="AZ70" s="15">
        <v>4</v>
      </c>
      <c r="BA70" s="15" t="s">
        <v>346</v>
      </c>
      <c r="BB70" s="15"/>
      <c r="BC70" s="15" t="s">
        <v>328</v>
      </c>
      <c r="BD70" s="15"/>
      <c r="BE70" s="15"/>
      <c r="BF70" s="15"/>
      <c r="BG70" s="15"/>
      <c r="BH70" s="15"/>
      <c r="BI70" s="15"/>
      <c r="BJ70" s="15"/>
      <c r="BK70" s="15" t="s">
        <v>328</v>
      </c>
      <c r="BL70" s="15"/>
      <c r="BM70" s="15"/>
      <c r="BN70" s="15" t="s">
        <v>328</v>
      </c>
      <c r="BO70" s="15"/>
      <c r="BP70" s="15" t="s">
        <v>328</v>
      </c>
      <c r="BQ70" s="15"/>
      <c r="BR70" s="15" t="s">
        <v>328</v>
      </c>
      <c r="BS70" s="15"/>
      <c r="BT70" s="15"/>
      <c r="BU70" s="15"/>
      <c r="BV70" s="15"/>
      <c r="BW70" s="15" t="s">
        <v>328</v>
      </c>
      <c r="BX70" s="15"/>
      <c r="BY70" s="15"/>
      <c r="BZ70" s="15"/>
      <c r="CA70" s="15"/>
      <c r="CB70" s="15"/>
      <c r="CC70" s="15" t="s">
        <v>328</v>
      </c>
      <c r="CD70" s="15"/>
      <c r="CE70" s="15"/>
      <c r="CF70" s="15"/>
      <c r="CG70" s="15"/>
      <c r="CH70" s="15"/>
      <c r="CI70" s="15" t="s">
        <v>328</v>
      </c>
      <c r="CJ70" s="15"/>
      <c r="CK70" s="15"/>
      <c r="CL70" s="15"/>
      <c r="CM70" s="15"/>
      <c r="CN70" s="15">
        <v>5</v>
      </c>
      <c r="CO70" s="15">
        <v>2</v>
      </c>
      <c r="CP70" s="15">
        <v>4</v>
      </c>
      <c r="CQ70" s="15">
        <v>6</v>
      </c>
      <c r="CR70" s="15">
        <v>1</v>
      </c>
      <c r="CS70" s="15">
        <v>3</v>
      </c>
      <c r="CT70" s="15"/>
      <c r="CU70" s="15" t="s">
        <v>328</v>
      </c>
      <c r="CV70" s="15"/>
      <c r="CW70" s="15" t="s">
        <v>328</v>
      </c>
      <c r="CX70" s="15"/>
      <c r="CY70" s="15" t="s">
        <v>328</v>
      </c>
      <c r="CZ70" s="15"/>
      <c r="DA70" s="15"/>
      <c r="DB70" s="15"/>
      <c r="DC70" s="15">
        <v>2</v>
      </c>
      <c r="DD70" s="15">
        <v>4</v>
      </c>
      <c r="DE70" s="15">
        <v>6</v>
      </c>
      <c r="DF70" s="15">
        <v>5</v>
      </c>
      <c r="DG70" s="15">
        <v>1</v>
      </c>
      <c r="DH70" s="15">
        <v>3</v>
      </c>
      <c r="DI70" s="15"/>
      <c r="DJ70" s="15"/>
      <c r="DK70" s="15" t="s">
        <v>328</v>
      </c>
      <c r="DL70" s="15" t="s">
        <v>328</v>
      </c>
      <c r="DM70" s="15" t="s">
        <v>618</v>
      </c>
      <c r="DN70" s="15"/>
      <c r="DO70" s="15" t="s">
        <v>494</v>
      </c>
      <c r="DP70" s="14" t="s">
        <v>333</v>
      </c>
      <c r="DQ70" s="15"/>
      <c r="DR70" s="15" t="s">
        <v>328</v>
      </c>
      <c r="DS70" s="15" t="s">
        <v>328</v>
      </c>
      <c r="DT70" s="15" t="s">
        <v>420</v>
      </c>
      <c r="DU70" s="15"/>
      <c r="DV70" s="15"/>
      <c r="DW70" s="15" t="s">
        <v>495</v>
      </c>
      <c r="DX70" s="14" t="s">
        <v>411</v>
      </c>
      <c r="DY70" s="15"/>
      <c r="DZ70" s="15" t="s">
        <v>328</v>
      </c>
      <c r="EA70" s="15" t="s">
        <v>328</v>
      </c>
      <c r="EB70" s="15" t="s">
        <v>397</v>
      </c>
      <c r="EC70" s="15"/>
      <c r="ED70" s="15" t="s">
        <v>492</v>
      </c>
      <c r="EE70" s="102" t="s">
        <v>497</v>
      </c>
      <c r="EF70" s="99"/>
      <c r="EG70" s="17">
        <f t="shared" si="0"/>
        <v>0</v>
      </c>
    </row>
    <row r="71" spans="1:137" x14ac:dyDescent="0.25">
      <c r="A71" s="50" t="s">
        <v>1404</v>
      </c>
      <c r="B71" s="208">
        <v>41547</v>
      </c>
      <c r="C71" s="209" t="s">
        <v>2767</v>
      </c>
      <c r="D71" s="63" t="s">
        <v>496</v>
      </c>
      <c r="E71" s="15" t="s">
        <v>328</v>
      </c>
      <c r="F71" s="15"/>
      <c r="G71" s="15">
        <v>47</v>
      </c>
      <c r="H71" s="15" t="s">
        <v>329</v>
      </c>
      <c r="I71" s="15" t="s">
        <v>399</v>
      </c>
      <c r="J71" s="15" t="s">
        <v>769</v>
      </c>
      <c r="K71" s="15" t="s">
        <v>1219</v>
      </c>
      <c r="L71" s="15" t="s">
        <v>1183</v>
      </c>
      <c r="M71" s="15">
        <v>20</v>
      </c>
      <c r="N71" s="15">
        <v>4</v>
      </c>
      <c r="O71" s="15"/>
      <c r="P71" s="15">
        <v>2</v>
      </c>
      <c r="Q71" s="15"/>
      <c r="R71" s="15">
        <v>2</v>
      </c>
      <c r="S71" s="15"/>
      <c r="T71" s="15"/>
      <c r="U71" s="15"/>
      <c r="V71" s="15"/>
      <c r="W71" s="15"/>
      <c r="X71" s="15"/>
      <c r="Y71" s="15"/>
      <c r="Z71" s="15"/>
      <c r="AA71" s="15"/>
      <c r="AB71" s="15" t="s">
        <v>328</v>
      </c>
      <c r="AC71" s="15"/>
      <c r="AD71" s="15"/>
      <c r="AE71" s="15"/>
      <c r="AF71" s="15"/>
      <c r="AG71" s="15"/>
      <c r="AH71" s="15"/>
      <c r="AI71" s="15" t="s">
        <v>328</v>
      </c>
      <c r="AJ71" s="15"/>
      <c r="AK71" s="15"/>
      <c r="AL71" s="15" t="s">
        <v>328</v>
      </c>
      <c r="AM71" s="15"/>
      <c r="AN71" s="14" t="s">
        <v>328</v>
      </c>
      <c r="AO71" s="15"/>
      <c r="AP71" s="15"/>
      <c r="AQ71" s="15"/>
      <c r="AR71" s="15">
        <v>10</v>
      </c>
      <c r="AS71" s="15">
        <v>1</v>
      </c>
      <c r="AT71" s="15"/>
      <c r="AU71" s="15" t="s">
        <v>328</v>
      </c>
      <c r="AV71" s="15"/>
      <c r="AW71" s="15"/>
      <c r="AX71" s="15">
        <v>3</v>
      </c>
      <c r="AY71" s="15">
        <v>4</v>
      </c>
      <c r="AZ71" s="15">
        <v>2</v>
      </c>
      <c r="BA71" s="15" t="s">
        <v>346</v>
      </c>
      <c r="BB71" s="15"/>
      <c r="BC71" s="15" t="s">
        <v>328</v>
      </c>
      <c r="BD71" s="15"/>
      <c r="BE71" s="15"/>
      <c r="BF71" s="15"/>
      <c r="BG71" s="15"/>
      <c r="BH71" s="15"/>
      <c r="BI71" s="15"/>
      <c r="BJ71" s="15"/>
      <c r="BK71" s="15" t="s">
        <v>328</v>
      </c>
      <c r="BL71" s="15"/>
      <c r="BM71" s="15"/>
      <c r="BN71" s="15" t="s">
        <v>328</v>
      </c>
      <c r="BO71" s="15"/>
      <c r="BP71" s="15" t="s">
        <v>328</v>
      </c>
      <c r="BQ71" s="15"/>
      <c r="BR71" s="15" t="s">
        <v>328</v>
      </c>
      <c r="BS71" s="15"/>
      <c r="BT71" s="15"/>
      <c r="BU71" s="15"/>
      <c r="BV71" s="15" t="s">
        <v>328</v>
      </c>
      <c r="BW71" s="15"/>
      <c r="BX71" s="15"/>
      <c r="BY71" s="15"/>
      <c r="BZ71" s="15"/>
      <c r="CA71" s="15"/>
      <c r="CB71" s="15"/>
      <c r="CC71" s="15" t="s">
        <v>328</v>
      </c>
      <c r="CD71" s="15" t="s">
        <v>328</v>
      </c>
      <c r="CE71" s="15"/>
      <c r="CF71" s="15"/>
      <c r="CG71" s="15"/>
      <c r="CH71" s="15"/>
      <c r="CI71" s="15" t="s">
        <v>328</v>
      </c>
      <c r="CJ71" s="15"/>
      <c r="CK71" s="15"/>
      <c r="CL71" s="15"/>
      <c r="CM71" s="15"/>
      <c r="CN71" s="15">
        <v>3</v>
      </c>
      <c r="CO71" s="15">
        <v>2</v>
      </c>
      <c r="CP71" s="15">
        <v>4</v>
      </c>
      <c r="CQ71" s="15">
        <v>6</v>
      </c>
      <c r="CR71" s="15">
        <v>5</v>
      </c>
      <c r="CS71" s="15">
        <v>1</v>
      </c>
      <c r="CT71" s="15" t="s">
        <v>328</v>
      </c>
      <c r="CU71" s="15" t="s">
        <v>328</v>
      </c>
      <c r="CV71" s="15"/>
      <c r="CW71" s="15"/>
      <c r="CX71" s="15" t="s">
        <v>328</v>
      </c>
      <c r="CY71" s="15"/>
      <c r="CZ71" s="15"/>
      <c r="DA71" s="15"/>
      <c r="DB71" s="15"/>
      <c r="DC71" s="15">
        <v>1</v>
      </c>
      <c r="DD71" s="15">
        <v>4</v>
      </c>
      <c r="DE71" s="15">
        <v>5</v>
      </c>
      <c r="DF71" s="15">
        <v>3</v>
      </c>
      <c r="DG71" s="15">
        <v>6</v>
      </c>
      <c r="DH71" s="15">
        <v>2</v>
      </c>
      <c r="DI71" s="15"/>
      <c r="DJ71" s="15"/>
      <c r="DK71" s="15" t="s">
        <v>328</v>
      </c>
      <c r="DL71" s="15" t="s">
        <v>328</v>
      </c>
      <c r="DM71" s="15" t="s">
        <v>405</v>
      </c>
      <c r="DN71" s="15"/>
      <c r="DO71" s="15" t="s">
        <v>492</v>
      </c>
      <c r="DP71" s="14" t="s">
        <v>472</v>
      </c>
      <c r="DQ71" s="15"/>
      <c r="DR71" s="15" t="s">
        <v>328</v>
      </c>
      <c r="DS71" s="15" t="s">
        <v>328</v>
      </c>
      <c r="DT71" s="15" t="s">
        <v>397</v>
      </c>
      <c r="DU71" s="15"/>
      <c r="DV71" s="15"/>
      <c r="DW71" s="15" t="s">
        <v>406</v>
      </c>
      <c r="DX71" s="15" t="s">
        <v>438</v>
      </c>
      <c r="DY71" s="15"/>
      <c r="DZ71" s="15" t="s">
        <v>328</v>
      </c>
      <c r="EA71" s="15" t="s">
        <v>328</v>
      </c>
      <c r="EB71" s="15" t="s">
        <v>406</v>
      </c>
      <c r="EC71" s="15"/>
      <c r="ED71" s="15" t="s">
        <v>492</v>
      </c>
      <c r="EE71" s="102" t="s">
        <v>497</v>
      </c>
      <c r="EF71" s="99"/>
      <c r="EG71" s="17">
        <f t="shared" si="0"/>
        <v>0</v>
      </c>
    </row>
    <row r="72" spans="1:137" x14ac:dyDescent="0.25">
      <c r="A72" s="50" t="s">
        <v>1404</v>
      </c>
      <c r="B72" s="208">
        <v>41547</v>
      </c>
      <c r="C72" s="209" t="s">
        <v>2767</v>
      </c>
      <c r="D72" s="65" t="s">
        <v>499</v>
      </c>
      <c r="E72" s="15" t="s">
        <v>328</v>
      </c>
      <c r="F72" s="15"/>
      <c r="G72" s="15">
        <v>42</v>
      </c>
      <c r="H72" s="15" t="s">
        <v>329</v>
      </c>
      <c r="I72" s="15" t="s">
        <v>357</v>
      </c>
      <c r="J72" s="15" t="s">
        <v>736</v>
      </c>
      <c r="K72" s="18" t="s">
        <v>1220</v>
      </c>
      <c r="L72" s="15" t="s">
        <v>1287</v>
      </c>
      <c r="M72" s="15">
        <v>16</v>
      </c>
      <c r="N72" s="15">
        <v>1</v>
      </c>
      <c r="O72" s="15">
        <v>1</v>
      </c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 t="s">
        <v>328</v>
      </c>
      <c r="AD72" s="15"/>
      <c r="AE72" s="15"/>
      <c r="AF72" s="15"/>
      <c r="AG72" s="15" t="s">
        <v>328</v>
      </c>
      <c r="AH72" s="15"/>
      <c r="AI72" s="15"/>
      <c r="AJ72" s="15"/>
      <c r="AK72" s="15"/>
      <c r="AL72" s="15"/>
      <c r="AM72" s="15" t="s">
        <v>328</v>
      </c>
      <c r="AN72" s="15"/>
      <c r="AO72" s="15"/>
      <c r="AP72" s="15"/>
      <c r="AQ72" s="15" t="s">
        <v>328</v>
      </c>
      <c r="AR72" s="15">
        <v>5</v>
      </c>
      <c r="AS72" s="15">
        <v>8</v>
      </c>
      <c r="AT72" s="15"/>
      <c r="AU72" s="15"/>
      <c r="AV72" s="15"/>
      <c r="AW72" s="15" t="s">
        <v>328</v>
      </c>
      <c r="AX72" s="15">
        <v>3</v>
      </c>
      <c r="AY72" s="15">
        <v>1</v>
      </c>
      <c r="AZ72" s="15">
        <v>2</v>
      </c>
      <c r="BA72" s="15"/>
      <c r="BB72" s="15" t="s">
        <v>328</v>
      </c>
      <c r="BC72" s="15"/>
      <c r="BD72" s="15"/>
      <c r="BE72" s="15"/>
      <c r="BF72" s="15"/>
      <c r="BG72" s="15"/>
      <c r="BH72" s="15"/>
      <c r="BI72" s="15"/>
      <c r="BJ72" s="15"/>
      <c r="BK72" s="15" t="s">
        <v>328</v>
      </c>
      <c r="BL72" s="15"/>
      <c r="BM72" s="15"/>
      <c r="BN72" s="15"/>
      <c r="BO72" s="15" t="s">
        <v>328</v>
      </c>
      <c r="BP72" s="15" t="s">
        <v>328</v>
      </c>
      <c r="BQ72" s="15"/>
      <c r="BR72" s="15"/>
      <c r="BS72" s="15"/>
      <c r="BT72" s="15" t="s">
        <v>328</v>
      </c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 t="s">
        <v>332</v>
      </c>
      <c r="CI72" s="15"/>
      <c r="CJ72" s="15"/>
      <c r="CK72" s="15" t="s">
        <v>328</v>
      </c>
      <c r="CL72" s="15"/>
      <c r="CM72" s="15"/>
      <c r="CN72" s="15">
        <v>4</v>
      </c>
      <c r="CO72" s="15">
        <v>5</v>
      </c>
      <c r="CP72" s="15">
        <v>2</v>
      </c>
      <c r="CQ72" s="15">
        <v>1</v>
      </c>
      <c r="CR72" s="15">
        <v>6</v>
      </c>
      <c r="CS72" s="15">
        <v>3</v>
      </c>
      <c r="CT72" s="15"/>
      <c r="CU72" s="15"/>
      <c r="CV72" s="15"/>
      <c r="CW72" s="15"/>
      <c r="CX72" s="15"/>
      <c r="CY72" s="15"/>
      <c r="CZ72" s="15" t="s">
        <v>332</v>
      </c>
      <c r="DA72" s="15" t="s">
        <v>328</v>
      </c>
      <c r="DB72" s="15" t="s">
        <v>404</v>
      </c>
      <c r="DC72" s="15"/>
      <c r="DD72" s="15"/>
      <c r="DE72" s="15"/>
      <c r="DF72" s="15"/>
      <c r="DG72" s="15"/>
      <c r="DH72" s="15"/>
      <c r="DI72" s="15"/>
      <c r="DJ72" s="15" t="s">
        <v>328</v>
      </c>
      <c r="DK72" s="15"/>
      <c r="DL72" s="15"/>
      <c r="DM72" s="15"/>
      <c r="DN72" s="15"/>
      <c r="DO72" s="15"/>
      <c r="DP72" s="14" t="s">
        <v>333</v>
      </c>
      <c r="DQ72" s="15" t="s">
        <v>328</v>
      </c>
      <c r="DR72" s="15"/>
      <c r="DS72" s="15"/>
      <c r="DT72" s="15"/>
      <c r="DU72" s="15"/>
      <c r="DV72" s="15"/>
      <c r="DW72" s="15"/>
      <c r="DX72" s="15" t="s">
        <v>411</v>
      </c>
      <c r="DY72" s="15" t="s">
        <v>328</v>
      </c>
      <c r="DZ72" s="15"/>
      <c r="EA72" s="15"/>
      <c r="EB72" s="15"/>
      <c r="EC72" s="15"/>
      <c r="ED72" s="15"/>
      <c r="EE72" s="102" t="s">
        <v>450</v>
      </c>
      <c r="EF72" s="99"/>
      <c r="EG72" s="17">
        <f t="shared" ref="EG72:EG135" si="1">IF(AS72=0,IF(AR72&gt;0,"ERR",0),0)</f>
        <v>0</v>
      </c>
    </row>
    <row r="73" spans="1:137" x14ac:dyDescent="0.25">
      <c r="A73" s="50" t="s">
        <v>1404</v>
      </c>
      <c r="B73" s="208">
        <v>41547</v>
      </c>
      <c r="C73" s="209" t="s">
        <v>2767</v>
      </c>
      <c r="D73" s="65" t="s">
        <v>500</v>
      </c>
      <c r="E73" s="15" t="s">
        <v>328</v>
      </c>
      <c r="F73" s="15"/>
      <c r="G73" s="15">
        <v>27</v>
      </c>
      <c r="H73" s="15" t="s">
        <v>329</v>
      </c>
      <c r="I73" s="15" t="s">
        <v>357</v>
      </c>
      <c r="J73" s="15" t="s">
        <v>729</v>
      </c>
      <c r="K73" s="15" t="s">
        <v>1217</v>
      </c>
      <c r="L73" s="15" t="s">
        <v>1280</v>
      </c>
      <c r="M73" s="15">
        <v>4</v>
      </c>
      <c r="N73" s="15">
        <v>1</v>
      </c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>
        <v>1</v>
      </c>
      <c r="AA73" s="15"/>
      <c r="AB73" s="15" t="s">
        <v>328</v>
      </c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 t="s">
        <v>328</v>
      </c>
      <c r="AN73" s="14" t="s">
        <v>328</v>
      </c>
      <c r="AO73" s="15"/>
      <c r="AP73" s="15"/>
      <c r="AQ73" s="15"/>
      <c r="AR73" s="15">
        <v>8</v>
      </c>
      <c r="AS73" s="15">
        <v>6</v>
      </c>
      <c r="AT73" s="15" t="s">
        <v>328</v>
      </c>
      <c r="AU73" s="15"/>
      <c r="AV73" s="15"/>
      <c r="AW73" s="15"/>
      <c r="AX73" s="15">
        <v>2</v>
      </c>
      <c r="AY73" s="15">
        <v>3</v>
      </c>
      <c r="AZ73" s="15">
        <v>1</v>
      </c>
      <c r="BA73" s="15"/>
      <c r="BB73" s="15" t="s">
        <v>328</v>
      </c>
      <c r="BC73" s="15"/>
      <c r="BD73" s="15"/>
      <c r="BE73" s="15"/>
      <c r="BF73" s="15"/>
      <c r="BG73" s="15"/>
      <c r="BH73" s="15"/>
      <c r="BI73" s="15"/>
      <c r="BJ73" s="15"/>
      <c r="BK73" s="15" t="s">
        <v>328</v>
      </c>
      <c r="BL73" s="15"/>
      <c r="BM73" s="15"/>
      <c r="BN73" s="15"/>
      <c r="BO73" s="15" t="s">
        <v>328</v>
      </c>
      <c r="BP73" s="15" t="s">
        <v>328</v>
      </c>
      <c r="BQ73" s="15"/>
      <c r="BR73" s="15"/>
      <c r="BS73" s="15"/>
      <c r="BT73" s="15"/>
      <c r="BU73" s="15"/>
      <c r="BV73" s="15" t="s">
        <v>328</v>
      </c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 t="s">
        <v>332</v>
      </c>
      <c r="CI73" s="15"/>
      <c r="CJ73" s="15"/>
      <c r="CK73" s="15" t="s">
        <v>328</v>
      </c>
      <c r="CL73" s="15"/>
      <c r="CM73" s="15"/>
      <c r="CN73" s="15">
        <v>2</v>
      </c>
      <c r="CO73" s="15">
        <v>1</v>
      </c>
      <c r="CP73" s="15">
        <v>4</v>
      </c>
      <c r="CQ73" s="15">
        <v>5</v>
      </c>
      <c r="CR73" s="15">
        <v>6</v>
      </c>
      <c r="CS73" s="15">
        <v>3</v>
      </c>
      <c r="CT73" s="15"/>
      <c r="CU73" s="15"/>
      <c r="CV73" s="15"/>
      <c r="CW73" s="15"/>
      <c r="CX73" s="15"/>
      <c r="CY73" s="15"/>
      <c r="CZ73" s="15" t="s">
        <v>332</v>
      </c>
      <c r="DA73" s="15" t="s">
        <v>328</v>
      </c>
      <c r="DB73" s="15" t="s">
        <v>404</v>
      </c>
      <c r="DC73" s="15"/>
      <c r="DD73" s="15"/>
      <c r="DE73" s="15"/>
      <c r="DF73" s="15"/>
      <c r="DG73" s="15"/>
      <c r="DH73" s="15"/>
      <c r="DI73" s="15"/>
      <c r="DJ73" s="15" t="s">
        <v>328</v>
      </c>
      <c r="DK73" s="15"/>
      <c r="DL73" s="15"/>
      <c r="DM73" s="15"/>
      <c r="DN73" s="15"/>
      <c r="DO73" s="15"/>
      <c r="DP73" s="14" t="s">
        <v>472</v>
      </c>
      <c r="DQ73" s="15" t="s">
        <v>328</v>
      </c>
      <c r="DR73" s="15"/>
      <c r="DS73" s="15"/>
      <c r="DT73" s="15"/>
      <c r="DU73" s="15"/>
      <c r="DV73" s="15"/>
      <c r="DW73" s="15"/>
      <c r="DX73" s="15" t="s">
        <v>438</v>
      </c>
      <c r="DY73" s="15" t="s">
        <v>328</v>
      </c>
      <c r="DZ73" s="15"/>
      <c r="EA73" s="15"/>
      <c r="EB73" s="15"/>
      <c r="EC73" s="15"/>
      <c r="ED73" s="15"/>
      <c r="EE73" s="102" t="s">
        <v>411</v>
      </c>
      <c r="EF73" s="99"/>
      <c r="EG73" s="17">
        <f t="shared" si="1"/>
        <v>0</v>
      </c>
    </row>
    <row r="74" spans="1:137" x14ac:dyDescent="0.25">
      <c r="A74" s="50" t="s">
        <v>1404</v>
      </c>
      <c r="B74" s="208">
        <v>41547</v>
      </c>
      <c r="C74" s="209" t="s">
        <v>2767</v>
      </c>
      <c r="D74" s="65" t="s">
        <v>501</v>
      </c>
      <c r="E74" s="15" t="s">
        <v>328</v>
      </c>
      <c r="F74" s="15"/>
      <c r="G74" s="15">
        <v>50</v>
      </c>
      <c r="H74" s="15" t="s">
        <v>329</v>
      </c>
      <c r="I74" s="15" t="s">
        <v>1329</v>
      </c>
      <c r="J74" s="15" t="s">
        <v>748</v>
      </c>
      <c r="K74" s="18" t="s">
        <v>1221</v>
      </c>
      <c r="L74" s="15" t="s">
        <v>1280</v>
      </c>
      <c r="M74" s="15">
        <v>30</v>
      </c>
      <c r="N74" s="15">
        <v>1</v>
      </c>
      <c r="O74" s="15">
        <v>1</v>
      </c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 t="s">
        <v>418</v>
      </c>
      <c r="AL74" s="14" t="s">
        <v>328</v>
      </c>
      <c r="AM74" s="15"/>
      <c r="AN74" s="15" t="s">
        <v>328</v>
      </c>
      <c r="AO74" s="15"/>
      <c r="AP74" s="15"/>
      <c r="AQ74" s="15"/>
      <c r="AR74" s="15">
        <v>3</v>
      </c>
      <c r="AS74" s="15">
        <v>2</v>
      </c>
      <c r="AT74" s="15"/>
      <c r="AU74" s="15"/>
      <c r="AV74" s="15" t="s">
        <v>328</v>
      </c>
      <c r="AW74" s="15"/>
      <c r="AX74" s="15">
        <v>3</v>
      </c>
      <c r="AY74" s="15">
        <v>1</v>
      </c>
      <c r="AZ74" s="15">
        <v>2</v>
      </c>
      <c r="BA74" s="15"/>
      <c r="BB74" s="15" t="s">
        <v>328</v>
      </c>
      <c r="BC74" s="15"/>
      <c r="BD74" s="15"/>
      <c r="BE74" s="15"/>
      <c r="BF74" s="15"/>
      <c r="BG74" s="15"/>
      <c r="BH74" s="15"/>
      <c r="BI74" s="15"/>
      <c r="BJ74" s="15"/>
      <c r="BK74" s="15" t="s">
        <v>328</v>
      </c>
      <c r="BL74" s="15"/>
      <c r="BM74" s="15"/>
      <c r="BN74" s="15"/>
      <c r="BO74" s="15" t="s">
        <v>328</v>
      </c>
      <c r="BP74" s="15" t="s">
        <v>328</v>
      </c>
      <c r="BQ74" s="15"/>
      <c r="BR74" s="15"/>
      <c r="BS74" s="15"/>
      <c r="BT74" s="15"/>
      <c r="BU74" s="15"/>
      <c r="BV74" s="15"/>
      <c r="BW74" s="15" t="s">
        <v>328</v>
      </c>
      <c r="BX74" s="15"/>
      <c r="BY74" s="15"/>
      <c r="BZ74" s="15"/>
      <c r="CA74" s="15"/>
      <c r="CB74" s="15"/>
      <c r="CC74" s="15" t="s">
        <v>328</v>
      </c>
      <c r="CD74" s="15"/>
      <c r="CE74" s="15"/>
      <c r="CF74" s="15" t="s">
        <v>328</v>
      </c>
      <c r="CG74" s="15"/>
      <c r="CH74" s="15"/>
      <c r="CI74" s="15" t="s">
        <v>328</v>
      </c>
      <c r="CJ74" s="15" t="s">
        <v>328</v>
      </c>
      <c r="CK74" s="15"/>
      <c r="CL74" s="15"/>
      <c r="CM74" s="15"/>
      <c r="CN74" s="15">
        <v>3</v>
      </c>
      <c r="CO74" s="15">
        <v>4</v>
      </c>
      <c r="CP74" s="15">
        <v>2</v>
      </c>
      <c r="CQ74" s="15">
        <v>6</v>
      </c>
      <c r="CR74" s="15">
        <v>5</v>
      </c>
      <c r="CS74" s="15">
        <v>1</v>
      </c>
      <c r="CT74" s="15" t="s">
        <v>328</v>
      </c>
      <c r="CU74" s="15"/>
      <c r="CV74" s="15"/>
      <c r="CW74" s="15"/>
      <c r="CX74" s="15" t="s">
        <v>328</v>
      </c>
      <c r="CY74" s="15"/>
      <c r="CZ74" s="15"/>
      <c r="DA74" s="15"/>
      <c r="DB74" s="15"/>
      <c r="DC74" s="15">
        <v>2</v>
      </c>
      <c r="DD74" s="15">
        <v>6</v>
      </c>
      <c r="DE74" s="15">
        <v>5</v>
      </c>
      <c r="DF74" s="15">
        <v>4</v>
      </c>
      <c r="DG74" s="15">
        <v>3</v>
      </c>
      <c r="DH74" s="15">
        <v>1</v>
      </c>
      <c r="DI74" s="15"/>
      <c r="DJ74" s="15" t="s">
        <v>328</v>
      </c>
      <c r="DK74" s="15"/>
      <c r="DL74" s="15"/>
      <c r="DM74" s="15"/>
      <c r="DN74" s="15"/>
      <c r="DO74" s="15"/>
      <c r="DP74" s="14" t="s">
        <v>472</v>
      </c>
      <c r="DQ74" s="15"/>
      <c r="DR74" s="15" t="s">
        <v>328</v>
      </c>
      <c r="DS74" s="15" t="s">
        <v>328</v>
      </c>
      <c r="DT74" s="14" t="s">
        <v>618</v>
      </c>
      <c r="DU74" s="15"/>
      <c r="DV74" s="15"/>
      <c r="DW74" s="15" t="s">
        <v>428</v>
      </c>
      <c r="DX74" s="14" t="s">
        <v>411</v>
      </c>
      <c r="DY74" s="15" t="s">
        <v>328</v>
      </c>
      <c r="DZ74" s="15"/>
      <c r="EA74" s="15"/>
      <c r="EB74" s="15"/>
      <c r="EC74" s="15"/>
      <c r="ED74" s="15"/>
      <c r="EE74" s="102" t="s">
        <v>333</v>
      </c>
      <c r="EF74" s="99"/>
      <c r="EG74" s="17">
        <f t="shared" si="1"/>
        <v>0</v>
      </c>
    </row>
    <row r="75" spans="1:137" x14ac:dyDescent="0.25">
      <c r="A75" s="50" t="s">
        <v>1404</v>
      </c>
      <c r="B75" s="208">
        <v>41547</v>
      </c>
      <c r="C75" s="209" t="s">
        <v>2767</v>
      </c>
      <c r="D75" s="65" t="s">
        <v>502</v>
      </c>
      <c r="E75" s="15"/>
      <c r="F75" s="15" t="s">
        <v>328</v>
      </c>
      <c r="G75" s="15">
        <v>57</v>
      </c>
      <c r="H75" s="15" t="s">
        <v>376</v>
      </c>
      <c r="I75" s="15" t="s">
        <v>399</v>
      </c>
      <c r="J75" s="15" t="s">
        <v>752</v>
      </c>
      <c r="K75" s="18" t="s">
        <v>1222</v>
      </c>
      <c r="L75" s="15" t="s">
        <v>1283</v>
      </c>
      <c r="M75" s="15">
        <v>35</v>
      </c>
      <c r="N75" s="15">
        <v>9</v>
      </c>
      <c r="O75" s="15">
        <v>9</v>
      </c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 t="s">
        <v>418</v>
      </c>
      <c r="AL75" s="15" t="s">
        <v>328</v>
      </c>
      <c r="AM75" s="15"/>
      <c r="AN75" s="15"/>
      <c r="AO75" s="15"/>
      <c r="AP75" s="14" t="s">
        <v>328</v>
      </c>
      <c r="AQ75" s="15"/>
      <c r="AR75" s="15">
        <v>2</v>
      </c>
      <c r="AS75" s="15">
        <v>2</v>
      </c>
      <c r="AT75" s="15"/>
      <c r="AU75" s="15" t="s">
        <v>328</v>
      </c>
      <c r="AV75" s="15"/>
      <c r="AW75" s="15"/>
      <c r="AX75" s="15">
        <v>3</v>
      </c>
      <c r="AY75" s="15">
        <v>2</v>
      </c>
      <c r="AZ75" s="15">
        <v>1</v>
      </c>
      <c r="BA75" s="15"/>
      <c r="BB75" s="15"/>
      <c r="BC75" s="15" t="s">
        <v>328</v>
      </c>
      <c r="BD75" s="15"/>
      <c r="BE75" s="15"/>
      <c r="BF75" s="15"/>
      <c r="BG75" s="15"/>
      <c r="BH75" s="15"/>
      <c r="BI75" s="15"/>
      <c r="BJ75" s="15"/>
      <c r="BK75" s="15" t="s">
        <v>328</v>
      </c>
      <c r="BL75" s="15"/>
      <c r="BM75" s="15"/>
      <c r="BN75" s="15" t="s">
        <v>328</v>
      </c>
      <c r="BO75" s="15"/>
      <c r="BP75" s="15" t="s">
        <v>328</v>
      </c>
      <c r="BQ75" s="15"/>
      <c r="BR75" s="15"/>
      <c r="BS75" s="15"/>
      <c r="BT75" s="15"/>
      <c r="BU75" s="15"/>
      <c r="BV75" s="15" t="s">
        <v>328</v>
      </c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 t="s">
        <v>332</v>
      </c>
      <c r="CI75" s="15" t="s">
        <v>328</v>
      </c>
      <c r="CJ75" s="15"/>
      <c r="CK75" s="15"/>
      <c r="CL75" s="15"/>
      <c r="CM75" s="15"/>
      <c r="CN75" s="15">
        <v>3</v>
      </c>
      <c r="CO75" s="15">
        <v>1</v>
      </c>
      <c r="CP75" s="15">
        <v>4</v>
      </c>
      <c r="CQ75" s="15">
        <v>6</v>
      </c>
      <c r="CR75" s="15">
        <v>5</v>
      </c>
      <c r="CS75" s="15">
        <v>2</v>
      </c>
      <c r="CT75" s="15"/>
      <c r="CU75" s="15" t="s">
        <v>328</v>
      </c>
      <c r="CV75" s="15" t="s">
        <v>328</v>
      </c>
      <c r="CW75" s="15" t="s">
        <v>328</v>
      </c>
      <c r="CX75" s="15"/>
      <c r="CY75" s="15" t="s">
        <v>328</v>
      </c>
      <c r="CZ75" s="15"/>
      <c r="DA75" s="15"/>
      <c r="DB75" s="15"/>
      <c r="DC75" s="15">
        <v>5</v>
      </c>
      <c r="DD75" s="15">
        <v>2</v>
      </c>
      <c r="DE75" s="15">
        <v>6</v>
      </c>
      <c r="DF75" s="15">
        <v>3</v>
      </c>
      <c r="DG75" s="15">
        <v>4</v>
      </c>
      <c r="DH75" s="15">
        <v>1</v>
      </c>
      <c r="DI75" s="15"/>
      <c r="DJ75" s="15"/>
      <c r="DK75" s="15" t="s">
        <v>328</v>
      </c>
      <c r="DL75" s="15" t="s">
        <v>328</v>
      </c>
      <c r="DM75" s="15" t="s">
        <v>486</v>
      </c>
      <c r="DN75" s="15"/>
      <c r="DO75" s="15" t="s">
        <v>916</v>
      </c>
      <c r="DP75" s="14" t="s">
        <v>333</v>
      </c>
      <c r="DQ75" s="15"/>
      <c r="DR75" s="15" t="s">
        <v>328</v>
      </c>
      <c r="DS75" s="15" t="s">
        <v>328</v>
      </c>
      <c r="DT75" s="15" t="s">
        <v>397</v>
      </c>
      <c r="DU75" s="15"/>
      <c r="DV75" s="15"/>
      <c r="DW75" s="15" t="s">
        <v>428</v>
      </c>
      <c r="DX75" s="14" t="s">
        <v>411</v>
      </c>
      <c r="DY75" s="15"/>
      <c r="DZ75" s="15" t="s">
        <v>328</v>
      </c>
      <c r="EA75" s="15" t="s">
        <v>328</v>
      </c>
      <c r="EB75" s="15" t="s">
        <v>620</v>
      </c>
      <c r="EC75" s="15"/>
      <c r="ED75" s="15" t="s">
        <v>1175</v>
      </c>
      <c r="EE75" s="102" t="s">
        <v>450</v>
      </c>
      <c r="EF75" s="99"/>
      <c r="EG75" s="17">
        <f t="shared" si="1"/>
        <v>0</v>
      </c>
    </row>
    <row r="76" spans="1:137" s="234" customFormat="1" x14ac:dyDescent="0.25">
      <c r="A76" s="50" t="s">
        <v>1404</v>
      </c>
      <c r="B76" s="208">
        <v>41547</v>
      </c>
      <c r="C76" s="209" t="s">
        <v>2767</v>
      </c>
      <c r="D76" s="61" t="s">
        <v>503</v>
      </c>
      <c r="E76" s="15" t="s">
        <v>328</v>
      </c>
      <c r="F76" s="15"/>
      <c r="G76" s="15">
        <v>60</v>
      </c>
      <c r="H76" s="15" t="s">
        <v>329</v>
      </c>
      <c r="I76" s="15" t="s">
        <v>399</v>
      </c>
      <c r="J76" s="15" t="s">
        <v>733</v>
      </c>
      <c r="K76" s="15" t="s">
        <v>1213</v>
      </c>
      <c r="L76" s="15" t="s">
        <v>1283</v>
      </c>
      <c r="M76" s="15">
        <v>30</v>
      </c>
      <c r="N76" s="15">
        <v>5</v>
      </c>
      <c r="O76" s="15">
        <v>7</v>
      </c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 t="s">
        <v>418</v>
      </c>
      <c r="AL76" s="15" t="s">
        <v>328</v>
      </c>
      <c r="AM76" s="15"/>
      <c r="AN76" s="15"/>
      <c r="AO76" s="15"/>
      <c r="AP76" s="14" t="s">
        <v>328</v>
      </c>
      <c r="AQ76" s="15"/>
      <c r="AR76" s="15">
        <v>6</v>
      </c>
      <c r="AS76" s="15">
        <v>3</v>
      </c>
      <c r="AT76" s="15"/>
      <c r="AU76" s="15" t="s">
        <v>328</v>
      </c>
      <c r="AV76" s="15"/>
      <c r="AW76" s="15"/>
      <c r="AX76" s="15">
        <v>2</v>
      </c>
      <c r="AY76" s="15">
        <v>1</v>
      </c>
      <c r="AZ76" s="15">
        <v>3</v>
      </c>
      <c r="BA76" s="15"/>
      <c r="BB76" s="15"/>
      <c r="BC76" s="15" t="s">
        <v>328</v>
      </c>
      <c r="BD76" s="15"/>
      <c r="BE76" s="15"/>
      <c r="BF76" s="15"/>
      <c r="BG76" s="15"/>
      <c r="BH76" s="15"/>
      <c r="BI76" s="15"/>
      <c r="BJ76" s="15"/>
      <c r="BK76" s="15" t="s">
        <v>328</v>
      </c>
      <c r="BL76" s="15"/>
      <c r="BM76" s="15"/>
      <c r="BN76" s="15" t="s">
        <v>328</v>
      </c>
      <c r="BO76" s="15"/>
      <c r="BP76" s="15" t="s">
        <v>328</v>
      </c>
      <c r="BQ76" s="15"/>
      <c r="BR76" s="15" t="s">
        <v>328</v>
      </c>
      <c r="BS76" s="15"/>
      <c r="BT76" s="15"/>
      <c r="BU76" s="15"/>
      <c r="BV76" s="15" t="s">
        <v>328</v>
      </c>
      <c r="BW76" s="15" t="s">
        <v>328</v>
      </c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 t="s">
        <v>332</v>
      </c>
      <c r="CI76" s="15" t="s">
        <v>328</v>
      </c>
      <c r="CJ76" s="15"/>
      <c r="CK76" s="15"/>
      <c r="CL76" s="15"/>
      <c r="CM76" s="15"/>
      <c r="CN76" s="15">
        <v>5</v>
      </c>
      <c r="CO76" s="15">
        <v>2</v>
      </c>
      <c r="CP76" s="15">
        <v>3</v>
      </c>
      <c r="CQ76" s="15">
        <v>4</v>
      </c>
      <c r="CR76" s="15">
        <v>6</v>
      </c>
      <c r="CS76" s="15">
        <v>1</v>
      </c>
      <c r="CT76" s="15" t="s">
        <v>328</v>
      </c>
      <c r="CU76" s="15" t="s">
        <v>328</v>
      </c>
      <c r="CV76" s="15"/>
      <c r="CW76" s="15"/>
      <c r="CX76" s="15" t="s">
        <v>328</v>
      </c>
      <c r="CY76" s="15" t="s">
        <v>328</v>
      </c>
      <c r="CZ76" s="15"/>
      <c r="DA76" s="15" t="s">
        <v>328</v>
      </c>
      <c r="DB76" s="15" t="s">
        <v>404</v>
      </c>
      <c r="DC76" s="15"/>
      <c r="DD76" s="15"/>
      <c r="DE76" s="15"/>
      <c r="DF76" s="15"/>
      <c r="DG76" s="15"/>
      <c r="DH76" s="15"/>
      <c r="DI76" s="15"/>
      <c r="DJ76" s="15"/>
      <c r="DK76" s="15" t="s">
        <v>328</v>
      </c>
      <c r="DL76" s="15" t="s">
        <v>328</v>
      </c>
      <c r="DM76" s="15" t="s">
        <v>618</v>
      </c>
      <c r="DN76" s="15"/>
      <c r="DO76" s="15" t="s">
        <v>494</v>
      </c>
      <c r="DP76" s="14" t="s">
        <v>472</v>
      </c>
      <c r="DQ76" s="15"/>
      <c r="DR76" s="15" t="s">
        <v>328</v>
      </c>
      <c r="DS76" s="15" t="s">
        <v>328</v>
      </c>
      <c r="DT76" s="15" t="s">
        <v>397</v>
      </c>
      <c r="DU76" s="15"/>
      <c r="DV76" s="15"/>
      <c r="DW76" s="15" t="s">
        <v>410</v>
      </c>
      <c r="DX76" s="14" t="s">
        <v>411</v>
      </c>
      <c r="DY76" s="15"/>
      <c r="DZ76" s="15" t="s">
        <v>328</v>
      </c>
      <c r="EA76" s="15" t="s">
        <v>328</v>
      </c>
      <c r="EB76" s="15" t="s">
        <v>620</v>
      </c>
      <c r="EC76" s="15"/>
      <c r="ED76" s="15" t="s">
        <v>494</v>
      </c>
      <c r="EE76" s="102" t="s">
        <v>450</v>
      </c>
      <c r="EF76" s="99"/>
      <c r="EG76" s="17">
        <f t="shared" si="1"/>
        <v>0</v>
      </c>
    </row>
    <row r="77" spans="1:137" s="234" customFormat="1" x14ac:dyDescent="0.25">
      <c r="A77" s="50" t="s">
        <v>1404</v>
      </c>
      <c r="B77" s="208">
        <v>41548</v>
      </c>
      <c r="C77" s="209" t="s">
        <v>2767</v>
      </c>
      <c r="D77" s="63" t="s">
        <v>505</v>
      </c>
      <c r="E77" s="15" t="s">
        <v>328</v>
      </c>
      <c r="F77" s="15"/>
      <c r="G77" s="15">
        <v>57</v>
      </c>
      <c r="H77" s="15" t="s">
        <v>329</v>
      </c>
      <c r="I77" s="15" t="s">
        <v>357</v>
      </c>
      <c r="J77" s="15" t="s">
        <v>742</v>
      </c>
      <c r="K77" s="18" t="s">
        <v>1223</v>
      </c>
      <c r="L77" s="15" t="s">
        <v>1280</v>
      </c>
      <c r="M77" s="15">
        <v>25</v>
      </c>
      <c r="N77" s="15">
        <v>4</v>
      </c>
      <c r="O77" s="15"/>
      <c r="P77" s="15"/>
      <c r="Q77" s="15"/>
      <c r="R77" s="15">
        <v>4</v>
      </c>
      <c r="S77" s="15"/>
      <c r="T77" s="15"/>
      <c r="U77" s="15"/>
      <c r="V77" s="15"/>
      <c r="W77" s="15"/>
      <c r="X77" s="15"/>
      <c r="Y77" s="15"/>
      <c r="Z77" s="15"/>
      <c r="AA77" s="15"/>
      <c r="AB77" s="15" t="s">
        <v>328</v>
      </c>
      <c r="AC77" s="15"/>
      <c r="AD77" s="15"/>
      <c r="AE77" s="15"/>
      <c r="AF77" s="15"/>
      <c r="AG77" s="15"/>
      <c r="AH77" s="15"/>
      <c r="AI77" s="15" t="s">
        <v>328</v>
      </c>
      <c r="AJ77" s="15"/>
      <c r="AK77" s="15"/>
      <c r="AL77" s="15"/>
      <c r="AM77" s="15" t="s">
        <v>328</v>
      </c>
      <c r="AN77" s="15"/>
      <c r="AO77" s="15"/>
      <c r="AP77" s="15"/>
      <c r="AQ77" s="15" t="s">
        <v>328</v>
      </c>
      <c r="AR77" s="15">
        <v>10</v>
      </c>
      <c r="AS77" s="15">
        <v>8</v>
      </c>
      <c r="AT77" s="15"/>
      <c r="AU77" s="15" t="s">
        <v>328</v>
      </c>
      <c r="AV77" s="15"/>
      <c r="AW77" s="15"/>
      <c r="AX77" s="15">
        <v>2</v>
      </c>
      <c r="AY77" s="15">
        <v>1</v>
      </c>
      <c r="AZ77" s="15">
        <v>3</v>
      </c>
      <c r="BA77" s="15"/>
      <c r="BB77" s="15" t="s">
        <v>328</v>
      </c>
      <c r="BC77" s="15"/>
      <c r="BD77" s="15" t="s">
        <v>328</v>
      </c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 t="s">
        <v>328</v>
      </c>
      <c r="BP77" s="15"/>
      <c r="BQ77" s="15" t="s">
        <v>328</v>
      </c>
      <c r="BR77" s="15"/>
      <c r="BS77" s="15"/>
      <c r="BT77" s="15"/>
      <c r="BU77" s="15"/>
      <c r="BV77" s="15" t="s">
        <v>328</v>
      </c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 t="s">
        <v>332</v>
      </c>
      <c r="CI77" s="15"/>
      <c r="CJ77" s="15"/>
      <c r="CK77" s="15"/>
      <c r="CL77" s="15" t="s">
        <v>328</v>
      </c>
      <c r="CM77" s="15"/>
      <c r="CN77" s="15" t="s">
        <v>405</v>
      </c>
      <c r="CO77" s="15" t="s">
        <v>405</v>
      </c>
      <c r="CP77" s="15" t="s">
        <v>405</v>
      </c>
      <c r="CQ77" s="15" t="s">
        <v>405</v>
      </c>
      <c r="CR77" s="15" t="s">
        <v>405</v>
      </c>
      <c r="CS77" s="15" t="s">
        <v>405</v>
      </c>
      <c r="CT77" s="15" t="s">
        <v>328</v>
      </c>
      <c r="CU77" s="15"/>
      <c r="CV77" s="15"/>
      <c r="CW77" s="15"/>
      <c r="CX77" s="15" t="s">
        <v>328</v>
      </c>
      <c r="CY77" s="15"/>
      <c r="CZ77" s="15"/>
      <c r="DA77" s="15" t="s">
        <v>328</v>
      </c>
      <c r="DB77" s="15" t="s">
        <v>404</v>
      </c>
      <c r="DC77" s="15"/>
      <c r="DD77" s="15"/>
      <c r="DE77" s="15"/>
      <c r="DF77" s="15"/>
      <c r="DG77" s="15"/>
      <c r="DH77" s="15"/>
      <c r="DI77" s="15"/>
      <c r="DJ77" s="15" t="s">
        <v>328</v>
      </c>
      <c r="DK77" s="15"/>
      <c r="DL77" s="15"/>
      <c r="DM77" s="15"/>
      <c r="DN77" s="15"/>
      <c r="DO77" s="15"/>
      <c r="DP77" s="14" t="s">
        <v>333</v>
      </c>
      <c r="DQ77" s="15" t="s">
        <v>328</v>
      </c>
      <c r="DR77" s="15"/>
      <c r="DS77" s="15"/>
      <c r="DT77" s="15"/>
      <c r="DU77" s="15"/>
      <c r="DV77" s="15"/>
      <c r="DW77" s="15"/>
      <c r="DX77" s="15" t="s">
        <v>438</v>
      </c>
      <c r="DY77" s="15" t="s">
        <v>328</v>
      </c>
      <c r="DZ77" s="15"/>
      <c r="EA77" s="15"/>
      <c r="EB77" s="15"/>
      <c r="EC77" s="15"/>
      <c r="ED77" s="15"/>
      <c r="EE77" s="102" t="s">
        <v>450</v>
      </c>
      <c r="EF77" s="99"/>
      <c r="EG77" s="17">
        <f t="shared" si="1"/>
        <v>0</v>
      </c>
    </row>
    <row r="78" spans="1:137" x14ac:dyDescent="0.25">
      <c r="A78" s="50" t="s">
        <v>1404</v>
      </c>
      <c r="B78" s="208">
        <v>41548</v>
      </c>
      <c r="C78" s="209" t="s">
        <v>2767</v>
      </c>
      <c r="D78" s="61" t="s">
        <v>506</v>
      </c>
      <c r="E78" s="14" t="s">
        <v>328</v>
      </c>
      <c r="F78" s="14"/>
      <c r="G78" s="14">
        <v>52</v>
      </c>
      <c r="H78" s="14" t="s">
        <v>329</v>
      </c>
      <c r="I78" s="14" t="s">
        <v>330</v>
      </c>
      <c r="J78" s="14" t="s">
        <v>1176</v>
      </c>
      <c r="K78" s="8" t="s">
        <v>1224</v>
      </c>
      <c r="L78" s="14" t="s">
        <v>1188</v>
      </c>
      <c r="M78" s="14">
        <v>20</v>
      </c>
      <c r="N78" s="14">
        <v>1</v>
      </c>
      <c r="O78" s="14">
        <v>4</v>
      </c>
      <c r="P78" s="14"/>
      <c r="Q78" s="14">
        <v>4</v>
      </c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 t="s">
        <v>418</v>
      </c>
      <c r="AL78" s="14"/>
      <c r="AM78" s="14" t="s">
        <v>328</v>
      </c>
      <c r="AN78" s="14"/>
      <c r="AO78" s="14"/>
      <c r="AP78" s="14"/>
      <c r="AQ78" s="14" t="s">
        <v>328</v>
      </c>
      <c r="AR78" s="14">
        <v>6</v>
      </c>
      <c r="AS78" s="14">
        <v>9</v>
      </c>
      <c r="AT78" s="14"/>
      <c r="AU78" s="14" t="s">
        <v>328</v>
      </c>
      <c r="AV78" s="14" t="s">
        <v>328</v>
      </c>
      <c r="AW78" s="14"/>
      <c r="AX78" s="14">
        <v>1</v>
      </c>
      <c r="AY78" s="14">
        <v>2</v>
      </c>
      <c r="AZ78" s="14">
        <v>3</v>
      </c>
      <c r="BA78" s="14"/>
      <c r="BB78" s="14"/>
      <c r="BC78" s="14" t="s">
        <v>328</v>
      </c>
      <c r="BD78" s="14" t="s">
        <v>328</v>
      </c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 t="s">
        <v>328</v>
      </c>
      <c r="BP78" s="14"/>
      <c r="BQ78" s="14" t="s">
        <v>328</v>
      </c>
      <c r="BR78" s="14"/>
      <c r="BS78" s="14"/>
      <c r="BT78" s="14"/>
      <c r="BU78" s="14"/>
      <c r="BV78" s="14" t="s">
        <v>328</v>
      </c>
      <c r="BW78" s="14"/>
      <c r="BX78" s="14"/>
      <c r="BY78" s="14"/>
      <c r="BZ78" s="14"/>
      <c r="CA78" s="14"/>
      <c r="CB78" s="14"/>
      <c r="CC78" s="14" t="s">
        <v>328</v>
      </c>
      <c r="CD78" s="14"/>
      <c r="CE78" s="14"/>
      <c r="CF78" s="14"/>
      <c r="CG78" s="14"/>
      <c r="CH78" s="14"/>
      <c r="CI78" s="14"/>
      <c r="CJ78" s="14"/>
      <c r="CK78" s="14"/>
      <c r="CL78" s="14" t="s">
        <v>328</v>
      </c>
      <c r="CM78" s="14"/>
      <c r="CN78" s="15" t="s">
        <v>405</v>
      </c>
      <c r="CO78" s="15" t="s">
        <v>405</v>
      </c>
      <c r="CP78" s="15" t="s">
        <v>405</v>
      </c>
      <c r="CQ78" s="15" t="s">
        <v>405</v>
      </c>
      <c r="CR78" s="15" t="s">
        <v>405</v>
      </c>
      <c r="CS78" s="15" t="s">
        <v>405</v>
      </c>
      <c r="CT78" s="14" t="s">
        <v>328</v>
      </c>
      <c r="CU78" s="14"/>
      <c r="CV78" s="14"/>
      <c r="CW78" s="14"/>
      <c r="CX78" s="14" t="s">
        <v>328</v>
      </c>
      <c r="CY78" s="14"/>
      <c r="CZ78" s="14"/>
      <c r="DA78" s="14"/>
      <c r="DB78" s="14"/>
      <c r="DC78" s="14">
        <v>2</v>
      </c>
      <c r="DD78" s="14">
        <v>3</v>
      </c>
      <c r="DE78" s="14">
        <v>6</v>
      </c>
      <c r="DF78" s="14">
        <v>5</v>
      </c>
      <c r="DG78" s="14">
        <v>1</v>
      </c>
      <c r="DH78" s="14">
        <v>4</v>
      </c>
      <c r="DI78" s="14"/>
      <c r="DJ78" s="14" t="s">
        <v>328</v>
      </c>
      <c r="DK78" s="14"/>
      <c r="DL78" s="14"/>
      <c r="DM78" s="14"/>
      <c r="DN78" s="14"/>
      <c r="DO78" s="14"/>
      <c r="DP78" s="14" t="s">
        <v>1145</v>
      </c>
      <c r="DQ78" s="14" t="s">
        <v>328</v>
      </c>
      <c r="DR78" s="14"/>
      <c r="DS78" s="14"/>
      <c r="DT78" s="14"/>
      <c r="DU78" s="14"/>
      <c r="DV78" s="14"/>
      <c r="DW78" s="14"/>
      <c r="DX78" s="14" t="s">
        <v>1145</v>
      </c>
      <c r="DY78" s="14" t="s">
        <v>328</v>
      </c>
      <c r="DZ78" s="14"/>
      <c r="EA78" s="14"/>
      <c r="EB78" s="14"/>
      <c r="EC78" s="14"/>
      <c r="ED78" s="14"/>
      <c r="EE78" s="101" t="s">
        <v>1145</v>
      </c>
      <c r="EF78" s="99"/>
      <c r="EG78" s="17">
        <f t="shared" si="1"/>
        <v>0</v>
      </c>
    </row>
    <row r="79" spans="1:137" x14ac:dyDescent="0.25">
      <c r="A79" s="50" t="s">
        <v>1404</v>
      </c>
      <c r="B79" s="208">
        <v>41548</v>
      </c>
      <c r="C79" s="209" t="s">
        <v>2767</v>
      </c>
      <c r="D79" s="61" t="s">
        <v>507</v>
      </c>
      <c r="E79" s="14" t="s">
        <v>328</v>
      </c>
      <c r="F79" s="14"/>
      <c r="G79" s="14">
        <v>47</v>
      </c>
      <c r="H79" s="14" t="s">
        <v>329</v>
      </c>
      <c r="I79" s="14" t="s">
        <v>330</v>
      </c>
      <c r="J79" s="14" t="s">
        <v>730</v>
      </c>
      <c r="K79" s="8" t="s">
        <v>1225</v>
      </c>
      <c r="L79" s="14" t="s">
        <v>1280</v>
      </c>
      <c r="M79" s="14">
        <v>22</v>
      </c>
      <c r="N79" s="14">
        <v>1</v>
      </c>
      <c r="O79" s="14">
        <v>7</v>
      </c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 t="s">
        <v>418</v>
      </c>
      <c r="AL79" s="14"/>
      <c r="AM79" s="14" t="s">
        <v>328</v>
      </c>
      <c r="AN79" s="14"/>
      <c r="AO79" s="14"/>
      <c r="AP79" s="14" t="s">
        <v>328</v>
      </c>
      <c r="AQ79" s="14"/>
      <c r="AR79" s="14">
        <v>5</v>
      </c>
      <c r="AS79" s="14">
        <v>4</v>
      </c>
      <c r="AT79" s="14"/>
      <c r="AU79" s="14" t="s">
        <v>328</v>
      </c>
      <c r="AV79" s="14"/>
      <c r="AW79" s="14"/>
      <c r="AX79" s="14">
        <v>2</v>
      </c>
      <c r="AY79" s="14">
        <v>3</v>
      </c>
      <c r="AZ79" s="14">
        <v>4</v>
      </c>
      <c r="BA79" s="14" t="s">
        <v>346</v>
      </c>
      <c r="BB79" s="14"/>
      <c r="BC79" s="14" t="s">
        <v>328</v>
      </c>
      <c r="BD79" s="14" t="s">
        <v>328</v>
      </c>
      <c r="BE79" s="14" t="s">
        <v>328</v>
      </c>
      <c r="BF79" s="14"/>
      <c r="BG79" s="14"/>
      <c r="BH79" s="14"/>
      <c r="BI79" s="14"/>
      <c r="BJ79" s="14"/>
      <c r="BK79" s="14"/>
      <c r="BL79" s="14"/>
      <c r="BM79" s="14"/>
      <c r="BN79" s="14" t="s">
        <v>328</v>
      </c>
      <c r="BO79" s="14"/>
      <c r="BP79" s="14" t="s">
        <v>328</v>
      </c>
      <c r="BQ79" s="14"/>
      <c r="BR79" s="14"/>
      <c r="BS79" s="14"/>
      <c r="BT79" s="14"/>
      <c r="BU79" s="14"/>
      <c r="BV79" s="14"/>
      <c r="BW79" s="14" t="s">
        <v>328</v>
      </c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 t="s">
        <v>332</v>
      </c>
      <c r="CI79" s="14" t="s">
        <v>328</v>
      </c>
      <c r="CJ79" s="14"/>
      <c r="CK79" s="14" t="s">
        <v>328</v>
      </c>
      <c r="CL79" s="14"/>
      <c r="CM79" s="14"/>
      <c r="CN79" s="14">
        <v>2</v>
      </c>
      <c r="CO79" s="14">
        <v>3</v>
      </c>
      <c r="CP79" s="14">
        <v>4</v>
      </c>
      <c r="CQ79" s="14">
        <v>6</v>
      </c>
      <c r="CR79" s="14">
        <v>5</v>
      </c>
      <c r="CS79" s="14">
        <v>1</v>
      </c>
      <c r="CT79" s="14"/>
      <c r="CU79" s="14" t="s">
        <v>328</v>
      </c>
      <c r="CV79" s="14"/>
      <c r="CW79" s="14"/>
      <c r="CX79" s="14" t="s">
        <v>328</v>
      </c>
      <c r="CY79" s="14"/>
      <c r="CZ79" s="14"/>
      <c r="DA79" s="14"/>
      <c r="DB79" s="14"/>
      <c r="DC79" s="14">
        <v>1</v>
      </c>
      <c r="DD79" s="14">
        <v>2</v>
      </c>
      <c r="DE79" s="14">
        <v>6</v>
      </c>
      <c r="DF79" s="14">
        <v>5</v>
      </c>
      <c r="DG79" s="14">
        <v>4</v>
      </c>
      <c r="DH79" s="14">
        <v>3</v>
      </c>
      <c r="DI79" s="14"/>
      <c r="DJ79" s="14" t="s">
        <v>328</v>
      </c>
      <c r="DK79" s="14"/>
      <c r="DL79" s="14"/>
      <c r="DM79" s="14"/>
      <c r="DN79" s="14"/>
      <c r="DO79" s="14"/>
      <c r="DP79" s="14" t="s">
        <v>1146</v>
      </c>
      <c r="DQ79" s="14" t="s">
        <v>328</v>
      </c>
      <c r="DR79" s="14"/>
      <c r="DS79" s="14"/>
      <c r="DT79" s="14"/>
      <c r="DU79" s="14"/>
      <c r="DV79" s="14"/>
      <c r="DW79" s="14"/>
      <c r="DX79" s="14" t="s">
        <v>1152</v>
      </c>
      <c r="DY79" s="14" t="s">
        <v>328</v>
      </c>
      <c r="DZ79" s="14"/>
      <c r="EA79" s="14"/>
      <c r="EB79" s="14"/>
      <c r="EC79" s="14"/>
      <c r="ED79" s="14"/>
      <c r="EE79" s="101" t="s">
        <v>1152</v>
      </c>
      <c r="EF79" s="99"/>
      <c r="EG79" s="17">
        <f t="shared" si="1"/>
        <v>0</v>
      </c>
    </row>
    <row r="80" spans="1:137" x14ac:dyDescent="0.25">
      <c r="A80" s="50" t="s">
        <v>1404</v>
      </c>
      <c r="B80" s="208">
        <v>41548</v>
      </c>
      <c r="C80" s="209" t="s">
        <v>2767</v>
      </c>
      <c r="D80" s="61" t="s">
        <v>508</v>
      </c>
      <c r="E80" s="14" t="s">
        <v>328</v>
      </c>
      <c r="F80" s="14"/>
      <c r="G80" s="14">
        <v>62</v>
      </c>
      <c r="H80" s="14" t="s">
        <v>329</v>
      </c>
      <c r="I80" s="14" t="s">
        <v>357</v>
      </c>
      <c r="J80" s="14" t="s">
        <v>725</v>
      </c>
      <c r="K80" s="8" t="s">
        <v>1226</v>
      </c>
      <c r="L80" s="14" t="s">
        <v>1283</v>
      </c>
      <c r="M80" s="14">
        <v>30</v>
      </c>
      <c r="N80" s="14">
        <v>1</v>
      </c>
      <c r="O80" s="14">
        <v>10</v>
      </c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 t="s">
        <v>418</v>
      </c>
      <c r="AL80" s="14"/>
      <c r="AM80" s="14" t="s">
        <v>328</v>
      </c>
      <c r="AN80" s="14"/>
      <c r="AO80" s="14" t="s">
        <v>328</v>
      </c>
      <c r="AP80" s="14"/>
      <c r="AQ80" s="14"/>
      <c r="AR80" s="14">
        <v>1</v>
      </c>
      <c r="AS80" s="14">
        <v>4</v>
      </c>
      <c r="AT80" s="14"/>
      <c r="AU80" s="14"/>
      <c r="AV80" s="14" t="s">
        <v>328</v>
      </c>
      <c r="AW80" s="14"/>
      <c r="AX80" s="14">
        <v>1</v>
      </c>
      <c r="AY80" s="14">
        <v>3</v>
      </c>
      <c r="AZ80" s="14">
        <v>2</v>
      </c>
      <c r="BA80" s="14"/>
      <c r="BB80" s="14" t="s">
        <v>328</v>
      </c>
      <c r="BC80" s="14"/>
      <c r="BD80" s="14"/>
      <c r="BE80" s="14"/>
      <c r="BF80" s="14"/>
      <c r="BG80" s="14"/>
      <c r="BH80" s="14"/>
      <c r="BI80" s="14"/>
      <c r="BJ80" s="14"/>
      <c r="BK80" s="14" t="s">
        <v>328</v>
      </c>
      <c r="BL80" s="14"/>
      <c r="BM80" s="14"/>
      <c r="BN80" s="14"/>
      <c r="BO80" s="14" t="s">
        <v>328</v>
      </c>
      <c r="BP80" s="14"/>
      <c r="BQ80" s="14" t="s">
        <v>328</v>
      </c>
      <c r="BR80" s="14"/>
      <c r="BS80" s="14"/>
      <c r="BT80" s="14"/>
      <c r="BU80" s="14"/>
      <c r="BV80" s="14"/>
      <c r="BW80" s="14"/>
      <c r="BX80" s="14" t="s">
        <v>409</v>
      </c>
      <c r="BY80" s="14"/>
      <c r="BZ80" s="14"/>
      <c r="CA80" s="14"/>
      <c r="CB80" s="14"/>
      <c r="CC80" s="14"/>
      <c r="CD80" s="14"/>
      <c r="CE80" s="14"/>
      <c r="CF80" s="14"/>
      <c r="CG80" s="14"/>
      <c r="CH80" s="14" t="s">
        <v>332</v>
      </c>
      <c r="CI80" s="14" t="s">
        <v>328</v>
      </c>
      <c r="CJ80" s="14"/>
      <c r="CK80" s="14"/>
      <c r="CL80" s="14"/>
      <c r="CM80" s="14"/>
      <c r="CN80" s="14">
        <v>4</v>
      </c>
      <c r="CO80" s="14">
        <v>1</v>
      </c>
      <c r="CP80" s="14">
        <v>3</v>
      </c>
      <c r="CQ80" s="14">
        <v>5</v>
      </c>
      <c r="CR80" s="14">
        <v>6</v>
      </c>
      <c r="CS80" s="14">
        <v>2</v>
      </c>
      <c r="CT80" s="14"/>
      <c r="CU80" s="14"/>
      <c r="CV80" s="14"/>
      <c r="CW80" s="14"/>
      <c r="CX80" s="14"/>
      <c r="CY80" s="14"/>
      <c r="CZ80" s="14" t="s">
        <v>332</v>
      </c>
      <c r="DA80" s="14"/>
      <c r="DB80" s="14"/>
      <c r="DC80" s="14">
        <v>3</v>
      </c>
      <c r="DD80" s="14">
        <v>1</v>
      </c>
      <c r="DE80" s="14">
        <v>2</v>
      </c>
      <c r="DF80" s="14">
        <v>6</v>
      </c>
      <c r="DG80" s="14">
        <v>5</v>
      </c>
      <c r="DH80" s="14">
        <v>4</v>
      </c>
      <c r="DI80" s="14"/>
      <c r="DJ80" s="14" t="s">
        <v>328</v>
      </c>
      <c r="DK80" s="14"/>
      <c r="DL80" s="14"/>
      <c r="DM80" s="14"/>
      <c r="DN80" s="14"/>
      <c r="DO80" s="14"/>
      <c r="DP80" s="14" t="s">
        <v>333</v>
      </c>
      <c r="DQ80" s="14"/>
      <c r="DR80" s="14" t="s">
        <v>328</v>
      </c>
      <c r="DS80" s="14" t="s">
        <v>328</v>
      </c>
      <c r="DT80" s="14" t="s">
        <v>354</v>
      </c>
      <c r="DU80" s="14"/>
      <c r="DV80" s="14"/>
      <c r="DW80" s="15" t="s">
        <v>410</v>
      </c>
      <c r="DX80" s="14" t="s">
        <v>411</v>
      </c>
      <c r="DY80" s="14" t="s">
        <v>328</v>
      </c>
      <c r="DZ80" s="14"/>
      <c r="EA80" s="14"/>
      <c r="EB80" s="14"/>
      <c r="EC80" s="14"/>
      <c r="ED80" s="14"/>
      <c r="EE80" s="101" t="s">
        <v>560</v>
      </c>
      <c r="EF80" s="99"/>
      <c r="EG80" s="17">
        <f t="shared" si="1"/>
        <v>0</v>
      </c>
    </row>
    <row r="81" spans="1:137" x14ac:dyDescent="0.25">
      <c r="A81" s="50" t="s">
        <v>1404</v>
      </c>
      <c r="B81" s="208">
        <v>41548</v>
      </c>
      <c r="C81" s="209" t="s">
        <v>2767</v>
      </c>
      <c r="D81" s="61" t="s">
        <v>509</v>
      </c>
      <c r="E81" s="14" t="s">
        <v>328</v>
      </c>
      <c r="F81" s="14"/>
      <c r="G81" s="14">
        <v>40</v>
      </c>
      <c r="H81" s="14" t="s">
        <v>329</v>
      </c>
      <c r="I81" s="14" t="s">
        <v>357</v>
      </c>
      <c r="J81" s="14" t="s">
        <v>751</v>
      </c>
      <c r="K81" s="8" t="s">
        <v>1227</v>
      </c>
      <c r="L81" s="14" t="s">
        <v>1183</v>
      </c>
      <c r="M81" s="14">
        <v>15</v>
      </c>
      <c r="N81" s="14">
        <v>2</v>
      </c>
      <c r="O81" s="14">
        <v>2</v>
      </c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 t="s">
        <v>418</v>
      </c>
      <c r="AL81" s="14"/>
      <c r="AM81" s="14" t="s">
        <v>328</v>
      </c>
      <c r="AN81" s="14"/>
      <c r="AO81" s="14" t="s">
        <v>328</v>
      </c>
      <c r="AP81" s="14"/>
      <c r="AQ81" s="14"/>
      <c r="AR81" s="14">
        <v>5</v>
      </c>
      <c r="AS81" s="14">
        <v>6</v>
      </c>
      <c r="AT81" s="14"/>
      <c r="AU81" s="14"/>
      <c r="AV81" s="14" t="s">
        <v>328</v>
      </c>
      <c r="AW81" s="14"/>
      <c r="AX81" s="14">
        <v>1</v>
      </c>
      <c r="AY81" s="14">
        <v>3</v>
      </c>
      <c r="AZ81" s="14">
        <v>2</v>
      </c>
      <c r="BA81" s="14"/>
      <c r="BB81" s="14" t="s">
        <v>328</v>
      </c>
      <c r="BC81" s="14"/>
      <c r="BD81" s="14"/>
      <c r="BE81" s="14"/>
      <c r="BF81" s="14"/>
      <c r="BG81" s="14"/>
      <c r="BH81" s="14"/>
      <c r="BI81" s="14"/>
      <c r="BJ81" s="14"/>
      <c r="BK81" s="14" t="s">
        <v>328</v>
      </c>
      <c r="BL81" s="14"/>
      <c r="BM81" s="14"/>
      <c r="BN81" s="14"/>
      <c r="BO81" s="14" t="s">
        <v>328</v>
      </c>
      <c r="BP81" s="14" t="s">
        <v>328</v>
      </c>
      <c r="BQ81" s="14"/>
      <c r="BR81" s="14"/>
      <c r="BS81" s="14"/>
      <c r="BT81" s="14"/>
      <c r="BU81" s="14"/>
      <c r="BV81" s="14"/>
      <c r="BW81" s="14" t="s">
        <v>328</v>
      </c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 t="s">
        <v>332</v>
      </c>
      <c r="CI81" s="14" t="s">
        <v>328</v>
      </c>
      <c r="CJ81" s="14"/>
      <c r="CK81" s="14"/>
      <c r="CL81" s="14"/>
      <c r="CM81" s="14"/>
      <c r="CN81" s="14">
        <v>2</v>
      </c>
      <c r="CO81" s="14">
        <v>4</v>
      </c>
      <c r="CP81" s="14">
        <v>1</v>
      </c>
      <c r="CQ81" s="14">
        <v>6</v>
      </c>
      <c r="CR81" s="14">
        <v>5</v>
      </c>
      <c r="CS81" s="14">
        <v>3</v>
      </c>
      <c r="CT81" s="14"/>
      <c r="CU81" s="14"/>
      <c r="CV81" s="14"/>
      <c r="CW81" s="14"/>
      <c r="CX81" s="14"/>
      <c r="CY81" s="14"/>
      <c r="CZ81" s="14" t="s">
        <v>332</v>
      </c>
      <c r="DA81" s="14" t="s">
        <v>328</v>
      </c>
      <c r="DB81" s="14" t="s">
        <v>404</v>
      </c>
      <c r="DC81" s="14"/>
      <c r="DD81" s="14"/>
      <c r="DE81" s="14"/>
      <c r="DF81" s="14"/>
      <c r="DG81" s="14"/>
      <c r="DH81" s="14"/>
      <c r="DI81" s="14"/>
      <c r="DJ81" s="14" t="s">
        <v>328</v>
      </c>
      <c r="DK81" s="14"/>
      <c r="DL81" s="14"/>
      <c r="DM81" s="14"/>
      <c r="DN81" s="14"/>
      <c r="DO81" s="14"/>
      <c r="DP81" s="14" t="s">
        <v>1145</v>
      </c>
      <c r="DQ81" s="14"/>
      <c r="DR81" s="14" t="s">
        <v>328</v>
      </c>
      <c r="DS81" s="14" t="s">
        <v>328</v>
      </c>
      <c r="DT81" s="15" t="s">
        <v>437</v>
      </c>
      <c r="DU81" s="14"/>
      <c r="DV81" s="14"/>
      <c r="DW81" s="15" t="s">
        <v>410</v>
      </c>
      <c r="DX81" s="15" t="s">
        <v>438</v>
      </c>
      <c r="DY81" s="14" t="s">
        <v>328</v>
      </c>
      <c r="DZ81" s="14"/>
      <c r="EA81" s="14"/>
      <c r="EB81" s="14"/>
      <c r="EC81" s="14"/>
      <c r="ED81" s="14"/>
      <c r="EE81" s="101" t="s">
        <v>1146</v>
      </c>
      <c r="EF81" s="99"/>
      <c r="EG81" s="17">
        <f t="shared" si="1"/>
        <v>0</v>
      </c>
    </row>
    <row r="82" spans="1:137" x14ac:dyDescent="0.25">
      <c r="A82" s="50" t="s">
        <v>1404</v>
      </c>
      <c r="B82" s="208">
        <v>41548</v>
      </c>
      <c r="C82" s="209" t="s">
        <v>2767</v>
      </c>
      <c r="D82" s="61" t="s">
        <v>510</v>
      </c>
      <c r="E82" s="14" t="s">
        <v>328</v>
      </c>
      <c r="F82" s="14"/>
      <c r="G82" s="14">
        <v>50</v>
      </c>
      <c r="H82" s="14" t="s">
        <v>329</v>
      </c>
      <c r="I82" s="14" t="s">
        <v>399</v>
      </c>
      <c r="J82" s="14" t="s">
        <v>770</v>
      </c>
      <c r="K82" s="8" t="s">
        <v>1228</v>
      </c>
      <c r="L82" s="14" t="s">
        <v>1280</v>
      </c>
      <c r="M82" s="14">
        <v>30</v>
      </c>
      <c r="N82" s="14">
        <v>2</v>
      </c>
      <c r="O82" s="14">
        <v>7</v>
      </c>
      <c r="P82" s="14"/>
      <c r="Q82" s="14"/>
      <c r="R82" s="14">
        <v>4</v>
      </c>
      <c r="S82" s="14"/>
      <c r="T82" s="14"/>
      <c r="U82" s="14"/>
      <c r="V82" s="14"/>
      <c r="W82" s="14"/>
      <c r="X82" s="14"/>
      <c r="Y82" s="14"/>
      <c r="Z82" s="14"/>
      <c r="AA82" s="14"/>
      <c r="AB82" s="14" t="s">
        <v>328</v>
      </c>
      <c r="AC82" s="14" t="s">
        <v>328</v>
      </c>
      <c r="AD82" s="14"/>
      <c r="AE82" s="14"/>
      <c r="AF82" s="14"/>
      <c r="AG82" s="14"/>
      <c r="AH82" s="14"/>
      <c r="AI82" s="14"/>
      <c r="AJ82" s="14"/>
      <c r="AK82" s="14"/>
      <c r="AL82" s="14" t="s">
        <v>328</v>
      </c>
      <c r="AM82" s="14"/>
      <c r="AN82" s="14"/>
      <c r="AO82" s="14"/>
      <c r="AP82" s="14"/>
      <c r="AQ82" s="14" t="s">
        <v>328</v>
      </c>
      <c r="AR82" s="14">
        <v>1</v>
      </c>
      <c r="AS82" s="14">
        <v>8</v>
      </c>
      <c r="AT82" s="14"/>
      <c r="AU82" s="14" t="s">
        <v>328</v>
      </c>
      <c r="AV82" s="14" t="s">
        <v>328</v>
      </c>
      <c r="AW82" s="14"/>
      <c r="AX82" s="14">
        <v>3</v>
      </c>
      <c r="AY82" s="14">
        <v>4</v>
      </c>
      <c r="AZ82" s="14">
        <v>2</v>
      </c>
      <c r="BA82" s="14" t="s">
        <v>346</v>
      </c>
      <c r="BB82" s="14"/>
      <c r="BC82" s="14" t="s">
        <v>328</v>
      </c>
      <c r="BD82" s="14"/>
      <c r="BE82" s="14"/>
      <c r="BF82" s="14"/>
      <c r="BG82" s="14"/>
      <c r="BH82" s="14"/>
      <c r="BI82" s="14"/>
      <c r="BJ82" s="14"/>
      <c r="BK82" s="14" t="s">
        <v>328</v>
      </c>
      <c r="BL82" s="14"/>
      <c r="BM82" s="14"/>
      <c r="BN82" s="14" t="s">
        <v>328</v>
      </c>
      <c r="BO82" s="14"/>
      <c r="BP82" s="14" t="s">
        <v>328</v>
      </c>
      <c r="BQ82" s="14"/>
      <c r="BR82" s="14" t="s">
        <v>328</v>
      </c>
      <c r="BS82" s="14" t="s">
        <v>328</v>
      </c>
      <c r="BT82" s="14"/>
      <c r="BU82" s="14"/>
      <c r="BV82" s="14"/>
      <c r="BW82" s="14"/>
      <c r="BX82" s="14"/>
      <c r="BY82" s="14"/>
      <c r="BZ82" s="14"/>
      <c r="CA82" s="14"/>
      <c r="CB82" s="14" t="s">
        <v>328</v>
      </c>
      <c r="CC82" s="14" t="s">
        <v>328</v>
      </c>
      <c r="CD82" s="14" t="s">
        <v>328</v>
      </c>
      <c r="CE82" s="14"/>
      <c r="CF82" s="14"/>
      <c r="CG82" s="14"/>
      <c r="CH82" s="14"/>
      <c r="CI82" s="14" t="s">
        <v>328</v>
      </c>
      <c r="CJ82" s="14"/>
      <c r="CK82" s="14"/>
      <c r="CL82" s="14"/>
      <c r="CM82" s="14" t="s">
        <v>328</v>
      </c>
      <c r="CN82" s="14">
        <v>5</v>
      </c>
      <c r="CO82" s="14">
        <v>3</v>
      </c>
      <c r="CP82" s="14">
        <v>6</v>
      </c>
      <c r="CQ82" s="14">
        <v>2</v>
      </c>
      <c r="CR82" s="14">
        <v>4</v>
      </c>
      <c r="CS82" s="14">
        <v>1</v>
      </c>
      <c r="CT82" s="14" t="s">
        <v>328</v>
      </c>
      <c r="CU82" s="14"/>
      <c r="CV82" s="14" t="s">
        <v>328</v>
      </c>
      <c r="CW82" s="14"/>
      <c r="CX82" s="14" t="s">
        <v>328</v>
      </c>
      <c r="CY82" s="14"/>
      <c r="CZ82" s="14"/>
      <c r="DA82" s="14" t="s">
        <v>328</v>
      </c>
      <c r="DB82" s="14" t="s">
        <v>404</v>
      </c>
      <c r="DC82" s="14"/>
      <c r="DD82" s="14"/>
      <c r="DE82" s="14"/>
      <c r="DF82" s="14"/>
      <c r="DG82" s="14"/>
      <c r="DH82" s="14"/>
      <c r="DI82" s="14"/>
      <c r="DJ82" s="14"/>
      <c r="DK82" s="14" t="s">
        <v>328</v>
      </c>
      <c r="DL82" s="14" t="s">
        <v>328</v>
      </c>
      <c r="DM82" s="15" t="s">
        <v>405</v>
      </c>
      <c r="DN82" s="14"/>
      <c r="DO82" s="14" t="s">
        <v>432</v>
      </c>
      <c r="DP82" s="14" t="s">
        <v>333</v>
      </c>
      <c r="DQ82" s="14" t="s">
        <v>328</v>
      </c>
      <c r="DR82" s="14"/>
      <c r="DS82" s="14"/>
      <c r="DT82" s="14"/>
      <c r="DU82" s="14"/>
      <c r="DV82" s="14"/>
      <c r="DW82" s="14"/>
      <c r="DX82" s="14" t="s">
        <v>1148</v>
      </c>
      <c r="DY82" s="14"/>
      <c r="DZ82" s="14" t="s">
        <v>328</v>
      </c>
      <c r="EA82" s="14" t="s">
        <v>328</v>
      </c>
      <c r="EB82" s="14" t="s">
        <v>397</v>
      </c>
      <c r="EC82" s="14"/>
      <c r="ED82" s="14" t="s">
        <v>1158</v>
      </c>
      <c r="EE82" s="101" t="s">
        <v>450</v>
      </c>
      <c r="EF82" s="99"/>
      <c r="EG82" s="17">
        <f t="shared" si="1"/>
        <v>0</v>
      </c>
    </row>
    <row r="83" spans="1:137" x14ac:dyDescent="0.25">
      <c r="A83" s="50" t="s">
        <v>1404</v>
      </c>
      <c r="B83" s="208">
        <v>41548</v>
      </c>
      <c r="C83" s="209" t="s">
        <v>2767</v>
      </c>
      <c r="D83" s="61" t="s">
        <v>511</v>
      </c>
      <c r="E83" s="14" t="s">
        <v>328</v>
      </c>
      <c r="F83" s="14"/>
      <c r="G83" s="14">
        <v>40</v>
      </c>
      <c r="H83" s="14" t="s">
        <v>329</v>
      </c>
      <c r="I83" s="14" t="s">
        <v>357</v>
      </c>
      <c r="J83" s="14" t="s">
        <v>753</v>
      </c>
      <c r="K83" s="14" t="s">
        <v>1190</v>
      </c>
      <c r="L83" s="14" t="s">
        <v>1280</v>
      </c>
      <c r="M83" s="14">
        <v>15</v>
      </c>
      <c r="N83" s="14">
        <v>1</v>
      </c>
      <c r="O83" s="14">
        <v>6</v>
      </c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 t="s">
        <v>328</v>
      </c>
      <c r="AG83" s="14"/>
      <c r="AH83" s="14"/>
      <c r="AI83" s="14"/>
      <c r="AJ83" s="14"/>
      <c r="AK83" s="14"/>
      <c r="AL83" s="14" t="s">
        <v>328</v>
      </c>
      <c r="AM83" s="14"/>
      <c r="AN83" s="14"/>
      <c r="AO83" s="14"/>
      <c r="AP83" s="14" t="s">
        <v>328</v>
      </c>
      <c r="AQ83" s="14"/>
      <c r="AR83" s="14">
        <v>10</v>
      </c>
      <c r="AS83" s="14">
        <v>5</v>
      </c>
      <c r="AT83" s="14" t="s">
        <v>328</v>
      </c>
      <c r="AU83" s="14" t="s">
        <v>328</v>
      </c>
      <c r="AV83" s="14"/>
      <c r="AW83" s="14"/>
      <c r="AX83" s="14">
        <v>2</v>
      </c>
      <c r="AY83" s="14">
        <v>1</v>
      </c>
      <c r="AZ83" s="14">
        <v>3</v>
      </c>
      <c r="BA83" s="14"/>
      <c r="BB83" s="14"/>
      <c r="BC83" s="14" t="s">
        <v>328</v>
      </c>
      <c r="BD83" s="14"/>
      <c r="BE83" s="14" t="s">
        <v>328</v>
      </c>
      <c r="BF83" s="14"/>
      <c r="BG83" s="14"/>
      <c r="BH83" s="14"/>
      <c r="BI83" s="14"/>
      <c r="BJ83" s="14"/>
      <c r="BK83" s="14"/>
      <c r="BL83" s="14"/>
      <c r="BM83" s="14"/>
      <c r="BN83" s="14" t="s">
        <v>328</v>
      </c>
      <c r="BO83" s="14"/>
      <c r="BP83" s="14" t="s">
        <v>328</v>
      </c>
      <c r="BQ83" s="14"/>
      <c r="BR83" s="14" t="s">
        <v>328</v>
      </c>
      <c r="BS83" s="14" t="s">
        <v>328</v>
      </c>
      <c r="BT83" s="14"/>
      <c r="BU83" s="14"/>
      <c r="BV83" s="14"/>
      <c r="BW83" s="14"/>
      <c r="BX83" s="14"/>
      <c r="BY83" s="14"/>
      <c r="BZ83" s="14"/>
      <c r="CA83" s="14"/>
      <c r="CB83" s="14" t="s">
        <v>328</v>
      </c>
      <c r="CC83" s="14" t="s">
        <v>328</v>
      </c>
      <c r="CD83" s="14"/>
      <c r="CE83" s="14"/>
      <c r="CF83" s="14"/>
      <c r="CG83" s="14"/>
      <c r="CH83" s="14"/>
      <c r="CI83" s="14" t="s">
        <v>328</v>
      </c>
      <c r="CJ83" s="14"/>
      <c r="CK83" s="14" t="s">
        <v>328</v>
      </c>
      <c r="CL83" s="14"/>
      <c r="CM83" s="14"/>
      <c r="CN83" s="14">
        <v>1</v>
      </c>
      <c r="CO83" s="14">
        <v>4</v>
      </c>
      <c r="CP83" s="14">
        <v>2</v>
      </c>
      <c r="CQ83" s="14">
        <v>6</v>
      </c>
      <c r="CR83" s="14">
        <v>5</v>
      </c>
      <c r="CS83" s="14">
        <v>3</v>
      </c>
      <c r="CT83" s="14"/>
      <c r="CU83" s="14" t="s">
        <v>328</v>
      </c>
      <c r="CV83" s="14"/>
      <c r="CW83" s="14" t="s">
        <v>328</v>
      </c>
      <c r="CX83" s="14"/>
      <c r="CY83" s="14" t="s">
        <v>328</v>
      </c>
      <c r="CZ83" s="14"/>
      <c r="DA83" s="14"/>
      <c r="DB83" s="14"/>
      <c r="DC83" s="14">
        <v>1</v>
      </c>
      <c r="DD83" s="14">
        <v>3</v>
      </c>
      <c r="DE83" s="14">
        <v>6</v>
      </c>
      <c r="DF83" s="14">
        <v>5</v>
      </c>
      <c r="DG83" s="14">
        <v>2</v>
      </c>
      <c r="DH83" s="14">
        <v>4</v>
      </c>
      <c r="DI83" s="14"/>
      <c r="DJ83" s="14"/>
      <c r="DK83" s="14" t="s">
        <v>328</v>
      </c>
      <c r="DL83" s="14" t="s">
        <v>328</v>
      </c>
      <c r="DM83" s="14" t="s">
        <v>387</v>
      </c>
      <c r="DN83" s="14"/>
      <c r="DO83" s="14" t="s">
        <v>916</v>
      </c>
      <c r="DP83" s="14" t="s">
        <v>1146</v>
      </c>
      <c r="DQ83" s="14" t="s">
        <v>328</v>
      </c>
      <c r="DR83" s="14"/>
      <c r="DS83" s="14"/>
      <c r="DT83" s="14"/>
      <c r="DU83" s="14"/>
      <c r="DV83" s="14"/>
      <c r="DW83" s="14"/>
      <c r="DX83" s="14" t="s">
        <v>1149</v>
      </c>
      <c r="DY83" s="14" t="s">
        <v>328</v>
      </c>
      <c r="DZ83" s="14"/>
      <c r="EA83" s="14"/>
      <c r="EB83" s="14"/>
      <c r="EC83" s="14"/>
      <c r="ED83" s="14"/>
      <c r="EE83" s="101" t="s">
        <v>1146</v>
      </c>
      <c r="EF83" s="99"/>
      <c r="EG83" s="17">
        <f t="shared" si="1"/>
        <v>0</v>
      </c>
    </row>
    <row r="84" spans="1:137" x14ac:dyDescent="0.25">
      <c r="A84" s="50" t="s">
        <v>1404</v>
      </c>
      <c r="B84" s="208">
        <v>41548</v>
      </c>
      <c r="C84" s="209" t="s">
        <v>2767</v>
      </c>
      <c r="D84" s="61" t="s">
        <v>512</v>
      </c>
      <c r="E84" s="14" t="s">
        <v>328</v>
      </c>
      <c r="F84" s="14"/>
      <c r="G84" s="14">
        <v>52</v>
      </c>
      <c r="H84" s="14" t="s">
        <v>329</v>
      </c>
      <c r="I84" s="14" t="s">
        <v>399</v>
      </c>
      <c r="J84" s="14" t="s">
        <v>734</v>
      </c>
      <c r="K84" s="8" t="s">
        <v>1229</v>
      </c>
      <c r="L84" s="14" t="s">
        <v>1283</v>
      </c>
      <c r="M84" s="14">
        <v>20</v>
      </c>
      <c r="N84" s="14">
        <v>1</v>
      </c>
      <c r="O84" s="14">
        <v>17</v>
      </c>
      <c r="P84" s="14"/>
      <c r="Q84" s="14"/>
      <c r="R84" s="14">
        <v>10</v>
      </c>
      <c r="S84" s="14"/>
      <c r="T84" s="14"/>
      <c r="U84" s="14"/>
      <c r="V84" s="14"/>
      <c r="W84" s="14"/>
      <c r="X84" s="14"/>
      <c r="Y84" s="14"/>
      <c r="Z84" s="14"/>
      <c r="AA84" s="14"/>
      <c r="AB84" s="14" t="s">
        <v>328</v>
      </c>
      <c r="AC84" s="14"/>
      <c r="AD84" s="14"/>
      <c r="AE84" s="14" t="s">
        <v>328</v>
      </c>
      <c r="AF84" s="14"/>
      <c r="AG84" s="14"/>
      <c r="AH84" s="14"/>
      <c r="AI84" s="14" t="s">
        <v>328</v>
      </c>
      <c r="AJ84" s="14"/>
      <c r="AK84" s="14"/>
      <c r="AL84" s="14" t="s">
        <v>328</v>
      </c>
      <c r="AM84" s="14" t="s">
        <v>328</v>
      </c>
      <c r="AN84" s="14" t="s">
        <v>328</v>
      </c>
      <c r="AO84" s="14"/>
      <c r="AP84" s="14"/>
      <c r="AQ84" s="14"/>
      <c r="AR84" s="14">
        <v>8</v>
      </c>
      <c r="AS84" s="14">
        <v>8</v>
      </c>
      <c r="AT84" s="14"/>
      <c r="AU84" s="14" t="s">
        <v>328</v>
      </c>
      <c r="AV84" s="14"/>
      <c r="AW84" s="14"/>
      <c r="AX84" s="14">
        <v>2</v>
      </c>
      <c r="AY84" s="14">
        <v>4</v>
      </c>
      <c r="AZ84" s="14">
        <v>3</v>
      </c>
      <c r="BA84" s="14" t="s">
        <v>346</v>
      </c>
      <c r="BB84" s="14"/>
      <c r="BC84" s="14" t="s">
        <v>328</v>
      </c>
      <c r="BD84" s="14"/>
      <c r="BE84" s="14"/>
      <c r="BF84" s="14"/>
      <c r="BG84" s="14" t="s">
        <v>328</v>
      </c>
      <c r="BH84" s="14"/>
      <c r="BI84" s="14"/>
      <c r="BJ84" s="14"/>
      <c r="BK84" s="14"/>
      <c r="BL84" s="14"/>
      <c r="BM84" s="14"/>
      <c r="BN84" s="14" t="s">
        <v>328</v>
      </c>
      <c r="BO84" s="14"/>
      <c r="BP84" s="14" t="s">
        <v>328</v>
      </c>
      <c r="BQ84" s="14"/>
      <c r="BR84" s="14"/>
      <c r="BS84" s="14"/>
      <c r="BT84" s="14" t="s">
        <v>328</v>
      </c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 t="s">
        <v>332</v>
      </c>
      <c r="CI84" s="14" t="s">
        <v>328</v>
      </c>
      <c r="CJ84" s="14"/>
      <c r="CK84" s="14"/>
      <c r="CL84" s="14"/>
      <c r="CM84" s="14"/>
      <c r="CN84" s="14">
        <v>4</v>
      </c>
      <c r="CO84" s="14">
        <v>6</v>
      </c>
      <c r="CP84" s="14">
        <v>2</v>
      </c>
      <c r="CQ84" s="14">
        <v>5</v>
      </c>
      <c r="CR84" s="14">
        <v>3</v>
      </c>
      <c r="CS84" s="14">
        <v>1</v>
      </c>
      <c r="CT84" s="14"/>
      <c r="CU84" s="14"/>
      <c r="CV84" s="14"/>
      <c r="CW84" s="14"/>
      <c r="CX84" s="14"/>
      <c r="CY84" s="14"/>
      <c r="CZ84" s="14" t="s">
        <v>332</v>
      </c>
      <c r="DA84" s="14" t="s">
        <v>328</v>
      </c>
      <c r="DB84" s="14" t="s">
        <v>404</v>
      </c>
      <c r="DC84" s="14"/>
      <c r="DD84" s="14"/>
      <c r="DE84" s="14"/>
      <c r="DF84" s="14"/>
      <c r="DG84" s="14"/>
      <c r="DH84" s="14"/>
      <c r="DI84" s="14"/>
      <c r="DJ84" s="14"/>
      <c r="DK84" s="14" t="s">
        <v>328</v>
      </c>
      <c r="DL84" s="14" t="s">
        <v>328</v>
      </c>
      <c r="DM84" s="15" t="s">
        <v>405</v>
      </c>
      <c r="DN84" s="14"/>
      <c r="DO84" s="15" t="s">
        <v>492</v>
      </c>
      <c r="DP84" s="14" t="s">
        <v>333</v>
      </c>
      <c r="DQ84" s="14"/>
      <c r="DR84" s="14" t="s">
        <v>328</v>
      </c>
      <c r="DS84" s="14" t="s">
        <v>328</v>
      </c>
      <c r="DT84" s="14" t="s">
        <v>354</v>
      </c>
      <c r="DU84" s="14"/>
      <c r="DV84" s="14"/>
      <c r="DW84" s="14" t="s">
        <v>492</v>
      </c>
      <c r="DX84" s="14" t="s">
        <v>1177</v>
      </c>
      <c r="DY84" s="14" t="s">
        <v>328</v>
      </c>
      <c r="DZ84" s="14"/>
      <c r="EA84" s="14"/>
      <c r="EB84" s="14"/>
      <c r="EC84" s="14"/>
      <c r="ED84" s="14"/>
      <c r="EE84" s="101" t="s">
        <v>1145</v>
      </c>
      <c r="EF84" s="99"/>
      <c r="EG84" s="17">
        <f t="shared" si="1"/>
        <v>0</v>
      </c>
    </row>
    <row r="85" spans="1:137" x14ac:dyDescent="0.25">
      <c r="A85" s="50" t="s">
        <v>1404</v>
      </c>
      <c r="B85" s="208">
        <v>41549</v>
      </c>
      <c r="C85" s="209" t="s">
        <v>2767</v>
      </c>
      <c r="D85" s="61" t="s">
        <v>513</v>
      </c>
      <c r="E85" s="14" t="s">
        <v>328</v>
      </c>
      <c r="F85" s="14"/>
      <c r="G85" s="14">
        <v>35</v>
      </c>
      <c r="H85" s="14" t="s">
        <v>329</v>
      </c>
      <c r="I85" s="14" t="s">
        <v>399</v>
      </c>
      <c r="J85" s="14" t="s">
        <v>737</v>
      </c>
      <c r="K85" s="14" t="s">
        <v>1211</v>
      </c>
      <c r="L85" s="14" t="s">
        <v>1280</v>
      </c>
      <c r="M85" s="14">
        <v>5</v>
      </c>
      <c r="N85" s="14">
        <v>5</v>
      </c>
      <c r="O85" s="14">
        <v>2</v>
      </c>
      <c r="P85" s="14"/>
      <c r="Q85" s="14"/>
      <c r="R85" s="14">
        <v>3</v>
      </c>
      <c r="S85" s="14"/>
      <c r="T85" s="14"/>
      <c r="U85" s="14">
        <v>2</v>
      </c>
      <c r="V85" s="14"/>
      <c r="W85" s="14"/>
      <c r="X85" s="14"/>
      <c r="Y85" s="14"/>
      <c r="Z85" s="14"/>
      <c r="AA85" s="14"/>
      <c r="AB85" s="14" t="s">
        <v>328</v>
      </c>
      <c r="AC85" s="14"/>
      <c r="AD85" s="14"/>
      <c r="AE85" s="14"/>
      <c r="AF85" s="14" t="s">
        <v>328</v>
      </c>
      <c r="AG85" s="14" t="s">
        <v>328</v>
      </c>
      <c r="AH85" s="14"/>
      <c r="AI85" s="14" t="s">
        <v>328</v>
      </c>
      <c r="AJ85" s="14"/>
      <c r="AK85" s="14"/>
      <c r="AL85" s="14" t="s">
        <v>328</v>
      </c>
      <c r="AM85" s="14"/>
      <c r="AN85" s="14" t="s">
        <v>328</v>
      </c>
      <c r="AO85" s="14"/>
      <c r="AP85" s="14"/>
      <c r="AQ85" s="14"/>
      <c r="AR85" s="14">
        <v>10</v>
      </c>
      <c r="AS85" s="14">
        <v>2</v>
      </c>
      <c r="AT85" s="14"/>
      <c r="AU85" s="14" t="s">
        <v>328</v>
      </c>
      <c r="AV85" s="14" t="s">
        <v>328</v>
      </c>
      <c r="AW85" s="14"/>
      <c r="AX85" s="14">
        <v>2</v>
      </c>
      <c r="AY85" s="14">
        <v>3</v>
      </c>
      <c r="AZ85" s="14">
        <v>4</v>
      </c>
      <c r="BA85" s="14" t="s">
        <v>346</v>
      </c>
      <c r="BB85" s="14"/>
      <c r="BC85" s="14" t="s">
        <v>328</v>
      </c>
      <c r="BD85" s="14"/>
      <c r="BE85" s="14" t="s">
        <v>328</v>
      </c>
      <c r="BF85" s="14"/>
      <c r="BG85" s="14"/>
      <c r="BH85" s="14"/>
      <c r="BI85" s="14"/>
      <c r="BJ85" s="14"/>
      <c r="BK85" s="14"/>
      <c r="BL85" s="14"/>
      <c r="BM85" s="14"/>
      <c r="BN85" s="14" t="s">
        <v>328</v>
      </c>
      <c r="BO85" s="14"/>
      <c r="BP85" s="14" t="s">
        <v>328</v>
      </c>
      <c r="BQ85" s="14"/>
      <c r="BR85" s="14" t="s">
        <v>328</v>
      </c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 t="s">
        <v>332</v>
      </c>
      <c r="CI85" s="14" t="s">
        <v>328</v>
      </c>
      <c r="CJ85" s="14"/>
      <c r="CK85" s="14"/>
      <c r="CL85" s="14"/>
      <c r="CM85" s="14"/>
      <c r="CN85" s="14">
        <v>3</v>
      </c>
      <c r="CO85" s="14">
        <v>1</v>
      </c>
      <c r="CP85" s="14">
        <v>2</v>
      </c>
      <c r="CQ85" s="14">
        <v>5</v>
      </c>
      <c r="CR85" s="14">
        <v>6</v>
      </c>
      <c r="CS85" s="14">
        <v>4</v>
      </c>
      <c r="CT85" s="14" t="s">
        <v>328</v>
      </c>
      <c r="CU85" s="14" t="s">
        <v>328</v>
      </c>
      <c r="CV85" s="14"/>
      <c r="CW85" s="14"/>
      <c r="CX85" s="14" t="s">
        <v>328</v>
      </c>
      <c r="CY85" s="14"/>
      <c r="CZ85" s="14"/>
      <c r="DA85" s="14" t="s">
        <v>328</v>
      </c>
      <c r="DB85" s="14" t="s">
        <v>404</v>
      </c>
      <c r="DC85" s="14"/>
      <c r="DD85" s="14"/>
      <c r="DE85" s="14"/>
      <c r="DF85" s="14"/>
      <c r="DG85" s="14"/>
      <c r="DH85" s="14"/>
      <c r="DI85" s="14"/>
      <c r="DJ85" s="14"/>
      <c r="DK85" s="14" t="s">
        <v>328</v>
      </c>
      <c r="DL85" s="14" t="s">
        <v>328</v>
      </c>
      <c r="DM85" s="14" t="s">
        <v>387</v>
      </c>
      <c r="DN85" s="14"/>
      <c r="DO85" s="14" t="s">
        <v>396</v>
      </c>
      <c r="DP85" s="14" t="s">
        <v>1146</v>
      </c>
      <c r="DQ85" s="14" t="s">
        <v>328</v>
      </c>
      <c r="DR85" s="14"/>
      <c r="DS85" s="14"/>
      <c r="DT85" s="14"/>
      <c r="DU85" s="14"/>
      <c r="DV85" s="14"/>
      <c r="DW85" s="14"/>
      <c r="DX85" s="14" t="s">
        <v>1144</v>
      </c>
      <c r="DY85" s="14" t="s">
        <v>328</v>
      </c>
      <c r="DZ85" s="14"/>
      <c r="EA85" s="14"/>
      <c r="EB85" s="14"/>
      <c r="EC85" s="14"/>
      <c r="ED85" s="14"/>
      <c r="EE85" s="101" t="s">
        <v>1152</v>
      </c>
      <c r="EF85" s="99"/>
      <c r="EG85" s="17">
        <f t="shared" si="1"/>
        <v>0</v>
      </c>
    </row>
    <row r="86" spans="1:137" x14ac:dyDescent="0.25">
      <c r="A86" s="50" t="s">
        <v>1404</v>
      </c>
      <c r="B86" s="208">
        <v>41549</v>
      </c>
      <c r="C86" s="209" t="s">
        <v>2767</v>
      </c>
      <c r="D86" s="61" t="s">
        <v>514</v>
      </c>
      <c r="E86" s="14" t="s">
        <v>328</v>
      </c>
      <c r="F86" s="14"/>
      <c r="G86" s="14">
        <v>43</v>
      </c>
      <c r="H86" s="14" t="s">
        <v>329</v>
      </c>
      <c r="I86" s="14" t="s">
        <v>357</v>
      </c>
      <c r="J86" s="14" t="s">
        <v>731</v>
      </c>
      <c r="K86" s="14" t="s">
        <v>1230</v>
      </c>
      <c r="L86" s="14" t="s">
        <v>1280</v>
      </c>
      <c r="M86" s="14">
        <v>20</v>
      </c>
      <c r="N86" s="14">
        <v>3</v>
      </c>
      <c r="O86" s="14">
        <v>2</v>
      </c>
      <c r="P86" s="14"/>
      <c r="Q86" s="14"/>
      <c r="R86" s="14">
        <v>1</v>
      </c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 t="s">
        <v>418</v>
      </c>
      <c r="AL86" s="14" t="s">
        <v>328</v>
      </c>
      <c r="AM86" s="14"/>
      <c r="AN86" s="14"/>
      <c r="AO86" s="14"/>
      <c r="AP86" s="14"/>
      <c r="AQ86" s="14" t="s">
        <v>328</v>
      </c>
      <c r="AR86" s="14">
        <v>5</v>
      </c>
      <c r="AS86" s="14">
        <v>7</v>
      </c>
      <c r="AT86" s="14"/>
      <c r="AU86" s="14"/>
      <c r="AV86" s="14" t="s">
        <v>328</v>
      </c>
      <c r="AW86" s="14"/>
      <c r="AX86" s="14">
        <v>2</v>
      </c>
      <c r="AY86" s="14">
        <v>3</v>
      </c>
      <c r="AZ86" s="14">
        <v>4</v>
      </c>
      <c r="BA86" s="14" t="s">
        <v>346</v>
      </c>
      <c r="BB86" s="14"/>
      <c r="BC86" s="14" t="s">
        <v>328</v>
      </c>
      <c r="BD86" s="14" t="s">
        <v>328</v>
      </c>
      <c r="BE86" s="14"/>
      <c r="BF86" s="14"/>
      <c r="BG86" s="14"/>
      <c r="BH86" s="14"/>
      <c r="BI86" s="14"/>
      <c r="BJ86" s="14"/>
      <c r="BK86" s="14"/>
      <c r="BL86" s="14"/>
      <c r="BM86" s="14"/>
      <c r="BN86" s="14" t="s">
        <v>328</v>
      </c>
      <c r="BO86" s="14"/>
      <c r="BP86" s="14" t="s">
        <v>328</v>
      </c>
      <c r="BQ86" s="14"/>
      <c r="BR86" s="14"/>
      <c r="BS86" s="14"/>
      <c r="BT86" s="14" t="s">
        <v>328</v>
      </c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 t="s">
        <v>332</v>
      </c>
      <c r="CI86" s="14"/>
      <c r="CJ86" s="14"/>
      <c r="CK86" s="14" t="s">
        <v>328</v>
      </c>
      <c r="CL86" s="14"/>
      <c r="CM86" s="14"/>
      <c r="CN86" s="14">
        <v>3</v>
      </c>
      <c r="CO86" s="14">
        <v>2</v>
      </c>
      <c r="CP86" s="14">
        <v>1</v>
      </c>
      <c r="CQ86" s="14">
        <v>5</v>
      </c>
      <c r="CR86" s="14">
        <v>6</v>
      </c>
      <c r="CS86" s="14">
        <v>4</v>
      </c>
      <c r="CT86" s="14"/>
      <c r="CU86" s="14" t="s">
        <v>328</v>
      </c>
      <c r="CV86" s="14"/>
      <c r="CW86" s="14"/>
      <c r="CX86" s="14"/>
      <c r="CY86" s="14"/>
      <c r="CZ86" s="14"/>
      <c r="DA86" s="14" t="s">
        <v>328</v>
      </c>
      <c r="DB86" s="14" t="s">
        <v>404</v>
      </c>
      <c r="DC86" s="14"/>
      <c r="DD86" s="14"/>
      <c r="DE86" s="14"/>
      <c r="DF86" s="14"/>
      <c r="DG86" s="14"/>
      <c r="DH86" s="14"/>
      <c r="DI86" s="14"/>
      <c r="DJ86" s="14" t="s">
        <v>328</v>
      </c>
      <c r="DK86" s="14"/>
      <c r="DL86" s="14"/>
      <c r="DM86" s="14"/>
      <c r="DN86" s="14"/>
      <c r="DO86" s="14"/>
      <c r="DP86" s="14" t="s">
        <v>1145</v>
      </c>
      <c r="DQ86" s="14" t="s">
        <v>328</v>
      </c>
      <c r="DR86" s="14"/>
      <c r="DS86" s="14"/>
      <c r="DT86" s="14"/>
      <c r="DU86" s="14"/>
      <c r="DV86" s="14"/>
      <c r="DW86" s="14"/>
      <c r="DX86" s="14" t="s">
        <v>1144</v>
      </c>
      <c r="DY86" s="14" t="s">
        <v>328</v>
      </c>
      <c r="DZ86" s="14"/>
      <c r="EA86" s="14"/>
      <c r="EB86" s="14"/>
      <c r="EC86" s="14"/>
      <c r="ED86" s="14"/>
      <c r="EE86" s="101" t="s">
        <v>1152</v>
      </c>
      <c r="EF86" s="99"/>
      <c r="EG86" s="17">
        <f t="shared" si="1"/>
        <v>0</v>
      </c>
    </row>
    <row r="87" spans="1:137" s="1" customFormat="1" x14ac:dyDescent="0.25">
      <c r="A87" s="50" t="s">
        <v>1404</v>
      </c>
      <c r="B87" s="208">
        <v>41549</v>
      </c>
      <c r="C87" s="209" t="s">
        <v>2767</v>
      </c>
      <c r="D87" s="103" t="s">
        <v>515</v>
      </c>
      <c r="E87" s="14"/>
      <c r="F87" s="14" t="s">
        <v>328</v>
      </c>
      <c r="G87" s="14">
        <v>55</v>
      </c>
      <c r="H87" s="14" t="s">
        <v>329</v>
      </c>
      <c r="I87" s="14" t="s">
        <v>357</v>
      </c>
      <c r="J87" s="14" t="s">
        <v>746</v>
      </c>
      <c r="K87" s="14" t="s">
        <v>1199</v>
      </c>
      <c r="L87" s="14" t="s">
        <v>1281</v>
      </c>
      <c r="M87" s="14">
        <v>30</v>
      </c>
      <c r="N87" s="14">
        <v>8</v>
      </c>
      <c r="O87" s="14">
        <v>2</v>
      </c>
      <c r="P87" s="14"/>
      <c r="Q87" s="14"/>
      <c r="R87" s="14">
        <v>4</v>
      </c>
      <c r="S87" s="14"/>
      <c r="T87" s="14"/>
      <c r="U87" s="14"/>
      <c r="V87" s="14">
        <v>2</v>
      </c>
      <c r="W87" s="14"/>
      <c r="X87" s="14"/>
      <c r="Y87" s="14"/>
      <c r="Z87" s="14"/>
      <c r="AA87" s="14"/>
      <c r="AB87" s="14" t="s">
        <v>328</v>
      </c>
      <c r="AC87" s="14"/>
      <c r="AD87" s="14"/>
      <c r="AE87" s="14" t="s">
        <v>328</v>
      </c>
      <c r="AF87" s="14"/>
      <c r="AG87" s="14" t="s">
        <v>328</v>
      </c>
      <c r="AH87" s="14"/>
      <c r="AI87" s="14" t="s">
        <v>328</v>
      </c>
      <c r="AJ87" s="14"/>
      <c r="AK87" s="14"/>
      <c r="AL87" s="14" t="s">
        <v>328</v>
      </c>
      <c r="AM87" s="14"/>
      <c r="AN87" s="14"/>
      <c r="AO87" s="14"/>
      <c r="AP87" s="14"/>
      <c r="AQ87" s="14" t="s">
        <v>328</v>
      </c>
      <c r="AR87" s="14">
        <v>10</v>
      </c>
      <c r="AS87" s="14">
        <v>5</v>
      </c>
      <c r="AT87" s="14"/>
      <c r="AU87" s="14" t="s">
        <v>328</v>
      </c>
      <c r="AV87" s="14" t="s">
        <v>328</v>
      </c>
      <c r="AW87" s="14"/>
      <c r="AX87" s="14">
        <v>2</v>
      </c>
      <c r="AY87" s="14">
        <v>3</v>
      </c>
      <c r="AZ87" s="14">
        <v>4</v>
      </c>
      <c r="BA87" s="14" t="s">
        <v>346</v>
      </c>
      <c r="BB87" s="14"/>
      <c r="BC87" s="14" t="s">
        <v>328</v>
      </c>
      <c r="BD87" s="14" t="s">
        <v>328</v>
      </c>
      <c r="BE87" s="14"/>
      <c r="BF87" s="14"/>
      <c r="BG87" s="14"/>
      <c r="BH87" s="14"/>
      <c r="BI87" s="14"/>
      <c r="BJ87" s="14"/>
      <c r="BK87" s="14"/>
      <c r="BL87" s="14"/>
      <c r="BM87" s="14"/>
      <c r="BN87" s="14" t="s">
        <v>328</v>
      </c>
      <c r="BO87" s="14"/>
      <c r="BP87" s="14" t="s">
        <v>328</v>
      </c>
      <c r="BQ87" s="14"/>
      <c r="BR87" s="14" t="s">
        <v>328</v>
      </c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 t="s">
        <v>332</v>
      </c>
      <c r="CI87" s="14"/>
      <c r="CJ87" s="14"/>
      <c r="CK87" s="14"/>
      <c r="CL87" s="14" t="s">
        <v>328</v>
      </c>
      <c r="CM87" s="14"/>
      <c r="CN87" s="15" t="s">
        <v>405</v>
      </c>
      <c r="CO87" s="15" t="s">
        <v>405</v>
      </c>
      <c r="CP87" s="15" t="s">
        <v>405</v>
      </c>
      <c r="CQ87" s="15" t="s">
        <v>405</v>
      </c>
      <c r="CR87" s="15" t="s">
        <v>405</v>
      </c>
      <c r="CS87" s="15" t="s">
        <v>405</v>
      </c>
      <c r="CT87" s="14" t="s">
        <v>328</v>
      </c>
      <c r="CU87" s="14" t="s">
        <v>328</v>
      </c>
      <c r="CV87" s="14" t="s">
        <v>328</v>
      </c>
      <c r="CW87" s="14" t="s">
        <v>328</v>
      </c>
      <c r="CX87" s="14" t="s">
        <v>328</v>
      </c>
      <c r="CY87" s="14" t="s">
        <v>328</v>
      </c>
      <c r="CZ87" s="14"/>
      <c r="DA87" s="14" t="s">
        <v>328</v>
      </c>
      <c r="DB87" s="14" t="s">
        <v>404</v>
      </c>
      <c r="DC87" s="14"/>
      <c r="DD87" s="14"/>
      <c r="DE87" s="14"/>
      <c r="DF87" s="14"/>
      <c r="DG87" s="14"/>
      <c r="DH87" s="14"/>
      <c r="DI87" s="14"/>
      <c r="DJ87" s="14"/>
      <c r="DK87" s="14" t="s">
        <v>328</v>
      </c>
      <c r="DL87" s="14" t="s">
        <v>328</v>
      </c>
      <c r="DM87" s="15" t="s">
        <v>618</v>
      </c>
      <c r="DN87" s="14"/>
      <c r="DO87" s="14" t="s">
        <v>432</v>
      </c>
      <c r="DP87" s="14" t="s">
        <v>333</v>
      </c>
      <c r="DQ87" s="14"/>
      <c r="DR87" s="14" t="s">
        <v>328</v>
      </c>
      <c r="DS87" s="14" t="s">
        <v>328</v>
      </c>
      <c r="DT87" s="14" t="s">
        <v>397</v>
      </c>
      <c r="DU87" s="14"/>
      <c r="DV87" s="14"/>
      <c r="DW87" s="14" t="s">
        <v>492</v>
      </c>
      <c r="DX87" s="14" t="s">
        <v>516</v>
      </c>
      <c r="DY87" s="14" t="s">
        <v>328</v>
      </c>
      <c r="DZ87" s="14"/>
      <c r="EA87" s="14"/>
      <c r="EB87" s="14"/>
      <c r="EC87" s="14"/>
      <c r="ED87" s="14"/>
      <c r="EE87" s="101" t="s">
        <v>333</v>
      </c>
      <c r="EF87" s="99"/>
      <c r="EG87" s="17">
        <f t="shared" si="1"/>
        <v>0</v>
      </c>
    </row>
    <row r="88" spans="1:137" s="1" customFormat="1" x14ac:dyDescent="0.25">
      <c r="A88" s="50" t="s">
        <v>1404</v>
      </c>
      <c r="B88" s="208">
        <v>41549</v>
      </c>
      <c r="C88" s="209" t="s">
        <v>2767</v>
      </c>
      <c r="D88" s="61" t="s">
        <v>517</v>
      </c>
      <c r="E88" s="14" t="s">
        <v>328</v>
      </c>
      <c r="F88" s="14"/>
      <c r="G88" s="14">
        <v>38</v>
      </c>
      <c r="H88" s="14" t="s">
        <v>329</v>
      </c>
      <c r="I88" s="14" t="s">
        <v>399</v>
      </c>
      <c r="J88" s="14" t="s">
        <v>726</v>
      </c>
      <c r="K88" s="8" t="s">
        <v>1231</v>
      </c>
      <c r="L88" s="14" t="s">
        <v>1283</v>
      </c>
      <c r="M88" s="14">
        <v>10</v>
      </c>
      <c r="N88" s="14">
        <v>1</v>
      </c>
      <c r="O88" s="14">
        <v>1</v>
      </c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 t="s">
        <v>418</v>
      </c>
      <c r="AL88" s="14" t="s">
        <v>328</v>
      </c>
      <c r="AM88" s="14"/>
      <c r="AN88" s="14"/>
      <c r="AO88" s="14" t="s">
        <v>328</v>
      </c>
      <c r="AP88" s="14"/>
      <c r="AQ88" s="14"/>
      <c r="AR88" s="14">
        <v>4</v>
      </c>
      <c r="AS88" s="14">
        <v>6</v>
      </c>
      <c r="AT88" s="14"/>
      <c r="AU88" s="14"/>
      <c r="AV88" s="14" t="s">
        <v>328</v>
      </c>
      <c r="AW88" s="14"/>
      <c r="AX88" s="14">
        <v>1</v>
      </c>
      <c r="AY88" s="14">
        <v>2</v>
      </c>
      <c r="AZ88" s="14">
        <v>3</v>
      </c>
      <c r="BA88" s="14"/>
      <c r="BB88" s="14" t="s">
        <v>328</v>
      </c>
      <c r="BC88" s="14"/>
      <c r="BD88" s="14" t="s">
        <v>328</v>
      </c>
      <c r="BE88" s="14"/>
      <c r="BF88" s="14"/>
      <c r="BG88" s="14"/>
      <c r="BH88" s="14"/>
      <c r="BI88" s="14"/>
      <c r="BJ88" s="14"/>
      <c r="BK88" s="14"/>
      <c r="BL88" s="14"/>
      <c r="BM88" s="14"/>
      <c r="BN88" s="14" t="s">
        <v>328</v>
      </c>
      <c r="BO88" s="14"/>
      <c r="BP88" s="14" t="s">
        <v>328</v>
      </c>
      <c r="BQ88" s="14"/>
      <c r="BR88" s="14" t="s">
        <v>328</v>
      </c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 t="s">
        <v>332</v>
      </c>
      <c r="CI88" s="14" t="s">
        <v>328</v>
      </c>
      <c r="CJ88" s="14"/>
      <c r="CK88" s="14"/>
      <c r="CL88" s="14"/>
      <c r="CM88" s="14"/>
      <c r="CN88" s="14">
        <v>2</v>
      </c>
      <c r="CO88" s="14">
        <v>1</v>
      </c>
      <c r="CP88" s="14">
        <v>4</v>
      </c>
      <c r="CQ88" s="14">
        <v>5</v>
      </c>
      <c r="CR88" s="14">
        <v>6</v>
      </c>
      <c r="CS88" s="14">
        <v>3</v>
      </c>
      <c r="CT88" s="14"/>
      <c r="CU88" s="14"/>
      <c r="CV88" s="14"/>
      <c r="CW88" s="14"/>
      <c r="CX88" s="14"/>
      <c r="CY88" s="14"/>
      <c r="CZ88" s="14" t="s">
        <v>332</v>
      </c>
      <c r="DA88" s="14" t="s">
        <v>328</v>
      </c>
      <c r="DB88" s="14" t="s">
        <v>404</v>
      </c>
      <c r="DC88" s="14"/>
      <c r="DD88" s="14"/>
      <c r="DE88" s="14"/>
      <c r="DF88" s="14"/>
      <c r="DG88" s="14"/>
      <c r="DH88" s="14"/>
      <c r="DI88" s="14"/>
      <c r="DJ88" s="14" t="s">
        <v>328</v>
      </c>
      <c r="DK88" s="14"/>
      <c r="DL88" s="14"/>
      <c r="DM88" s="14"/>
      <c r="DN88" s="14"/>
      <c r="DO88" s="14"/>
      <c r="DP88" s="14" t="s">
        <v>333</v>
      </c>
      <c r="DQ88" s="14"/>
      <c r="DR88" s="14" t="s">
        <v>328</v>
      </c>
      <c r="DS88" s="14" t="s">
        <v>328</v>
      </c>
      <c r="DT88" s="14" t="s">
        <v>489</v>
      </c>
      <c r="DU88" s="14"/>
      <c r="DV88" s="14"/>
      <c r="DW88" s="15" t="s">
        <v>489</v>
      </c>
      <c r="DX88" s="14" t="s">
        <v>411</v>
      </c>
      <c r="DY88" s="14" t="s">
        <v>328</v>
      </c>
      <c r="DZ88" s="14"/>
      <c r="EA88" s="14"/>
      <c r="EB88" s="14"/>
      <c r="EC88" s="14"/>
      <c r="ED88" s="14"/>
      <c r="EE88" s="101" t="s">
        <v>333</v>
      </c>
      <c r="EF88" s="99"/>
      <c r="EG88" s="17">
        <f t="shared" si="1"/>
        <v>0</v>
      </c>
    </row>
    <row r="89" spans="1:137" x14ac:dyDescent="0.25">
      <c r="A89" s="50" t="s">
        <v>1855</v>
      </c>
      <c r="B89" s="208">
        <v>41540</v>
      </c>
      <c r="C89" s="209" t="s">
        <v>2766</v>
      </c>
      <c r="D89" s="61" t="s">
        <v>518</v>
      </c>
      <c r="E89" s="14"/>
      <c r="F89" s="14" t="s">
        <v>328</v>
      </c>
      <c r="G89" s="14">
        <v>46</v>
      </c>
      <c r="H89" s="14" t="s">
        <v>329</v>
      </c>
      <c r="I89" s="14" t="s">
        <v>399</v>
      </c>
      <c r="J89" s="14" t="s">
        <v>356</v>
      </c>
      <c r="K89" s="14" t="s">
        <v>1183</v>
      </c>
      <c r="L89" s="14" t="s">
        <v>1183</v>
      </c>
      <c r="M89" s="14">
        <v>15</v>
      </c>
      <c r="N89" s="14">
        <v>6</v>
      </c>
      <c r="O89" s="14">
        <v>11</v>
      </c>
      <c r="P89" s="14">
        <v>1</v>
      </c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 t="s">
        <v>328</v>
      </c>
      <c r="AC89" s="14" t="s">
        <v>328</v>
      </c>
      <c r="AD89" s="14" t="s">
        <v>328</v>
      </c>
      <c r="AE89" s="14" t="s">
        <v>328</v>
      </c>
      <c r="AF89" s="14" t="s">
        <v>328</v>
      </c>
      <c r="AG89" s="14"/>
      <c r="AH89" s="14" t="s">
        <v>328</v>
      </c>
      <c r="AI89" s="14" t="s">
        <v>328</v>
      </c>
      <c r="AJ89" s="14"/>
      <c r="AK89" s="14"/>
      <c r="AL89" s="14" t="s">
        <v>328</v>
      </c>
      <c r="AM89" s="14" t="s">
        <v>328</v>
      </c>
      <c r="AN89" s="14" t="s">
        <v>328</v>
      </c>
      <c r="AO89" s="14"/>
      <c r="AP89" s="14" t="s">
        <v>328</v>
      </c>
      <c r="AQ89" s="14" t="s">
        <v>328</v>
      </c>
      <c r="AR89" s="14">
        <v>9</v>
      </c>
      <c r="AS89" s="14">
        <v>5</v>
      </c>
      <c r="AT89" s="14"/>
      <c r="AU89" s="14"/>
      <c r="AV89" s="14"/>
      <c r="AW89" s="14" t="s">
        <v>328</v>
      </c>
      <c r="AX89" s="14">
        <v>2</v>
      </c>
      <c r="AY89" s="14">
        <v>3</v>
      </c>
      <c r="AZ89" s="14">
        <v>4</v>
      </c>
      <c r="BA89" s="14" t="s">
        <v>346</v>
      </c>
      <c r="BB89" s="14"/>
      <c r="BC89" s="14" t="s">
        <v>328</v>
      </c>
      <c r="BD89" s="14" t="s">
        <v>328</v>
      </c>
      <c r="BE89" s="14" t="s">
        <v>328</v>
      </c>
      <c r="BF89" s="14"/>
      <c r="BG89" s="14" t="s">
        <v>328</v>
      </c>
      <c r="BH89" s="14"/>
      <c r="BI89" s="14"/>
      <c r="BJ89" s="14" t="s">
        <v>328</v>
      </c>
      <c r="BK89" s="14"/>
      <c r="BL89" s="14"/>
      <c r="BM89" s="14"/>
      <c r="BN89" s="14"/>
      <c r="BO89" s="14" t="s">
        <v>328</v>
      </c>
      <c r="BP89" s="14"/>
      <c r="BQ89" s="14" t="s">
        <v>328</v>
      </c>
      <c r="BR89" s="14" t="s">
        <v>328</v>
      </c>
      <c r="BS89" s="14"/>
      <c r="BT89" s="14"/>
      <c r="BU89" s="14"/>
      <c r="BV89" s="14" t="s">
        <v>328</v>
      </c>
      <c r="BW89" s="14" t="s">
        <v>328</v>
      </c>
      <c r="BX89" s="14"/>
      <c r="BY89" s="14"/>
      <c r="BZ89" s="14"/>
      <c r="CA89" s="14"/>
      <c r="CB89" s="14" t="s">
        <v>328</v>
      </c>
      <c r="CC89" s="14"/>
      <c r="CD89" s="14"/>
      <c r="CE89" s="14"/>
      <c r="CF89" s="14"/>
      <c r="CG89" s="14"/>
      <c r="CH89" s="14"/>
      <c r="CI89" s="14"/>
      <c r="CJ89" s="14" t="s">
        <v>328</v>
      </c>
      <c r="CK89" s="14"/>
      <c r="CL89" s="14"/>
      <c r="CM89" s="14"/>
      <c r="CN89" s="14">
        <v>6</v>
      </c>
      <c r="CO89" s="14">
        <v>4</v>
      </c>
      <c r="CP89" s="14">
        <v>3</v>
      </c>
      <c r="CQ89" s="14">
        <v>1</v>
      </c>
      <c r="CR89" s="14">
        <v>2</v>
      </c>
      <c r="CS89" s="14">
        <v>5</v>
      </c>
      <c r="CT89" s="14" t="s">
        <v>328</v>
      </c>
      <c r="CU89" s="14" t="s">
        <v>328</v>
      </c>
      <c r="CV89" s="14"/>
      <c r="CW89" s="14"/>
      <c r="CX89" s="14"/>
      <c r="CY89" s="14"/>
      <c r="CZ89" s="14"/>
      <c r="DA89" s="14"/>
      <c r="DB89" s="14"/>
      <c r="DC89" s="14">
        <v>1</v>
      </c>
      <c r="DD89" s="14">
        <v>6</v>
      </c>
      <c r="DE89" s="14">
        <v>4</v>
      </c>
      <c r="DF89" s="14">
        <v>3</v>
      </c>
      <c r="DG89" s="14">
        <v>2</v>
      </c>
      <c r="DH89" s="14">
        <v>5</v>
      </c>
      <c r="DI89" s="14"/>
      <c r="DJ89" s="14" t="s">
        <v>328</v>
      </c>
      <c r="DK89" s="14"/>
      <c r="DL89" s="14"/>
      <c r="DM89" s="14"/>
      <c r="DN89" s="14"/>
      <c r="DO89" s="14"/>
      <c r="DP89" s="14" t="s">
        <v>1145</v>
      </c>
      <c r="DQ89" s="14"/>
      <c r="DR89" s="14" t="s">
        <v>328</v>
      </c>
      <c r="DS89" s="14" t="s">
        <v>328</v>
      </c>
      <c r="DT89" s="14" t="s">
        <v>437</v>
      </c>
      <c r="DU89" s="14"/>
      <c r="DV89" s="14"/>
      <c r="DW89" s="14" t="s">
        <v>335</v>
      </c>
      <c r="DX89" s="14" t="s">
        <v>558</v>
      </c>
      <c r="DY89" s="14"/>
      <c r="DZ89" s="14" t="s">
        <v>328</v>
      </c>
      <c r="EA89" s="14" t="s">
        <v>328</v>
      </c>
      <c r="EB89" s="14" t="s">
        <v>613</v>
      </c>
      <c r="EC89" s="14"/>
      <c r="ED89" s="14" t="s">
        <v>559</v>
      </c>
      <c r="EE89" s="101" t="s">
        <v>560</v>
      </c>
      <c r="EF89" s="99"/>
      <c r="EG89" s="17">
        <f t="shared" si="1"/>
        <v>0</v>
      </c>
    </row>
    <row r="90" spans="1:137" x14ac:dyDescent="0.25">
      <c r="A90" s="50" t="s">
        <v>1855</v>
      </c>
      <c r="B90" s="208">
        <v>41540</v>
      </c>
      <c r="C90" s="209" t="s">
        <v>2766</v>
      </c>
      <c r="D90" s="61" t="s">
        <v>519</v>
      </c>
      <c r="E90" s="14" t="s">
        <v>328</v>
      </c>
      <c r="F90" s="14"/>
      <c r="G90" s="14">
        <v>54</v>
      </c>
      <c r="H90" s="14" t="s">
        <v>329</v>
      </c>
      <c r="I90" s="14" t="s">
        <v>330</v>
      </c>
      <c r="J90" s="14" t="s">
        <v>356</v>
      </c>
      <c r="K90" s="14" t="s">
        <v>1183</v>
      </c>
      <c r="L90" s="14" t="s">
        <v>1183</v>
      </c>
      <c r="M90" s="14">
        <v>35</v>
      </c>
      <c r="N90" s="14">
        <v>2</v>
      </c>
      <c r="O90" s="14"/>
      <c r="P90" s="14"/>
      <c r="Q90" s="14"/>
      <c r="R90" s="14"/>
      <c r="S90" s="14"/>
      <c r="T90" s="14"/>
      <c r="U90" s="14"/>
      <c r="V90" s="14">
        <v>2</v>
      </c>
      <c r="W90" s="14"/>
      <c r="X90" s="14"/>
      <c r="Y90" s="14"/>
      <c r="Z90" s="14"/>
      <c r="AA90" s="14"/>
      <c r="AB90" s="14"/>
      <c r="AC90" s="14"/>
      <c r="AD90" s="14"/>
      <c r="AE90" s="14" t="s">
        <v>328</v>
      </c>
      <c r="AF90" s="14"/>
      <c r="AG90" s="14"/>
      <c r="AH90" s="14"/>
      <c r="AI90" s="14"/>
      <c r="AJ90" s="14"/>
      <c r="AK90" s="14"/>
      <c r="AL90" s="14"/>
      <c r="AM90" s="14" t="s">
        <v>328</v>
      </c>
      <c r="AN90" s="14"/>
      <c r="AO90" s="14" t="s">
        <v>328</v>
      </c>
      <c r="AP90" s="14"/>
      <c r="AQ90" s="14"/>
      <c r="AR90" s="14">
        <v>10</v>
      </c>
      <c r="AS90" s="14">
        <v>1</v>
      </c>
      <c r="AT90" s="14"/>
      <c r="AU90" s="14"/>
      <c r="AV90" s="14" t="s">
        <v>328</v>
      </c>
      <c r="AW90" s="14"/>
      <c r="AX90" s="14">
        <v>1</v>
      </c>
      <c r="AY90" s="14">
        <v>2</v>
      </c>
      <c r="AZ90" s="14">
        <v>3</v>
      </c>
      <c r="BA90" s="14"/>
      <c r="BB90" s="14" t="s">
        <v>328</v>
      </c>
      <c r="BC90" s="14"/>
      <c r="BD90" s="14"/>
      <c r="BE90" s="14"/>
      <c r="BF90" s="14" t="s">
        <v>328</v>
      </c>
      <c r="BG90" s="14"/>
      <c r="BH90" s="14"/>
      <c r="BI90" s="14"/>
      <c r="BJ90" s="14"/>
      <c r="BK90" s="14"/>
      <c r="BL90" s="14"/>
      <c r="BM90" s="14"/>
      <c r="BN90" s="14"/>
      <c r="BO90" s="14" t="s">
        <v>328</v>
      </c>
      <c r="BP90" s="14"/>
      <c r="BQ90" s="14" t="s">
        <v>328</v>
      </c>
      <c r="BR90" s="14"/>
      <c r="BS90" s="14"/>
      <c r="BT90" s="14"/>
      <c r="BU90" s="14"/>
      <c r="BV90" s="14"/>
      <c r="BW90" s="14" t="s">
        <v>328</v>
      </c>
      <c r="BX90" s="14"/>
      <c r="BY90" s="14"/>
      <c r="BZ90" s="14"/>
      <c r="CA90" s="14"/>
      <c r="CB90" s="14"/>
      <c r="CC90" s="14" t="s">
        <v>328</v>
      </c>
      <c r="CD90" s="14" t="s">
        <v>328</v>
      </c>
      <c r="CE90" s="14"/>
      <c r="CF90" s="14"/>
      <c r="CG90" s="14"/>
      <c r="CH90" s="14"/>
      <c r="CI90" s="14" t="s">
        <v>328</v>
      </c>
      <c r="CJ90" s="14"/>
      <c r="CK90" s="14"/>
      <c r="CL90" s="14"/>
      <c r="CM90" s="14"/>
      <c r="CN90" s="14">
        <v>3</v>
      </c>
      <c r="CO90" s="14">
        <v>1</v>
      </c>
      <c r="CP90" s="14">
        <v>2</v>
      </c>
      <c r="CQ90" s="14">
        <v>5</v>
      </c>
      <c r="CR90" s="14">
        <v>6</v>
      </c>
      <c r="CS90" s="14">
        <v>4</v>
      </c>
      <c r="CT90" s="14"/>
      <c r="CU90" s="14"/>
      <c r="CV90" s="14"/>
      <c r="CW90" s="14"/>
      <c r="CX90" s="14" t="s">
        <v>328</v>
      </c>
      <c r="CY90" s="14"/>
      <c r="CZ90" s="14"/>
      <c r="DA90" s="14" t="s">
        <v>328</v>
      </c>
      <c r="DB90" s="14" t="s">
        <v>404</v>
      </c>
      <c r="DC90" s="14"/>
      <c r="DD90" s="14"/>
      <c r="DE90" s="14"/>
      <c r="DF90" s="14"/>
      <c r="DG90" s="14"/>
      <c r="DH90" s="14"/>
      <c r="DI90" s="14"/>
      <c r="DJ90" s="14" t="s">
        <v>328</v>
      </c>
      <c r="DK90" s="14"/>
      <c r="DL90" s="14"/>
      <c r="DM90" s="14"/>
      <c r="DN90" s="14"/>
      <c r="DO90" s="14"/>
      <c r="DP90" s="14" t="s">
        <v>1145</v>
      </c>
      <c r="DQ90" s="14" t="s">
        <v>328</v>
      </c>
      <c r="DR90" s="14"/>
      <c r="DS90" s="14"/>
      <c r="DT90" s="14"/>
      <c r="DU90" s="14"/>
      <c r="DV90" s="14"/>
      <c r="DW90" s="14"/>
      <c r="DX90" s="14" t="s">
        <v>1144</v>
      </c>
      <c r="DY90" s="14" t="s">
        <v>328</v>
      </c>
      <c r="DZ90" s="14"/>
      <c r="EA90" s="14"/>
      <c r="EB90" s="14"/>
      <c r="EC90" s="14"/>
      <c r="ED90" s="14"/>
      <c r="EE90" s="101" t="s">
        <v>333</v>
      </c>
      <c r="EF90" s="99"/>
      <c r="EG90" s="17">
        <f t="shared" si="1"/>
        <v>0</v>
      </c>
    </row>
    <row r="91" spans="1:137" x14ac:dyDescent="0.25">
      <c r="A91" s="50" t="s">
        <v>1855</v>
      </c>
      <c r="B91" s="208">
        <v>41540</v>
      </c>
      <c r="C91" s="209" t="s">
        <v>2766</v>
      </c>
      <c r="D91" s="61" t="s">
        <v>520</v>
      </c>
      <c r="E91" s="14"/>
      <c r="F91" s="14" t="s">
        <v>328</v>
      </c>
      <c r="G91" s="14">
        <v>44</v>
      </c>
      <c r="H91" s="14" t="s">
        <v>329</v>
      </c>
      <c r="I91" s="14" t="s">
        <v>357</v>
      </c>
      <c r="J91" s="14" t="s">
        <v>356</v>
      </c>
      <c r="K91" s="14" t="s">
        <v>1183</v>
      </c>
      <c r="L91" s="14" t="s">
        <v>1183</v>
      </c>
      <c r="M91" s="14">
        <v>20</v>
      </c>
      <c r="N91" s="14">
        <v>18</v>
      </c>
      <c r="O91" s="14"/>
      <c r="P91" s="14"/>
      <c r="Q91" s="14"/>
      <c r="R91" s="14"/>
      <c r="S91" s="14">
        <v>10</v>
      </c>
      <c r="T91" s="14"/>
      <c r="U91" s="14"/>
      <c r="V91" s="14"/>
      <c r="W91" s="14"/>
      <c r="X91" s="14"/>
      <c r="Y91" s="14">
        <v>8</v>
      </c>
      <c r="Z91" s="14"/>
      <c r="AA91" s="14"/>
      <c r="AB91" s="14"/>
      <c r="AC91" s="14"/>
      <c r="AD91" s="14" t="s">
        <v>328</v>
      </c>
      <c r="AE91" s="14" t="s">
        <v>328</v>
      </c>
      <c r="AF91" s="14" t="s">
        <v>328</v>
      </c>
      <c r="AG91" s="14"/>
      <c r="AH91" s="14"/>
      <c r="AI91" s="14"/>
      <c r="AJ91" s="14" t="s">
        <v>328</v>
      </c>
      <c r="AK91" s="14"/>
      <c r="AL91" s="14" t="s">
        <v>328</v>
      </c>
      <c r="AM91" s="14"/>
      <c r="AN91" s="14"/>
      <c r="AO91" s="14"/>
      <c r="AP91" s="14" t="s">
        <v>328</v>
      </c>
      <c r="AQ91" s="14"/>
      <c r="AR91" s="14">
        <v>9</v>
      </c>
      <c r="AS91" s="14">
        <v>2</v>
      </c>
      <c r="AT91" s="14"/>
      <c r="AU91" s="14" t="s">
        <v>328</v>
      </c>
      <c r="AV91" s="14"/>
      <c r="AW91" s="14"/>
      <c r="AX91" s="14">
        <v>2</v>
      </c>
      <c r="AY91" s="14">
        <v>3</v>
      </c>
      <c r="AZ91" s="14">
        <v>1</v>
      </c>
      <c r="BA91" s="14"/>
      <c r="BB91" s="14"/>
      <c r="BC91" s="14" t="s">
        <v>328</v>
      </c>
      <c r="BD91" s="14"/>
      <c r="BE91" s="14"/>
      <c r="BF91" s="14"/>
      <c r="BG91" s="14" t="s">
        <v>328</v>
      </c>
      <c r="BH91" s="14"/>
      <c r="BI91" s="14"/>
      <c r="BJ91" s="14"/>
      <c r="BK91" s="14"/>
      <c r="BL91" s="14"/>
      <c r="BM91" s="14"/>
      <c r="BN91" s="14" t="s">
        <v>328</v>
      </c>
      <c r="BO91" s="14"/>
      <c r="BP91" s="14" t="s">
        <v>328</v>
      </c>
      <c r="BQ91" s="14"/>
      <c r="BR91" s="14" t="s">
        <v>328</v>
      </c>
      <c r="BS91" s="14"/>
      <c r="BT91" s="14"/>
      <c r="BU91" s="14"/>
      <c r="BV91" s="14"/>
      <c r="BW91" s="14"/>
      <c r="BX91" s="14"/>
      <c r="BY91" s="14" t="s">
        <v>328</v>
      </c>
      <c r="BZ91" s="14"/>
      <c r="CA91" s="14"/>
      <c r="CB91" s="14" t="s">
        <v>328</v>
      </c>
      <c r="CC91" s="14"/>
      <c r="CD91" s="14"/>
      <c r="CE91" s="14"/>
      <c r="CF91" s="14"/>
      <c r="CG91" s="14"/>
      <c r="CH91" s="8" t="s">
        <v>419</v>
      </c>
      <c r="CI91" s="14" t="s">
        <v>328</v>
      </c>
      <c r="CJ91" s="14"/>
      <c r="CK91" s="14"/>
      <c r="CL91" s="14"/>
      <c r="CM91" s="14" t="s">
        <v>328</v>
      </c>
      <c r="CN91" s="14">
        <v>2</v>
      </c>
      <c r="CO91" s="14">
        <v>3</v>
      </c>
      <c r="CP91" s="14">
        <v>4</v>
      </c>
      <c r="CQ91" s="14">
        <v>5</v>
      </c>
      <c r="CR91" s="14">
        <v>6</v>
      </c>
      <c r="CS91" s="14">
        <v>1</v>
      </c>
      <c r="CT91" s="14"/>
      <c r="CU91" s="14" t="s">
        <v>328</v>
      </c>
      <c r="CV91" s="14"/>
      <c r="CW91" s="14" t="s">
        <v>328</v>
      </c>
      <c r="CX91" s="14"/>
      <c r="CY91" s="14" t="s">
        <v>328</v>
      </c>
      <c r="CZ91" s="14" t="s">
        <v>424</v>
      </c>
      <c r="DA91" s="14"/>
      <c r="DB91" s="14"/>
      <c r="DC91" s="14">
        <v>2</v>
      </c>
      <c r="DD91" s="14">
        <v>6</v>
      </c>
      <c r="DE91" s="14">
        <v>4</v>
      </c>
      <c r="DF91" s="14">
        <v>5</v>
      </c>
      <c r="DG91" s="14">
        <v>3</v>
      </c>
      <c r="DH91" s="14"/>
      <c r="DI91" s="14" t="s">
        <v>346</v>
      </c>
      <c r="DJ91" s="14" t="s">
        <v>328</v>
      </c>
      <c r="DK91" s="14"/>
      <c r="DL91" s="14"/>
      <c r="DM91" s="14"/>
      <c r="DN91" s="14"/>
      <c r="DO91" s="14"/>
      <c r="DP91" s="14" t="s">
        <v>333</v>
      </c>
      <c r="DQ91" s="14"/>
      <c r="DR91" s="14" t="s">
        <v>328</v>
      </c>
      <c r="DS91" s="14" t="s">
        <v>328</v>
      </c>
      <c r="DT91" s="14" t="s">
        <v>924</v>
      </c>
      <c r="DU91" s="14"/>
      <c r="DV91" s="14"/>
      <c r="DW91" s="15" t="s">
        <v>410</v>
      </c>
      <c r="DX91" s="14" t="s">
        <v>411</v>
      </c>
      <c r="DY91" s="14" t="s">
        <v>328</v>
      </c>
      <c r="DZ91" s="14"/>
      <c r="EA91" s="14"/>
      <c r="EB91" s="14"/>
      <c r="EC91" s="14"/>
      <c r="ED91" s="14"/>
      <c r="EE91" s="101" t="s">
        <v>333</v>
      </c>
      <c r="EF91" s="99"/>
      <c r="EG91" s="17">
        <f t="shared" si="1"/>
        <v>0</v>
      </c>
    </row>
    <row r="92" spans="1:137" x14ac:dyDescent="0.25">
      <c r="A92" s="50" t="s">
        <v>1855</v>
      </c>
      <c r="B92" s="208">
        <v>41541</v>
      </c>
      <c r="C92" s="209" t="s">
        <v>2743</v>
      </c>
      <c r="D92" s="61" t="s">
        <v>521</v>
      </c>
      <c r="E92" s="14" t="s">
        <v>328</v>
      </c>
      <c r="F92" s="14"/>
      <c r="G92" s="14">
        <v>44</v>
      </c>
      <c r="H92" s="14" t="s">
        <v>329</v>
      </c>
      <c r="I92" s="14" t="s">
        <v>330</v>
      </c>
      <c r="J92" s="14" t="s">
        <v>771</v>
      </c>
      <c r="K92" s="8" t="s">
        <v>1232</v>
      </c>
      <c r="L92" s="14" t="s">
        <v>1288</v>
      </c>
      <c r="M92" s="14">
        <v>26</v>
      </c>
      <c r="N92" s="14">
        <v>2</v>
      </c>
      <c r="O92" s="14"/>
      <c r="P92" s="14"/>
      <c r="Q92" s="14"/>
      <c r="R92" s="14"/>
      <c r="S92" s="14"/>
      <c r="T92" s="14"/>
      <c r="U92" s="14"/>
      <c r="V92" s="14"/>
      <c r="W92" s="14"/>
      <c r="X92" s="14">
        <v>2</v>
      </c>
      <c r="Y92" s="14"/>
      <c r="Z92" s="14"/>
      <c r="AA92" s="14"/>
      <c r="AB92" s="14"/>
      <c r="AC92" s="14"/>
      <c r="AD92" s="14"/>
      <c r="AE92" s="14"/>
      <c r="AF92" s="14"/>
      <c r="AG92" s="14" t="s">
        <v>328</v>
      </c>
      <c r="AH92" s="14"/>
      <c r="AI92" s="14"/>
      <c r="AJ92" s="14"/>
      <c r="AK92" s="14"/>
      <c r="AL92" s="14"/>
      <c r="AM92" s="14" t="s">
        <v>328</v>
      </c>
      <c r="AN92" s="14"/>
      <c r="AO92" s="14"/>
      <c r="AP92" s="14"/>
      <c r="AQ92" s="14" t="s">
        <v>328</v>
      </c>
      <c r="AR92" s="14">
        <v>3</v>
      </c>
      <c r="AS92" s="14">
        <v>1</v>
      </c>
      <c r="AT92" s="14"/>
      <c r="AU92" s="14" t="s">
        <v>328</v>
      </c>
      <c r="AV92" s="14"/>
      <c r="AW92" s="14"/>
      <c r="AX92" s="14">
        <v>1</v>
      </c>
      <c r="AY92" s="14">
        <v>2</v>
      </c>
      <c r="AZ92" s="14">
        <v>3</v>
      </c>
      <c r="BA92" s="14"/>
      <c r="BB92" s="14" t="s">
        <v>328</v>
      </c>
      <c r="BC92" s="14"/>
      <c r="BD92" s="14"/>
      <c r="BE92" s="14" t="s">
        <v>328</v>
      </c>
      <c r="BF92" s="14"/>
      <c r="BG92" s="14"/>
      <c r="BH92" s="14"/>
      <c r="BI92" s="14"/>
      <c r="BJ92" s="14"/>
      <c r="BK92" s="14"/>
      <c r="BL92" s="14"/>
      <c r="BM92" s="14"/>
      <c r="BN92" s="14"/>
      <c r="BO92" s="14" t="s">
        <v>328</v>
      </c>
      <c r="BP92" s="14"/>
      <c r="BQ92" s="14" t="s">
        <v>328</v>
      </c>
      <c r="BR92" s="14"/>
      <c r="BS92" s="14"/>
      <c r="BT92" s="14" t="s">
        <v>328</v>
      </c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 t="s">
        <v>332</v>
      </c>
      <c r="CI92" s="14"/>
      <c r="CJ92" s="14"/>
      <c r="CK92" s="14" t="s">
        <v>328</v>
      </c>
      <c r="CL92" s="14"/>
      <c r="CM92" s="14"/>
      <c r="CN92" s="14">
        <v>5</v>
      </c>
      <c r="CO92" s="14">
        <v>4</v>
      </c>
      <c r="CP92" s="14">
        <v>3</v>
      </c>
      <c r="CQ92" s="14">
        <v>2</v>
      </c>
      <c r="CR92" s="14">
        <v>1</v>
      </c>
      <c r="CS92" s="14">
        <v>6</v>
      </c>
      <c r="CT92" s="14"/>
      <c r="CU92" s="14"/>
      <c r="CV92" s="14"/>
      <c r="CW92" s="14"/>
      <c r="CX92" s="14"/>
      <c r="CY92" s="14"/>
      <c r="CZ92" s="14" t="s">
        <v>332</v>
      </c>
      <c r="DA92" s="14"/>
      <c r="DB92" s="14"/>
      <c r="DC92" s="14">
        <v>2</v>
      </c>
      <c r="DD92" s="14">
        <v>1</v>
      </c>
      <c r="DE92" s="14">
        <v>4</v>
      </c>
      <c r="DF92" s="14">
        <v>5</v>
      </c>
      <c r="DG92" s="14">
        <v>3</v>
      </c>
      <c r="DH92" s="14">
        <v>6</v>
      </c>
      <c r="DI92" s="14"/>
      <c r="DJ92" s="14" t="s">
        <v>328</v>
      </c>
      <c r="DK92" s="14"/>
      <c r="DL92" s="14"/>
      <c r="DM92" s="14"/>
      <c r="DN92" s="14"/>
      <c r="DO92" s="14"/>
      <c r="DP92" s="14" t="s">
        <v>1145</v>
      </c>
      <c r="DQ92" s="14" t="s">
        <v>328</v>
      </c>
      <c r="DR92" s="14"/>
      <c r="DS92" s="14"/>
      <c r="DT92" s="14"/>
      <c r="DU92" s="14"/>
      <c r="DV92" s="14"/>
      <c r="DW92" s="14"/>
      <c r="DX92" s="14" t="s">
        <v>333</v>
      </c>
      <c r="DY92" s="14" t="s">
        <v>328</v>
      </c>
      <c r="DZ92" s="14"/>
      <c r="EA92" s="14"/>
      <c r="EB92" s="14"/>
      <c r="EC92" s="14"/>
      <c r="ED92" s="14"/>
      <c r="EE92" s="101" t="s">
        <v>1146</v>
      </c>
      <c r="EF92" s="99"/>
      <c r="EG92" s="17">
        <f t="shared" si="1"/>
        <v>0</v>
      </c>
    </row>
    <row r="93" spans="1:137" x14ac:dyDescent="0.25">
      <c r="A93" s="50" t="s">
        <v>1855</v>
      </c>
      <c r="B93" s="208">
        <v>41541</v>
      </c>
      <c r="C93" s="209" t="s">
        <v>2743</v>
      </c>
      <c r="D93" s="61" t="s">
        <v>522</v>
      </c>
      <c r="E93" s="14" t="s">
        <v>328</v>
      </c>
      <c r="F93" s="14"/>
      <c r="G93" s="14">
        <v>51</v>
      </c>
      <c r="H93" s="14" t="s">
        <v>329</v>
      </c>
      <c r="I93" s="14" t="s">
        <v>584</v>
      </c>
      <c r="J93" s="14" t="s">
        <v>771</v>
      </c>
      <c r="K93" s="14" t="s">
        <v>1232</v>
      </c>
      <c r="L93" s="14" t="s">
        <v>1288</v>
      </c>
      <c r="M93" s="14">
        <v>35</v>
      </c>
      <c r="N93" s="14">
        <v>3</v>
      </c>
      <c r="O93" s="14"/>
      <c r="P93" s="14"/>
      <c r="Q93" s="14"/>
      <c r="R93" s="14"/>
      <c r="S93" s="14"/>
      <c r="T93" s="14"/>
      <c r="U93" s="14"/>
      <c r="V93" s="14"/>
      <c r="W93" s="14"/>
      <c r="X93" s="14">
        <v>3</v>
      </c>
      <c r="Y93" s="14"/>
      <c r="Z93" s="14"/>
      <c r="AA93" s="14"/>
      <c r="AB93" s="14"/>
      <c r="AC93" s="14"/>
      <c r="AD93" s="14"/>
      <c r="AE93" s="14"/>
      <c r="AF93" s="14"/>
      <c r="AG93" s="14" t="s">
        <v>328</v>
      </c>
      <c r="AH93" s="14"/>
      <c r="AI93" s="14"/>
      <c r="AJ93" s="14"/>
      <c r="AK93" s="14"/>
      <c r="AL93" s="14"/>
      <c r="AM93" s="14" t="s">
        <v>328</v>
      </c>
      <c r="AN93" s="14"/>
      <c r="AO93" s="14"/>
      <c r="AP93" s="14"/>
      <c r="AQ93" s="14" t="s">
        <v>328</v>
      </c>
      <c r="AR93" s="15" t="s">
        <v>396</v>
      </c>
      <c r="AS93" s="15" t="s">
        <v>396</v>
      </c>
      <c r="AT93" s="14" t="s">
        <v>328</v>
      </c>
      <c r="AU93" s="14"/>
      <c r="AV93" s="14"/>
      <c r="AW93" s="14"/>
      <c r="AX93" s="14">
        <v>1</v>
      </c>
      <c r="AY93" s="14">
        <v>3</v>
      </c>
      <c r="AZ93" s="14">
        <v>2</v>
      </c>
      <c r="BA93" s="14"/>
      <c r="BB93" s="14" t="s">
        <v>328</v>
      </c>
      <c r="BC93" s="14"/>
      <c r="BD93" s="14" t="s">
        <v>328</v>
      </c>
      <c r="BE93" s="14"/>
      <c r="BF93" s="14"/>
      <c r="BG93" s="14"/>
      <c r="BH93" s="14"/>
      <c r="BI93" s="14"/>
      <c r="BJ93" s="14"/>
      <c r="BK93" s="14"/>
      <c r="BL93" s="14" t="s">
        <v>328</v>
      </c>
      <c r="BM93" s="14"/>
      <c r="BN93" s="14"/>
      <c r="BO93" s="14" t="s">
        <v>328</v>
      </c>
      <c r="BP93" s="14"/>
      <c r="BQ93" s="14" t="s">
        <v>328</v>
      </c>
      <c r="BR93" s="14"/>
      <c r="BS93" s="14"/>
      <c r="BT93" s="14"/>
      <c r="BU93" s="14"/>
      <c r="BV93" s="14"/>
      <c r="BW93" s="14"/>
      <c r="BX93" s="8" t="s">
        <v>409</v>
      </c>
      <c r="BY93" s="14"/>
      <c r="BZ93" s="14"/>
      <c r="CA93" s="14"/>
      <c r="CB93" s="14"/>
      <c r="CC93" s="14"/>
      <c r="CD93" s="14" t="s">
        <v>328</v>
      </c>
      <c r="CE93" s="14"/>
      <c r="CF93" s="14"/>
      <c r="CG93" s="14"/>
      <c r="CH93" s="14"/>
      <c r="CI93" s="14" t="s">
        <v>328</v>
      </c>
      <c r="CJ93" s="14"/>
      <c r="CK93" s="14"/>
      <c r="CL93" s="14"/>
      <c r="CM93" s="14"/>
      <c r="CN93" s="14">
        <v>6</v>
      </c>
      <c r="CO93" s="14">
        <v>4</v>
      </c>
      <c r="CP93" s="14">
        <v>3</v>
      </c>
      <c r="CQ93" s="14">
        <v>1</v>
      </c>
      <c r="CR93" s="14">
        <v>2</v>
      </c>
      <c r="CS93" s="14">
        <v>5</v>
      </c>
      <c r="CT93" s="14"/>
      <c r="CU93" s="14"/>
      <c r="CV93" s="14"/>
      <c r="CW93" s="14"/>
      <c r="CX93" s="14"/>
      <c r="CY93" s="14"/>
      <c r="CZ93" s="14" t="s">
        <v>332</v>
      </c>
      <c r="DA93" s="14" t="s">
        <v>328</v>
      </c>
      <c r="DB93" s="14" t="s">
        <v>404</v>
      </c>
      <c r="DC93" s="14"/>
      <c r="DD93" s="14"/>
      <c r="DE93" s="14"/>
      <c r="DF93" s="14"/>
      <c r="DG93" s="14"/>
      <c r="DH93" s="14"/>
      <c r="DI93" s="14"/>
      <c r="DJ93" s="14" t="s">
        <v>328</v>
      </c>
      <c r="DK93" s="14"/>
      <c r="DL93" s="14"/>
      <c r="DM93" s="14"/>
      <c r="DN93" s="14"/>
      <c r="DO93" s="14"/>
      <c r="DP93" s="14" t="s">
        <v>1146</v>
      </c>
      <c r="DQ93" s="14" t="s">
        <v>328</v>
      </c>
      <c r="DR93" s="14"/>
      <c r="DS93" s="14"/>
      <c r="DT93" s="14"/>
      <c r="DU93" s="14"/>
      <c r="DV93" s="14"/>
      <c r="DW93" s="14"/>
      <c r="DX93" s="14" t="s">
        <v>1149</v>
      </c>
      <c r="DY93" s="14" t="s">
        <v>328</v>
      </c>
      <c r="DZ93" s="14"/>
      <c r="EA93" s="14"/>
      <c r="EB93" s="14"/>
      <c r="EC93" s="14"/>
      <c r="ED93" s="14"/>
      <c r="EE93" s="101" t="s">
        <v>1145</v>
      </c>
      <c r="EF93" s="99"/>
      <c r="EG93" s="17">
        <f t="shared" si="1"/>
        <v>0</v>
      </c>
    </row>
    <row r="94" spans="1:137" x14ac:dyDescent="0.25">
      <c r="A94" s="50" t="s">
        <v>1855</v>
      </c>
      <c r="B94" s="208">
        <v>41541</v>
      </c>
      <c r="C94" s="209" t="s">
        <v>2766</v>
      </c>
      <c r="D94" s="61" t="s">
        <v>523</v>
      </c>
      <c r="E94" s="14" t="s">
        <v>328</v>
      </c>
      <c r="F94" s="14"/>
      <c r="G94" s="14">
        <v>52</v>
      </c>
      <c r="H94" s="14" t="s">
        <v>329</v>
      </c>
      <c r="I94" s="14" t="s">
        <v>724</v>
      </c>
      <c r="J94" s="14" t="s">
        <v>356</v>
      </c>
      <c r="K94" s="14" t="s">
        <v>1183</v>
      </c>
      <c r="L94" s="14" t="s">
        <v>1183</v>
      </c>
      <c r="M94" s="14">
        <v>0</v>
      </c>
      <c r="N94" s="14">
        <v>5</v>
      </c>
      <c r="O94" s="14"/>
      <c r="P94" s="14"/>
      <c r="Q94" s="14"/>
      <c r="R94" s="14">
        <v>5</v>
      </c>
      <c r="S94" s="14"/>
      <c r="T94" s="14"/>
      <c r="U94" s="14"/>
      <c r="V94" s="14"/>
      <c r="W94" s="14"/>
      <c r="X94" s="14"/>
      <c r="Y94" s="14"/>
      <c r="Z94" s="14"/>
      <c r="AA94" s="14"/>
      <c r="AB94" s="14" t="s">
        <v>328</v>
      </c>
      <c r="AC94" s="14"/>
      <c r="AD94" s="14"/>
      <c r="AE94" s="14"/>
      <c r="AF94" s="14"/>
      <c r="AG94" s="14"/>
      <c r="AH94" s="14"/>
      <c r="AI94" s="14" t="s">
        <v>328</v>
      </c>
      <c r="AJ94" s="14"/>
      <c r="AK94" s="14"/>
      <c r="AL94" s="14" t="s">
        <v>328</v>
      </c>
      <c r="AM94" s="14"/>
      <c r="AN94" s="14"/>
      <c r="AO94" s="14"/>
      <c r="AP94" s="14" t="s">
        <v>328</v>
      </c>
      <c r="AQ94" s="14"/>
      <c r="AR94" s="14">
        <v>10</v>
      </c>
      <c r="AS94" s="14">
        <v>1</v>
      </c>
      <c r="AT94" s="14"/>
      <c r="AU94" s="14" t="s">
        <v>328</v>
      </c>
      <c r="AV94" s="14"/>
      <c r="AW94" s="14"/>
      <c r="AX94" s="14">
        <v>2</v>
      </c>
      <c r="AY94" s="14">
        <v>3</v>
      </c>
      <c r="AZ94" s="14">
        <v>1</v>
      </c>
      <c r="BA94" s="14"/>
      <c r="BB94" s="14"/>
      <c r="BC94" s="14" t="s">
        <v>328</v>
      </c>
      <c r="BD94" s="14"/>
      <c r="BE94" s="14"/>
      <c r="BF94" s="14"/>
      <c r="BG94" s="14"/>
      <c r="BH94" s="14"/>
      <c r="BI94" s="14" t="s">
        <v>328</v>
      </c>
      <c r="BJ94" s="14"/>
      <c r="BK94" s="14"/>
      <c r="BL94" s="14"/>
      <c r="BM94" s="14"/>
      <c r="BN94" s="14"/>
      <c r="BO94" s="14" t="s">
        <v>328</v>
      </c>
      <c r="BP94" s="14" t="s">
        <v>328</v>
      </c>
      <c r="BQ94" s="14"/>
      <c r="BR94" s="14"/>
      <c r="BS94" s="14"/>
      <c r="BT94" s="14"/>
      <c r="BU94" s="14"/>
      <c r="BV94" s="14"/>
      <c r="BW94" s="14" t="s">
        <v>328</v>
      </c>
      <c r="BX94" s="14"/>
      <c r="BY94" s="14" t="s">
        <v>328</v>
      </c>
      <c r="BZ94" s="14"/>
      <c r="CA94" s="14"/>
      <c r="CB94" s="14" t="s">
        <v>328</v>
      </c>
      <c r="CC94" s="14" t="s">
        <v>328</v>
      </c>
      <c r="CD94" s="14"/>
      <c r="CE94" s="14"/>
      <c r="CF94" s="14"/>
      <c r="CG94" s="14"/>
      <c r="CH94" s="14"/>
      <c r="CI94" s="14"/>
      <c r="CJ94" s="14"/>
      <c r="CK94" s="14"/>
      <c r="CL94" s="14"/>
      <c r="CM94" s="14" t="s">
        <v>328</v>
      </c>
      <c r="CN94" s="14">
        <v>2</v>
      </c>
      <c r="CO94" s="14">
        <v>3</v>
      </c>
      <c r="CP94" s="14">
        <v>5</v>
      </c>
      <c r="CQ94" s="14">
        <v>4</v>
      </c>
      <c r="CR94" s="14">
        <v>6</v>
      </c>
      <c r="CS94" s="14">
        <v>1</v>
      </c>
      <c r="CT94" s="14"/>
      <c r="CU94" s="14"/>
      <c r="CV94" s="14"/>
      <c r="CW94" s="14"/>
      <c r="CX94" s="14"/>
      <c r="CY94" s="14" t="s">
        <v>328</v>
      </c>
      <c r="CZ94" s="14"/>
      <c r="DA94" s="14"/>
      <c r="DB94" s="14"/>
      <c r="DC94" s="14">
        <v>1</v>
      </c>
      <c r="DD94" s="14">
        <v>3</v>
      </c>
      <c r="DE94" s="14">
        <v>4</v>
      </c>
      <c r="DF94" s="14">
        <v>5</v>
      </c>
      <c r="DG94" s="14">
        <v>2</v>
      </c>
      <c r="DH94" s="14">
        <v>6</v>
      </c>
      <c r="DI94" s="14"/>
      <c r="DJ94" s="14" t="s">
        <v>328</v>
      </c>
      <c r="DK94" s="14"/>
      <c r="DL94" s="14"/>
      <c r="DM94" s="14"/>
      <c r="DN94" s="14"/>
      <c r="DO94" s="14"/>
      <c r="DP94" s="14" t="s">
        <v>333</v>
      </c>
      <c r="DQ94" s="14" t="s">
        <v>328</v>
      </c>
      <c r="DR94" s="14"/>
      <c r="DS94" s="14"/>
      <c r="DT94" s="14"/>
      <c r="DU94" s="14"/>
      <c r="DV94" s="14"/>
      <c r="DW94" s="14"/>
      <c r="DX94" s="14" t="s">
        <v>1148</v>
      </c>
      <c r="DY94" s="14" t="s">
        <v>328</v>
      </c>
      <c r="DZ94" s="14"/>
      <c r="EA94" s="14"/>
      <c r="EB94" s="14"/>
      <c r="EC94" s="14"/>
      <c r="ED94" s="14"/>
      <c r="EE94" s="101" t="s">
        <v>1145</v>
      </c>
      <c r="EF94" s="99"/>
      <c r="EG94" s="17">
        <f t="shared" si="1"/>
        <v>0</v>
      </c>
    </row>
    <row r="95" spans="1:137" x14ac:dyDescent="0.25">
      <c r="A95" s="50" t="s">
        <v>1855</v>
      </c>
      <c r="B95" s="208">
        <v>41541</v>
      </c>
      <c r="C95" s="209" t="s">
        <v>2744</v>
      </c>
      <c r="D95" s="61" t="s">
        <v>524</v>
      </c>
      <c r="E95" s="14" t="s">
        <v>328</v>
      </c>
      <c r="F95" s="14"/>
      <c r="G95" s="14">
        <v>38</v>
      </c>
      <c r="H95" s="14" t="s">
        <v>329</v>
      </c>
      <c r="I95" s="14" t="s">
        <v>399</v>
      </c>
      <c r="J95" s="14" t="s">
        <v>572</v>
      </c>
      <c r="K95" s="8" t="s">
        <v>1233</v>
      </c>
      <c r="L95" s="14" t="s">
        <v>1288</v>
      </c>
      <c r="M95" s="14">
        <v>10</v>
      </c>
      <c r="N95" s="14">
        <v>3</v>
      </c>
      <c r="O95" s="14"/>
      <c r="P95" s="14"/>
      <c r="Q95" s="14"/>
      <c r="R95" s="14"/>
      <c r="S95" s="14"/>
      <c r="T95" s="14"/>
      <c r="U95" s="14"/>
      <c r="V95" s="14"/>
      <c r="W95" s="14"/>
      <c r="X95" s="14">
        <v>3</v>
      </c>
      <c r="Y95" s="14"/>
      <c r="Z95" s="14"/>
      <c r="AA95" s="14"/>
      <c r="AB95" s="14"/>
      <c r="AC95" s="14"/>
      <c r="AD95" s="14"/>
      <c r="AE95" s="14"/>
      <c r="AF95" s="14"/>
      <c r="AG95" s="14" t="s">
        <v>328</v>
      </c>
      <c r="AH95" s="14"/>
      <c r="AI95" s="14"/>
      <c r="AJ95" s="14"/>
      <c r="AK95" s="14"/>
      <c r="AL95" s="14"/>
      <c r="AM95" s="14" t="s">
        <v>328</v>
      </c>
      <c r="AN95" s="14"/>
      <c r="AO95" s="14" t="s">
        <v>328</v>
      </c>
      <c r="AP95" s="14"/>
      <c r="AQ95" s="14"/>
      <c r="AR95" s="14">
        <v>0</v>
      </c>
      <c r="AS95" s="14">
        <v>0</v>
      </c>
      <c r="AT95" s="14" t="s">
        <v>328</v>
      </c>
      <c r="AU95" s="14"/>
      <c r="AV95" s="14"/>
      <c r="AW95" s="14"/>
      <c r="AX95" s="14">
        <v>3</v>
      </c>
      <c r="AY95" s="14">
        <v>2</v>
      </c>
      <c r="AZ95" s="14">
        <v>1</v>
      </c>
      <c r="BA95" s="14"/>
      <c r="BB95" s="14" t="s">
        <v>328</v>
      </c>
      <c r="BC95" s="14"/>
      <c r="BD95" s="14" t="s">
        <v>328</v>
      </c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 t="s">
        <v>328</v>
      </c>
      <c r="BP95" s="14"/>
      <c r="BQ95" s="14" t="s">
        <v>328</v>
      </c>
      <c r="BR95" s="14"/>
      <c r="BS95" s="14"/>
      <c r="BT95" s="14"/>
      <c r="BU95" s="14"/>
      <c r="BV95" s="14"/>
      <c r="BW95" s="14" t="s">
        <v>328</v>
      </c>
      <c r="BX95" s="14"/>
      <c r="BY95" s="14"/>
      <c r="BZ95" s="14"/>
      <c r="CA95" s="14"/>
      <c r="CB95" s="14"/>
      <c r="CC95" s="14" t="s">
        <v>328</v>
      </c>
      <c r="CD95" s="14"/>
      <c r="CE95" s="14"/>
      <c r="CF95" s="14"/>
      <c r="CG95" s="14"/>
      <c r="CH95" s="14"/>
      <c r="CI95" s="14" t="s">
        <v>328</v>
      </c>
      <c r="CJ95" s="14"/>
      <c r="CK95" s="14"/>
      <c r="CL95" s="14"/>
      <c r="CM95" s="14"/>
      <c r="CN95" s="14">
        <v>2</v>
      </c>
      <c r="CO95" s="14">
        <v>3</v>
      </c>
      <c r="CP95" s="14">
        <v>4</v>
      </c>
      <c r="CQ95" s="14">
        <v>6</v>
      </c>
      <c r="CR95" s="14">
        <v>5</v>
      </c>
      <c r="CS95" s="14">
        <v>1</v>
      </c>
      <c r="CT95" s="14"/>
      <c r="CU95" s="14" t="s">
        <v>328</v>
      </c>
      <c r="CV95" s="14"/>
      <c r="CW95" s="14" t="s">
        <v>328</v>
      </c>
      <c r="CX95" s="14"/>
      <c r="CY95" s="14" t="s">
        <v>328</v>
      </c>
      <c r="CZ95" s="14"/>
      <c r="DA95" s="14"/>
      <c r="DB95" s="14"/>
      <c r="DC95" s="14">
        <v>2</v>
      </c>
      <c r="DD95" s="14">
        <v>6</v>
      </c>
      <c r="DE95" s="14">
        <v>5</v>
      </c>
      <c r="DF95" s="14">
        <v>4</v>
      </c>
      <c r="DG95" s="14">
        <v>1</v>
      </c>
      <c r="DH95" s="14">
        <v>3</v>
      </c>
      <c r="DI95" s="14"/>
      <c r="DJ95" s="14" t="s">
        <v>328</v>
      </c>
      <c r="DK95" s="14"/>
      <c r="DL95" s="14"/>
      <c r="DM95" s="14"/>
      <c r="DN95" s="14"/>
      <c r="DO95" s="14"/>
      <c r="DP95" s="14" t="s">
        <v>1146</v>
      </c>
      <c r="DQ95" s="14"/>
      <c r="DR95" s="14" t="s">
        <v>328</v>
      </c>
      <c r="DS95" s="14" t="s">
        <v>328</v>
      </c>
      <c r="DT95" s="14" t="s">
        <v>923</v>
      </c>
      <c r="DU95" s="14"/>
      <c r="DV95" s="14"/>
      <c r="DW95" s="15" t="s">
        <v>410</v>
      </c>
      <c r="DX95" s="14" t="s">
        <v>411</v>
      </c>
      <c r="DY95" s="14" t="s">
        <v>328</v>
      </c>
      <c r="DZ95" s="14"/>
      <c r="EA95" s="14"/>
      <c r="EB95" s="14"/>
      <c r="EC95" s="14"/>
      <c r="ED95" s="14"/>
      <c r="EE95" s="101" t="s">
        <v>1145</v>
      </c>
      <c r="EF95" s="99"/>
      <c r="EG95" s="17">
        <f t="shared" si="1"/>
        <v>0</v>
      </c>
    </row>
    <row r="96" spans="1:137" x14ac:dyDescent="0.25">
      <c r="A96" s="50" t="s">
        <v>1855</v>
      </c>
      <c r="B96" s="208">
        <v>41541</v>
      </c>
      <c r="C96" s="210" t="s">
        <v>2746</v>
      </c>
      <c r="D96" s="61" t="s">
        <v>525</v>
      </c>
      <c r="E96" s="14" t="s">
        <v>328</v>
      </c>
      <c r="F96" s="14"/>
      <c r="G96" s="14">
        <v>67</v>
      </c>
      <c r="H96" s="14" t="s">
        <v>329</v>
      </c>
      <c r="I96" s="14" t="s">
        <v>353</v>
      </c>
      <c r="J96" s="14" t="s">
        <v>776</v>
      </c>
      <c r="K96" s="8" t="s">
        <v>1234</v>
      </c>
      <c r="L96" s="14" t="s">
        <v>1288</v>
      </c>
      <c r="M96" s="14">
        <v>45</v>
      </c>
      <c r="N96" s="14">
        <v>1</v>
      </c>
      <c r="O96" s="14">
        <v>1</v>
      </c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 t="s">
        <v>328</v>
      </c>
      <c r="AC96" s="14" t="s">
        <v>328</v>
      </c>
      <c r="AD96" s="14"/>
      <c r="AE96" s="14" t="s">
        <v>328</v>
      </c>
      <c r="AF96" s="14" t="s">
        <v>328</v>
      </c>
      <c r="AG96" s="14" t="s">
        <v>328</v>
      </c>
      <c r="AH96" s="14" t="s">
        <v>328</v>
      </c>
      <c r="AI96" s="14"/>
      <c r="AJ96" s="14"/>
      <c r="AK96" s="14"/>
      <c r="AL96" s="14"/>
      <c r="AM96" s="14" t="s">
        <v>328</v>
      </c>
      <c r="AN96" s="14"/>
      <c r="AO96" s="14" t="s">
        <v>328</v>
      </c>
      <c r="AP96" s="14"/>
      <c r="AQ96" s="14"/>
      <c r="AR96" s="14">
        <v>0</v>
      </c>
      <c r="AS96" s="14">
        <v>0</v>
      </c>
      <c r="AT96" s="14"/>
      <c r="AU96" s="14" t="s">
        <v>328</v>
      </c>
      <c r="AV96" s="14"/>
      <c r="AW96" s="14"/>
      <c r="AX96" s="14">
        <v>1</v>
      </c>
      <c r="AY96" s="14">
        <v>2</v>
      </c>
      <c r="AZ96" s="14">
        <v>3</v>
      </c>
      <c r="BA96" s="14"/>
      <c r="BB96" s="14" t="s">
        <v>328</v>
      </c>
      <c r="BC96" s="14"/>
      <c r="BD96" s="14" t="s">
        <v>328</v>
      </c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 t="s">
        <v>328</v>
      </c>
      <c r="BP96" s="14" t="s">
        <v>328</v>
      </c>
      <c r="BQ96" s="14"/>
      <c r="BR96" s="14"/>
      <c r="BS96" s="14"/>
      <c r="BT96" s="14"/>
      <c r="BU96" s="14"/>
      <c r="BV96" s="14"/>
      <c r="BW96" s="14"/>
      <c r="BX96" s="14" t="s">
        <v>332</v>
      </c>
      <c r="BY96" s="14"/>
      <c r="BZ96" s="14"/>
      <c r="CA96" s="14"/>
      <c r="CB96" s="14"/>
      <c r="CC96" s="14"/>
      <c r="CD96" s="14" t="s">
        <v>328</v>
      </c>
      <c r="CE96" s="14" t="s">
        <v>328</v>
      </c>
      <c r="CF96" s="14" t="s">
        <v>328</v>
      </c>
      <c r="CG96" s="14"/>
      <c r="CH96" s="14"/>
      <c r="CI96" s="14"/>
      <c r="CJ96" s="14" t="s">
        <v>328</v>
      </c>
      <c r="CK96" s="14"/>
      <c r="CL96" s="14"/>
      <c r="CM96" s="14"/>
      <c r="CN96" s="14">
        <v>5</v>
      </c>
      <c r="CO96" s="14">
        <v>3</v>
      </c>
      <c r="CP96" s="14">
        <v>4</v>
      </c>
      <c r="CQ96" s="14">
        <v>1</v>
      </c>
      <c r="CR96" s="14">
        <v>2</v>
      </c>
      <c r="CS96" s="14">
        <v>6</v>
      </c>
      <c r="CT96" s="14"/>
      <c r="CU96" s="14"/>
      <c r="CV96" s="14"/>
      <c r="CW96" s="14"/>
      <c r="CX96" s="14" t="s">
        <v>328</v>
      </c>
      <c r="CY96" s="14"/>
      <c r="CZ96" s="14"/>
      <c r="DA96" s="14" t="s">
        <v>328</v>
      </c>
      <c r="DB96" s="14" t="s">
        <v>404</v>
      </c>
      <c r="DC96" s="14"/>
      <c r="DD96" s="14"/>
      <c r="DE96" s="14"/>
      <c r="DF96" s="14"/>
      <c r="DG96" s="14"/>
      <c r="DH96" s="14"/>
      <c r="DI96" s="14"/>
      <c r="DJ96" s="14" t="s">
        <v>328</v>
      </c>
      <c r="DK96" s="14"/>
      <c r="DL96" s="14"/>
      <c r="DM96" s="14"/>
      <c r="DN96" s="14"/>
      <c r="DO96" s="14"/>
      <c r="DP96" s="14" t="s">
        <v>1145</v>
      </c>
      <c r="DQ96" s="14" t="s">
        <v>328</v>
      </c>
      <c r="DR96" s="14"/>
      <c r="DS96" s="14"/>
      <c r="DT96" s="14"/>
      <c r="DU96" s="14"/>
      <c r="DV96" s="14"/>
      <c r="DW96" s="14"/>
      <c r="DX96" s="14" t="s">
        <v>1145</v>
      </c>
      <c r="DY96" s="14" t="s">
        <v>328</v>
      </c>
      <c r="DZ96" s="14"/>
      <c r="EA96" s="14"/>
      <c r="EB96" s="14"/>
      <c r="EC96" s="14"/>
      <c r="ED96" s="14"/>
      <c r="EE96" s="101" t="s">
        <v>1145</v>
      </c>
      <c r="EF96" s="99"/>
      <c r="EG96" s="17">
        <f t="shared" si="1"/>
        <v>0</v>
      </c>
    </row>
    <row r="97" spans="1:137" x14ac:dyDescent="0.25">
      <c r="A97" s="50" t="s">
        <v>1855</v>
      </c>
      <c r="B97" s="208">
        <v>41541</v>
      </c>
      <c r="C97" s="210" t="s">
        <v>2745</v>
      </c>
      <c r="D97" s="61" t="s">
        <v>526</v>
      </c>
      <c r="E97" s="14" t="s">
        <v>328</v>
      </c>
      <c r="F97" s="14"/>
      <c r="G97" s="14">
        <v>56</v>
      </c>
      <c r="H97" s="14" t="s">
        <v>329</v>
      </c>
      <c r="I97" s="14" t="s">
        <v>330</v>
      </c>
      <c r="J97" s="14" t="s">
        <v>732</v>
      </c>
      <c r="K97" s="8" t="s">
        <v>1235</v>
      </c>
      <c r="L97" s="14" t="s">
        <v>1183</v>
      </c>
      <c r="M97" s="14">
        <v>40</v>
      </c>
      <c r="N97" s="14">
        <v>1</v>
      </c>
      <c r="O97" s="14"/>
      <c r="P97" s="14"/>
      <c r="Q97" s="14"/>
      <c r="R97" s="14"/>
      <c r="S97" s="14">
        <v>1</v>
      </c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 t="s">
        <v>563</v>
      </c>
      <c r="AL97" s="14" t="s">
        <v>328</v>
      </c>
      <c r="AM97" s="14"/>
      <c r="AN97" s="14"/>
      <c r="AO97" s="14"/>
      <c r="AP97" s="14"/>
      <c r="AQ97" s="14" t="s">
        <v>328</v>
      </c>
      <c r="AR97" s="14">
        <v>8</v>
      </c>
      <c r="AS97" s="14">
        <v>1</v>
      </c>
      <c r="AT97" s="14"/>
      <c r="AU97" s="14" t="s">
        <v>328</v>
      </c>
      <c r="AV97" s="14"/>
      <c r="AW97" s="14"/>
      <c r="AX97" s="14">
        <v>1</v>
      </c>
      <c r="AY97" s="14">
        <v>3</v>
      </c>
      <c r="AZ97" s="14">
        <v>2</v>
      </c>
      <c r="BA97" s="14"/>
      <c r="BB97" s="14" t="s">
        <v>328</v>
      </c>
      <c r="BC97" s="14"/>
      <c r="BD97" s="14"/>
      <c r="BE97" s="14" t="s">
        <v>328</v>
      </c>
      <c r="BF97" s="14"/>
      <c r="BG97" s="14"/>
      <c r="BH97" s="14"/>
      <c r="BI97" s="14"/>
      <c r="BJ97" s="14"/>
      <c r="BK97" s="14"/>
      <c r="BL97" s="14"/>
      <c r="BM97" s="14"/>
      <c r="BN97" s="14"/>
      <c r="BO97" s="14" t="s">
        <v>328</v>
      </c>
      <c r="BP97" s="14"/>
      <c r="BQ97" s="14" t="s">
        <v>328</v>
      </c>
      <c r="BR97" s="14"/>
      <c r="BS97" s="14"/>
      <c r="BT97" s="14"/>
      <c r="BU97" s="14"/>
      <c r="BV97" s="14"/>
      <c r="BW97" s="14"/>
      <c r="BX97" s="14" t="s">
        <v>409</v>
      </c>
      <c r="BY97" s="14"/>
      <c r="BZ97" s="14"/>
      <c r="CA97" s="14"/>
      <c r="CB97" s="14"/>
      <c r="CC97" s="14"/>
      <c r="CD97" s="14" t="s">
        <v>328</v>
      </c>
      <c r="CE97" s="14"/>
      <c r="CF97" s="14" t="s">
        <v>328</v>
      </c>
      <c r="CG97" s="14" t="s">
        <v>328</v>
      </c>
      <c r="CH97" s="14"/>
      <c r="CI97" s="14"/>
      <c r="CJ97" s="14"/>
      <c r="CK97" s="14"/>
      <c r="CL97" s="14" t="s">
        <v>328</v>
      </c>
      <c r="CM97" s="14"/>
      <c r="CN97" s="14">
        <v>6</v>
      </c>
      <c r="CO97" s="14">
        <v>1</v>
      </c>
      <c r="CP97" s="14">
        <v>2</v>
      </c>
      <c r="CQ97" s="14">
        <v>4</v>
      </c>
      <c r="CR97" s="14">
        <v>3</v>
      </c>
      <c r="CS97" s="14">
        <v>5</v>
      </c>
      <c r="CT97" s="14"/>
      <c r="CU97" s="14"/>
      <c r="CV97" s="14"/>
      <c r="CW97" s="14"/>
      <c r="CX97" s="14" t="s">
        <v>328</v>
      </c>
      <c r="CY97" s="14"/>
      <c r="CZ97" s="14"/>
      <c r="DA97" s="14" t="s">
        <v>328</v>
      </c>
      <c r="DB97" s="14" t="s">
        <v>564</v>
      </c>
      <c r="DC97" s="14"/>
      <c r="DD97" s="14"/>
      <c r="DE97" s="14"/>
      <c r="DF97" s="14"/>
      <c r="DG97" s="14"/>
      <c r="DH97" s="14"/>
      <c r="DI97" s="14"/>
      <c r="DJ97" s="14" t="s">
        <v>328</v>
      </c>
      <c r="DK97" s="14"/>
      <c r="DL97" s="14"/>
      <c r="DM97" s="14"/>
      <c r="DN97" s="14"/>
      <c r="DO97" s="14"/>
      <c r="DP97" s="14" t="s">
        <v>1146</v>
      </c>
      <c r="DQ97" s="14" t="s">
        <v>328</v>
      </c>
      <c r="DR97" s="14"/>
      <c r="DS97" s="14"/>
      <c r="DT97" s="14"/>
      <c r="DU97" s="14"/>
      <c r="DV97" s="14"/>
      <c r="DW97" s="14"/>
      <c r="DX97" s="14" t="s">
        <v>1152</v>
      </c>
      <c r="DY97" s="14" t="s">
        <v>328</v>
      </c>
      <c r="DZ97" s="14"/>
      <c r="EA97" s="14"/>
      <c r="EB97" s="14"/>
      <c r="EC97" s="14"/>
      <c r="ED97" s="14"/>
      <c r="EE97" s="101" t="s">
        <v>1146</v>
      </c>
      <c r="EF97" s="99"/>
      <c r="EG97" s="17">
        <f t="shared" si="1"/>
        <v>0</v>
      </c>
    </row>
    <row r="98" spans="1:137" x14ac:dyDescent="0.25">
      <c r="A98" s="50" t="s">
        <v>1855</v>
      </c>
      <c r="B98" s="208">
        <v>41541</v>
      </c>
      <c r="C98" s="209" t="s">
        <v>2766</v>
      </c>
      <c r="D98" s="61" t="s">
        <v>527</v>
      </c>
      <c r="E98" s="14" t="s">
        <v>328</v>
      </c>
      <c r="F98" s="14"/>
      <c r="G98" s="14">
        <v>47</v>
      </c>
      <c r="H98" s="14" t="s">
        <v>329</v>
      </c>
      <c r="I98" s="14" t="s">
        <v>357</v>
      </c>
      <c r="J98" s="14" t="s">
        <v>356</v>
      </c>
      <c r="K98" s="14" t="s">
        <v>1183</v>
      </c>
      <c r="L98" s="14" t="s">
        <v>1183</v>
      </c>
      <c r="M98" s="14">
        <v>18</v>
      </c>
      <c r="N98" s="14">
        <v>1</v>
      </c>
      <c r="O98" s="14"/>
      <c r="P98" s="14">
        <v>1</v>
      </c>
      <c r="Q98" s="14"/>
      <c r="R98" s="14">
        <v>1</v>
      </c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 t="s">
        <v>328</v>
      </c>
      <c r="AJ98" s="14"/>
      <c r="AK98" s="14"/>
      <c r="AL98" s="14"/>
      <c r="AM98" s="14" t="s">
        <v>328</v>
      </c>
      <c r="AN98" s="14" t="s">
        <v>328</v>
      </c>
      <c r="AO98" s="14"/>
      <c r="AP98" s="14"/>
      <c r="AQ98" s="14"/>
      <c r="AR98" s="14">
        <v>5</v>
      </c>
      <c r="AS98" s="14">
        <v>1</v>
      </c>
      <c r="AT98" s="14" t="s">
        <v>328</v>
      </c>
      <c r="AU98" s="14"/>
      <c r="AV98" s="14"/>
      <c r="AW98" s="14"/>
      <c r="AX98" s="14">
        <v>1</v>
      </c>
      <c r="AY98" s="14">
        <v>2</v>
      </c>
      <c r="AZ98" s="14">
        <v>3</v>
      </c>
      <c r="BA98" s="14"/>
      <c r="BB98" s="14" t="s">
        <v>328</v>
      </c>
      <c r="BC98" s="14"/>
      <c r="BD98" s="14"/>
      <c r="BE98" s="14"/>
      <c r="BF98" s="14" t="s">
        <v>328</v>
      </c>
      <c r="BG98" s="14"/>
      <c r="BH98" s="14"/>
      <c r="BI98" s="14"/>
      <c r="BJ98" s="14"/>
      <c r="BK98" s="14"/>
      <c r="BL98" s="14"/>
      <c r="BM98" s="14"/>
      <c r="BN98" s="14"/>
      <c r="BO98" s="14" t="s">
        <v>328</v>
      </c>
      <c r="BP98" s="14" t="s">
        <v>328</v>
      </c>
      <c r="BQ98" s="14"/>
      <c r="BR98" s="14"/>
      <c r="BS98" s="14" t="s">
        <v>328</v>
      </c>
      <c r="BT98" s="14"/>
      <c r="BU98" s="14"/>
      <c r="BV98" s="14"/>
      <c r="BW98" s="14" t="s">
        <v>328</v>
      </c>
      <c r="BX98" s="14"/>
      <c r="BY98" s="14"/>
      <c r="BZ98" s="14"/>
      <c r="CA98" s="14"/>
      <c r="CB98" s="14" t="s">
        <v>328</v>
      </c>
      <c r="CC98" s="14" t="s">
        <v>328</v>
      </c>
      <c r="CD98" s="14"/>
      <c r="CE98" s="14"/>
      <c r="CF98" s="14"/>
      <c r="CG98" s="14"/>
      <c r="CH98" s="14"/>
      <c r="CI98" s="14" t="s">
        <v>328</v>
      </c>
      <c r="CJ98" s="14"/>
      <c r="CK98" s="14"/>
      <c r="CL98" s="14"/>
      <c r="CM98" s="14"/>
      <c r="CN98" s="14">
        <v>4</v>
      </c>
      <c r="CO98" s="14">
        <v>1</v>
      </c>
      <c r="CP98" s="14">
        <v>2</v>
      </c>
      <c r="CQ98" s="14">
        <v>5</v>
      </c>
      <c r="CR98" s="14">
        <v>6</v>
      </c>
      <c r="CS98" s="14">
        <v>3</v>
      </c>
      <c r="CT98" s="14"/>
      <c r="CU98" s="14" t="s">
        <v>328</v>
      </c>
      <c r="CV98" s="14"/>
      <c r="CW98" s="14"/>
      <c r="CX98" s="14"/>
      <c r="CY98" s="14"/>
      <c r="CZ98" s="14"/>
      <c r="DA98" s="14"/>
      <c r="DB98" s="14"/>
      <c r="DC98" s="14">
        <v>1</v>
      </c>
      <c r="DD98" s="14">
        <v>6</v>
      </c>
      <c r="DE98" s="14">
        <v>3</v>
      </c>
      <c r="DF98" s="14">
        <v>4</v>
      </c>
      <c r="DG98" s="14">
        <v>2</v>
      </c>
      <c r="DH98" s="14">
        <v>5</v>
      </c>
      <c r="DI98" s="14"/>
      <c r="DJ98" s="14" t="s">
        <v>328</v>
      </c>
      <c r="DK98" s="14"/>
      <c r="DL98" s="14"/>
      <c r="DM98" s="14"/>
      <c r="DN98" s="14"/>
      <c r="DO98" s="14"/>
      <c r="DP98" s="14" t="s">
        <v>1145</v>
      </c>
      <c r="DQ98" s="14"/>
      <c r="DR98" s="14" t="s">
        <v>328</v>
      </c>
      <c r="DS98" s="14" t="s">
        <v>328</v>
      </c>
      <c r="DT98" s="14" t="s">
        <v>504</v>
      </c>
      <c r="DU98" s="14"/>
      <c r="DV98" s="14"/>
      <c r="DW98" s="15" t="s">
        <v>428</v>
      </c>
      <c r="DX98" s="14" t="s">
        <v>930</v>
      </c>
      <c r="DY98" s="14" t="s">
        <v>328</v>
      </c>
      <c r="DZ98" s="14"/>
      <c r="EA98" s="14"/>
      <c r="EB98" s="14"/>
      <c r="EC98" s="14"/>
      <c r="ED98" s="14"/>
      <c r="EE98" s="101" t="s">
        <v>1153</v>
      </c>
      <c r="EF98" s="99"/>
      <c r="EG98" s="17">
        <f t="shared" si="1"/>
        <v>0</v>
      </c>
    </row>
    <row r="99" spans="1:137" x14ac:dyDescent="0.25">
      <c r="A99" s="50" t="s">
        <v>1855</v>
      </c>
      <c r="B99" s="208">
        <v>41541</v>
      </c>
      <c r="C99" s="210" t="s">
        <v>2745</v>
      </c>
      <c r="D99" s="61" t="s">
        <v>528</v>
      </c>
      <c r="E99" s="14" t="s">
        <v>328</v>
      </c>
      <c r="F99" s="14"/>
      <c r="G99" s="14">
        <v>36</v>
      </c>
      <c r="H99" s="14" t="s">
        <v>376</v>
      </c>
      <c r="I99" s="14" t="s">
        <v>399</v>
      </c>
      <c r="J99" s="14" t="s">
        <v>356</v>
      </c>
      <c r="K99" s="14" t="s">
        <v>1183</v>
      </c>
      <c r="L99" s="14" t="s">
        <v>1183</v>
      </c>
      <c r="M99" s="14">
        <v>0</v>
      </c>
      <c r="N99" s="14">
        <v>3</v>
      </c>
      <c r="O99" s="14">
        <v>1</v>
      </c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 t="s">
        <v>565</v>
      </c>
      <c r="AL99" s="14" t="s">
        <v>328</v>
      </c>
      <c r="AM99" s="14"/>
      <c r="AN99" s="14"/>
      <c r="AO99" s="14"/>
      <c r="AP99" s="14"/>
      <c r="AQ99" s="14" t="s">
        <v>328</v>
      </c>
      <c r="AR99" s="14">
        <v>10</v>
      </c>
      <c r="AS99" s="14">
        <v>1</v>
      </c>
      <c r="AT99" s="14"/>
      <c r="AU99" s="14"/>
      <c r="AV99" s="14" t="s">
        <v>328</v>
      </c>
      <c r="AW99" s="14"/>
      <c r="AX99" s="14">
        <v>2</v>
      </c>
      <c r="AY99" s="14">
        <v>4</v>
      </c>
      <c r="AZ99" s="14">
        <v>3</v>
      </c>
      <c r="BA99" s="14" t="s">
        <v>346</v>
      </c>
      <c r="BB99" s="14" t="s">
        <v>328</v>
      </c>
      <c r="BC99" s="14"/>
      <c r="BD99" s="14"/>
      <c r="BE99" s="14"/>
      <c r="BF99" s="14"/>
      <c r="BG99" s="14"/>
      <c r="BH99" s="14" t="s">
        <v>328</v>
      </c>
      <c r="BI99" s="14"/>
      <c r="BJ99" s="14"/>
      <c r="BK99" s="14"/>
      <c r="BL99" s="14"/>
      <c r="BM99" s="14"/>
      <c r="BN99" s="14"/>
      <c r="BO99" s="14" t="s">
        <v>328</v>
      </c>
      <c r="BP99" s="14" t="s">
        <v>328</v>
      </c>
      <c r="BQ99" s="14"/>
      <c r="BR99" s="14"/>
      <c r="BS99" s="14"/>
      <c r="BT99" s="14"/>
      <c r="BU99" s="14"/>
      <c r="BV99" s="14" t="s">
        <v>328</v>
      </c>
      <c r="BW99" s="14"/>
      <c r="BX99" s="14"/>
      <c r="BY99" s="14"/>
      <c r="BZ99" s="14"/>
      <c r="CA99" s="14"/>
      <c r="CB99" s="14"/>
      <c r="CC99" s="14" t="s">
        <v>328</v>
      </c>
      <c r="CD99" s="14"/>
      <c r="CE99" s="14"/>
      <c r="CF99" s="14"/>
      <c r="CG99" s="14"/>
      <c r="CH99" s="14"/>
      <c r="CI99" s="14" t="s">
        <v>328</v>
      </c>
      <c r="CJ99" s="14"/>
      <c r="CK99" s="14"/>
      <c r="CL99" s="14"/>
      <c r="CM99" s="14"/>
      <c r="CN99" s="14">
        <v>3</v>
      </c>
      <c r="CO99" s="14">
        <v>4</v>
      </c>
      <c r="CP99" s="14">
        <v>1</v>
      </c>
      <c r="CQ99" s="14">
        <v>6</v>
      </c>
      <c r="CR99" s="14">
        <v>5</v>
      </c>
      <c r="CS99" s="14">
        <v>2</v>
      </c>
      <c r="CT99" s="14"/>
      <c r="CU99" s="14"/>
      <c r="CV99" s="14" t="s">
        <v>328</v>
      </c>
      <c r="CW99" s="14"/>
      <c r="CX99" s="14" t="s">
        <v>328</v>
      </c>
      <c r="CY99" s="14"/>
      <c r="CZ99" s="14"/>
      <c r="DA99" s="14"/>
      <c r="DB99" s="14"/>
      <c r="DC99" s="14">
        <v>1</v>
      </c>
      <c r="DD99" s="14">
        <v>2</v>
      </c>
      <c r="DE99" s="14">
        <v>3</v>
      </c>
      <c r="DF99" s="14">
        <v>4</v>
      </c>
      <c r="DG99" s="14">
        <v>5</v>
      </c>
      <c r="DH99" s="14">
        <v>6</v>
      </c>
      <c r="DI99" s="14"/>
      <c r="DJ99" s="14" t="s">
        <v>328</v>
      </c>
      <c r="DK99" s="14"/>
      <c r="DL99" s="14"/>
      <c r="DM99" s="14"/>
      <c r="DN99" s="14"/>
      <c r="DO99" s="14"/>
      <c r="DP99" s="14" t="s">
        <v>333</v>
      </c>
      <c r="DQ99" s="14" t="s">
        <v>328</v>
      </c>
      <c r="DR99" s="14"/>
      <c r="DS99" s="14"/>
      <c r="DT99" s="14"/>
      <c r="DU99" s="14"/>
      <c r="DV99" s="14"/>
      <c r="DW99" s="14"/>
      <c r="DX99" s="14" t="s">
        <v>333</v>
      </c>
      <c r="DY99" s="14" t="s">
        <v>328</v>
      </c>
      <c r="DZ99" s="14"/>
      <c r="EA99" s="14"/>
      <c r="EB99" s="14"/>
      <c r="EC99" s="14"/>
      <c r="ED99" s="14"/>
      <c r="EE99" s="101" t="s">
        <v>333</v>
      </c>
      <c r="EF99" s="99"/>
      <c r="EG99" s="17">
        <f t="shared" si="1"/>
        <v>0</v>
      </c>
    </row>
    <row r="100" spans="1:137" x14ac:dyDescent="0.25">
      <c r="A100" s="50" t="s">
        <v>1855</v>
      </c>
      <c r="B100" s="208">
        <v>41541</v>
      </c>
      <c r="C100" s="209" t="s">
        <v>2766</v>
      </c>
      <c r="D100" s="61" t="s">
        <v>529</v>
      </c>
      <c r="E100" s="14" t="s">
        <v>328</v>
      </c>
      <c r="F100" s="14"/>
      <c r="G100" s="14">
        <v>52</v>
      </c>
      <c r="H100" s="14" t="s">
        <v>329</v>
      </c>
      <c r="I100" s="14" t="s">
        <v>357</v>
      </c>
      <c r="J100" s="14" t="s">
        <v>356</v>
      </c>
      <c r="K100" s="14" t="s">
        <v>1183</v>
      </c>
      <c r="L100" s="14" t="s">
        <v>1183</v>
      </c>
      <c r="M100" s="14">
        <v>20</v>
      </c>
      <c r="N100" s="14">
        <v>2</v>
      </c>
      <c r="O100" s="14">
        <v>2</v>
      </c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 t="s">
        <v>565</v>
      </c>
      <c r="AL100" s="14" t="s">
        <v>328</v>
      </c>
      <c r="AM100" s="14"/>
      <c r="AN100" s="14"/>
      <c r="AO100" s="14"/>
      <c r="AP100" s="14"/>
      <c r="AQ100" s="14" t="s">
        <v>328</v>
      </c>
      <c r="AR100" s="14">
        <v>10</v>
      </c>
      <c r="AS100" s="14">
        <v>1</v>
      </c>
      <c r="AT100" s="14"/>
      <c r="AU100" s="14"/>
      <c r="AV100" s="14" t="s">
        <v>328</v>
      </c>
      <c r="AW100" s="14"/>
      <c r="AX100" s="14">
        <v>2</v>
      </c>
      <c r="AY100" s="14">
        <v>3</v>
      </c>
      <c r="AZ100" s="14">
        <v>4</v>
      </c>
      <c r="BA100" s="14" t="s">
        <v>346</v>
      </c>
      <c r="BB100" s="14" t="s">
        <v>328</v>
      </c>
      <c r="BC100" s="14"/>
      <c r="BD100" s="14"/>
      <c r="BE100" s="14"/>
      <c r="BF100" s="14"/>
      <c r="BG100" s="14"/>
      <c r="BH100" s="14" t="s">
        <v>328</v>
      </c>
      <c r="BI100" s="14"/>
      <c r="BJ100" s="14"/>
      <c r="BK100" s="14"/>
      <c r="BL100" s="14"/>
      <c r="BM100" s="14"/>
      <c r="BN100" s="14"/>
      <c r="BO100" s="14" t="s">
        <v>328</v>
      </c>
      <c r="BP100" s="14" t="s">
        <v>328</v>
      </c>
      <c r="BQ100" s="14"/>
      <c r="BR100" s="14" t="s">
        <v>328</v>
      </c>
      <c r="BS100" s="14" t="s">
        <v>328</v>
      </c>
      <c r="BT100" s="14" t="s">
        <v>328</v>
      </c>
      <c r="BU100" s="14"/>
      <c r="BV100" s="14"/>
      <c r="BW100" s="14"/>
      <c r="BX100" s="14"/>
      <c r="BY100" s="14" t="s">
        <v>328</v>
      </c>
      <c r="BZ100" s="14"/>
      <c r="CA100" s="14"/>
      <c r="CB100" s="14" t="s">
        <v>328</v>
      </c>
      <c r="CC100" s="14" t="s">
        <v>328</v>
      </c>
      <c r="CD100" s="14"/>
      <c r="CE100" s="14"/>
      <c r="CF100" s="14"/>
      <c r="CG100" s="14"/>
      <c r="CH100" s="14"/>
      <c r="CI100" s="14" t="s">
        <v>328</v>
      </c>
      <c r="CJ100" s="14"/>
      <c r="CK100" s="14"/>
      <c r="CL100" s="14"/>
      <c r="CM100" s="14"/>
      <c r="CN100" s="14">
        <v>1</v>
      </c>
      <c r="CO100" s="14">
        <v>5</v>
      </c>
      <c r="CP100" s="14">
        <v>6</v>
      </c>
      <c r="CQ100" s="14">
        <v>3</v>
      </c>
      <c r="CR100" s="14">
        <v>4</v>
      </c>
      <c r="CS100" s="14">
        <v>2</v>
      </c>
      <c r="CT100" s="14"/>
      <c r="CU100" s="14" t="s">
        <v>328</v>
      </c>
      <c r="CV100" s="14"/>
      <c r="CW100" s="14"/>
      <c r="CX100" s="14"/>
      <c r="CY100" s="14"/>
      <c r="CZ100" s="14"/>
      <c r="DA100" s="14"/>
      <c r="DB100" s="14"/>
      <c r="DC100" s="14">
        <v>1</v>
      </c>
      <c r="DD100" s="14">
        <v>6</v>
      </c>
      <c r="DE100" s="14">
        <v>4</v>
      </c>
      <c r="DF100" s="14">
        <v>2</v>
      </c>
      <c r="DG100" s="14">
        <v>5</v>
      </c>
      <c r="DH100" s="14">
        <v>3</v>
      </c>
      <c r="DI100" s="14"/>
      <c r="DJ100" s="14" t="s">
        <v>328</v>
      </c>
      <c r="DK100" s="14"/>
      <c r="DL100" s="14"/>
      <c r="DM100" s="14"/>
      <c r="DN100" s="14"/>
      <c r="DO100" s="14"/>
      <c r="DP100" s="14" t="s">
        <v>1146</v>
      </c>
      <c r="DQ100" s="14"/>
      <c r="DR100" s="14" t="s">
        <v>328</v>
      </c>
      <c r="DS100" s="14" t="s">
        <v>328</v>
      </c>
      <c r="DT100" s="8" t="s">
        <v>504</v>
      </c>
      <c r="DU100" s="14"/>
      <c r="DV100" s="14"/>
      <c r="DW100" s="15" t="s">
        <v>428</v>
      </c>
      <c r="DX100" s="14" t="s">
        <v>411</v>
      </c>
      <c r="DY100" s="14" t="s">
        <v>328</v>
      </c>
      <c r="DZ100" s="14"/>
      <c r="EA100" s="14"/>
      <c r="EB100" s="14"/>
      <c r="EC100" s="14"/>
      <c r="ED100" s="14"/>
      <c r="EE100" s="101" t="s">
        <v>333</v>
      </c>
      <c r="EF100" s="99"/>
      <c r="EG100" s="17">
        <f t="shared" si="1"/>
        <v>0</v>
      </c>
    </row>
    <row r="101" spans="1:137" x14ac:dyDescent="0.25">
      <c r="A101" s="50" t="s">
        <v>1855</v>
      </c>
      <c r="B101" s="208">
        <v>41541</v>
      </c>
      <c r="C101" s="209" t="s">
        <v>2766</v>
      </c>
      <c r="D101" s="61" t="s">
        <v>530</v>
      </c>
      <c r="E101" s="14" t="s">
        <v>328</v>
      </c>
      <c r="F101" s="14"/>
      <c r="G101" s="14">
        <v>68</v>
      </c>
      <c r="H101" s="14" t="s">
        <v>329</v>
      </c>
      <c r="I101" s="14" t="s">
        <v>330</v>
      </c>
      <c r="J101" s="14" t="s">
        <v>772</v>
      </c>
      <c r="K101" s="8" t="s">
        <v>1236</v>
      </c>
      <c r="L101" s="14" t="s">
        <v>1288</v>
      </c>
      <c r="M101" s="14">
        <v>50</v>
      </c>
      <c r="N101" s="14">
        <v>1</v>
      </c>
      <c r="O101" s="14"/>
      <c r="P101" s="14"/>
      <c r="Q101" s="14"/>
      <c r="R101" s="14">
        <v>1</v>
      </c>
      <c r="S101" s="14"/>
      <c r="T101" s="14"/>
      <c r="U101" s="14"/>
      <c r="V101" s="14"/>
      <c r="W101" s="14"/>
      <c r="X101" s="14"/>
      <c r="Y101" s="14"/>
      <c r="Z101" s="14"/>
      <c r="AA101" s="14"/>
      <c r="AB101" s="14" t="s">
        <v>328</v>
      </c>
      <c r="AC101" s="14"/>
      <c r="AD101" s="14"/>
      <c r="AE101" s="14"/>
      <c r="AF101" s="14"/>
      <c r="AG101" s="14"/>
      <c r="AH101" s="14"/>
      <c r="AI101" s="14" t="s">
        <v>328</v>
      </c>
      <c r="AJ101" s="14"/>
      <c r="AK101" s="14"/>
      <c r="AL101" s="14"/>
      <c r="AM101" s="14" t="s">
        <v>328</v>
      </c>
      <c r="AN101" s="14"/>
      <c r="AO101" s="14" t="s">
        <v>328</v>
      </c>
      <c r="AP101" s="14"/>
      <c r="AQ101" s="14" t="s">
        <v>328</v>
      </c>
      <c r="AR101" s="14">
        <v>0</v>
      </c>
      <c r="AS101" s="14">
        <v>0</v>
      </c>
      <c r="AT101" s="14"/>
      <c r="AU101" s="14" t="s">
        <v>328</v>
      </c>
      <c r="AV101" s="14"/>
      <c r="AW101" s="14"/>
      <c r="AX101" s="14">
        <v>3</v>
      </c>
      <c r="AY101" s="14">
        <v>2</v>
      </c>
      <c r="AZ101" s="14">
        <v>1</v>
      </c>
      <c r="BA101" s="14"/>
      <c r="BB101" s="14" t="s">
        <v>328</v>
      </c>
      <c r="BC101" s="14"/>
      <c r="BD101" s="14" t="s">
        <v>328</v>
      </c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 t="s">
        <v>328</v>
      </c>
      <c r="BP101" s="14"/>
      <c r="BQ101" s="14" t="s">
        <v>328</v>
      </c>
      <c r="BR101" s="14"/>
      <c r="BS101" s="14"/>
      <c r="BT101" s="14"/>
      <c r="BU101" s="14"/>
      <c r="BV101" s="14"/>
      <c r="BW101" s="14"/>
      <c r="BX101" s="14" t="s">
        <v>874</v>
      </c>
      <c r="BY101" s="14"/>
      <c r="BZ101" s="14"/>
      <c r="CA101" s="14"/>
      <c r="CB101" s="14"/>
      <c r="CC101" s="14"/>
      <c r="CD101" s="14"/>
      <c r="CE101" s="14"/>
      <c r="CF101" s="14" t="s">
        <v>328</v>
      </c>
      <c r="CG101" s="14"/>
      <c r="CH101" s="14"/>
      <c r="CI101" s="14"/>
      <c r="CJ101" s="14"/>
      <c r="CK101" s="14"/>
      <c r="CL101" s="14" t="s">
        <v>328</v>
      </c>
      <c r="CM101" s="14"/>
      <c r="CN101" s="14">
        <v>6</v>
      </c>
      <c r="CO101" s="14">
        <v>1</v>
      </c>
      <c r="CP101" s="14">
        <v>2</v>
      </c>
      <c r="CQ101" s="14">
        <v>3</v>
      </c>
      <c r="CR101" s="14">
        <v>4</v>
      </c>
      <c r="CS101" s="14">
        <v>5</v>
      </c>
      <c r="CT101" s="14"/>
      <c r="CU101" s="14"/>
      <c r="CV101" s="14"/>
      <c r="CW101" s="14"/>
      <c r="CX101" s="14"/>
      <c r="CY101" s="14"/>
      <c r="CZ101" s="14" t="s">
        <v>332</v>
      </c>
      <c r="DA101" s="14"/>
      <c r="DB101" s="14"/>
      <c r="DC101" s="14">
        <v>1</v>
      </c>
      <c r="DD101" s="14">
        <v>3</v>
      </c>
      <c r="DE101" s="14">
        <v>5</v>
      </c>
      <c r="DF101" s="14">
        <v>2</v>
      </c>
      <c r="DG101" s="14">
        <v>4</v>
      </c>
      <c r="DH101" s="14">
        <v>6</v>
      </c>
      <c r="DI101" s="14"/>
      <c r="DJ101" s="14" t="s">
        <v>328</v>
      </c>
      <c r="DK101" s="14"/>
      <c r="DL101" s="14"/>
      <c r="DM101" s="14"/>
      <c r="DN101" s="14"/>
      <c r="DO101" s="14"/>
      <c r="DP101" s="14" t="s">
        <v>1145</v>
      </c>
      <c r="DQ101" s="14" t="s">
        <v>328</v>
      </c>
      <c r="DR101" s="14"/>
      <c r="DS101" s="14"/>
      <c r="DT101" s="14"/>
      <c r="DU101" s="14"/>
      <c r="DV101" s="14"/>
      <c r="DW101" s="14"/>
      <c r="DX101" s="14" t="s">
        <v>1145</v>
      </c>
      <c r="DY101" s="14" t="s">
        <v>328</v>
      </c>
      <c r="DZ101" s="14"/>
      <c r="EA101" s="14"/>
      <c r="EB101" s="14"/>
      <c r="EC101" s="14"/>
      <c r="ED101" s="14"/>
      <c r="EE101" s="101" t="s">
        <v>1145</v>
      </c>
      <c r="EF101" s="99"/>
      <c r="EG101" s="17">
        <f t="shared" si="1"/>
        <v>0</v>
      </c>
    </row>
    <row r="102" spans="1:137" x14ac:dyDescent="0.25">
      <c r="A102" s="50" t="s">
        <v>1855</v>
      </c>
      <c r="B102" s="208">
        <v>41541</v>
      </c>
      <c r="C102" s="210" t="s">
        <v>2746</v>
      </c>
      <c r="D102" s="61" t="s">
        <v>531</v>
      </c>
      <c r="E102" s="14" t="s">
        <v>328</v>
      </c>
      <c r="F102" s="14"/>
      <c r="G102" s="14">
        <v>24</v>
      </c>
      <c r="H102" s="14" t="s">
        <v>329</v>
      </c>
      <c r="I102" s="14" t="s">
        <v>330</v>
      </c>
      <c r="J102" s="14" t="s">
        <v>567</v>
      </c>
      <c r="K102" s="8" t="s">
        <v>1237</v>
      </c>
      <c r="L102" s="14" t="s">
        <v>1288</v>
      </c>
      <c r="M102" s="14">
        <v>10</v>
      </c>
      <c r="N102" s="14">
        <v>1</v>
      </c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>
        <v>1</v>
      </c>
      <c r="AA102" s="15"/>
      <c r="AB102" s="14" t="s">
        <v>328</v>
      </c>
      <c r="AC102" s="14"/>
      <c r="AD102" s="14"/>
      <c r="AE102" s="14"/>
      <c r="AF102" s="14"/>
      <c r="AG102" s="14" t="s">
        <v>328</v>
      </c>
      <c r="AH102" s="14"/>
      <c r="AI102" s="14"/>
      <c r="AJ102" s="14"/>
      <c r="AK102" s="14"/>
      <c r="AL102" s="14"/>
      <c r="AM102" s="14" t="s">
        <v>328</v>
      </c>
      <c r="AN102" s="14"/>
      <c r="AO102" s="14"/>
      <c r="AP102" s="14"/>
      <c r="AQ102" s="14" t="s">
        <v>328</v>
      </c>
      <c r="AR102" s="14">
        <v>0</v>
      </c>
      <c r="AS102" s="14">
        <v>0</v>
      </c>
      <c r="AT102" s="14"/>
      <c r="AU102" s="14" t="s">
        <v>328</v>
      </c>
      <c r="AV102" s="14"/>
      <c r="AW102" s="14"/>
      <c r="AX102" s="14">
        <v>3</v>
      </c>
      <c r="AY102" s="14">
        <v>1</v>
      </c>
      <c r="AZ102" s="14">
        <v>2</v>
      </c>
      <c r="BA102" s="14"/>
      <c r="BB102" s="14" t="s">
        <v>328</v>
      </c>
      <c r="BC102" s="14"/>
      <c r="BD102" s="14" t="s">
        <v>328</v>
      </c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 t="s">
        <v>328</v>
      </c>
      <c r="BP102" s="14"/>
      <c r="BQ102" s="14" t="s">
        <v>328</v>
      </c>
      <c r="BR102" s="14"/>
      <c r="BS102" s="14" t="s">
        <v>328</v>
      </c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 t="s">
        <v>328</v>
      </c>
      <c r="CE102" s="14"/>
      <c r="CF102" s="14"/>
      <c r="CG102" s="14" t="s">
        <v>328</v>
      </c>
      <c r="CH102" s="14"/>
      <c r="CI102" s="14" t="s">
        <v>328</v>
      </c>
      <c r="CJ102" s="14"/>
      <c r="CK102" s="14"/>
      <c r="CL102" s="14"/>
      <c r="CM102" s="14"/>
      <c r="CN102" s="14">
        <v>5</v>
      </c>
      <c r="CO102" s="14">
        <v>2</v>
      </c>
      <c r="CP102" s="14">
        <v>4</v>
      </c>
      <c r="CQ102" s="14">
        <v>1</v>
      </c>
      <c r="CR102" s="14">
        <v>3</v>
      </c>
      <c r="CS102" s="14">
        <v>6</v>
      </c>
      <c r="CT102" s="14"/>
      <c r="CU102" s="14"/>
      <c r="CV102" s="14"/>
      <c r="CW102" s="14"/>
      <c r="CX102" s="14"/>
      <c r="CY102" s="14"/>
      <c r="CZ102" s="14" t="s">
        <v>332</v>
      </c>
      <c r="DA102" s="14"/>
      <c r="DB102" s="14"/>
      <c r="DC102" s="14">
        <v>1</v>
      </c>
      <c r="DD102" s="14">
        <v>3</v>
      </c>
      <c r="DE102" s="14">
        <v>2</v>
      </c>
      <c r="DF102" s="14">
        <v>6</v>
      </c>
      <c r="DG102" s="14">
        <v>4</v>
      </c>
      <c r="DH102" s="14">
        <v>5</v>
      </c>
      <c r="DI102" s="14"/>
      <c r="DJ102" s="14" t="s">
        <v>328</v>
      </c>
      <c r="DK102" s="14"/>
      <c r="DL102" s="14"/>
      <c r="DM102" s="14"/>
      <c r="DN102" s="14"/>
      <c r="DO102" s="14"/>
      <c r="DP102" s="14" t="s">
        <v>1146</v>
      </c>
      <c r="DQ102" s="14" t="s">
        <v>328</v>
      </c>
      <c r="DR102" s="14"/>
      <c r="DS102" s="14"/>
      <c r="DT102" s="14"/>
      <c r="DU102" s="14"/>
      <c r="DV102" s="14"/>
      <c r="DW102" s="14"/>
      <c r="DX102" s="14" t="s">
        <v>1152</v>
      </c>
      <c r="DY102" s="14" t="s">
        <v>328</v>
      </c>
      <c r="DZ102" s="14"/>
      <c r="EA102" s="14"/>
      <c r="EB102" s="14"/>
      <c r="EC102" s="14"/>
      <c r="ED102" s="14"/>
      <c r="EE102" s="101" t="s">
        <v>1146</v>
      </c>
      <c r="EF102" s="99"/>
      <c r="EG102" s="17">
        <f t="shared" si="1"/>
        <v>0</v>
      </c>
    </row>
    <row r="103" spans="1:137" x14ac:dyDescent="0.25">
      <c r="A103" s="50" t="s">
        <v>1855</v>
      </c>
      <c r="B103" s="208">
        <v>41541</v>
      </c>
      <c r="C103" s="209" t="s">
        <v>2768</v>
      </c>
      <c r="D103" s="61" t="s">
        <v>532</v>
      </c>
      <c r="E103" s="14" t="s">
        <v>328</v>
      </c>
      <c r="F103" s="14"/>
      <c r="G103" s="14">
        <v>36</v>
      </c>
      <c r="H103" s="14" t="s">
        <v>329</v>
      </c>
      <c r="I103" s="14" t="s">
        <v>357</v>
      </c>
      <c r="J103" s="14" t="s">
        <v>568</v>
      </c>
      <c r="K103" s="8" t="s">
        <v>1238</v>
      </c>
      <c r="L103" s="14" t="s">
        <v>1288</v>
      </c>
      <c r="M103" s="14">
        <v>20</v>
      </c>
      <c r="N103" s="14">
        <v>2</v>
      </c>
      <c r="O103" s="14">
        <v>2</v>
      </c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 t="s">
        <v>328</v>
      </c>
      <c r="AG103" s="14"/>
      <c r="AH103" s="14"/>
      <c r="AI103" s="14"/>
      <c r="AJ103" s="14"/>
      <c r="AK103" s="14"/>
      <c r="AL103" s="14" t="s">
        <v>328</v>
      </c>
      <c r="AM103" s="14"/>
      <c r="AN103" s="14"/>
      <c r="AO103" s="14"/>
      <c r="AP103" s="14"/>
      <c r="AQ103" s="14" t="s">
        <v>328</v>
      </c>
      <c r="AR103" s="14">
        <v>10</v>
      </c>
      <c r="AS103" s="14">
        <v>1</v>
      </c>
      <c r="AT103" s="14"/>
      <c r="AU103" s="14"/>
      <c r="AV103" s="14" t="s">
        <v>328</v>
      </c>
      <c r="AW103" s="14"/>
      <c r="AX103" s="14">
        <v>1</v>
      </c>
      <c r="AY103" s="14">
        <v>3</v>
      </c>
      <c r="AZ103" s="14">
        <v>2</v>
      </c>
      <c r="BA103" s="14"/>
      <c r="BB103" s="14" t="s">
        <v>328</v>
      </c>
      <c r="BC103" s="14"/>
      <c r="BD103" s="14"/>
      <c r="BE103" s="14"/>
      <c r="BF103" s="14"/>
      <c r="BG103" s="14"/>
      <c r="BH103" s="14"/>
      <c r="BI103" s="14" t="s">
        <v>328</v>
      </c>
      <c r="BJ103" s="14"/>
      <c r="BK103" s="14"/>
      <c r="BL103" s="14"/>
      <c r="BM103" s="14"/>
      <c r="BN103" s="14"/>
      <c r="BO103" s="14" t="s">
        <v>328</v>
      </c>
      <c r="BP103" s="14"/>
      <c r="BQ103" s="14" t="s">
        <v>328</v>
      </c>
      <c r="BR103" s="14" t="s">
        <v>328</v>
      </c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 t="s">
        <v>328</v>
      </c>
      <c r="CD103" s="14"/>
      <c r="CE103" s="14"/>
      <c r="CF103" s="14"/>
      <c r="CG103" s="14"/>
      <c r="CH103" s="14"/>
      <c r="CI103" s="14" t="s">
        <v>328</v>
      </c>
      <c r="CJ103" s="14"/>
      <c r="CK103" s="14"/>
      <c r="CL103" s="14"/>
      <c r="CM103" s="14"/>
      <c r="CN103" s="14">
        <v>3</v>
      </c>
      <c r="CO103" s="14">
        <v>1</v>
      </c>
      <c r="CP103" s="14">
        <v>2</v>
      </c>
      <c r="CQ103" s="14">
        <v>4</v>
      </c>
      <c r="CR103" s="14">
        <v>5</v>
      </c>
      <c r="CS103" s="14">
        <v>6</v>
      </c>
      <c r="CT103" s="14"/>
      <c r="CU103" s="14"/>
      <c r="CV103" s="14"/>
      <c r="CW103" s="14"/>
      <c r="CX103" s="14" t="s">
        <v>328</v>
      </c>
      <c r="CY103" s="14"/>
      <c r="CZ103" s="14"/>
      <c r="DA103" s="14"/>
      <c r="DB103" s="14"/>
      <c r="DC103" s="14">
        <v>1</v>
      </c>
      <c r="DD103" s="14">
        <v>3</v>
      </c>
      <c r="DE103" s="14">
        <v>5</v>
      </c>
      <c r="DF103" s="14">
        <v>4</v>
      </c>
      <c r="DG103" s="14">
        <v>2</v>
      </c>
      <c r="DH103" s="14">
        <v>6</v>
      </c>
      <c r="DI103" s="14"/>
      <c r="DJ103" s="14" t="s">
        <v>328</v>
      </c>
      <c r="DK103" s="14"/>
      <c r="DL103" s="14"/>
      <c r="DM103" s="14"/>
      <c r="DN103" s="14"/>
      <c r="DO103" s="14"/>
      <c r="DP103" s="14" t="s">
        <v>333</v>
      </c>
      <c r="DQ103" s="14" t="s">
        <v>328</v>
      </c>
      <c r="DR103" s="14"/>
      <c r="DS103" s="14"/>
      <c r="DT103" s="14"/>
      <c r="DU103" s="14"/>
      <c r="DV103" s="14"/>
      <c r="DW103" s="14"/>
      <c r="DX103" s="14" t="s">
        <v>333</v>
      </c>
      <c r="DY103" s="14" t="s">
        <v>328</v>
      </c>
      <c r="DZ103" s="14"/>
      <c r="EA103" s="14"/>
      <c r="EB103" s="14"/>
      <c r="EC103" s="14"/>
      <c r="ED103" s="14"/>
      <c r="EE103" s="101" t="s">
        <v>333</v>
      </c>
      <c r="EF103" s="99"/>
      <c r="EG103" s="17">
        <f t="shared" si="1"/>
        <v>0</v>
      </c>
    </row>
    <row r="104" spans="1:137" x14ac:dyDescent="0.25">
      <c r="A104" s="50" t="s">
        <v>1855</v>
      </c>
      <c r="B104" s="208">
        <v>41541</v>
      </c>
      <c r="C104" s="209" t="s">
        <v>2744</v>
      </c>
      <c r="D104" s="61" t="s">
        <v>533</v>
      </c>
      <c r="E104" s="14" t="s">
        <v>328</v>
      </c>
      <c r="F104" s="14"/>
      <c r="G104" s="14">
        <v>48</v>
      </c>
      <c r="H104" s="14" t="s">
        <v>329</v>
      </c>
      <c r="I104" s="14" t="s">
        <v>357</v>
      </c>
      <c r="J104" s="14" t="s">
        <v>569</v>
      </c>
      <c r="K104" s="14" t="s">
        <v>1239</v>
      </c>
      <c r="L104" s="14" t="s">
        <v>1288</v>
      </c>
      <c r="M104" s="14">
        <v>20</v>
      </c>
      <c r="N104" s="14">
        <v>4</v>
      </c>
      <c r="O104" s="14"/>
      <c r="P104" s="14"/>
      <c r="Q104" s="14"/>
      <c r="R104" s="14">
        <v>4</v>
      </c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 t="s">
        <v>328</v>
      </c>
      <c r="AJ104" s="14"/>
      <c r="AK104" s="14"/>
      <c r="AL104" s="14" t="s">
        <v>328</v>
      </c>
      <c r="AM104" s="14"/>
      <c r="AN104" s="14"/>
      <c r="AO104" s="14"/>
      <c r="AP104" s="14"/>
      <c r="AQ104" s="14" t="s">
        <v>328</v>
      </c>
      <c r="AR104" s="14">
        <v>10</v>
      </c>
      <c r="AS104" s="14">
        <v>1</v>
      </c>
      <c r="AT104" s="14"/>
      <c r="AU104" s="14"/>
      <c r="AV104" s="14" t="s">
        <v>328</v>
      </c>
      <c r="AW104" s="14"/>
      <c r="AX104" s="14">
        <v>1</v>
      </c>
      <c r="AY104" s="14">
        <v>2</v>
      </c>
      <c r="AZ104" s="14">
        <v>3</v>
      </c>
      <c r="BA104" s="14"/>
      <c r="BB104" s="14"/>
      <c r="BC104" s="14" t="s">
        <v>328</v>
      </c>
      <c r="BD104" s="14"/>
      <c r="BE104" s="14"/>
      <c r="BF104" s="14"/>
      <c r="BG104" s="14" t="s">
        <v>328</v>
      </c>
      <c r="BH104" s="14"/>
      <c r="BI104" s="14"/>
      <c r="BJ104" s="14"/>
      <c r="BK104" s="14"/>
      <c r="BL104" s="14"/>
      <c r="BM104" s="14"/>
      <c r="BN104" s="14"/>
      <c r="BO104" s="14" t="s">
        <v>328</v>
      </c>
      <c r="BP104" s="14"/>
      <c r="BQ104" s="14" t="s">
        <v>328</v>
      </c>
      <c r="BR104" s="14"/>
      <c r="BS104" s="14"/>
      <c r="BT104" s="14"/>
      <c r="BU104" s="14"/>
      <c r="BV104" s="14"/>
      <c r="BW104" s="14" t="s">
        <v>328</v>
      </c>
      <c r="BX104" s="14"/>
      <c r="BY104" s="14" t="s">
        <v>328</v>
      </c>
      <c r="BZ104" s="14"/>
      <c r="CA104" s="14"/>
      <c r="CB104" s="14"/>
      <c r="CC104" s="14"/>
      <c r="CD104" s="14"/>
      <c r="CE104" s="14"/>
      <c r="CF104" s="14"/>
      <c r="CG104" s="14"/>
      <c r="CH104" s="14"/>
      <c r="CI104" s="14" t="s">
        <v>328</v>
      </c>
      <c r="CJ104" s="14"/>
      <c r="CK104" s="14"/>
      <c r="CL104" s="14"/>
      <c r="CM104" s="14"/>
      <c r="CN104" s="14">
        <v>2</v>
      </c>
      <c r="CO104" s="14">
        <v>4</v>
      </c>
      <c r="CP104" s="14">
        <v>3</v>
      </c>
      <c r="CQ104" s="14">
        <v>6</v>
      </c>
      <c r="CR104" s="14">
        <v>5</v>
      </c>
      <c r="CS104" s="14">
        <v>1</v>
      </c>
      <c r="CT104" s="14" t="s">
        <v>328</v>
      </c>
      <c r="CU104" s="14"/>
      <c r="CV104" s="14"/>
      <c r="CW104" s="14"/>
      <c r="CX104" s="14" t="s">
        <v>328</v>
      </c>
      <c r="CY104" s="14"/>
      <c r="CZ104" s="14"/>
      <c r="DA104" s="14"/>
      <c r="DB104" s="14"/>
      <c r="DC104" s="14">
        <v>4</v>
      </c>
      <c r="DD104" s="14">
        <v>1</v>
      </c>
      <c r="DE104" s="14">
        <v>5</v>
      </c>
      <c r="DF104" s="14">
        <v>2</v>
      </c>
      <c r="DG104" s="14">
        <v>6</v>
      </c>
      <c r="DH104" s="14">
        <v>3</v>
      </c>
      <c r="DI104" s="14"/>
      <c r="DJ104" s="14" t="s">
        <v>328</v>
      </c>
      <c r="DK104" s="14"/>
      <c r="DL104" s="14"/>
      <c r="DM104" s="14"/>
      <c r="DN104" s="14"/>
      <c r="DO104" s="14"/>
      <c r="DP104" s="14" t="s">
        <v>333</v>
      </c>
      <c r="DQ104" s="14"/>
      <c r="DR104" s="14" t="s">
        <v>328</v>
      </c>
      <c r="DS104" s="14"/>
      <c r="DT104" s="14"/>
      <c r="DU104" s="14" t="s">
        <v>328</v>
      </c>
      <c r="DV104" s="14" t="s">
        <v>680</v>
      </c>
      <c r="DW104" s="15" t="s">
        <v>428</v>
      </c>
      <c r="DX104" s="14"/>
      <c r="DY104" s="14" t="s">
        <v>328</v>
      </c>
      <c r="DZ104" s="14"/>
      <c r="EA104" s="14"/>
      <c r="EB104" s="14"/>
      <c r="EC104" s="14"/>
      <c r="ED104" s="14"/>
      <c r="EE104" s="101" t="s">
        <v>450</v>
      </c>
      <c r="EF104" s="99"/>
      <c r="EG104" s="17">
        <f t="shared" si="1"/>
        <v>0</v>
      </c>
    </row>
    <row r="105" spans="1:137" x14ac:dyDescent="0.25">
      <c r="A105" s="50" t="s">
        <v>1855</v>
      </c>
      <c r="B105" s="208">
        <v>41541</v>
      </c>
      <c r="C105" s="210" t="s">
        <v>2746</v>
      </c>
      <c r="D105" s="61" t="s">
        <v>534</v>
      </c>
      <c r="E105" s="14"/>
      <c r="F105" s="14" t="s">
        <v>328</v>
      </c>
      <c r="G105" s="14">
        <v>42</v>
      </c>
      <c r="H105" s="14" t="s">
        <v>329</v>
      </c>
      <c r="I105" s="14" t="s">
        <v>399</v>
      </c>
      <c r="J105" s="14" t="s">
        <v>569</v>
      </c>
      <c r="K105" s="14" t="s">
        <v>1239</v>
      </c>
      <c r="L105" s="14" t="s">
        <v>1288</v>
      </c>
      <c r="M105" s="14">
        <v>22</v>
      </c>
      <c r="N105" s="14">
        <v>7</v>
      </c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>
        <v>7</v>
      </c>
      <c r="Z105" s="14"/>
      <c r="AA105" s="14"/>
      <c r="AB105" s="14"/>
      <c r="AC105" s="14"/>
      <c r="AD105" s="14"/>
      <c r="AE105" s="14"/>
      <c r="AF105" s="14" t="s">
        <v>328</v>
      </c>
      <c r="AG105" s="14"/>
      <c r="AH105" s="14"/>
      <c r="AI105" s="14"/>
      <c r="AJ105" s="14"/>
      <c r="AK105" s="14"/>
      <c r="AL105" s="14" t="s">
        <v>328</v>
      </c>
      <c r="AM105" s="14"/>
      <c r="AN105" s="14"/>
      <c r="AO105" s="14"/>
      <c r="AP105" s="14"/>
      <c r="AQ105" s="14" t="s">
        <v>328</v>
      </c>
      <c r="AR105" s="14">
        <v>10</v>
      </c>
      <c r="AS105" s="14">
        <v>1</v>
      </c>
      <c r="AT105" s="14"/>
      <c r="AU105" s="14"/>
      <c r="AV105" s="14" t="s">
        <v>328</v>
      </c>
      <c r="AW105" s="14"/>
      <c r="AX105" s="14">
        <v>1</v>
      </c>
      <c r="AY105" s="14">
        <v>2</v>
      </c>
      <c r="AZ105" s="14">
        <v>3</v>
      </c>
      <c r="BA105" s="14"/>
      <c r="BB105" s="14"/>
      <c r="BC105" s="14" t="s">
        <v>328</v>
      </c>
      <c r="BD105" s="14"/>
      <c r="BE105" s="14"/>
      <c r="BF105" s="14"/>
      <c r="BG105" s="14" t="s">
        <v>328</v>
      </c>
      <c r="BH105" s="14"/>
      <c r="BI105" s="14"/>
      <c r="BJ105" s="14"/>
      <c r="BK105" s="14"/>
      <c r="BL105" s="14"/>
      <c r="BM105" s="14"/>
      <c r="BN105" s="14" t="s">
        <v>328</v>
      </c>
      <c r="BO105" s="14"/>
      <c r="BP105" s="14" t="s">
        <v>328</v>
      </c>
      <c r="BQ105" s="14"/>
      <c r="BR105" s="14" t="s">
        <v>328</v>
      </c>
      <c r="BS105" s="14"/>
      <c r="BT105" s="14"/>
      <c r="BU105" s="14"/>
      <c r="BV105" s="14"/>
      <c r="BW105" s="14" t="s">
        <v>328</v>
      </c>
      <c r="BX105" s="14"/>
      <c r="BY105" s="14" t="s">
        <v>328</v>
      </c>
      <c r="BZ105" s="14"/>
      <c r="CA105" s="14"/>
      <c r="CB105" s="14"/>
      <c r="CC105" s="14" t="s">
        <v>328</v>
      </c>
      <c r="CD105" s="14"/>
      <c r="CE105" s="14"/>
      <c r="CF105" s="14"/>
      <c r="CG105" s="14"/>
      <c r="CH105" s="8" t="s">
        <v>612</v>
      </c>
      <c r="CI105" s="14" t="s">
        <v>328</v>
      </c>
      <c r="CJ105" s="14"/>
      <c r="CK105" s="14"/>
      <c r="CL105" s="14"/>
      <c r="CM105" s="14"/>
      <c r="CN105" s="14">
        <v>2</v>
      </c>
      <c r="CO105" s="14">
        <v>3</v>
      </c>
      <c r="CP105" s="14">
        <v>4</v>
      </c>
      <c r="CQ105" s="14">
        <v>5</v>
      </c>
      <c r="CR105" s="14">
        <v>6</v>
      </c>
      <c r="CS105" s="14">
        <v>1</v>
      </c>
      <c r="CT105" s="14"/>
      <c r="CU105" s="14"/>
      <c r="CV105" s="14"/>
      <c r="CW105" s="14" t="s">
        <v>328</v>
      </c>
      <c r="CX105" s="14"/>
      <c r="CY105" s="14" t="s">
        <v>328</v>
      </c>
      <c r="CZ105" s="14" t="s">
        <v>424</v>
      </c>
      <c r="DA105" s="14"/>
      <c r="DB105" s="14"/>
      <c r="DC105" s="14">
        <v>1</v>
      </c>
      <c r="DD105" s="14">
        <v>4</v>
      </c>
      <c r="DE105" s="14">
        <v>3</v>
      </c>
      <c r="DF105" s="14">
        <v>5</v>
      </c>
      <c r="DG105" s="14">
        <v>2</v>
      </c>
      <c r="DH105" s="14">
        <v>6</v>
      </c>
      <c r="DI105" s="14"/>
      <c r="DJ105" s="14" t="s">
        <v>328</v>
      </c>
      <c r="DK105" s="14"/>
      <c r="DL105" s="14"/>
      <c r="DM105" s="14"/>
      <c r="DN105" s="14"/>
      <c r="DO105" s="14"/>
      <c r="DP105" s="14" t="s">
        <v>396</v>
      </c>
      <c r="DQ105" s="14"/>
      <c r="DR105" s="14" t="s">
        <v>328</v>
      </c>
      <c r="DS105" s="14" t="s">
        <v>328</v>
      </c>
      <c r="DT105" s="14" t="s">
        <v>923</v>
      </c>
      <c r="DU105" s="14"/>
      <c r="DV105" s="14"/>
      <c r="DW105" s="14" t="s">
        <v>570</v>
      </c>
      <c r="DX105" s="14" t="s">
        <v>411</v>
      </c>
      <c r="DY105" s="14" t="s">
        <v>328</v>
      </c>
      <c r="DZ105" s="14"/>
      <c r="EA105" s="14"/>
      <c r="EB105" s="14"/>
      <c r="EC105" s="14"/>
      <c r="ED105" s="14"/>
      <c r="EE105" s="101" t="s">
        <v>450</v>
      </c>
      <c r="EF105" s="99"/>
      <c r="EG105" s="17">
        <f t="shared" si="1"/>
        <v>0</v>
      </c>
    </row>
    <row r="106" spans="1:137" x14ac:dyDescent="0.25">
      <c r="A106" s="50" t="s">
        <v>1855</v>
      </c>
      <c r="B106" s="208">
        <v>41541</v>
      </c>
      <c r="C106" s="210" t="s">
        <v>2746</v>
      </c>
      <c r="D106" s="61" t="s">
        <v>535</v>
      </c>
      <c r="E106" s="14" t="s">
        <v>328</v>
      </c>
      <c r="F106" s="14"/>
      <c r="G106" s="14">
        <v>67</v>
      </c>
      <c r="H106" s="14" t="s">
        <v>329</v>
      </c>
      <c r="I106" s="14" t="s">
        <v>353</v>
      </c>
      <c r="J106" s="14" t="s">
        <v>773</v>
      </c>
      <c r="K106" s="8" t="s">
        <v>1240</v>
      </c>
      <c r="L106" s="14" t="s">
        <v>1288</v>
      </c>
      <c r="M106" s="14">
        <v>40</v>
      </c>
      <c r="N106" s="14">
        <v>1</v>
      </c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>
        <v>1</v>
      </c>
      <c r="AA106" s="15"/>
      <c r="AB106" s="14" t="s">
        <v>328</v>
      </c>
      <c r="AC106" s="14"/>
      <c r="AD106" s="14"/>
      <c r="AE106" s="14"/>
      <c r="AF106" s="14"/>
      <c r="AG106" s="14" t="s">
        <v>328</v>
      </c>
      <c r="AH106" s="14"/>
      <c r="AI106" s="14"/>
      <c r="AJ106" s="14"/>
      <c r="AK106" s="14"/>
      <c r="AL106" s="14"/>
      <c r="AM106" s="14" t="s">
        <v>328</v>
      </c>
      <c r="AN106" s="14"/>
      <c r="AO106" s="14"/>
      <c r="AP106" s="14"/>
      <c r="AQ106" s="14" t="s">
        <v>328</v>
      </c>
      <c r="AR106" s="14">
        <v>0</v>
      </c>
      <c r="AS106" s="14">
        <v>0</v>
      </c>
      <c r="AT106" s="14"/>
      <c r="AU106" s="14" t="s">
        <v>328</v>
      </c>
      <c r="AV106" s="14"/>
      <c r="AW106" s="14"/>
      <c r="AX106" s="14">
        <v>3</v>
      </c>
      <c r="AY106" s="14">
        <v>2</v>
      </c>
      <c r="AZ106" s="14">
        <v>1</v>
      </c>
      <c r="BA106" s="14"/>
      <c r="BB106" s="14" t="s">
        <v>328</v>
      </c>
      <c r="BC106" s="14"/>
      <c r="BD106" s="14" t="s">
        <v>328</v>
      </c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 t="s">
        <v>328</v>
      </c>
      <c r="BP106" s="14"/>
      <c r="BQ106" s="14" t="s">
        <v>328</v>
      </c>
      <c r="BR106" s="14" t="s">
        <v>328</v>
      </c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 t="s">
        <v>328</v>
      </c>
      <c r="CE106" s="14" t="s">
        <v>328</v>
      </c>
      <c r="CF106" s="14" t="s">
        <v>328</v>
      </c>
      <c r="CG106" s="14"/>
      <c r="CH106" s="14"/>
      <c r="CI106" s="14"/>
      <c r="CJ106" s="14" t="s">
        <v>328</v>
      </c>
      <c r="CK106" s="14"/>
      <c r="CL106" s="14"/>
      <c r="CM106" s="14"/>
      <c r="CN106" s="14">
        <v>4</v>
      </c>
      <c r="CO106" s="14">
        <v>3</v>
      </c>
      <c r="CP106" s="14">
        <v>2</v>
      </c>
      <c r="CQ106" s="14">
        <v>1</v>
      </c>
      <c r="CR106" s="14">
        <v>5</v>
      </c>
      <c r="CS106" s="14">
        <v>6</v>
      </c>
      <c r="CT106" s="14"/>
      <c r="CU106" s="14"/>
      <c r="CV106" s="14"/>
      <c r="CW106" s="14"/>
      <c r="CX106" s="14"/>
      <c r="CY106" s="14"/>
      <c r="CZ106" s="14" t="s">
        <v>332</v>
      </c>
      <c r="DA106" s="14"/>
      <c r="DB106" s="14"/>
      <c r="DC106" s="14">
        <v>2</v>
      </c>
      <c r="DD106" s="14">
        <v>3</v>
      </c>
      <c r="DE106" s="14">
        <v>4</v>
      </c>
      <c r="DF106" s="14">
        <v>5</v>
      </c>
      <c r="DG106" s="14">
        <v>1</v>
      </c>
      <c r="DH106" s="14">
        <v>6</v>
      </c>
      <c r="DI106" s="14"/>
      <c r="DJ106" s="14" t="s">
        <v>328</v>
      </c>
      <c r="DK106" s="14"/>
      <c r="DL106" s="14"/>
      <c r="DM106" s="14"/>
      <c r="DN106" s="14"/>
      <c r="DO106" s="14"/>
      <c r="DP106" s="14" t="s">
        <v>1145</v>
      </c>
      <c r="DQ106" s="14"/>
      <c r="DR106" s="14" t="s">
        <v>328</v>
      </c>
      <c r="DS106" s="14"/>
      <c r="DT106" s="14"/>
      <c r="DU106" s="14" t="s">
        <v>328</v>
      </c>
      <c r="DV106" s="14" t="s">
        <v>680</v>
      </c>
      <c r="DW106" s="14" t="s">
        <v>571</v>
      </c>
      <c r="DX106" s="14" t="s">
        <v>929</v>
      </c>
      <c r="DY106" s="14" t="s">
        <v>328</v>
      </c>
      <c r="DZ106" s="14"/>
      <c r="EA106" s="14"/>
      <c r="EB106" s="14"/>
      <c r="EC106" s="14"/>
      <c r="ED106" s="14"/>
      <c r="EE106" s="101" t="s">
        <v>450</v>
      </c>
      <c r="EF106" s="99"/>
      <c r="EG106" s="17">
        <f t="shared" si="1"/>
        <v>0</v>
      </c>
    </row>
    <row r="107" spans="1:137" x14ac:dyDescent="0.25">
      <c r="A107" s="50" t="s">
        <v>1855</v>
      </c>
      <c r="B107" s="208">
        <v>41541</v>
      </c>
      <c r="C107" s="209" t="s">
        <v>2744</v>
      </c>
      <c r="D107" s="61" t="s">
        <v>536</v>
      </c>
      <c r="E107" s="14" t="s">
        <v>328</v>
      </c>
      <c r="F107" s="14"/>
      <c r="G107" s="14">
        <v>62</v>
      </c>
      <c r="H107" s="14" t="s">
        <v>329</v>
      </c>
      <c r="I107" s="14" t="s">
        <v>330</v>
      </c>
      <c r="J107" s="14" t="s">
        <v>572</v>
      </c>
      <c r="K107" s="14" t="s">
        <v>1241</v>
      </c>
      <c r="L107" s="14" t="s">
        <v>1288</v>
      </c>
      <c r="M107" s="14">
        <v>45</v>
      </c>
      <c r="N107" s="14">
        <v>2</v>
      </c>
      <c r="O107" s="14">
        <v>2</v>
      </c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 t="s">
        <v>328</v>
      </c>
      <c r="AG107" s="14"/>
      <c r="AH107" s="14" t="s">
        <v>328</v>
      </c>
      <c r="AI107" s="14"/>
      <c r="AJ107" s="14"/>
      <c r="AK107" s="14"/>
      <c r="AL107" s="14" t="s">
        <v>328</v>
      </c>
      <c r="AM107" s="14"/>
      <c r="AN107" s="14" t="s">
        <v>328</v>
      </c>
      <c r="AO107" s="14"/>
      <c r="AP107" s="14"/>
      <c r="AQ107" s="14"/>
      <c r="AR107" s="15" t="s">
        <v>396</v>
      </c>
      <c r="AS107" s="15" t="s">
        <v>396</v>
      </c>
      <c r="AT107" s="14"/>
      <c r="AU107" s="14"/>
      <c r="AV107" s="14" t="s">
        <v>328</v>
      </c>
      <c r="AW107" s="14"/>
      <c r="AX107" s="14">
        <v>1</v>
      </c>
      <c r="AY107" s="14">
        <v>3</v>
      </c>
      <c r="AZ107" s="14">
        <v>2</v>
      </c>
      <c r="BA107" s="14"/>
      <c r="BB107" s="14" t="s">
        <v>328</v>
      </c>
      <c r="BC107" s="14"/>
      <c r="BD107" s="14"/>
      <c r="BE107" s="14"/>
      <c r="BF107" s="14"/>
      <c r="BG107" s="14"/>
      <c r="BH107" s="14"/>
      <c r="BI107" s="14"/>
      <c r="BJ107" s="14" t="s">
        <v>328</v>
      </c>
      <c r="BK107" s="14"/>
      <c r="BL107" s="14"/>
      <c r="BM107" s="14"/>
      <c r="BN107" s="14"/>
      <c r="BO107" s="14" t="s">
        <v>328</v>
      </c>
      <c r="BP107" s="14" t="s">
        <v>328</v>
      </c>
      <c r="BQ107" s="14"/>
      <c r="BR107" s="14"/>
      <c r="BS107" s="14"/>
      <c r="BT107" s="14"/>
      <c r="BU107" s="14"/>
      <c r="BV107" s="14" t="s">
        <v>328</v>
      </c>
      <c r="BW107" s="14"/>
      <c r="BX107" s="14"/>
      <c r="BY107" s="14" t="s">
        <v>328</v>
      </c>
      <c r="BZ107" s="14"/>
      <c r="CA107" s="14"/>
      <c r="CB107" s="14"/>
      <c r="CC107" s="14"/>
      <c r="CD107" s="14"/>
      <c r="CE107" s="14"/>
      <c r="CF107" s="14"/>
      <c r="CG107" s="14"/>
      <c r="CH107" s="14"/>
      <c r="CI107" s="14" t="s">
        <v>328</v>
      </c>
      <c r="CJ107" s="14"/>
      <c r="CK107" s="14"/>
      <c r="CL107" s="14"/>
      <c r="CM107" s="14"/>
      <c r="CN107" s="14">
        <v>3</v>
      </c>
      <c r="CO107" s="14">
        <v>1</v>
      </c>
      <c r="CP107" s="14">
        <v>2</v>
      </c>
      <c r="CQ107" s="14">
        <v>5</v>
      </c>
      <c r="CR107" s="14">
        <v>4</v>
      </c>
      <c r="CS107" s="14">
        <v>6</v>
      </c>
      <c r="CT107" s="14"/>
      <c r="CU107" s="14"/>
      <c r="CV107" s="14"/>
      <c r="CW107" s="14"/>
      <c r="CX107" s="14" t="s">
        <v>328</v>
      </c>
      <c r="CY107" s="14"/>
      <c r="CZ107" s="14"/>
      <c r="DA107" s="14"/>
      <c r="DB107" s="14"/>
      <c r="DC107" s="14">
        <v>1</v>
      </c>
      <c r="DD107" s="14">
        <v>5</v>
      </c>
      <c r="DE107" s="14">
        <v>4</v>
      </c>
      <c r="DF107" s="14">
        <v>2</v>
      </c>
      <c r="DG107" s="14">
        <v>6</v>
      </c>
      <c r="DH107" s="14">
        <v>3</v>
      </c>
      <c r="DI107" s="14"/>
      <c r="DJ107" s="14" t="s">
        <v>328</v>
      </c>
      <c r="DK107" s="14"/>
      <c r="DL107" s="14"/>
      <c r="DM107" s="14"/>
      <c r="DN107" s="14"/>
      <c r="DO107" s="14"/>
      <c r="DP107" s="15" t="s">
        <v>411</v>
      </c>
      <c r="DQ107" s="14"/>
      <c r="DR107" s="14" t="s">
        <v>328</v>
      </c>
      <c r="DS107" s="14" t="s">
        <v>328</v>
      </c>
      <c r="DT107" s="14" t="s">
        <v>924</v>
      </c>
      <c r="DU107" s="14"/>
      <c r="DV107" s="14"/>
      <c r="DW107" s="15" t="s">
        <v>410</v>
      </c>
      <c r="DX107" s="14" t="s">
        <v>411</v>
      </c>
      <c r="DY107" s="14" t="s">
        <v>328</v>
      </c>
      <c r="DZ107" s="14"/>
      <c r="EA107" s="14"/>
      <c r="EB107" s="14"/>
      <c r="EC107" s="14"/>
      <c r="ED107" s="14"/>
      <c r="EE107" s="101" t="s">
        <v>411</v>
      </c>
      <c r="EF107" s="99"/>
      <c r="EG107" s="17">
        <f t="shared" si="1"/>
        <v>0</v>
      </c>
    </row>
    <row r="108" spans="1:137" x14ac:dyDescent="0.25">
      <c r="A108" s="50" t="s">
        <v>1855</v>
      </c>
      <c r="B108" s="208">
        <v>41541</v>
      </c>
      <c r="C108" s="210" t="s">
        <v>2746</v>
      </c>
      <c r="D108" s="61" t="s">
        <v>537</v>
      </c>
      <c r="E108" s="14" t="s">
        <v>328</v>
      </c>
      <c r="F108" s="14"/>
      <c r="G108" s="14">
        <v>27</v>
      </c>
      <c r="H108" s="14" t="s">
        <v>329</v>
      </c>
      <c r="I108" s="14" t="s">
        <v>357</v>
      </c>
      <c r="J108" s="14" t="s">
        <v>761</v>
      </c>
      <c r="K108" s="8" t="s">
        <v>1242</v>
      </c>
      <c r="L108" s="14" t="s">
        <v>1288</v>
      </c>
      <c r="M108" s="14">
        <v>10</v>
      </c>
      <c r="N108" s="14">
        <v>1</v>
      </c>
      <c r="O108" s="14">
        <v>1</v>
      </c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 t="s">
        <v>328</v>
      </c>
      <c r="AG108" s="14"/>
      <c r="AH108" s="14" t="s">
        <v>328</v>
      </c>
      <c r="AI108" s="14"/>
      <c r="AJ108" s="14"/>
      <c r="AK108" s="14" t="s">
        <v>565</v>
      </c>
      <c r="AL108" s="14" t="s">
        <v>328</v>
      </c>
      <c r="AM108" s="14"/>
      <c r="AN108" s="14" t="s">
        <v>328</v>
      </c>
      <c r="AO108" s="14"/>
      <c r="AP108" s="14"/>
      <c r="AQ108" s="14"/>
      <c r="AR108" s="15" t="s">
        <v>396</v>
      </c>
      <c r="AS108" s="15" t="s">
        <v>396</v>
      </c>
      <c r="AT108" s="14"/>
      <c r="AU108" s="14"/>
      <c r="AV108" s="14" t="s">
        <v>328</v>
      </c>
      <c r="AW108" s="14"/>
      <c r="AX108" s="14">
        <v>1</v>
      </c>
      <c r="AY108" s="14">
        <v>2</v>
      </c>
      <c r="AZ108" s="14">
        <v>3</v>
      </c>
      <c r="BA108" s="14"/>
      <c r="BB108" s="14" t="s">
        <v>328</v>
      </c>
      <c r="BC108" s="14"/>
      <c r="BD108" s="14"/>
      <c r="BE108" s="14"/>
      <c r="BF108" s="14"/>
      <c r="BG108" s="14"/>
      <c r="BH108" s="14"/>
      <c r="BI108" s="14"/>
      <c r="BJ108" s="14"/>
      <c r="BK108" s="14" t="s">
        <v>328</v>
      </c>
      <c r="BL108" s="14"/>
      <c r="BM108" s="14"/>
      <c r="BN108" s="14"/>
      <c r="BO108" s="14" t="s">
        <v>328</v>
      </c>
      <c r="BP108" s="14" t="s">
        <v>328</v>
      </c>
      <c r="BQ108" s="14"/>
      <c r="BR108" s="14"/>
      <c r="BS108" s="14"/>
      <c r="BT108" s="14"/>
      <c r="BU108" s="14"/>
      <c r="BV108" s="14"/>
      <c r="BW108" s="14" t="s">
        <v>328</v>
      </c>
      <c r="BX108" s="14"/>
      <c r="BY108" s="14"/>
      <c r="BZ108" s="14"/>
      <c r="CA108" s="14"/>
      <c r="CB108" s="14" t="s">
        <v>328</v>
      </c>
      <c r="CC108" s="14" t="s">
        <v>328</v>
      </c>
      <c r="CD108" s="14"/>
      <c r="CE108" s="14"/>
      <c r="CF108" s="14"/>
      <c r="CG108" s="14"/>
      <c r="CH108" s="14"/>
      <c r="CI108" s="14" t="s">
        <v>328</v>
      </c>
      <c r="CJ108" s="14"/>
      <c r="CK108" s="14"/>
      <c r="CL108" s="14"/>
      <c r="CM108" s="14"/>
      <c r="CN108" s="14">
        <v>6</v>
      </c>
      <c r="CO108" s="14">
        <v>2</v>
      </c>
      <c r="CP108" s="14">
        <v>1</v>
      </c>
      <c r="CQ108" s="14">
        <v>3</v>
      </c>
      <c r="CR108" s="14">
        <v>4</v>
      </c>
      <c r="CS108" s="14">
        <v>5</v>
      </c>
      <c r="CT108" s="14"/>
      <c r="CU108" s="14"/>
      <c r="CV108" s="14"/>
      <c r="CW108" s="14"/>
      <c r="CX108" s="14"/>
      <c r="CY108" s="14"/>
      <c r="CZ108" s="14" t="s">
        <v>332</v>
      </c>
      <c r="DA108" s="14"/>
      <c r="DB108" s="14"/>
      <c r="DC108" s="14">
        <v>1</v>
      </c>
      <c r="DD108" s="14">
        <v>2</v>
      </c>
      <c r="DE108" s="14">
        <v>3</v>
      </c>
      <c r="DF108" s="14">
        <v>4</v>
      </c>
      <c r="DG108" s="14">
        <v>6</v>
      </c>
      <c r="DH108" s="14">
        <v>5</v>
      </c>
      <c r="DI108" s="14"/>
      <c r="DJ108" s="14" t="s">
        <v>328</v>
      </c>
      <c r="DK108" s="14"/>
      <c r="DL108" s="14"/>
      <c r="DM108" s="14"/>
      <c r="DN108" s="14"/>
      <c r="DO108" s="14"/>
      <c r="DP108" s="14" t="s">
        <v>333</v>
      </c>
      <c r="DQ108" s="14"/>
      <c r="DR108" s="14" t="s">
        <v>328</v>
      </c>
      <c r="DS108" s="14" t="s">
        <v>328</v>
      </c>
      <c r="DT108" s="14" t="s">
        <v>504</v>
      </c>
      <c r="DU108" s="14"/>
      <c r="DV108" s="14"/>
      <c r="DW108" s="15" t="s">
        <v>410</v>
      </c>
      <c r="DX108" s="14" t="s">
        <v>411</v>
      </c>
      <c r="DY108" s="14" t="s">
        <v>328</v>
      </c>
      <c r="DZ108" s="14"/>
      <c r="EA108" s="14"/>
      <c r="EB108" s="14"/>
      <c r="EC108" s="14"/>
      <c r="ED108" s="14"/>
      <c r="EE108" s="101" t="s">
        <v>333</v>
      </c>
      <c r="EF108" s="99"/>
      <c r="EG108" s="17">
        <f t="shared" si="1"/>
        <v>0</v>
      </c>
    </row>
    <row r="109" spans="1:137" x14ac:dyDescent="0.25">
      <c r="A109" s="50" t="s">
        <v>1855</v>
      </c>
      <c r="B109" s="208">
        <v>41542</v>
      </c>
      <c r="C109" s="209" t="s">
        <v>2747</v>
      </c>
      <c r="D109" s="61" t="s">
        <v>538</v>
      </c>
      <c r="E109" s="14" t="s">
        <v>328</v>
      </c>
      <c r="F109" s="14"/>
      <c r="G109" s="14">
        <v>43</v>
      </c>
      <c r="H109" s="14" t="s">
        <v>329</v>
      </c>
      <c r="I109" s="14" t="s">
        <v>330</v>
      </c>
      <c r="J109" s="14" t="s">
        <v>761</v>
      </c>
      <c r="K109" s="14" t="s">
        <v>1242</v>
      </c>
      <c r="L109" s="14" t="s">
        <v>1288</v>
      </c>
      <c r="M109" s="14">
        <v>25</v>
      </c>
      <c r="N109" s="14">
        <v>1</v>
      </c>
      <c r="O109" s="14"/>
      <c r="P109" s="14"/>
      <c r="Q109" s="14"/>
      <c r="R109" s="14"/>
      <c r="S109" s="14">
        <v>1</v>
      </c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 t="s">
        <v>328</v>
      </c>
      <c r="AE109" s="14"/>
      <c r="AF109" s="14"/>
      <c r="AG109" s="14"/>
      <c r="AH109" s="14"/>
      <c r="AI109" s="14"/>
      <c r="AJ109" s="14" t="s">
        <v>328</v>
      </c>
      <c r="AK109" s="14"/>
      <c r="AL109" s="14" t="s">
        <v>328</v>
      </c>
      <c r="AM109" s="14"/>
      <c r="AN109" s="14"/>
      <c r="AO109" s="14"/>
      <c r="AP109" s="14"/>
      <c r="AQ109" s="14" t="s">
        <v>328</v>
      </c>
      <c r="AR109" s="14">
        <v>10</v>
      </c>
      <c r="AS109" s="14">
        <v>1</v>
      </c>
      <c r="AT109" s="14"/>
      <c r="AU109" s="14"/>
      <c r="AV109" s="14" t="s">
        <v>328</v>
      </c>
      <c r="AW109" s="14"/>
      <c r="AX109" s="14">
        <v>1</v>
      </c>
      <c r="AY109" s="14">
        <v>3</v>
      </c>
      <c r="AZ109" s="14">
        <v>2</v>
      </c>
      <c r="BA109" s="14"/>
      <c r="BB109" s="14" t="s">
        <v>328</v>
      </c>
      <c r="BC109" s="14"/>
      <c r="BD109" s="14"/>
      <c r="BE109" s="14"/>
      <c r="BF109" s="14"/>
      <c r="BG109" s="14"/>
      <c r="BH109" s="14"/>
      <c r="BI109" s="14" t="s">
        <v>328</v>
      </c>
      <c r="BJ109" s="14"/>
      <c r="BK109" s="14"/>
      <c r="BL109" s="14"/>
      <c r="BM109" s="14"/>
      <c r="BN109" s="14"/>
      <c r="BO109" s="14" t="s">
        <v>328</v>
      </c>
      <c r="BP109" s="14"/>
      <c r="BQ109" s="14" t="s">
        <v>328</v>
      </c>
      <c r="BR109" s="14"/>
      <c r="BS109" s="14"/>
      <c r="BT109" s="14"/>
      <c r="BU109" s="14"/>
      <c r="BV109" s="14" t="s">
        <v>328</v>
      </c>
      <c r="BW109" s="14"/>
      <c r="BX109" s="14"/>
      <c r="BY109" s="14"/>
      <c r="BZ109" s="14"/>
      <c r="CA109" s="14"/>
      <c r="CB109" s="14"/>
      <c r="CC109" s="14"/>
      <c r="CD109" s="14"/>
      <c r="CE109" s="14" t="s">
        <v>328</v>
      </c>
      <c r="CF109" s="14"/>
      <c r="CG109" s="14"/>
      <c r="CH109" s="14"/>
      <c r="CI109" s="14" t="s">
        <v>328</v>
      </c>
      <c r="CJ109" s="14"/>
      <c r="CK109" s="14"/>
      <c r="CL109" s="14"/>
      <c r="CM109" s="14"/>
      <c r="CN109" s="14">
        <v>3</v>
      </c>
      <c r="CO109" s="14">
        <v>2</v>
      </c>
      <c r="CP109" s="14">
        <v>1</v>
      </c>
      <c r="CQ109" s="14">
        <v>6</v>
      </c>
      <c r="CR109" s="14">
        <v>4</v>
      </c>
      <c r="CS109" s="14">
        <v>5</v>
      </c>
      <c r="CT109" s="14"/>
      <c r="CU109" s="14"/>
      <c r="CV109" s="14"/>
      <c r="CW109" s="14"/>
      <c r="CX109" s="14" t="s">
        <v>328</v>
      </c>
      <c r="CY109" s="14"/>
      <c r="CZ109" s="15" t="s">
        <v>905</v>
      </c>
      <c r="DA109" s="14"/>
      <c r="DB109" s="14"/>
      <c r="DC109" s="14">
        <v>1</v>
      </c>
      <c r="DD109" s="14">
        <v>5</v>
      </c>
      <c r="DE109" s="14">
        <v>2</v>
      </c>
      <c r="DF109" s="14">
        <v>3</v>
      </c>
      <c r="DG109" s="14">
        <v>6</v>
      </c>
      <c r="DH109" s="14">
        <v>4</v>
      </c>
      <c r="DI109" s="14"/>
      <c r="DJ109" s="14" t="s">
        <v>328</v>
      </c>
      <c r="DK109" s="14"/>
      <c r="DL109" s="14"/>
      <c r="DM109" s="14"/>
      <c r="DN109" s="14"/>
      <c r="DO109" s="14"/>
      <c r="DP109" s="14" t="s">
        <v>1146</v>
      </c>
      <c r="DQ109" s="14" t="s">
        <v>328</v>
      </c>
      <c r="DR109" s="14"/>
      <c r="DS109" s="14"/>
      <c r="DT109" s="14"/>
      <c r="DU109" s="14"/>
      <c r="DV109" s="14"/>
      <c r="DW109" s="14"/>
      <c r="DX109" s="14" t="s">
        <v>1152</v>
      </c>
      <c r="DY109" s="14" t="s">
        <v>328</v>
      </c>
      <c r="DZ109" s="14"/>
      <c r="EA109" s="14"/>
      <c r="EB109" s="14"/>
      <c r="EC109" s="14"/>
      <c r="ED109" s="14"/>
      <c r="EE109" s="101" t="s">
        <v>1152</v>
      </c>
      <c r="EF109" s="99"/>
      <c r="EG109" s="17">
        <f t="shared" si="1"/>
        <v>0</v>
      </c>
    </row>
    <row r="110" spans="1:137" x14ac:dyDescent="0.25">
      <c r="A110" s="50" t="s">
        <v>1855</v>
      </c>
      <c r="B110" s="208">
        <v>41542</v>
      </c>
      <c r="C110" s="209" t="s">
        <v>2747</v>
      </c>
      <c r="D110" s="61" t="s">
        <v>539</v>
      </c>
      <c r="E110" s="14" t="s">
        <v>328</v>
      </c>
      <c r="F110" s="14"/>
      <c r="G110" s="14">
        <v>57</v>
      </c>
      <c r="H110" s="14" t="s">
        <v>329</v>
      </c>
      <c r="I110" s="14" t="s">
        <v>330</v>
      </c>
      <c r="J110" s="14" t="s">
        <v>573</v>
      </c>
      <c r="K110" s="14" t="s">
        <v>1243</v>
      </c>
      <c r="L110" s="14" t="s">
        <v>1288</v>
      </c>
      <c r="M110" s="14">
        <v>40</v>
      </c>
      <c r="N110" s="14">
        <v>2</v>
      </c>
      <c r="O110" s="14"/>
      <c r="P110" s="14"/>
      <c r="Q110" s="14"/>
      <c r="R110" s="14"/>
      <c r="S110" s="14">
        <v>2</v>
      </c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 t="s">
        <v>328</v>
      </c>
      <c r="AE110" s="14"/>
      <c r="AF110" s="14"/>
      <c r="AG110" s="14"/>
      <c r="AH110" s="14"/>
      <c r="AI110" s="14"/>
      <c r="AJ110" s="14" t="s">
        <v>328</v>
      </c>
      <c r="AK110" s="14"/>
      <c r="AL110" s="14" t="s">
        <v>328</v>
      </c>
      <c r="AM110" s="14"/>
      <c r="AN110" s="14"/>
      <c r="AO110" s="14"/>
      <c r="AP110" s="14"/>
      <c r="AQ110" s="14" t="s">
        <v>328</v>
      </c>
      <c r="AR110" s="14">
        <v>10</v>
      </c>
      <c r="AS110" s="14">
        <v>1</v>
      </c>
      <c r="AT110" s="14" t="s">
        <v>328</v>
      </c>
      <c r="AU110" s="14"/>
      <c r="AV110" s="14"/>
      <c r="AW110" s="14"/>
      <c r="AX110" s="14">
        <v>2</v>
      </c>
      <c r="AY110" s="14">
        <v>3</v>
      </c>
      <c r="AZ110" s="14">
        <v>1</v>
      </c>
      <c r="BA110" s="14"/>
      <c r="BB110" s="14" t="s">
        <v>328</v>
      </c>
      <c r="BC110" s="14"/>
      <c r="BD110" s="14"/>
      <c r="BE110" s="14"/>
      <c r="BF110" s="14"/>
      <c r="BG110" s="14" t="s">
        <v>328</v>
      </c>
      <c r="BH110" s="14"/>
      <c r="BI110" s="14"/>
      <c r="BJ110" s="14"/>
      <c r="BK110" s="14"/>
      <c r="BL110" s="14"/>
      <c r="BM110" s="14"/>
      <c r="BN110" s="14"/>
      <c r="BO110" s="14" t="s">
        <v>328</v>
      </c>
      <c r="BP110" s="14" t="s">
        <v>328</v>
      </c>
      <c r="BQ110" s="14"/>
      <c r="BR110" s="14" t="s">
        <v>328</v>
      </c>
      <c r="BS110" s="14"/>
      <c r="BT110" s="14"/>
      <c r="BU110" s="14"/>
      <c r="BV110" s="14"/>
      <c r="BW110" s="14"/>
      <c r="BX110" s="14"/>
      <c r="BY110" s="14" t="s">
        <v>328</v>
      </c>
      <c r="BZ110" s="14"/>
      <c r="CA110" s="14"/>
      <c r="CB110" s="14" t="s">
        <v>328</v>
      </c>
      <c r="CC110" s="14"/>
      <c r="CD110" s="14"/>
      <c r="CE110" s="14"/>
      <c r="CF110" s="14"/>
      <c r="CG110" s="14"/>
      <c r="CH110" s="14"/>
      <c r="CI110" s="14" t="s">
        <v>328</v>
      </c>
      <c r="CJ110" s="14"/>
      <c r="CK110" s="14"/>
      <c r="CL110" s="14"/>
      <c r="CM110" s="14"/>
      <c r="CN110" s="14">
        <v>2</v>
      </c>
      <c r="CO110" s="14">
        <v>3</v>
      </c>
      <c r="CP110" s="14">
        <v>4</v>
      </c>
      <c r="CQ110" s="14">
        <v>6</v>
      </c>
      <c r="CR110" s="14">
        <v>5</v>
      </c>
      <c r="CS110" s="14">
        <v>1</v>
      </c>
      <c r="CT110" s="14"/>
      <c r="CU110" s="14" t="s">
        <v>328</v>
      </c>
      <c r="CV110" s="14"/>
      <c r="CW110" s="14"/>
      <c r="CX110" s="14"/>
      <c r="CY110" s="14"/>
      <c r="CZ110" s="14"/>
      <c r="DA110" s="14"/>
      <c r="DB110" s="14"/>
      <c r="DC110" s="14">
        <v>1</v>
      </c>
      <c r="DD110" s="14">
        <v>4</v>
      </c>
      <c r="DE110" s="14">
        <v>3</v>
      </c>
      <c r="DF110" s="14">
        <v>5</v>
      </c>
      <c r="DG110" s="14">
        <v>2</v>
      </c>
      <c r="DH110" s="14">
        <v>6</v>
      </c>
      <c r="DI110" s="14"/>
      <c r="DJ110" s="14" t="s">
        <v>328</v>
      </c>
      <c r="DK110" s="14"/>
      <c r="DL110" s="14"/>
      <c r="DM110" s="14"/>
      <c r="DN110" s="14"/>
      <c r="DO110" s="14"/>
      <c r="DP110" s="14" t="s">
        <v>1145</v>
      </c>
      <c r="DQ110" s="14"/>
      <c r="DR110" s="14" t="s">
        <v>328</v>
      </c>
      <c r="DS110" s="14"/>
      <c r="DT110" s="14"/>
      <c r="DU110" s="14" t="s">
        <v>328</v>
      </c>
      <c r="DV110" s="14" t="s">
        <v>680</v>
      </c>
      <c r="DW110" s="15" t="s">
        <v>428</v>
      </c>
      <c r="DX110" s="14" t="s">
        <v>411</v>
      </c>
      <c r="DY110" s="14" t="s">
        <v>328</v>
      </c>
      <c r="DZ110" s="14"/>
      <c r="EA110" s="14"/>
      <c r="EB110" s="14"/>
      <c r="EC110" s="14"/>
      <c r="ED110" s="14"/>
      <c r="EE110" s="101" t="s">
        <v>411</v>
      </c>
      <c r="EF110" s="99"/>
      <c r="EG110" s="17">
        <f t="shared" si="1"/>
        <v>0</v>
      </c>
    </row>
    <row r="111" spans="1:137" x14ac:dyDescent="0.25">
      <c r="A111" s="50" t="s">
        <v>1855</v>
      </c>
      <c r="B111" s="208">
        <v>41542</v>
      </c>
      <c r="C111" s="209" t="s">
        <v>2747</v>
      </c>
      <c r="D111" s="61" t="s">
        <v>540</v>
      </c>
      <c r="E111" s="14" t="s">
        <v>328</v>
      </c>
      <c r="F111" s="14"/>
      <c r="G111" s="14">
        <v>38</v>
      </c>
      <c r="H111" s="14" t="s">
        <v>329</v>
      </c>
      <c r="I111" s="14" t="s">
        <v>357</v>
      </c>
      <c r="J111" s="14" t="s">
        <v>759</v>
      </c>
      <c r="K111" s="8" t="s">
        <v>1244</v>
      </c>
      <c r="L111" s="14" t="s">
        <v>1288</v>
      </c>
      <c r="M111" s="14">
        <v>10</v>
      </c>
      <c r="N111" s="14">
        <v>1</v>
      </c>
      <c r="O111" s="14"/>
      <c r="P111" s="14"/>
      <c r="Q111" s="14"/>
      <c r="R111" s="14"/>
      <c r="S111" s="14">
        <v>1</v>
      </c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 t="s">
        <v>328</v>
      </c>
      <c r="AK111" s="14"/>
      <c r="AL111" s="14" t="s">
        <v>328</v>
      </c>
      <c r="AM111" s="14"/>
      <c r="AN111" s="14"/>
      <c r="AO111" s="14"/>
      <c r="AP111" s="14"/>
      <c r="AQ111" s="14" t="s">
        <v>328</v>
      </c>
      <c r="AR111" s="14">
        <v>10</v>
      </c>
      <c r="AS111" s="14">
        <v>1</v>
      </c>
      <c r="AT111" s="14"/>
      <c r="AU111" s="14"/>
      <c r="AV111" s="14" t="s">
        <v>328</v>
      </c>
      <c r="AW111" s="14"/>
      <c r="AX111" s="14">
        <v>3</v>
      </c>
      <c r="AY111" s="14">
        <v>2</v>
      </c>
      <c r="AZ111" s="14">
        <v>1</v>
      </c>
      <c r="BA111" s="14"/>
      <c r="BB111" s="14" t="s">
        <v>328</v>
      </c>
      <c r="BC111" s="14"/>
      <c r="BD111" s="14"/>
      <c r="BE111" s="14" t="s">
        <v>328</v>
      </c>
      <c r="BF111" s="14"/>
      <c r="BG111" s="14"/>
      <c r="BH111" s="14"/>
      <c r="BI111" s="14"/>
      <c r="BJ111" s="14"/>
      <c r="BK111" s="14"/>
      <c r="BL111" s="14"/>
      <c r="BM111" s="14"/>
      <c r="BN111" s="14"/>
      <c r="BO111" s="14" t="s">
        <v>328</v>
      </c>
      <c r="BP111" s="14"/>
      <c r="BQ111" s="14" t="s">
        <v>328</v>
      </c>
      <c r="BR111" s="14"/>
      <c r="BS111" s="14" t="s">
        <v>328</v>
      </c>
      <c r="BT111" s="14"/>
      <c r="BU111" s="14"/>
      <c r="BV111" s="14"/>
      <c r="BW111" s="14" t="s">
        <v>328</v>
      </c>
      <c r="BX111" s="14"/>
      <c r="BY111" s="14"/>
      <c r="BZ111" s="14"/>
      <c r="CA111" s="14"/>
      <c r="CB111" s="14" t="s">
        <v>328</v>
      </c>
      <c r="CC111" s="14" t="s">
        <v>328</v>
      </c>
      <c r="CD111" s="14"/>
      <c r="CE111" s="14"/>
      <c r="CF111" s="14"/>
      <c r="CG111" s="14"/>
      <c r="CH111" s="14"/>
      <c r="CI111" s="14" t="s">
        <v>328</v>
      </c>
      <c r="CJ111" s="14"/>
      <c r="CK111" s="14"/>
      <c r="CL111" s="14"/>
      <c r="CM111" s="14" t="s">
        <v>328</v>
      </c>
      <c r="CN111" s="14">
        <v>6</v>
      </c>
      <c r="CO111" s="14">
        <v>1</v>
      </c>
      <c r="CP111" s="14">
        <v>2</v>
      </c>
      <c r="CQ111" s="14">
        <v>3</v>
      </c>
      <c r="CR111" s="14">
        <v>4</v>
      </c>
      <c r="CS111" s="14">
        <v>5</v>
      </c>
      <c r="CT111" s="14"/>
      <c r="CU111" s="14"/>
      <c r="CV111" s="14"/>
      <c r="CW111" s="14"/>
      <c r="CX111" s="14"/>
      <c r="CY111" s="14"/>
      <c r="CZ111" s="14" t="s">
        <v>332</v>
      </c>
      <c r="DA111" s="14"/>
      <c r="DB111" s="14"/>
      <c r="DC111" s="14">
        <v>3</v>
      </c>
      <c r="DD111" s="14">
        <v>2</v>
      </c>
      <c r="DE111" s="14">
        <v>1</v>
      </c>
      <c r="DF111" s="14">
        <v>4</v>
      </c>
      <c r="DG111" s="14">
        <v>6</v>
      </c>
      <c r="DH111" s="14">
        <v>5</v>
      </c>
      <c r="DI111" s="14"/>
      <c r="DJ111" s="14" t="s">
        <v>328</v>
      </c>
      <c r="DK111" s="14"/>
      <c r="DL111" s="14"/>
      <c r="DM111" s="14"/>
      <c r="DN111" s="14"/>
      <c r="DO111" s="14"/>
      <c r="DP111" s="14" t="s">
        <v>1145</v>
      </c>
      <c r="DQ111" s="14" t="s">
        <v>328</v>
      </c>
      <c r="DR111" s="14"/>
      <c r="DS111" s="14"/>
      <c r="DT111" s="14"/>
      <c r="DU111" s="14"/>
      <c r="DV111" s="14"/>
      <c r="DW111" s="14"/>
      <c r="DX111" s="14" t="s">
        <v>411</v>
      </c>
      <c r="DY111" s="14" t="s">
        <v>328</v>
      </c>
      <c r="DZ111" s="14"/>
      <c r="EA111" s="14"/>
      <c r="EB111" s="14"/>
      <c r="EC111" s="14"/>
      <c r="ED111" s="14"/>
      <c r="EE111" s="101" t="s">
        <v>333</v>
      </c>
      <c r="EF111" s="99"/>
      <c r="EG111" s="17">
        <f t="shared" si="1"/>
        <v>0</v>
      </c>
    </row>
    <row r="112" spans="1:137" x14ac:dyDescent="0.25">
      <c r="A112" s="50" t="s">
        <v>1855</v>
      </c>
      <c r="B112" s="208">
        <v>41542</v>
      </c>
      <c r="C112" s="209" t="s">
        <v>2747</v>
      </c>
      <c r="D112" s="61" t="s">
        <v>541</v>
      </c>
      <c r="E112" s="14" t="s">
        <v>328</v>
      </c>
      <c r="F112" s="14"/>
      <c r="G112" s="14">
        <v>41</v>
      </c>
      <c r="H112" s="14" t="s">
        <v>329</v>
      </c>
      <c r="I112" s="14" t="s">
        <v>399</v>
      </c>
      <c r="J112" s="14" t="s">
        <v>573</v>
      </c>
      <c r="K112" s="14" t="s">
        <v>1243</v>
      </c>
      <c r="L112" s="14" t="s">
        <v>1288</v>
      </c>
      <c r="M112" s="14">
        <v>0</v>
      </c>
      <c r="N112" s="14">
        <v>3</v>
      </c>
      <c r="O112" s="14"/>
      <c r="P112" s="14"/>
      <c r="Q112" s="14"/>
      <c r="R112" s="14"/>
      <c r="S112" s="14">
        <v>3</v>
      </c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 t="s">
        <v>328</v>
      </c>
      <c r="AK112" s="14"/>
      <c r="AL112" s="14" t="s">
        <v>328</v>
      </c>
      <c r="AM112" s="14"/>
      <c r="AN112" s="14"/>
      <c r="AO112" s="14"/>
      <c r="AP112" s="14"/>
      <c r="AQ112" s="14" t="s">
        <v>328</v>
      </c>
      <c r="AR112" s="14">
        <v>10</v>
      </c>
      <c r="AS112" s="14">
        <v>2</v>
      </c>
      <c r="AT112" s="14"/>
      <c r="AU112" s="14"/>
      <c r="AV112" s="14"/>
      <c r="AW112" s="14" t="s">
        <v>328</v>
      </c>
      <c r="AX112" s="14">
        <v>3</v>
      </c>
      <c r="AY112" s="14">
        <v>1</v>
      </c>
      <c r="AZ112" s="14">
        <v>2</v>
      </c>
      <c r="BA112" s="14"/>
      <c r="BB112" s="14"/>
      <c r="BC112" s="14" t="s">
        <v>328</v>
      </c>
      <c r="BD112" s="14"/>
      <c r="BE112" s="14" t="s">
        <v>328</v>
      </c>
      <c r="BF112" s="14"/>
      <c r="BG112" s="14"/>
      <c r="BH112" s="14"/>
      <c r="BI112" s="14"/>
      <c r="BJ112" s="14" t="s">
        <v>328</v>
      </c>
      <c r="BK112" s="14"/>
      <c r="BL112" s="14"/>
      <c r="BM112" s="14"/>
      <c r="BN112" s="14"/>
      <c r="BO112" s="14" t="s">
        <v>328</v>
      </c>
      <c r="BP112" s="14" t="s">
        <v>328</v>
      </c>
      <c r="BQ112" s="14"/>
      <c r="BR112" s="14"/>
      <c r="BS112" s="14"/>
      <c r="BT112" s="14"/>
      <c r="BU112" s="14"/>
      <c r="BV112" s="14"/>
      <c r="BW112" s="14" t="s">
        <v>328</v>
      </c>
      <c r="BX112" s="14"/>
      <c r="BY112" s="14" t="s">
        <v>328</v>
      </c>
      <c r="BZ112" s="14"/>
      <c r="CA112" s="14"/>
      <c r="CB112" s="14" t="s">
        <v>328</v>
      </c>
      <c r="CC112" s="14" t="s">
        <v>328</v>
      </c>
      <c r="CD112" s="14" t="s">
        <v>328</v>
      </c>
      <c r="CE112" s="14"/>
      <c r="CF112" s="14"/>
      <c r="CG112" s="14"/>
      <c r="CH112" s="14"/>
      <c r="CI112" s="14" t="s">
        <v>328</v>
      </c>
      <c r="CJ112" s="14"/>
      <c r="CK112" s="14"/>
      <c r="CL112" s="14"/>
      <c r="CM112" s="14" t="s">
        <v>328</v>
      </c>
      <c r="CN112" s="14">
        <v>1</v>
      </c>
      <c r="CO112" s="14">
        <v>5</v>
      </c>
      <c r="CP112" s="14">
        <v>6</v>
      </c>
      <c r="CQ112" s="14">
        <v>3</v>
      </c>
      <c r="CR112" s="14">
        <v>4</v>
      </c>
      <c r="CS112" s="14">
        <v>2</v>
      </c>
      <c r="CT112" s="14"/>
      <c r="CU112" s="14"/>
      <c r="CV112" s="14"/>
      <c r="CW112" s="14"/>
      <c r="CX112" s="14"/>
      <c r="CY112" s="14"/>
      <c r="CZ112" s="14" t="s">
        <v>332</v>
      </c>
      <c r="DA112" s="14"/>
      <c r="DB112" s="14"/>
      <c r="DC112" s="14">
        <v>1</v>
      </c>
      <c r="DD112" s="14">
        <v>2</v>
      </c>
      <c r="DE112" s="14">
        <v>6</v>
      </c>
      <c r="DF112" s="14">
        <v>3</v>
      </c>
      <c r="DG112" s="14">
        <v>5</v>
      </c>
      <c r="DH112" s="14">
        <v>4</v>
      </c>
      <c r="DI112" s="14"/>
      <c r="DJ112" s="14" t="s">
        <v>328</v>
      </c>
      <c r="DK112" s="14"/>
      <c r="DL112" s="14"/>
      <c r="DM112" s="14"/>
      <c r="DN112" s="14"/>
      <c r="DO112" s="14"/>
      <c r="DP112" s="14" t="s">
        <v>396</v>
      </c>
      <c r="DQ112" s="14" t="s">
        <v>328</v>
      </c>
      <c r="DR112" s="14"/>
      <c r="DS112" s="14"/>
      <c r="DT112" s="14"/>
      <c r="DU112" s="14"/>
      <c r="DV112" s="14"/>
      <c r="DW112" s="14"/>
      <c r="DX112" s="14" t="s">
        <v>450</v>
      </c>
      <c r="DY112" s="14" t="s">
        <v>328</v>
      </c>
      <c r="DZ112" s="14"/>
      <c r="EA112" s="14"/>
      <c r="EB112" s="14"/>
      <c r="EC112" s="14"/>
      <c r="ED112" s="14"/>
      <c r="EE112" s="101" t="s">
        <v>450</v>
      </c>
      <c r="EF112" s="99"/>
      <c r="EG112" s="17">
        <f t="shared" si="1"/>
        <v>0</v>
      </c>
    </row>
    <row r="113" spans="1:137" x14ac:dyDescent="0.25">
      <c r="A113" s="50" t="s">
        <v>1855</v>
      </c>
      <c r="B113" s="208">
        <v>41542</v>
      </c>
      <c r="C113" s="209" t="s">
        <v>2747</v>
      </c>
      <c r="D113" s="61" t="s">
        <v>542</v>
      </c>
      <c r="E113" s="14" t="s">
        <v>328</v>
      </c>
      <c r="F113" s="14"/>
      <c r="G113" s="14">
        <v>52</v>
      </c>
      <c r="H113" s="14" t="s">
        <v>329</v>
      </c>
      <c r="I113" s="14" t="s">
        <v>353</v>
      </c>
      <c r="J113" s="14" t="s">
        <v>774</v>
      </c>
      <c r="K113" s="8" t="s">
        <v>1245</v>
      </c>
      <c r="L113" s="14" t="s">
        <v>1288</v>
      </c>
      <c r="M113" s="14">
        <v>20</v>
      </c>
      <c r="N113" s="14">
        <v>1</v>
      </c>
      <c r="O113" s="14"/>
      <c r="P113" s="14"/>
      <c r="Q113" s="14"/>
      <c r="R113" s="14"/>
      <c r="S113" s="14">
        <v>1</v>
      </c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 t="s">
        <v>328</v>
      </c>
      <c r="AE113" s="14"/>
      <c r="AF113" s="14"/>
      <c r="AG113" s="14"/>
      <c r="AH113" s="14"/>
      <c r="AI113" s="14"/>
      <c r="AJ113" s="14" t="s">
        <v>328</v>
      </c>
      <c r="AK113" s="14"/>
      <c r="AL113" s="14" t="s">
        <v>328</v>
      </c>
      <c r="AM113" s="14"/>
      <c r="AN113" s="14"/>
      <c r="AO113" s="14"/>
      <c r="AP113" s="14"/>
      <c r="AQ113" s="14" t="s">
        <v>328</v>
      </c>
      <c r="AR113" s="14">
        <v>10</v>
      </c>
      <c r="AS113" s="14">
        <v>1</v>
      </c>
      <c r="AT113" s="14"/>
      <c r="AU113" s="14" t="s">
        <v>328</v>
      </c>
      <c r="AV113" s="14"/>
      <c r="AW113" s="14"/>
      <c r="AX113" s="14">
        <v>3</v>
      </c>
      <c r="AY113" s="14">
        <v>2</v>
      </c>
      <c r="AZ113" s="14">
        <v>1</v>
      </c>
      <c r="BA113" s="14"/>
      <c r="BB113" s="14" t="s">
        <v>328</v>
      </c>
      <c r="BC113" s="14"/>
      <c r="BD113" s="14"/>
      <c r="BE113" s="14"/>
      <c r="BF113" s="14" t="s">
        <v>328</v>
      </c>
      <c r="BG113" s="14"/>
      <c r="BH113" s="14"/>
      <c r="BI113" s="14"/>
      <c r="BJ113" s="14"/>
      <c r="BK113" s="14"/>
      <c r="BL113" s="14"/>
      <c r="BM113" s="14"/>
      <c r="BN113" s="14"/>
      <c r="BO113" s="14" t="s">
        <v>328</v>
      </c>
      <c r="BP113" s="14"/>
      <c r="BQ113" s="14" t="s">
        <v>328</v>
      </c>
      <c r="BR113" s="14"/>
      <c r="BS113" s="14"/>
      <c r="BT113" s="14"/>
      <c r="BU113" s="14"/>
      <c r="BV113" s="14" t="s">
        <v>328</v>
      </c>
      <c r="BW113" s="14"/>
      <c r="BX113" s="14"/>
      <c r="BY113" s="14"/>
      <c r="BZ113" s="14"/>
      <c r="CA113" s="14"/>
      <c r="CB113" s="14"/>
      <c r="CC113" s="14"/>
      <c r="CD113" s="14"/>
      <c r="CE113" s="14"/>
      <c r="CF113" s="14" t="s">
        <v>328</v>
      </c>
      <c r="CG113" s="14" t="s">
        <v>328</v>
      </c>
      <c r="CH113" s="14"/>
      <c r="CI113" s="14"/>
      <c r="CJ113" s="14" t="s">
        <v>328</v>
      </c>
      <c r="CK113" s="14"/>
      <c r="CL113" s="14"/>
      <c r="CM113" s="14"/>
      <c r="CN113" s="14">
        <v>5</v>
      </c>
      <c r="CO113" s="14">
        <v>1</v>
      </c>
      <c r="CP113" s="14">
        <v>4</v>
      </c>
      <c r="CQ113" s="14">
        <v>2</v>
      </c>
      <c r="CR113" s="14">
        <v>3</v>
      </c>
      <c r="CS113" s="14">
        <v>6</v>
      </c>
      <c r="CT113" s="14"/>
      <c r="CU113" s="14"/>
      <c r="CV113" s="14"/>
      <c r="CW113" s="14"/>
      <c r="CX113" s="14" t="s">
        <v>328</v>
      </c>
      <c r="CY113" s="14"/>
      <c r="CZ113" s="14"/>
      <c r="DA113" s="14"/>
      <c r="DB113" s="14"/>
      <c r="DC113" s="14">
        <v>1</v>
      </c>
      <c r="DD113" s="14">
        <v>2</v>
      </c>
      <c r="DE113" s="14">
        <v>3</v>
      </c>
      <c r="DF113" s="14">
        <v>4</v>
      </c>
      <c r="DG113" s="14">
        <v>6</v>
      </c>
      <c r="DH113" s="14">
        <v>5</v>
      </c>
      <c r="DI113" s="14"/>
      <c r="DJ113" s="14" t="s">
        <v>328</v>
      </c>
      <c r="DK113" s="14"/>
      <c r="DL113" s="14"/>
      <c r="DM113" s="14"/>
      <c r="DN113" s="14"/>
      <c r="DO113" s="14"/>
      <c r="DP113" s="14" t="s">
        <v>1145</v>
      </c>
      <c r="DQ113" s="14" t="s">
        <v>328</v>
      </c>
      <c r="DR113" s="14"/>
      <c r="DS113" s="14"/>
      <c r="DT113" s="14"/>
      <c r="DU113" s="14"/>
      <c r="DV113" s="14"/>
      <c r="DW113" s="14"/>
      <c r="DX113" s="14" t="s">
        <v>1152</v>
      </c>
      <c r="DY113" s="14" t="s">
        <v>328</v>
      </c>
      <c r="DZ113" s="14"/>
      <c r="EA113" s="14"/>
      <c r="EB113" s="14"/>
      <c r="EC113" s="14"/>
      <c r="ED113" s="14"/>
      <c r="EE113" s="101" t="s">
        <v>333</v>
      </c>
      <c r="EF113" s="99"/>
      <c r="EG113" s="17">
        <f t="shared" si="1"/>
        <v>0</v>
      </c>
    </row>
    <row r="114" spans="1:137" x14ac:dyDescent="0.25">
      <c r="A114" s="50" t="s">
        <v>1855</v>
      </c>
      <c r="B114" s="208">
        <v>41542</v>
      </c>
      <c r="C114" s="209" t="s">
        <v>2747</v>
      </c>
      <c r="D114" s="61" t="s">
        <v>543</v>
      </c>
      <c r="E114" s="14" t="s">
        <v>328</v>
      </c>
      <c r="F114" s="14"/>
      <c r="G114" s="14">
        <v>57</v>
      </c>
      <c r="H114" s="14" t="s">
        <v>329</v>
      </c>
      <c r="I114" s="14" t="s">
        <v>353</v>
      </c>
      <c r="J114" s="14" t="s">
        <v>573</v>
      </c>
      <c r="K114" s="14" t="s">
        <v>1243</v>
      </c>
      <c r="L114" s="14" t="s">
        <v>1288</v>
      </c>
      <c r="M114" s="14">
        <v>35</v>
      </c>
      <c r="N114" s="14">
        <v>1</v>
      </c>
      <c r="O114" s="14"/>
      <c r="P114" s="14"/>
      <c r="Q114" s="14"/>
      <c r="R114" s="14"/>
      <c r="S114" s="14">
        <v>1</v>
      </c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 t="s">
        <v>328</v>
      </c>
      <c r="AE114" s="14"/>
      <c r="AF114" s="14"/>
      <c r="AG114" s="14"/>
      <c r="AH114" s="14"/>
      <c r="AI114" s="14"/>
      <c r="AJ114" s="14"/>
      <c r="AK114" s="14"/>
      <c r="AL114" s="14" t="s">
        <v>328</v>
      </c>
      <c r="AM114" s="14"/>
      <c r="AN114" s="14"/>
      <c r="AO114" s="14" t="s">
        <v>328</v>
      </c>
      <c r="AP114" s="14"/>
      <c r="AQ114" s="14"/>
      <c r="AR114" s="14">
        <v>10</v>
      </c>
      <c r="AS114" s="14">
        <v>3</v>
      </c>
      <c r="AT114" s="14"/>
      <c r="AU114" s="14" t="s">
        <v>328</v>
      </c>
      <c r="AV114" s="14"/>
      <c r="AW114" s="14"/>
      <c r="AX114" s="14">
        <v>1</v>
      </c>
      <c r="AY114" s="14">
        <v>3</v>
      </c>
      <c r="AZ114" s="14">
        <v>2</v>
      </c>
      <c r="BA114" s="14"/>
      <c r="BB114" s="14" t="s">
        <v>328</v>
      </c>
      <c r="BC114" s="14"/>
      <c r="BD114" s="14"/>
      <c r="BE114" s="14"/>
      <c r="BF114" s="14" t="s">
        <v>328</v>
      </c>
      <c r="BG114" s="14"/>
      <c r="BH114" s="14"/>
      <c r="BI114" s="14"/>
      <c r="BJ114" s="14"/>
      <c r="BK114" s="14"/>
      <c r="BL114" s="14"/>
      <c r="BM114" s="14"/>
      <c r="BN114" s="14"/>
      <c r="BO114" s="14" t="s">
        <v>328</v>
      </c>
      <c r="BP114" s="14"/>
      <c r="BQ114" s="14" t="s">
        <v>328</v>
      </c>
      <c r="BR114" s="14"/>
      <c r="BS114" s="14"/>
      <c r="BT114" s="14"/>
      <c r="BU114" s="14"/>
      <c r="BV114" s="14"/>
      <c r="BW114" s="14"/>
      <c r="BX114" s="14" t="s">
        <v>874</v>
      </c>
      <c r="BY114" s="14"/>
      <c r="BZ114" s="14"/>
      <c r="CA114" s="14"/>
      <c r="CB114" s="14"/>
      <c r="CC114" s="14"/>
      <c r="CD114" s="14"/>
      <c r="CE114" s="14"/>
      <c r="CF114" s="14"/>
      <c r="CG114" s="14"/>
      <c r="CH114" s="14" t="s">
        <v>332</v>
      </c>
      <c r="CI114" s="14"/>
      <c r="CJ114" s="14"/>
      <c r="CK114" s="14" t="s">
        <v>328</v>
      </c>
      <c r="CL114" s="14"/>
      <c r="CM114" s="14"/>
      <c r="CN114" s="14">
        <v>5</v>
      </c>
      <c r="CO114" s="14">
        <v>2</v>
      </c>
      <c r="CP114" s="14">
        <v>1</v>
      </c>
      <c r="CQ114" s="14">
        <v>3</v>
      </c>
      <c r="CR114" s="14">
        <v>4</v>
      </c>
      <c r="CS114" s="14">
        <v>6</v>
      </c>
      <c r="CT114" s="14"/>
      <c r="CU114" s="14"/>
      <c r="CV114" s="14"/>
      <c r="CW114" s="14"/>
      <c r="CX114" s="14"/>
      <c r="CY114" s="14"/>
      <c r="CZ114" s="14" t="s">
        <v>332</v>
      </c>
      <c r="DA114" s="14"/>
      <c r="DB114" s="14"/>
      <c r="DC114" s="14">
        <v>2</v>
      </c>
      <c r="DD114" s="14">
        <v>5</v>
      </c>
      <c r="DE114" s="14">
        <v>6</v>
      </c>
      <c r="DF114" s="14">
        <v>3</v>
      </c>
      <c r="DG114" s="14">
        <v>1</v>
      </c>
      <c r="DH114" s="14">
        <v>4</v>
      </c>
      <c r="DI114" s="14"/>
      <c r="DJ114" s="14" t="s">
        <v>328</v>
      </c>
      <c r="DK114" s="14"/>
      <c r="DL114" s="14"/>
      <c r="DM114" s="14"/>
      <c r="DN114" s="14"/>
      <c r="DO114" s="14"/>
      <c r="DP114" s="14" t="s">
        <v>333</v>
      </c>
      <c r="DQ114" s="14" t="s">
        <v>328</v>
      </c>
      <c r="DR114" s="14"/>
      <c r="DS114" s="14"/>
      <c r="DT114" s="14"/>
      <c r="DU114" s="14"/>
      <c r="DV114" s="14"/>
      <c r="DW114" s="14"/>
      <c r="DX114" s="14" t="s">
        <v>1145</v>
      </c>
      <c r="DY114" s="14" t="s">
        <v>328</v>
      </c>
      <c r="DZ114" s="14"/>
      <c r="EA114" s="14"/>
      <c r="EB114" s="14"/>
      <c r="EC114" s="14"/>
      <c r="ED114" s="14"/>
      <c r="EE114" s="101" t="s">
        <v>1152</v>
      </c>
      <c r="EF114" s="99"/>
      <c r="EG114" s="17">
        <f t="shared" si="1"/>
        <v>0</v>
      </c>
    </row>
    <row r="115" spans="1:137" x14ac:dyDescent="0.25">
      <c r="A115" s="50" t="s">
        <v>1855</v>
      </c>
      <c r="B115" s="208">
        <v>41542</v>
      </c>
      <c r="C115" s="209" t="s">
        <v>2747</v>
      </c>
      <c r="D115" s="61" t="s">
        <v>544</v>
      </c>
      <c r="E115" s="14" t="s">
        <v>328</v>
      </c>
      <c r="F115" s="14"/>
      <c r="G115" s="14">
        <v>46</v>
      </c>
      <c r="H115" s="14" t="s">
        <v>329</v>
      </c>
      <c r="I115" s="14" t="s">
        <v>330</v>
      </c>
      <c r="J115" s="14" t="s">
        <v>573</v>
      </c>
      <c r="K115" s="14" t="s">
        <v>1243</v>
      </c>
      <c r="L115" s="14" t="s">
        <v>1288</v>
      </c>
      <c r="M115" s="14">
        <v>20</v>
      </c>
      <c r="N115" s="14">
        <v>1</v>
      </c>
      <c r="O115" s="14"/>
      <c r="P115" s="14"/>
      <c r="Q115" s="14"/>
      <c r="R115" s="14"/>
      <c r="S115" s="14">
        <v>1</v>
      </c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 t="s">
        <v>328</v>
      </c>
      <c r="AE115" s="14"/>
      <c r="AF115" s="14"/>
      <c r="AG115" s="14"/>
      <c r="AH115" s="14"/>
      <c r="AI115" s="14"/>
      <c r="AJ115" s="14" t="s">
        <v>328</v>
      </c>
      <c r="AK115" s="14"/>
      <c r="AL115" s="14" t="s">
        <v>328</v>
      </c>
      <c r="AM115" s="14"/>
      <c r="AN115" s="14"/>
      <c r="AO115" s="14"/>
      <c r="AP115" s="14"/>
      <c r="AQ115" s="14" t="s">
        <v>328</v>
      </c>
      <c r="AR115" s="14">
        <v>10</v>
      </c>
      <c r="AS115" s="14">
        <v>1</v>
      </c>
      <c r="AT115" s="14"/>
      <c r="AU115" s="14" t="s">
        <v>328</v>
      </c>
      <c r="AV115" s="14"/>
      <c r="AW115" s="14"/>
      <c r="AX115" s="14">
        <v>3</v>
      </c>
      <c r="AY115" s="14">
        <v>2</v>
      </c>
      <c r="AZ115" s="14">
        <v>1</v>
      </c>
      <c r="BA115" s="14"/>
      <c r="BB115" s="14" t="s">
        <v>328</v>
      </c>
      <c r="BC115" s="14"/>
      <c r="BD115" s="14"/>
      <c r="BE115" s="14"/>
      <c r="BF115" s="14" t="s">
        <v>328</v>
      </c>
      <c r="BG115" s="14"/>
      <c r="BH115" s="14"/>
      <c r="BI115" s="14"/>
      <c r="BJ115" s="14"/>
      <c r="BK115" s="14"/>
      <c r="BL115" s="14"/>
      <c r="BM115" s="14"/>
      <c r="BN115" s="14"/>
      <c r="BO115" s="14" t="s">
        <v>328</v>
      </c>
      <c r="BP115" s="14"/>
      <c r="BQ115" s="14" t="s">
        <v>328</v>
      </c>
      <c r="BR115" s="14"/>
      <c r="BS115" s="14"/>
      <c r="BT115" s="14"/>
      <c r="BU115" s="14"/>
      <c r="BV115" s="14"/>
      <c r="BW115" s="14" t="s">
        <v>328</v>
      </c>
      <c r="BX115" s="14"/>
      <c r="BY115" s="14"/>
      <c r="BZ115" s="14"/>
      <c r="CA115" s="14"/>
      <c r="CB115" s="14"/>
      <c r="CC115" s="14"/>
      <c r="CD115" s="14" t="s">
        <v>328</v>
      </c>
      <c r="CE115" s="14" t="s">
        <v>328</v>
      </c>
      <c r="CF115" s="14" t="s">
        <v>328</v>
      </c>
      <c r="CG115" s="14"/>
      <c r="CH115" s="14"/>
      <c r="CI115" s="14"/>
      <c r="CJ115" s="14" t="s">
        <v>328</v>
      </c>
      <c r="CK115" s="14"/>
      <c r="CL115" s="14"/>
      <c r="CM115" s="14"/>
      <c r="CN115" s="14">
        <v>3</v>
      </c>
      <c r="CO115" s="14">
        <v>4</v>
      </c>
      <c r="CP115" s="14">
        <v>1</v>
      </c>
      <c r="CQ115" s="14">
        <v>5</v>
      </c>
      <c r="CR115" s="14">
        <v>6</v>
      </c>
      <c r="CS115" s="14">
        <v>2</v>
      </c>
      <c r="CT115" s="14"/>
      <c r="CU115" s="14"/>
      <c r="CV115" s="14"/>
      <c r="CW115" s="14"/>
      <c r="CX115" s="14"/>
      <c r="CY115" s="14"/>
      <c r="CZ115" s="14" t="s">
        <v>332</v>
      </c>
      <c r="DA115" s="14" t="s">
        <v>328</v>
      </c>
      <c r="DB115" s="14" t="s">
        <v>404</v>
      </c>
      <c r="DC115" s="14"/>
      <c r="DD115" s="14"/>
      <c r="DE115" s="14"/>
      <c r="DF115" s="14"/>
      <c r="DG115" s="14"/>
      <c r="DH115" s="14"/>
      <c r="DI115" s="14"/>
      <c r="DJ115" s="14" t="s">
        <v>328</v>
      </c>
      <c r="DK115" s="14"/>
      <c r="DL115" s="14"/>
      <c r="DM115" s="14"/>
      <c r="DN115" s="14"/>
      <c r="DO115" s="14"/>
      <c r="DP115" s="14" t="s">
        <v>333</v>
      </c>
      <c r="DQ115" s="14" t="s">
        <v>328</v>
      </c>
      <c r="DR115" s="14"/>
      <c r="DS115" s="14"/>
      <c r="DT115" s="14"/>
      <c r="DU115" s="14"/>
      <c r="DV115" s="14"/>
      <c r="DW115" s="14"/>
      <c r="DX115" s="14" t="s">
        <v>411</v>
      </c>
      <c r="DY115" s="14" t="s">
        <v>328</v>
      </c>
      <c r="DZ115" s="14"/>
      <c r="EA115" s="14"/>
      <c r="EB115" s="14"/>
      <c r="EC115" s="14"/>
      <c r="ED115" s="14"/>
      <c r="EE115" s="101" t="s">
        <v>450</v>
      </c>
      <c r="EF115" s="99"/>
      <c r="EG115" s="17">
        <f t="shared" si="1"/>
        <v>0</v>
      </c>
    </row>
    <row r="116" spans="1:137" x14ac:dyDescent="0.25">
      <c r="A116" s="50" t="s">
        <v>1855</v>
      </c>
      <c r="B116" s="208">
        <v>41542</v>
      </c>
      <c r="C116" s="209" t="s">
        <v>2747</v>
      </c>
      <c r="D116" s="61" t="s">
        <v>545</v>
      </c>
      <c r="E116" s="14" t="s">
        <v>328</v>
      </c>
      <c r="F116" s="14"/>
      <c r="G116" s="14">
        <v>28</v>
      </c>
      <c r="H116" s="14" t="s">
        <v>329</v>
      </c>
      <c r="I116" s="14" t="s">
        <v>357</v>
      </c>
      <c r="J116" s="14" t="s">
        <v>775</v>
      </c>
      <c r="K116" s="14" t="s">
        <v>1246</v>
      </c>
      <c r="L116" s="14" t="s">
        <v>1335</v>
      </c>
      <c r="M116" s="14">
        <v>10</v>
      </c>
      <c r="N116" s="14">
        <v>1</v>
      </c>
      <c r="O116" s="14"/>
      <c r="P116" s="14"/>
      <c r="Q116" s="14"/>
      <c r="R116" s="14"/>
      <c r="S116" s="14"/>
      <c r="T116" s="14"/>
      <c r="U116" s="14"/>
      <c r="V116" s="14"/>
      <c r="W116" s="14">
        <v>1</v>
      </c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 t="s">
        <v>328</v>
      </c>
      <c r="AK116" s="14"/>
      <c r="AL116" s="14" t="s">
        <v>328</v>
      </c>
      <c r="AM116" s="14"/>
      <c r="AN116" s="14"/>
      <c r="AO116" s="14" t="s">
        <v>328</v>
      </c>
      <c r="AP116" s="14"/>
      <c r="AQ116" s="14"/>
      <c r="AR116" s="14">
        <v>10</v>
      </c>
      <c r="AS116" s="14">
        <v>1</v>
      </c>
      <c r="AT116" s="14"/>
      <c r="AU116" s="14" t="s">
        <v>328</v>
      </c>
      <c r="AV116" s="14"/>
      <c r="AW116" s="14"/>
      <c r="AX116" s="14">
        <v>3</v>
      </c>
      <c r="AY116" s="14">
        <v>1</v>
      </c>
      <c r="AZ116" s="14">
        <v>2</v>
      </c>
      <c r="BA116" s="14"/>
      <c r="BB116" s="14" t="s">
        <v>328</v>
      </c>
      <c r="BC116" s="14"/>
      <c r="BD116" s="14"/>
      <c r="BE116" s="14" t="s">
        <v>328</v>
      </c>
      <c r="BF116" s="14"/>
      <c r="BG116" s="14"/>
      <c r="BH116" s="14"/>
      <c r="BI116" s="14"/>
      <c r="BJ116" s="14"/>
      <c r="BK116" s="14"/>
      <c r="BL116" s="14"/>
      <c r="BM116" s="14"/>
      <c r="BN116" s="14"/>
      <c r="BO116" s="14" t="s">
        <v>328</v>
      </c>
      <c r="BP116" s="14"/>
      <c r="BQ116" s="14" t="s">
        <v>328</v>
      </c>
      <c r="BR116" s="14"/>
      <c r="BS116" s="14"/>
      <c r="BT116" s="14" t="s">
        <v>328</v>
      </c>
      <c r="BU116" s="14"/>
      <c r="BV116" s="14"/>
      <c r="BW116" s="14" t="s">
        <v>328</v>
      </c>
      <c r="BX116" s="14"/>
      <c r="BY116" s="14"/>
      <c r="BZ116" s="14"/>
      <c r="CA116" s="14"/>
      <c r="CB116" s="14"/>
      <c r="CC116" s="14"/>
      <c r="CD116" s="14"/>
      <c r="CE116" s="14"/>
      <c r="CF116" s="14" t="s">
        <v>328</v>
      </c>
      <c r="CG116" s="14"/>
      <c r="CH116" s="14"/>
      <c r="CI116" s="14"/>
      <c r="CJ116" s="14" t="s">
        <v>328</v>
      </c>
      <c r="CK116" s="14"/>
      <c r="CL116" s="14"/>
      <c r="CM116" s="14"/>
      <c r="CN116" s="14">
        <v>5</v>
      </c>
      <c r="CO116" s="14">
        <v>3</v>
      </c>
      <c r="CP116" s="14">
        <v>4</v>
      </c>
      <c r="CQ116" s="14">
        <v>1</v>
      </c>
      <c r="CR116" s="14">
        <v>2</v>
      </c>
      <c r="CS116" s="14">
        <v>6</v>
      </c>
      <c r="CT116" s="14" t="s">
        <v>328</v>
      </c>
      <c r="CU116" s="14"/>
      <c r="CV116" s="14"/>
      <c r="CW116" s="14"/>
      <c r="CX116" s="14"/>
      <c r="CY116" s="14"/>
      <c r="CZ116" s="14"/>
      <c r="DA116" s="14"/>
      <c r="DB116" s="14"/>
      <c r="DC116" s="14">
        <v>6</v>
      </c>
      <c r="DD116" s="14">
        <v>2</v>
      </c>
      <c r="DE116" s="14">
        <v>5</v>
      </c>
      <c r="DF116" s="14">
        <v>3</v>
      </c>
      <c r="DG116" s="14">
        <v>1</v>
      </c>
      <c r="DH116" s="14">
        <v>4</v>
      </c>
      <c r="DI116" s="14"/>
      <c r="DJ116" s="14" t="s">
        <v>328</v>
      </c>
      <c r="DK116" s="14"/>
      <c r="DL116" s="14"/>
      <c r="DM116" s="14"/>
      <c r="DN116" s="14"/>
      <c r="DO116" s="14"/>
      <c r="DP116" s="14" t="s">
        <v>333</v>
      </c>
      <c r="DQ116" s="14"/>
      <c r="DR116" s="14" t="s">
        <v>328</v>
      </c>
      <c r="DS116" s="14" t="s">
        <v>328</v>
      </c>
      <c r="DT116" s="14" t="s">
        <v>437</v>
      </c>
      <c r="DU116" s="14"/>
      <c r="DV116" s="14"/>
      <c r="DW116" s="15" t="s">
        <v>410</v>
      </c>
      <c r="DX116" s="14" t="s">
        <v>411</v>
      </c>
      <c r="DY116" s="14" t="s">
        <v>328</v>
      </c>
      <c r="DZ116" s="14"/>
      <c r="EA116" s="14"/>
      <c r="EB116" s="14"/>
      <c r="EC116" s="14"/>
      <c r="ED116" s="14"/>
      <c r="EE116" s="101" t="s">
        <v>450</v>
      </c>
      <c r="EF116" s="99"/>
      <c r="EG116" s="17">
        <f t="shared" si="1"/>
        <v>0</v>
      </c>
    </row>
    <row r="117" spans="1:137" x14ac:dyDescent="0.25">
      <c r="A117" s="50" t="s">
        <v>1855</v>
      </c>
      <c r="B117" s="208">
        <v>41543</v>
      </c>
      <c r="C117" s="209" t="s">
        <v>2748</v>
      </c>
      <c r="D117" s="61" t="s">
        <v>546</v>
      </c>
      <c r="E117" s="14" t="s">
        <v>328</v>
      </c>
      <c r="F117" s="14"/>
      <c r="G117" s="14">
        <v>36</v>
      </c>
      <c r="H117" s="14" t="s">
        <v>376</v>
      </c>
      <c r="I117" s="14" t="s">
        <v>399</v>
      </c>
      <c r="J117" s="14" t="s">
        <v>578</v>
      </c>
      <c r="K117" s="14" t="s">
        <v>1247</v>
      </c>
      <c r="L117" s="14" t="s">
        <v>1288</v>
      </c>
      <c r="M117" s="14">
        <v>0</v>
      </c>
      <c r="N117" s="14">
        <v>2</v>
      </c>
      <c r="O117" s="14"/>
      <c r="P117" s="14"/>
      <c r="Q117" s="14"/>
      <c r="R117" s="14">
        <v>2</v>
      </c>
      <c r="S117" s="14"/>
      <c r="T117" s="14"/>
      <c r="U117" s="14"/>
      <c r="V117" s="14"/>
      <c r="W117" s="14"/>
      <c r="X117" s="14"/>
      <c r="Y117" s="14"/>
      <c r="Z117" s="14"/>
      <c r="AA117" s="14"/>
      <c r="AB117" s="14" t="s">
        <v>328</v>
      </c>
      <c r="AC117" s="14"/>
      <c r="AD117" s="14"/>
      <c r="AE117" s="14"/>
      <c r="AF117" s="14"/>
      <c r="AG117" s="14"/>
      <c r="AH117" s="14"/>
      <c r="AI117" s="14" t="s">
        <v>328</v>
      </c>
      <c r="AJ117" s="14"/>
      <c r="AK117" s="14"/>
      <c r="AL117" s="14"/>
      <c r="AM117" s="14" t="s">
        <v>328</v>
      </c>
      <c r="AN117" s="14"/>
      <c r="AO117" s="14"/>
      <c r="AP117" s="14"/>
      <c r="AQ117" s="14" t="s">
        <v>328</v>
      </c>
      <c r="AR117" s="14">
        <v>5</v>
      </c>
      <c r="AS117" s="14">
        <v>1</v>
      </c>
      <c r="AT117" s="14"/>
      <c r="AU117" s="14" t="s">
        <v>328</v>
      </c>
      <c r="AV117" s="14"/>
      <c r="AW117" s="14"/>
      <c r="AX117" s="14">
        <v>1</v>
      </c>
      <c r="AY117" s="14">
        <v>3</v>
      </c>
      <c r="AZ117" s="14">
        <v>2</v>
      </c>
      <c r="BA117" s="14"/>
      <c r="BB117" s="14" t="s">
        <v>328</v>
      </c>
      <c r="BC117" s="14"/>
      <c r="BD117" s="14" t="s">
        <v>328</v>
      </c>
      <c r="BE117" s="14"/>
      <c r="BF117" s="14"/>
      <c r="BG117" s="14"/>
      <c r="BH117" s="14"/>
      <c r="BI117" s="14"/>
      <c r="BJ117" s="14"/>
      <c r="BK117" s="14"/>
      <c r="BL117" s="14"/>
      <c r="BM117" s="14"/>
      <c r="BN117" s="14" t="s">
        <v>328</v>
      </c>
      <c r="BO117" s="14"/>
      <c r="BP117" s="14" t="s">
        <v>328</v>
      </c>
      <c r="BQ117" s="14"/>
      <c r="BR117" s="14" t="s">
        <v>328</v>
      </c>
      <c r="BS117" s="14"/>
      <c r="BT117" s="14"/>
      <c r="BU117" s="14"/>
      <c r="BV117" s="14"/>
      <c r="BW117" s="14" t="s">
        <v>328</v>
      </c>
      <c r="BX117" s="14"/>
      <c r="BY117" s="14" t="s">
        <v>328</v>
      </c>
      <c r="BZ117" s="14"/>
      <c r="CA117" s="14"/>
      <c r="CB117" s="14" t="s">
        <v>328</v>
      </c>
      <c r="CC117" s="14" t="s">
        <v>328</v>
      </c>
      <c r="CD117" s="14" t="s">
        <v>328</v>
      </c>
      <c r="CE117" s="14"/>
      <c r="CF117" s="14"/>
      <c r="CG117" s="14"/>
      <c r="CH117" s="14" t="s">
        <v>579</v>
      </c>
      <c r="CI117" s="14" t="s">
        <v>328</v>
      </c>
      <c r="CJ117" s="14"/>
      <c r="CK117" s="14"/>
      <c r="CL117" s="14"/>
      <c r="CM117" s="14"/>
      <c r="CN117" s="14">
        <v>2</v>
      </c>
      <c r="CO117" s="14">
        <v>5</v>
      </c>
      <c r="CP117" s="14">
        <v>6</v>
      </c>
      <c r="CQ117" s="14">
        <v>3</v>
      </c>
      <c r="CR117" s="14">
        <v>4</v>
      </c>
      <c r="CS117" s="14">
        <v>1</v>
      </c>
      <c r="CT117" s="14"/>
      <c r="CU117" s="14"/>
      <c r="CV117" s="14"/>
      <c r="CW117" s="14" t="s">
        <v>328</v>
      </c>
      <c r="CX117" s="14"/>
      <c r="CY117" s="14"/>
      <c r="CZ117" s="14"/>
      <c r="DA117" s="14"/>
      <c r="DB117" s="14"/>
      <c r="DC117" s="14">
        <v>3</v>
      </c>
      <c r="DD117" s="14">
        <v>2</v>
      </c>
      <c r="DE117" s="14">
        <v>1</v>
      </c>
      <c r="DF117" s="14">
        <v>6</v>
      </c>
      <c r="DG117" s="14">
        <v>4</v>
      </c>
      <c r="DH117" s="14">
        <v>5</v>
      </c>
      <c r="DI117" s="14"/>
      <c r="DJ117" s="14" t="s">
        <v>328</v>
      </c>
      <c r="DK117" s="14"/>
      <c r="DL117" s="14"/>
      <c r="DM117" s="14"/>
      <c r="DN117" s="14"/>
      <c r="DO117" s="14"/>
      <c r="DP117" s="14" t="s">
        <v>1145</v>
      </c>
      <c r="DQ117" s="14" t="s">
        <v>328</v>
      </c>
      <c r="DR117" s="14"/>
      <c r="DS117" s="14"/>
      <c r="DT117" s="14"/>
      <c r="DU117" s="14"/>
      <c r="DV117" s="14"/>
      <c r="DW117" s="14"/>
      <c r="DX117" s="14" t="s">
        <v>411</v>
      </c>
      <c r="DY117" s="14" t="s">
        <v>328</v>
      </c>
      <c r="DZ117" s="14"/>
      <c r="EA117" s="14"/>
      <c r="EB117" s="14"/>
      <c r="EC117" s="14"/>
      <c r="ED117" s="14"/>
      <c r="EE117" s="101" t="s">
        <v>450</v>
      </c>
      <c r="EF117" s="99"/>
      <c r="EG117" s="17">
        <f t="shared" si="1"/>
        <v>0</v>
      </c>
    </row>
    <row r="118" spans="1:137" x14ac:dyDescent="0.25">
      <c r="A118" s="50" t="s">
        <v>1855</v>
      </c>
      <c r="B118" s="208">
        <v>41543</v>
      </c>
      <c r="C118" s="209" t="s">
        <v>2748</v>
      </c>
      <c r="D118" s="61" t="s">
        <v>547</v>
      </c>
      <c r="E118" s="14" t="s">
        <v>328</v>
      </c>
      <c r="F118" s="14"/>
      <c r="G118" s="14">
        <v>44</v>
      </c>
      <c r="H118" s="14" t="s">
        <v>329</v>
      </c>
      <c r="I118" s="14" t="s">
        <v>330</v>
      </c>
      <c r="J118" s="14" t="s">
        <v>567</v>
      </c>
      <c r="K118" s="8" t="s">
        <v>1237</v>
      </c>
      <c r="L118" s="14" t="s">
        <v>1288</v>
      </c>
      <c r="M118" s="14">
        <v>24</v>
      </c>
      <c r="N118" s="14">
        <v>1</v>
      </c>
      <c r="O118" s="14"/>
      <c r="P118" s="14"/>
      <c r="Q118" s="14"/>
      <c r="R118" s="14"/>
      <c r="S118" s="14"/>
      <c r="T118" s="14"/>
      <c r="U118" s="14"/>
      <c r="V118" s="14"/>
      <c r="W118" s="14"/>
      <c r="X118" s="14">
        <v>1</v>
      </c>
      <c r="Y118" s="14"/>
      <c r="Z118" s="14"/>
      <c r="AA118" s="14"/>
      <c r="AB118" s="14"/>
      <c r="AC118" s="14"/>
      <c r="AD118" s="14"/>
      <c r="AE118" s="14"/>
      <c r="AF118" s="14"/>
      <c r="AG118" s="14" t="s">
        <v>328</v>
      </c>
      <c r="AH118" s="14"/>
      <c r="AI118" s="14"/>
      <c r="AJ118" s="14"/>
      <c r="AK118" s="14"/>
      <c r="AL118" s="14"/>
      <c r="AM118" s="14" t="s">
        <v>328</v>
      </c>
      <c r="AN118" s="14"/>
      <c r="AO118" s="14" t="s">
        <v>328</v>
      </c>
      <c r="AP118" s="14"/>
      <c r="AQ118" s="14"/>
      <c r="AR118" s="14">
        <v>5</v>
      </c>
      <c r="AS118" s="14">
        <v>8</v>
      </c>
      <c r="AT118" s="14"/>
      <c r="AU118" s="14" t="s">
        <v>328</v>
      </c>
      <c r="AV118" s="14"/>
      <c r="AW118" s="14"/>
      <c r="AX118" s="14">
        <v>2</v>
      </c>
      <c r="AY118" s="14">
        <v>3</v>
      </c>
      <c r="AZ118" s="14">
        <v>1</v>
      </c>
      <c r="BA118" s="14"/>
      <c r="BB118" s="14" t="s">
        <v>328</v>
      </c>
      <c r="BC118" s="14"/>
      <c r="BD118" s="14" t="s">
        <v>328</v>
      </c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 t="s">
        <v>328</v>
      </c>
      <c r="BP118" s="14"/>
      <c r="BQ118" s="14" t="s">
        <v>328</v>
      </c>
      <c r="BR118" s="14"/>
      <c r="BS118" s="14"/>
      <c r="BT118" s="14"/>
      <c r="BU118" s="14"/>
      <c r="BV118" s="14"/>
      <c r="BW118" s="14" t="s">
        <v>328</v>
      </c>
      <c r="BX118" s="14"/>
      <c r="BY118" s="14"/>
      <c r="BZ118" s="14"/>
      <c r="CA118" s="14"/>
      <c r="CB118" s="14"/>
      <c r="CC118" s="14" t="s">
        <v>328</v>
      </c>
      <c r="CD118" s="14" t="s">
        <v>328</v>
      </c>
      <c r="CE118" s="14"/>
      <c r="CF118" s="14"/>
      <c r="CG118" s="14"/>
      <c r="CH118" s="14"/>
      <c r="CI118" s="14" t="s">
        <v>328</v>
      </c>
      <c r="CJ118" s="14"/>
      <c r="CK118" s="14"/>
      <c r="CL118" s="14"/>
      <c r="CM118" s="14"/>
      <c r="CN118" s="14">
        <v>3</v>
      </c>
      <c r="CO118" s="14">
        <v>4</v>
      </c>
      <c r="CP118" s="14">
        <v>6</v>
      </c>
      <c r="CQ118" s="14">
        <v>2</v>
      </c>
      <c r="CR118" s="14">
        <v>1</v>
      </c>
      <c r="CS118" s="14">
        <v>5</v>
      </c>
      <c r="CT118" s="14"/>
      <c r="CU118" s="14"/>
      <c r="CV118" s="14"/>
      <c r="CW118" s="14"/>
      <c r="CX118" s="14"/>
      <c r="CY118" s="14"/>
      <c r="CZ118" s="14" t="s">
        <v>332</v>
      </c>
      <c r="DA118" s="14"/>
      <c r="DB118" s="14"/>
      <c r="DC118" s="14">
        <v>1</v>
      </c>
      <c r="DD118" s="14">
        <v>2</v>
      </c>
      <c r="DE118" s="14">
        <v>3</v>
      </c>
      <c r="DF118" s="14">
        <v>4</v>
      </c>
      <c r="DG118" s="14">
        <v>5</v>
      </c>
      <c r="DH118" s="14">
        <v>6</v>
      </c>
      <c r="DI118" s="14"/>
      <c r="DJ118" s="14" t="s">
        <v>328</v>
      </c>
      <c r="DK118" s="14"/>
      <c r="DL118" s="14"/>
      <c r="DM118" s="14"/>
      <c r="DN118" s="14"/>
      <c r="DO118" s="14"/>
      <c r="DP118" s="14" t="s">
        <v>333</v>
      </c>
      <c r="DQ118" s="14" t="s">
        <v>328</v>
      </c>
      <c r="DR118" s="14"/>
      <c r="DS118" s="14"/>
      <c r="DT118" s="14"/>
      <c r="DU118" s="14"/>
      <c r="DV118" s="14"/>
      <c r="DW118" s="14"/>
      <c r="DX118" s="14" t="s">
        <v>1144</v>
      </c>
      <c r="DY118" s="14" t="s">
        <v>328</v>
      </c>
      <c r="DZ118" s="14"/>
      <c r="EA118" s="14"/>
      <c r="EB118" s="14"/>
      <c r="EC118" s="14"/>
      <c r="ED118" s="14"/>
      <c r="EE118" s="101" t="s">
        <v>333</v>
      </c>
      <c r="EF118" s="99"/>
      <c r="EG118" s="17">
        <f t="shared" si="1"/>
        <v>0</v>
      </c>
    </row>
    <row r="119" spans="1:137" x14ac:dyDescent="0.25">
      <c r="A119" s="50" t="s">
        <v>1855</v>
      </c>
      <c r="B119" s="208">
        <v>41543</v>
      </c>
      <c r="C119" s="209" t="s">
        <v>2748</v>
      </c>
      <c r="D119" s="61" t="s">
        <v>548</v>
      </c>
      <c r="E119" s="14" t="s">
        <v>328</v>
      </c>
      <c r="F119" s="14"/>
      <c r="G119" s="14">
        <v>47</v>
      </c>
      <c r="H119" s="14" t="s">
        <v>329</v>
      </c>
      <c r="I119" s="14" t="s">
        <v>330</v>
      </c>
      <c r="J119" s="14" t="s">
        <v>586</v>
      </c>
      <c r="K119" s="8" t="s">
        <v>1248</v>
      </c>
      <c r="L119" s="14" t="s">
        <v>1288</v>
      </c>
      <c r="M119" s="14">
        <v>30</v>
      </c>
      <c r="N119" s="14">
        <v>1</v>
      </c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>
        <v>1</v>
      </c>
      <c r="AA119" s="15"/>
      <c r="AB119" s="14" t="s">
        <v>328</v>
      </c>
      <c r="AC119" s="14" t="s">
        <v>328</v>
      </c>
      <c r="AD119" s="14"/>
      <c r="AE119" s="14"/>
      <c r="AF119" s="14"/>
      <c r="AG119" s="14"/>
      <c r="AH119" s="14"/>
      <c r="AI119" s="14"/>
      <c r="AJ119" s="14"/>
      <c r="AK119" s="14"/>
      <c r="AL119" s="14"/>
      <c r="AM119" s="14" t="s">
        <v>328</v>
      </c>
      <c r="AN119" s="14"/>
      <c r="AO119" s="14" t="s">
        <v>328</v>
      </c>
      <c r="AP119" s="14" t="s">
        <v>328</v>
      </c>
      <c r="AQ119" s="14" t="s">
        <v>328</v>
      </c>
      <c r="AR119" s="14">
        <v>0</v>
      </c>
      <c r="AS119" s="14">
        <v>0</v>
      </c>
      <c r="AT119" s="14"/>
      <c r="AU119" s="14" t="s">
        <v>328</v>
      </c>
      <c r="AV119" s="14"/>
      <c r="AW119" s="14"/>
      <c r="AX119" s="14">
        <v>3</v>
      </c>
      <c r="AY119" s="14">
        <v>1</v>
      </c>
      <c r="AZ119" s="14">
        <v>2</v>
      </c>
      <c r="BA119" s="14"/>
      <c r="BB119" s="14" t="s">
        <v>328</v>
      </c>
      <c r="BC119" s="14"/>
      <c r="BD119" s="14" t="s">
        <v>328</v>
      </c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 t="s">
        <v>328</v>
      </c>
      <c r="BP119" s="14"/>
      <c r="BQ119" s="14" t="s">
        <v>328</v>
      </c>
      <c r="BR119" s="14" t="s">
        <v>328</v>
      </c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 t="s">
        <v>328</v>
      </c>
      <c r="CG119" s="14"/>
      <c r="CH119" s="14"/>
      <c r="CI119" s="14" t="s">
        <v>328</v>
      </c>
      <c r="CJ119" s="14"/>
      <c r="CK119" s="14"/>
      <c r="CL119" s="14"/>
      <c r="CM119" s="14"/>
      <c r="CN119" s="14">
        <v>6</v>
      </c>
      <c r="CO119" s="14">
        <v>3</v>
      </c>
      <c r="CP119" s="14">
        <v>2</v>
      </c>
      <c r="CQ119" s="14">
        <v>1</v>
      </c>
      <c r="CR119" s="14">
        <v>5</v>
      </c>
      <c r="CS119" s="14">
        <v>4</v>
      </c>
      <c r="CT119" s="14"/>
      <c r="CU119" s="14"/>
      <c r="CV119" s="14"/>
      <c r="CW119" s="14"/>
      <c r="CX119" s="14" t="s">
        <v>328</v>
      </c>
      <c r="CY119" s="14"/>
      <c r="CZ119" s="14"/>
      <c r="DA119" s="14"/>
      <c r="DB119" s="14"/>
      <c r="DC119" s="14">
        <v>1</v>
      </c>
      <c r="DD119" s="14">
        <v>2</v>
      </c>
      <c r="DE119" s="14">
        <v>3</v>
      </c>
      <c r="DF119" s="14">
        <v>4</v>
      </c>
      <c r="DG119" s="14">
        <v>6</v>
      </c>
      <c r="DH119" s="14">
        <v>5</v>
      </c>
      <c r="DI119" s="14"/>
      <c r="DJ119" s="14" t="s">
        <v>328</v>
      </c>
      <c r="DK119" s="14"/>
      <c r="DL119" s="14"/>
      <c r="DM119" s="14"/>
      <c r="DN119" s="14"/>
      <c r="DO119" s="14"/>
      <c r="DP119" s="14" t="s">
        <v>624</v>
      </c>
      <c r="DQ119" s="14"/>
      <c r="DR119" s="14" t="s">
        <v>328</v>
      </c>
      <c r="DS119" s="14" t="s">
        <v>328</v>
      </c>
      <c r="DT119" s="14" t="s">
        <v>437</v>
      </c>
      <c r="DU119" s="14"/>
      <c r="DV119" s="14"/>
      <c r="DW119" s="14" t="s">
        <v>571</v>
      </c>
      <c r="DX119" s="14" t="s">
        <v>411</v>
      </c>
      <c r="DY119" s="14" t="s">
        <v>328</v>
      </c>
      <c r="DZ119" s="14"/>
      <c r="EA119" s="14"/>
      <c r="EB119" s="14"/>
      <c r="EC119" s="14"/>
      <c r="ED119" s="14"/>
      <c r="EE119" s="101" t="s">
        <v>333</v>
      </c>
      <c r="EF119" s="99"/>
      <c r="EG119" s="17">
        <f t="shared" si="1"/>
        <v>0</v>
      </c>
    </row>
    <row r="120" spans="1:137" x14ac:dyDescent="0.25">
      <c r="A120" s="50" t="s">
        <v>1855</v>
      </c>
      <c r="B120" s="208">
        <v>41543</v>
      </c>
      <c r="C120" s="209" t="s">
        <v>2748</v>
      </c>
      <c r="D120" s="61" t="s">
        <v>549</v>
      </c>
      <c r="E120" s="14" t="s">
        <v>328</v>
      </c>
      <c r="F120" s="14"/>
      <c r="G120" s="14">
        <v>57</v>
      </c>
      <c r="H120" s="14" t="s">
        <v>329</v>
      </c>
      <c r="I120" s="14" t="s">
        <v>353</v>
      </c>
      <c r="J120" s="14" t="s">
        <v>776</v>
      </c>
      <c r="K120" s="8" t="s">
        <v>1234</v>
      </c>
      <c r="L120" s="14" t="s">
        <v>1288</v>
      </c>
      <c r="M120" s="14">
        <v>40</v>
      </c>
      <c r="N120" s="14">
        <v>1</v>
      </c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>
        <v>1</v>
      </c>
      <c r="AA120" s="15"/>
      <c r="AB120" s="14" t="s">
        <v>328</v>
      </c>
      <c r="AC120" s="14" t="s">
        <v>328</v>
      </c>
      <c r="AD120" s="14"/>
      <c r="AE120" s="14"/>
      <c r="AF120" s="14"/>
      <c r="AG120" s="14" t="s">
        <v>328</v>
      </c>
      <c r="AH120" s="14"/>
      <c r="AI120" s="14"/>
      <c r="AJ120" s="14"/>
      <c r="AK120" s="14"/>
      <c r="AL120" s="14"/>
      <c r="AM120" s="14" t="s">
        <v>328</v>
      </c>
      <c r="AN120" s="14"/>
      <c r="AO120" s="14"/>
      <c r="AP120" s="14"/>
      <c r="AQ120" s="14" t="s">
        <v>328</v>
      </c>
      <c r="AR120" s="14">
        <v>0</v>
      </c>
      <c r="AS120" s="14">
        <v>0</v>
      </c>
      <c r="AT120" s="14"/>
      <c r="AU120" s="14" t="s">
        <v>328</v>
      </c>
      <c r="AV120" s="14"/>
      <c r="AW120" s="14"/>
      <c r="AX120" s="14">
        <v>2</v>
      </c>
      <c r="AY120" s="14">
        <v>3</v>
      </c>
      <c r="AZ120" s="14">
        <v>1</v>
      </c>
      <c r="BA120" s="14"/>
      <c r="BB120" s="14" t="s">
        <v>328</v>
      </c>
      <c r="BC120" s="14"/>
      <c r="BD120" s="14" t="s">
        <v>328</v>
      </c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 t="s">
        <v>328</v>
      </c>
      <c r="BP120" s="14" t="s">
        <v>328</v>
      </c>
      <c r="BQ120" s="14"/>
      <c r="BR120" s="14"/>
      <c r="BS120" s="14" t="s">
        <v>328</v>
      </c>
      <c r="BT120" s="14"/>
      <c r="BU120" s="14"/>
      <c r="BV120" s="14"/>
      <c r="BW120" s="14" t="s">
        <v>328</v>
      </c>
      <c r="BX120" s="14"/>
      <c r="BY120" s="14"/>
      <c r="BZ120" s="14"/>
      <c r="CA120" s="14"/>
      <c r="CB120" s="14"/>
      <c r="CC120" s="14"/>
      <c r="CD120" s="14"/>
      <c r="CE120" s="14"/>
      <c r="CF120" s="14" t="s">
        <v>328</v>
      </c>
      <c r="CG120" s="14" t="s">
        <v>328</v>
      </c>
      <c r="CH120" s="14"/>
      <c r="CI120" s="14" t="s">
        <v>328</v>
      </c>
      <c r="CJ120" s="14"/>
      <c r="CK120" s="14"/>
      <c r="CL120" s="14"/>
      <c r="CM120" s="14"/>
      <c r="CN120" s="14">
        <v>6</v>
      </c>
      <c r="CO120" s="14">
        <v>2</v>
      </c>
      <c r="CP120" s="14">
        <v>1</v>
      </c>
      <c r="CQ120" s="14">
        <v>3</v>
      </c>
      <c r="CR120" s="14">
        <v>4</v>
      </c>
      <c r="CS120" s="14">
        <v>5</v>
      </c>
      <c r="CT120" s="14"/>
      <c r="CU120" s="14"/>
      <c r="CV120" s="14"/>
      <c r="CW120" s="14"/>
      <c r="CX120" s="14" t="s">
        <v>328</v>
      </c>
      <c r="CY120" s="14"/>
      <c r="CZ120" s="14"/>
      <c r="DA120" s="14"/>
      <c r="DB120" s="14"/>
      <c r="DC120" s="14">
        <v>1</v>
      </c>
      <c r="DD120" s="14">
        <v>3</v>
      </c>
      <c r="DE120" s="14">
        <v>2</v>
      </c>
      <c r="DF120" s="14">
        <v>4</v>
      </c>
      <c r="DG120" s="14">
        <v>6</v>
      </c>
      <c r="DH120" s="14">
        <v>5</v>
      </c>
      <c r="DI120" s="14"/>
      <c r="DJ120" s="14" t="s">
        <v>328</v>
      </c>
      <c r="DK120" s="14"/>
      <c r="DL120" s="14"/>
      <c r="DM120" s="14"/>
      <c r="DN120" s="14"/>
      <c r="DO120" s="14"/>
      <c r="DP120" s="14" t="s">
        <v>624</v>
      </c>
      <c r="DQ120" s="14"/>
      <c r="DR120" s="14" t="s">
        <v>328</v>
      </c>
      <c r="DS120" s="14"/>
      <c r="DT120" s="14"/>
      <c r="DU120" s="14" t="s">
        <v>328</v>
      </c>
      <c r="DV120" s="14" t="s">
        <v>680</v>
      </c>
      <c r="DW120" s="14"/>
      <c r="DX120" s="14" t="s">
        <v>582</v>
      </c>
      <c r="DY120" s="14" t="s">
        <v>328</v>
      </c>
      <c r="DZ120" s="14"/>
      <c r="EA120" s="14"/>
      <c r="EB120" s="14"/>
      <c r="EC120" s="14"/>
      <c r="ED120" s="14"/>
      <c r="EE120" s="101" t="s">
        <v>450</v>
      </c>
      <c r="EF120" s="99"/>
      <c r="EG120" s="17">
        <f t="shared" si="1"/>
        <v>0</v>
      </c>
    </row>
    <row r="121" spans="1:137" x14ac:dyDescent="0.25">
      <c r="A121" s="50" t="s">
        <v>1855</v>
      </c>
      <c r="B121" s="208">
        <v>41543</v>
      </c>
      <c r="C121" s="209" t="s">
        <v>2748</v>
      </c>
      <c r="D121" s="61" t="s">
        <v>550</v>
      </c>
      <c r="E121" s="14" t="s">
        <v>328</v>
      </c>
      <c r="F121" s="14"/>
      <c r="G121" s="14">
        <v>24</v>
      </c>
      <c r="H121" s="14" t="s">
        <v>329</v>
      </c>
      <c r="I121" s="14" t="s">
        <v>357</v>
      </c>
      <c r="J121" s="14" t="s">
        <v>578</v>
      </c>
      <c r="K121" s="8" t="s">
        <v>1247</v>
      </c>
      <c r="L121" s="14" t="s">
        <v>1288</v>
      </c>
      <c r="M121" s="14">
        <v>4</v>
      </c>
      <c r="N121" s="14">
        <v>2</v>
      </c>
      <c r="O121" s="14">
        <v>2</v>
      </c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 t="s">
        <v>328</v>
      </c>
      <c r="AD121" s="14"/>
      <c r="AE121" s="14" t="s">
        <v>328</v>
      </c>
      <c r="AF121" s="14" t="s">
        <v>328</v>
      </c>
      <c r="AG121" s="14"/>
      <c r="AH121" s="14" t="s">
        <v>328</v>
      </c>
      <c r="AI121" s="14"/>
      <c r="AJ121" s="14"/>
      <c r="AK121" s="14"/>
      <c r="AL121" s="14"/>
      <c r="AM121" s="14" t="s">
        <v>328</v>
      </c>
      <c r="AN121" s="14" t="s">
        <v>328</v>
      </c>
      <c r="AO121" s="14" t="s">
        <v>328</v>
      </c>
      <c r="AP121" s="14"/>
      <c r="AQ121" s="14" t="s">
        <v>328</v>
      </c>
      <c r="AR121" s="14">
        <v>0</v>
      </c>
      <c r="AS121" s="14">
        <v>0</v>
      </c>
      <c r="AT121" s="14" t="s">
        <v>328</v>
      </c>
      <c r="AU121" s="14" t="s">
        <v>328</v>
      </c>
      <c r="AV121" s="14"/>
      <c r="AW121" s="14"/>
      <c r="AX121" s="14">
        <v>1</v>
      </c>
      <c r="AY121" s="14">
        <v>3</v>
      </c>
      <c r="AZ121" s="14">
        <v>2</v>
      </c>
      <c r="BA121" s="14"/>
      <c r="BB121" s="14" t="s">
        <v>328</v>
      </c>
      <c r="BC121" s="14"/>
      <c r="BD121" s="14" t="s">
        <v>328</v>
      </c>
      <c r="BE121" s="14" t="s">
        <v>328</v>
      </c>
      <c r="BF121" s="14"/>
      <c r="BG121" s="14"/>
      <c r="BH121" s="14"/>
      <c r="BI121" s="14"/>
      <c r="BJ121" s="14"/>
      <c r="BK121" s="14"/>
      <c r="BL121" s="14"/>
      <c r="BM121" s="14"/>
      <c r="BN121" s="14"/>
      <c r="BO121" s="14" t="s">
        <v>328</v>
      </c>
      <c r="BP121" s="14"/>
      <c r="BQ121" s="14" t="s">
        <v>328</v>
      </c>
      <c r="BR121" s="14"/>
      <c r="BS121" s="14"/>
      <c r="BT121" s="14"/>
      <c r="BU121" s="14"/>
      <c r="BV121" s="14"/>
      <c r="BW121" s="14" t="s">
        <v>328</v>
      </c>
      <c r="BX121" s="14"/>
      <c r="BY121" s="14"/>
      <c r="BZ121" s="14"/>
      <c r="CA121" s="14"/>
      <c r="CB121" s="14"/>
      <c r="CC121" s="14" t="s">
        <v>328</v>
      </c>
      <c r="CD121" s="14" t="s">
        <v>328</v>
      </c>
      <c r="CE121" s="14"/>
      <c r="CF121" s="14"/>
      <c r="CG121" s="14"/>
      <c r="CH121" s="14"/>
      <c r="CI121" s="14" t="s">
        <v>328</v>
      </c>
      <c r="CJ121" s="14"/>
      <c r="CK121" s="14"/>
      <c r="CL121" s="14"/>
      <c r="CM121" s="14"/>
      <c r="CN121" s="14">
        <v>5</v>
      </c>
      <c r="CO121" s="14">
        <v>1</v>
      </c>
      <c r="CP121" s="14">
        <v>6</v>
      </c>
      <c r="CQ121" s="14">
        <v>2</v>
      </c>
      <c r="CR121" s="14">
        <v>3</v>
      </c>
      <c r="CS121" s="14">
        <v>4</v>
      </c>
      <c r="CT121" s="14"/>
      <c r="CU121" s="14"/>
      <c r="CV121" s="14"/>
      <c r="CW121" s="14"/>
      <c r="CX121" s="14"/>
      <c r="CY121" s="14"/>
      <c r="CZ121" s="14" t="s">
        <v>332</v>
      </c>
      <c r="DA121" s="14"/>
      <c r="DB121" s="14"/>
      <c r="DC121" s="14">
        <v>1</v>
      </c>
      <c r="DD121" s="14">
        <v>2</v>
      </c>
      <c r="DE121" s="14">
        <v>3</v>
      </c>
      <c r="DF121" s="14">
        <v>4</v>
      </c>
      <c r="DG121" s="14">
        <v>5</v>
      </c>
      <c r="DH121" s="14">
        <v>6</v>
      </c>
      <c r="DI121" s="14"/>
      <c r="DJ121" s="14" t="s">
        <v>328</v>
      </c>
      <c r="DK121" s="14"/>
      <c r="DL121" s="14"/>
      <c r="DM121" s="14"/>
      <c r="DN121" s="14"/>
      <c r="DO121" s="14"/>
      <c r="DP121" s="14" t="s">
        <v>1145</v>
      </c>
      <c r="DQ121" s="14" t="s">
        <v>328</v>
      </c>
      <c r="DR121" s="14"/>
      <c r="DS121" s="14"/>
      <c r="DT121" s="14"/>
      <c r="DU121" s="14"/>
      <c r="DV121" s="14"/>
      <c r="DW121" s="14"/>
      <c r="DX121" s="14" t="s">
        <v>1156</v>
      </c>
      <c r="DY121" s="14" t="s">
        <v>328</v>
      </c>
      <c r="DZ121" s="14"/>
      <c r="EA121" s="14"/>
      <c r="EB121" s="14"/>
      <c r="EC121" s="14"/>
      <c r="ED121" s="14"/>
      <c r="EE121" s="101" t="s">
        <v>1155</v>
      </c>
      <c r="EF121" s="99"/>
      <c r="EG121" s="17">
        <f t="shared" si="1"/>
        <v>0</v>
      </c>
    </row>
    <row r="122" spans="1:137" x14ac:dyDescent="0.25">
      <c r="A122" s="50" t="s">
        <v>1855</v>
      </c>
      <c r="B122" s="208">
        <v>41543</v>
      </c>
      <c r="C122" s="209" t="s">
        <v>2748</v>
      </c>
      <c r="D122" s="61" t="s">
        <v>551</v>
      </c>
      <c r="E122" s="14" t="s">
        <v>328</v>
      </c>
      <c r="F122" s="14"/>
      <c r="G122" s="14">
        <v>42</v>
      </c>
      <c r="H122" s="14" t="s">
        <v>329</v>
      </c>
      <c r="I122" s="14" t="s">
        <v>584</v>
      </c>
      <c r="J122" s="14" t="s">
        <v>777</v>
      </c>
      <c r="K122" s="8" t="s">
        <v>1249</v>
      </c>
      <c r="L122" s="14" t="s">
        <v>1288</v>
      </c>
      <c r="M122" s="14">
        <v>26</v>
      </c>
      <c r="N122" s="14">
        <v>1</v>
      </c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>
        <v>1</v>
      </c>
      <c r="AA122" s="15"/>
      <c r="AB122" s="14" t="s">
        <v>328</v>
      </c>
      <c r="AC122" s="14" t="s">
        <v>328</v>
      </c>
      <c r="AD122" s="14"/>
      <c r="AE122" s="14" t="s">
        <v>328</v>
      </c>
      <c r="AF122" s="14" t="s">
        <v>328</v>
      </c>
      <c r="AG122" s="14" t="s">
        <v>328</v>
      </c>
      <c r="AH122" s="14" t="s">
        <v>328</v>
      </c>
      <c r="AI122" s="14"/>
      <c r="AJ122" s="14"/>
      <c r="AK122" s="14"/>
      <c r="AL122" s="14"/>
      <c r="AM122" s="14" t="s">
        <v>328</v>
      </c>
      <c r="AN122" s="14"/>
      <c r="AO122" s="14" t="s">
        <v>328</v>
      </c>
      <c r="AP122" s="14"/>
      <c r="AQ122" s="14"/>
      <c r="AR122" s="14">
        <v>0</v>
      </c>
      <c r="AS122" s="14">
        <v>0</v>
      </c>
      <c r="AT122" s="14"/>
      <c r="AU122" s="14" t="s">
        <v>328</v>
      </c>
      <c r="AV122" s="14"/>
      <c r="AW122" s="14"/>
      <c r="AX122" s="14">
        <v>2</v>
      </c>
      <c r="AY122" s="14">
        <v>1</v>
      </c>
      <c r="AZ122" s="14">
        <v>3</v>
      </c>
      <c r="BA122" s="14"/>
      <c r="BB122" s="14" t="s">
        <v>328</v>
      </c>
      <c r="BC122" s="14"/>
      <c r="BD122" s="14" t="s">
        <v>328</v>
      </c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 t="s">
        <v>328</v>
      </c>
      <c r="BP122" s="14"/>
      <c r="BQ122" s="14" t="s">
        <v>328</v>
      </c>
      <c r="BR122" s="14"/>
      <c r="BS122" s="14"/>
      <c r="BT122" s="14"/>
      <c r="BU122" s="14"/>
      <c r="BV122" s="14"/>
      <c r="BW122" s="14"/>
      <c r="BX122" s="14" t="s">
        <v>409</v>
      </c>
      <c r="BY122" s="14"/>
      <c r="BZ122" s="14"/>
      <c r="CA122" s="14"/>
      <c r="CB122" s="14"/>
      <c r="CC122" s="14"/>
      <c r="CD122" s="14" t="s">
        <v>328</v>
      </c>
      <c r="CE122" s="14"/>
      <c r="CF122" s="14"/>
      <c r="CG122" s="14" t="s">
        <v>328</v>
      </c>
      <c r="CH122" s="14"/>
      <c r="CI122" s="14" t="s">
        <v>328</v>
      </c>
      <c r="CJ122" s="14"/>
      <c r="CK122" s="14"/>
      <c r="CL122" s="14"/>
      <c r="CM122" s="14"/>
      <c r="CN122" s="14">
        <v>5</v>
      </c>
      <c r="CO122" s="14">
        <v>3</v>
      </c>
      <c r="CP122" s="14">
        <v>4</v>
      </c>
      <c r="CQ122" s="14">
        <v>1</v>
      </c>
      <c r="CR122" s="14">
        <v>2</v>
      </c>
      <c r="CS122" s="14">
        <v>6</v>
      </c>
      <c r="CT122" s="14"/>
      <c r="CU122" s="14"/>
      <c r="CV122" s="14"/>
      <c r="CW122" s="14"/>
      <c r="CX122" s="14" t="s">
        <v>328</v>
      </c>
      <c r="CY122" s="14"/>
      <c r="CZ122" s="14"/>
      <c r="DA122" s="14"/>
      <c r="DB122" s="14"/>
      <c r="DC122" s="14">
        <v>1</v>
      </c>
      <c r="DD122" s="14">
        <v>3</v>
      </c>
      <c r="DE122" s="14">
        <v>4</v>
      </c>
      <c r="DF122" s="14">
        <v>5</v>
      </c>
      <c r="DG122" s="14">
        <v>2</v>
      </c>
      <c r="DH122" s="14">
        <v>6</v>
      </c>
      <c r="DI122" s="14"/>
      <c r="DJ122" s="14" t="s">
        <v>328</v>
      </c>
      <c r="DK122" s="14"/>
      <c r="DL122" s="14"/>
      <c r="DM122" s="14"/>
      <c r="DN122" s="14"/>
      <c r="DO122" s="14"/>
      <c r="DP122" s="14" t="s">
        <v>1146</v>
      </c>
      <c r="DQ122" s="14"/>
      <c r="DR122" s="14" t="s">
        <v>328</v>
      </c>
      <c r="DS122" s="14" t="s">
        <v>328</v>
      </c>
      <c r="DT122" s="14" t="s">
        <v>437</v>
      </c>
      <c r="DU122" s="14"/>
      <c r="DV122" s="14"/>
      <c r="DW122" s="15" t="s">
        <v>410</v>
      </c>
      <c r="DX122" s="14" t="s">
        <v>411</v>
      </c>
      <c r="DY122" s="14" t="s">
        <v>328</v>
      </c>
      <c r="DZ122" s="14"/>
      <c r="EA122" s="14"/>
      <c r="EB122" s="14"/>
      <c r="EC122" s="14"/>
      <c r="ED122" s="14"/>
      <c r="EE122" s="101" t="s">
        <v>1155</v>
      </c>
      <c r="EF122" s="99"/>
      <c r="EG122" s="17">
        <f t="shared" si="1"/>
        <v>0</v>
      </c>
    </row>
    <row r="123" spans="1:137" x14ac:dyDescent="0.25">
      <c r="A123" s="50" t="s">
        <v>1855</v>
      </c>
      <c r="B123" s="208">
        <v>41543</v>
      </c>
      <c r="C123" s="209" t="s">
        <v>2748</v>
      </c>
      <c r="D123" s="61" t="s">
        <v>552</v>
      </c>
      <c r="E123" s="14" t="s">
        <v>328</v>
      </c>
      <c r="F123" s="14"/>
      <c r="G123" s="14">
        <v>49</v>
      </c>
      <c r="H123" s="14" t="s">
        <v>329</v>
      </c>
      <c r="I123" s="14" t="s">
        <v>330</v>
      </c>
      <c r="J123" s="14" t="s">
        <v>578</v>
      </c>
      <c r="K123" s="8" t="s">
        <v>1247</v>
      </c>
      <c r="L123" s="14" t="s">
        <v>1288</v>
      </c>
      <c r="M123" s="14">
        <v>30</v>
      </c>
      <c r="N123" s="14">
        <v>1</v>
      </c>
      <c r="O123" s="14"/>
      <c r="P123" s="14">
        <v>1</v>
      </c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 t="s">
        <v>328</v>
      </c>
      <c r="AC123" s="14"/>
      <c r="AD123" s="14"/>
      <c r="AE123" s="14"/>
      <c r="AF123" s="14"/>
      <c r="AG123" s="14"/>
      <c r="AH123" s="14"/>
      <c r="AI123" s="14" t="s">
        <v>328</v>
      </c>
      <c r="AJ123" s="14"/>
      <c r="AK123" s="14"/>
      <c r="AL123" s="14"/>
      <c r="AM123" s="14" t="s">
        <v>328</v>
      </c>
      <c r="AN123" s="14"/>
      <c r="AO123" s="14" t="s">
        <v>328</v>
      </c>
      <c r="AP123" s="14"/>
      <c r="AQ123" s="14"/>
      <c r="AR123" s="15" t="s">
        <v>396</v>
      </c>
      <c r="AS123" s="15" t="s">
        <v>396</v>
      </c>
      <c r="AT123" s="14" t="s">
        <v>328</v>
      </c>
      <c r="AU123" s="14"/>
      <c r="AV123" s="14"/>
      <c r="AW123" s="14"/>
      <c r="AX123" s="14">
        <v>3</v>
      </c>
      <c r="AY123" s="14">
        <v>1</v>
      </c>
      <c r="AZ123" s="14">
        <v>2</v>
      </c>
      <c r="BA123" s="14"/>
      <c r="BB123" s="14" t="s">
        <v>328</v>
      </c>
      <c r="BC123" s="14"/>
      <c r="BD123" s="14" t="s">
        <v>328</v>
      </c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 t="s">
        <v>328</v>
      </c>
      <c r="BP123" s="14"/>
      <c r="BQ123" s="14" t="s">
        <v>328</v>
      </c>
      <c r="BR123" s="14" t="s">
        <v>328</v>
      </c>
      <c r="BS123" s="14"/>
      <c r="BT123" s="14"/>
      <c r="BU123" s="14"/>
      <c r="BV123" s="14"/>
      <c r="BW123" s="14"/>
      <c r="BX123" s="14"/>
      <c r="BY123" s="14"/>
      <c r="BZ123" s="14"/>
      <c r="CA123" s="14"/>
      <c r="CB123" s="14" t="s">
        <v>328</v>
      </c>
      <c r="CC123" s="14" t="s">
        <v>328</v>
      </c>
      <c r="CD123" s="14"/>
      <c r="CE123" s="14"/>
      <c r="CF123" s="14"/>
      <c r="CG123" s="14"/>
      <c r="CH123" s="14"/>
      <c r="CI123" s="14" t="s">
        <v>328</v>
      </c>
      <c r="CJ123" s="14"/>
      <c r="CK123" s="14"/>
      <c r="CL123" s="14"/>
      <c r="CM123" s="14"/>
      <c r="CN123" s="14">
        <v>4</v>
      </c>
      <c r="CO123" s="14">
        <v>2</v>
      </c>
      <c r="CP123" s="14">
        <v>1</v>
      </c>
      <c r="CQ123" s="14">
        <v>6</v>
      </c>
      <c r="CR123" s="14">
        <v>5</v>
      </c>
      <c r="CS123" s="14">
        <v>3</v>
      </c>
      <c r="CT123" s="14"/>
      <c r="CU123" s="14"/>
      <c r="CV123" s="14"/>
      <c r="CW123" s="14"/>
      <c r="CX123" s="14"/>
      <c r="CY123" s="14"/>
      <c r="CZ123" s="14" t="s">
        <v>332</v>
      </c>
      <c r="DA123" s="14"/>
      <c r="DB123" s="14"/>
      <c r="DC123" s="14">
        <v>1</v>
      </c>
      <c r="DD123" s="14">
        <v>4</v>
      </c>
      <c r="DE123" s="14">
        <v>3</v>
      </c>
      <c r="DF123" s="14">
        <v>5</v>
      </c>
      <c r="DG123" s="14">
        <v>2</v>
      </c>
      <c r="DH123" s="14">
        <v>6</v>
      </c>
      <c r="DI123" s="14"/>
      <c r="DJ123" s="14" t="s">
        <v>328</v>
      </c>
      <c r="DK123" s="14"/>
      <c r="DL123" s="14"/>
      <c r="DM123" s="14"/>
      <c r="DN123" s="14"/>
      <c r="DO123" s="14"/>
      <c r="DP123" s="14" t="s">
        <v>333</v>
      </c>
      <c r="DQ123" s="14"/>
      <c r="DR123" s="14" t="s">
        <v>328</v>
      </c>
      <c r="DS123" s="14" t="s">
        <v>328</v>
      </c>
      <c r="DT123" s="14" t="s">
        <v>437</v>
      </c>
      <c r="DU123" s="14"/>
      <c r="DV123" s="14"/>
      <c r="DW123" s="15" t="s">
        <v>410</v>
      </c>
      <c r="DX123" s="14" t="s">
        <v>411</v>
      </c>
      <c r="DY123" s="14" t="s">
        <v>328</v>
      </c>
      <c r="DZ123" s="14"/>
      <c r="EA123" s="14"/>
      <c r="EB123" s="14"/>
      <c r="EC123" s="14"/>
      <c r="ED123" s="14"/>
      <c r="EE123" s="101" t="s">
        <v>1155</v>
      </c>
      <c r="EF123" s="99"/>
      <c r="EG123" s="17">
        <f t="shared" si="1"/>
        <v>0</v>
      </c>
    </row>
    <row r="124" spans="1:137" x14ac:dyDescent="0.25">
      <c r="A124" s="50" t="s">
        <v>1855</v>
      </c>
      <c r="B124" s="208">
        <v>41543</v>
      </c>
      <c r="C124" s="209" t="s">
        <v>2748</v>
      </c>
      <c r="D124" s="61" t="s">
        <v>553</v>
      </c>
      <c r="E124" s="14" t="s">
        <v>328</v>
      </c>
      <c r="F124" s="14"/>
      <c r="G124" s="14">
        <v>56</v>
      </c>
      <c r="H124" s="14" t="s">
        <v>329</v>
      </c>
      <c r="I124" s="14" t="s">
        <v>330</v>
      </c>
      <c r="J124" s="14" t="s">
        <v>573</v>
      </c>
      <c r="K124" s="8" t="s">
        <v>1243</v>
      </c>
      <c r="L124" s="14" t="s">
        <v>1288</v>
      </c>
      <c r="M124" s="14">
        <v>40</v>
      </c>
      <c r="N124" s="14">
        <v>1</v>
      </c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>
        <v>1</v>
      </c>
      <c r="AA124" s="15"/>
      <c r="AB124" s="14"/>
      <c r="AC124" s="14"/>
      <c r="AD124" s="14"/>
      <c r="AE124" s="14"/>
      <c r="AF124" s="14"/>
      <c r="AG124" s="14" t="s">
        <v>328</v>
      </c>
      <c r="AH124" s="14"/>
      <c r="AI124" s="14"/>
      <c r="AJ124" s="14"/>
      <c r="AK124" s="14"/>
      <c r="AL124" s="14"/>
      <c r="AM124" s="14" t="s">
        <v>328</v>
      </c>
      <c r="AN124" s="14"/>
      <c r="AO124" s="14"/>
      <c r="AP124" s="14" t="s">
        <v>328</v>
      </c>
      <c r="AQ124" s="14"/>
      <c r="AR124" s="14">
        <v>3</v>
      </c>
      <c r="AS124" s="14">
        <v>1</v>
      </c>
      <c r="AT124" s="14"/>
      <c r="AU124" s="14" t="s">
        <v>328</v>
      </c>
      <c r="AV124" s="14"/>
      <c r="AW124" s="14"/>
      <c r="AX124" s="14">
        <v>3</v>
      </c>
      <c r="AY124" s="14">
        <v>2</v>
      </c>
      <c r="AZ124" s="14">
        <v>1</v>
      </c>
      <c r="BA124" s="14"/>
      <c r="BB124" s="14" t="s">
        <v>328</v>
      </c>
      <c r="BC124" s="14"/>
      <c r="BD124" s="14"/>
      <c r="BE124" s="14" t="s">
        <v>328</v>
      </c>
      <c r="BF124" s="14"/>
      <c r="BG124" s="14"/>
      <c r="BH124" s="14"/>
      <c r="BI124" s="14"/>
      <c r="BJ124" s="14"/>
      <c r="BK124" s="14"/>
      <c r="BL124" s="14"/>
      <c r="BM124" s="14"/>
      <c r="BN124" s="14"/>
      <c r="BO124" s="14" t="s">
        <v>328</v>
      </c>
      <c r="BP124" s="14"/>
      <c r="BQ124" s="14" t="s">
        <v>328</v>
      </c>
      <c r="BR124" s="14"/>
      <c r="BS124" s="14"/>
      <c r="BT124" s="14"/>
      <c r="BU124" s="14"/>
      <c r="BV124" s="14"/>
      <c r="BW124" s="14"/>
      <c r="BX124" s="14" t="s">
        <v>874</v>
      </c>
      <c r="BY124" s="14"/>
      <c r="BZ124" s="14"/>
      <c r="CA124" s="14"/>
      <c r="CB124" s="14"/>
      <c r="CC124" s="14"/>
      <c r="CD124" s="14"/>
      <c r="CE124" s="14"/>
      <c r="CF124" s="14" t="s">
        <v>328</v>
      </c>
      <c r="CG124" s="14"/>
      <c r="CH124" s="14"/>
      <c r="CI124" s="14" t="s">
        <v>328</v>
      </c>
      <c r="CJ124" s="14"/>
      <c r="CK124" s="14"/>
      <c r="CL124" s="14"/>
      <c r="CM124" s="14"/>
      <c r="CN124" s="14">
        <v>4</v>
      </c>
      <c r="CO124" s="14">
        <v>3</v>
      </c>
      <c r="CP124" s="14">
        <v>2</v>
      </c>
      <c r="CQ124" s="14">
        <v>1</v>
      </c>
      <c r="CR124" s="14">
        <v>5</v>
      </c>
      <c r="CS124" s="14">
        <v>6</v>
      </c>
      <c r="CT124" s="14"/>
      <c r="CU124" s="14"/>
      <c r="CV124" s="14"/>
      <c r="CW124" s="14"/>
      <c r="CX124" s="14" t="s">
        <v>328</v>
      </c>
      <c r="CY124" s="14"/>
      <c r="CZ124" s="14"/>
      <c r="DA124" s="14"/>
      <c r="DB124" s="14"/>
      <c r="DC124" s="14">
        <v>2</v>
      </c>
      <c r="DD124" s="14">
        <v>3</v>
      </c>
      <c r="DE124" s="14">
        <v>1</v>
      </c>
      <c r="DF124" s="14">
        <v>6</v>
      </c>
      <c r="DG124" s="14">
        <v>4</v>
      </c>
      <c r="DH124" s="14">
        <v>5</v>
      </c>
      <c r="DI124" s="14"/>
      <c r="DJ124" s="14" t="s">
        <v>328</v>
      </c>
      <c r="DK124" s="14"/>
      <c r="DL124" s="14"/>
      <c r="DM124" s="14"/>
      <c r="DN124" s="14"/>
      <c r="DO124" s="14"/>
      <c r="DP124" s="14" t="s">
        <v>1146</v>
      </c>
      <c r="DQ124" s="14"/>
      <c r="DR124" s="14" t="s">
        <v>328</v>
      </c>
      <c r="DS124" s="14" t="s">
        <v>328</v>
      </c>
      <c r="DT124" s="14" t="s">
        <v>437</v>
      </c>
      <c r="DU124" s="14"/>
      <c r="DV124" s="14"/>
      <c r="DW124" s="14" t="s">
        <v>926</v>
      </c>
      <c r="DX124" s="14" t="s">
        <v>411</v>
      </c>
      <c r="DY124" s="14" t="s">
        <v>328</v>
      </c>
      <c r="DZ124" s="14"/>
      <c r="EA124" s="14"/>
      <c r="EB124" s="14"/>
      <c r="EC124" s="14"/>
      <c r="ED124" s="14"/>
      <c r="EE124" s="101" t="s">
        <v>593</v>
      </c>
      <c r="EF124" s="99"/>
      <c r="EG124" s="17">
        <f t="shared" si="1"/>
        <v>0</v>
      </c>
    </row>
    <row r="125" spans="1:137" x14ac:dyDescent="0.25">
      <c r="A125" s="50" t="s">
        <v>1855</v>
      </c>
      <c r="B125" s="208">
        <v>41543</v>
      </c>
      <c r="C125" s="209" t="s">
        <v>2748</v>
      </c>
      <c r="D125" s="61" t="s">
        <v>554</v>
      </c>
      <c r="E125" s="14" t="s">
        <v>328</v>
      </c>
      <c r="F125" s="14"/>
      <c r="G125" s="14">
        <v>62</v>
      </c>
      <c r="H125" s="14" t="s">
        <v>329</v>
      </c>
      <c r="I125" s="14" t="s">
        <v>353</v>
      </c>
      <c r="J125" s="14" t="s">
        <v>578</v>
      </c>
      <c r="K125" s="8" t="s">
        <v>1247</v>
      </c>
      <c r="L125" s="14" t="s">
        <v>1288</v>
      </c>
      <c r="M125" s="14">
        <v>40</v>
      </c>
      <c r="N125" s="14">
        <v>1</v>
      </c>
      <c r="O125" s="14"/>
      <c r="P125" s="14"/>
      <c r="Q125" s="14"/>
      <c r="R125" s="14"/>
      <c r="S125" s="14"/>
      <c r="T125" s="14"/>
      <c r="U125" s="14"/>
      <c r="V125" s="14"/>
      <c r="W125" s="14">
        <v>1</v>
      </c>
      <c r="X125" s="14"/>
      <c r="Y125" s="14"/>
      <c r="Z125" s="14"/>
      <c r="AA125" s="14"/>
      <c r="AB125" s="14"/>
      <c r="AC125" s="14"/>
      <c r="AD125" s="14"/>
      <c r="AE125" s="14" t="s">
        <v>328</v>
      </c>
      <c r="AF125" s="14"/>
      <c r="AG125" s="14"/>
      <c r="AH125" s="14"/>
      <c r="AI125" s="14"/>
      <c r="AJ125" s="14"/>
      <c r="AK125" s="14"/>
      <c r="AL125" s="14" t="s">
        <v>328</v>
      </c>
      <c r="AM125" s="14"/>
      <c r="AN125" s="14"/>
      <c r="AO125" s="14"/>
      <c r="AP125" s="14"/>
      <c r="AQ125" s="14" t="s">
        <v>328</v>
      </c>
      <c r="AR125" s="14">
        <v>10</v>
      </c>
      <c r="AS125" s="14">
        <v>1</v>
      </c>
      <c r="AT125" s="14"/>
      <c r="AU125" s="14" t="s">
        <v>328</v>
      </c>
      <c r="AV125" s="14"/>
      <c r="AW125" s="14"/>
      <c r="AX125" s="14">
        <v>1</v>
      </c>
      <c r="AY125" s="14">
        <v>3</v>
      </c>
      <c r="AZ125" s="14">
        <v>2</v>
      </c>
      <c r="BA125" s="14"/>
      <c r="BB125" s="14" t="s">
        <v>328</v>
      </c>
      <c r="BC125" s="14"/>
      <c r="BD125" s="14"/>
      <c r="BE125" s="14" t="s">
        <v>328</v>
      </c>
      <c r="BF125" s="14"/>
      <c r="BG125" s="14"/>
      <c r="BH125" s="14"/>
      <c r="BI125" s="14"/>
      <c r="BJ125" s="14"/>
      <c r="BK125" s="14"/>
      <c r="BL125" s="14"/>
      <c r="BM125" s="14"/>
      <c r="BN125" s="14"/>
      <c r="BO125" s="14" t="s">
        <v>328</v>
      </c>
      <c r="BP125" s="14" t="s">
        <v>328</v>
      </c>
      <c r="BQ125" s="14"/>
      <c r="BR125" s="14" t="s">
        <v>328</v>
      </c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 t="s">
        <v>328</v>
      </c>
      <c r="CD125" s="14" t="s">
        <v>328</v>
      </c>
      <c r="CE125" s="14"/>
      <c r="CF125" s="14" t="s">
        <v>328</v>
      </c>
      <c r="CG125" s="14"/>
      <c r="CH125" s="14"/>
      <c r="CI125" s="14"/>
      <c r="CJ125" s="14" t="s">
        <v>328</v>
      </c>
      <c r="CK125" s="14"/>
      <c r="CL125" s="14"/>
      <c r="CM125" s="14"/>
      <c r="CN125" s="14">
        <v>1</v>
      </c>
      <c r="CO125" s="14">
        <v>2</v>
      </c>
      <c r="CP125" s="14">
        <v>3</v>
      </c>
      <c r="CQ125" s="14">
        <v>4</v>
      </c>
      <c r="CR125" s="14">
        <v>5</v>
      </c>
      <c r="CS125" s="14">
        <v>6</v>
      </c>
      <c r="CT125" s="14"/>
      <c r="CU125" s="14"/>
      <c r="CV125" s="14"/>
      <c r="CW125" s="14"/>
      <c r="CX125" s="14"/>
      <c r="CY125" s="14"/>
      <c r="CZ125" s="14" t="s">
        <v>332</v>
      </c>
      <c r="DA125" s="14"/>
      <c r="DB125" s="14"/>
      <c r="DC125" s="14">
        <v>1</v>
      </c>
      <c r="DD125" s="14">
        <v>4</v>
      </c>
      <c r="DE125" s="14">
        <v>2</v>
      </c>
      <c r="DF125" s="14">
        <v>5</v>
      </c>
      <c r="DG125" s="14">
        <v>3</v>
      </c>
      <c r="DH125" s="14">
        <v>6</v>
      </c>
      <c r="DI125" s="14"/>
      <c r="DJ125" s="14" t="s">
        <v>328</v>
      </c>
      <c r="DK125" s="14"/>
      <c r="DL125" s="14"/>
      <c r="DM125" s="14"/>
      <c r="DN125" s="14"/>
      <c r="DO125" s="14"/>
      <c r="DP125" s="14" t="s">
        <v>333</v>
      </c>
      <c r="DQ125" s="14" t="s">
        <v>328</v>
      </c>
      <c r="DR125" s="14"/>
      <c r="DS125" s="14"/>
      <c r="DT125" s="14"/>
      <c r="DU125" s="14"/>
      <c r="DV125" s="14"/>
      <c r="DW125" s="14"/>
      <c r="DX125" s="14" t="s">
        <v>590</v>
      </c>
      <c r="DY125" s="14" t="s">
        <v>328</v>
      </c>
      <c r="DZ125" s="14"/>
      <c r="EA125" s="14"/>
      <c r="EB125" s="14"/>
      <c r="EC125" s="14"/>
      <c r="ED125" s="14"/>
      <c r="EE125" s="101" t="s">
        <v>934</v>
      </c>
      <c r="EF125" s="99"/>
      <c r="EG125" s="17">
        <f t="shared" si="1"/>
        <v>0</v>
      </c>
    </row>
    <row r="126" spans="1:137" x14ac:dyDescent="0.25">
      <c r="A126" s="50" t="s">
        <v>1855</v>
      </c>
      <c r="B126" s="208">
        <v>41543</v>
      </c>
      <c r="C126" s="209" t="s">
        <v>2748</v>
      </c>
      <c r="D126" s="61" t="s">
        <v>555</v>
      </c>
      <c r="E126" s="14" t="s">
        <v>328</v>
      </c>
      <c r="F126" s="14"/>
      <c r="G126" s="14">
        <v>36</v>
      </c>
      <c r="H126" s="14" t="s">
        <v>329</v>
      </c>
      <c r="I126" s="14" t="s">
        <v>357</v>
      </c>
      <c r="J126" s="14" t="s">
        <v>586</v>
      </c>
      <c r="K126" s="8" t="s">
        <v>1248</v>
      </c>
      <c r="L126" s="14" t="s">
        <v>1288</v>
      </c>
      <c r="M126" s="14">
        <v>6</v>
      </c>
      <c r="N126" s="14">
        <v>1</v>
      </c>
      <c r="O126" s="14"/>
      <c r="P126" s="14"/>
      <c r="Q126" s="14"/>
      <c r="R126" s="14">
        <v>1</v>
      </c>
      <c r="S126" s="14"/>
      <c r="T126" s="14"/>
      <c r="U126" s="14"/>
      <c r="V126" s="14"/>
      <c r="W126" s="14"/>
      <c r="X126" s="14"/>
      <c r="Y126" s="14"/>
      <c r="Z126" s="14"/>
      <c r="AA126" s="14"/>
      <c r="AB126" s="14" t="s">
        <v>328</v>
      </c>
      <c r="AC126" s="14"/>
      <c r="AD126" s="14"/>
      <c r="AE126" s="14"/>
      <c r="AF126" s="14"/>
      <c r="AG126" s="14"/>
      <c r="AH126" s="14"/>
      <c r="AI126" s="14" t="s">
        <v>328</v>
      </c>
      <c r="AJ126" s="14"/>
      <c r="AK126" s="14"/>
      <c r="AL126" s="14"/>
      <c r="AM126" s="14" t="s">
        <v>328</v>
      </c>
      <c r="AN126" s="14"/>
      <c r="AO126" s="14"/>
      <c r="AP126" s="14" t="s">
        <v>328</v>
      </c>
      <c r="AQ126" s="14"/>
      <c r="AR126" s="15" t="s">
        <v>396</v>
      </c>
      <c r="AS126" s="15" t="s">
        <v>396</v>
      </c>
      <c r="AT126" s="14"/>
      <c r="AU126" s="14" t="s">
        <v>328</v>
      </c>
      <c r="AV126" s="14"/>
      <c r="AW126" s="14"/>
      <c r="AX126" s="14">
        <v>1</v>
      </c>
      <c r="AY126" s="14">
        <v>3</v>
      </c>
      <c r="AZ126" s="14">
        <v>2</v>
      </c>
      <c r="BA126" s="14"/>
      <c r="BB126" s="14" t="s">
        <v>328</v>
      </c>
      <c r="BC126" s="14"/>
      <c r="BD126" s="14"/>
      <c r="BE126" s="14"/>
      <c r="BF126" s="14"/>
      <c r="BG126" s="14"/>
      <c r="BH126" s="14"/>
      <c r="BI126" s="14"/>
      <c r="BJ126" s="14"/>
      <c r="BK126" s="14"/>
      <c r="BL126" s="14" t="s">
        <v>328</v>
      </c>
      <c r="BM126" s="14"/>
      <c r="BN126" s="14"/>
      <c r="BO126" s="14" t="s">
        <v>328</v>
      </c>
      <c r="BP126" s="14" t="s">
        <v>328</v>
      </c>
      <c r="BQ126" s="14"/>
      <c r="BR126" s="14"/>
      <c r="BS126" s="14"/>
      <c r="BT126" s="14"/>
      <c r="BU126" s="14"/>
      <c r="BV126" s="14"/>
      <c r="BW126" s="14" t="s">
        <v>328</v>
      </c>
      <c r="BX126" s="14"/>
      <c r="BY126" s="14"/>
      <c r="BZ126" s="14"/>
      <c r="CA126" s="14"/>
      <c r="CB126" s="14"/>
      <c r="CC126" s="14"/>
      <c r="CD126" s="14" t="s">
        <v>328</v>
      </c>
      <c r="CE126" s="14"/>
      <c r="CF126" s="14"/>
      <c r="CG126" s="14"/>
      <c r="CH126" s="14"/>
      <c r="CI126" s="14" t="s">
        <v>328</v>
      </c>
      <c r="CJ126" s="14"/>
      <c r="CK126" s="14"/>
      <c r="CL126" s="14"/>
      <c r="CM126" s="14"/>
      <c r="CN126" s="14">
        <v>6</v>
      </c>
      <c r="CO126" s="14">
        <v>1</v>
      </c>
      <c r="CP126" s="14">
        <v>2</v>
      </c>
      <c r="CQ126" s="14">
        <v>3</v>
      </c>
      <c r="CR126" s="14">
        <v>4</v>
      </c>
      <c r="CS126" s="14">
        <v>5</v>
      </c>
      <c r="CT126" s="14"/>
      <c r="CU126" s="14"/>
      <c r="CV126" s="14"/>
      <c r="CW126" s="14"/>
      <c r="CX126" s="14"/>
      <c r="CY126" s="14"/>
      <c r="CZ126" s="14" t="s">
        <v>332</v>
      </c>
      <c r="DA126" s="14"/>
      <c r="DB126" s="14"/>
      <c r="DC126" s="14">
        <v>1</v>
      </c>
      <c r="DD126" s="14">
        <v>4</v>
      </c>
      <c r="DE126" s="14">
        <v>3</v>
      </c>
      <c r="DF126" s="14">
        <v>6</v>
      </c>
      <c r="DG126" s="14">
        <v>2</v>
      </c>
      <c r="DH126" s="14">
        <v>5</v>
      </c>
      <c r="DI126" s="14"/>
      <c r="DJ126" s="14" t="s">
        <v>328</v>
      </c>
      <c r="DK126" s="14"/>
      <c r="DL126" s="14"/>
      <c r="DM126" s="14"/>
      <c r="DN126" s="14"/>
      <c r="DO126" s="14"/>
      <c r="DP126" s="14" t="s">
        <v>389</v>
      </c>
      <c r="DQ126" s="14"/>
      <c r="DR126" s="14" t="s">
        <v>328</v>
      </c>
      <c r="DS126" s="14" t="s">
        <v>328</v>
      </c>
      <c r="DT126" s="14" t="s">
        <v>504</v>
      </c>
      <c r="DU126" s="14"/>
      <c r="DV126" s="14"/>
      <c r="DW126" s="14" t="s">
        <v>335</v>
      </c>
      <c r="DX126" s="14" t="s">
        <v>411</v>
      </c>
      <c r="DY126" s="14" t="s">
        <v>328</v>
      </c>
      <c r="DZ126" s="14"/>
      <c r="EA126" s="14"/>
      <c r="EB126" s="14"/>
      <c r="EC126" s="14"/>
      <c r="ED126" s="14"/>
      <c r="EE126" s="101" t="s">
        <v>593</v>
      </c>
      <c r="EF126" s="99"/>
      <c r="EG126" s="17">
        <f t="shared" si="1"/>
        <v>0</v>
      </c>
    </row>
    <row r="127" spans="1:137" x14ac:dyDescent="0.25">
      <c r="A127" s="50" t="s">
        <v>1404</v>
      </c>
      <c r="B127" s="208">
        <v>41549</v>
      </c>
      <c r="C127" s="209" t="s">
        <v>2767</v>
      </c>
      <c r="D127" s="61" t="s">
        <v>556</v>
      </c>
      <c r="E127" s="15" t="s">
        <v>328</v>
      </c>
      <c r="F127" s="15"/>
      <c r="G127" s="15">
        <v>30</v>
      </c>
      <c r="H127" s="15" t="s">
        <v>329</v>
      </c>
      <c r="I127" s="15" t="s">
        <v>399</v>
      </c>
      <c r="J127" s="14" t="s">
        <v>753</v>
      </c>
      <c r="K127" s="14" t="s">
        <v>1190</v>
      </c>
      <c r="L127" s="14" t="s">
        <v>1280</v>
      </c>
      <c r="M127" s="15">
        <v>6</v>
      </c>
      <c r="N127" s="15">
        <v>1</v>
      </c>
      <c r="O127" s="15">
        <v>1</v>
      </c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 t="s">
        <v>328</v>
      </c>
      <c r="AC127" s="15" t="s">
        <v>328</v>
      </c>
      <c r="AD127" s="15"/>
      <c r="AE127" s="15"/>
      <c r="AF127" s="15"/>
      <c r="AG127" s="15" t="s">
        <v>328</v>
      </c>
      <c r="AH127" s="15"/>
      <c r="AI127" s="15"/>
      <c r="AJ127" s="15"/>
      <c r="AK127" s="15"/>
      <c r="AL127" s="15"/>
      <c r="AM127" s="15" t="s">
        <v>328</v>
      </c>
      <c r="AN127" s="14" t="s">
        <v>328</v>
      </c>
      <c r="AO127" s="15"/>
      <c r="AP127" s="15"/>
      <c r="AQ127" s="15"/>
      <c r="AR127" s="15">
        <v>10</v>
      </c>
      <c r="AS127" s="15">
        <v>3</v>
      </c>
      <c r="AT127" s="15"/>
      <c r="AU127" s="15"/>
      <c r="AV127" s="15" t="s">
        <v>328</v>
      </c>
      <c r="AW127" s="15"/>
      <c r="AX127" s="15">
        <v>4</v>
      </c>
      <c r="AY127" s="15">
        <v>3</v>
      </c>
      <c r="AZ127" s="15">
        <v>2</v>
      </c>
      <c r="BA127" s="15" t="s">
        <v>346</v>
      </c>
      <c r="BB127" s="15" t="s">
        <v>328</v>
      </c>
      <c r="BC127" s="15"/>
      <c r="BD127" s="15"/>
      <c r="BE127" s="15"/>
      <c r="BF127" s="15"/>
      <c r="BG127" s="15"/>
      <c r="BH127" s="15"/>
      <c r="BI127" s="15"/>
      <c r="BJ127" s="15"/>
      <c r="BK127" s="15" t="s">
        <v>328</v>
      </c>
      <c r="BL127" s="15"/>
      <c r="BM127" s="15"/>
      <c r="BN127" s="15"/>
      <c r="BO127" s="15" t="s">
        <v>328</v>
      </c>
      <c r="BP127" s="15" t="s">
        <v>328</v>
      </c>
      <c r="BQ127" s="15"/>
      <c r="BR127" s="15" t="s">
        <v>328</v>
      </c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  <c r="CF127" s="15"/>
      <c r="CG127" s="15"/>
      <c r="CH127" s="15" t="s">
        <v>332</v>
      </c>
      <c r="CI127" s="15" t="s">
        <v>328</v>
      </c>
      <c r="CJ127" s="15"/>
      <c r="CK127" s="15"/>
      <c r="CL127" s="15"/>
      <c r="CM127" s="15"/>
      <c r="CN127" s="15">
        <v>1</v>
      </c>
      <c r="CO127" s="15">
        <v>5</v>
      </c>
      <c r="CP127" s="15">
        <v>2</v>
      </c>
      <c r="CQ127" s="15">
        <v>4</v>
      </c>
      <c r="CR127" s="15">
        <v>6</v>
      </c>
      <c r="CS127" s="15">
        <v>3</v>
      </c>
      <c r="CT127" s="15"/>
      <c r="CU127" s="15"/>
      <c r="CV127" s="15"/>
      <c r="CW127" s="15"/>
      <c r="CX127" s="15"/>
      <c r="CY127" s="15"/>
      <c r="CZ127" s="15" t="s">
        <v>332</v>
      </c>
      <c r="DA127" s="15" t="s">
        <v>328</v>
      </c>
      <c r="DB127" s="15" t="s">
        <v>404</v>
      </c>
      <c r="DC127" s="15"/>
      <c r="DD127" s="15"/>
      <c r="DE127" s="15"/>
      <c r="DF127" s="15"/>
      <c r="DG127" s="15"/>
      <c r="DH127" s="15"/>
      <c r="DI127" s="15"/>
      <c r="DJ127" s="15" t="s">
        <v>328</v>
      </c>
      <c r="DK127" s="15"/>
      <c r="DL127" s="15"/>
      <c r="DM127" s="15"/>
      <c r="DN127" s="15"/>
      <c r="DO127" s="15"/>
      <c r="DP127" s="14" t="s">
        <v>333</v>
      </c>
      <c r="DQ127" s="15"/>
      <c r="DR127" s="15" t="s">
        <v>328</v>
      </c>
      <c r="DS127" s="15" t="s">
        <v>328</v>
      </c>
      <c r="DT127" s="15" t="s">
        <v>437</v>
      </c>
      <c r="DU127" s="15"/>
      <c r="DV127" s="15"/>
      <c r="DW127" s="15" t="s">
        <v>410</v>
      </c>
      <c r="DX127" s="14" t="s">
        <v>625</v>
      </c>
      <c r="DY127" s="15" t="s">
        <v>328</v>
      </c>
      <c r="DZ127" s="15"/>
      <c r="EA127" s="15"/>
      <c r="EB127" s="15"/>
      <c r="EC127" s="15"/>
      <c r="ED127" s="15"/>
      <c r="EE127" s="102" t="s">
        <v>1155</v>
      </c>
      <c r="EF127" s="99"/>
      <c r="EG127" s="17">
        <f t="shared" si="1"/>
        <v>0</v>
      </c>
    </row>
    <row r="128" spans="1:137" x14ac:dyDescent="0.25">
      <c r="A128" s="50" t="s">
        <v>1404</v>
      </c>
      <c r="B128" s="208">
        <v>41549</v>
      </c>
      <c r="C128" s="209" t="s">
        <v>2767</v>
      </c>
      <c r="D128" s="61" t="s">
        <v>557</v>
      </c>
      <c r="E128" s="15"/>
      <c r="F128" s="15" t="s">
        <v>328</v>
      </c>
      <c r="G128" s="15">
        <v>57</v>
      </c>
      <c r="H128" s="15" t="s">
        <v>376</v>
      </c>
      <c r="I128" s="15" t="s">
        <v>399</v>
      </c>
      <c r="J128" s="15" t="s">
        <v>727</v>
      </c>
      <c r="K128" s="15" t="s">
        <v>1250</v>
      </c>
      <c r="L128" s="15" t="s">
        <v>1283</v>
      </c>
      <c r="M128" s="15">
        <v>20</v>
      </c>
      <c r="N128" s="15">
        <v>9</v>
      </c>
      <c r="O128" s="15"/>
      <c r="P128" s="15"/>
      <c r="Q128" s="15">
        <v>10</v>
      </c>
      <c r="R128" s="15"/>
      <c r="S128" s="15">
        <v>4</v>
      </c>
      <c r="T128" s="15"/>
      <c r="U128" s="15"/>
      <c r="V128" s="15">
        <v>5</v>
      </c>
      <c r="W128" s="15"/>
      <c r="X128" s="15"/>
      <c r="Y128" s="15"/>
      <c r="Z128" s="15"/>
      <c r="AA128" s="15"/>
      <c r="AB128" s="15"/>
      <c r="AC128" s="15"/>
      <c r="AD128" s="15"/>
      <c r="AE128" s="15" t="s">
        <v>328</v>
      </c>
      <c r="AF128" s="15"/>
      <c r="AG128" s="15"/>
      <c r="AH128" s="15"/>
      <c r="AI128" s="15"/>
      <c r="AJ128" s="15" t="s">
        <v>328</v>
      </c>
      <c r="AK128" s="15" t="s">
        <v>418</v>
      </c>
      <c r="AL128" s="15" t="s">
        <v>328</v>
      </c>
      <c r="AM128" s="15"/>
      <c r="AN128" s="15"/>
      <c r="AO128" s="15"/>
      <c r="AP128" s="15"/>
      <c r="AQ128" s="15" t="s">
        <v>328</v>
      </c>
      <c r="AR128" s="15">
        <v>6</v>
      </c>
      <c r="AS128" s="15">
        <v>3</v>
      </c>
      <c r="AT128" s="15" t="s">
        <v>328</v>
      </c>
      <c r="AU128" s="15" t="s">
        <v>328</v>
      </c>
      <c r="AV128" s="15"/>
      <c r="AW128" s="15"/>
      <c r="AX128" s="15">
        <v>1</v>
      </c>
      <c r="AY128" s="15">
        <v>2</v>
      </c>
      <c r="AZ128" s="15">
        <v>3</v>
      </c>
      <c r="BA128" s="15"/>
      <c r="BB128" s="15"/>
      <c r="BC128" s="15" t="s">
        <v>328</v>
      </c>
      <c r="BD128" s="15" t="s">
        <v>328</v>
      </c>
      <c r="BE128" s="15"/>
      <c r="BF128" s="15" t="s">
        <v>328</v>
      </c>
      <c r="BG128" s="15"/>
      <c r="BH128" s="15"/>
      <c r="BI128" s="15"/>
      <c r="BJ128" s="15"/>
      <c r="BK128" s="15"/>
      <c r="BL128" s="15"/>
      <c r="BM128" s="15"/>
      <c r="BN128" s="15" t="s">
        <v>328</v>
      </c>
      <c r="BO128" s="15"/>
      <c r="BP128" s="15" t="s">
        <v>328</v>
      </c>
      <c r="BQ128" s="15"/>
      <c r="BR128" s="15" t="s">
        <v>328</v>
      </c>
      <c r="BS128" s="15"/>
      <c r="BT128" s="15"/>
      <c r="BU128" s="15"/>
      <c r="BV128" s="15"/>
      <c r="BW128" s="15" t="s">
        <v>328</v>
      </c>
      <c r="BX128" s="15"/>
      <c r="BY128" s="15"/>
      <c r="BZ128" s="15"/>
      <c r="CA128" s="15"/>
      <c r="CB128" s="15" t="s">
        <v>328</v>
      </c>
      <c r="CC128" s="15" t="s">
        <v>328</v>
      </c>
      <c r="CD128" s="15"/>
      <c r="CE128" s="15"/>
      <c r="CF128" s="15"/>
      <c r="CG128" s="15"/>
      <c r="CH128" s="15"/>
      <c r="CI128" s="15" t="s">
        <v>328</v>
      </c>
      <c r="CJ128" s="15"/>
      <c r="CK128" s="15"/>
      <c r="CL128" s="15"/>
      <c r="CM128" s="15" t="s">
        <v>328</v>
      </c>
      <c r="CN128" s="15">
        <v>4</v>
      </c>
      <c r="CO128" s="15">
        <v>1</v>
      </c>
      <c r="CP128" s="15">
        <v>3</v>
      </c>
      <c r="CQ128" s="15">
        <v>5</v>
      </c>
      <c r="CR128" s="15">
        <v>6</v>
      </c>
      <c r="CS128" s="15">
        <v>2</v>
      </c>
      <c r="CT128" s="15" t="s">
        <v>328</v>
      </c>
      <c r="CU128" s="15" t="s">
        <v>328</v>
      </c>
      <c r="CV128" s="15"/>
      <c r="CW128" s="15"/>
      <c r="CX128" s="15" t="s">
        <v>328</v>
      </c>
      <c r="CY128" s="15"/>
      <c r="CZ128" s="15" t="s">
        <v>485</v>
      </c>
      <c r="DA128" s="15" t="s">
        <v>328</v>
      </c>
      <c r="DB128" s="15" t="s">
        <v>404</v>
      </c>
      <c r="DC128" s="15"/>
      <c r="DD128" s="15"/>
      <c r="DE128" s="15"/>
      <c r="DF128" s="15"/>
      <c r="DG128" s="15"/>
      <c r="DH128" s="15"/>
      <c r="DI128" s="15"/>
      <c r="DJ128" s="15"/>
      <c r="DK128" s="15" t="s">
        <v>328</v>
      </c>
      <c r="DL128" s="15" t="s">
        <v>328</v>
      </c>
      <c r="DM128" s="15" t="s">
        <v>618</v>
      </c>
      <c r="DN128" s="15"/>
      <c r="DO128" s="15" t="s">
        <v>916</v>
      </c>
      <c r="DP128" s="14" t="s">
        <v>624</v>
      </c>
      <c r="DQ128" s="15"/>
      <c r="DR128" s="15" t="s">
        <v>328</v>
      </c>
      <c r="DS128" s="15" t="s">
        <v>328</v>
      </c>
      <c r="DT128" s="15" t="s">
        <v>397</v>
      </c>
      <c r="DU128" s="15"/>
      <c r="DV128" s="15"/>
      <c r="DW128" s="15" t="s">
        <v>410</v>
      </c>
      <c r="DX128" s="14" t="s">
        <v>411</v>
      </c>
      <c r="DY128" s="15"/>
      <c r="DZ128" s="15" t="s">
        <v>328</v>
      </c>
      <c r="EA128" s="15" t="s">
        <v>328</v>
      </c>
      <c r="EB128" s="15" t="s">
        <v>405</v>
      </c>
      <c r="EC128" s="15"/>
      <c r="ED128" s="15" t="s">
        <v>587</v>
      </c>
      <c r="EE128" s="102" t="s">
        <v>474</v>
      </c>
      <c r="EF128" s="99"/>
      <c r="EG128" s="17">
        <f t="shared" si="1"/>
        <v>0</v>
      </c>
    </row>
    <row r="129" spans="1:137" x14ac:dyDescent="0.25">
      <c r="A129" s="50" t="s">
        <v>1404</v>
      </c>
      <c r="B129" s="208">
        <v>41549</v>
      </c>
      <c r="C129" s="209" t="s">
        <v>2767</v>
      </c>
      <c r="D129" s="61" t="s">
        <v>588</v>
      </c>
      <c r="E129" s="15" t="s">
        <v>328</v>
      </c>
      <c r="F129" s="15"/>
      <c r="G129" s="15">
        <v>65</v>
      </c>
      <c r="H129" s="15" t="s">
        <v>329</v>
      </c>
      <c r="I129" s="15" t="s">
        <v>357</v>
      </c>
      <c r="J129" s="15" t="s">
        <v>738</v>
      </c>
      <c r="K129" s="15" t="s">
        <v>1251</v>
      </c>
      <c r="L129" s="15" t="s">
        <v>1283</v>
      </c>
      <c r="M129" s="15">
        <v>30</v>
      </c>
      <c r="N129" s="15">
        <v>1</v>
      </c>
      <c r="O129" s="15">
        <v>1</v>
      </c>
      <c r="P129" s="15"/>
      <c r="Q129" s="15"/>
      <c r="R129" s="15">
        <v>1</v>
      </c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 t="s">
        <v>418</v>
      </c>
      <c r="AL129" s="15"/>
      <c r="AM129" s="15" t="s">
        <v>328</v>
      </c>
      <c r="AN129" s="15"/>
      <c r="AO129" s="15"/>
      <c r="AP129" s="14" t="s">
        <v>328</v>
      </c>
      <c r="AQ129" s="15"/>
      <c r="AR129" s="15">
        <v>5</v>
      </c>
      <c r="AS129" s="15">
        <v>4</v>
      </c>
      <c r="AT129" s="15"/>
      <c r="AU129" s="15"/>
      <c r="AV129" s="15"/>
      <c r="AW129" s="15" t="s">
        <v>328</v>
      </c>
      <c r="AX129" s="15">
        <v>2</v>
      </c>
      <c r="AY129" s="15">
        <v>1</v>
      </c>
      <c r="AZ129" s="15">
        <v>3</v>
      </c>
      <c r="BA129" s="15"/>
      <c r="BB129" s="15" t="s">
        <v>328</v>
      </c>
      <c r="BC129" s="15"/>
      <c r="BD129" s="15" t="s">
        <v>328</v>
      </c>
      <c r="BE129" s="15"/>
      <c r="BF129" s="15"/>
      <c r="BG129" s="15"/>
      <c r="BH129" s="15"/>
      <c r="BI129" s="15"/>
      <c r="BJ129" s="15"/>
      <c r="BK129" s="15"/>
      <c r="BL129" s="15"/>
      <c r="BM129" s="15"/>
      <c r="BN129" s="15" t="s">
        <v>328</v>
      </c>
      <c r="BO129" s="15"/>
      <c r="BP129" s="15" t="s">
        <v>328</v>
      </c>
      <c r="BQ129" s="15"/>
      <c r="BR129" s="15"/>
      <c r="BS129" s="15"/>
      <c r="BT129" s="15" t="s">
        <v>328</v>
      </c>
      <c r="BU129" s="15"/>
      <c r="BV129" s="15"/>
      <c r="BW129" s="15"/>
      <c r="BX129" s="15"/>
      <c r="BY129" s="15"/>
      <c r="BZ129" s="15"/>
      <c r="CA129" s="15"/>
      <c r="CB129" s="15" t="s">
        <v>328</v>
      </c>
      <c r="CC129" s="15"/>
      <c r="CD129" s="15"/>
      <c r="CE129" s="15"/>
      <c r="CF129" s="15"/>
      <c r="CG129" s="15"/>
      <c r="CH129" s="15"/>
      <c r="CI129" s="15"/>
      <c r="CJ129" s="15"/>
      <c r="CK129" s="15"/>
      <c r="CL129" s="15" t="s">
        <v>328</v>
      </c>
      <c r="CM129" s="15"/>
      <c r="CN129" s="15">
        <v>4</v>
      </c>
      <c r="CO129" s="15">
        <v>2</v>
      </c>
      <c r="CP129" s="15">
        <v>3</v>
      </c>
      <c r="CQ129" s="15">
        <v>5</v>
      </c>
      <c r="CR129" s="15">
        <v>6</v>
      </c>
      <c r="CS129" s="15">
        <v>1</v>
      </c>
      <c r="CT129" s="15"/>
      <c r="CU129" s="15" t="s">
        <v>328</v>
      </c>
      <c r="CV129" s="15"/>
      <c r="CW129" s="15"/>
      <c r="CX129" s="15"/>
      <c r="CY129" s="15"/>
      <c r="CZ129" s="15"/>
      <c r="DA129" s="15"/>
      <c r="DB129" s="15"/>
      <c r="DC129" s="15">
        <v>6</v>
      </c>
      <c r="DD129" s="15">
        <v>4</v>
      </c>
      <c r="DE129" s="15">
        <v>1</v>
      </c>
      <c r="DF129" s="15">
        <v>2</v>
      </c>
      <c r="DG129" s="15">
        <v>5</v>
      </c>
      <c r="DH129" s="15">
        <v>3</v>
      </c>
      <c r="DI129" s="15"/>
      <c r="DJ129" s="15"/>
      <c r="DK129" s="15" t="s">
        <v>328</v>
      </c>
      <c r="DL129" s="15" t="s">
        <v>328</v>
      </c>
      <c r="DM129" s="14" t="s">
        <v>404</v>
      </c>
      <c r="DN129" s="15"/>
      <c r="DO129" s="15" t="s">
        <v>492</v>
      </c>
      <c r="DP129" s="14" t="s">
        <v>389</v>
      </c>
      <c r="DQ129" s="15"/>
      <c r="DR129" s="15" t="s">
        <v>328</v>
      </c>
      <c r="DS129" s="15" t="s">
        <v>328</v>
      </c>
      <c r="DT129" s="15" t="s">
        <v>437</v>
      </c>
      <c r="DU129" s="15"/>
      <c r="DV129" s="15"/>
      <c r="DW129" s="14" t="s">
        <v>571</v>
      </c>
      <c r="DX129" s="14" t="s">
        <v>1157</v>
      </c>
      <c r="DY129" s="15" t="s">
        <v>328</v>
      </c>
      <c r="DZ129" s="15"/>
      <c r="EA129" s="15"/>
      <c r="EB129" s="15"/>
      <c r="EC129" s="15"/>
      <c r="ED129" s="15"/>
      <c r="EE129" s="102" t="s">
        <v>1155</v>
      </c>
      <c r="EF129" s="99"/>
      <c r="EG129" s="17">
        <f t="shared" si="1"/>
        <v>0</v>
      </c>
    </row>
    <row r="130" spans="1:137" x14ac:dyDescent="0.25">
      <c r="A130" s="50" t="s">
        <v>1404</v>
      </c>
      <c r="B130" s="208">
        <v>41550</v>
      </c>
      <c r="C130" s="209" t="s">
        <v>2767</v>
      </c>
      <c r="D130" s="61" t="s">
        <v>589</v>
      </c>
      <c r="E130" s="15" t="s">
        <v>328</v>
      </c>
      <c r="F130" s="15"/>
      <c r="G130" s="15">
        <v>60</v>
      </c>
      <c r="H130" s="15" t="s">
        <v>329</v>
      </c>
      <c r="I130" s="15" t="s">
        <v>353</v>
      </c>
      <c r="J130" s="15" t="s">
        <v>749</v>
      </c>
      <c r="K130" s="15" t="s">
        <v>1203</v>
      </c>
      <c r="L130" s="15" t="s">
        <v>1284</v>
      </c>
      <c r="M130" s="15">
        <v>40</v>
      </c>
      <c r="N130" s="15">
        <v>5</v>
      </c>
      <c r="O130" s="15"/>
      <c r="P130" s="15"/>
      <c r="Q130" s="15">
        <v>30</v>
      </c>
      <c r="R130" s="15">
        <v>10</v>
      </c>
      <c r="S130" s="15"/>
      <c r="T130" s="15"/>
      <c r="U130" s="15"/>
      <c r="V130" s="15"/>
      <c r="W130" s="15"/>
      <c r="X130" s="15"/>
      <c r="Y130" s="15"/>
      <c r="Z130" s="15"/>
      <c r="AA130" s="15"/>
      <c r="AB130" s="15" t="s">
        <v>328</v>
      </c>
      <c r="AC130" s="15"/>
      <c r="AD130" s="15" t="s">
        <v>328</v>
      </c>
      <c r="AE130" s="15"/>
      <c r="AF130" s="15"/>
      <c r="AG130" s="15"/>
      <c r="AH130" s="15"/>
      <c r="AI130" s="15" t="s">
        <v>328</v>
      </c>
      <c r="AJ130" s="15"/>
      <c r="AK130" s="15"/>
      <c r="AL130" s="15"/>
      <c r="AM130" s="15" t="s">
        <v>328</v>
      </c>
      <c r="AN130" s="15"/>
      <c r="AO130" s="15"/>
      <c r="AP130" s="14" t="s">
        <v>328</v>
      </c>
      <c r="AQ130" s="15"/>
      <c r="AR130" s="15">
        <v>10</v>
      </c>
      <c r="AS130" s="15">
        <v>5</v>
      </c>
      <c r="AT130" s="15" t="s">
        <v>328</v>
      </c>
      <c r="AU130" s="15" t="s">
        <v>328</v>
      </c>
      <c r="AV130" s="15"/>
      <c r="AW130" s="15"/>
      <c r="AX130" s="15">
        <v>1</v>
      </c>
      <c r="AY130" s="15">
        <v>2</v>
      </c>
      <c r="AZ130" s="15">
        <v>3</v>
      </c>
      <c r="BA130" s="15"/>
      <c r="BB130" s="15" t="s">
        <v>328</v>
      </c>
      <c r="BC130" s="15"/>
      <c r="BD130" s="15" t="s">
        <v>328</v>
      </c>
      <c r="BE130" s="15"/>
      <c r="BF130" s="15"/>
      <c r="BG130" s="15" t="s">
        <v>328</v>
      </c>
      <c r="BH130" s="15"/>
      <c r="BI130" s="15"/>
      <c r="BJ130" s="15"/>
      <c r="BK130" s="15"/>
      <c r="BL130" s="15"/>
      <c r="BM130" s="15"/>
      <c r="BN130" s="15"/>
      <c r="BO130" s="15" t="s">
        <v>328</v>
      </c>
      <c r="BP130" s="15"/>
      <c r="BQ130" s="15" t="s">
        <v>328</v>
      </c>
      <c r="BR130" s="15"/>
      <c r="BS130" s="15"/>
      <c r="BT130" s="15" t="s">
        <v>328</v>
      </c>
      <c r="BU130" s="15"/>
      <c r="BV130" s="15"/>
      <c r="BW130" s="15" t="s">
        <v>328</v>
      </c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 t="s">
        <v>332</v>
      </c>
      <c r="CI130" s="15"/>
      <c r="CJ130" s="15"/>
      <c r="CK130" s="15"/>
      <c r="CL130" s="15" t="s">
        <v>328</v>
      </c>
      <c r="CM130" s="15"/>
      <c r="CN130" s="15" t="s">
        <v>405</v>
      </c>
      <c r="CO130" s="15" t="s">
        <v>405</v>
      </c>
      <c r="CP130" s="15" t="s">
        <v>405</v>
      </c>
      <c r="CQ130" s="15" t="s">
        <v>405</v>
      </c>
      <c r="CR130" s="15" t="s">
        <v>405</v>
      </c>
      <c r="CS130" s="15" t="s">
        <v>405</v>
      </c>
      <c r="CT130" s="15" t="s">
        <v>328</v>
      </c>
      <c r="CU130" s="15" t="s">
        <v>328</v>
      </c>
      <c r="CV130" s="15"/>
      <c r="CW130" s="15"/>
      <c r="CX130" s="15" t="s">
        <v>328</v>
      </c>
      <c r="CY130" s="15" t="s">
        <v>328</v>
      </c>
      <c r="CZ130" s="15"/>
      <c r="DA130" s="15" t="s">
        <v>328</v>
      </c>
      <c r="DB130" s="15" t="s">
        <v>404</v>
      </c>
      <c r="DC130" s="15"/>
      <c r="DD130" s="15"/>
      <c r="DE130" s="15"/>
      <c r="DF130" s="15"/>
      <c r="DG130" s="15"/>
      <c r="DH130" s="15"/>
      <c r="DI130" s="15"/>
      <c r="DJ130" s="15"/>
      <c r="DK130" s="15" t="s">
        <v>328</v>
      </c>
      <c r="DL130" s="15" t="s">
        <v>328</v>
      </c>
      <c r="DM130" s="15" t="s">
        <v>405</v>
      </c>
      <c r="DN130" s="15"/>
      <c r="DO130" s="15" t="s">
        <v>492</v>
      </c>
      <c r="DP130" s="14" t="s">
        <v>396</v>
      </c>
      <c r="DQ130" s="15"/>
      <c r="DR130" s="15" t="s">
        <v>328</v>
      </c>
      <c r="DS130" s="15" t="s">
        <v>328</v>
      </c>
      <c r="DT130" s="15" t="s">
        <v>437</v>
      </c>
      <c r="DU130" s="15"/>
      <c r="DV130" s="15"/>
      <c r="DW130" s="15" t="s">
        <v>410</v>
      </c>
      <c r="DX130" s="15" t="s">
        <v>590</v>
      </c>
      <c r="DY130" s="15"/>
      <c r="DZ130" s="15" t="s">
        <v>328</v>
      </c>
      <c r="EA130" s="15" t="s">
        <v>328</v>
      </c>
      <c r="EB130" s="15" t="s">
        <v>397</v>
      </c>
      <c r="EC130" s="15"/>
      <c r="ED130" s="15" t="s">
        <v>432</v>
      </c>
      <c r="EE130" s="102" t="s">
        <v>934</v>
      </c>
      <c r="EF130" s="99"/>
      <c r="EG130" s="17">
        <f t="shared" si="1"/>
        <v>0</v>
      </c>
    </row>
    <row r="131" spans="1:137" x14ac:dyDescent="0.25">
      <c r="A131" s="50" t="s">
        <v>1404</v>
      </c>
      <c r="B131" s="208">
        <v>41550</v>
      </c>
      <c r="C131" s="209" t="s">
        <v>2767</v>
      </c>
      <c r="D131" s="61" t="s">
        <v>591</v>
      </c>
      <c r="E131" s="15" t="s">
        <v>328</v>
      </c>
      <c r="F131" s="15"/>
      <c r="G131" s="15">
        <v>48</v>
      </c>
      <c r="H131" s="15" t="s">
        <v>329</v>
      </c>
      <c r="I131" s="15" t="s">
        <v>399</v>
      </c>
      <c r="J131" s="15" t="s">
        <v>749</v>
      </c>
      <c r="K131" s="15" t="s">
        <v>1203</v>
      </c>
      <c r="L131" s="15" t="s">
        <v>1284</v>
      </c>
      <c r="M131" s="15">
        <v>15</v>
      </c>
      <c r="N131" s="15">
        <v>3</v>
      </c>
      <c r="O131" s="15"/>
      <c r="P131" s="15"/>
      <c r="Q131" s="15">
        <v>6</v>
      </c>
      <c r="R131" s="15">
        <v>3</v>
      </c>
      <c r="S131" s="15"/>
      <c r="T131" s="15"/>
      <c r="U131" s="15"/>
      <c r="V131" s="15">
        <v>3</v>
      </c>
      <c r="W131" s="15"/>
      <c r="X131" s="15"/>
      <c r="Y131" s="15"/>
      <c r="Z131" s="15"/>
      <c r="AA131" s="15"/>
      <c r="AB131" s="15" t="s">
        <v>328</v>
      </c>
      <c r="AC131" s="15"/>
      <c r="AD131" s="15"/>
      <c r="AE131" s="15" t="s">
        <v>328</v>
      </c>
      <c r="AF131" s="15"/>
      <c r="AG131" s="15"/>
      <c r="AH131" s="15" t="s">
        <v>328</v>
      </c>
      <c r="AI131" s="15" t="s">
        <v>328</v>
      </c>
      <c r="AJ131" s="15"/>
      <c r="AK131" s="15" t="s">
        <v>423</v>
      </c>
      <c r="AL131" s="15" t="s">
        <v>328</v>
      </c>
      <c r="AM131" s="15"/>
      <c r="AN131" s="15"/>
      <c r="AO131" s="14" t="s">
        <v>328</v>
      </c>
      <c r="AP131" s="15"/>
      <c r="AQ131" s="15"/>
      <c r="AR131" s="15">
        <v>10</v>
      </c>
      <c r="AS131" s="15">
        <v>4</v>
      </c>
      <c r="AT131" s="15"/>
      <c r="AU131" s="15" t="s">
        <v>328</v>
      </c>
      <c r="AV131" s="15" t="s">
        <v>328</v>
      </c>
      <c r="AW131" s="15"/>
      <c r="AX131" s="15">
        <v>4</v>
      </c>
      <c r="AY131" s="15">
        <v>3</v>
      </c>
      <c r="AZ131" s="15">
        <v>2</v>
      </c>
      <c r="BA131" s="15" t="s">
        <v>346</v>
      </c>
      <c r="BB131" s="15"/>
      <c r="BC131" s="15" t="s">
        <v>328</v>
      </c>
      <c r="BD131" s="15" t="s">
        <v>328</v>
      </c>
      <c r="BE131" s="15"/>
      <c r="BF131" s="15"/>
      <c r="BG131" s="15" t="s">
        <v>328</v>
      </c>
      <c r="BH131" s="15"/>
      <c r="BI131" s="15"/>
      <c r="BJ131" s="15"/>
      <c r="BK131" s="15"/>
      <c r="BL131" s="15"/>
      <c r="BM131" s="15"/>
      <c r="BN131" s="15" t="s">
        <v>328</v>
      </c>
      <c r="BO131" s="15"/>
      <c r="BP131" s="15" t="s">
        <v>328</v>
      </c>
      <c r="BQ131" s="15"/>
      <c r="BR131" s="15" t="s">
        <v>328</v>
      </c>
      <c r="BS131" s="15"/>
      <c r="BT131" s="15"/>
      <c r="BU131" s="15"/>
      <c r="BV131" s="15" t="s">
        <v>328</v>
      </c>
      <c r="BW131" s="15" t="s">
        <v>328</v>
      </c>
      <c r="BX131" s="15"/>
      <c r="BY131" s="15"/>
      <c r="BZ131" s="15"/>
      <c r="CA131" s="15"/>
      <c r="CB131" s="15"/>
      <c r="CC131" s="15" t="s">
        <v>328</v>
      </c>
      <c r="CD131" s="15" t="s">
        <v>328</v>
      </c>
      <c r="CE131" s="15"/>
      <c r="CF131" s="15"/>
      <c r="CG131" s="15"/>
      <c r="CH131" s="15"/>
      <c r="CI131" s="15" t="s">
        <v>328</v>
      </c>
      <c r="CJ131" s="15"/>
      <c r="CK131" s="15"/>
      <c r="CL131" s="15"/>
      <c r="CM131" s="15" t="s">
        <v>328</v>
      </c>
      <c r="CN131" s="15">
        <v>3</v>
      </c>
      <c r="CO131" s="15">
        <v>1</v>
      </c>
      <c r="CP131" s="15">
        <v>4</v>
      </c>
      <c r="CQ131" s="15">
        <v>5</v>
      </c>
      <c r="CR131" s="15">
        <v>6</v>
      </c>
      <c r="CS131" s="15">
        <v>2</v>
      </c>
      <c r="CT131" s="15" t="s">
        <v>328</v>
      </c>
      <c r="CU131" s="15" t="s">
        <v>328</v>
      </c>
      <c r="CV131" s="15" t="s">
        <v>328</v>
      </c>
      <c r="CW131" s="15" t="s">
        <v>328</v>
      </c>
      <c r="CX131" s="15" t="s">
        <v>328</v>
      </c>
      <c r="CY131" s="15" t="s">
        <v>328</v>
      </c>
      <c r="CZ131" s="15" t="s">
        <v>905</v>
      </c>
      <c r="DA131" s="15" t="s">
        <v>328</v>
      </c>
      <c r="DB131" s="15" t="s">
        <v>404</v>
      </c>
      <c r="DC131" s="15"/>
      <c r="DD131" s="15"/>
      <c r="DE131" s="15"/>
      <c r="DF131" s="15"/>
      <c r="DG131" s="15"/>
      <c r="DH131" s="15"/>
      <c r="DI131" s="15"/>
      <c r="DJ131" s="15"/>
      <c r="DK131" s="15" t="s">
        <v>328</v>
      </c>
      <c r="DL131" s="15" t="s">
        <v>328</v>
      </c>
      <c r="DM131" s="15" t="s">
        <v>405</v>
      </c>
      <c r="DN131" s="15"/>
      <c r="DO131" s="15" t="s">
        <v>916</v>
      </c>
      <c r="DP131" s="14" t="s">
        <v>333</v>
      </c>
      <c r="DQ131" s="15"/>
      <c r="DR131" s="15" t="s">
        <v>328</v>
      </c>
      <c r="DS131" s="15" t="s">
        <v>328</v>
      </c>
      <c r="DT131" s="15" t="s">
        <v>607</v>
      </c>
      <c r="DU131" s="15"/>
      <c r="DV131" s="15"/>
      <c r="DW131" s="15" t="s">
        <v>489</v>
      </c>
      <c r="DX131" s="15" t="s">
        <v>590</v>
      </c>
      <c r="DY131" s="15"/>
      <c r="DZ131" s="15" t="s">
        <v>328</v>
      </c>
      <c r="EA131" s="15" t="s">
        <v>328</v>
      </c>
      <c r="EB131" s="15" t="s">
        <v>592</v>
      </c>
      <c r="EC131" s="15"/>
      <c r="ED131" s="15" t="s">
        <v>489</v>
      </c>
      <c r="EE131" s="102" t="s">
        <v>593</v>
      </c>
      <c r="EF131" s="99"/>
      <c r="EG131" s="17">
        <f t="shared" si="1"/>
        <v>0</v>
      </c>
    </row>
    <row r="132" spans="1:137" x14ac:dyDescent="0.25">
      <c r="A132" s="50" t="s">
        <v>1404</v>
      </c>
      <c r="B132" s="208">
        <v>41550</v>
      </c>
      <c r="C132" s="209" t="s">
        <v>2767</v>
      </c>
      <c r="D132" s="61" t="s">
        <v>594</v>
      </c>
      <c r="E132" s="15" t="s">
        <v>328</v>
      </c>
      <c r="F132" s="15"/>
      <c r="G132" s="15">
        <v>59</v>
      </c>
      <c r="H132" s="15" t="s">
        <v>329</v>
      </c>
      <c r="I132" s="15" t="s">
        <v>357</v>
      </c>
      <c r="J132" s="14" t="s">
        <v>753</v>
      </c>
      <c r="K132" s="14" t="s">
        <v>1190</v>
      </c>
      <c r="L132" s="14" t="s">
        <v>1280</v>
      </c>
      <c r="M132" s="15">
        <v>20</v>
      </c>
      <c r="N132" s="15">
        <v>1</v>
      </c>
      <c r="O132" s="15"/>
      <c r="P132" s="15">
        <v>10</v>
      </c>
      <c r="Q132" s="15"/>
      <c r="R132" s="15">
        <v>10</v>
      </c>
      <c r="S132" s="15"/>
      <c r="T132" s="15"/>
      <c r="U132" s="15"/>
      <c r="V132" s="15"/>
      <c r="W132" s="15"/>
      <c r="X132" s="15"/>
      <c r="Y132" s="15"/>
      <c r="Z132" s="15"/>
      <c r="AA132" s="15"/>
      <c r="AB132" s="15" t="s">
        <v>328</v>
      </c>
      <c r="AC132" s="15"/>
      <c r="AD132" s="15"/>
      <c r="AE132" s="15"/>
      <c r="AF132" s="15"/>
      <c r="AG132" s="15"/>
      <c r="AH132" s="15"/>
      <c r="AI132" s="15" t="s">
        <v>328</v>
      </c>
      <c r="AJ132" s="15"/>
      <c r="AK132" s="15"/>
      <c r="AL132" s="14" t="s">
        <v>328</v>
      </c>
      <c r="AM132" s="15"/>
      <c r="AN132" s="15"/>
      <c r="AO132" s="15"/>
      <c r="AP132" s="15"/>
      <c r="AQ132" s="15" t="s">
        <v>328</v>
      </c>
      <c r="AR132" s="15">
        <v>10</v>
      </c>
      <c r="AS132" s="15">
        <v>6</v>
      </c>
      <c r="AT132" s="15"/>
      <c r="AU132" s="15" t="s">
        <v>328</v>
      </c>
      <c r="AV132" s="15"/>
      <c r="AW132" s="15"/>
      <c r="AX132" s="15">
        <v>4</v>
      </c>
      <c r="AY132" s="15">
        <v>3</v>
      </c>
      <c r="AZ132" s="15">
        <v>2</v>
      </c>
      <c r="BA132" s="15" t="s">
        <v>346</v>
      </c>
      <c r="BB132" s="15"/>
      <c r="BC132" s="15" t="s">
        <v>328</v>
      </c>
      <c r="BD132" s="15"/>
      <c r="BE132" s="15" t="s">
        <v>328</v>
      </c>
      <c r="BF132" s="15"/>
      <c r="BG132" s="15"/>
      <c r="BH132" s="15"/>
      <c r="BI132" s="15"/>
      <c r="BJ132" s="15"/>
      <c r="BK132" s="15"/>
      <c r="BL132" s="15"/>
      <c r="BM132" s="15"/>
      <c r="BN132" s="15" t="s">
        <v>328</v>
      </c>
      <c r="BO132" s="15"/>
      <c r="BP132" s="15" t="s">
        <v>328</v>
      </c>
      <c r="BQ132" s="15"/>
      <c r="BR132" s="15" t="s">
        <v>328</v>
      </c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 t="s">
        <v>332</v>
      </c>
      <c r="CI132" s="15" t="s">
        <v>328</v>
      </c>
      <c r="CJ132" s="15"/>
      <c r="CK132" s="15"/>
      <c r="CL132" s="15"/>
      <c r="CM132" s="15"/>
      <c r="CN132" s="15">
        <v>2</v>
      </c>
      <c r="CO132" s="15">
        <v>1</v>
      </c>
      <c r="CP132" s="15">
        <v>4</v>
      </c>
      <c r="CQ132" s="15">
        <v>6</v>
      </c>
      <c r="CR132" s="15">
        <v>5</v>
      </c>
      <c r="CS132" s="15">
        <v>3</v>
      </c>
      <c r="CT132" s="15" t="s">
        <v>328</v>
      </c>
      <c r="CU132" s="15" t="s">
        <v>328</v>
      </c>
      <c r="CV132" s="15"/>
      <c r="CW132" s="15"/>
      <c r="CX132" s="15" t="s">
        <v>328</v>
      </c>
      <c r="CY132" s="15"/>
      <c r="CZ132" s="15"/>
      <c r="DA132" s="15" t="s">
        <v>328</v>
      </c>
      <c r="DB132" s="15" t="s">
        <v>404</v>
      </c>
      <c r="DC132" s="15"/>
      <c r="DD132" s="15"/>
      <c r="DE132" s="15"/>
      <c r="DF132" s="15"/>
      <c r="DG132" s="15"/>
      <c r="DH132" s="15"/>
      <c r="DI132" s="15"/>
      <c r="DJ132" s="15" t="s">
        <v>328</v>
      </c>
      <c r="DK132" s="15"/>
      <c r="DL132" s="15"/>
      <c r="DM132" s="15"/>
      <c r="DN132" s="15"/>
      <c r="DO132" s="15"/>
      <c r="DP132" s="14" t="s">
        <v>1145</v>
      </c>
      <c r="DQ132" s="15" t="s">
        <v>328</v>
      </c>
      <c r="DR132" s="15"/>
      <c r="DS132" s="15"/>
      <c r="DT132" s="15"/>
      <c r="DU132" s="15"/>
      <c r="DV132" s="15"/>
      <c r="DW132" s="15"/>
      <c r="DX132" s="15" t="s">
        <v>1152</v>
      </c>
      <c r="DY132" s="15" t="s">
        <v>328</v>
      </c>
      <c r="DZ132" s="15"/>
      <c r="EA132" s="15"/>
      <c r="EB132" s="15"/>
      <c r="EC132" s="15"/>
      <c r="ED132" s="15"/>
      <c r="EE132" s="101" t="s">
        <v>333</v>
      </c>
      <c r="EF132" s="99"/>
      <c r="EG132" s="17">
        <f t="shared" si="1"/>
        <v>0</v>
      </c>
    </row>
    <row r="133" spans="1:137" x14ac:dyDescent="0.25">
      <c r="A133" s="50" t="s">
        <v>1404</v>
      </c>
      <c r="B133" s="208">
        <v>41550</v>
      </c>
      <c r="C133" s="209" t="s">
        <v>2767</v>
      </c>
      <c r="D133" s="61" t="s">
        <v>595</v>
      </c>
      <c r="E133" s="15" t="s">
        <v>328</v>
      </c>
      <c r="F133" s="15"/>
      <c r="G133" s="15">
        <v>32</v>
      </c>
      <c r="H133" s="15" t="s">
        <v>329</v>
      </c>
      <c r="I133" s="15" t="s">
        <v>357</v>
      </c>
      <c r="J133" s="15" t="s">
        <v>762</v>
      </c>
      <c r="K133" s="15" t="s">
        <v>1252</v>
      </c>
      <c r="L133" s="15" t="s">
        <v>1283</v>
      </c>
      <c r="M133" s="15">
        <v>15</v>
      </c>
      <c r="N133" s="15">
        <v>3</v>
      </c>
      <c r="O133" s="15">
        <v>6</v>
      </c>
      <c r="P133" s="15"/>
      <c r="Q133" s="15">
        <v>5</v>
      </c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 t="s">
        <v>418</v>
      </c>
      <c r="AL133" s="15" t="s">
        <v>328</v>
      </c>
      <c r="AM133" s="15"/>
      <c r="AN133" s="14" t="s">
        <v>328</v>
      </c>
      <c r="AO133" s="15"/>
      <c r="AP133" s="15"/>
      <c r="AQ133" s="15"/>
      <c r="AR133" s="15">
        <v>9</v>
      </c>
      <c r="AS133" s="15">
        <v>3</v>
      </c>
      <c r="AT133" s="15"/>
      <c r="AU133" s="15" t="s">
        <v>328</v>
      </c>
      <c r="AV133" s="15" t="s">
        <v>328</v>
      </c>
      <c r="AW133" s="15"/>
      <c r="AX133" s="15">
        <v>4</v>
      </c>
      <c r="AY133" s="15">
        <v>3</v>
      </c>
      <c r="AZ133" s="15">
        <v>2</v>
      </c>
      <c r="BA133" s="15" t="s">
        <v>346</v>
      </c>
      <c r="BB133" s="15"/>
      <c r="BC133" s="15" t="s">
        <v>328</v>
      </c>
      <c r="BD133" s="15"/>
      <c r="BE133" s="15"/>
      <c r="BF133" s="15"/>
      <c r="BG133" s="15"/>
      <c r="BH133" s="15"/>
      <c r="BI133" s="15"/>
      <c r="BJ133" s="15"/>
      <c r="BK133" s="15" t="s">
        <v>328</v>
      </c>
      <c r="BL133" s="15"/>
      <c r="BM133" s="15"/>
      <c r="BN133" s="15" t="s">
        <v>328</v>
      </c>
      <c r="BO133" s="15"/>
      <c r="BP133" s="15" t="s">
        <v>328</v>
      </c>
      <c r="BQ133" s="15"/>
      <c r="BR133" s="15" t="s">
        <v>328</v>
      </c>
      <c r="BS133" s="15"/>
      <c r="BT133" s="15"/>
      <c r="BU133" s="15"/>
      <c r="BV133" s="15" t="s">
        <v>328</v>
      </c>
      <c r="BW133" s="15" t="s">
        <v>328</v>
      </c>
      <c r="BX133" s="15"/>
      <c r="BY133" s="15"/>
      <c r="BZ133" s="15"/>
      <c r="CA133" s="15"/>
      <c r="CB133" s="15" t="s">
        <v>328</v>
      </c>
      <c r="CC133" s="15" t="s">
        <v>328</v>
      </c>
      <c r="CD133" s="15" t="s">
        <v>328</v>
      </c>
      <c r="CE133" s="15"/>
      <c r="CF133" s="15"/>
      <c r="CG133" s="15"/>
      <c r="CH133" s="15"/>
      <c r="CI133" s="15" t="s">
        <v>328</v>
      </c>
      <c r="CJ133" s="15"/>
      <c r="CK133" s="15"/>
      <c r="CL133" s="15"/>
      <c r="CM133" s="15" t="s">
        <v>328</v>
      </c>
      <c r="CN133" s="15">
        <v>3</v>
      </c>
      <c r="CO133" s="15">
        <v>1</v>
      </c>
      <c r="CP133" s="15">
        <v>4</v>
      </c>
      <c r="CQ133" s="15">
        <v>5</v>
      </c>
      <c r="CR133" s="15">
        <v>6</v>
      </c>
      <c r="CS133" s="15">
        <v>2</v>
      </c>
      <c r="CT133" s="15" t="s">
        <v>328</v>
      </c>
      <c r="CU133" s="15" t="s">
        <v>328</v>
      </c>
      <c r="CV133" s="15"/>
      <c r="CW133" s="15"/>
      <c r="CX133" s="15" t="s">
        <v>328</v>
      </c>
      <c r="CY133" s="15"/>
      <c r="CZ133" s="15"/>
      <c r="DA133" s="15"/>
      <c r="DB133" s="15"/>
      <c r="DC133" s="15">
        <v>5</v>
      </c>
      <c r="DD133" s="15">
        <v>1</v>
      </c>
      <c r="DE133" s="15">
        <v>4</v>
      </c>
      <c r="DF133" s="15">
        <v>3</v>
      </c>
      <c r="DG133" s="15">
        <v>6</v>
      </c>
      <c r="DH133" s="15">
        <v>2</v>
      </c>
      <c r="DI133" s="15"/>
      <c r="DJ133" s="15"/>
      <c r="DK133" s="15" t="s">
        <v>328</v>
      </c>
      <c r="DL133" s="15" t="s">
        <v>328</v>
      </c>
      <c r="DM133" s="15" t="s">
        <v>405</v>
      </c>
      <c r="DN133" s="14"/>
      <c r="DO133" s="15" t="s">
        <v>492</v>
      </c>
      <c r="DP133" s="14" t="s">
        <v>624</v>
      </c>
      <c r="DQ133" s="15"/>
      <c r="DR133" s="15" t="s">
        <v>328</v>
      </c>
      <c r="DS133" s="15" t="s">
        <v>328</v>
      </c>
      <c r="DT133" s="15" t="s">
        <v>489</v>
      </c>
      <c r="DU133" s="15"/>
      <c r="DV133" s="15"/>
      <c r="DW133" s="15" t="s">
        <v>489</v>
      </c>
      <c r="DX133" s="15" t="s">
        <v>593</v>
      </c>
      <c r="DY133" s="15"/>
      <c r="DZ133" s="15" t="s">
        <v>328</v>
      </c>
      <c r="EA133" s="15" t="s">
        <v>328</v>
      </c>
      <c r="EB133" s="15" t="s">
        <v>405</v>
      </c>
      <c r="EC133" s="15"/>
      <c r="ED133" s="15" t="s">
        <v>432</v>
      </c>
      <c r="EE133" s="102" t="s">
        <v>474</v>
      </c>
      <c r="EF133" s="99"/>
      <c r="EG133" s="17">
        <f t="shared" si="1"/>
        <v>0</v>
      </c>
    </row>
    <row r="134" spans="1:137" x14ac:dyDescent="0.25">
      <c r="A134" s="50" t="s">
        <v>1404</v>
      </c>
      <c r="B134" s="208">
        <v>41550</v>
      </c>
      <c r="C134" s="209" t="s">
        <v>2767</v>
      </c>
      <c r="D134" s="61" t="s">
        <v>596</v>
      </c>
      <c r="E134" s="15" t="s">
        <v>328</v>
      </c>
      <c r="F134" s="15"/>
      <c r="G134" s="15">
        <v>45</v>
      </c>
      <c r="H134" s="15" t="s">
        <v>329</v>
      </c>
      <c r="I134" s="15" t="s">
        <v>357</v>
      </c>
      <c r="J134" s="15" t="s">
        <v>758</v>
      </c>
      <c r="K134" s="15" t="s">
        <v>1197</v>
      </c>
      <c r="L134" s="15" t="s">
        <v>1283</v>
      </c>
      <c r="M134" s="15">
        <v>5</v>
      </c>
      <c r="N134" s="15">
        <v>2</v>
      </c>
      <c r="O134" s="15"/>
      <c r="P134" s="15"/>
      <c r="Q134" s="15"/>
      <c r="R134" s="15"/>
      <c r="S134" s="15">
        <v>2</v>
      </c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 t="s">
        <v>328</v>
      </c>
      <c r="AK134" s="15"/>
      <c r="AL134" s="15" t="s">
        <v>328</v>
      </c>
      <c r="AM134" s="15"/>
      <c r="AN134" s="14" t="s">
        <v>328</v>
      </c>
      <c r="AO134" s="15"/>
      <c r="AP134" s="15"/>
      <c r="AQ134" s="15"/>
      <c r="AR134" s="15">
        <v>10</v>
      </c>
      <c r="AS134" s="15">
        <v>3</v>
      </c>
      <c r="AT134" s="15"/>
      <c r="AU134" s="15" t="s">
        <v>328</v>
      </c>
      <c r="AV134" s="15" t="s">
        <v>328</v>
      </c>
      <c r="AW134" s="15"/>
      <c r="AX134" s="15">
        <v>2</v>
      </c>
      <c r="AY134" s="15">
        <v>3</v>
      </c>
      <c r="AZ134" s="15">
        <v>4</v>
      </c>
      <c r="BA134" s="15" t="s">
        <v>346</v>
      </c>
      <c r="BB134" s="15"/>
      <c r="BC134" s="15" t="s">
        <v>328</v>
      </c>
      <c r="BD134" s="15"/>
      <c r="BE134" s="15"/>
      <c r="BF134" s="15"/>
      <c r="BG134" s="15"/>
      <c r="BH134" s="15"/>
      <c r="BI134" s="15"/>
      <c r="BJ134" s="15"/>
      <c r="BK134" s="15" t="s">
        <v>328</v>
      </c>
      <c r="BL134" s="15"/>
      <c r="BM134" s="15"/>
      <c r="BN134" s="15" t="s">
        <v>328</v>
      </c>
      <c r="BO134" s="15"/>
      <c r="BP134" s="15" t="s">
        <v>328</v>
      </c>
      <c r="BQ134" s="15"/>
      <c r="BR134" s="15" t="s">
        <v>328</v>
      </c>
      <c r="BS134" s="15"/>
      <c r="BT134" s="15"/>
      <c r="BU134" s="15"/>
      <c r="BV134" s="15" t="s">
        <v>328</v>
      </c>
      <c r="BW134" s="15" t="s">
        <v>328</v>
      </c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 t="s">
        <v>332</v>
      </c>
      <c r="CI134" s="15" t="s">
        <v>328</v>
      </c>
      <c r="CJ134" s="15"/>
      <c r="CK134" s="15" t="s">
        <v>328</v>
      </c>
      <c r="CL134" s="15"/>
      <c r="CM134" s="15"/>
      <c r="CN134" s="15">
        <v>3</v>
      </c>
      <c r="CO134" s="15">
        <v>2</v>
      </c>
      <c r="CP134" s="15">
        <v>4</v>
      </c>
      <c r="CQ134" s="15">
        <v>5</v>
      </c>
      <c r="CR134" s="15">
        <v>6</v>
      </c>
      <c r="CS134" s="15">
        <v>1</v>
      </c>
      <c r="CT134" s="15" t="s">
        <v>328</v>
      </c>
      <c r="CU134" s="15" t="s">
        <v>328</v>
      </c>
      <c r="CV134" s="15"/>
      <c r="CW134" s="15"/>
      <c r="CX134" s="15" t="s">
        <v>328</v>
      </c>
      <c r="CY134" s="15"/>
      <c r="CZ134" s="15"/>
      <c r="DA134" s="15" t="s">
        <v>328</v>
      </c>
      <c r="DB134" s="15" t="s">
        <v>404</v>
      </c>
      <c r="DC134" s="15"/>
      <c r="DD134" s="15"/>
      <c r="DE134" s="15"/>
      <c r="DF134" s="15"/>
      <c r="DG134" s="15"/>
      <c r="DH134" s="15"/>
      <c r="DI134" s="15"/>
      <c r="DJ134" s="15"/>
      <c r="DK134" s="15" t="s">
        <v>328</v>
      </c>
      <c r="DL134" s="15" t="s">
        <v>328</v>
      </c>
      <c r="DM134" s="14" t="s">
        <v>397</v>
      </c>
      <c r="DN134" s="15"/>
      <c r="DO134" s="15" t="s">
        <v>1340</v>
      </c>
      <c r="DP134" s="14" t="s">
        <v>396</v>
      </c>
      <c r="DQ134" s="15"/>
      <c r="DR134" s="15" t="s">
        <v>328</v>
      </c>
      <c r="DS134" s="15" t="s">
        <v>328</v>
      </c>
      <c r="DT134" s="15" t="s">
        <v>437</v>
      </c>
      <c r="DU134" s="15"/>
      <c r="DV134" s="15"/>
      <c r="DW134" s="15" t="s">
        <v>410</v>
      </c>
      <c r="DX134" s="14" t="s">
        <v>411</v>
      </c>
      <c r="DY134" s="15"/>
      <c r="DZ134" s="15" t="s">
        <v>328</v>
      </c>
      <c r="EA134" s="15" t="s">
        <v>328</v>
      </c>
      <c r="EB134" s="15" t="s">
        <v>397</v>
      </c>
      <c r="EC134" s="15"/>
      <c r="ED134" s="15" t="s">
        <v>587</v>
      </c>
      <c r="EE134" s="102" t="s">
        <v>333</v>
      </c>
      <c r="EF134" s="99"/>
      <c r="EG134" s="17">
        <f t="shared" si="1"/>
        <v>0</v>
      </c>
    </row>
    <row r="135" spans="1:137" x14ac:dyDescent="0.25">
      <c r="A135" s="50" t="s">
        <v>1404</v>
      </c>
      <c r="B135" s="208">
        <v>41550</v>
      </c>
      <c r="C135" s="209" t="s">
        <v>2767</v>
      </c>
      <c r="D135" s="61" t="s">
        <v>597</v>
      </c>
      <c r="E135" s="15" t="s">
        <v>328</v>
      </c>
      <c r="F135" s="15"/>
      <c r="G135" s="15">
        <v>46</v>
      </c>
      <c r="H135" s="15" t="s">
        <v>329</v>
      </c>
      <c r="I135" s="15" t="s">
        <v>355</v>
      </c>
      <c r="J135" s="15" t="s">
        <v>730</v>
      </c>
      <c r="K135" s="15" t="s">
        <v>1225</v>
      </c>
      <c r="L135" s="15" t="s">
        <v>1280</v>
      </c>
      <c r="M135" s="15">
        <v>15</v>
      </c>
      <c r="N135" s="15">
        <v>1</v>
      </c>
      <c r="O135" s="15"/>
      <c r="P135" s="15"/>
      <c r="Q135" s="15"/>
      <c r="R135" s="15"/>
      <c r="S135" s="15">
        <v>1</v>
      </c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 t="s">
        <v>563</v>
      </c>
      <c r="AL135" s="14" t="s">
        <v>328</v>
      </c>
      <c r="AM135" s="15"/>
      <c r="AN135" s="15"/>
      <c r="AO135" s="15"/>
      <c r="AP135" s="15"/>
      <c r="AQ135" s="15" t="s">
        <v>328</v>
      </c>
      <c r="AR135" s="15">
        <v>10</v>
      </c>
      <c r="AS135" s="15">
        <v>3</v>
      </c>
      <c r="AT135" s="15"/>
      <c r="AU135" s="15" t="s">
        <v>328</v>
      </c>
      <c r="AV135" s="15"/>
      <c r="AW135" s="15"/>
      <c r="AX135" s="15">
        <v>1</v>
      </c>
      <c r="AY135" s="15">
        <v>3</v>
      </c>
      <c r="AZ135" s="15">
        <v>2</v>
      </c>
      <c r="BA135" s="15"/>
      <c r="BB135" s="15" t="s">
        <v>328</v>
      </c>
      <c r="BC135" s="15"/>
      <c r="BD135" s="15" t="s">
        <v>328</v>
      </c>
      <c r="BE135" s="15"/>
      <c r="BF135" s="15"/>
      <c r="BG135" s="15"/>
      <c r="BH135" s="15"/>
      <c r="BI135" s="15"/>
      <c r="BJ135" s="15"/>
      <c r="BK135" s="15"/>
      <c r="BL135" s="15"/>
      <c r="BM135" s="15"/>
      <c r="BN135" s="15" t="s">
        <v>328</v>
      </c>
      <c r="BO135" s="15"/>
      <c r="BP135" s="15" t="s">
        <v>328</v>
      </c>
      <c r="BQ135" s="15"/>
      <c r="BR135" s="15" t="s">
        <v>328</v>
      </c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 t="s">
        <v>332</v>
      </c>
      <c r="CI135" s="15"/>
      <c r="CJ135" s="15" t="s">
        <v>328</v>
      </c>
      <c r="CK135" s="15"/>
      <c r="CL135" s="15"/>
      <c r="CM135" s="15"/>
      <c r="CN135" s="15">
        <v>4</v>
      </c>
      <c r="CO135" s="15">
        <v>1</v>
      </c>
      <c r="CP135" s="15">
        <v>2</v>
      </c>
      <c r="CQ135" s="15">
        <v>5</v>
      </c>
      <c r="CR135" s="15">
        <v>6</v>
      </c>
      <c r="CS135" s="15">
        <v>3</v>
      </c>
      <c r="CT135" s="15"/>
      <c r="CU135" s="15"/>
      <c r="CV135" s="15"/>
      <c r="CW135" s="15"/>
      <c r="CX135" s="15"/>
      <c r="CY135" s="15"/>
      <c r="CZ135" s="15" t="s">
        <v>905</v>
      </c>
      <c r="DA135" s="15"/>
      <c r="DB135" s="15"/>
      <c r="DC135" s="15">
        <v>4</v>
      </c>
      <c r="DD135" s="15">
        <v>1</v>
      </c>
      <c r="DE135" s="15">
        <v>2</v>
      </c>
      <c r="DF135" s="15">
        <v>6</v>
      </c>
      <c r="DG135" s="15">
        <v>5</v>
      </c>
      <c r="DH135" s="15">
        <v>3</v>
      </c>
      <c r="DI135" s="15"/>
      <c r="DJ135" s="15" t="s">
        <v>328</v>
      </c>
      <c r="DK135" s="15"/>
      <c r="DL135" s="15"/>
      <c r="DM135" s="15"/>
      <c r="DN135" s="15"/>
      <c r="DO135" s="15"/>
      <c r="DP135" s="14" t="s">
        <v>333</v>
      </c>
      <c r="DQ135" s="15"/>
      <c r="DR135" s="15" t="s">
        <v>328</v>
      </c>
      <c r="DS135" s="15" t="s">
        <v>328</v>
      </c>
      <c r="DT135" s="15" t="s">
        <v>420</v>
      </c>
      <c r="DU135" s="15"/>
      <c r="DV135" s="15"/>
      <c r="DW135" s="15" t="s">
        <v>410</v>
      </c>
      <c r="DX135" s="15" t="s">
        <v>598</v>
      </c>
      <c r="DY135" s="15" t="s">
        <v>328</v>
      </c>
      <c r="DZ135" s="15"/>
      <c r="EA135" s="15"/>
      <c r="EB135" s="15"/>
      <c r="EC135" s="15"/>
      <c r="ED135" s="15"/>
      <c r="EE135" s="102" t="s">
        <v>450</v>
      </c>
      <c r="EF135" s="99"/>
      <c r="EG135" s="17">
        <f t="shared" si="1"/>
        <v>0</v>
      </c>
    </row>
    <row r="136" spans="1:137" x14ac:dyDescent="0.25">
      <c r="A136" s="50" t="s">
        <v>1404</v>
      </c>
      <c r="B136" s="208">
        <v>41550</v>
      </c>
      <c r="C136" s="209" t="s">
        <v>2767</v>
      </c>
      <c r="D136" s="61" t="s">
        <v>599</v>
      </c>
      <c r="E136" s="15" t="s">
        <v>328</v>
      </c>
      <c r="F136" s="15"/>
      <c r="G136" s="15">
        <v>40</v>
      </c>
      <c r="H136" s="15" t="s">
        <v>329</v>
      </c>
      <c r="I136" s="15" t="s">
        <v>399</v>
      </c>
      <c r="J136" s="15" t="s">
        <v>741</v>
      </c>
      <c r="K136" s="15" t="s">
        <v>1212</v>
      </c>
      <c r="L136" s="15" t="s">
        <v>1283</v>
      </c>
      <c r="M136" s="15">
        <v>10</v>
      </c>
      <c r="N136" s="15">
        <v>1</v>
      </c>
      <c r="O136" s="15"/>
      <c r="P136" s="15"/>
      <c r="Q136" s="15"/>
      <c r="R136" s="15">
        <v>1</v>
      </c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 t="s">
        <v>328</v>
      </c>
      <c r="AJ136" s="15"/>
      <c r="AK136" s="15"/>
      <c r="AL136" s="15"/>
      <c r="AM136" s="15" t="s">
        <v>328</v>
      </c>
      <c r="AN136" s="15"/>
      <c r="AO136" s="15"/>
      <c r="AP136" s="14" t="s">
        <v>328</v>
      </c>
      <c r="AQ136" s="15"/>
      <c r="AR136" s="15">
        <v>9</v>
      </c>
      <c r="AS136" s="15">
        <v>2</v>
      </c>
      <c r="AT136" s="15"/>
      <c r="AU136" s="15"/>
      <c r="AV136" s="15" t="s">
        <v>328</v>
      </c>
      <c r="AW136" s="15"/>
      <c r="AX136" s="15">
        <v>1</v>
      </c>
      <c r="AY136" s="15">
        <v>3</v>
      </c>
      <c r="AZ136" s="15">
        <v>2</v>
      </c>
      <c r="BA136" s="15"/>
      <c r="BB136" s="15" t="s">
        <v>328</v>
      </c>
      <c r="BC136" s="15"/>
      <c r="BD136" s="15"/>
      <c r="BE136" s="15"/>
      <c r="BF136" s="15"/>
      <c r="BG136" s="15" t="s">
        <v>328</v>
      </c>
      <c r="BH136" s="15"/>
      <c r="BI136" s="15"/>
      <c r="BJ136" s="15"/>
      <c r="BK136" s="15"/>
      <c r="BL136" s="15"/>
      <c r="BM136" s="15"/>
      <c r="BN136" s="15" t="s">
        <v>328</v>
      </c>
      <c r="BO136" s="15"/>
      <c r="BP136" s="15" t="s">
        <v>328</v>
      </c>
      <c r="BQ136" s="15"/>
      <c r="BR136" s="15" t="s">
        <v>328</v>
      </c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 t="s">
        <v>332</v>
      </c>
      <c r="CI136" s="15" t="s">
        <v>328</v>
      </c>
      <c r="CJ136" s="15"/>
      <c r="CK136" s="15"/>
      <c r="CL136" s="15"/>
      <c r="CM136" s="15"/>
      <c r="CN136" s="15">
        <v>4</v>
      </c>
      <c r="CO136" s="15">
        <v>1</v>
      </c>
      <c r="CP136" s="15">
        <v>2</v>
      </c>
      <c r="CQ136" s="15">
        <v>6</v>
      </c>
      <c r="CR136" s="15">
        <v>5</v>
      </c>
      <c r="CS136" s="15">
        <v>3</v>
      </c>
      <c r="CT136" s="15"/>
      <c r="CU136" s="15"/>
      <c r="CV136" s="15"/>
      <c r="CW136" s="15"/>
      <c r="CX136" s="15"/>
      <c r="CY136" s="15"/>
      <c r="CZ136" s="15" t="s">
        <v>332</v>
      </c>
      <c r="DA136" s="15"/>
      <c r="DB136" s="15"/>
      <c r="DC136" s="15">
        <v>3</v>
      </c>
      <c r="DD136" s="15">
        <v>1</v>
      </c>
      <c r="DE136" s="15">
        <v>2</v>
      </c>
      <c r="DF136" s="15">
        <v>4</v>
      </c>
      <c r="DG136" s="15">
        <v>5</v>
      </c>
      <c r="DH136" s="15">
        <v>6</v>
      </c>
      <c r="DI136" s="15"/>
      <c r="DJ136" s="15" t="s">
        <v>328</v>
      </c>
      <c r="DK136" s="15"/>
      <c r="DL136" s="15"/>
      <c r="DM136" s="15"/>
      <c r="DN136" s="15"/>
      <c r="DO136" s="15"/>
      <c r="DP136" s="14" t="s">
        <v>333</v>
      </c>
      <c r="DQ136" s="15"/>
      <c r="DR136" s="15" t="s">
        <v>328</v>
      </c>
      <c r="DS136" s="15" t="s">
        <v>328</v>
      </c>
      <c r="DT136" s="15" t="s">
        <v>420</v>
      </c>
      <c r="DU136" s="15"/>
      <c r="DV136" s="15"/>
      <c r="DW136" s="15" t="s">
        <v>335</v>
      </c>
      <c r="DX136" s="15" t="s">
        <v>600</v>
      </c>
      <c r="DY136" s="15" t="s">
        <v>328</v>
      </c>
      <c r="DZ136" s="15"/>
      <c r="EA136" s="15"/>
      <c r="EB136" s="15"/>
      <c r="EC136" s="15"/>
      <c r="ED136" s="15"/>
      <c r="EE136" s="102" t="s">
        <v>1152</v>
      </c>
      <c r="EF136" s="99"/>
      <c r="EG136" s="17">
        <f t="shared" ref="EG136:EG199" si="2">IF(AS136=0,IF(AR136&gt;0,"ERR",0),0)</f>
        <v>0</v>
      </c>
    </row>
    <row r="137" spans="1:137" x14ac:dyDescent="0.25">
      <c r="A137" s="50" t="s">
        <v>1404</v>
      </c>
      <c r="B137" s="208">
        <v>41550</v>
      </c>
      <c r="C137" s="209" t="s">
        <v>2767</v>
      </c>
      <c r="D137" s="61" t="s">
        <v>601</v>
      </c>
      <c r="E137" s="15" t="s">
        <v>328</v>
      </c>
      <c r="F137" s="15"/>
      <c r="G137" s="15">
        <v>53</v>
      </c>
      <c r="H137" s="15" t="s">
        <v>329</v>
      </c>
      <c r="I137" s="15" t="s">
        <v>399</v>
      </c>
      <c r="J137" s="15" t="s">
        <v>778</v>
      </c>
      <c r="K137" s="15" t="s">
        <v>1253</v>
      </c>
      <c r="L137" s="15" t="s">
        <v>1280</v>
      </c>
      <c r="M137" s="15">
        <v>22</v>
      </c>
      <c r="N137" s="15">
        <v>5</v>
      </c>
      <c r="O137" s="15">
        <v>2</v>
      </c>
      <c r="P137" s="15"/>
      <c r="Q137" s="15">
        <v>1</v>
      </c>
      <c r="R137" s="15">
        <v>2</v>
      </c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 t="s">
        <v>328</v>
      </c>
      <c r="AF137" s="15"/>
      <c r="AG137" s="15"/>
      <c r="AH137" s="15"/>
      <c r="AI137" s="15" t="s">
        <v>328</v>
      </c>
      <c r="AJ137" s="15"/>
      <c r="AK137" s="15"/>
      <c r="AL137" s="14" t="s">
        <v>328</v>
      </c>
      <c r="AM137" s="15"/>
      <c r="AN137" s="15"/>
      <c r="AO137" s="15"/>
      <c r="AP137" s="15" t="s">
        <v>328</v>
      </c>
      <c r="AQ137" s="15" t="s">
        <v>328</v>
      </c>
      <c r="AR137" s="15">
        <v>10</v>
      </c>
      <c r="AS137" s="15">
        <v>6</v>
      </c>
      <c r="AT137" s="15"/>
      <c r="AU137" s="15" t="s">
        <v>328</v>
      </c>
      <c r="AV137" s="15" t="s">
        <v>328</v>
      </c>
      <c r="AW137" s="15"/>
      <c r="AX137" s="15">
        <v>2</v>
      </c>
      <c r="AY137" s="15">
        <v>3</v>
      </c>
      <c r="AZ137" s="15">
        <v>4</v>
      </c>
      <c r="BA137" s="15" t="s">
        <v>346</v>
      </c>
      <c r="BB137" s="15"/>
      <c r="BC137" s="15" t="s">
        <v>328</v>
      </c>
      <c r="BD137" s="15" t="s">
        <v>328</v>
      </c>
      <c r="BE137" s="15"/>
      <c r="BF137" s="15"/>
      <c r="BG137" s="15"/>
      <c r="BH137" s="15"/>
      <c r="BI137" s="15"/>
      <c r="BJ137" s="15"/>
      <c r="BK137" s="15" t="s">
        <v>328</v>
      </c>
      <c r="BL137" s="15"/>
      <c r="BM137" s="15"/>
      <c r="BN137" s="15" t="s">
        <v>328</v>
      </c>
      <c r="BO137" s="15"/>
      <c r="BP137" s="15" t="s">
        <v>328</v>
      </c>
      <c r="BQ137" s="15"/>
      <c r="BR137" s="15" t="s">
        <v>328</v>
      </c>
      <c r="BS137" s="15"/>
      <c r="BT137" s="15"/>
      <c r="BU137" s="15"/>
      <c r="BV137" s="15" t="s">
        <v>328</v>
      </c>
      <c r="BW137" s="15"/>
      <c r="BX137" s="15"/>
      <c r="BY137" s="15"/>
      <c r="BZ137" s="15"/>
      <c r="CA137" s="15"/>
      <c r="CB137" s="15" t="s">
        <v>328</v>
      </c>
      <c r="CC137" s="15" t="s">
        <v>328</v>
      </c>
      <c r="CD137" s="15" t="s">
        <v>328</v>
      </c>
      <c r="CE137" s="15"/>
      <c r="CF137" s="15"/>
      <c r="CG137" s="15"/>
      <c r="CH137" s="15"/>
      <c r="CI137" s="15" t="s">
        <v>328</v>
      </c>
      <c r="CJ137" s="15"/>
      <c r="CK137" s="15" t="s">
        <v>328</v>
      </c>
      <c r="CL137" s="15"/>
      <c r="CM137" s="15"/>
      <c r="CN137" s="15">
        <v>4</v>
      </c>
      <c r="CO137" s="15">
        <v>1</v>
      </c>
      <c r="CP137" s="15">
        <v>3</v>
      </c>
      <c r="CQ137" s="15">
        <v>6</v>
      </c>
      <c r="CR137" s="15">
        <v>5</v>
      </c>
      <c r="CS137" s="15">
        <v>2</v>
      </c>
      <c r="CT137" s="15"/>
      <c r="CU137" s="15" t="s">
        <v>328</v>
      </c>
      <c r="CV137" s="15" t="s">
        <v>328</v>
      </c>
      <c r="CW137" s="15" t="s">
        <v>328</v>
      </c>
      <c r="CX137" s="15"/>
      <c r="CY137" s="15" t="s">
        <v>328</v>
      </c>
      <c r="CZ137" s="15"/>
      <c r="DA137" s="15"/>
      <c r="DB137" s="15"/>
      <c r="DC137" s="15">
        <v>1</v>
      </c>
      <c r="DD137" s="15">
        <v>3</v>
      </c>
      <c r="DE137" s="15">
        <v>4</v>
      </c>
      <c r="DF137" s="15">
        <v>5</v>
      </c>
      <c r="DG137" s="15">
        <v>2</v>
      </c>
      <c r="DH137" s="15">
        <v>6</v>
      </c>
      <c r="DI137" s="15"/>
      <c r="DJ137" s="15"/>
      <c r="DK137" s="15" t="s">
        <v>328</v>
      </c>
      <c r="DL137" s="15" t="s">
        <v>328</v>
      </c>
      <c r="DM137" s="15" t="s">
        <v>618</v>
      </c>
      <c r="DN137" s="15"/>
      <c r="DO137" s="15" t="s">
        <v>917</v>
      </c>
      <c r="DP137" s="14" t="s">
        <v>333</v>
      </c>
      <c r="DQ137" s="15"/>
      <c r="DR137" s="15" t="s">
        <v>328</v>
      </c>
      <c r="DS137" s="15" t="s">
        <v>328</v>
      </c>
      <c r="DT137" s="15" t="s">
        <v>504</v>
      </c>
      <c r="DU137" s="15"/>
      <c r="DV137" s="15"/>
      <c r="DW137" s="15" t="s">
        <v>410</v>
      </c>
      <c r="DX137" s="15" t="s">
        <v>602</v>
      </c>
      <c r="DY137" s="15"/>
      <c r="DZ137" s="15" t="s">
        <v>328</v>
      </c>
      <c r="EA137" s="15" t="s">
        <v>328</v>
      </c>
      <c r="EB137" s="15" t="s">
        <v>405</v>
      </c>
      <c r="EC137" s="15"/>
      <c r="ED137" s="15" t="s">
        <v>1158</v>
      </c>
      <c r="EE137" s="102" t="s">
        <v>1159</v>
      </c>
      <c r="EF137" s="99"/>
      <c r="EG137" s="17">
        <f t="shared" si="2"/>
        <v>0</v>
      </c>
    </row>
    <row r="138" spans="1:137" x14ac:dyDescent="0.25">
      <c r="A138" s="50" t="s">
        <v>1404</v>
      </c>
      <c r="B138" s="208">
        <v>41551</v>
      </c>
      <c r="C138" s="209" t="s">
        <v>2767</v>
      </c>
      <c r="D138" s="61" t="s">
        <v>603</v>
      </c>
      <c r="E138" s="15" t="s">
        <v>328</v>
      </c>
      <c r="F138" s="15"/>
      <c r="G138" s="15">
        <v>65</v>
      </c>
      <c r="H138" s="15" t="s">
        <v>329</v>
      </c>
      <c r="I138" s="15" t="s">
        <v>357</v>
      </c>
      <c r="J138" s="15" t="s">
        <v>728</v>
      </c>
      <c r="K138" s="15" t="s">
        <v>1254</v>
      </c>
      <c r="L138" s="15" t="s">
        <v>1280</v>
      </c>
      <c r="M138" s="15">
        <v>20</v>
      </c>
      <c r="N138" s="15">
        <v>2</v>
      </c>
      <c r="O138" s="15">
        <v>1</v>
      </c>
      <c r="P138" s="15"/>
      <c r="Q138" s="15"/>
      <c r="R138" s="15">
        <v>1</v>
      </c>
      <c r="S138" s="15"/>
      <c r="T138" s="15"/>
      <c r="U138" s="15"/>
      <c r="V138" s="15"/>
      <c r="W138" s="15"/>
      <c r="X138" s="15"/>
      <c r="Y138" s="15"/>
      <c r="Z138" s="15"/>
      <c r="AA138" s="15"/>
      <c r="AB138" s="15" t="s">
        <v>328</v>
      </c>
      <c r="AC138" s="15" t="s">
        <v>328</v>
      </c>
      <c r="AD138" s="15"/>
      <c r="AE138" s="15"/>
      <c r="AF138" s="15"/>
      <c r="AG138" s="15"/>
      <c r="AH138" s="15"/>
      <c r="AI138" s="15"/>
      <c r="AJ138" s="15"/>
      <c r="AK138" s="15"/>
      <c r="AL138" s="15" t="s">
        <v>328</v>
      </c>
      <c r="AM138" s="15"/>
      <c r="AN138" s="15"/>
      <c r="AO138" s="15"/>
      <c r="AP138" s="15"/>
      <c r="AQ138" s="14" t="s">
        <v>328</v>
      </c>
      <c r="AR138" s="15">
        <v>10</v>
      </c>
      <c r="AS138" s="15">
        <v>3</v>
      </c>
      <c r="AT138" s="15"/>
      <c r="AU138" s="15"/>
      <c r="AV138" s="15" t="s">
        <v>328</v>
      </c>
      <c r="AW138" s="15"/>
      <c r="AX138" s="15">
        <v>2</v>
      </c>
      <c r="AY138" s="15">
        <v>4</v>
      </c>
      <c r="AZ138" s="15">
        <v>3</v>
      </c>
      <c r="BA138" s="15" t="s">
        <v>346</v>
      </c>
      <c r="BB138" s="15" t="s">
        <v>328</v>
      </c>
      <c r="BC138" s="15"/>
      <c r="BD138" s="15"/>
      <c r="BE138" s="15"/>
      <c r="BF138" s="15"/>
      <c r="BG138" s="15" t="s">
        <v>328</v>
      </c>
      <c r="BH138" s="15"/>
      <c r="BI138" s="15"/>
      <c r="BJ138" s="15"/>
      <c r="BK138" s="15"/>
      <c r="BL138" s="15"/>
      <c r="BM138" s="15"/>
      <c r="BN138" s="15" t="s">
        <v>328</v>
      </c>
      <c r="BO138" s="15"/>
      <c r="BP138" s="15" t="s">
        <v>328</v>
      </c>
      <c r="BQ138" s="15"/>
      <c r="BR138" s="15"/>
      <c r="BS138" s="15"/>
      <c r="BT138" s="15" t="s">
        <v>328</v>
      </c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 t="s">
        <v>328</v>
      </c>
      <c r="CH138" s="15"/>
      <c r="CI138" s="15" t="s">
        <v>328</v>
      </c>
      <c r="CJ138" s="15"/>
      <c r="CK138" s="15"/>
      <c r="CL138" s="15"/>
      <c r="CM138" s="15"/>
      <c r="CN138" s="15">
        <v>4</v>
      </c>
      <c r="CO138" s="15">
        <v>1</v>
      </c>
      <c r="CP138" s="15">
        <v>2</v>
      </c>
      <c r="CQ138" s="15">
        <v>6</v>
      </c>
      <c r="CR138" s="15">
        <v>5</v>
      </c>
      <c r="CS138" s="15">
        <v>3</v>
      </c>
      <c r="CT138" s="15"/>
      <c r="CU138" s="15"/>
      <c r="CV138" s="15"/>
      <c r="CW138" s="15"/>
      <c r="CX138" s="15"/>
      <c r="CY138" s="15"/>
      <c r="CZ138" s="15" t="s">
        <v>332</v>
      </c>
      <c r="DA138" s="15"/>
      <c r="DB138" s="15"/>
      <c r="DC138" s="15">
        <v>6</v>
      </c>
      <c r="DD138" s="15">
        <v>1</v>
      </c>
      <c r="DE138" s="15">
        <v>2</v>
      </c>
      <c r="DF138" s="15">
        <v>5</v>
      </c>
      <c r="DG138" s="15">
        <v>4</v>
      </c>
      <c r="DH138" s="15">
        <v>3</v>
      </c>
      <c r="DI138" s="15"/>
      <c r="DJ138" s="15"/>
      <c r="DK138" s="15" t="s">
        <v>328</v>
      </c>
      <c r="DL138" s="15" t="s">
        <v>328</v>
      </c>
      <c r="DM138" s="15" t="s">
        <v>618</v>
      </c>
      <c r="DN138" s="15"/>
      <c r="DO138" s="15" t="s">
        <v>604</v>
      </c>
      <c r="DP138" s="14" t="s">
        <v>333</v>
      </c>
      <c r="DQ138" s="15"/>
      <c r="DR138" s="15" t="s">
        <v>328</v>
      </c>
      <c r="DS138" s="15" t="s">
        <v>328</v>
      </c>
      <c r="DT138" s="15" t="s">
        <v>504</v>
      </c>
      <c r="DU138" s="15"/>
      <c r="DV138" s="15"/>
      <c r="DW138" s="15" t="s">
        <v>410</v>
      </c>
      <c r="DX138" s="15" t="s">
        <v>605</v>
      </c>
      <c r="DY138" s="15" t="s">
        <v>328</v>
      </c>
      <c r="DZ138" s="15"/>
      <c r="EA138" s="15"/>
      <c r="EB138" s="15"/>
      <c r="EC138" s="15"/>
      <c r="ED138" s="15"/>
      <c r="EE138" s="102" t="s">
        <v>333</v>
      </c>
      <c r="EF138" s="99"/>
      <c r="EG138" s="17">
        <f t="shared" si="2"/>
        <v>0</v>
      </c>
    </row>
    <row r="139" spans="1:137" x14ac:dyDescent="0.25">
      <c r="A139" s="50" t="s">
        <v>1404</v>
      </c>
      <c r="B139" s="208">
        <v>41551</v>
      </c>
      <c r="C139" s="209" t="s">
        <v>2767</v>
      </c>
      <c r="D139" s="61" t="s">
        <v>606</v>
      </c>
      <c r="E139" s="15" t="s">
        <v>328</v>
      </c>
      <c r="F139" s="15"/>
      <c r="G139" s="15">
        <v>51</v>
      </c>
      <c r="H139" s="15" t="s">
        <v>329</v>
      </c>
      <c r="I139" s="15" t="s">
        <v>399</v>
      </c>
      <c r="J139" s="15" t="s">
        <v>779</v>
      </c>
      <c r="K139" s="18" t="s">
        <v>1255</v>
      </c>
      <c r="L139" s="15" t="s">
        <v>1280</v>
      </c>
      <c r="M139" s="15">
        <v>20</v>
      </c>
      <c r="N139" s="15">
        <v>3</v>
      </c>
      <c r="O139" s="15"/>
      <c r="P139" s="15"/>
      <c r="Q139" s="15"/>
      <c r="R139" s="15"/>
      <c r="S139" s="15"/>
      <c r="T139" s="15"/>
      <c r="U139" s="15"/>
      <c r="V139" s="15">
        <v>3</v>
      </c>
      <c r="W139" s="15"/>
      <c r="X139" s="15"/>
      <c r="Y139" s="15"/>
      <c r="Z139" s="15"/>
      <c r="AA139" s="15"/>
      <c r="AB139" s="15"/>
      <c r="AC139" s="15"/>
      <c r="AD139" s="15"/>
      <c r="AE139" s="15" t="s">
        <v>328</v>
      </c>
      <c r="AF139" s="15"/>
      <c r="AG139" s="15"/>
      <c r="AH139" s="15" t="s">
        <v>328</v>
      </c>
      <c r="AI139" s="15"/>
      <c r="AJ139" s="15"/>
      <c r="AK139" s="15"/>
      <c r="AL139" s="15" t="s">
        <v>328</v>
      </c>
      <c r="AM139" s="15"/>
      <c r="AN139" s="15"/>
      <c r="AO139" s="15"/>
      <c r="AP139" s="15"/>
      <c r="AQ139" s="14" t="s">
        <v>328</v>
      </c>
      <c r="AR139" s="15">
        <v>10</v>
      </c>
      <c r="AS139" s="15">
        <v>5</v>
      </c>
      <c r="AT139" s="15"/>
      <c r="AU139" s="15" t="s">
        <v>328</v>
      </c>
      <c r="AV139" s="15" t="s">
        <v>328</v>
      </c>
      <c r="AW139" s="15"/>
      <c r="AX139" s="15">
        <v>2</v>
      </c>
      <c r="AY139" s="15">
        <v>4</v>
      </c>
      <c r="AZ139" s="15">
        <v>3</v>
      </c>
      <c r="BA139" s="15" t="s">
        <v>346</v>
      </c>
      <c r="BB139" s="15"/>
      <c r="BC139" s="15" t="s">
        <v>328</v>
      </c>
      <c r="BD139" s="15" t="s">
        <v>328</v>
      </c>
      <c r="BE139" s="15"/>
      <c r="BF139" s="15"/>
      <c r="BG139" s="15" t="s">
        <v>328</v>
      </c>
      <c r="BH139" s="15"/>
      <c r="BI139" s="15"/>
      <c r="BJ139" s="15"/>
      <c r="BK139" s="15"/>
      <c r="BL139" s="15"/>
      <c r="BM139" s="15"/>
      <c r="BN139" s="15" t="s">
        <v>328</v>
      </c>
      <c r="BO139" s="15"/>
      <c r="BP139" s="15" t="s">
        <v>328</v>
      </c>
      <c r="BQ139" s="15"/>
      <c r="BR139" s="15" t="s">
        <v>328</v>
      </c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 t="s">
        <v>332</v>
      </c>
      <c r="CI139" s="15" t="s">
        <v>328</v>
      </c>
      <c r="CJ139" s="15"/>
      <c r="CK139" s="15"/>
      <c r="CL139" s="15"/>
      <c r="CM139" s="15"/>
      <c r="CN139" s="15">
        <v>5</v>
      </c>
      <c r="CO139" s="15">
        <v>2</v>
      </c>
      <c r="CP139" s="15">
        <v>4</v>
      </c>
      <c r="CQ139" s="15">
        <v>1</v>
      </c>
      <c r="CR139" s="15">
        <v>6</v>
      </c>
      <c r="CS139" s="15">
        <v>3</v>
      </c>
      <c r="CT139" s="15" t="s">
        <v>328</v>
      </c>
      <c r="CU139" s="15"/>
      <c r="CV139" s="15"/>
      <c r="CW139" s="15"/>
      <c r="CX139" s="15" t="s">
        <v>328</v>
      </c>
      <c r="CY139" s="15"/>
      <c r="CZ139" s="15"/>
      <c r="DA139" s="15" t="s">
        <v>328</v>
      </c>
      <c r="DB139" s="15" t="s">
        <v>404</v>
      </c>
      <c r="DC139" s="15"/>
      <c r="DD139" s="15"/>
      <c r="DE139" s="15"/>
      <c r="DF139" s="15"/>
      <c r="DG139" s="15"/>
      <c r="DH139" s="15"/>
      <c r="DI139" s="15"/>
      <c r="DJ139" s="15"/>
      <c r="DK139" s="15" t="s">
        <v>328</v>
      </c>
      <c r="DL139" s="15" t="s">
        <v>328</v>
      </c>
      <c r="DM139" s="15" t="s">
        <v>405</v>
      </c>
      <c r="DN139" s="15"/>
      <c r="DO139" s="15" t="s">
        <v>492</v>
      </c>
      <c r="DP139" s="14" t="s">
        <v>624</v>
      </c>
      <c r="DQ139" s="15"/>
      <c r="DR139" s="15" t="s">
        <v>328</v>
      </c>
      <c r="DS139" s="15" t="s">
        <v>328</v>
      </c>
      <c r="DT139" s="15" t="s">
        <v>607</v>
      </c>
      <c r="DU139" s="15"/>
      <c r="DV139" s="15"/>
      <c r="DW139" s="15" t="s">
        <v>607</v>
      </c>
      <c r="DX139" s="15" t="s">
        <v>608</v>
      </c>
      <c r="DY139" s="15" t="s">
        <v>328</v>
      </c>
      <c r="DZ139" s="15"/>
      <c r="EA139" s="15"/>
      <c r="EB139" s="15"/>
      <c r="EC139" s="15"/>
      <c r="ED139" s="15"/>
      <c r="EE139" s="102" t="s">
        <v>1160</v>
      </c>
      <c r="EF139" s="99"/>
      <c r="EG139" s="17">
        <f t="shared" si="2"/>
        <v>0</v>
      </c>
    </row>
    <row r="140" spans="1:137" x14ac:dyDescent="0.25">
      <c r="A140" s="50" t="s">
        <v>1404</v>
      </c>
      <c r="B140" s="208">
        <v>41551</v>
      </c>
      <c r="C140" s="209" t="s">
        <v>2767</v>
      </c>
      <c r="D140" s="61" t="s">
        <v>609</v>
      </c>
      <c r="E140" s="15" t="s">
        <v>328</v>
      </c>
      <c r="F140" s="15"/>
      <c r="G140" s="15">
        <v>55</v>
      </c>
      <c r="H140" s="15" t="s">
        <v>329</v>
      </c>
      <c r="I140" s="15" t="s">
        <v>399</v>
      </c>
      <c r="J140" s="15" t="s">
        <v>728</v>
      </c>
      <c r="K140" s="15" t="s">
        <v>1254</v>
      </c>
      <c r="L140" s="15" t="s">
        <v>1280</v>
      </c>
      <c r="M140" s="15">
        <v>25</v>
      </c>
      <c r="N140" s="15">
        <v>4</v>
      </c>
      <c r="O140" s="15"/>
      <c r="P140" s="15"/>
      <c r="Q140" s="15"/>
      <c r="R140" s="15"/>
      <c r="S140" s="15"/>
      <c r="T140" s="15"/>
      <c r="U140" s="15"/>
      <c r="V140" s="15"/>
      <c r="W140" s="15"/>
      <c r="X140" s="15">
        <v>4</v>
      </c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 t="s">
        <v>692</v>
      </c>
      <c r="AL140" s="15"/>
      <c r="AM140" s="15" t="s">
        <v>328</v>
      </c>
      <c r="AN140" s="15"/>
      <c r="AO140" s="15"/>
      <c r="AP140" s="15"/>
      <c r="AQ140" s="15" t="s">
        <v>328</v>
      </c>
      <c r="AR140" s="15">
        <v>10</v>
      </c>
      <c r="AS140" s="15">
        <v>3</v>
      </c>
      <c r="AT140" s="15"/>
      <c r="AU140" s="15" t="s">
        <v>328</v>
      </c>
      <c r="AV140" s="15" t="s">
        <v>328</v>
      </c>
      <c r="AW140" s="15"/>
      <c r="AX140" s="15">
        <v>1</v>
      </c>
      <c r="AY140" s="15">
        <v>3</v>
      </c>
      <c r="AZ140" s="15">
        <v>2</v>
      </c>
      <c r="BA140" s="15"/>
      <c r="BB140" s="15"/>
      <c r="BC140" s="15" t="s">
        <v>328</v>
      </c>
      <c r="BD140" s="15" t="s">
        <v>328</v>
      </c>
      <c r="BE140" s="15"/>
      <c r="BF140" s="15"/>
      <c r="BG140" s="15"/>
      <c r="BH140" s="15"/>
      <c r="BI140" s="15"/>
      <c r="BJ140" s="15"/>
      <c r="BK140" s="15" t="s">
        <v>328</v>
      </c>
      <c r="BL140" s="15"/>
      <c r="BM140" s="15"/>
      <c r="BN140" s="15" t="s">
        <v>328</v>
      </c>
      <c r="BO140" s="15"/>
      <c r="BP140" s="15" t="s">
        <v>328</v>
      </c>
      <c r="BQ140" s="15"/>
      <c r="BR140" s="15"/>
      <c r="BS140" s="15"/>
      <c r="BT140" s="15"/>
      <c r="BU140" s="15"/>
      <c r="BV140" s="15" t="s">
        <v>328</v>
      </c>
      <c r="BW140" s="15"/>
      <c r="BX140" s="15"/>
      <c r="BY140" s="15"/>
      <c r="BZ140" s="15"/>
      <c r="CA140" s="15"/>
      <c r="CB140" s="15"/>
      <c r="CC140" s="15" t="s">
        <v>328</v>
      </c>
      <c r="CD140" s="15"/>
      <c r="CE140" s="15"/>
      <c r="CF140" s="15"/>
      <c r="CG140" s="15"/>
      <c r="CH140" s="15"/>
      <c r="CI140" s="15" t="s">
        <v>328</v>
      </c>
      <c r="CJ140" s="15"/>
      <c r="CK140" s="15"/>
      <c r="CL140" s="15"/>
      <c r="CM140" s="15"/>
      <c r="CN140" s="15">
        <v>2</v>
      </c>
      <c r="CO140" s="15">
        <v>1</v>
      </c>
      <c r="CP140" s="15">
        <v>4</v>
      </c>
      <c r="CQ140" s="15">
        <v>5</v>
      </c>
      <c r="CR140" s="15">
        <v>6</v>
      </c>
      <c r="CS140" s="15">
        <v>3</v>
      </c>
      <c r="CT140" s="15" t="s">
        <v>328</v>
      </c>
      <c r="CU140" s="15" t="s">
        <v>328</v>
      </c>
      <c r="CV140" s="15"/>
      <c r="CW140" s="15"/>
      <c r="CX140" s="15" t="s">
        <v>328</v>
      </c>
      <c r="CY140" s="15"/>
      <c r="CZ140" s="15"/>
      <c r="DA140" s="15"/>
      <c r="DB140" s="15"/>
      <c r="DC140" s="15">
        <v>4</v>
      </c>
      <c r="DD140" s="15">
        <v>1</v>
      </c>
      <c r="DE140" s="15">
        <v>6</v>
      </c>
      <c r="DF140" s="15">
        <v>5</v>
      </c>
      <c r="DG140" s="15">
        <v>2</v>
      </c>
      <c r="DH140" s="15">
        <v>3</v>
      </c>
      <c r="DI140" s="15"/>
      <c r="DJ140" s="15"/>
      <c r="DK140" s="15" t="s">
        <v>328</v>
      </c>
      <c r="DL140" s="15" t="s">
        <v>328</v>
      </c>
      <c r="DM140" s="15" t="s">
        <v>405</v>
      </c>
      <c r="DN140" s="15"/>
      <c r="DO140" s="15" t="s">
        <v>492</v>
      </c>
      <c r="DP140" s="14" t="s">
        <v>333</v>
      </c>
      <c r="DQ140" s="15"/>
      <c r="DR140" s="15" t="s">
        <v>328</v>
      </c>
      <c r="DS140" s="15" t="s">
        <v>328</v>
      </c>
      <c r="DT140" s="15" t="s">
        <v>397</v>
      </c>
      <c r="DU140" s="15"/>
      <c r="DV140" s="15"/>
      <c r="DW140" s="15" t="s">
        <v>610</v>
      </c>
      <c r="DX140" s="14" t="s">
        <v>411</v>
      </c>
      <c r="DY140" s="15" t="s">
        <v>328</v>
      </c>
      <c r="DZ140" s="15"/>
      <c r="EA140" s="15"/>
      <c r="EB140" s="15"/>
      <c r="EC140" s="15"/>
      <c r="ED140" s="15"/>
      <c r="EE140" s="102" t="s">
        <v>497</v>
      </c>
      <c r="EF140" s="99"/>
      <c r="EG140" s="17">
        <f t="shared" si="2"/>
        <v>0</v>
      </c>
    </row>
    <row r="141" spans="1:137" x14ac:dyDescent="0.25">
      <c r="A141" s="50" t="s">
        <v>1404</v>
      </c>
      <c r="B141" s="208">
        <v>41551</v>
      </c>
      <c r="C141" s="209" t="s">
        <v>2767</v>
      </c>
      <c r="D141" s="61" t="s">
        <v>614</v>
      </c>
      <c r="E141" s="15" t="s">
        <v>328</v>
      </c>
      <c r="F141" s="15"/>
      <c r="G141" s="15">
        <v>44</v>
      </c>
      <c r="H141" s="15" t="s">
        <v>329</v>
      </c>
      <c r="I141" s="15" t="s">
        <v>355</v>
      </c>
      <c r="J141" s="15" t="s">
        <v>730</v>
      </c>
      <c r="K141" s="15" t="s">
        <v>1225</v>
      </c>
      <c r="L141" s="15" t="s">
        <v>1280</v>
      </c>
      <c r="M141" s="15">
        <v>15</v>
      </c>
      <c r="N141" s="15">
        <v>4</v>
      </c>
      <c r="O141" s="15">
        <v>2</v>
      </c>
      <c r="P141" s="15"/>
      <c r="Q141" s="15">
        <v>20</v>
      </c>
      <c r="R141" s="15">
        <v>2</v>
      </c>
      <c r="S141" s="15"/>
      <c r="T141" s="15"/>
      <c r="U141" s="15"/>
      <c r="V141" s="15"/>
      <c r="W141" s="15"/>
      <c r="X141" s="15"/>
      <c r="Y141" s="15"/>
      <c r="Z141" s="15"/>
      <c r="AA141" s="15"/>
      <c r="AB141" s="15" t="s">
        <v>328</v>
      </c>
      <c r="AC141" s="15"/>
      <c r="AD141" s="15"/>
      <c r="AE141" s="15"/>
      <c r="AF141" s="15" t="s">
        <v>328</v>
      </c>
      <c r="AG141" s="15"/>
      <c r="AH141" s="15"/>
      <c r="AI141" s="15" t="s">
        <v>328</v>
      </c>
      <c r="AJ141" s="15"/>
      <c r="AK141" s="15"/>
      <c r="AL141" s="15"/>
      <c r="AM141" s="14" t="s">
        <v>328</v>
      </c>
      <c r="AN141" s="15"/>
      <c r="AO141" s="15"/>
      <c r="AP141" s="15"/>
      <c r="AQ141" s="15" t="s">
        <v>328</v>
      </c>
      <c r="AR141" s="15">
        <v>8</v>
      </c>
      <c r="AS141" s="15">
        <v>7</v>
      </c>
      <c r="AT141" s="15"/>
      <c r="AU141" s="15" t="s">
        <v>328</v>
      </c>
      <c r="AV141" s="15" t="s">
        <v>328</v>
      </c>
      <c r="AW141" s="15"/>
      <c r="AX141" s="15">
        <v>1</v>
      </c>
      <c r="AY141" s="15">
        <v>3</v>
      </c>
      <c r="AZ141" s="15">
        <v>2</v>
      </c>
      <c r="BA141" s="15"/>
      <c r="BB141" s="15"/>
      <c r="BC141" s="15" t="s">
        <v>328</v>
      </c>
      <c r="BD141" s="15" t="s">
        <v>328</v>
      </c>
      <c r="BE141" s="15"/>
      <c r="BF141" s="15"/>
      <c r="BG141" s="15" t="s">
        <v>328</v>
      </c>
      <c r="BH141" s="15"/>
      <c r="BI141" s="15"/>
      <c r="BJ141" s="15"/>
      <c r="BK141" s="15"/>
      <c r="BL141" s="15"/>
      <c r="BM141" s="15"/>
      <c r="BN141" s="15" t="s">
        <v>328</v>
      </c>
      <c r="BO141" s="15"/>
      <c r="BP141" s="15" t="s">
        <v>328</v>
      </c>
      <c r="BQ141" s="15"/>
      <c r="BR141" s="15" t="s">
        <v>328</v>
      </c>
      <c r="BS141" s="15"/>
      <c r="BT141" s="15"/>
      <c r="BU141" s="15"/>
      <c r="BV141" s="15" t="s">
        <v>328</v>
      </c>
      <c r="BW141" s="15"/>
      <c r="BX141" s="15"/>
      <c r="BY141" s="15"/>
      <c r="BZ141" s="15"/>
      <c r="CA141" s="15"/>
      <c r="CB141" s="15" t="s">
        <v>328</v>
      </c>
      <c r="CC141" s="15" t="s">
        <v>328</v>
      </c>
      <c r="CD141" s="15"/>
      <c r="CE141" s="15"/>
      <c r="CF141" s="15"/>
      <c r="CG141" s="15"/>
      <c r="CH141" s="15"/>
      <c r="CI141" s="15" t="s">
        <v>328</v>
      </c>
      <c r="CJ141" s="15"/>
      <c r="CK141" s="15"/>
      <c r="CL141" s="15"/>
      <c r="CM141" s="15" t="s">
        <v>328</v>
      </c>
      <c r="CN141" s="15">
        <v>6</v>
      </c>
      <c r="CO141" s="15">
        <v>1</v>
      </c>
      <c r="CP141" s="15">
        <v>3</v>
      </c>
      <c r="CQ141" s="15">
        <v>4</v>
      </c>
      <c r="CR141" s="15">
        <v>5</v>
      </c>
      <c r="CS141" s="15">
        <v>2</v>
      </c>
      <c r="CT141" s="15" t="s">
        <v>328</v>
      </c>
      <c r="CU141" s="15" t="s">
        <v>328</v>
      </c>
      <c r="CV141" s="15"/>
      <c r="CW141" s="15" t="s">
        <v>328</v>
      </c>
      <c r="CX141" s="15"/>
      <c r="CY141" s="15" t="s">
        <v>328</v>
      </c>
      <c r="CZ141" s="15"/>
      <c r="DA141" s="15"/>
      <c r="DB141" s="15"/>
      <c r="DC141" s="15">
        <v>2</v>
      </c>
      <c r="DD141" s="15">
        <v>3</v>
      </c>
      <c r="DE141" s="15">
        <v>4</v>
      </c>
      <c r="DF141" s="15">
        <v>5</v>
      </c>
      <c r="DG141" s="15">
        <v>1</v>
      </c>
      <c r="DH141" s="15">
        <v>6</v>
      </c>
      <c r="DI141" s="15"/>
      <c r="DJ141" s="15"/>
      <c r="DK141" s="15" t="s">
        <v>328</v>
      </c>
      <c r="DL141" s="15" t="s">
        <v>328</v>
      </c>
      <c r="DM141" s="15" t="s">
        <v>405</v>
      </c>
      <c r="DN141" s="15"/>
      <c r="DO141" s="14" t="s">
        <v>432</v>
      </c>
      <c r="DP141" s="14" t="s">
        <v>333</v>
      </c>
      <c r="DQ141" s="15"/>
      <c r="DR141" s="15" t="s">
        <v>328</v>
      </c>
      <c r="DS141" s="15" t="s">
        <v>328</v>
      </c>
      <c r="DT141" s="15" t="s">
        <v>437</v>
      </c>
      <c r="DU141" s="15"/>
      <c r="DV141" s="15"/>
      <c r="DW141" s="15" t="s">
        <v>410</v>
      </c>
      <c r="DX141" s="15" t="s">
        <v>438</v>
      </c>
      <c r="DY141" s="15"/>
      <c r="DZ141" s="15" t="s">
        <v>328</v>
      </c>
      <c r="EA141" s="15" t="s">
        <v>328</v>
      </c>
      <c r="EB141" s="15" t="s">
        <v>397</v>
      </c>
      <c r="EC141" s="15"/>
      <c r="ED141" s="15" t="s">
        <v>432</v>
      </c>
      <c r="EE141" s="102" t="s">
        <v>497</v>
      </c>
      <c r="EF141" s="99"/>
      <c r="EG141" s="17">
        <f t="shared" si="2"/>
        <v>0</v>
      </c>
    </row>
    <row r="142" spans="1:137" x14ac:dyDescent="0.25">
      <c r="A142" s="50" t="s">
        <v>1404</v>
      </c>
      <c r="B142" s="208">
        <v>41551</v>
      </c>
      <c r="C142" s="209" t="s">
        <v>2767</v>
      </c>
      <c r="D142" s="61" t="s">
        <v>615</v>
      </c>
      <c r="E142" s="15" t="s">
        <v>328</v>
      </c>
      <c r="F142" s="15"/>
      <c r="G142" s="15">
        <v>35</v>
      </c>
      <c r="H142" s="15" t="s">
        <v>329</v>
      </c>
      <c r="I142" s="15" t="s">
        <v>399</v>
      </c>
      <c r="J142" s="15" t="s">
        <v>380</v>
      </c>
      <c r="K142" s="15" t="s">
        <v>1188</v>
      </c>
      <c r="L142" s="15" t="s">
        <v>1188</v>
      </c>
      <c r="M142" s="15">
        <v>2</v>
      </c>
      <c r="N142" s="15">
        <v>1</v>
      </c>
      <c r="O142" s="15"/>
      <c r="P142" s="15"/>
      <c r="Q142" s="15"/>
      <c r="R142" s="15">
        <v>1</v>
      </c>
      <c r="S142" s="15"/>
      <c r="T142" s="15"/>
      <c r="U142" s="15"/>
      <c r="V142" s="15"/>
      <c r="W142" s="15"/>
      <c r="X142" s="15"/>
      <c r="Y142" s="15"/>
      <c r="Z142" s="15"/>
      <c r="AA142" s="15"/>
      <c r="AB142" s="15" t="s">
        <v>328</v>
      </c>
      <c r="AC142" s="15"/>
      <c r="AD142" s="15"/>
      <c r="AE142" s="15"/>
      <c r="AF142" s="15"/>
      <c r="AG142" s="15"/>
      <c r="AH142" s="15"/>
      <c r="AI142" s="15" t="s">
        <v>328</v>
      </c>
      <c r="AJ142" s="15"/>
      <c r="AK142" s="15"/>
      <c r="AL142" s="15" t="s">
        <v>328</v>
      </c>
      <c r="AM142" s="15"/>
      <c r="AN142" s="15"/>
      <c r="AO142" s="15"/>
      <c r="AP142" s="14" t="s">
        <v>328</v>
      </c>
      <c r="AQ142" s="15"/>
      <c r="AR142" s="15">
        <v>10</v>
      </c>
      <c r="AS142" s="15">
        <v>3</v>
      </c>
      <c r="AT142" s="15"/>
      <c r="AU142" s="15" t="s">
        <v>328</v>
      </c>
      <c r="AV142" s="15"/>
      <c r="AW142" s="15"/>
      <c r="AX142" s="15">
        <v>4</v>
      </c>
      <c r="AY142" s="15">
        <v>3</v>
      </c>
      <c r="AZ142" s="15">
        <v>2</v>
      </c>
      <c r="BA142" s="15" t="s">
        <v>346</v>
      </c>
      <c r="BB142" s="15"/>
      <c r="BC142" s="15" t="s">
        <v>328</v>
      </c>
      <c r="BD142" s="15"/>
      <c r="BE142" s="15"/>
      <c r="BF142" s="15"/>
      <c r="BG142" s="15" t="s">
        <v>328</v>
      </c>
      <c r="BH142" s="15"/>
      <c r="BI142" s="15"/>
      <c r="BJ142" s="15"/>
      <c r="BK142" s="15"/>
      <c r="BL142" s="15"/>
      <c r="BM142" s="15"/>
      <c r="BN142" s="15" t="s">
        <v>328</v>
      </c>
      <c r="BO142" s="15"/>
      <c r="BP142" s="15" t="s">
        <v>328</v>
      </c>
      <c r="BQ142" s="15"/>
      <c r="BR142" s="15" t="s">
        <v>328</v>
      </c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 t="s">
        <v>332</v>
      </c>
      <c r="CI142" s="15" t="s">
        <v>328</v>
      </c>
      <c r="CJ142" s="15"/>
      <c r="CK142" s="15"/>
      <c r="CL142" s="15"/>
      <c r="CM142" s="15"/>
      <c r="CN142" s="15">
        <v>3</v>
      </c>
      <c r="CO142" s="15">
        <v>1</v>
      </c>
      <c r="CP142" s="15">
        <v>4</v>
      </c>
      <c r="CQ142" s="15">
        <v>5</v>
      </c>
      <c r="CR142" s="15">
        <v>6</v>
      </c>
      <c r="CS142" s="15">
        <v>2</v>
      </c>
      <c r="CT142" s="15"/>
      <c r="CU142" s="15" t="s">
        <v>328</v>
      </c>
      <c r="CV142" s="15" t="s">
        <v>328</v>
      </c>
      <c r="CW142" s="15" t="s">
        <v>328</v>
      </c>
      <c r="CX142" s="15"/>
      <c r="CY142" s="15" t="s">
        <v>328</v>
      </c>
      <c r="CZ142" s="15"/>
      <c r="DA142" s="15"/>
      <c r="DB142" s="15"/>
      <c r="DC142" s="15">
        <v>2</v>
      </c>
      <c r="DD142" s="15">
        <v>3</v>
      </c>
      <c r="DE142" s="15">
        <v>6</v>
      </c>
      <c r="DF142" s="15">
        <v>5</v>
      </c>
      <c r="DG142" s="15">
        <v>1</v>
      </c>
      <c r="DH142" s="15">
        <v>4</v>
      </c>
      <c r="DI142" s="15"/>
      <c r="DJ142" s="15"/>
      <c r="DK142" s="15" t="s">
        <v>328</v>
      </c>
      <c r="DL142" s="15" t="s">
        <v>328</v>
      </c>
      <c r="DM142" s="15" t="s">
        <v>618</v>
      </c>
      <c r="DN142" s="15"/>
      <c r="DO142" s="15" t="s">
        <v>916</v>
      </c>
      <c r="DP142" s="14" t="s">
        <v>333</v>
      </c>
      <c r="DQ142" s="15"/>
      <c r="DR142" s="15" t="s">
        <v>328</v>
      </c>
      <c r="DS142" s="15" t="s">
        <v>328</v>
      </c>
      <c r="DT142" s="15" t="s">
        <v>420</v>
      </c>
      <c r="DU142" s="15"/>
      <c r="DV142" s="15"/>
      <c r="DW142" s="15" t="s">
        <v>491</v>
      </c>
      <c r="DX142" s="15" t="s">
        <v>616</v>
      </c>
      <c r="DY142" s="15"/>
      <c r="DZ142" s="15" t="s">
        <v>328</v>
      </c>
      <c r="EA142" s="15" t="s">
        <v>328</v>
      </c>
      <c r="EB142" s="15" t="s">
        <v>420</v>
      </c>
      <c r="EC142" s="15"/>
      <c r="ED142" s="15" t="s">
        <v>432</v>
      </c>
      <c r="EE142" s="102" t="s">
        <v>497</v>
      </c>
      <c r="EF142" s="99"/>
      <c r="EG142" s="17">
        <f t="shared" si="2"/>
        <v>0</v>
      </c>
    </row>
    <row r="143" spans="1:137" x14ac:dyDescent="0.25">
      <c r="A143" s="50" t="s">
        <v>1404</v>
      </c>
      <c r="B143" s="208">
        <v>41551</v>
      </c>
      <c r="C143" s="209" t="s">
        <v>2767</v>
      </c>
      <c r="D143" s="61" t="s">
        <v>617</v>
      </c>
      <c r="E143" s="15" t="s">
        <v>328</v>
      </c>
      <c r="F143" s="15"/>
      <c r="G143" s="15">
        <v>40</v>
      </c>
      <c r="H143" s="15" t="s">
        <v>329</v>
      </c>
      <c r="I143" s="15" t="s">
        <v>399</v>
      </c>
      <c r="J143" s="15" t="s">
        <v>760</v>
      </c>
      <c r="K143" s="15" t="s">
        <v>1256</v>
      </c>
      <c r="L143" s="15" t="s">
        <v>1256</v>
      </c>
      <c r="M143" s="15">
        <v>5</v>
      </c>
      <c r="N143" s="15">
        <v>2</v>
      </c>
      <c r="O143" s="15">
        <v>2</v>
      </c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 t="s">
        <v>418</v>
      </c>
      <c r="AL143" s="15"/>
      <c r="AM143" s="14" t="s">
        <v>328</v>
      </c>
      <c r="AN143" s="15"/>
      <c r="AO143" s="15"/>
      <c r="AP143" s="15" t="s">
        <v>328</v>
      </c>
      <c r="AQ143" s="15"/>
      <c r="AR143" s="15">
        <v>5</v>
      </c>
      <c r="AS143" s="15">
        <v>6</v>
      </c>
      <c r="AT143" s="15"/>
      <c r="AU143" s="15" t="s">
        <v>328</v>
      </c>
      <c r="AV143" s="15"/>
      <c r="AW143" s="15"/>
      <c r="AX143" s="15">
        <v>1</v>
      </c>
      <c r="AY143" s="15">
        <v>3</v>
      </c>
      <c r="AZ143" s="15">
        <v>2</v>
      </c>
      <c r="BA143" s="15"/>
      <c r="BB143" s="15" t="s">
        <v>328</v>
      </c>
      <c r="BC143" s="15"/>
      <c r="BD143" s="15" t="s">
        <v>328</v>
      </c>
      <c r="BE143" s="15"/>
      <c r="BF143" s="15"/>
      <c r="BG143" s="15" t="s">
        <v>328</v>
      </c>
      <c r="BH143" s="15"/>
      <c r="BI143" s="15"/>
      <c r="BJ143" s="15"/>
      <c r="BK143" s="15"/>
      <c r="BL143" s="15"/>
      <c r="BM143" s="15"/>
      <c r="BN143" s="15" t="s">
        <v>328</v>
      </c>
      <c r="BO143" s="15"/>
      <c r="BP143" s="15" t="s">
        <v>328</v>
      </c>
      <c r="BQ143" s="15"/>
      <c r="BR143" s="15"/>
      <c r="BS143" s="15"/>
      <c r="BT143" s="15"/>
      <c r="BU143" s="15"/>
      <c r="BV143" s="15" t="s">
        <v>328</v>
      </c>
      <c r="BW143" s="15"/>
      <c r="BX143" s="15"/>
      <c r="BY143" s="15"/>
      <c r="BZ143" s="15"/>
      <c r="CA143" s="15"/>
      <c r="CB143" s="15"/>
      <c r="CC143" s="15" t="s">
        <v>328</v>
      </c>
      <c r="CD143" s="15"/>
      <c r="CE143" s="15"/>
      <c r="CF143" s="15"/>
      <c r="CG143" s="15"/>
      <c r="CH143" s="15"/>
      <c r="CI143" s="15" t="s">
        <v>328</v>
      </c>
      <c r="CJ143" s="15"/>
      <c r="CK143" s="15" t="s">
        <v>328</v>
      </c>
      <c r="CL143" s="15"/>
      <c r="CM143" s="15"/>
      <c r="CN143" s="15">
        <v>2</v>
      </c>
      <c r="CO143" s="15">
        <v>1</v>
      </c>
      <c r="CP143" s="15">
        <v>4</v>
      </c>
      <c r="CQ143" s="15">
        <v>6</v>
      </c>
      <c r="CR143" s="15">
        <v>5</v>
      </c>
      <c r="CS143" s="15">
        <v>3</v>
      </c>
      <c r="CT143" s="15" t="s">
        <v>328</v>
      </c>
      <c r="CU143" s="15"/>
      <c r="CV143" s="15"/>
      <c r="CW143" s="15"/>
      <c r="CX143" s="15" t="s">
        <v>328</v>
      </c>
      <c r="CY143" s="15"/>
      <c r="CZ143" s="15"/>
      <c r="DA143" s="15" t="s">
        <v>328</v>
      </c>
      <c r="DB143" s="15" t="s">
        <v>404</v>
      </c>
      <c r="DC143" s="15"/>
      <c r="DD143" s="15"/>
      <c r="DE143" s="15"/>
      <c r="DF143" s="15"/>
      <c r="DG143" s="15"/>
      <c r="DH143" s="15"/>
      <c r="DI143" s="15"/>
      <c r="DJ143" s="15"/>
      <c r="DK143" s="15" t="s">
        <v>328</v>
      </c>
      <c r="DL143" s="15" t="s">
        <v>328</v>
      </c>
      <c r="DM143" s="15" t="s">
        <v>618</v>
      </c>
      <c r="DN143" s="15"/>
      <c r="DO143" s="15" t="s">
        <v>494</v>
      </c>
      <c r="DP143" s="14" t="s">
        <v>624</v>
      </c>
      <c r="DQ143" s="15"/>
      <c r="DR143" s="15" t="s">
        <v>328</v>
      </c>
      <c r="DS143" s="15" t="s">
        <v>328</v>
      </c>
      <c r="DT143" s="15" t="s">
        <v>504</v>
      </c>
      <c r="DU143" s="15"/>
      <c r="DV143" s="15"/>
      <c r="DW143" s="15" t="s">
        <v>491</v>
      </c>
      <c r="DX143" s="15" t="s">
        <v>619</v>
      </c>
      <c r="DY143" s="15"/>
      <c r="DZ143" s="15" t="s">
        <v>328</v>
      </c>
      <c r="EA143" s="15" t="s">
        <v>328</v>
      </c>
      <c r="EB143" s="15" t="s">
        <v>620</v>
      </c>
      <c r="EC143" s="15"/>
      <c r="ED143" s="15" t="s">
        <v>621</v>
      </c>
      <c r="EE143" s="102" t="s">
        <v>686</v>
      </c>
      <c r="EF143" s="99"/>
      <c r="EG143" s="17">
        <f t="shared" si="2"/>
        <v>0</v>
      </c>
    </row>
    <row r="144" spans="1:137" x14ac:dyDescent="0.25">
      <c r="A144" s="50" t="s">
        <v>1404</v>
      </c>
      <c r="B144" s="208">
        <v>41551</v>
      </c>
      <c r="C144" s="209" t="s">
        <v>2767</v>
      </c>
      <c r="D144" s="61" t="s">
        <v>622</v>
      </c>
      <c r="E144" s="15" t="s">
        <v>328</v>
      </c>
      <c r="F144" s="15"/>
      <c r="G144" s="15">
        <v>53</v>
      </c>
      <c r="H144" s="15" t="s">
        <v>329</v>
      </c>
      <c r="I144" s="15" t="s">
        <v>357</v>
      </c>
      <c r="J144" s="15" t="s">
        <v>737</v>
      </c>
      <c r="K144" s="15" t="s">
        <v>1211</v>
      </c>
      <c r="L144" s="15" t="s">
        <v>1280</v>
      </c>
      <c r="M144" s="15">
        <v>23</v>
      </c>
      <c r="N144" s="15">
        <v>5</v>
      </c>
      <c r="O144" s="15">
        <v>2</v>
      </c>
      <c r="P144" s="15"/>
      <c r="Q144" s="15">
        <v>6</v>
      </c>
      <c r="R144" s="15">
        <v>2</v>
      </c>
      <c r="S144" s="15">
        <v>1</v>
      </c>
      <c r="T144" s="15"/>
      <c r="U144" s="15"/>
      <c r="V144" s="15"/>
      <c r="W144" s="15"/>
      <c r="X144" s="15"/>
      <c r="Y144" s="15"/>
      <c r="Z144" s="15"/>
      <c r="AA144" s="15"/>
      <c r="AB144" s="15" t="s">
        <v>328</v>
      </c>
      <c r="AC144" s="15"/>
      <c r="AD144" s="15" t="s">
        <v>328</v>
      </c>
      <c r="AE144" s="15"/>
      <c r="AF144" s="15"/>
      <c r="AG144" s="15" t="s">
        <v>328</v>
      </c>
      <c r="AH144" s="15"/>
      <c r="AI144" s="15" t="s">
        <v>328</v>
      </c>
      <c r="AJ144" s="15"/>
      <c r="AK144" s="15" t="s">
        <v>418</v>
      </c>
      <c r="AL144" s="15" t="s">
        <v>328</v>
      </c>
      <c r="AM144" s="15"/>
      <c r="AN144" s="15"/>
      <c r="AO144" s="14" t="s">
        <v>328</v>
      </c>
      <c r="AP144" s="15"/>
      <c r="AQ144" s="15"/>
      <c r="AR144" s="15">
        <v>6</v>
      </c>
      <c r="AS144" s="15">
        <v>8</v>
      </c>
      <c r="AT144" s="15"/>
      <c r="AU144" s="15" t="s">
        <v>328</v>
      </c>
      <c r="AV144" s="15" t="s">
        <v>328</v>
      </c>
      <c r="AW144" s="15"/>
      <c r="AX144" s="15">
        <v>2</v>
      </c>
      <c r="AY144" s="15">
        <v>3</v>
      </c>
      <c r="AZ144" s="15">
        <v>4</v>
      </c>
      <c r="BA144" s="15" t="s">
        <v>346</v>
      </c>
      <c r="BB144" s="15"/>
      <c r="BC144" s="15" t="s">
        <v>328</v>
      </c>
      <c r="BD144" s="15"/>
      <c r="BE144" s="15"/>
      <c r="BF144" s="15"/>
      <c r="BG144" s="15"/>
      <c r="BH144" s="15"/>
      <c r="BI144" s="15"/>
      <c r="BJ144" s="15"/>
      <c r="BK144" s="15" t="s">
        <v>328</v>
      </c>
      <c r="BL144" s="15"/>
      <c r="BM144" s="15"/>
      <c r="BN144" s="15" t="s">
        <v>328</v>
      </c>
      <c r="BO144" s="15"/>
      <c r="BP144" s="15" t="s">
        <v>328</v>
      </c>
      <c r="BQ144" s="15"/>
      <c r="BR144" s="15" t="s">
        <v>328</v>
      </c>
      <c r="BS144" s="15"/>
      <c r="BT144" s="15"/>
      <c r="BU144" s="15"/>
      <c r="BV144" s="15" t="s">
        <v>328</v>
      </c>
      <c r="BW144" s="15" t="s">
        <v>328</v>
      </c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 t="s">
        <v>332</v>
      </c>
      <c r="CI144" s="15" t="s">
        <v>328</v>
      </c>
      <c r="CJ144" s="15"/>
      <c r="CK144" s="15" t="s">
        <v>328</v>
      </c>
      <c r="CL144" s="15"/>
      <c r="CM144" s="15"/>
      <c r="CN144" s="15">
        <v>3</v>
      </c>
      <c r="CO144" s="15">
        <v>2</v>
      </c>
      <c r="CP144" s="15">
        <v>5</v>
      </c>
      <c r="CQ144" s="15">
        <v>4</v>
      </c>
      <c r="CR144" s="15">
        <v>6</v>
      </c>
      <c r="CS144" s="15">
        <v>1</v>
      </c>
      <c r="CT144" s="15" t="s">
        <v>328</v>
      </c>
      <c r="CU144" s="15" t="s">
        <v>328</v>
      </c>
      <c r="CV144" s="15"/>
      <c r="CW144" s="15"/>
      <c r="CX144" s="15" t="s">
        <v>328</v>
      </c>
      <c r="CY144" s="15"/>
      <c r="CZ144" s="15"/>
      <c r="DA144" s="15" t="s">
        <v>328</v>
      </c>
      <c r="DB144" s="15" t="s">
        <v>404</v>
      </c>
      <c r="DC144" s="15"/>
      <c r="DD144" s="15"/>
      <c r="DE144" s="15"/>
      <c r="DF144" s="15"/>
      <c r="DG144" s="15"/>
      <c r="DH144" s="15"/>
      <c r="DI144" s="15"/>
      <c r="DJ144" s="15"/>
      <c r="DK144" s="15" t="s">
        <v>328</v>
      </c>
      <c r="DL144" s="15" t="s">
        <v>328</v>
      </c>
      <c r="DM144" s="14" t="s">
        <v>397</v>
      </c>
      <c r="DN144" s="15"/>
      <c r="DO144" s="14" t="s">
        <v>432</v>
      </c>
      <c r="DP144" s="15" t="s">
        <v>411</v>
      </c>
      <c r="DQ144" s="15"/>
      <c r="DR144" s="15" t="s">
        <v>328</v>
      </c>
      <c r="DS144" s="15" t="s">
        <v>328</v>
      </c>
      <c r="DT144" s="15" t="s">
        <v>489</v>
      </c>
      <c r="DU144" s="15"/>
      <c r="DV144" s="15"/>
      <c r="DW144" s="15" t="s">
        <v>489</v>
      </c>
      <c r="DX144" s="15" t="s">
        <v>411</v>
      </c>
      <c r="DY144" s="15"/>
      <c r="DZ144" s="15" t="s">
        <v>328</v>
      </c>
      <c r="EA144" s="15" t="s">
        <v>328</v>
      </c>
      <c r="EB144" s="15" t="s">
        <v>397</v>
      </c>
      <c r="EC144" s="15"/>
      <c r="ED144" s="15" t="s">
        <v>432</v>
      </c>
      <c r="EE144" s="102" t="s">
        <v>333</v>
      </c>
      <c r="EF144" s="99"/>
      <c r="EG144" s="17">
        <f t="shared" si="2"/>
        <v>0</v>
      </c>
    </row>
    <row r="145" spans="1:137" x14ac:dyDescent="0.25">
      <c r="A145" s="50" t="s">
        <v>1404</v>
      </c>
      <c r="B145" s="208">
        <v>41551</v>
      </c>
      <c r="C145" s="209" t="s">
        <v>2767</v>
      </c>
      <c r="D145" s="61" t="s">
        <v>623</v>
      </c>
      <c r="E145" s="15" t="s">
        <v>328</v>
      </c>
      <c r="F145" s="15"/>
      <c r="G145" s="15">
        <v>35</v>
      </c>
      <c r="H145" s="15" t="s">
        <v>329</v>
      </c>
      <c r="I145" s="15" t="s">
        <v>399</v>
      </c>
      <c r="J145" s="15" t="s">
        <v>1178</v>
      </c>
      <c r="K145" s="15" t="s">
        <v>1295</v>
      </c>
      <c r="L145" s="15" t="s">
        <v>1283</v>
      </c>
      <c r="M145" s="15">
        <v>5</v>
      </c>
      <c r="N145" s="15">
        <v>1</v>
      </c>
      <c r="O145" s="15"/>
      <c r="P145" s="15"/>
      <c r="Q145" s="15"/>
      <c r="R145" s="15">
        <v>1</v>
      </c>
      <c r="S145" s="15"/>
      <c r="T145" s="15"/>
      <c r="U145" s="15"/>
      <c r="V145" s="15"/>
      <c r="W145" s="15"/>
      <c r="X145" s="15"/>
      <c r="Y145" s="15"/>
      <c r="Z145" s="15"/>
      <c r="AA145" s="15"/>
      <c r="AB145" s="15" t="s">
        <v>328</v>
      </c>
      <c r="AC145" s="15"/>
      <c r="AD145" s="15"/>
      <c r="AE145" s="15"/>
      <c r="AF145" s="15"/>
      <c r="AG145" s="15"/>
      <c r="AH145" s="15"/>
      <c r="AI145" s="15" t="s">
        <v>328</v>
      </c>
      <c r="AJ145" s="15"/>
      <c r="AK145" s="15"/>
      <c r="AL145" s="15" t="s">
        <v>328</v>
      </c>
      <c r="AM145" s="15"/>
      <c r="AN145" s="15"/>
      <c r="AO145" s="14" t="s">
        <v>328</v>
      </c>
      <c r="AP145" s="15"/>
      <c r="AQ145" s="15"/>
      <c r="AR145" s="15">
        <v>10</v>
      </c>
      <c r="AS145" s="15">
        <v>7</v>
      </c>
      <c r="AT145" s="15" t="s">
        <v>328</v>
      </c>
      <c r="AU145" s="15" t="s">
        <v>328</v>
      </c>
      <c r="AV145" s="15"/>
      <c r="AW145" s="15"/>
      <c r="AX145" s="15">
        <v>1</v>
      </c>
      <c r="AY145" s="15">
        <v>3</v>
      </c>
      <c r="AZ145" s="15">
        <v>2</v>
      </c>
      <c r="BA145" s="15"/>
      <c r="BB145" s="15"/>
      <c r="BC145" s="15" t="s">
        <v>328</v>
      </c>
      <c r="BD145" s="15"/>
      <c r="BE145" s="15"/>
      <c r="BF145" s="15"/>
      <c r="BG145" s="15"/>
      <c r="BH145" s="15"/>
      <c r="BI145" s="15"/>
      <c r="BJ145" s="15"/>
      <c r="BK145" s="15" t="s">
        <v>328</v>
      </c>
      <c r="BL145" s="15"/>
      <c r="BM145" s="15"/>
      <c r="BN145" s="15" t="s">
        <v>328</v>
      </c>
      <c r="BO145" s="15"/>
      <c r="BP145" s="15" t="s">
        <v>328</v>
      </c>
      <c r="BQ145" s="15"/>
      <c r="BR145" s="15" t="s">
        <v>328</v>
      </c>
      <c r="BS145" s="15"/>
      <c r="BT145" s="15"/>
      <c r="BU145" s="15"/>
      <c r="BV145" s="15"/>
      <c r="BW145" s="15" t="s">
        <v>328</v>
      </c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 t="s">
        <v>332</v>
      </c>
      <c r="CI145" s="15" t="s">
        <v>328</v>
      </c>
      <c r="CJ145" s="15"/>
      <c r="CK145" s="15" t="s">
        <v>328</v>
      </c>
      <c r="CL145" s="15"/>
      <c r="CM145" s="15" t="s">
        <v>328</v>
      </c>
      <c r="CN145" s="15">
        <v>4</v>
      </c>
      <c r="CO145" s="15">
        <v>1</v>
      </c>
      <c r="CP145" s="15">
        <v>3</v>
      </c>
      <c r="CQ145" s="15">
        <v>6</v>
      </c>
      <c r="CR145" s="15">
        <v>5</v>
      </c>
      <c r="CS145" s="15">
        <v>2</v>
      </c>
      <c r="CT145" s="15" t="s">
        <v>328</v>
      </c>
      <c r="CU145" s="15"/>
      <c r="CV145" s="15"/>
      <c r="CW145" s="15"/>
      <c r="CX145" s="15" t="s">
        <v>328</v>
      </c>
      <c r="CY145" s="15"/>
      <c r="CZ145" s="15"/>
      <c r="DA145" s="15"/>
      <c r="DB145" s="15"/>
      <c r="DC145" s="15">
        <v>2</v>
      </c>
      <c r="DD145" s="15">
        <v>3</v>
      </c>
      <c r="DE145" s="15">
        <v>6</v>
      </c>
      <c r="DF145" s="15">
        <v>5</v>
      </c>
      <c r="DG145" s="15">
        <v>1</v>
      </c>
      <c r="DH145" s="15">
        <v>4</v>
      </c>
      <c r="DI145" s="15"/>
      <c r="DJ145" s="15"/>
      <c r="DK145" s="15" t="s">
        <v>328</v>
      </c>
      <c r="DL145" s="15" t="s">
        <v>328</v>
      </c>
      <c r="DM145" s="15" t="s">
        <v>618</v>
      </c>
      <c r="DN145" s="15"/>
      <c r="DO145" s="15" t="s">
        <v>916</v>
      </c>
      <c r="DP145" s="14" t="s">
        <v>624</v>
      </c>
      <c r="DQ145" s="15"/>
      <c r="DR145" s="15" t="s">
        <v>328</v>
      </c>
      <c r="DS145" s="15" t="s">
        <v>328</v>
      </c>
      <c r="DT145" s="15" t="s">
        <v>437</v>
      </c>
      <c r="DU145" s="15"/>
      <c r="DV145" s="15"/>
      <c r="DW145" s="15" t="s">
        <v>491</v>
      </c>
      <c r="DX145" s="15" t="s">
        <v>625</v>
      </c>
      <c r="DY145" s="15"/>
      <c r="DZ145" s="15" t="s">
        <v>328</v>
      </c>
      <c r="EA145" s="15" t="s">
        <v>328</v>
      </c>
      <c r="EB145" s="15" t="s">
        <v>397</v>
      </c>
      <c r="EC145" s="15"/>
      <c r="ED145" s="15" t="s">
        <v>626</v>
      </c>
      <c r="EE145" s="102" t="s">
        <v>686</v>
      </c>
      <c r="EF145" s="99"/>
      <c r="EG145" s="17">
        <f t="shared" si="2"/>
        <v>0</v>
      </c>
    </row>
    <row r="146" spans="1:137" x14ac:dyDescent="0.25">
      <c r="A146" s="50" t="s">
        <v>1404</v>
      </c>
      <c r="B146" s="208">
        <v>41551</v>
      </c>
      <c r="C146" s="209" t="s">
        <v>2767</v>
      </c>
      <c r="D146" s="61" t="s">
        <v>627</v>
      </c>
      <c r="E146" s="15" t="s">
        <v>328</v>
      </c>
      <c r="F146" s="15"/>
      <c r="G146" s="15">
        <v>55</v>
      </c>
      <c r="H146" s="15" t="s">
        <v>329</v>
      </c>
      <c r="I146" s="15" t="s">
        <v>399</v>
      </c>
      <c r="J146" s="15" t="s">
        <v>780</v>
      </c>
      <c r="K146" s="18" t="s">
        <v>1257</v>
      </c>
      <c r="L146" s="15" t="s">
        <v>1280</v>
      </c>
      <c r="M146" s="15">
        <v>25</v>
      </c>
      <c r="N146" s="15">
        <v>3</v>
      </c>
      <c r="O146" s="15"/>
      <c r="P146" s="15"/>
      <c r="Q146" s="15"/>
      <c r="R146" s="15">
        <v>3</v>
      </c>
      <c r="S146" s="15"/>
      <c r="T146" s="15"/>
      <c r="U146" s="15"/>
      <c r="V146" s="15"/>
      <c r="W146" s="15"/>
      <c r="X146" s="15"/>
      <c r="Y146" s="15"/>
      <c r="Z146" s="15"/>
      <c r="AA146" s="15"/>
      <c r="AB146" s="15" t="s">
        <v>328</v>
      </c>
      <c r="AC146" s="15"/>
      <c r="AD146" s="15"/>
      <c r="AE146" s="15"/>
      <c r="AF146" s="15"/>
      <c r="AG146" s="15"/>
      <c r="AH146" s="15"/>
      <c r="AI146" s="15" t="s">
        <v>328</v>
      </c>
      <c r="AJ146" s="15"/>
      <c r="AK146" s="15"/>
      <c r="AL146" s="15" t="s">
        <v>328</v>
      </c>
      <c r="AM146" s="15"/>
      <c r="AN146" s="15"/>
      <c r="AO146" s="14" t="s">
        <v>328</v>
      </c>
      <c r="AP146" s="15"/>
      <c r="AQ146" s="15"/>
      <c r="AR146" s="15">
        <v>10</v>
      </c>
      <c r="AS146" s="15">
        <v>8</v>
      </c>
      <c r="AT146" s="15"/>
      <c r="AU146" s="15" t="s">
        <v>328</v>
      </c>
      <c r="AV146" s="15"/>
      <c r="AW146" s="15"/>
      <c r="AX146" s="15">
        <v>4</v>
      </c>
      <c r="AY146" s="15">
        <v>3</v>
      </c>
      <c r="AZ146" s="15">
        <v>2</v>
      </c>
      <c r="BA146" s="15" t="s">
        <v>346</v>
      </c>
      <c r="BB146" s="15"/>
      <c r="BC146" s="15" t="s">
        <v>328</v>
      </c>
      <c r="BD146" s="15"/>
      <c r="BE146" s="15" t="s">
        <v>328</v>
      </c>
      <c r="BF146" s="15"/>
      <c r="BG146" s="15"/>
      <c r="BH146" s="15"/>
      <c r="BI146" s="15"/>
      <c r="BJ146" s="15"/>
      <c r="BK146" s="15"/>
      <c r="BL146" s="15"/>
      <c r="BM146" s="15"/>
      <c r="BN146" s="15" t="s">
        <v>328</v>
      </c>
      <c r="BO146" s="15"/>
      <c r="BP146" s="15" t="s">
        <v>328</v>
      </c>
      <c r="BQ146" s="15"/>
      <c r="BR146" s="15"/>
      <c r="BS146" s="15"/>
      <c r="BT146" s="15"/>
      <c r="BU146" s="15"/>
      <c r="BV146" s="15" t="s">
        <v>328</v>
      </c>
      <c r="BW146" s="15" t="s">
        <v>328</v>
      </c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 t="s">
        <v>332</v>
      </c>
      <c r="CI146" s="15" t="s">
        <v>328</v>
      </c>
      <c r="CJ146" s="15"/>
      <c r="CK146" s="15"/>
      <c r="CL146" s="15"/>
      <c r="CM146" s="15" t="s">
        <v>328</v>
      </c>
      <c r="CN146" s="15">
        <v>4</v>
      </c>
      <c r="CO146" s="15">
        <v>1</v>
      </c>
      <c r="CP146" s="15">
        <v>3</v>
      </c>
      <c r="CQ146" s="15">
        <v>5</v>
      </c>
      <c r="CR146" s="15">
        <v>6</v>
      </c>
      <c r="CS146" s="15">
        <v>2</v>
      </c>
      <c r="CT146" s="15" t="s">
        <v>328</v>
      </c>
      <c r="CU146" s="15" t="s">
        <v>328</v>
      </c>
      <c r="CV146" s="15"/>
      <c r="CW146" s="15"/>
      <c r="CX146" s="15" t="s">
        <v>328</v>
      </c>
      <c r="CY146" s="15" t="s">
        <v>328</v>
      </c>
      <c r="CZ146" s="15"/>
      <c r="DA146" s="15" t="s">
        <v>328</v>
      </c>
      <c r="DB146" s="15" t="s">
        <v>404</v>
      </c>
      <c r="DC146" s="15"/>
      <c r="DD146" s="15"/>
      <c r="DE146" s="15"/>
      <c r="DF146" s="15"/>
      <c r="DG146" s="15"/>
      <c r="DH146" s="15"/>
      <c r="DI146" s="15"/>
      <c r="DJ146" s="15"/>
      <c r="DK146" s="15" t="s">
        <v>328</v>
      </c>
      <c r="DL146" s="15" t="s">
        <v>328</v>
      </c>
      <c r="DM146" s="14" t="s">
        <v>397</v>
      </c>
      <c r="DN146" s="15"/>
      <c r="DO146" s="14" t="s">
        <v>432</v>
      </c>
      <c r="DP146" s="15" t="s">
        <v>411</v>
      </c>
      <c r="DQ146" s="15"/>
      <c r="DR146" s="15" t="s">
        <v>328</v>
      </c>
      <c r="DS146" s="15" t="s">
        <v>328</v>
      </c>
      <c r="DT146" s="15" t="s">
        <v>437</v>
      </c>
      <c r="DU146" s="15"/>
      <c r="DV146" s="15"/>
      <c r="DW146" s="15" t="s">
        <v>410</v>
      </c>
      <c r="DX146" s="15" t="s">
        <v>411</v>
      </c>
      <c r="DY146" s="15"/>
      <c r="DZ146" s="15" t="s">
        <v>328</v>
      </c>
      <c r="EA146" s="15" t="s">
        <v>328</v>
      </c>
      <c r="EB146" s="15" t="s">
        <v>397</v>
      </c>
      <c r="EC146" s="15"/>
      <c r="ED146" s="15" t="s">
        <v>432</v>
      </c>
      <c r="EE146" s="102" t="s">
        <v>497</v>
      </c>
      <c r="EF146" s="99"/>
      <c r="EG146" s="17">
        <f t="shared" si="2"/>
        <v>0</v>
      </c>
    </row>
    <row r="147" spans="1:137" x14ac:dyDescent="0.25">
      <c r="A147" s="50" t="s">
        <v>1855</v>
      </c>
      <c r="B147" s="208">
        <v>41544</v>
      </c>
      <c r="C147" s="210" t="s">
        <v>2749</v>
      </c>
      <c r="D147" s="61" t="s">
        <v>630</v>
      </c>
      <c r="E147" s="15" t="s">
        <v>328</v>
      </c>
      <c r="F147" s="15"/>
      <c r="G147" s="15">
        <v>45</v>
      </c>
      <c r="H147" s="15" t="s">
        <v>329</v>
      </c>
      <c r="I147" s="15" t="s">
        <v>399</v>
      </c>
      <c r="J147" s="14" t="s">
        <v>751</v>
      </c>
      <c r="K147" s="14" t="s">
        <v>1227</v>
      </c>
      <c r="L147" s="14" t="s">
        <v>1183</v>
      </c>
      <c r="M147" s="15">
        <v>0</v>
      </c>
      <c r="N147" s="15">
        <v>3</v>
      </c>
      <c r="O147" s="15"/>
      <c r="P147" s="15"/>
      <c r="Q147" s="15"/>
      <c r="R147" s="15"/>
      <c r="S147" s="15"/>
      <c r="T147" s="15"/>
      <c r="U147" s="15"/>
      <c r="V147" s="15">
        <v>3</v>
      </c>
      <c r="W147" s="15"/>
      <c r="X147" s="15"/>
      <c r="Y147" s="15"/>
      <c r="Z147" s="15"/>
      <c r="AA147" s="15"/>
      <c r="AB147" s="15"/>
      <c r="AC147" s="15"/>
      <c r="AD147" s="15"/>
      <c r="AE147" s="15"/>
      <c r="AF147" s="15" t="s">
        <v>328</v>
      </c>
      <c r="AG147" s="15"/>
      <c r="AH147" s="15"/>
      <c r="AI147" s="15"/>
      <c r="AJ147" s="15"/>
      <c r="AK147" s="15" t="s">
        <v>832</v>
      </c>
      <c r="AL147" s="15" t="s">
        <v>328</v>
      </c>
      <c r="AM147" s="15"/>
      <c r="AN147" s="15"/>
      <c r="AO147" s="15" t="s">
        <v>328</v>
      </c>
      <c r="AP147" s="15"/>
      <c r="AQ147" s="15"/>
      <c r="AR147" s="15">
        <v>10</v>
      </c>
      <c r="AS147" s="15">
        <v>1</v>
      </c>
      <c r="AT147" s="15"/>
      <c r="AU147" s="15" t="s">
        <v>328</v>
      </c>
      <c r="AV147" s="15"/>
      <c r="AW147" s="15"/>
      <c r="AX147" s="15">
        <v>3</v>
      </c>
      <c r="AY147" s="15">
        <v>2</v>
      </c>
      <c r="AZ147" s="15">
        <v>1</v>
      </c>
      <c r="BA147" s="15"/>
      <c r="BB147" s="15" t="s">
        <v>328</v>
      </c>
      <c r="BC147" s="15"/>
      <c r="BD147" s="15"/>
      <c r="BE147" s="15"/>
      <c r="BF147" s="15"/>
      <c r="BG147" s="15" t="s">
        <v>328</v>
      </c>
      <c r="BH147" s="15"/>
      <c r="BI147" s="15"/>
      <c r="BJ147" s="15"/>
      <c r="BK147" s="15"/>
      <c r="BL147" s="15"/>
      <c r="BM147" s="15"/>
      <c r="BN147" s="15"/>
      <c r="BO147" s="15" t="s">
        <v>328</v>
      </c>
      <c r="BP147" s="15"/>
      <c r="BQ147" s="15" t="s">
        <v>328</v>
      </c>
      <c r="BR147" s="15"/>
      <c r="BS147" s="15" t="s">
        <v>328</v>
      </c>
      <c r="BT147" s="15"/>
      <c r="BU147" s="15"/>
      <c r="BV147" s="15"/>
      <c r="BW147" s="15" t="s">
        <v>328</v>
      </c>
      <c r="BX147" s="15"/>
      <c r="BY147" s="15"/>
      <c r="BZ147" s="15"/>
      <c r="CA147" s="15"/>
      <c r="CB147" s="15"/>
      <c r="CC147" s="15" t="s">
        <v>328</v>
      </c>
      <c r="CD147" s="15" t="s">
        <v>328</v>
      </c>
      <c r="CE147" s="15"/>
      <c r="CF147" s="15"/>
      <c r="CG147" s="15"/>
      <c r="CH147" s="15"/>
      <c r="CI147" s="15" t="s">
        <v>328</v>
      </c>
      <c r="CJ147" s="15"/>
      <c r="CK147" s="15"/>
      <c r="CL147" s="15"/>
      <c r="CM147" s="15"/>
      <c r="CN147" s="15">
        <v>2</v>
      </c>
      <c r="CO147" s="15">
        <v>4</v>
      </c>
      <c r="CP147" s="15">
        <v>1</v>
      </c>
      <c r="CQ147" s="15">
        <v>5</v>
      </c>
      <c r="CR147" s="15">
        <v>6</v>
      </c>
      <c r="CS147" s="15">
        <v>3</v>
      </c>
      <c r="CT147" s="15"/>
      <c r="CU147" s="15" t="s">
        <v>328</v>
      </c>
      <c r="CV147" s="15"/>
      <c r="CW147" s="15"/>
      <c r="CX147" s="15"/>
      <c r="CY147" s="15"/>
      <c r="CZ147" s="15"/>
      <c r="DA147" s="15"/>
      <c r="DB147" s="15"/>
      <c r="DC147" s="15">
        <v>1</v>
      </c>
      <c r="DD147" s="15">
        <v>6</v>
      </c>
      <c r="DE147" s="15">
        <v>3</v>
      </c>
      <c r="DF147" s="15">
        <v>4</v>
      </c>
      <c r="DG147" s="15">
        <v>2</v>
      </c>
      <c r="DH147" s="15">
        <v>5</v>
      </c>
      <c r="DI147" s="15"/>
      <c r="DJ147" s="15" t="s">
        <v>328</v>
      </c>
      <c r="DK147" s="15"/>
      <c r="DL147" s="15"/>
      <c r="DM147" s="15"/>
      <c r="DN147" s="15"/>
      <c r="DO147" s="15"/>
      <c r="DP147" s="14" t="s">
        <v>1145</v>
      </c>
      <c r="DQ147" s="15"/>
      <c r="DR147" s="15" t="s">
        <v>328</v>
      </c>
      <c r="DS147" s="15"/>
      <c r="DT147" s="15"/>
      <c r="DU147" s="15" t="s">
        <v>328</v>
      </c>
      <c r="DV147" s="15" t="s">
        <v>680</v>
      </c>
      <c r="DW147" s="15" t="s">
        <v>410</v>
      </c>
      <c r="DX147" s="15" t="s">
        <v>681</v>
      </c>
      <c r="DY147" s="15" t="s">
        <v>328</v>
      </c>
      <c r="DZ147" s="15"/>
      <c r="EA147" s="15"/>
      <c r="EB147" s="15"/>
      <c r="EC147" s="15"/>
      <c r="ED147" s="15"/>
      <c r="EE147" s="102" t="s">
        <v>1152</v>
      </c>
      <c r="EF147" s="99"/>
      <c r="EG147" s="17">
        <f t="shared" si="2"/>
        <v>0</v>
      </c>
    </row>
    <row r="148" spans="1:137" x14ac:dyDescent="0.25">
      <c r="A148" s="50" t="s">
        <v>1855</v>
      </c>
      <c r="B148" s="208">
        <v>41544</v>
      </c>
      <c r="C148" s="210" t="s">
        <v>2749</v>
      </c>
      <c r="D148" s="61" t="s">
        <v>631</v>
      </c>
      <c r="E148" s="15" t="s">
        <v>328</v>
      </c>
      <c r="F148" s="15"/>
      <c r="G148" s="15">
        <v>23</v>
      </c>
      <c r="H148" s="15" t="s">
        <v>329</v>
      </c>
      <c r="I148" s="15" t="s">
        <v>330</v>
      </c>
      <c r="J148" s="15" t="s">
        <v>769</v>
      </c>
      <c r="K148" s="15" t="s">
        <v>1219</v>
      </c>
      <c r="L148" s="15" t="s">
        <v>1183</v>
      </c>
      <c r="M148" s="15">
        <v>5</v>
      </c>
      <c r="N148" s="15">
        <v>1</v>
      </c>
      <c r="O148" s="15">
        <v>1</v>
      </c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 t="s">
        <v>328</v>
      </c>
      <c r="AG148" s="15"/>
      <c r="AH148" s="15"/>
      <c r="AI148" s="15"/>
      <c r="AJ148" s="15"/>
      <c r="AK148" s="15"/>
      <c r="AL148" s="15" t="s">
        <v>328</v>
      </c>
      <c r="AM148" s="15"/>
      <c r="AN148" s="15"/>
      <c r="AO148" s="15"/>
      <c r="AP148" s="15"/>
      <c r="AQ148" s="15" t="s">
        <v>328</v>
      </c>
      <c r="AR148" s="15">
        <v>10</v>
      </c>
      <c r="AS148" s="15">
        <v>1</v>
      </c>
      <c r="AT148" s="15"/>
      <c r="AU148" s="15" t="s">
        <v>328</v>
      </c>
      <c r="AV148" s="15"/>
      <c r="AW148" s="15"/>
      <c r="AX148" s="15">
        <v>2</v>
      </c>
      <c r="AY148" s="15">
        <v>3</v>
      </c>
      <c r="AZ148" s="15">
        <v>1</v>
      </c>
      <c r="BA148" s="15"/>
      <c r="BB148" s="15" t="s">
        <v>328</v>
      </c>
      <c r="BC148" s="15"/>
      <c r="BD148" s="15"/>
      <c r="BE148" s="15"/>
      <c r="BF148" s="15" t="s">
        <v>328</v>
      </c>
      <c r="BG148" s="15"/>
      <c r="BH148" s="15"/>
      <c r="BI148" s="15"/>
      <c r="BJ148" s="15"/>
      <c r="BK148" s="15"/>
      <c r="BL148" s="15"/>
      <c r="BM148" s="15"/>
      <c r="BN148" s="15"/>
      <c r="BO148" s="15" t="s">
        <v>328</v>
      </c>
      <c r="BP148" s="15"/>
      <c r="BQ148" s="15" t="s">
        <v>328</v>
      </c>
      <c r="BR148" s="15"/>
      <c r="BS148" s="15" t="s">
        <v>328</v>
      </c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 t="s">
        <v>328</v>
      </c>
      <c r="CE148" s="15" t="s">
        <v>328</v>
      </c>
      <c r="CF148" s="15"/>
      <c r="CG148" s="15" t="s">
        <v>328</v>
      </c>
      <c r="CH148" s="15"/>
      <c r="CI148" s="15" t="s">
        <v>328</v>
      </c>
      <c r="CJ148" s="15"/>
      <c r="CK148" s="15"/>
      <c r="CL148" s="15"/>
      <c r="CM148" s="15"/>
      <c r="CN148" s="15">
        <v>6</v>
      </c>
      <c r="CO148" s="15">
        <v>1</v>
      </c>
      <c r="CP148" s="15">
        <v>4</v>
      </c>
      <c r="CQ148" s="15">
        <v>3</v>
      </c>
      <c r="CR148" s="15">
        <v>2</v>
      </c>
      <c r="CS148" s="15">
        <v>5</v>
      </c>
      <c r="CT148" s="15"/>
      <c r="CU148" s="15"/>
      <c r="CV148" s="15"/>
      <c r="CW148" s="15"/>
      <c r="CX148" s="15"/>
      <c r="CY148" s="15"/>
      <c r="CZ148" s="15" t="s">
        <v>332</v>
      </c>
      <c r="DA148" s="15"/>
      <c r="DB148" s="15"/>
      <c r="DC148" s="15">
        <v>1</v>
      </c>
      <c r="DD148" s="15">
        <v>2</v>
      </c>
      <c r="DE148" s="15">
        <v>3</v>
      </c>
      <c r="DF148" s="15">
        <v>4</v>
      </c>
      <c r="DG148" s="15">
        <v>5</v>
      </c>
      <c r="DH148" s="15">
        <v>6</v>
      </c>
      <c r="DI148" s="15"/>
      <c r="DJ148" s="15" t="s">
        <v>328</v>
      </c>
      <c r="DK148" s="15"/>
      <c r="DL148" s="15"/>
      <c r="DM148" s="15"/>
      <c r="DN148" s="15"/>
      <c r="DO148" s="15"/>
      <c r="DP148" s="14" t="s">
        <v>1145</v>
      </c>
      <c r="DQ148" s="15" t="s">
        <v>328</v>
      </c>
      <c r="DR148" s="15"/>
      <c r="DS148" s="15"/>
      <c r="DT148" s="15"/>
      <c r="DU148" s="15"/>
      <c r="DV148" s="15"/>
      <c r="DW148" s="15"/>
      <c r="DX148" s="15" t="s">
        <v>1144</v>
      </c>
      <c r="DY148" s="15" t="s">
        <v>328</v>
      </c>
      <c r="DZ148" s="15"/>
      <c r="EA148" s="15"/>
      <c r="EB148" s="15"/>
      <c r="EC148" s="15"/>
      <c r="ED148" s="15"/>
      <c r="EE148" s="102" t="s">
        <v>1145</v>
      </c>
      <c r="EF148" s="99"/>
      <c r="EG148" s="17">
        <f t="shared" si="2"/>
        <v>0</v>
      </c>
    </row>
    <row r="149" spans="1:137" x14ac:dyDescent="0.25">
      <c r="A149" s="50" t="s">
        <v>1855</v>
      </c>
      <c r="B149" s="208">
        <v>41544</v>
      </c>
      <c r="C149" s="210" t="s">
        <v>2749</v>
      </c>
      <c r="D149" s="61" t="s">
        <v>632</v>
      </c>
      <c r="E149" s="15" t="s">
        <v>328</v>
      </c>
      <c r="F149" s="15"/>
      <c r="G149" s="15">
        <v>49</v>
      </c>
      <c r="H149" s="15" t="s">
        <v>329</v>
      </c>
      <c r="I149" s="15" t="s">
        <v>357</v>
      </c>
      <c r="J149" s="15" t="s">
        <v>356</v>
      </c>
      <c r="K149" s="15" t="s">
        <v>1183</v>
      </c>
      <c r="L149" s="15" t="s">
        <v>1183</v>
      </c>
      <c r="M149" s="15">
        <v>25</v>
      </c>
      <c r="N149" s="15">
        <v>2</v>
      </c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>
        <v>2</v>
      </c>
      <c r="Z149" s="15"/>
      <c r="AA149" s="15"/>
      <c r="AB149" s="15"/>
      <c r="AC149" s="15"/>
      <c r="AD149" s="15" t="s">
        <v>328</v>
      </c>
      <c r="AE149" s="15"/>
      <c r="AF149" s="15" t="s">
        <v>328</v>
      </c>
      <c r="AG149" s="15"/>
      <c r="AH149" s="15"/>
      <c r="AI149" s="15"/>
      <c r="AJ149" s="15"/>
      <c r="AK149" s="15"/>
      <c r="AL149" s="15" t="s">
        <v>328</v>
      </c>
      <c r="AM149" s="15"/>
      <c r="AN149" s="15"/>
      <c r="AO149" s="15"/>
      <c r="AP149" s="15"/>
      <c r="AQ149" s="15" t="s">
        <v>328</v>
      </c>
      <c r="AR149" s="15">
        <v>10</v>
      </c>
      <c r="AS149" s="15">
        <v>1</v>
      </c>
      <c r="AT149" s="15"/>
      <c r="AU149" s="15" t="s">
        <v>328</v>
      </c>
      <c r="AV149" s="15"/>
      <c r="AW149" s="15"/>
      <c r="AX149" s="15">
        <v>1</v>
      </c>
      <c r="AY149" s="15">
        <v>3</v>
      </c>
      <c r="AZ149" s="15">
        <v>2</v>
      </c>
      <c r="BA149" s="15"/>
      <c r="BB149" s="15" t="s">
        <v>328</v>
      </c>
      <c r="BC149" s="15"/>
      <c r="BD149" s="15"/>
      <c r="BE149" s="15" t="s">
        <v>328</v>
      </c>
      <c r="BF149" s="15"/>
      <c r="BG149" s="15"/>
      <c r="BH149" s="15"/>
      <c r="BI149" s="15"/>
      <c r="BJ149" s="15"/>
      <c r="BK149" s="15"/>
      <c r="BL149" s="15"/>
      <c r="BM149" s="15"/>
      <c r="BN149" s="15"/>
      <c r="BO149" s="15" t="s">
        <v>328</v>
      </c>
      <c r="BP149" s="15" t="s">
        <v>328</v>
      </c>
      <c r="BQ149" s="15"/>
      <c r="BR149" s="15"/>
      <c r="BS149" s="15"/>
      <c r="BT149" s="15"/>
      <c r="BU149" s="15"/>
      <c r="BV149" s="15"/>
      <c r="BW149" s="15" t="s">
        <v>328</v>
      </c>
      <c r="BX149" s="15"/>
      <c r="BY149" s="15" t="s">
        <v>328</v>
      </c>
      <c r="BZ149" s="15"/>
      <c r="CA149" s="15"/>
      <c r="CB149" s="15" t="s">
        <v>328</v>
      </c>
      <c r="CC149" s="15" t="s">
        <v>328</v>
      </c>
      <c r="CD149" s="15"/>
      <c r="CE149" s="15"/>
      <c r="CF149" s="15"/>
      <c r="CG149" s="15"/>
      <c r="CH149" s="15"/>
      <c r="CI149" s="15" t="s">
        <v>328</v>
      </c>
      <c r="CJ149" s="15"/>
      <c r="CK149" s="15"/>
      <c r="CL149" s="15"/>
      <c r="CM149" s="15"/>
      <c r="CN149" s="15">
        <v>2</v>
      </c>
      <c r="CO149" s="15">
        <v>5</v>
      </c>
      <c r="CP149" s="15">
        <v>6</v>
      </c>
      <c r="CQ149" s="15">
        <v>3</v>
      </c>
      <c r="CR149" s="15">
        <v>4</v>
      </c>
      <c r="CS149" s="15">
        <v>1</v>
      </c>
      <c r="CT149" s="15"/>
      <c r="CU149" s="15" t="s">
        <v>328</v>
      </c>
      <c r="CV149" s="15"/>
      <c r="CW149" s="15"/>
      <c r="CX149" s="15"/>
      <c r="CY149" s="15"/>
      <c r="CZ149" s="15"/>
      <c r="DA149" s="15"/>
      <c r="DB149" s="15"/>
      <c r="DC149" s="15">
        <v>1</v>
      </c>
      <c r="DD149" s="15">
        <v>6</v>
      </c>
      <c r="DE149" s="15">
        <v>2</v>
      </c>
      <c r="DF149" s="15">
        <v>3</v>
      </c>
      <c r="DG149" s="15">
        <v>5</v>
      </c>
      <c r="DH149" s="15">
        <v>4</v>
      </c>
      <c r="DI149" s="15"/>
      <c r="DJ149" s="15" t="s">
        <v>328</v>
      </c>
      <c r="DK149" s="15"/>
      <c r="DL149" s="15"/>
      <c r="DM149" s="15"/>
      <c r="DN149" s="15"/>
      <c r="DO149" s="15"/>
      <c r="DP149" s="15" t="s">
        <v>411</v>
      </c>
      <c r="DQ149" s="15"/>
      <c r="DR149" s="15" t="s">
        <v>328</v>
      </c>
      <c r="DS149" s="15" t="s">
        <v>328</v>
      </c>
      <c r="DT149" s="15" t="s">
        <v>397</v>
      </c>
      <c r="DU149" s="15"/>
      <c r="DV149" s="15"/>
      <c r="DW149" s="15" t="s">
        <v>428</v>
      </c>
      <c r="DX149" s="15" t="s">
        <v>682</v>
      </c>
      <c r="DY149" s="15" t="s">
        <v>328</v>
      </c>
      <c r="DZ149" s="15"/>
      <c r="EA149" s="15"/>
      <c r="EB149" s="15"/>
      <c r="EC149" s="15"/>
      <c r="ED149" s="15"/>
      <c r="EE149" s="102" t="s">
        <v>497</v>
      </c>
      <c r="EF149" s="99"/>
      <c r="EG149" s="17">
        <f t="shared" si="2"/>
        <v>0</v>
      </c>
    </row>
    <row r="150" spans="1:137" x14ac:dyDescent="0.25">
      <c r="A150" s="50" t="s">
        <v>1855</v>
      </c>
      <c r="B150" s="208">
        <v>41544</v>
      </c>
      <c r="C150" s="210" t="s">
        <v>2749</v>
      </c>
      <c r="D150" s="61" t="s">
        <v>633</v>
      </c>
      <c r="E150" s="15" t="s">
        <v>328</v>
      </c>
      <c r="F150" s="15"/>
      <c r="G150" s="15">
        <v>36</v>
      </c>
      <c r="H150" s="15" t="s">
        <v>329</v>
      </c>
      <c r="I150" s="15" t="s">
        <v>399</v>
      </c>
      <c r="J150" s="14" t="s">
        <v>751</v>
      </c>
      <c r="K150" s="14" t="s">
        <v>1227</v>
      </c>
      <c r="L150" s="14" t="s">
        <v>1183</v>
      </c>
      <c r="M150" s="15">
        <v>0</v>
      </c>
      <c r="N150" s="15">
        <v>3</v>
      </c>
      <c r="O150" s="15"/>
      <c r="P150" s="15"/>
      <c r="Q150" s="15"/>
      <c r="R150" s="15"/>
      <c r="S150" s="15"/>
      <c r="T150" s="15"/>
      <c r="U150" s="15"/>
      <c r="V150" s="15">
        <v>3</v>
      </c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 t="s">
        <v>832</v>
      </c>
      <c r="AL150" s="15"/>
      <c r="AM150" s="15" t="s">
        <v>328</v>
      </c>
      <c r="AN150" s="15"/>
      <c r="AO150" s="15" t="s">
        <v>328</v>
      </c>
      <c r="AP150" s="15"/>
      <c r="AQ150" s="15"/>
      <c r="AR150" s="15">
        <v>10</v>
      </c>
      <c r="AS150" s="15">
        <v>1</v>
      </c>
      <c r="AT150" s="15"/>
      <c r="AU150" s="15" t="s">
        <v>328</v>
      </c>
      <c r="AV150" s="15"/>
      <c r="AW150" s="15"/>
      <c r="AX150" s="15">
        <v>3</v>
      </c>
      <c r="AY150" s="15">
        <v>2</v>
      </c>
      <c r="AZ150" s="15">
        <v>1</v>
      </c>
      <c r="BA150" s="15"/>
      <c r="BB150" s="15" t="s">
        <v>328</v>
      </c>
      <c r="BC150" s="15"/>
      <c r="BD150" s="15"/>
      <c r="BE150" s="15"/>
      <c r="BF150" s="15"/>
      <c r="BG150" s="15" t="s">
        <v>328</v>
      </c>
      <c r="BH150" s="15"/>
      <c r="BI150" s="15"/>
      <c r="BJ150" s="15"/>
      <c r="BK150" s="15"/>
      <c r="BL150" s="15"/>
      <c r="BM150" s="15"/>
      <c r="BN150" s="15" t="s">
        <v>328</v>
      </c>
      <c r="BO150" s="15"/>
      <c r="BP150" s="15" t="s">
        <v>328</v>
      </c>
      <c r="BQ150" s="15"/>
      <c r="BR150" s="15"/>
      <c r="BS150" s="15"/>
      <c r="BT150" s="15"/>
      <c r="BU150" s="15"/>
      <c r="BV150" s="15" t="s">
        <v>328</v>
      </c>
      <c r="BW150" s="15" t="s">
        <v>328</v>
      </c>
      <c r="BX150" s="15"/>
      <c r="BY150" s="15" t="s">
        <v>328</v>
      </c>
      <c r="BZ150" s="15"/>
      <c r="CA150" s="15"/>
      <c r="CB150" s="15" t="s">
        <v>328</v>
      </c>
      <c r="CC150" s="15" t="s">
        <v>328</v>
      </c>
      <c r="CD150" s="15"/>
      <c r="CE150" s="15"/>
      <c r="CF150" s="15" t="s">
        <v>328</v>
      </c>
      <c r="CG150" s="15"/>
      <c r="CH150" s="15"/>
      <c r="CI150" s="15" t="s">
        <v>328</v>
      </c>
      <c r="CJ150" s="15"/>
      <c r="CK150" s="15"/>
      <c r="CL150" s="15"/>
      <c r="CM150" s="15"/>
      <c r="CN150" s="15">
        <v>3</v>
      </c>
      <c r="CO150" s="15">
        <v>5</v>
      </c>
      <c r="CP150" s="15">
        <v>4</v>
      </c>
      <c r="CQ150" s="15">
        <v>1</v>
      </c>
      <c r="CR150" s="15">
        <v>6</v>
      </c>
      <c r="CS150" s="15">
        <v>2</v>
      </c>
      <c r="CT150" s="15"/>
      <c r="CU150" s="15"/>
      <c r="CV150" s="15"/>
      <c r="CW150" s="15"/>
      <c r="CX150" s="15"/>
      <c r="CY150" s="15"/>
      <c r="CZ150" s="15" t="s">
        <v>332</v>
      </c>
      <c r="DA150" s="15"/>
      <c r="DB150" s="15"/>
      <c r="DC150" s="15">
        <v>1</v>
      </c>
      <c r="DD150" s="15">
        <v>2</v>
      </c>
      <c r="DE150" s="15">
        <v>4</v>
      </c>
      <c r="DF150" s="15">
        <v>5</v>
      </c>
      <c r="DG150" s="15">
        <v>3</v>
      </c>
      <c r="DH150" s="15">
        <v>6</v>
      </c>
      <c r="DI150" s="15"/>
      <c r="DJ150" s="15" t="s">
        <v>328</v>
      </c>
      <c r="DK150" s="15"/>
      <c r="DL150" s="15"/>
      <c r="DM150" s="15"/>
      <c r="DN150" s="15"/>
      <c r="DO150" s="15"/>
      <c r="DP150" s="14" t="s">
        <v>333</v>
      </c>
      <c r="DQ150" s="15"/>
      <c r="DR150" s="15" t="s">
        <v>328</v>
      </c>
      <c r="DS150" s="15"/>
      <c r="DT150" s="15"/>
      <c r="DU150" s="15" t="s">
        <v>328</v>
      </c>
      <c r="DV150" s="15" t="s">
        <v>680</v>
      </c>
      <c r="DW150" s="15" t="s">
        <v>335</v>
      </c>
      <c r="DX150" s="15" t="s">
        <v>683</v>
      </c>
      <c r="DY150" s="15"/>
      <c r="DZ150" s="15" t="s">
        <v>328</v>
      </c>
      <c r="EA150" s="15" t="s">
        <v>328</v>
      </c>
      <c r="EB150" s="15" t="s">
        <v>684</v>
      </c>
      <c r="EC150" s="15"/>
      <c r="ED150" s="15" t="s">
        <v>685</v>
      </c>
      <c r="EE150" s="102" t="s">
        <v>686</v>
      </c>
      <c r="EF150" s="99"/>
      <c r="EG150" s="17">
        <f t="shared" si="2"/>
        <v>0</v>
      </c>
    </row>
    <row r="151" spans="1:137" x14ac:dyDescent="0.25">
      <c r="A151" s="50" t="s">
        <v>1855</v>
      </c>
      <c r="B151" s="208">
        <v>41544</v>
      </c>
      <c r="C151" s="210" t="s">
        <v>2749</v>
      </c>
      <c r="D151" s="61" t="s">
        <v>634</v>
      </c>
      <c r="E151" s="15" t="s">
        <v>328</v>
      </c>
      <c r="F151" s="15"/>
      <c r="G151" s="15">
        <v>46</v>
      </c>
      <c r="H151" s="15" t="s">
        <v>329</v>
      </c>
      <c r="I151" s="15" t="s">
        <v>353</v>
      </c>
      <c r="J151" s="15" t="s">
        <v>781</v>
      </c>
      <c r="K151" s="18" t="s">
        <v>1258</v>
      </c>
      <c r="L151" s="15" t="s">
        <v>1183</v>
      </c>
      <c r="M151" s="15">
        <v>30</v>
      </c>
      <c r="N151" s="15">
        <v>1</v>
      </c>
      <c r="O151" s="15"/>
      <c r="P151" s="15"/>
      <c r="Q151" s="15"/>
      <c r="R151" s="15"/>
      <c r="S151" s="15"/>
      <c r="T151" s="15"/>
      <c r="U151" s="15"/>
      <c r="V151" s="15">
        <v>1</v>
      </c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 t="s">
        <v>832</v>
      </c>
      <c r="AL151" s="15"/>
      <c r="AM151" s="15" t="s">
        <v>328</v>
      </c>
      <c r="AN151" s="15"/>
      <c r="AO151" s="15" t="s">
        <v>328</v>
      </c>
      <c r="AP151" s="15"/>
      <c r="AQ151" s="15"/>
      <c r="AR151" s="15">
        <v>8</v>
      </c>
      <c r="AS151" s="15">
        <v>3</v>
      </c>
      <c r="AT151" s="15"/>
      <c r="AU151" s="15" t="s">
        <v>328</v>
      </c>
      <c r="AV151" s="15"/>
      <c r="AW151" s="15"/>
      <c r="AX151" s="15">
        <v>3</v>
      </c>
      <c r="AY151" s="15">
        <v>2</v>
      </c>
      <c r="AZ151" s="15">
        <v>1</v>
      </c>
      <c r="BA151" s="15"/>
      <c r="BB151" s="15" t="s">
        <v>328</v>
      </c>
      <c r="BC151" s="15"/>
      <c r="BD151" s="15"/>
      <c r="BE151" s="15"/>
      <c r="BF151" s="15" t="s">
        <v>328</v>
      </c>
      <c r="BG151" s="15"/>
      <c r="BH151" s="15"/>
      <c r="BI151" s="15"/>
      <c r="BJ151" s="15"/>
      <c r="BK151" s="15"/>
      <c r="BL151" s="15"/>
      <c r="BM151" s="15"/>
      <c r="BN151" s="15"/>
      <c r="BO151" s="15" t="s">
        <v>328</v>
      </c>
      <c r="BP151" s="15"/>
      <c r="BQ151" s="15" t="s">
        <v>328</v>
      </c>
      <c r="BR151" s="15" t="s">
        <v>328</v>
      </c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 t="s">
        <v>328</v>
      </c>
      <c r="CG151" s="15" t="s">
        <v>328</v>
      </c>
      <c r="CH151" s="15"/>
      <c r="CI151" s="15"/>
      <c r="CJ151" s="15" t="s">
        <v>328</v>
      </c>
      <c r="CK151" s="15"/>
      <c r="CL151" s="15"/>
      <c r="CM151" s="15"/>
      <c r="CN151" s="15">
        <v>5</v>
      </c>
      <c r="CO151" s="15">
        <v>2</v>
      </c>
      <c r="CP151" s="15">
        <v>1</v>
      </c>
      <c r="CQ151" s="15">
        <v>4</v>
      </c>
      <c r="CR151" s="15">
        <v>3</v>
      </c>
      <c r="CS151" s="15">
        <v>6</v>
      </c>
      <c r="CT151" s="15"/>
      <c r="CU151" s="15"/>
      <c r="CV151" s="15"/>
      <c r="CW151" s="15"/>
      <c r="CX151" s="15"/>
      <c r="CY151" s="15"/>
      <c r="CZ151" s="15" t="s">
        <v>332</v>
      </c>
      <c r="DA151" s="15"/>
      <c r="DB151" s="15"/>
      <c r="DC151" s="15">
        <v>1</v>
      </c>
      <c r="DD151" s="15">
        <v>3</v>
      </c>
      <c r="DE151" s="15">
        <v>5</v>
      </c>
      <c r="DF151" s="15">
        <v>4</v>
      </c>
      <c r="DG151" s="15">
        <v>2</v>
      </c>
      <c r="DH151" s="15">
        <v>6</v>
      </c>
      <c r="DI151" s="15"/>
      <c r="DJ151" s="15" t="s">
        <v>328</v>
      </c>
      <c r="DK151" s="15"/>
      <c r="DL151" s="15"/>
      <c r="DM151" s="15"/>
      <c r="DN151" s="15"/>
      <c r="DO151" s="15"/>
      <c r="DP151" s="14" t="s">
        <v>1146</v>
      </c>
      <c r="DQ151" s="15" t="s">
        <v>328</v>
      </c>
      <c r="DR151" s="15"/>
      <c r="DS151" s="15"/>
      <c r="DT151" s="15"/>
      <c r="DU151" s="15"/>
      <c r="DV151" s="15"/>
      <c r="DW151" s="15"/>
      <c r="DX151" s="15" t="s">
        <v>1144</v>
      </c>
      <c r="DY151" s="15" t="s">
        <v>328</v>
      </c>
      <c r="DZ151" s="15"/>
      <c r="EA151" s="15"/>
      <c r="EB151" s="15"/>
      <c r="EC151" s="15"/>
      <c r="ED151" s="15"/>
      <c r="EE151" s="102" t="s">
        <v>1145</v>
      </c>
      <c r="EF151" s="99"/>
      <c r="EG151" s="17">
        <f t="shared" si="2"/>
        <v>0</v>
      </c>
    </row>
    <row r="152" spans="1:137" x14ac:dyDescent="0.25">
      <c r="A152" s="50" t="s">
        <v>1855</v>
      </c>
      <c r="B152" s="208">
        <v>41544</v>
      </c>
      <c r="C152" s="210" t="s">
        <v>2749</v>
      </c>
      <c r="D152" s="61" t="s">
        <v>635</v>
      </c>
      <c r="E152" s="15" t="s">
        <v>328</v>
      </c>
      <c r="F152" s="15"/>
      <c r="G152" s="15">
        <v>54</v>
      </c>
      <c r="H152" s="15" t="s">
        <v>329</v>
      </c>
      <c r="I152" s="15" t="s">
        <v>330</v>
      </c>
      <c r="J152" s="14" t="s">
        <v>751</v>
      </c>
      <c r="K152" s="14" t="s">
        <v>1227</v>
      </c>
      <c r="L152" s="14" t="s">
        <v>1183</v>
      </c>
      <c r="M152" s="15">
        <v>35</v>
      </c>
      <c r="N152" s="15">
        <v>1</v>
      </c>
      <c r="O152" s="15">
        <v>1</v>
      </c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 t="s">
        <v>328</v>
      </c>
      <c r="AG152" s="15"/>
      <c r="AH152" s="15"/>
      <c r="AI152" s="15"/>
      <c r="AJ152" s="15"/>
      <c r="AK152" s="15"/>
      <c r="AL152" s="15"/>
      <c r="AM152" s="15" t="s">
        <v>328</v>
      </c>
      <c r="AN152" s="15"/>
      <c r="AO152" s="15"/>
      <c r="AP152" s="15"/>
      <c r="AQ152" s="15" t="s">
        <v>328</v>
      </c>
      <c r="AR152" s="15">
        <v>5</v>
      </c>
      <c r="AS152" s="15">
        <v>1</v>
      </c>
      <c r="AT152" s="15"/>
      <c r="AU152" s="15" t="s">
        <v>328</v>
      </c>
      <c r="AV152" s="15"/>
      <c r="AW152" s="15"/>
      <c r="AX152" s="15">
        <v>2</v>
      </c>
      <c r="AY152" s="15">
        <v>3</v>
      </c>
      <c r="AZ152" s="15">
        <v>1</v>
      </c>
      <c r="BA152" s="15"/>
      <c r="BB152" s="15" t="s">
        <v>328</v>
      </c>
      <c r="BC152" s="15"/>
      <c r="BD152" s="15"/>
      <c r="BE152" s="15"/>
      <c r="BF152" s="15"/>
      <c r="BG152" s="15"/>
      <c r="BH152" s="15"/>
      <c r="BI152" s="15" t="s">
        <v>328</v>
      </c>
      <c r="BJ152" s="15"/>
      <c r="BK152" s="15"/>
      <c r="BL152" s="15"/>
      <c r="BM152" s="15"/>
      <c r="BN152" s="15"/>
      <c r="BO152" s="15" t="s">
        <v>328</v>
      </c>
      <c r="BP152" s="15" t="s">
        <v>328</v>
      </c>
      <c r="BQ152" s="15"/>
      <c r="BR152" s="15"/>
      <c r="BS152" s="15" t="s">
        <v>328</v>
      </c>
      <c r="BT152" s="15"/>
      <c r="BU152" s="15"/>
      <c r="BV152" s="15"/>
      <c r="BW152" s="15"/>
      <c r="BX152" s="15"/>
      <c r="BY152" s="15"/>
      <c r="BZ152" s="15"/>
      <c r="CA152" s="15"/>
      <c r="CB152" s="15" t="s">
        <v>328</v>
      </c>
      <c r="CC152" s="15" t="s">
        <v>328</v>
      </c>
      <c r="CD152" s="15" t="s">
        <v>328</v>
      </c>
      <c r="CE152" s="15"/>
      <c r="CF152" s="15"/>
      <c r="CG152" s="15"/>
      <c r="CH152" s="15"/>
      <c r="CI152" s="15" t="s">
        <v>328</v>
      </c>
      <c r="CJ152" s="15"/>
      <c r="CK152" s="15"/>
      <c r="CL152" s="15"/>
      <c r="CM152" s="15"/>
      <c r="CN152" s="15">
        <v>6</v>
      </c>
      <c r="CO152" s="15">
        <v>3</v>
      </c>
      <c r="CP152" s="15">
        <v>4</v>
      </c>
      <c r="CQ152" s="15">
        <v>1</v>
      </c>
      <c r="CR152" s="15">
        <v>2</v>
      </c>
      <c r="CS152" s="15">
        <v>5</v>
      </c>
      <c r="CT152" s="15"/>
      <c r="CU152" s="15"/>
      <c r="CV152" s="15"/>
      <c r="CW152" s="15"/>
      <c r="CX152" s="15" t="s">
        <v>328</v>
      </c>
      <c r="CY152" s="15"/>
      <c r="CZ152" s="15"/>
      <c r="DA152" s="15"/>
      <c r="DB152" s="15"/>
      <c r="DC152" s="15">
        <v>1</v>
      </c>
      <c r="DD152" s="15">
        <v>2</v>
      </c>
      <c r="DE152" s="15">
        <v>3</v>
      </c>
      <c r="DF152" s="15">
        <v>4</v>
      </c>
      <c r="DG152" s="15">
        <v>6</v>
      </c>
      <c r="DH152" s="15">
        <v>5</v>
      </c>
      <c r="DI152" s="15"/>
      <c r="DJ152" s="15" t="s">
        <v>328</v>
      </c>
      <c r="DK152" s="15"/>
      <c r="DL152" s="15"/>
      <c r="DM152" s="15"/>
      <c r="DN152" s="15"/>
      <c r="DO152" s="15"/>
      <c r="DP152" s="14" t="s">
        <v>333</v>
      </c>
      <c r="DQ152" s="15"/>
      <c r="DR152" s="15" t="s">
        <v>328</v>
      </c>
      <c r="DS152" s="15" t="s">
        <v>328</v>
      </c>
      <c r="DT152" s="15" t="s">
        <v>437</v>
      </c>
      <c r="DU152" s="15"/>
      <c r="DV152" s="15"/>
      <c r="DW152" s="15" t="s">
        <v>489</v>
      </c>
      <c r="DX152" s="15" t="s">
        <v>411</v>
      </c>
      <c r="DY152" s="15"/>
      <c r="DZ152" s="15" t="s">
        <v>328</v>
      </c>
      <c r="EA152" s="15" t="s">
        <v>328</v>
      </c>
      <c r="EB152" s="15" t="s">
        <v>397</v>
      </c>
      <c r="EC152" s="15"/>
      <c r="ED152" s="15" t="s">
        <v>437</v>
      </c>
      <c r="EE152" s="102" t="s">
        <v>411</v>
      </c>
      <c r="EF152" s="99"/>
      <c r="EG152" s="17">
        <f t="shared" si="2"/>
        <v>0</v>
      </c>
    </row>
    <row r="153" spans="1:137" x14ac:dyDescent="0.25">
      <c r="A153" s="50" t="s">
        <v>1855</v>
      </c>
      <c r="B153" s="208">
        <v>41544</v>
      </c>
      <c r="C153" s="210" t="s">
        <v>2749</v>
      </c>
      <c r="D153" s="61" t="s">
        <v>636</v>
      </c>
      <c r="E153" s="15" t="s">
        <v>328</v>
      </c>
      <c r="F153" s="15"/>
      <c r="G153" s="15">
        <v>57</v>
      </c>
      <c r="H153" s="15" t="s">
        <v>329</v>
      </c>
      <c r="I153" s="15" t="s">
        <v>353</v>
      </c>
      <c r="J153" s="15" t="s">
        <v>578</v>
      </c>
      <c r="K153" s="15" t="s">
        <v>1247</v>
      </c>
      <c r="L153" s="15" t="s">
        <v>1288</v>
      </c>
      <c r="M153" s="15">
        <v>0</v>
      </c>
      <c r="N153" s="15">
        <v>4</v>
      </c>
      <c r="O153" s="15"/>
      <c r="P153" s="15"/>
      <c r="Q153" s="15"/>
      <c r="R153" s="15"/>
      <c r="S153" s="15">
        <v>4</v>
      </c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 t="s">
        <v>328</v>
      </c>
      <c r="AE153" s="15"/>
      <c r="AF153" s="15"/>
      <c r="AG153" s="15"/>
      <c r="AH153" s="15"/>
      <c r="AI153" s="15"/>
      <c r="AJ153" s="15" t="s">
        <v>328</v>
      </c>
      <c r="AK153" s="15"/>
      <c r="AL153" s="15"/>
      <c r="AM153" s="15" t="s">
        <v>328</v>
      </c>
      <c r="AN153" s="15"/>
      <c r="AO153" s="15" t="s">
        <v>328</v>
      </c>
      <c r="AP153" s="15"/>
      <c r="AQ153" s="15"/>
      <c r="AR153" s="15">
        <v>5</v>
      </c>
      <c r="AS153" s="15">
        <v>1</v>
      </c>
      <c r="AT153" s="15"/>
      <c r="AU153" s="15"/>
      <c r="AV153" s="15" t="s">
        <v>328</v>
      </c>
      <c r="AW153" s="15"/>
      <c r="AX153" s="15">
        <v>1</v>
      </c>
      <c r="AY153" s="15">
        <v>2</v>
      </c>
      <c r="AZ153" s="15">
        <v>3</v>
      </c>
      <c r="BA153" s="15"/>
      <c r="BB153" s="15" t="s">
        <v>328</v>
      </c>
      <c r="BC153" s="15"/>
      <c r="BD153" s="15"/>
      <c r="BE153" s="15"/>
      <c r="BF153" s="15"/>
      <c r="BG153" s="15"/>
      <c r="BH153" s="15"/>
      <c r="BI153" s="15"/>
      <c r="BJ153" s="15" t="s">
        <v>328</v>
      </c>
      <c r="BK153" s="15"/>
      <c r="BL153" s="15"/>
      <c r="BM153" s="15"/>
      <c r="BN153" s="15"/>
      <c r="BO153" s="15" t="s">
        <v>328</v>
      </c>
      <c r="BP153" s="15" t="s">
        <v>328</v>
      </c>
      <c r="BQ153" s="15"/>
      <c r="BR153" s="15" t="s">
        <v>328</v>
      </c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 t="s">
        <v>328</v>
      </c>
      <c r="CG153" s="15"/>
      <c r="CH153" s="15"/>
      <c r="CI153" s="15"/>
      <c r="CJ153" s="15" t="s">
        <v>328</v>
      </c>
      <c r="CK153" s="15"/>
      <c r="CL153" s="15"/>
      <c r="CM153" s="15"/>
      <c r="CN153" s="15">
        <v>5</v>
      </c>
      <c r="CO153" s="15">
        <v>3</v>
      </c>
      <c r="CP153" s="15">
        <v>1</v>
      </c>
      <c r="CQ153" s="15">
        <v>4</v>
      </c>
      <c r="CR153" s="15">
        <v>2</v>
      </c>
      <c r="CS153" s="15">
        <v>6</v>
      </c>
      <c r="CT153" s="15"/>
      <c r="CU153" s="15" t="s">
        <v>328</v>
      </c>
      <c r="CV153" s="15"/>
      <c r="CW153" s="15"/>
      <c r="CX153" s="15" t="s">
        <v>328</v>
      </c>
      <c r="CY153" s="15"/>
      <c r="CZ153" s="15"/>
      <c r="DA153" s="15"/>
      <c r="DB153" s="15"/>
      <c r="DC153" s="15">
        <v>1</v>
      </c>
      <c r="DD153" s="15">
        <v>5</v>
      </c>
      <c r="DE153" s="15">
        <v>2</v>
      </c>
      <c r="DF153" s="15">
        <v>3</v>
      </c>
      <c r="DG153" s="15">
        <v>6</v>
      </c>
      <c r="DH153" s="15">
        <v>4</v>
      </c>
      <c r="DI153" s="15"/>
      <c r="DJ153" s="15" t="s">
        <v>328</v>
      </c>
      <c r="DK153" s="15"/>
      <c r="DL153" s="15"/>
      <c r="DM153" s="15"/>
      <c r="DN153" s="15"/>
      <c r="DO153" s="15"/>
      <c r="DP153" s="14" t="s">
        <v>1146</v>
      </c>
      <c r="DQ153" s="15"/>
      <c r="DR153" s="15" t="s">
        <v>328</v>
      </c>
      <c r="DS153" s="15"/>
      <c r="DT153" s="15"/>
      <c r="DU153" s="15" t="s">
        <v>328</v>
      </c>
      <c r="DV153" s="15" t="s">
        <v>680</v>
      </c>
      <c r="DW153" s="15" t="s">
        <v>428</v>
      </c>
      <c r="DX153" s="15" t="s">
        <v>450</v>
      </c>
      <c r="DY153" s="15" t="s">
        <v>328</v>
      </c>
      <c r="DZ153" s="15"/>
      <c r="EA153" s="15"/>
      <c r="EB153" s="15"/>
      <c r="EC153" s="15"/>
      <c r="ED153" s="15"/>
      <c r="EE153" s="102" t="s">
        <v>450</v>
      </c>
      <c r="EF153" s="99"/>
      <c r="EG153" s="17">
        <f t="shared" si="2"/>
        <v>0</v>
      </c>
    </row>
    <row r="154" spans="1:137" x14ac:dyDescent="0.25">
      <c r="A154" s="50" t="s">
        <v>1855</v>
      </c>
      <c r="B154" s="208">
        <v>41547</v>
      </c>
      <c r="C154" s="209" t="s">
        <v>2748</v>
      </c>
      <c r="D154" s="61" t="s">
        <v>637</v>
      </c>
      <c r="E154" s="15" t="s">
        <v>328</v>
      </c>
      <c r="F154" s="15"/>
      <c r="G154" s="15">
        <v>48</v>
      </c>
      <c r="H154" s="15" t="s">
        <v>329</v>
      </c>
      <c r="I154" s="15" t="s">
        <v>330</v>
      </c>
      <c r="J154" s="15" t="s">
        <v>578</v>
      </c>
      <c r="K154" s="15" t="s">
        <v>1247</v>
      </c>
      <c r="L154" s="15" t="s">
        <v>1288</v>
      </c>
      <c r="M154" s="15">
        <v>30</v>
      </c>
      <c r="N154" s="15">
        <v>1</v>
      </c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>
        <v>1</v>
      </c>
      <c r="AA154" s="15"/>
      <c r="AB154" s="15"/>
      <c r="AC154" s="15" t="s">
        <v>328</v>
      </c>
      <c r="AD154" s="15"/>
      <c r="AE154" s="15"/>
      <c r="AF154" s="15" t="s">
        <v>328</v>
      </c>
      <c r="AG154" s="15" t="s">
        <v>328</v>
      </c>
      <c r="AH154" s="15"/>
      <c r="AI154" s="15"/>
      <c r="AJ154" s="15"/>
      <c r="AK154" s="15"/>
      <c r="AL154" s="15"/>
      <c r="AM154" s="15" t="s">
        <v>328</v>
      </c>
      <c r="AN154" s="15"/>
      <c r="AO154" s="15" t="s">
        <v>328</v>
      </c>
      <c r="AP154" s="15"/>
      <c r="AQ154" s="15"/>
      <c r="AR154" s="15">
        <v>3</v>
      </c>
      <c r="AS154" s="15">
        <v>10</v>
      </c>
      <c r="AT154" s="15"/>
      <c r="AU154" s="15" t="s">
        <v>328</v>
      </c>
      <c r="AV154" s="15"/>
      <c r="AW154" s="15"/>
      <c r="AX154" s="15">
        <v>3</v>
      </c>
      <c r="AY154" s="15">
        <v>2</v>
      </c>
      <c r="AZ154" s="15">
        <v>1</v>
      </c>
      <c r="BA154" s="15"/>
      <c r="BB154" s="15" t="s">
        <v>328</v>
      </c>
      <c r="BC154" s="15"/>
      <c r="BD154" s="15" t="s">
        <v>328</v>
      </c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 t="s">
        <v>328</v>
      </c>
      <c r="BP154" s="15"/>
      <c r="BQ154" s="15" t="s">
        <v>328</v>
      </c>
      <c r="BR154" s="15"/>
      <c r="BS154" s="15" t="s">
        <v>328</v>
      </c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 t="s">
        <v>328</v>
      </c>
      <c r="CE154" s="15" t="s">
        <v>328</v>
      </c>
      <c r="CF154" s="15" t="s">
        <v>328</v>
      </c>
      <c r="CG154" s="15"/>
      <c r="CH154" s="15"/>
      <c r="CI154" s="15"/>
      <c r="CJ154" s="15" t="s">
        <v>328</v>
      </c>
      <c r="CK154" s="15"/>
      <c r="CL154" s="15"/>
      <c r="CM154" s="15"/>
      <c r="CN154" s="15">
        <v>6</v>
      </c>
      <c r="CO154" s="15">
        <v>1</v>
      </c>
      <c r="CP154" s="15">
        <v>2</v>
      </c>
      <c r="CQ154" s="15">
        <v>3</v>
      </c>
      <c r="CR154" s="15">
        <v>5</v>
      </c>
      <c r="CS154" s="15">
        <v>4</v>
      </c>
      <c r="CT154" s="15"/>
      <c r="CU154" s="15"/>
      <c r="CV154" s="15"/>
      <c r="CW154" s="15"/>
      <c r="CX154" s="15" t="s">
        <v>328</v>
      </c>
      <c r="CY154" s="15"/>
      <c r="CZ154" s="15"/>
      <c r="DA154" s="15"/>
      <c r="DB154" s="15"/>
      <c r="DC154" s="15">
        <v>3</v>
      </c>
      <c r="DD154" s="15">
        <v>2</v>
      </c>
      <c r="DE154" s="15">
        <v>1</v>
      </c>
      <c r="DF154" s="15">
        <v>4</v>
      </c>
      <c r="DG154" s="15">
        <v>5</v>
      </c>
      <c r="DH154" s="15">
        <v>6</v>
      </c>
      <c r="DI154" s="15"/>
      <c r="DJ154" s="15" t="s">
        <v>328</v>
      </c>
      <c r="DK154" s="15"/>
      <c r="DL154" s="15"/>
      <c r="DM154" s="15"/>
      <c r="DN154" s="15"/>
      <c r="DO154" s="15"/>
      <c r="DP154" s="14" t="s">
        <v>333</v>
      </c>
      <c r="DQ154" s="15" t="s">
        <v>328</v>
      </c>
      <c r="DR154" s="15"/>
      <c r="DS154" s="15"/>
      <c r="DT154" s="15"/>
      <c r="DU154" s="15"/>
      <c r="DV154" s="15"/>
      <c r="DW154" s="15"/>
      <c r="DX154" s="15" t="s">
        <v>333</v>
      </c>
      <c r="DY154" s="15" t="s">
        <v>328</v>
      </c>
      <c r="DZ154" s="15"/>
      <c r="EA154" s="15"/>
      <c r="EB154" s="15"/>
      <c r="EC154" s="15"/>
      <c r="ED154" s="15"/>
      <c r="EE154" s="102" t="s">
        <v>333</v>
      </c>
      <c r="EF154" s="99"/>
      <c r="EG154" s="17">
        <f t="shared" si="2"/>
        <v>0</v>
      </c>
    </row>
    <row r="155" spans="1:137" x14ac:dyDescent="0.25">
      <c r="A155" s="50" t="s">
        <v>1855</v>
      </c>
      <c r="B155" s="208">
        <v>41547</v>
      </c>
      <c r="C155" s="209" t="s">
        <v>2748</v>
      </c>
      <c r="D155" s="61" t="s">
        <v>638</v>
      </c>
      <c r="E155" s="15" t="s">
        <v>328</v>
      </c>
      <c r="F155" s="15"/>
      <c r="G155" s="15">
        <v>54</v>
      </c>
      <c r="H155" s="15" t="s">
        <v>329</v>
      </c>
      <c r="I155" s="15" t="s">
        <v>353</v>
      </c>
      <c r="J155" s="15" t="s">
        <v>782</v>
      </c>
      <c r="K155" s="18" t="s">
        <v>1259</v>
      </c>
      <c r="L155" s="15" t="s">
        <v>1182</v>
      </c>
      <c r="M155" s="15">
        <v>30</v>
      </c>
      <c r="N155" s="15">
        <v>1</v>
      </c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>
        <v>1</v>
      </c>
      <c r="AA155" s="15"/>
      <c r="AB155" s="15" t="s">
        <v>328</v>
      </c>
      <c r="AC155" s="15" t="s">
        <v>328</v>
      </c>
      <c r="AD155" s="15"/>
      <c r="AE155" s="15"/>
      <c r="AF155" s="15"/>
      <c r="AG155" s="15" t="s">
        <v>328</v>
      </c>
      <c r="AH155" s="15"/>
      <c r="AI155" s="15"/>
      <c r="AJ155" s="15"/>
      <c r="AK155" s="15"/>
      <c r="AL155" s="15"/>
      <c r="AM155" s="15" t="s">
        <v>328</v>
      </c>
      <c r="AN155" s="15"/>
      <c r="AO155" s="15" t="s">
        <v>328</v>
      </c>
      <c r="AP155" s="15"/>
      <c r="AQ155" s="15"/>
      <c r="AR155" s="15">
        <v>6</v>
      </c>
      <c r="AS155" s="15">
        <v>2</v>
      </c>
      <c r="AT155" s="15"/>
      <c r="AU155" s="15" t="s">
        <v>328</v>
      </c>
      <c r="AV155" s="15"/>
      <c r="AW155" s="15"/>
      <c r="AX155" s="15">
        <v>2</v>
      </c>
      <c r="AY155" s="15">
        <v>1</v>
      </c>
      <c r="AZ155" s="15">
        <v>3</v>
      </c>
      <c r="BA155" s="15"/>
      <c r="BB155" s="15" t="s">
        <v>328</v>
      </c>
      <c r="BC155" s="15"/>
      <c r="BD155" s="15" t="s">
        <v>328</v>
      </c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 t="s">
        <v>328</v>
      </c>
      <c r="BP155" s="15"/>
      <c r="BQ155" s="15" t="s">
        <v>328</v>
      </c>
      <c r="BR155" s="15"/>
      <c r="BS155" s="15"/>
      <c r="BT155" s="15"/>
      <c r="BU155" s="15"/>
      <c r="BV155" s="15"/>
      <c r="BW155" s="15"/>
      <c r="BX155" s="14" t="s">
        <v>874</v>
      </c>
      <c r="BY155" s="15"/>
      <c r="BZ155" s="15"/>
      <c r="CA155" s="15"/>
      <c r="CB155" s="15"/>
      <c r="CC155" s="15"/>
      <c r="CD155" s="15"/>
      <c r="CE155" s="15"/>
      <c r="CF155" s="15"/>
      <c r="CG155" s="15" t="s">
        <v>328</v>
      </c>
      <c r="CH155" s="15"/>
      <c r="CI155" s="15"/>
      <c r="CJ155" s="15"/>
      <c r="CK155" s="15"/>
      <c r="CL155" s="15" t="s">
        <v>328</v>
      </c>
      <c r="CM155" s="15"/>
      <c r="CN155" s="15">
        <v>6</v>
      </c>
      <c r="CO155" s="15">
        <v>3</v>
      </c>
      <c r="CP155" s="15">
        <v>4</v>
      </c>
      <c r="CQ155" s="15">
        <v>1</v>
      </c>
      <c r="CR155" s="15">
        <v>2</v>
      </c>
      <c r="CS155" s="15">
        <v>5</v>
      </c>
      <c r="CT155" s="15"/>
      <c r="CU155" s="15"/>
      <c r="CV155" s="15"/>
      <c r="CW155" s="15"/>
      <c r="CX155" s="15"/>
      <c r="CY155" s="15"/>
      <c r="CZ155" s="15" t="s">
        <v>332</v>
      </c>
      <c r="DA155" s="15"/>
      <c r="DB155" s="15"/>
      <c r="DC155" s="15">
        <v>2</v>
      </c>
      <c r="DD155" s="15">
        <v>3</v>
      </c>
      <c r="DE155" s="15">
        <v>4</v>
      </c>
      <c r="DF155" s="15">
        <v>5</v>
      </c>
      <c r="DG155" s="15">
        <v>1</v>
      </c>
      <c r="DH155" s="15">
        <v>6</v>
      </c>
      <c r="DI155" s="15"/>
      <c r="DJ155" s="15" t="s">
        <v>328</v>
      </c>
      <c r="DK155" s="15"/>
      <c r="DL155" s="15"/>
      <c r="DM155" s="15"/>
      <c r="DN155" s="15"/>
      <c r="DO155" s="15"/>
      <c r="DP155" s="14" t="s">
        <v>1145</v>
      </c>
      <c r="DQ155" s="15" t="s">
        <v>328</v>
      </c>
      <c r="DR155" s="15"/>
      <c r="DS155" s="15"/>
      <c r="DT155" s="15"/>
      <c r="DU155" s="15"/>
      <c r="DV155" s="15"/>
      <c r="DW155" s="15"/>
      <c r="DX155" s="15" t="s">
        <v>1145</v>
      </c>
      <c r="DY155" s="15" t="s">
        <v>328</v>
      </c>
      <c r="DZ155" s="15"/>
      <c r="EA155" s="15"/>
      <c r="EB155" s="15"/>
      <c r="EC155" s="15"/>
      <c r="ED155" s="15"/>
      <c r="EE155" s="102" t="s">
        <v>1145</v>
      </c>
      <c r="EF155" s="99"/>
      <c r="EG155" s="17">
        <f t="shared" si="2"/>
        <v>0</v>
      </c>
    </row>
    <row r="156" spans="1:137" x14ac:dyDescent="0.25">
      <c r="A156" s="50" t="s">
        <v>1855</v>
      </c>
      <c r="B156" s="208">
        <v>41547</v>
      </c>
      <c r="C156" s="209" t="s">
        <v>2748</v>
      </c>
      <c r="D156" s="61" t="s">
        <v>639</v>
      </c>
      <c r="E156" s="15" t="s">
        <v>328</v>
      </c>
      <c r="F156" s="15"/>
      <c r="G156" s="15">
        <v>39</v>
      </c>
      <c r="H156" s="15" t="s">
        <v>329</v>
      </c>
      <c r="I156" s="15" t="s">
        <v>330</v>
      </c>
      <c r="J156" s="15" t="s">
        <v>776</v>
      </c>
      <c r="K156" s="15" t="s">
        <v>1234</v>
      </c>
      <c r="L156" s="15" t="s">
        <v>1288</v>
      </c>
      <c r="M156" s="15">
        <v>10</v>
      </c>
      <c r="N156" s="15">
        <v>1</v>
      </c>
      <c r="O156" s="15"/>
      <c r="P156" s="15">
        <v>1</v>
      </c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 t="s">
        <v>328</v>
      </c>
      <c r="AC156" s="15"/>
      <c r="AD156" s="15"/>
      <c r="AE156" s="15"/>
      <c r="AF156" s="15"/>
      <c r="AG156" s="15"/>
      <c r="AH156" s="15"/>
      <c r="AI156" s="15" t="s">
        <v>328</v>
      </c>
      <c r="AJ156" s="15"/>
      <c r="AK156" s="15"/>
      <c r="AL156" s="15" t="s">
        <v>328</v>
      </c>
      <c r="AM156" s="15"/>
      <c r="AN156" s="15"/>
      <c r="AO156" s="15"/>
      <c r="AP156" s="15" t="s">
        <v>328</v>
      </c>
      <c r="AQ156" s="15"/>
      <c r="AR156" s="15">
        <v>10</v>
      </c>
      <c r="AS156" s="15">
        <v>1</v>
      </c>
      <c r="AT156" s="15"/>
      <c r="AU156" s="15" t="s">
        <v>328</v>
      </c>
      <c r="AV156" s="15"/>
      <c r="AW156" s="15"/>
      <c r="AX156" s="15">
        <v>2</v>
      </c>
      <c r="AY156" s="15">
        <v>3</v>
      </c>
      <c r="AZ156" s="15">
        <v>1</v>
      </c>
      <c r="BA156" s="15"/>
      <c r="BB156" s="15" t="s">
        <v>328</v>
      </c>
      <c r="BC156" s="15"/>
      <c r="BD156" s="15" t="s">
        <v>328</v>
      </c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 t="s">
        <v>328</v>
      </c>
      <c r="BP156" s="15"/>
      <c r="BQ156" s="15" t="s">
        <v>328</v>
      </c>
      <c r="BR156" s="15"/>
      <c r="BS156" s="15" t="s">
        <v>328</v>
      </c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 t="s">
        <v>328</v>
      </c>
      <c r="CE156" s="15"/>
      <c r="CF156" s="15"/>
      <c r="CG156" s="15" t="s">
        <v>328</v>
      </c>
      <c r="CH156" s="15"/>
      <c r="CI156" s="15" t="s">
        <v>328</v>
      </c>
      <c r="CJ156" s="15"/>
      <c r="CK156" s="15"/>
      <c r="CL156" s="15"/>
      <c r="CM156" s="15"/>
      <c r="CN156" s="15">
        <v>5</v>
      </c>
      <c r="CO156" s="15">
        <v>1</v>
      </c>
      <c r="CP156" s="15">
        <v>6</v>
      </c>
      <c r="CQ156" s="15">
        <v>3</v>
      </c>
      <c r="CR156" s="15">
        <v>2</v>
      </c>
      <c r="CS156" s="15">
        <v>4</v>
      </c>
      <c r="CT156" s="15"/>
      <c r="CU156" s="15"/>
      <c r="CV156" s="15"/>
      <c r="CW156" s="15"/>
      <c r="CX156" s="15" t="s">
        <v>328</v>
      </c>
      <c r="CY156" s="15"/>
      <c r="CZ156" s="15"/>
      <c r="DA156" s="15" t="s">
        <v>328</v>
      </c>
      <c r="DB156" s="15" t="s">
        <v>404</v>
      </c>
      <c r="DC156" s="15"/>
      <c r="DD156" s="15"/>
      <c r="DE156" s="15"/>
      <c r="DF156" s="15"/>
      <c r="DG156" s="15"/>
      <c r="DH156" s="15"/>
      <c r="DI156" s="15"/>
      <c r="DJ156" s="15" t="s">
        <v>328</v>
      </c>
      <c r="DK156" s="15"/>
      <c r="DL156" s="15"/>
      <c r="DM156" s="15"/>
      <c r="DN156" s="15"/>
      <c r="DO156" s="15"/>
      <c r="DP156" s="14" t="s">
        <v>1146</v>
      </c>
      <c r="DQ156" s="15" t="s">
        <v>328</v>
      </c>
      <c r="DR156" s="15"/>
      <c r="DS156" s="15"/>
      <c r="DT156" s="15"/>
      <c r="DU156" s="15"/>
      <c r="DV156" s="15"/>
      <c r="DW156" s="15"/>
      <c r="DX156" s="15" t="s">
        <v>1152</v>
      </c>
      <c r="DY156" s="15" t="s">
        <v>328</v>
      </c>
      <c r="DZ156" s="15"/>
      <c r="EA156" s="15"/>
      <c r="EB156" s="15"/>
      <c r="EC156" s="15"/>
      <c r="ED156" s="15"/>
      <c r="EE156" s="102" t="s">
        <v>1152</v>
      </c>
      <c r="EF156" s="99"/>
      <c r="EG156" s="17">
        <f t="shared" si="2"/>
        <v>0</v>
      </c>
    </row>
    <row r="157" spans="1:137" x14ac:dyDescent="0.25">
      <c r="A157" s="50" t="s">
        <v>1855</v>
      </c>
      <c r="B157" s="208">
        <v>41547</v>
      </c>
      <c r="C157" s="209" t="s">
        <v>2748</v>
      </c>
      <c r="D157" s="61" t="s">
        <v>640</v>
      </c>
      <c r="E157" s="15" t="s">
        <v>328</v>
      </c>
      <c r="F157" s="15"/>
      <c r="G157" s="15">
        <v>62</v>
      </c>
      <c r="H157" s="15" t="s">
        <v>329</v>
      </c>
      <c r="I157" s="15" t="s">
        <v>584</v>
      </c>
      <c r="J157" s="15" t="s">
        <v>578</v>
      </c>
      <c r="K157" s="15" t="s">
        <v>1247</v>
      </c>
      <c r="L157" s="15" t="s">
        <v>1288</v>
      </c>
      <c r="M157" s="15">
        <v>0</v>
      </c>
      <c r="N157" s="15">
        <v>2</v>
      </c>
      <c r="O157" s="15">
        <v>2</v>
      </c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 t="s">
        <v>328</v>
      </c>
      <c r="AI157" s="15"/>
      <c r="AJ157" s="15"/>
      <c r="AK157" s="15"/>
      <c r="AL157" s="15" t="s">
        <v>328</v>
      </c>
      <c r="AM157" s="15"/>
      <c r="AN157" s="15"/>
      <c r="AO157" s="15"/>
      <c r="AP157" s="15"/>
      <c r="AQ157" s="15" t="s">
        <v>328</v>
      </c>
      <c r="AR157" s="15">
        <v>10</v>
      </c>
      <c r="AS157" s="15">
        <v>1</v>
      </c>
      <c r="AT157" s="15"/>
      <c r="AU157" s="15"/>
      <c r="AV157" s="15" t="s">
        <v>328</v>
      </c>
      <c r="AW157" s="15"/>
      <c r="AX157" s="15">
        <v>3</v>
      </c>
      <c r="AY157" s="15">
        <v>2</v>
      </c>
      <c r="AZ157" s="15">
        <v>1</v>
      </c>
      <c r="BA157" s="15"/>
      <c r="BB157" s="15" t="s">
        <v>328</v>
      </c>
      <c r="BC157" s="15"/>
      <c r="BD157" s="15"/>
      <c r="BE157" s="15"/>
      <c r="BF157" s="15"/>
      <c r="BG157" s="15"/>
      <c r="BH157" s="15" t="s">
        <v>328</v>
      </c>
      <c r="BI157" s="15"/>
      <c r="BJ157" s="15"/>
      <c r="BK157" s="15"/>
      <c r="BL157" s="15"/>
      <c r="BM157" s="15"/>
      <c r="BN157" s="15"/>
      <c r="BO157" s="15" t="s">
        <v>328</v>
      </c>
      <c r="BP157" s="15" t="s">
        <v>328</v>
      </c>
      <c r="BQ157" s="15"/>
      <c r="BR157" s="15"/>
      <c r="BS157" s="15"/>
      <c r="BT157" s="15"/>
      <c r="BU157" s="15"/>
      <c r="BV157" s="15"/>
      <c r="BW157" s="15" t="s">
        <v>328</v>
      </c>
      <c r="BX157" s="15"/>
      <c r="BY157" s="15" t="s">
        <v>328</v>
      </c>
      <c r="BZ157" s="15"/>
      <c r="CA157" s="15"/>
      <c r="CB157" s="15"/>
      <c r="CC157" s="15" t="s">
        <v>328</v>
      </c>
      <c r="CD157" s="15"/>
      <c r="CE157" s="15"/>
      <c r="CF157" s="15"/>
      <c r="CG157" s="15"/>
      <c r="CH157" s="15"/>
      <c r="CI157" s="15" t="s">
        <v>328</v>
      </c>
      <c r="CJ157" s="15"/>
      <c r="CK157" s="15"/>
      <c r="CL157" s="15"/>
      <c r="CM157" s="15"/>
      <c r="CN157" s="15">
        <v>1</v>
      </c>
      <c r="CO157" s="15">
        <v>3</v>
      </c>
      <c r="CP157" s="15">
        <v>4</v>
      </c>
      <c r="CQ157" s="15">
        <v>5</v>
      </c>
      <c r="CR157" s="15">
        <v>6</v>
      </c>
      <c r="CS157" s="15">
        <v>2</v>
      </c>
      <c r="CT157" s="15"/>
      <c r="CU157" s="15" t="s">
        <v>328</v>
      </c>
      <c r="CV157" s="15"/>
      <c r="CW157" s="15"/>
      <c r="CX157" s="15"/>
      <c r="CY157" s="15"/>
      <c r="CZ157" s="15"/>
      <c r="DA157" s="15"/>
      <c r="DB157" s="15"/>
      <c r="DC157" s="15">
        <v>4</v>
      </c>
      <c r="DD157" s="15">
        <v>5</v>
      </c>
      <c r="DE157" s="15">
        <v>1</v>
      </c>
      <c r="DF157" s="15">
        <v>2</v>
      </c>
      <c r="DG157" s="15">
        <v>6</v>
      </c>
      <c r="DH157" s="15">
        <v>3</v>
      </c>
      <c r="DI157" s="15"/>
      <c r="DJ157" s="15" t="s">
        <v>328</v>
      </c>
      <c r="DK157" s="15"/>
      <c r="DL157" s="15"/>
      <c r="DM157" s="15"/>
      <c r="DN157" s="15"/>
      <c r="DO157" s="15"/>
      <c r="DP157" s="14" t="s">
        <v>1145</v>
      </c>
      <c r="DQ157" s="15" t="s">
        <v>328</v>
      </c>
      <c r="DR157" s="15"/>
      <c r="DS157" s="15"/>
      <c r="DT157" s="15"/>
      <c r="DU157" s="15"/>
      <c r="DV157" s="15"/>
      <c r="DW157" s="15"/>
      <c r="DX157" s="15" t="s">
        <v>497</v>
      </c>
      <c r="DY157" s="15" t="s">
        <v>328</v>
      </c>
      <c r="DZ157" s="15"/>
      <c r="EA157" s="15"/>
      <c r="EB157" s="15"/>
      <c r="EC157" s="15"/>
      <c r="ED157" s="15"/>
      <c r="EE157" s="102" t="s">
        <v>474</v>
      </c>
      <c r="EF157" s="99"/>
      <c r="EG157" s="17">
        <f t="shared" si="2"/>
        <v>0</v>
      </c>
    </row>
    <row r="158" spans="1:137" x14ac:dyDescent="0.25">
      <c r="A158" s="50" t="s">
        <v>1855</v>
      </c>
      <c r="B158" s="208">
        <v>41547</v>
      </c>
      <c r="C158" s="209" t="s">
        <v>2748</v>
      </c>
      <c r="D158" s="61" t="s">
        <v>641</v>
      </c>
      <c r="E158" s="15" t="s">
        <v>328</v>
      </c>
      <c r="F158" s="15"/>
      <c r="G158" s="15">
        <v>45</v>
      </c>
      <c r="H158" s="15" t="s">
        <v>329</v>
      </c>
      <c r="I158" s="15" t="s">
        <v>399</v>
      </c>
      <c r="J158" s="15" t="s">
        <v>578</v>
      </c>
      <c r="K158" s="15" t="s">
        <v>1247</v>
      </c>
      <c r="L158" s="15" t="s">
        <v>1288</v>
      </c>
      <c r="M158" s="15">
        <v>0</v>
      </c>
      <c r="N158" s="15">
        <v>3</v>
      </c>
      <c r="O158" s="15">
        <v>3</v>
      </c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 t="s">
        <v>328</v>
      </c>
      <c r="AD158" s="15"/>
      <c r="AE158" s="15"/>
      <c r="AF158" s="15" t="s">
        <v>328</v>
      </c>
      <c r="AG158" s="15"/>
      <c r="AH158" s="15"/>
      <c r="AI158" s="15"/>
      <c r="AJ158" s="15"/>
      <c r="AK158" s="15"/>
      <c r="AL158" s="15" t="s">
        <v>328</v>
      </c>
      <c r="AM158" s="15"/>
      <c r="AN158" s="15"/>
      <c r="AO158" s="15"/>
      <c r="AP158" s="15"/>
      <c r="AQ158" s="15" t="s">
        <v>328</v>
      </c>
      <c r="AR158" s="15">
        <v>10</v>
      </c>
      <c r="AS158" s="15">
        <v>3</v>
      </c>
      <c r="AT158" s="15"/>
      <c r="AU158" s="15"/>
      <c r="AV158" s="15" t="s">
        <v>328</v>
      </c>
      <c r="AW158" s="15"/>
      <c r="AX158" s="15">
        <v>1</v>
      </c>
      <c r="AY158" s="15">
        <v>3</v>
      </c>
      <c r="AZ158" s="15">
        <v>2</v>
      </c>
      <c r="BA158" s="15"/>
      <c r="BB158" s="15"/>
      <c r="BC158" s="15" t="s">
        <v>328</v>
      </c>
      <c r="BD158" s="15"/>
      <c r="BE158" s="15"/>
      <c r="BF158" s="15"/>
      <c r="BG158" s="15" t="s">
        <v>328</v>
      </c>
      <c r="BH158" s="15"/>
      <c r="BI158" s="15"/>
      <c r="BJ158" s="15"/>
      <c r="BK158" s="15"/>
      <c r="BL158" s="15"/>
      <c r="BM158" s="15"/>
      <c r="BN158" s="15"/>
      <c r="BO158" s="15" t="s">
        <v>328</v>
      </c>
      <c r="BP158" s="15" t="s">
        <v>328</v>
      </c>
      <c r="BQ158" s="15"/>
      <c r="BR158" s="15" t="s">
        <v>328</v>
      </c>
      <c r="BS158" s="15"/>
      <c r="BT158" s="15"/>
      <c r="BU158" s="15"/>
      <c r="BV158" s="15"/>
      <c r="BW158" s="15"/>
      <c r="BX158" s="15"/>
      <c r="BY158" s="15" t="s">
        <v>328</v>
      </c>
      <c r="BZ158" s="15"/>
      <c r="CA158" s="15" t="s">
        <v>328</v>
      </c>
      <c r="CB158" s="15" t="s">
        <v>328</v>
      </c>
      <c r="CC158" s="15" t="s">
        <v>328</v>
      </c>
      <c r="CD158" s="15"/>
      <c r="CE158" s="15"/>
      <c r="CF158" s="15"/>
      <c r="CG158" s="15"/>
      <c r="CH158" s="15"/>
      <c r="CI158" s="15" t="s">
        <v>328</v>
      </c>
      <c r="CJ158" s="15"/>
      <c r="CK158" s="15"/>
      <c r="CL158" s="15"/>
      <c r="CM158" s="15"/>
      <c r="CN158" s="15">
        <v>2</v>
      </c>
      <c r="CO158" s="15">
        <v>3</v>
      </c>
      <c r="CP158" s="15">
        <v>6</v>
      </c>
      <c r="CQ158" s="15">
        <v>4</v>
      </c>
      <c r="CR158" s="15">
        <v>5</v>
      </c>
      <c r="CS158" s="15">
        <v>1</v>
      </c>
      <c r="CT158" s="15"/>
      <c r="CU158" s="15" t="s">
        <v>328</v>
      </c>
      <c r="CV158" s="15"/>
      <c r="CW158" s="15" t="s">
        <v>328</v>
      </c>
      <c r="CX158" s="15"/>
      <c r="CY158" s="15" t="s">
        <v>328</v>
      </c>
      <c r="CZ158" s="15"/>
      <c r="DA158" s="15"/>
      <c r="DB158" s="15"/>
      <c r="DC158" s="15">
        <v>1</v>
      </c>
      <c r="DD158" s="15">
        <v>3</v>
      </c>
      <c r="DE158" s="15">
        <v>4</v>
      </c>
      <c r="DF158" s="15">
        <v>5</v>
      </c>
      <c r="DG158" s="15">
        <v>2</v>
      </c>
      <c r="DH158" s="15">
        <v>6</v>
      </c>
      <c r="DI158" s="15"/>
      <c r="DJ158" s="15" t="s">
        <v>328</v>
      </c>
      <c r="DK158" s="15"/>
      <c r="DL158" s="15"/>
      <c r="DM158" s="15"/>
      <c r="DN158" s="15"/>
      <c r="DO158" s="15"/>
      <c r="DP158" s="14" t="s">
        <v>333</v>
      </c>
      <c r="DQ158" s="15" t="s">
        <v>328</v>
      </c>
      <c r="DR158" s="15"/>
      <c r="DS158" s="15"/>
      <c r="DT158" s="15"/>
      <c r="DU158" s="15"/>
      <c r="DV158" s="15"/>
      <c r="DW158" s="15"/>
      <c r="DX158" s="15" t="s">
        <v>333</v>
      </c>
      <c r="DY158" s="15" t="s">
        <v>328</v>
      </c>
      <c r="DZ158" s="15"/>
      <c r="EA158" s="15"/>
      <c r="EB158" s="15"/>
      <c r="EC158" s="15"/>
      <c r="ED158" s="15"/>
      <c r="EE158" s="102" t="s">
        <v>333</v>
      </c>
      <c r="EF158" s="99"/>
      <c r="EG158" s="17">
        <f t="shared" si="2"/>
        <v>0</v>
      </c>
    </row>
    <row r="159" spans="1:137" x14ac:dyDescent="0.25">
      <c r="A159" s="50" t="s">
        <v>1855</v>
      </c>
      <c r="B159" s="208">
        <v>41547</v>
      </c>
      <c r="C159" s="209" t="s">
        <v>2748</v>
      </c>
      <c r="D159" s="61" t="s">
        <v>642</v>
      </c>
      <c r="E159" s="15" t="s">
        <v>328</v>
      </c>
      <c r="F159" s="15"/>
      <c r="G159" s="15">
        <v>67</v>
      </c>
      <c r="H159" s="15" t="s">
        <v>329</v>
      </c>
      <c r="I159" s="15" t="s">
        <v>330</v>
      </c>
      <c r="J159" s="15" t="s">
        <v>783</v>
      </c>
      <c r="K159" s="18" t="s">
        <v>783</v>
      </c>
      <c r="L159" s="15" t="s">
        <v>1183</v>
      </c>
      <c r="M159" s="15">
        <v>40</v>
      </c>
      <c r="N159" s="15">
        <v>1</v>
      </c>
      <c r="O159" s="15">
        <v>1</v>
      </c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 t="s">
        <v>328</v>
      </c>
      <c r="AD159" s="15"/>
      <c r="AE159" s="15" t="s">
        <v>328</v>
      </c>
      <c r="AF159" s="15" t="s">
        <v>328</v>
      </c>
      <c r="AG159" s="15"/>
      <c r="AH159" s="15" t="s">
        <v>328</v>
      </c>
      <c r="AI159" s="15"/>
      <c r="AJ159" s="15"/>
      <c r="AK159" s="15"/>
      <c r="AL159" s="15"/>
      <c r="AM159" s="15" t="s">
        <v>328</v>
      </c>
      <c r="AN159" s="15"/>
      <c r="AO159" s="15" t="s">
        <v>328</v>
      </c>
      <c r="AP159" s="15"/>
      <c r="AQ159" s="15"/>
      <c r="AR159" s="15">
        <v>5</v>
      </c>
      <c r="AS159" s="15">
        <v>6</v>
      </c>
      <c r="AT159" s="15"/>
      <c r="AU159" s="15" t="s">
        <v>328</v>
      </c>
      <c r="AV159" s="15"/>
      <c r="AW159" s="15"/>
      <c r="AX159" s="15">
        <v>3</v>
      </c>
      <c r="AY159" s="15">
        <v>2</v>
      </c>
      <c r="AZ159" s="15">
        <v>1</v>
      </c>
      <c r="BA159" s="15"/>
      <c r="BB159" s="15" t="s">
        <v>328</v>
      </c>
      <c r="BC159" s="15"/>
      <c r="BD159" s="15" t="s">
        <v>328</v>
      </c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 t="s">
        <v>328</v>
      </c>
      <c r="BP159" s="15"/>
      <c r="BQ159" s="15" t="s">
        <v>328</v>
      </c>
      <c r="BR159" s="15"/>
      <c r="BS159" s="15"/>
      <c r="BT159" s="15"/>
      <c r="BU159" s="15"/>
      <c r="BV159" s="15"/>
      <c r="BW159" s="15"/>
      <c r="BX159" s="15" t="s">
        <v>875</v>
      </c>
      <c r="BY159" s="15"/>
      <c r="BZ159" s="15"/>
      <c r="CA159" s="15"/>
      <c r="CB159" s="15"/>
      <c r="CC159" s="15"/>
      <c r="CD159" s="15"/>
      <c r="CE159" s="15"/>
      <c r="CF159" s="15" t="s">
        <v>328</v>
      </c>
      <c r="CG159" s="15"/>
      <c r="CH159" s="15"/>
      <c r="CI159" s="15"/>
      <c r="CJ159" s="15" t="s">
        <v>328</v>
      </c>
      <c r="CK159" s="15"/>
      <c r="CL159" s="15"/>
      <c r="CM159" s="15"/>
      <c r="CN159" s="15">
        <v>5</v>
      </c>
      <c r="CO159" s="15">
        <v>1</v>
      </c>
      <c r="CP159" s="15">
        <v>3</v>
      </c>
      <c r="CQ159" s="15">
        <v>4</v>
      </c>
      <c r="CR159" s="15">
        <v>2</v>
      </c>
      <c r="CS159" s="15">
        <v>6</v>
      </c>
      <c r="CT159" s="15"/>
      <c r="CU159" s="15"/>
      <c r="CV159" s="15"/>
      <c r="CW159" s="15"/>
      <c r="CX159" s="15" t="s">
        <v>328</v>
      </c>
      <c r="CY159" s="15"/>
      <c r="CZ159" s="15"/>
      <c r="DA159" s="15"/>
      <c r="DB159" s="15"/>
      <c r="DC159" s="15">
        <v>1</v>
      </c>
      <c r="DD159" s="15">
        <v>2</v>
      </c>
      <c r="DE159" s="15">
        <v>3</v>
      </c>
      <c r="DF159" s="15">
        <v>4</v>
      </c>
      <c r="DG159" s="15">
        <v>6</v>
      </c>
      <c r="DH159" s="15">
        <v>5</v>
      </c>
      <c r="DI159" s="15"/>
      <c r="DJ159" s="15" t="s">
        <v>328</v>
      </c>
      <c r="DK159" s="15"/>
      <c r="DL159" s="15"/>
      <c r="DM159" s="15"/>
      <c r="DN159" s="15"/>
      <c r="DO159" s="15"/>
      <c r="DP159" s="14" t="s">
        <v>1146</v>
      </c>
      <c r="DQ159" s="15" t="s">
        <v>328</v>
      </c>
      <c r="DR159" s="15"/>
      <c r="DS159" s="15"/>
      <c r="DT159" s="15"/>
      <c r="DU159" s="15"/>
      <c r="DV159" s="15"/>
      <c r="DW159" s="15"/>
      <c r="DX159" s="15" t="s">
        <v>1144</v>
      </c>
      <c r="DY159" s="15" t="s">
        <v>328</v>
      </c>
      <c r="DZ159" s="15"/>
      <c r="EA159" s="15"/>
      <c r="EB159" s="15"/>
      <c r="EC159" s="15"/>
      <c r="ED159" s="15"/>
      <c r="EE159" s="102" t="s">
        <v>1145</v>
      </c>
      <c r="EF159" s="99"/>
      <c r="EG159" s="17">
        <f t="shared" si="2"/>
        <v>0</v>
      </c>
    </row>
    <row r="160" spans="1:137" x14ac:dyDescent="0.25">
      <c r="A160" s="50" t="s">
        <v>1855</v>
      </c>
      <c r="B160" s="208">
        <v>41548</v>
      </c>
      <c r="C160" s="209" t="s">
        <v>2750</v>
      </c>
      <c r="D160" s="61" t="s">
        <v>643</v>
      </c>
      <c r="E160" s="15" t="s">
        <v>328</v>
      </c>
      <c r="F160" s="15"/>
      <c r="G160" s="15">
        <v>32</v>
      </c>
      <c r="H160" s="15" t="s">
        <v>329</v>
      </c>
      <c r="I160" s="15" t="s">
        <v>399</v>
      </c>
      <c r="J160" s="15" t="s">
        <v>578</v>
      </c>
      <c r="K160" s="15" t="s">
        <v>1247</v>
      </c>
      <c r="L160" s="15" t="s">
        <v>1288</v>
      </c>
      <c r="M160" s="15">
        <v>0</v>
      </c>
      <c r="N160" s="15">
        <v>2</v>
      </c>
      <c r="O160" s="15">
        <v>2</v>
      </c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 t="s">
        <v>328</v>
      </c>
      <c r="AD160" s="15" t="s">
        <v>328</v>
      </c>
      <c r="AE160" s="15" t="s">
        <v>328</v>
      </c>
      <c r="AF160" s="15" t="s">
        <v>328</v>
      </c>
      <c r="AG160" s="15" t="s">
        <v>328</v>
      </c>
      <c r="AH160" s="15" t="s">
        <v>328</v>
      </c>
      <c r="AI160" s="15"/>
      <c r="AJ160" s="15"/>
      <c r="AK160" s="15"/>
      <c r="AL160" s="15" t="s">
        <v>328</v>
      </c>
      <c r="AM160" s="15"/>
      <c r="AN160" s="15" t="s">
        <v>328</v>
      </c>
      <c r="AO160" s="15"/>
      <c r="AP160" s="15" t="s">
        <v>328</v>
      </c>
      <c r="AQ160" s="15"/>
      <c r="AR160" s="15">
        <v>10</v>
      </c>
      <c r="AS160" s="15">
        <v>3</v>
      </c>
      <c r="AT160" s="15"/>
      <c r="AU160" s="15"/>
      <c r="AV160" s="15" t="s">
        <v>328</v>
      </c>
      <c r="AW160" s="15"/>
      <c r="AX160" s="15">
        <v>1</v>
      </c>
      <c r="AY160" s="15">
        <v>3</v>
      </c>
      <c r="AZ160" s="15">
        <v>2</v>
      </c>
      <c r="BA160" s="15"/>
      <c r="BB160" s="15" t="s">
        <v>328</v>
      </c>
      <c r="BC160" s="15"/>
      <c r="BD160" s="15"/>
      <c r="BE160" s="15"/>
      <c r="BF160" s="15"/>
      <c r="BG160" s="15"/>
      <c r="BH160" s="15"/>
      <c r="BI160" s="15" t="s">
        <v>328</v>
      </c>
      <c r="BJ160" s="15" t="s">
        <v>328</v>
      </c>
      <c r="BK160" s="15"/>
      <c r="BL160" s="15"/>
      <c r="BM160" s="15"/>
      <c r="BN160" s="15"/>
      <c r="BO160" s="15" t="s">
        <v>328</v>
      </c>
      <c r="BP160" s="15" t="s">
        <v>328</v>
      </c>
      <c r="BQ160" s="15"/>
      <c r="BR160" s="15"/>
      <c r="BS160" s="15" t="s">
        <v>328</v>
      </c>
      <c r="BT160" s="15"/>
      <c r="BU160" s="15"/>
      <c r="BV160" s="15"/>
      <c r="BW160" s="15" t="s">
        <v>328</v>
      </c>
      <c r="BX160" s="15"/>
      <c r="BY160" s="15" t="s">
        <v>328</v>
      </c>
      <c r="BZ160" s="15"/>
      <c r="CA160" s="15"/>
      <c r="CB160" s="15" t="s">
        <v>328</v>
      </c>
      <c r="CC160" s="15" t="s">
        <v>328</v>
      </c>
      <c r="CD160" s="15" t="s">
        <v>328</v>
      </c>
      <c r="CE160" s="15"/>
      <c r="CF160" s="15"/>
      <c r="CG160" s="15"/>
      <c r="CH160" s="15"/>
      <c r="CI160" s="15" t="s">
        <v>328</v>
      </c>
      <c r="CJ160" s="15"/>
      <c r="CK160" s="15"/>
      <c r="CL160" s="15"/>
      <c r="CM160" s="15"/>
      <c r="CN160" s="15">
        <v>3</v>
      </c>
      <c r="CO160" s="15">
        <v>1</v>
      </c>
      <c r="CP160" s="15">
        <v>4</v>
      </c>
      <c r="CQ160" s="15">
        <v>5</v>
      </c>
      <c r="CR160" s="15">
        <v>6</v>
      </c>
      <c r="CS160" s="15">
        <v>2</v>
      </c>
      <c r="CT160" s="15"/>
      <c r="CU160" s="15" t="s">
        <v>328</v>
      </c>
      <c r="CV160" s="15"/>
      <c r="CW160" s="15"/>
      <c r="CX160" s="15"/>
      <c r="CY160" s="15"/>
      <c r="CZ160" s="15"/>
      <c r="DA160" s="15"/>
      <c r="DB160" s="15"/>
      <c r="DC160" s="15">
        <v>2</v>
      </c>
      <c r="DD160" s="15">
        <v>6</v>
      </c>
      <c r="DE160" s="15">
        <v>1</v>
      </c>
      <c r="DF160" s="15">
        <v>4</v>
      </c>
      <c r="DG160" s="15">
        <v>3</v>
      </c>
      <c r="DH160" s="15">
        <v>5</v>
      </c>
      <c r="DI160" s="15"/>
      <c r="DJ160" s="15" t="s">
        <v>328</v>
      </c>
      <c r="DK160" s="15"/>
      <c r="DL160" s="15"/>
      <c r="DM160" s="15"/>
      <c r="DN160" s="15"/>
      <c r="DO160" s="15"/>
      <c r="DP160" s="14" t="s">
        <v>1146</v>
      </c>
      <c r="DQ160" s="15" t="s">
        <v>328</v>
      </c>
      <c r="DR160" s="15"/>
      <c r="DS160" s="15"/>
      <c r="DT160" s="15"/>
      <c r="DU160" s="15"/>
      <c r="DV160" s="15"/>
      <c r="DW160" s="15"/>
      <c r="DX160" s="15" t="s">
        <v>602</v>
      </c>
      <c r="DY160" s="15" t="s">
        <v>328</v>
      </c>
      <c r="DZ160" s="15"/>
      <c r="EA160" s="15"/>
      <c r="EB160" s="15"/>
      <c r="EC160" s="15"/>
      <c r="ED160" s="15"/>
      <c r="EE160" s="102" t="s">
        <v>497</v>
      </c>
      <c r="EF160" s="99"/>
      <c r="EG160" s="17">
        <f t="shared" si="2"/>
        <v>0</v>
      </c>
    </row>
    <row r="161" spans="1:137" x14ac:dyDescent="0.25">
      <c r="A161" s="50" t="s">
        <v>1855</v>
      </c>
      <c r="B161" s="208">
        <v>41548</v>
      </c>
      <c r="C161" s="209" t="s">
        <v>2750</v>
      </c>
      <c r="D161" s="61" t="s">
        <v>644</v>
      </c>
      <c r="E161" s="15" t="s">
        <v>328</v>
      </c>
      <c r="F161" s="15"/>
      <c r="G161" s="15">
        <v>47</v>
      </c>
      <c r="H161" s="15" t="s">
        <v>376</v>
      </c>
      <c r="I161" s="15" t="s">
        <v>399</v>
      </c>
      <c r="J161" s="15" t="s">
        <v>784</v>
      </c>
      <c r="K161" s="18" t="s">
        <v>1260</v>
      </c>
      <c r="L161" s="15" t="s">
        <v>1288</v>
      </c>
      <c r="M161" s="15">
        <v>0</v>
      </c>
      <c r="N161" s="15">
        <v>3</v>
      </c>
      <c r="O161" s="15">
        <v>6</v>
      </c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 t="s">
        <v>328</v>
      </c>
      <c r="AG161" s="15"/>
      <c r="AH161" s="15" t="s">
        <v>328</v>
      </c>
      <c r="AI161" s="15"/>
      <c r="AJ161" s="15"/>
      <c r="AK161" s="15"/>
      <c r="AL161" s="15" t="s">
        <v>328</v>
      </c>
      <c r="AM161" s="15"/>
      <c r="AN161" s="15" t="s">
        <v>328</v>
      </c>
      <c r="AO161" s="15"/>
      <c r="AP161" s="15"/>
      <c r="AQ161" s="15"/>
      <c r="AR161" s="15">
        <v>10</v>
      </c>
      <c r="AS161" s="15">
        <v>2</v>
      </c>
      <c r="AT161" s="15"/>
      <c r="AU161" s="15"/>
      <c r="AV161" s="15"/>
      <c r="AW161" s="15" t="s">
        <v>328</v>
      </c>
      <c r="AX161" s="15">
        <v>2</v>
      </c>
      <c r="AY161" s="15">
        <v>4</v>
      </c>
      <c r="AZ161" s="15">
        <v>3</v>
      </c>
      <c r="BA161" s="18" t="s">
        <v>346</v>
      </c>
      <c r="BB161" s="15"/>
      <c r="BC161" s="15" t="s">
        <v>328</v>
      </c>
      <c r="BD161" s="15"/>
      <c r="BE161" s="15"/>
      <c r="BF161" s="15"/>
      <c r="BG161" s="15"/>
      <c r="BH161" s="15"/>
      <c r="BI161" s="15" t="s">
        <v>328</v>
      </c>
      <c r="BJ161" s="15"/>
      <c r="BK161" s="15"/>
      <c r="BL161" s="15"/>
      <c r="BM161" s="15"/>
      <c r="BN161" s="15" t="s">
        <v>328</v>
      </c>
      <c r="BO161" s="15"/>
      <c r="BP161" s="15" t="s">
        <v>328</v>
      </c>
      <c r="BQ161" s="15"/>
      <c r="BR161" s="15" t="s">
        <v>328</v>
      </c>
      <c r="BS161" s="15" t="s">
        <v>328</v>
      </c>
      <c r="BT161" s="15" t="s">
        <v>328</v>
      </c>
      <c r="BU161" s="15"/>
      <c r="BV161" s="15"/>
      <c r="BW161" s="15" t="s">
        <v>328</v>
      </c>
      <c r="BX161" s="15"/>
      <c r="BY161" s="15" t="s">
        <v>328</v>
      </c>
      <c r="BZ161" s="15"/>
      <c r="CA161" s="15"/>
      <c r="CB161" s="15"/>
      <c r="CC161" s="15" t="s">
        <v>328</v>
      </c>
      <c r="CD161" s="15"/>
      <c r="CE161" s="15"/>
      <c r="CF161" s="15"/>
      <c r="CG161" s="15"/>
      <c r="CH161" s="15"/>
      <c r="CI161" s="15" t="s">
        <v>328</v>
      </c>
      <c r="CJ161" s="15"/>
      <c r="CK161" s="15"/>
      <c r="CL161" s="15"/>
      <c r="CM161" s="15"/>
      <c r="CN161" s="15">
        <v>1</v>
      </c>
      <c r="CO161" s="15">
        <v>5</v>
      </c>
      <c r="CP161" s="15">
        <v>6</v>
      </c>
      <c r="CQ161" s="15">
        <v>3</v>
      </c>
      <c r="CR161" s="15">
        <v>4</v>
      </c>
      <c r="CS161" s="15">
        <v>2</v>
      </c>
      <c r="CT161" s="15"/>
      <c r="CU161" s="15"/>
      <c r="CV161" s="15"/>
      <c r="CW161" s="15" t="s">
        <v>328</v>
      </c>
      <c r="CX161" s="15"/>
      <c r="CY161" s="15" t="s">
        <v>328</v>
      </c>
      <c r="CZ161" s="15"/>
      <c r="DA161" s="15"/>
      <c r="DB161" s="15"/>
      <c r="DC161" s="15">
        <v>1</v>
      </c>
      <c r="DD161" s="15">
        <v>4</v>
      </c>
      <c r="DE161" s="15">
        <v>2</v>
      </c>
      <c r="DF161" s="15">
        <v>5</v>
      </c>
      <c r="DG161" s="15">
        <v>3</v>
      </c>
      <c r="DH161" s="15">
        <v>6</v>
      </c>
      <c r="DI161" s="15"/>
      <c r="DJ161" s="15" t="s">
        <v>328</v>
      </c>
      <c r="DK161" s="15"/>
      <c r="DL161" s="15"/>
      <c r="DM161" s="15"/>
      <c r="DN161" s="15"/>
      <c r="DO161" s="15"/>
      <c r="DP161" s="15" t="s">
        <v>411</v>
      </c>
      <c r="DQ161" s="15"/>
      <c r="DR161" s="15" t="s">
        <v>328</v>
      </c>
      <c r="DS161" s="15" t="s">
        <v>328</v>
      </c>
      <c r="DT161" s="15" t="s">
        <v>397</v>
      </c>
      <c r="DU161" s="15"/>
      <c r="DV161" s="15"/>
      <c r="DW161" s="15"/>
      <c r="DX161" s="15" t="s">
        <v>474</v>
      </c>
      <c r="DY161" s="15"/>
      <c r="DZ161" s="15" t="s">
        <v>328</v>
      </c>
      <c r="EA161" s="15" t="s">
        <v>328</v>
      </c>
      <c r="EB161" s="15" t="s">
        <v>691</v>
      </c>
      <c r="EC161" s="15"/>
      <c r="ED161" s="15" t="s">
        <v>559</v>
      </c>
      <c r="EE161" s="102" t="s">
        <v>1155</v>
      </c>
      <c r="EF161" s="99"/>
      <c r="EG161" s="17">
        <f t="shared" si="2"/>
        <v>0</v>
      </c>
    </row>
    <row r="162" spans="1:137" x14ac:dyDescent="0.25">
      <c r="A162" s="50" t="s">
        <v>1855</v>
      </c>
      <c r="B162" s="208">
        <v>41548</v>
      </c>
      <c r="C162" s="209" t="s">
        <v>2750</v>
      </c>
      <c r="D162" s="61" t="s">
        <v>645</v>
      </c>
      <c r="E162" s="15" t="s">
        <v>328</v>
      </c>
      <c r="F162" s="15"/>
      <c r="G162" s="15">
        <v>54</v>
      </c>
      <c r="H162" s="15" t="s">
        <v>329</v>
      </c>
      <c r="I162" s="15" t="s">
        <v>330</v>
      </c>
      <c r="J162" s="15" t="s">
        <v>750</v>
      </c>
      <c r="K162" s="18" t="s">
        <v>1261</v>
      </c>
      <c r="L162" s="15" t="s">
        <v>1288</v>
      </c>
      <c r="M162" s="15">
        <v>0</v>
      </c>
      <c r="N162" s="15">
        <v>1</v>
      </c>
      <c r="O162" s="15">
        <v>1</v>
      </c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 t="s">
        <v>328</v>
      </c>
      <c r="AI162" s="15"/>
      <c r="AJ162" s="15"/>
      <c r="AK162" s="15"/>
      <c r="AL162" s="15" t="s">
        <v>328</v>
      </c>
      <c r="AM162" s="15"/>
      <c r="AN162" s="15"/>
      <c r="AO162" s="15"/>
      <c r="AP162" s="15"/>
      <c r="AQ162" s="15" t="s">
        <v>328</v>
      </c>
      <c r="AR162" s="15">
        <v>10</v>
      </c>
      <c r="AS162" s="15">
        <v>1</v>
      </c>
      <c r="AT162" s="15"/>
      <c r="AU162" s="15"/>
      <c r="AV162" s="15" t="s">
        <v>328</v>
      </c>
      <c r="AW162" s="15"/>
      <c r="AX162" s="15">
        <v>2</v>
      </c>
      <c r="AY162" s="15">
        <v>3</v>
      </c>
      <c r="AZ162" s="15">
        <v>1</v>
      </c>
      <c r="BA162" s="15"/>
      <c r="BB162" s="15" t="s">
        <v>328</v>
      </c>
      <c r="BC162" s="15"/>
      <c r="BD162" s="15"/>
      <c r="BE162" s="15"/>
      <c r="BF162" s="15"/>
      <c r="BG162" s="15" t="s">
        <v>328</v>
      </c>
      <c r="BH162" s="15"/>
      <c r="BI162" s="15"/>
      <c r="BJ162" s="15"/>
      <c r="BK162" s="15"/>
      <c r="BL162" s="15"/>
      <c r="BM162" s="15"/>
      <c r="BN162" s="15"/>
      <c r="BO162" s="15" t="s">
        <v>328</v>
      </c>
      <c r="BP162" s="15"/>
      <c r="BQ162" s="15" t="s">
        <v>328</v>
      </c>
      <c r="BR162" s="15" t="s">
        <v>328</v>
      </c>
      <c r="BS162" s="15"/>
      <c r="BT162" s="15"/>
      <c r="BU162" s="15"/>
      <c r="BV162" s="15"/>
      <c r="BW162" s="15"/>
      <c r="BX162" s="15"/>
      <c r="BY162" s="15"/>
      <c r="BZ162" s="15"/>
      <c r="CA162" s="15"/>
      <c r="CB162" s="15" t="s">
        <v>328</v>
      </c>
      <c r="CC162" s="15" t="s">
        <v>328</v>
      </c>
      <c r="CD162" s="15" t="s">
        <v>328</v>
      </c>
      <c r="CE162" s="15"/>
      <c r="CF162" s="15"/>
      <c r="CG162" s="15"/>
      <c r="CH162" s="15"/>
      <c r="CI162" s="15" t="s">
        <v>328</v>
      </c>
      <c r="CJ162" s="15"/>
      <c r="CK162" s="15"/>
      <c r="CL162" s="15"/>
      <c r="CM162" s="15"/>
      <c r="CN162" s="15">
        <v>4</v>
      </c>
      <c r="CO162" s="15">
        <v>1</v>
      </c>
      <c r="CP162" s="15">
        <v>2</v>
      </c>
      <c r="CQ162" s="15">
        <v>6</v>
      </c>
      <c r="CR162" s="15">
        <v>3</v>
      </c>
      <c r="CS162" s="15">
        <v>5</v>
      </c>
      <c r="CT162" s="15"/>
      <c r="CU162" s="15"/>
      <c r="CV162" s="15"/>
      <c r="CW162" s="15"/>
      <c r="CX162" s="15" t="s">
        <v>328</v>
      </c>
      <c r="CY162" s="15"/>
      <c r="CZ162" s="15"/>
      <c r="DA162" s="15"/>
      <c r="DB162" s="15"/>
      <c r="DC162" s="15">
        <v>5</v>
      </c>
      <c r="DD162" s="15">
        <v>1</v>
      </c>
      <c r="DE162" s="15">
        <v>2</v>
      </c>
      <c r="DF162" s="15">
        <v>3</v>
      </c>
      <c r="DG162" s="15">
        <v>6</v>
      </c>
      <c r="DH162" s="15">
        <v>4</v>
      </c>
      <c r="DI162" s="15"/>
      <c r="DJ162" s="15" t="s">
        <v>328</v>
      </c>
      <c r="DK162" s="15"/>
      <c r="DL162" s="15"/>
      <c r="DM162" s="15"/>
      <c r="DN162" s="15"/>
      <c r="DO162" s="15"/>
      <c r="DP162" s="14" t="s">
        <v>333</v>
      </c>
      <c r="DQ162" s="15" t="s">
        <v>328</v>
      </c>
      <c r="DR162" s="15"/>
      <c r="DS162" s="15"/>
      <c r="DT162" s="15"/>
      <c r="DU162" s="15"/>
      <c r="DV162" s="15"/>
      <c r="DW162" s="15"/>
      <c r="DX162" s="15" t="s">
        <v>333</v>
      </c>
      <c r="DY162" s="15" t="s">
        <v>328</v>
      </c>
      <c r="DZ162" s="15"/>
      <c r="EA162" s="15"/>
      <c r="EB162" s="15"/>
      <c r="EC162" s="15"/>
      <c r="ED162" s="15"/>
      <c r="EE162" s="102" t="s">
        <v>333</v>
      </c>
      <c r="EF162" s="99"/>
      <c r="EG162" s="17">
        <f t="shared" si="2"/>
        <v>0</v>
      </c>
    </row>
    <row r="163" spans="1:137" x14ac:dyDescent="0.25">
      <c r="A163" s="50" t="s">
        <v>1855</v>
      </c>
      <c r="B163" s="208">
        <v>41548</v>
      </c>
      <c r="C163" s="209" t="s">
        <v>2750</v>
      </c>
      <c r="D163" s="61" t="s">
        <v>646</v>
      </c>
      <c r="E163" s="15" t="s">
        <v>328</v>
      </c>
      <c r="F163" s="15"/>
      <c r="G163" s="15">
        <v>51</v>
      </c>
      <c r="H163" s="15" t="s">
        <v>329</v>
      </c>
      <c r="I163" s="15" t="s">
        <v>330</v>
      </c>
      <c r="J163" s="15" t="s">
        <v>784</v>
      </c>
      <c r="K163" s="15" t="s">
        <v>1260</v>
      </c>
      <c r="L163" s="15" t="s">
        <v>1288</v>
      </c>
      <c r="M163" s="15">
        <v>30</v>
      </c>
      <c r="N163" s="15">
        <v>1</v>
      </c>
      <c r="O163" s="15"/>
      <c r="P163" s="15"/>
      <c r="Q163" s="15"/>
      <c r="R163" s="15"/>
      <c r="S163" s="15"/>
      <c r="T163" s="15"/>
      <c r="U163" s="15"/>
      <c r="V163" s="15"/>
      <c r="W163" s="15">
        <v>1</v>
      </c>
      <c r="X163" s="15"/>
      <c r="Y163" s="15"/>
      <c r="Z163" s="15"/>
      <c r="AA163" s="15"/>
      <c r="AB163" s="15"/>
      <c r="AC163" s="15"/>
      <c r="AD163" s="15"/>
      <c r="AE163" s="15" t="s">
        <v>328</v>
      </c>
      <c r="AF163" s="15"/>
      <c r="AG163" s="15"/>
      <c r="AH163" s="15"/>
      <c r="AI163" s="15"/>
      <c r="AJ163" s="15"/>
      <c r="AK163" s="15"/>
      <c r="AL163" s="15" t="s">
        <v>328</v>
      </c>
      <c r="AM163" s="15"/>
      <c r="AN163" s="15"/>
      <c r="AO163" s="15"/>
      <c r="AP163" s="15"/>
      <c r="AQ163" s="15" t="s">
        <v>328</v>
      </c>
      <c r="AR163" s="15">
        <v>10</v>
      </c>
      <c r="AS163" s="15">
        <v>1</v>
      </c>
      <c r="AT163" s="15"/>
      <c r="AU163" s="15"/>
      <c r="AV163" s="15" t="s">
        <v>328</v>
      </c>
      <c r="AW163" s="15"/>
      <c r="AX163" s="15">
        <v>1</v>
      </c>
      <c r="AY163" s="15">
        <v>2</v>
      </c>
      <c r="AZ163" s="15">
        <v>3</v>
      </c>
      <c r="BA163" s="15"/>
      <c r="BB163" s="15" t="s">
        <v>328</v>
      </c>
      <c r="BC163" s="15"/>
      <c r="BD163" s="15"/>
      <c r="BE163" s="15" t="s">
        <v>328</v>
      </c>
      <c r="BF163" s="15"/>
      <c r="BG163" s="15"/>
      <c r="BH163" s="15"/>
      <c r="BI163" s="15"/>
      <c r="BJ163" s="15"/>
      <c r="BK163" s="15"/>
      <c r="BL163" s="15"/>
      <c r="BM163" s="15"/>
      <c r="BN163" s="15"/>
      <c r="BO163" s="15" t="s">
        <v>328</v>
      </c>
      <c r="BP163" s="15"/>
      <c r="BQ163" s="15" t="s">
        <v>328</v>
      </c>
      <c r="BR163" s="15" t="s">
        <v>328</v>
      </c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 t="s">
        <v>328</v>
      </c>
      <c r="CE163" s="15"/>
      <c r="CF163" s="15"/>
      <c r="CG163" s="15"/>
      <c r="CH163" s="15"/>
      <c r="CI163" s="15"/>
      <c r="CJ163" s="15" t="s">
        <v>328</v>
      </c>
      <c r="CK163" s="15"/>
      <c r="CL163" s="15"/>
      <c r="CM163" s="15"/>
      <c r="CN163" s="15">
        <v>3</v>
      </c>
      <c r="CO163" s="15">
        <v>2</v>
      </c>
      <c r="CP163" s="15">
        <v>1</v>
      </c>
      <c r="CQ163" s="15">
        <v>6</v>
      </c>
      <c r="CR163" s="15">
        <v>5</v>
      </c>
      <c r="CS163" s="15">
        <v>4</v>
      </c>
      <c r="CT163" s="15"/>
      <c r="CU163" s="15"/>
      <c r="CV163" s="15"/>
      <c r="CW163" s="15"/>
      <c r="CX163" s="15"/>
      <c r="CY163" s="15"/>
      <c r="CZ163" s="15" t="s">
        <v>332</v>
      </c>
      <c r="DA163" s="15"/>
      <c r="DB163" s="15"/>
      <c r="DC163" s="15">
        <v>1</v>
      </c>
      <c r="DD163" s="15">
        <v>4</v>
      </c>
      <c r="DE163" s="15">
        <v>3</v>
      </c>
      <c r="DF163" s="15">
        <v>5</v>
      </c>
      <c r="DG163" s="15">
        <v>2</v>
      </c>
      <c r="DH163" s="15">
        <v>6</v>
      </c>
      <c r="DI163" s="15"/>
      <c r="DJ163" s="15" t="s">
        <v>328</v>
      </c>
      <c r="DK163" s="15"/>
      <c r="DL163" s="15"/>
      <c r="DM163" s="15"/>
      <c r="DN163" s="15"/>
      <c r="DO163" s="15"/>
      <c r="DP163" s="14" t="s">
        <v>1146</v>
      </c>
      <c r="DQ163" s="15" t="s">
        <v>328</v>
      </c>
      <c r="DR163" s="15"/>
      <c r="DS163" s="15"/>
      <c r="DT163" s="15"/>
      <c r="DU163" s="15"/>
      <c r="DV163" s="15"/>
      <c r="DW163" s="15"/>
      <c r="DX163" s="15" t="s">
        <v>450</v>
      </c>
      <c r="DY163" s="15" t="s">
        <v>328</v>
      </c>
      <c r="DZ163" s="15"/>
      <c r="EA163" s="15"/>
      <c r="EB163" s="15"/>
      <c r="EC163" s="15"/>
      <c r="ED163" s="15"/>
      <c r="EE163" s="102" t="s">
        <v>450</v>
      </c>
      <c r="EF163" s="99"/>
      <c r="EG163" s="17">
        <f t="shared" si="2"/>
        <v>0</v>
      </c>
    </row>
    <row r="164" spans="1:137" x14ac:dyDescent="0.25">
      <c r="A164" s="50" t="s">
        <v>1855</v>
      </c>
      <c r="B164" s="208">
        <v>41548</v>
      </c>
      <c r="C164" s="209" t="s">
        <v>2750</v>
      </c>
      <c r="D164" s="61" t="s">
        <v>647</v>
      </c>
      <c r="E164" s="15" t="s">
        <v>328</v>
      </c>
      <c r="F164" s="15"/>
      <c r="G164" s="15">
        <v>26</v>
      </c>
      <c r="H164" s="15" t="s">
        <v>329</v>
      </c>
      <c r="I164" s="15" t="s">
        <v>357</v>
      </c>
      <c r="J164" s="15" t="s">
        <v>785</v>
      </c>
      <c r="K164" s="15" t="s">
        <v>1260</v>
      </c>
      <c r="L164" s="15" t="s">
        <v>1288</v>
      </c>
      <c r="M164" s="15">
        <v>4</v>
      </c>
      <c r="N164" s="15">
        <v>1</v>
      </c>
      <c r="O164" s="15">
        <v>1</v>
      </c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 t="s">
        <v>328</v>
      </c>
      <c r="AG164" s="15"/>
      <c r="AH164" s="15" t="s">
        <v>328</v>
      </c>
      <c r="AI164" s="15"/>
      <c r="AJ164" s="15"/>
      <c r="AK164" s="15"/>
      <c r="AL164" s="15" t="s">
        <v>328</v>
      </c>
      <c r="AM164" s="15"/>
      <c r="AN164" s="15"/>
      <c r="AO164" s="15"/>
      <c r="AP164" s="15" t="s">
        <v>328</v>
      </c>
      <c r="AQ164" s="15"/>
      <c r="AR164" s="15">
        <v>10</v>
      </c>
      <c r="AS164" s="15">
        <v>1</v>
      </c>
      <c r="AT164" s="15"/>
      <c r="AU164" s="15"/>
      <c r="AV164" s="15" t="s">
        <v>328</v>
      </c>
      <c r="AW164" s="15"/>
      <c r="AX164" s="15">
        <v>1</v>
      </c>
      <c r="AY164" s="15">
        <v>2</v>
      </c>
      <c r="AZ164" s="15">
        <v>3</v>
      </c>
      <c r="BA164" s="15"/>
      <c r="BB164" s="15" t="s">
        <v>328</v>
      </c>
      <c r="BC164" s="15"/>
      <c r="BD164" s="15"/>
      <c r="BE164" s="15"/>
      <c r="BF164" s="15"/>
      <c r="BG164" s="15" t="s">
        <v>328</v>
      </c>
      <c r="BH164" s="15"/>
      <c r="BI164" s="15"/>
      <c r="BJ164" s="15"/>
      <c r="BK164" s="15"/>
      <c r="BL164" s="15"/>
      <c r="BM164" s="15"/>
      <c r="BN164" s="15"/>
      <c r="BO164" s="15" t="s">
        <v>328</v>
      </c>
      <c r="BP164" s="15"/>
      <c r="BQ164" s="15" t="s">
        <v>328</v>
      </c>
      <c r="BR164" s="15"/>
      <c r="BS164" s="15" t="s">
        <v>328</v>
      </c>
      <c r="BT164" s="15"/>
      <c r="BU164" s="15"/>
      <c r="BV164" s="15"/>
      <c r="BW164" s="15" t="s">
        <v>328</v>
      </c>
      <c r="BX164" s="15"/>
      <c r="BY164" s="15"/>
      <c r="BZ164" s="15"/>
      <c r="CA164" s="15"/>
      <c r="CB164" s="15"/>
      <c r="CC164" s="15" t="s">
        <v>328</v>
      </c>
      <c r="CD164" s="15"/>
      <c r="CE164" s="15"/>
      <c r="CF164" s="15"/>
      <c r="CG164" s="15"/>
      <c r="CH164" s="15"/>
      <c r="CI164" s="15" t="s">
        <v>328</v>
      </c>
      <c r="CJ164" s="15"/>
      <c r="CK164" s="15"/>
      <c r="CL164" s="15"/>
      <c r="CM164" s="15"/>
      <c r="CN164" s="15">
        <v>1</v>
      </c>
      <c r="CO164" s="15">
        <v>6</v>
      </c>
      <c r="CP164" s="15">
        <v>2</v>
      </c>
      <c r="CQ164" s="15">
        <v>4</v>
      </c>
      <c r="CR164" s="15">
        <v>5</v>
      </c>
      <c r="CS164" s="15">
        <v>3</v>
      </c>
      <c r="CT164" s="15"/>
      <c r="CU164" s="15" t="s">
        <v>328</v>
      </c>
      <c r="CV164" s="15"/>
      <c r="CW164" s="15"/>
      <c r="CX164" s="15"/>
      <c r="CY164" s="15"/>
      <c r="CZ164" s="15"/>
      <c r="DA164" s="15"/>
      <c r="DB164" s="15"/>
      <c r="DC164" s="15">
        <v>2</v>
      </c>
      <c r="DD164" s="15">
        <v>6</v>
      </c>
      <c r="DE164" s="15">
        <v>1</v>
      </c>
      <c r="DF164" s="15">
        <v>3</v>
      </c>
      <c r="DG164" s="15">
        <v>5</v>
      </c>
      <c r="DH164" s="15">
        <v>4</v>
      </c>
      <c r="DI164" s="15"/>
      <c r="DJ164" s="15" t="s">
        <v>328</v>
      </c>
      <c r="DK164" s="15"/>
      <c r="DL164" s="15"/>
      <c r="DM164" s="15"/>
      <c r="DN164" s="15"/>
      <c r="DO164" s="15"/>
      <c r="DP164" s="15" t="s">
        <v>411</v>
      </c>
      <c r="DQ164" s="15" t="s">
        <v>328</v>
      </c>
      <c r="DR164" s="15"/>
      <c r="DS164" s="15"/>
      <c r="DT164" s="15"/>
      <c r="DU164" s="15"/>
      <c r="DV164" s="15"/>
      <c r="DW164" s="15"/>
      <c r="DX164" s="15" t="s">
        <v>1144</v>
      </c>
      <c r="DY164" s="15" t="s">
        <v>328</v>
      </c>
      <c r="DZ164" s="15"/>
      <c r="EA164" s="15"/>
      <c r="EB164" s="15"/>
      <c r="EC164" s="15"/>
      <c r="ED164" s="15"/>
      <c r="EE164" s="102" t="s">
        <v>450</v>
      </c>
      <c r="EF164" s="99"/>
      <c r="EG164" s="17">
        <f t="shared" si="2"/>
        <v>0</v>
      </c>
    </row>
    <row r="165" spans="1:137" x14ac:dyDescent="0.25">
      <c r="A165" s="50" t="s">
        <v>1855</v>
      </c>
      <c r="B165" s="208">
        <v>41548</v>
      </c>
      <c r="C165" s="209" t="s">
        <v>2750</v>
      </c>
      <c r="D165" s="61" t="s">
        <v>648</v>
      </c>
      <c r="E165" s="15" t="s">
        <v>328</v>
      </c>
      <c r="F165" s="15"/>
      <c r="G165" s="15">
        <v>38</v>
      </c>
      <c r="H165" s="15" t="s">
        <v>329</v>
      </c>
      <c r="I165" s="15" t="s">
        <v>357</v>
      </c>
      <c r="J165" s="15" t="s">
        <v>578</v>
      </c>
      <c r="K165" s="15" t="s">
        <v>1247</v>
      </c>
      <c r="L165" s="15" t="s">
        <v>1288</v>
      </c>
      <c r="M165" s="15">
        <v>15</v>
      </c>
      <c r="N165" s="15">
        <v>2</v>
      </c>
      <c r="O165" s="15">
        <v>2</v>
      </c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 t="s">
        <v>328</v>
      </c>
      <c r="AG165" s="15"/>
      <c r="AH165" s="15" t="s">
        <v>328</v>
      </c>
      <c r="AI165" s="15"/>
      <c r="AJ165" s="15"/>
      <c r="AK165" s="15"/>
      <c r="AL165" s="15" t="s">
        <v>328</v>
      </c>
      <c r="AM165" s="15"/>
      <c r="AN165" s="15"/>
      <c r="AO165" s="15"/>
      <c r="AP165" s="15" t="s">
        <v>328</v>
      </c>
      <c r="AQ165" s="15"/>
      <c r="AR165" s="15">
        <v>10</v>
      </c>
      <c r="AS165" s="15">
        <v>1</v>
      </c>
      <c r="AT165" s="15"/>
      <c r="AU165" s="15"/>
      <c r="AV165" s="15" t="s">
        <v>328</v>
      </c>
      <c r="AW165" s="15"/>
      <c r="AX165" s="15">
        <v>1</v>
      </c>
      <c r="AY165" s="15">
        <v>3</v>
      </c>
      <c r="AZ165" s="15">
        <v>2</v>
      </c>
      <c r="BA165" s="15"/>
      <c r="BB165" s="15" t="s">
        <v>328</v>
      </c>
      <c r="BC165" s="15"/>
      <c r="BD165" s="15"/>
      <c r="BE165" s="15"/>
      <c r="BF165" s="15"/>
      <c r="BG165" s="15" t="s">
        <v>328</v>
      </c>
      <c r="BH165" s="15"/>
      <c r="BI165" s="15"/>
      <c r="BJ165" s="15"/>
      <c r="BK165" s="15"/>
      <c r="BL165" s="15"/>
      <c r="BM165" s="15"/>
      <c r="BN165" s="15"/>
      <c r="BO165" s="15" t="s">
        <v>328</v>
      </c>
      <c r="BP165" s="15"/>
      <c r="BQ165" s="15" t="s">
        <v>328</v>
      </c>
      <c r="BR165" s="15"/>
      <c r="BS165" s="15" t="s">
        <v>328</v>
      </c>
      <c r="BT165" s="15" t="s">
        <v>328</v>
      </c>
      <c r="BU165" s="15"/>
      <c r="BV165" s="15"/>
      <c r="BW165" s="15"/>
      <c r="BX165" s="15"/>
      <c r="BY165" s="15"/>
      <c r="BZ165" s="15"/>
      <c r="CA165" s="15"/>
      <c r="CB165" s="15"/>
      <c r="CC165" s="15" t="s">
        <v>328</v>
      </c>
      <c r="CD165" s="15"/>
      <c r="CE165" s="15"/>
      <c r="CF165" s="15"/>
      <c r="CG165" s="15" t="s">
        <v>328</v>
      </c>
      <c r="CH165" s="15"/>
      <c r="CI165" s="15" t="s">
        <v>328</v>
      </c>
      <c r="CJ165" s="15"/>
      <c r="CK165" s="15"/>
      <c r="CL165" s="15"/>
      <c r="CM165" s="15"/>
      <c r="CN165" s="15">
        <v>3</v>
      </c>
      <c r="CO165" s="15">
        <v>1</v>
      </c>
      <c r="CP165" s="15">
        <v>2</v>
      </c>
      <c r="CQ165" s="15">
        <v>5</v>
      </c>
      <c r="CR165" s="15">
        <v>6</v>
      </c>
      <c r="CS165" s="15">
        <v>4</v>
      </c>
      <c r="CT165" s="15"/>
      <c r="CU165" s="15"/>
      <c r="CV165" s="15"/>
      <c r="CW165" s="15"/>
      <c r="CX165" s="15" t="s">
        <v>328</v>
      </c>
      <c r="CY165" s="15"/>
      <c r="CZ165" s="15"/>
      <c r="DA165" s="15"/>
      <c r="DB165" s="15"/>
      <c r="DC165" s="15">
        <v>1</v>
      </c>
      <c r="DD165" s="15">
        <v>2</v>
      </c>
      <c r="DE165" s="15">
        <v>3</v>
      </c>
      <c r="DF165" s="15">
        <v>4</v>
      </c>
      <c r="DG165" s="15">
        <v>6</v>
      </c>
      <c r="DH165" s="15">
        <v>5</v>
      </c>
      <c r="DI165" s="15"/>
      <c r="DJ165" s="15" t="s">
        <v>328</v>
      </c>
      <c r="DK165" s="15"/>
      <c r="DL165" s="15"/>
      <c r="DM165" s="15"/>
      <c r="DN165" s="15"/>
      <c r="DO165" s="15"/>
      <c r="DP165" s="14" t="s">
        <v>333</v>
      </c>
      <c r="DQ165" s="15" t="s">
        <v>328</v>
      </c>
      <c r="DR165" s="15"/>
      <c r="DS165" s="15"/>
      <c r="DT165" s="15"/>
      <c r="DU165" s="15"/>
      <c r="DV165" s="15"/>
      <c r="DW165" s="15"/>
      <c r="DX165" s="15" t="s">
        <v>474</v>
      </c>
      <c r="DY165" s="15" t="s">
        <v>328</v>
      </c>
      <c r="DZ165" s="15"/>
      <c r="EA165" s="15"/>
      <c r="EB165" s="15"/>
      <c r="EC165" s="15"/>
      <c r="ED165" s="15"/>
      <c r="EE165" s="102" t="s">
        <v>450</v>
      </c>
      <c r="EF165" s="99"/>
      <c r="EG165" s="17">
        <f t="shared" si="2"/>
        <v>0</v>
      </c>
    </row>
    <row r="166" spans="1:137" x14ac:dyDescent="0.25">
      <c r="A166" s="50" t="s">
        <v>1855</v>
      </c>
      <c r="B166" s="208">
        <v>41548</v>
      </c>
      <c r="C166" s="209" t="s">
        <v>2750</v>
      </c>
      <c r="D166" s="61" t="s">
        <v>649</v>
      </c>
      <c r="E166" s="15" t="s">
        <v>328</v>
      </c>
      <c r="F166" s="15"/>
      <c r="G166" s="15">
        <v>52</v>
      </c>
      <c r="H166" s="15" t="s">
        <v>329</v>
      </c>
      <c r="I166" s="15" t="s">
        <v>353</v>
      </c>
      <c r="J166" s="15" t="s">
        <v>785</v>
      </c>
      <c r="K166" s="15" t="s">
        <v>1262</v>
      </c>
      <c r="L166" s="15" t="s">
        <v>1288</v>
      </c>
      <c r="M166" s="15">
        <v>0</v>
      </c>
      <c r="N166" s="15">
        <v>1</v>
      </c>
      <c r="O166" s="15"/>
      <c r="P166" s="15"/>
      <c r="Q166" s="15"/>
      <c r="R166" s="15"/>
      <c r="S166" s="15"/>
      <c r="T166" s="15"/>
      <c r="U166" s="15"/>
      <c r="V166" s="15">
        <v>1</v>
      </c>
      <c r="W166" s="15"/>
      <c r="X166" s="15"/>
      <c r="Y166" s="15"/>
      <c r="Z166" s="15"/>
      <c r="AA166" s="15"/>
      <c r="AB166" s="15"/>
      <c r="AC166" s="15"/>
      <c r="AD166" s="15"/>
      <c r="AE166" s="15"/>
      <c r="AF166" s="15" t="s">
        <v>328</v>
      </c>
      <c r="AG166" s="15"/>
      <c r="AH166" s="15"/>
      <c r="AI166" s="15"/>
      <c r="AJ166" s="15"/>
      <c r="AK166" s="15" t="s">
        <v>1165</v>
      </c>
      <c r="AL166" s="15" t="s">
        <v>328</v>
      </c>
      <c r="AM166" s="15"/>
      <c r="AN166" s="15" t="s">
        <v>328</v>
      </c>
      <c r="AO166" s="15"/>
      <c r="AP166" s="15"/>
      <c r="AQ166" s="15"/>
      <c r="AR166" s="15">
        <v>10</v>
      </c>
      <c r="AS166" s="15">
        <v>1</v>
      </c>
      <c r="AT166" s="15"/>
      <c r="AU166" s="15"/>
      <c r="AV166" s="15" t="s">
        <v>328</v>
      </c>
      <c r="AW166" s="15"/>
      <c r="AX166" s="15">
        <v>1</v>
      </c>
      <c r="AY166" s="15">
        <v>2</v>
      </c>
      <c r="AZ166" s="15">
        <v>3</v>
      </c>
      <c r="BA166" s="15"/>
      <c r="BB166" s="15" t="s">
        <v>328</v>
      </c>
      <c r="BC166" s="15"/>
      <c r="BD166" s="15"/>
      <c r="BE166" s="15"/>
      <c r="BF166" s="15"/>
      <c r="BG166" s="15"/>
      <c r="BH166" s="15"/>
      <c r="BI166" s="15" t="s">
        <v>328</v>
      </c>
      <c r="BJ166" s="15"/>
      <c r="BK166" s="15"/>
      <c r="BL166" s="15"/>
      <c r="BM166" s="15"/>
      <c r="BN166" s="15"/>
      <c r="BO166" s="15" t="s">
        <v>328</v>
      </c>
      <c r="BP166" s="15"/>
      <c r="BQ166" s="15" t="s">
        <v>328</v>
      </c>
      <c r="BR166" s="15"/>
      <c r="BS166" s="15" t="s">
        <v>328</v>
      </c>
      <c r="BT166" s="15"/>
      <c r="BU166" s="15"/>
      <c r="BV166" s="15"/>
      <c r="BW166" s="15" t="s">
        <v>328</v>
      </c>
      <c r="BX166" s="15"/>
      <c r="BY166" s="15"/>
      <c r="BZ166" s="15"/>
      <c r="CA166" s="15"/>
      <c r="CB166" s="15"/>
      <c r="CC166" s="15"/>
      <c r="CD166" s="15"/>
      <c r="CE166" s="15"/>
      <c r="CF166" s="15" t="s">
        <v>328</v>
      </c>
      <c r="CG166" s="15" t="s">
        <v>328</v>
      </c>
      <c r="CH166" s="15"/>
      <c r="CI166" s="15"/>
      <c r="CJ166" s="15" t="s">
        <v>328</v>
      </c>
      <c r="CK166" s="15"/>
      <c r="CL166" s="15"/>
      <c r="CM166" s="15"/>
      <c r="CN166" s="15">
        <v>3</v>
      </c>
      <c r="CO166" s="15">
        <v>2</v>
      </c>
      <c r="CP166" s="15">
        <v>1</v>
      </c>
      <c r="CQ166" s="15">
        <v>5</v>
      </c>
      <c r="CR166" s="15">
        <v>6</v>
      </c>
      <c r="CS166" s="15">
        <v>4</v>
      </c>
      <c r="CT166" s="15"/>
      <c r="CU166" s="15"/>
      <c r="CV166" s="15"/>
      <c r="CW166" s="15"/>
      <c r="CX166" s="15"/>
      <c r="CY166" s="15"/>
      <c r="CZ166" s="15" t="s">
        <v>332</v>
      </c>
      <c r="DA166" s="15"/>
      <c r="DB166" s="15"/>
      <c r="DC166" s="15">
        <v>1</v>
      </c>
      <c r="DD166" s="15">
        <v>4</v>
      </c>
      <c r="DE166" s="15">
        <v>3</v>
      </c>
      <c r="DF166" s="15">
        <v>5</v>
      </c>
      <c r="DG166" s="15">
        <v>2</v>
      </c>
      <c r="DH166" s="15">
        <v>6</v>
      </c>
      <c r="DI166" s="15"/>
      <c r="DJ166" s="15" t="s">
        <v>328</v>
      </c>
      <c r="DK166" s="15"/>
      <c r="DL166" s="15"/>
      <c r="DM166" s="15"/>
      <c r="DN166" s="15"/>
      <c r="DO166" s="15"/>
      <c r="DP166" s="15" t="s">
        <v>411</v>
      </c>
      <c r="DQ166" s="15" t="s">
        <v>328</v>
      </c>
      <c r="DR166" s="15"/>
      <c r="DS166" s="15"/>
      <c r="DT166" s="15"/>
      <c r="DU166" s="15"/>
      <c r="DV166" s="15"/>
      <c r="DW166" s="15"/>
      <c r="DX166" s="15" t="s">
        <v>411</v>
      </c>
      <c r="DY166" s="15" t="s">
        <v>328</v>
      </c>
      <c r="DZ166" s="15"/>
      <c r="EA166" s="15"/>
      <c r="EB166" s="15"/>
      <c r="EC166" s="15"/>
      <c r="ED166" s="15"/>
      <c r="EE166" s="102" t="s">
        <v>411</v>
      </c>
      <c r="EF166" s="99"/>
      <c r="EG166" s="17">
        <f t="shared" si="2"/>
        <v>0</v>
      </c>
    </row>
    <row r="167" spans="1:137" x14ac:dyDescent="0.25">
      <c r="A167" s="50" t="s">
        <v>1855</v>
      </c>
      <c r="B167" s="208">
        <v>41548</v>
      </c>
      <c r="C167" s="209" t="s">
        <v>2750</v>
      </c>
      <c r="D167" s="61" t="s">
        <v>650</v>
      </c>
      <c r="E167" s="15" t="s">
        <v>328</v>
      </c>
      <c r="F167" s="15"/>
      <c r="G167" s="15">
        <v>51</v>
      </c>
      <c r="H167" s="15" t="s">
        <v>329</v>
      </c>
      <c r="I167" s="15" t="s">
        <v>330</v>
      </c>
      <c r="J167" s="15" t="s">
        <v>785</v>
      </c>
      <c r="K167" s="15" t="s">
        <v>1262</v>
      </c>
      <c r="L167" s="15" t="s">
        <v>1288</v>
      </c>
      <c r="M167" s="15">
        <v>30</v>
      </c>
      <c r="N167" s="15">
        <v>1</v>
      </c>
      <c r="O167" s="15"/>
      <c r="P167" s="15"/>
      <c r="Q167" s="15"/>
      <c r="R167" s="15"/>
      <c r="S167" s="15"/>
      <c r="T167" s="15"/>
      <c r="U167" s="15"/>
      <c r="V167" s="15">
        <v>1</v>
      </c>
      <c r="W167" s="15"/>
      <c r="X167" s="15"/>
      <c r="Y167" s="15"/>
      <c r="Z167" s="15"/>
      <c r="AA167" s="15"/>
      <c r="AB167" s="15"/>
      <c r="AC167" s="15"/>
      <c r="AD167" s="15"/>
      <c r="AE167" s="15"/>
      <c r="AF167" s="15" t="s">
        <v>328</v>
      </c>
      <c r="AG167" s="15"/>
      <c r="AH167" s="15"/>
      <c r="AI167" s="15"/>
      <c r="AJ167" s="15"/>
      <c r="AK167" s="15" t="s">
        <v>1165</v>
      </c>
      <c r="AL167" s="15" t="s">
        <v>328</v>
      </c>
      <c r="AM167" s="15"/>
      <c r="AN167" s="15" t="s">
        <v>328</v>
      </c>
      <c r="AO167" s="15"/>
      <c r="AP167" s="15"/>
      <c r="AQ167" s="15"/>
      <c r="AR167" s="15">
        <v>10</v>
      </c>
      <c r="AS167" s="15">
        <v>5</v>
      </c>
      <c r="AT167" s="15"/>
      <c r="AU167" s="15"/>
      <c r="AV167" s="15" t="s">
        <v>328</v>
      </c>
      <c r="AW167" s="15"/>
      <c r="AX167" s="15">
        <v>1</v>
      </c>
      <c r="AY167" s="15">
        <v>3</v>
      </c>
      <c r="AZ167" s="15">
        <v>2</v>
      </c>
      <c r="BA167" s="15"/>
      <c r="BB167" s="15" t="s">
        <v>328</v>
      </c>
      <c r="BC167" s="15"/>
      <c r="BD167" s="15"/>
      <c r="BE167" s="15"/>
      <c r="BF167" s="15"/>
      <c r="BG167" s="15"/>
      <c r="BH167" s="15"/>
      <c r="BI167" s="15" t="s">
        <v>328</v>
      </c>
      <c r="BJ167" s="15"/>
      <c r="BK167" s="15"/>
      <c r="BL167" s="15"/>
      <c r="BM167" s="15"/>
      <c r="BN167" s="15"/>
      <c r="BO167" s="15" t="s">
        <v>328</v>
      </c>
      <c r="BP167" s="15"/>
      <c r="BQ167" s="15" t="s">
        <v>328</v>
      </c>
      <c r="BR167" s="15"/>
      <c r="BS167" s="15" t="s">
        <v>328</v>
      </c>
      <c r="BT167" s="15"/>
      <c r="BU167" s="15"/>
      <c r="BV167" s="15"/>
      <c r="BW167" s="15" t="s">
        <v>328</v>
      </c>
      <c r="BX167" s="15"/>
      <c r="BY167" s="15"/>
      <c r="BZ167" s="15"/>
      <c r="CA167" s="15"/>
      <c r="CB167" s="15" t="s">
        <v>328</v>
      </c>
      <c r="CC167" s="15" t="s">
        <v>328</v>
      </c>
      <c r="CD167" s="15"/>
      <c r="CE167" s="15"/>
      <c r="CF167" s="15"/>
      <c r="CG167" s="15"/>
      <c r="CH167" s="15"/>
      <c r="CI167" s="15"/>
      <c r="CJ167" s="15" t="s">
        <v>328</v>
      </c>
      <c r="CK167" s="15"/>
      <c r="CL167" s="15"/>
      <c r="CM167" s="15"/>
      <c r="CN167" s="15">
        <v>3</v>
      </c>
      <c r="CO167" s="15">
        <v>1</v>
      </c>
      <c r="CP167" s="15">
        <v>2</v>
      </c>
      <c r="CQ167" s="15">
        <v>5</v>
      </c>
      <c r="CR167" s="15">
        <v>6</v>
      </c>
      <c r="CS167" s="15">
        <v>4</v>
      </c>
      <c r="CT167" s="15" t="s">
        <v>328</v>
      </c>
      <c r="CU167" s="15"/>
      <c r="CV167" s="15"/>
      <c r="CW167" s="15"/>
      <c r="CX167" s="15"/>
      <c r="CY167" s="15"/>
      <c r="CZ167" s="15"/>
      <c r="DA167" s="15"/>
      <c r="DB167" s="15"/>
      <c r="DC167" s="15">
        <v>3</v>
      </c>
      <c r="DD167" s="15">
        <v>4</v>
      </c>
      <c r="DE167" s="15">
        <v>2</v>
      </c>
      <c r="DF167" s="15">
        <v>5</v>
      </c>
      <c r="DG167" s="15">
        <v>1</v>
      </c>
      <c r="DH167" s="15">
        <v>6</v>
      </c>
      <c r="DI167" s="15"/>
      <c r="DJ167" s="15" t="s">
        <v>328</v>
      </c>
      <c r="DK167" s="15"/>
      <c r="DL167" s="15"/>
      <c r="DM167" s="15"/>
      <c r="DN167" s="15"/>
      <c r="DO167" s="15"/>
      <c r="DP167" s="14" t="s">
        <v>333</v>
      </c>
      <c r="DQ167" s="15" t="s">
        <v>328</v>
      </c>
      <c r="DR167" s="15"/>
      <c r="DS167" s="15"/>
      <c r="DT167" s="15"/>
      <c r="DU167" s="15"/>
      <c r="DV167" s="15"/>
      <c r="DW167" s="15"/>
      <c r="DX167" s="15" t="s">
        <v>1155</v>
      </c>
      <c r="DY167" s="15" t="s">
        <v>328</v>
      </c>
      <c r="DZ167" s="15"/>
      <c r="EA167" s="15"/>
      <c r="EB167" s="15"/>
      <c r="EC167" s="15"/>
      <c r="ED167" s="15"/>
      <c r="EE167" s="102" t="s">
        <v>1155</v>
      </c>
      <c r="EF167" s="99"/>
      <c r="EG167" s="17">
        <f t="shared" si="2"/>
        <v>0</v>
      </c>
    </row>
    <row r="168" spans="1:137" x14ac:dyDescent="0.25">
      <c r="A168" s="50" t="s">
        <v>1855</v>
      </c>
      <c r="B168" s="208">
        <v>41549</v>
      </c>
      <c r="C168" s="210" t="s">
        <v>2751</v>
      </c>
      <c r="D168" s="61" t="s">
        <v>651</v>
      </c>
      <c r="E168" s="15" t="s">
        <v>328</v>
      </c>
      <c r="F168" s="15"/>
      <c r="G168" s="15">
        <v>56</v>
      </c>
      <c r="H168" s="15" t="s">
        <v>329</v>
      </c>
      <c r="I168" s="15" t="s">
        <v>330</v>
      </c>
      <c r="J168" s="15" t="s">
        <v>784</v>
      </c>
      <c r="K168" s="15" t="s">
        <v>1260</v>
      </c>
      <c r="L168" s="15" t="s">
        <v>1288</v>
      </c>
      <c r="M168" s="15">
        <v>30</v>
      </c>
      <c r="N168" s="15">
        <v>1</v>
      </c>
      <c r="O168" s="15"/>
      <c r="P168" s="15"/>
      <c r="Q168" s="15"/>
      <c r="R168" s="15"/>
      <c r="S168" s="15"/>
      <c r="T168" s="15"/>
      <c r="U168" s="15"/>
      <c r="V168" s="15"/>
      <c r="W168" s="15">
        <v>1</v>
      </c>
      <c r="X168" s="15"/>
      <c r="Y168" s="15"/>
      <c r="Z168" s="15"/>
      <c r="AA168" s="15"/>
      <c r="AB168" s="15"/>
      <c r="AC168" s="15"/>
      <c r="AD168" s="15"/>
      <c r="AE168" s="15" t="s">
        <v>328</v>
      </c>
      <c r="AF168" s="15"/>
      <c r="AG168" s="15"/>
      <c r="AH168" s="15"/>
      <c r="AI168" s="15"/>
      <c r="AJ168" s="15"/>
      <c r="AK168" s="15"/>
      <c r="AL168" s="15" t="s">
        <v>328</v>
      </c>
      <c r="AM168" s="15"/>
      <c r="AN168" s="15"/>
      <c r="AO168" s="15" t="s">
        <v>328</v>
      </c>
      <c r="AP168" s="15"/>
      <c r="AQ168" s="15"/>
      <c r="AR168" s="15">
        <v>10</v>
      </c>
      <c r="AS168" s="15">
        <v>1</v>
      </c>
      <c r="AT168" s="15"/>
      <c r="AU168" s="15"/>
      <c r="AV168" s="15" t="s">
        <v>328</v>
      </c>
      <c r="AW168" s="15"/>
      <c r="AX168" s="15">
        <v>3</v>
      </c>
      <c r="AY168" s="15">
        <v>1</v>
      </c>
      <c r="AZ168" s="15">
        <v>2</v>
      </c>
      <c r="BA168" s="15"/>
      <c r="BB168" s="15" t="s">
        <v>328</v>
      </c>
      <c r="BC168" s="15"/>
      <c r="BD168" s="15"/>
      <c r="BE168" s="15" t="s">
        <v>328</v>
      </c>
      <c r="BF168" s="15"/>
      <c r="BG168" s="15"/>
      <c r="BH168" s="15"/>
      <c r="BI168" s="15"/>
      <c r="BJ168" s="15"/>
      <c r="BK168" s="15"/>
      <c r="BL168" s="15"/>
      <c r="BM168" s="15"/>
      <c r="BN168" s="15"/>
      <c r="BO168" s="15" t="s">
        <v>328</v>
      </c>
      <c r="BP168" s="15"/>
      <c r="BQ168" s="15" t="s">
        <v>328</v>
      </c>
      <c r="BR168" s="15"/>
      <c r="BS168" s="15"/>
      <c r="BT168" s="15"/>
      <c r="BU168" s="15"/>
      <c r="BV168" s="15"/>
      <c r="BW168" s="15" t="s">
        <v>328</v>
      </c>
      <c r="BX168" s="15"/>
      <c r="BY168" s="15"/>
      <c r="BZ168" s="15"/>
      <c r="CA168" s="15"/>
      <c r="CB168" s="15" t="s">
        <v>328</v>
      </c>
      <c r="CC168" s="15"/>
      <c r="CD168" s="15"/>
      <c r="CE168" s="15"/>
      <c r="CF168" s="15" t="s">
        <v>328</v>
      </c>
      <c r="CG168" s="15"/>
      <c r="CH168" s="15"/>
      <c r="CI168" s="15"/>
      <c r="CJ168" s="15" t="s">
        <v>328</v>
      </c>
      <c r="CK168" s="15"/>
      <c r="CL168" s="15"/>
      <c r="CM168" s="15"/>
      <c r="CN168" s="15">
        <v>5</v>
      </c>
      <c r="CO168" s="15">
        <v>3</v>
      </c>
      <c r="CP168" s="15">
        <v>4</v>
      </c>
      <c r="CQ168" s="15">
        <v>1</v>
      </c>
      <c r="CR168" s="15">
        <v>2</v>
      </c>
      <c r="CS168" s="15">
        <v>6</v>
      </c>
      <c r="CT168" s="15"/>
      <c r="CU168" s="15"/>
      <c r="CV168" s="15"/>
      <c r="CW168" s="15"/>
      <c r="CX168" s="15" t="s">
        <v>328</v>
      </c>
      <c r="CY168" s="15"/>
      <c r="CZ168" s="15"/>
      <c r="DA168" s="15"/>
      <c r="DB168" s="15"/>
      <c r="DC168" s="15">
        <v>1</v>
      </c>
      <c r="DD168" s="15">
        <v>3</v>
      </c>
      <c r="DE168" s="15">
        <v>2</v>
      </c>
      <c r="DF168" s="15">
        <v>4</v>
      </c>
      <c r="DG168" s="15">
        <v>5</v>
      </c>
      <c r="DH168" s="15">
        <v>6</v>
      </c>
      <c r="DI168" s="15"/>
      <c r="DJ168" s="15" t="s">
        <v>328</v>
      </c>
      <c r="DK168" s="15"/>
      <c r="DL168" s="15"/>
      <c r="DM168" s="15"/>
      <c r="DN168" s="15"/>
      <c r="DO168" s="15"/>
      <c r="DP168" s="14" t="s">
        <v>333</v>
      </c>
      <c r="DQ168" s="15" t="s">
        <v>328</v>
      </c>
      <c r="DR168" s="15"/>
      <c r="DS168" s="15"/>
      <c r="DT168" s="15"/>
      <c r="DU168" s="15"/>
      <c r="DV168" s="15"/>
      <c r="DW168" s="15"/>
      <c r="DX168" s="15" t="s">
        <v>333</v>
      </c>
      <c r="DY168" s="15" t="s">
        <v>328</v>
      </c>
      <c r="DZ168" s="15"/>
      <c r="EA168" s="15"/>
      <c r="EB168" s="15"/>
      <c r="EC168" s="15"/>
      <c r="ED168" s="15"/>
      <c r="EE168" s="102" t="s">
        <v>333</v>
      </c>
      <c r="EF168" s="99"/>
      <c r="EG168" s="17">
        <f t="shared" si="2"/>
        <v>0</v>
      </c>
    </row>
    <row r="169" spans="1:137" x14ac:dyDescent="0.25">
      <c r="A169" s="50" t="s">
        <v>1855</v>
      </c>
      <c r="B169" s="208">
        <v>41549</v>
      </c>
      <c r="C169" s="210" t="s">
        <v>2751</v>
      </c>
      <c r="D169" s="61" t="s">
        <v>652</v>
      </c>
      <c r="E169" s="15" t="s">
        <v>328</v>
      </c>
      <c r="F169" s="15"/>
      <c r="G169" s="15">
        <v>42</v>
      </c>
      <c r="H169" s="15" t="s">
        <v>329</v>
      </c>
      <c r="I169" s="15" t="s">
        <v>399</v>
      </c>
      <c r="J169" s="15" t="s">
        <v>784</v>
      </c>
      <c r="K169" s="15" t="s">
        <v>1260</v>
      </c>
      <c r="L169" s="15" t="s">
        <v>1288</v>
      </c>
      <c r="M169" s="15">
        <v>0</v>
      </c>
      <c r="N169" s="15">
        <v>3</v>
      </c>
      <c r="O169" s="15"/>
      <c r="P169" s="15"/>
      <c r="Q169" s="15"/>
      <c r="R169" s="15"/>
      <c r="S169" s="15">
        <v>3</v>
      </c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 t="s">
        <v>328</v>
      </c>
      <c r="AE169" s="15"/>
      <c r="AF169" s="15"/>
      <c r="AG169" s="15"/>
      <c r="AH169" s="15"/>
      <c r="AI169" s="15"/>
      <c r="AJ169" s="15" t="s">
        <v>328</v>
      </c>
      <c r="AK169" s="15"/>
      <c r="AL169" s="15" t="s">
        <v>328</v>
      </c>
      <c r="AM169" s="15"/>
      <c r="AN169" s="15"/>
      <c r="AO169" s="15"/>
      <c r="AP169" s="15" t="s">
        <v>328</v>
      </c>
      <c r="AQ169" s="15"/>
      <c r="AR169" s="15">
        <v>10</v>
      </c>
      <c r="AS169" s="15">
        <v>1</v>
      </c>
      <c r="AT169" s="15"/>
      <c r="AU169" s="15"/>
      <c r="AV169" s="15" t="s">
        <v>328</v>
      </c>
      <c r="AW169" s="15"/>
      <c r="AX169" s="15">
        <v>1</v>
      </c>
      <c r="AY169" s="15">
        <v>2</v>
      </c>
      <c r="AZ169" s="15">
        <v>3</v>
      </c>
      <c r="BA169" s="15"/>
      <c r="BB169" s="15" t="s">
        <v>328</v>
      </c>
      <c r="BC169" s="15"/>
      <c r="BD169" s="15"/>
      <c r="BE169" s="15"/>
      <c r="BF169" s="15" t="s">
        <v>328</v>
      </c>
      <c r="BG169" s="15"/>
      <c r="BH169" s="15"/>
      <c r="BI169" s="15"/>
      <c r="BJ169" s="15"/>
      <c r="BK169" s="15"/>
      <c r="BL169" s="15"/>
      <c r="BM169" s="15"/>
      <c r="BN169" s="15"/>
      <c r="BO169" s="15" t="s">
        <v>328</v>
      </c>
      <c r="BP169" s="15"/>
      <c r="BQ169" s="15" t="s">
        <v>328</v>
      </c>
      <c r="BR169" s="15"/>
      <c r="BS169" s="15"/>
      <c r="BT169" s="15"/>
      <c r="BU169" s="15"/>
      <c r="BV169" s="15" t="s">
        <v>328</v>
      </c>
      <c r="BW169" s="15"/>
      <c r="BX169" s="15"/>
      <c r="BY169" s="15" t="s">
        <v>328</v>
      </c>
      <c r="BZ169" s="15"/>
      <c r="CA169" s="15"/>
      <c r="CB169" s="15" t="s">
        <v>328</v>
      </c>
      <c r="CC169" s="15" t="s">
        <v>328</v>
      </c>
      <c r="CD169" s="15"/>
      <c r="CE169" s="15"/>
      <c r="CF169" s="15"/>
      <c r="CG169" s="15"/>
      <c r="CH169" s="14" t="s">
        <v>579</v>
      </c>
      <c r="CI169" s="15" t="s">
        <v>328</v>
      </c>
      <c r="CJ169" s="15"/>
      <c r="CK169" s="15"/>
      <c r="CL169" s="15"/>
      <c r="CM169" s="15"/>
      <c r="CN169" s="15">
        <v>4</v>
      </c>
      <c r="CO169" s="15">
        <v>1</v>
      </c>
      <c r="CP169" s="15">
        <v>6</v>
      </c>
      <c r="CQ169" s="15">
        <v>2</v>
      </c>
      <c r="CR169" s="15">
        <v>3</v>
      </c>
      <c r="CS169" s="15">
        <v>5</v>
      </c>
      <c r="CT169" s="15"/>
      <c r="CU169" s="15"/>
      <c r="CV169" s="15"/>
      <c r="CW169" s="15"/>
      <c r="CX169" s="15"/>
      <c r="CY169" s="15"/>
      <c r="CZ169" s="15" t="s">
        <v>332</v>
      </c>
      <c r="DA169" s="15"/>
      <c r="DB169" s="15"/>
      <c r="DC169" s="15">
        <v>5</v>
      </c>
      <c r="DD169" s="15">
        <v>1</v>
      </c>
      <c r="DE169" s="15">
        <v>2</v>
      </c>
      <c r="DF169" s="15">
        <v>3</v>
      </c>
      <c r="DG169" s="15">
        <v>6</v>
      </c>
      <c r="DH169" s="15">
        <v>4</v>
      </c>
      <c r="DI169" s="15"/>
      <c r="DJ169" s="15" t="s">
        <v>328</v>
      </c>
      <c r="DK169" s="15"/>
      <c r="DL169" s="15"/>
      <c r="DM169" s="15"/>
      <c r="DN169" s="15"/>
      <c r="DO169" s="15"/>
      <c r="DP169" s="14" t="s">
        <v>333</v>
      </c>
      <c r="DQ169" s="15" t="s">
        <v>328</v>
      </c>
      <c r="DR169" s="15"/>
      <c r="DS169" s="15"/>
      <c r="DT169" s="15"/>
      <c r="DU169" s="15"/>
      <c r="DV169" s="15"/>
      <c r="DW169" s="15"/>
      <c r="DX169" s="15" t="s">
        <v>1179</v>
      </c>
      <c r="DY169" s="15" t="s">
        <v>328</v>
      </c>
      <c r="DZ169" s="15"/>
      <c r="EA169" s="15"/>
      <c r="EB169" s="15"/>
      <c r="EC169" s="15"/>
      <c r="ED169" s="15"/>
      <c r="EE169" s="102" t="s">
        <v>1155</v>
      </c>
      <c r="EF169" s="99"/>
      <c r="EG169" s="17">
        <f t="shared" si="2"/>
        <v>0</v>
      </c>
    </row>
    <row r="170" spans="1:137" x14ac:dyDescent="0.25">
      <c r="A170" s="50" t="s">
        <v>1855</v>
      </c>
      <c r="B170" s="208">
        <v>41549</v>
      </c>
      <c r="C170" s="210" t="s">
        <v>2751</v>
      </c>
      <c r="D170" s="61" t="s">
        <v>653</v>
      </c>
      <c r="E170" s="15" t="s">
        <v>328</v>
      </c>
      <c r="F170" s="15"/>
      <c r="G170" s="15">
        <v>52</v>
      </c>
      <c r="H170" s="15" t="s">
        <v>329</v>
      </c>
      <c r="I170" s="15" t="s">
        <v>584</v>
      </c>
      <c r="J170" s="15" t="s">
        <v>764</v>
      </c>
      <c r="K170" s="15" t="s">
        <v>1191</v>
      </c>
      <c r="L170" s="15" t="s">
        <v>1281</v>
      </c>
      <c r="M170" s="15">
        <v>30</v>
      </c>
      <c r="N170" s="15">
        <v>1</v>
      </c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>
        <v>1</v>
      </c>
      <c r="AA170" s="15"/>
      <c r="AB170" s="15" t="s">
        <v>328</v>
      </c>
      <c r="AC170" s="15" t="s">
        <v>328</v>
      </c>
      <c r="AD170" s="15"/>
      <c r="AE170" s="15"/>
      <c r="AF170" s="15"/>
      <c r="AG170" s="15" t="s">
        <v>328</v>
      </c>
      <c r="AH170" s="15"/>
      <c r="AI170" s="15"/>
      <c r="AJ170" s="15"/>
      <c r="AK170" s="15"/>
      <c r="AL170" s="15"/>
      <c r="AM170" s="15" t="s">
        <v>328</v>
      </c>
      <c r="AN170" s="15"/>
      <c r="AO170" s="15"/>
      <c r="AP170" s="15"/>
      <c r="AQ170" s="15" t="s">
        <v>328</v>
      </c>
      <c r="AR170" s="15">
        <v>6</v>
      </c>
      <c r="AS170" s="15">
        <v>9</v>
      </c>
      <c r="AT170" s="15"/>
      <c r="AU170" s="15"/>
      <c r="AV170" s="15" t="s">
        <v>328</v>
      </c>
      <c r="AW170" s="15"/>
      <c r="AX170" s="15">
        <v>1</v>
      </c>
      <c r="AY170" s="15">
        <v>2</v>
      </c>
      <c r="AZ170" s="15">
        <v>3</v>
      </c>
      <c r="BA170" s="15"/>
      <c r="BB170" s="15" t="s">
        <v>328</v>
      </c>
      <c r="BC170" s="15"/>
      <c r="BD170" s="15" t="s">
        <v>328</v>
      </c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 t="s">
        <v>328</v>
      </c>
      <c r="BP170" s="15"/>
      <c r="BQ170" s="15" t="s">
        <v>328</v>
      </c>
      <c r="BR170" s="15" t="s">
        <v>328</v>
      </c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 t="s">
        <v>328</v>
      </c>
      <c r="CE170" s="15"/>
      <c r="CF170" s="15" t="s">
        <v>328</v>
      </c>
      <c r="CG170" s="15" t="s">
        <v>328</v>
      </c>
      <c r="CH170" s="15"/>
      <c r="CI170" s="15"/>
      <c r="CJ170" s="15" t="s">
        <v>328</v>
      </c>
      <c r="CK170" s="15"/>
      <c r="CL170" s="15"/>
      <c r="CM170" s="15"/>
      <c r="CN170" s="15">
        <v>6</v>
      </c>
      <c r="CO170" s="15">
        <v>1</v>
      </c>
      <c r="CP170" s="15">
        <v>2</v>
      </c>
      <c r="CQ170" s="15">
        <v>3</v>
      </c>
      <c r="CR170" s="15">
        <v>4</v>
      </c>
      <c r="CS170" s="15">
        <v>5</v>
      </c>
      <c r="CT170" s="15"/>
      <c r="CU170" s="15"/>
      <c r="CV170" s="15"/>
      <c r="CW170" s="15"/>
      <c r="CX170" s="15"/>
      <c r="CY170" s="15"/>
      <c r="CZ170" s="15" t="s">
        <v>332</v>
      </c>
      <c r="DA170" s="15"/>
      <c r="DB170" s="15"/>
      <c r="DC170" s="15">
        <v>1</v>
      </c>
      <c r="DD170" s="15">
        <v>3</v>
      </c>
      <c r="DE170" s="15">
        <v>4</v>
      </c>
      <c r="DF170" s="15">
        <v>5</v>
      </c>
      <c r="DG170" s="15">
        <v>2</v>
      </c>
      <c r="DH170" s="15">
        <v>6</v>
      </c>
      <c r="DI170" s="15"/>
      <c r="DJ170" s="15" t="s">
        <v>328</v>
      </c>
      <c r="DK170" s="15"/>
      <c r="DL170" s="15"/>
      <c r="DM170" s="15"/>
      <c r="DN170" s="15"/>
      <c r="DO170" s="15"/>
      <c r="DP170" s="14" t="s">
        <v>1146</v>
      </c>
      <c r="DQ170" s="15" t="s">
        <v>328</v>
      </c>
      <c r="DR170" s="15"/>
      <c r="DS170" s="15"/>
      <c r="DT170" s="15"/>
      <c r="DU170" s="15"/>
      <c r="DV170" s="15"/>
      <c r="DW170" s="15"/>
      <c r="DX170" s="15" t="s">
        <v>1152</v>
      </c>
      <c r="DY170" s="15" t="s">
        <v>328</v>
      </c>
      <c r="DZ170" s="15"/>
      <c r="EA170" s="15"/>
      <c r="EB170" s="15"/>
      <c r="EC170" s="15"/>
      <c r="ED170" s="15"/>
      <c r="EE170" s="102" t="s">
        <v>1152</v>
      </c>
      <c r="EF170" s="99"/>
      <c r="EG170" s="17">
        <f t="shared" si="2"/>
        <v>0</v>
      </c>
    </row>
    <row r="171" spans="1:137" x14ac:dyDescent="0.25">
      <c r="A171" s="50" t="s">
        <v>1855</v>
      </c>
      <c r="B171" s="208">
        <v>41549</v>
      </c>
      <c r="C171" s="210" t="s">
        <v>2751</v>
      </c>
      <c r="D171" s="61" t="s">
        <v>654</v>
      </c>
      <c r="E171" s="15" t="s">
        <v>328</v>
      </c>
      <c r="F171" s="15"/>
      <c r="G171" s="15">
        <v>48</v>
      </c>
      <c r="H171" s="15" t="s">
        <v>329</v>
      </c>
      <c r="I171" s="15" t="s">
        <v>353</v>
      </c>
      <c r="J171" s="15" t="s">
        <v>802</v>
      </c>
      <c r="K171" s="15" t="s">
        <v>1263</v>
      </c>
      <c r="L171" s="15" t="s">
        <v>1289</v>
      </c>
      <c r="M171" s="15">
        <v>20</v>
      </c>
      <c r="N171" s="15">
        <v>1</v>
      </c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>
        <v>1</v>
      </c>
      <c r="AA171" s="15"/>
      <c r="AB171" s="15" t="s">
        <v>328</v>
      </c>
      <c r="AC171" s="15" t="s">
        <v>328</v>
      </c>
      <c r="AD171" s="15"/>
      <c r="AE171" s="15"/>
      <c r="AF171" s="15"/>
      <c r="AG171" s="15" t="s">
        <v>328</v>
      </c>
      <c r="AH171" s="15"/>
      <c r="AI171" s="15"/>
      <c r="AJ171" s="15"/>
      <c r="AK171" s="15"/>
      <c r="AL171" s="15"/>
      <c r="AM171" s="15" t="s">
        <v>328</v>
      </c>
      <c r="AN171" s="15"/>
      <c r="AO171" s="15"/>
      <c r="AP171" s="15" t="s">
        <v>328</v>
      </c>
      <c r="AQ171" s="15"/>
      <c r="AR171" s="15">
        <v>8</v>
      </c>
      <c r="AS171" s="15">
        <v>5</v>
      </c>
      <c r="AT171" s="15"/>
      <c r="AU171" s="15"/>
      <c r="AV171" s="15" t="s">
        <v>328</v>
      </c>
      <c r="AW171" s="15"/>
      <c r="AX171" s="15">
        <v>1</v>
      </c>
      <c r="AY171" s="15">
        <v>3</v>
      </c>
      <c r="AZ171" s="15">
        <v>2</v>
      </c>
      <c r="BA171" s="15"/>
      <c r="BB171" s="15" t="s">
        <v>328</v>
      </c>
      <c r="BC171" s="15"/>
      <c r="BD171" s="15" t="s">
        <v>328</v>
      </c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 t="s">
        <v>328</v>
      </c>
      <c r="BP171" s="15"/>
      <c r="BQ171" s="15" t="s">
        <v>328</v>
      </c>
      <c r="BR171" s="15"/>
      <c r="BS171" s="15"/>
      <c r="BT171" s="15"/>
      <c r="BU171" s="15"/>
      <c r="BV171" s="15"/>
      <c r="BW171" s="15" t="s">
        <v>328</v>
      </c>
      <c r="BX171" s="15"/>
      <c r="BY171" s="15"/>
      <c r="BZ171" s="15"/>
      <c r="CA171" s="15"/>
      <c r="CB171" s="15"/>
      <c r="CC171" s="15"/>
      <c r="CD171" s="15" t="s">
        <v>328</v>
      </c>
      <c r="CE171" s="15"/>
      <c r="CF171" s="15"/>
      <c r="CG171" s="15" t="s">
        <v>328</v>
      </c>
      <c r="CH171" s="15"/>
      <c r="CI171" s="15"/>
      <c r="CJ171" s="15" t="s">
        <v>328</v>
      </c>
      <c r="CK171" s="15"/>
      <c r="CL171" s="15"/>
      <c r="CM171" s="15"/>
      <c r="CN171" s="15">
        <v>3</v>
      </c>
      <c r="CO171" s="15">
        <v>1</v>
      </c>
      <c r="CP171" s="15">
        <v>2</v>
      </c>
      <c r="CQ171" s="15">
        <v>5</v>
      </c>
      <c r="CR171" s="15">
        <v>6</v>
      </c>
      <c r="CS171" s="15">
        <v>4</v>
      </c>
      <c r="CT171" s="15"/>
      <c r="CU171" s="15"/>
      <c r="CV171" s="15"/>
      <c r="CW171" s="15"/>
      <c r="CX171" s="15"/>
      <c r="CY171" s="15"/>
      <c r="CZ171" s="15" t="s">
        <v>332</v>
      </c>
      <c r="DA171" s="15"/>
      <c r="DB171" s="15"/>
      <c r="DC171" s="15">
        <v>1</v>
      </c>
      <c r="DD171" s="15">
        <v>3</v>
      </c>
      <c r="DE171" s="15">
        <v>2</v>
      </c>
      <c r="DF171" s="15">
        <v>4</v>
      </c>
      <c r="DG171" s="15">
        <v>5</v>
      </c>
      <c r="DH171" s="15">
        <v>6</v>
      </c>
      <c r="DI171" s="15"/>
      <c r="DJ171" s="15" t="s">
        <v>328</v>
      </c>
      <c r="DK171" s="15"/>
      <c r="DL171" s="15"/>
      <c r="DM171" s="15"/>
      <c r="DN171" s="15"/>
      <c r="DO171" s="15"/>
      <c r="DP171" s="14" t="s">
        <v>333</v>
      </c>
      <c r="DQ171" s="15" t="s">
        <v>328</v>
      </c>
      <c r="DR171" s="15"/>
      <c r="DS171" s="15"/>
      <c r="DT171" s="15"/>
      <c r="DU171" s="15"/>
      <c r="DV171" s="15"/>
      <c r="DW171" s="15"/>
      <c r="DX171" s="15" t="s">
        <v>333</v>
      </c>
      <c r="DY171" s="15" t="s">
        <v>328</v>
      </c>
      <c r="DZ171" s="15"/>
      <c r="EA171" s="15"/>
      <c r="EB171" s="15"/>
      <c r="EC171" s="15"/>
      <c r="ED171" s="15"/>
      <c r="EE171" s="102" t="s">
        <v>333</v>
      </c>
      <c r="EF171" s="99"/>
      <c r="EG171" s="17">
        <f t="shared" si="2"/>
        <v>0</v>
      </c>
    </row>
    <row r="172" spans="1:137" x14ac:dyDescent="0.25">
      <c r="A172" s="50" t="s">
        <v>1855</v>
      </c>
      <c r="B172" s="208">
        <v>41549</v>
      </c>
      <c r="C172" s="210" t="s">
        <v>2751</v>
      </c>
      <c r="D172" s="61" t="s">
        <v>655</v>
      </c>
      <c r="E172" s="15" t="s">
        <v>328</v>
      </c>
      <c r="F172" s="15"/>
      <c r="G172" s="15">
        <v>61</v>
      </c>
      <c r="H172" s="15" t="s">
        <v>329</v>
      </c>
      <c r="I172" s="15" t="s">
        <v>584</v>
      </c>
      <c r="J172" s="15" t="s">
        <v>786</v>
      </c>
      <c r="K172" s="18" t="s">
        <v>1264</v>
      </c>
      <c r="L172" s="15" t="s">
        <v>1256</v>
      </c>
      <c r="M172" s="15">
        <v>40</v>
      </c>
      <c r="N172" s="15">
        <v>1</v>
      </c>
      <c r="O172" s="15"/>
      <c r="P172" s="15"/>
      <c r="Q172" s="15"/>
      <c r="R172" s="15"/>
      <c r="S172" s="15"/>
      <c r="T172" s="15"/>
      <c r="U172" s="15"/>
      <c r="V172" s="15"/>
      <c r="W172" s="15"/>
      <c r="X172" s="15">
        <v>1</v>
      </c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 t="s">
        <v>692</v>
      </c>
      <c r="AL172" s="15"/>
      <c r="AM172" s="15" t="s">
        <v>328</v>
      </c>
      <c r="AN172" s="15"/>
      <c r="AO172" s="15" t="s">
        <v>328</v>
      </c>
      <c r="AP172" s="15"/>
      <c r="AQ172" s="15"/>
      <c r="AR172" s="15">
        <v>10</v>
      </c>
      <c r="AS172" s="15">
        <v>3</v>
      </c>
      <c r="AT172" s="15"/>
      <c r="AU172" s="15"/>
      <c r="AV172" s="15" t="s">
        <v>328</v>
      </c>
      <c r="AW172" s="15"/>
      <c r="AX172" s="15">
        <v>1</v>
      </c>
      <c r="AY172" s="15">
        <v>3</v>
      </c>
      <c r="AZ172" s="15">
        <v>2</v>
      </c>
      <c r="BA172" s="15"/>
      <c r="BB172" s="15" t="s">
        <v>328</v>
      </c>
      <c r="BC172" s="15"/>
      <c r="BD172" s="15" t="s">
        <v>328</v>
      </c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 t="s">
        <v>328</v>
      </c>
      <c r="BP172" s="15"/>
      <c r="BQ172" s="15" t="s">
        <v>328</v>
      </c>
      <c r="BR172" s="15"/>
      <c r="BS172" s="15"/>
      <c r="BT172" s="15"/>
      <c r="BU172" s="15"/>
      <c r="BV172" s="15"/>
      <c r="BW172" s="15" t="s">
        <v>328</v>
      </c>
      <c r="BX172" s="15"/>
      <c r="BY172" s="15"/>
      <c r="BZ172" s="15"/>
      <c r="CA172" s="15"/>
      <c r="CB172" s="15" t="s">
        <v>328</v>
      </c>
      <c r="CC172" s="15"/>
      <c r="CD172" s="15" t="s">
        <v>328</v>
      </c>
      <c r="CE172" s="15"/>
      <c r="CF172" s="15"/>
      <c r="CG172" s="15"/>
      <c r="CH172" s="15"/>
      <c r="CI172" s="15" t="s">
        <v>328</v>
      </c>
      <c r="CJ172" s="15"/>
      <c r="CK172" s="15"/>
      <c r="CL172" s="15"/>
      <c r="CM172" s="15"/>
      <c r="CN172" s="15">
        <v>2</v>
      </c>
      <c r="CO172" s="15">
        <v>4</v>
      </c>
      <c r="CP172" s="15">
        <v>1</v>
      </c>
      <c r="CQ172" s="15">
        <v>5</v>
      </c>
      <c r="CR172" s="15">
        <v>6</v>
      </c>
      <c r="CS172" s="15">
        <v>3</v>
      </c>
      <c r="CT172" s="15" t="s">
        <v>328</v>
      </c>
      <c r="CU172" s="15"/>
      <c r="CV172" s="15"/>
      <c r="CW172" s="15"/>
      <c r="CX172" s="15"/>
      <c r="CY172" s="15"/>
      <c r="CZ172" s="15"/>
      <c r="DA172" s="15"/>
      <c r="DB172" s="15"/>
      <c r="DC172" s="15">
        <v>3</v>
      </c>
      <c r="DD172" s="15">
        <v>4</v>
      </c>
      <c r="DE172" s="15">
        <v>1</v>
      </c>
      <c r="DF172" s="15">
        <v>5</v>
      </c>
      <c r="DG172" s="15">
        <v>2</v>
      </c>
      <c r="DH172" s="15">
        <v>6</v>
      </c>
      <c r="DI172" s="15"/>
      <c r="DJ172" s="15" t="s">
        <v>328</v>
      </c>
      <c r="DK172" s="15"/>
      <c r="DL172" s="15"/>
      <c r="DM172" s="15"/>
      <c r="DN172" s="15"/>
      <c r="DO172" s="15"/>
      <c r="DP172" s="14" t="s">
        <v>333</v>
      </c>
      <c r="DQ172" s="15" t="s">
        <v>328</v>
      </c>
      <c r="DR172" s="15"/>
      <c r="DS172" s="15"/>
      <c r="DT172" s="15"/>
      <c r="DU172" s="15"/>
      <c r="DV172" s="15"/>
      <c r="DW172" s="15"/>
      <c r="DX172" s="15" t="s">
        <v>1155</v>
      </c>
      <c r="DY172" s="15" t="s">
        <v>328</v>
      </c>
      <c r="DZ172" s="15"/>
      <c r="EA172" s="15"/>
      <c r="EB172" s="15"/>
      <c r="EC172" s="15"/>
      <c r="ED172" s="15"/>
      <c r="EE172" s="102" t="s">
        <v>1155</v>
      </c>
      <c r="EF172" s="99"/>
      <c r="EG172" s="17">
        <f t="shared" si="2"/>
        <v>0</v>
      </c>
    </row>
    <row r="173" spans="1:137" x14ac:dyDescent="0.25">
      <c r="A173" s="50" t="s">
        <v>1855</v>
      </c>
      <c r="B173" s="208">
        <v>41549</v>
      </c>
      <c r="C173" s="210" t="s">
        <v>2751</v>
      </c>
      <c r="D173" s="61" t="s">
        <v>656</v>
      </c>
      <c r="E173" s="15" t="s">
        <v>328</v>
      </c>
      <c r="F173" s="15"/>
      <c r="G173" s="15">
        <v>41</v>
      </c>
      <c r="H173" s="15" t="s">
        <v>329</v>
      </c>
      <c r="I173" s="15" t="s">
        <v>330</v>
      </c>
      <c r="J173" s="15" t="s">
        <v>787</v>
      </c>
      <c r="K173" s="18" t="s">
        <v>1265</v>
      </c>
      <c r="L173" s="15" t="s">
        <v>1290</v>
      </c>
      <c r="M173" s="15">
        <v>15</v>
      </c>
      <c r="N173" s="15">
        <v>1</v>
      </c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>
        <v>1</v>
      </c>
      <c r="AA173" s="15"/>
      <c r="AB173" s="15"/>
      <c r="AC173" s="15"/>
      <c r="AD173" s="15"/>
      <c r="AE173" s="15"/>
      <c r="AF173" s="15"/>
      <c r="AG173" s="15" t="s">
        <v>328</v>
      </c>
      <c r="AH173" s="15"/>
      <c r="AI173" s="15"/>
      <c r="AJ173" s="15"/>
      <c r="AK173" s="15"/>
      <c r="AL173" s="15"/>
      <c r="AM173" s="15" t="s">
        <v>328</v>
      </c>
      <c r="AN173" s="15"/>
      <c r="AO173" s="15"/>
      <c r="AP173" s="15"/>
      <c r="AQ173" s="15" t="s">
        <v>328</v>
      </c>
      <c r="AR173" s="15">
        <v>8</v>
      </c>
      <c r="AS173" s="15">
        <v>5</v>
      </c>
      <c r="AT173" s="15"/>
      <c r="AU173" s="15"/>
      <c r="AV173" s="15" t="s">
        <v>328</v>
      </c>
      <c r="AW173" s="15"/>
      <c r="AX173" s="15">
        <v>1</v>
      </c>
      <c r="AY173" s="15">
        <v>3</v>
      </c>
      <c r="AZ173" s="15">
        <v>2</v>
      </c>
      <c r="BA173" s="15"/>
      <c r="BB173" s="15" t="s">
        <v>328</v>
      </c>
      <c r="BC173" s="15"/>
      <c r="BD173" s="15" t="s">
        <v>328</v>
      </c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 t="s">
        <v>328</v>
      </c>
      <c r="BP173" s="15"/>
      <c r="BQ173" s="15" t="s">
        <v>328</v>
      </c>
      <c r="BR173" s="15" t="s">
        <v>328</v>
      </c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 t="s">
        <v>328</v>
      </c>
      <c r="CE173" s="15" t="s">
        <v>328</v>
      </c>
      <c r="CF173" s="15"/>
      <c r="CG173" s="15"/>
      <c r="CH173" s="15"/>
      <c r="CI173" s="15"/>
      <c r="CJ173" s="15" t="s">
        <v>328</v>
      </c>
      <c r="CK173" s="15"/>
      <c r="CL173" s="15"/>
      <c r="CM173" s="15"/>
      <c r="CN173" s="15">
        <v>5</v>
      </c>
      <c r="CO173" s="15">
        <v>1</v>
      </c>
      <c r="CP173" s="15">
        <v>4</v>
      </c>
      <c r="CQ173" s="15">
        <v>3</v>
      </c>
      <c r="CR173" s="15">
        <v>2</v>
      </c>
      <c r="CS173" s="15">
        <v>6</v>
      </c>
      <c r="CT173" s="15"/>
      <c r="CU173" s="15"/>
      <c r="CV173" s="15"/>
      <c r="CW173" s="15"/>
      <c r="CX173" s="15"/>
      <c r="CY173" s="15"/>
      <c r="CZ173" s="15" t="s">
        <v>332</v>
      </c>
      <c r="DA173" s="15"/>
      <c r="DB173" s="15"/>
      <c r="DC173" s="15">
        <v>1</v>
      </c>
      <c r="DD173" s="15">
        <v>4</v>
      </c>
      <c r="DE173" s="15">
        <v>3</v>
      </c>
      <c r="DF173" s="15">
        <v>5</v>
      </c>
      <c r="DG173" s="15">
        <v>2</v>
      </c>
      <c r="DH173" s="15">
        <v>6</v>
      </c>
      <c r="DI173" s="15"/>
      <c r="DJ173" s="15" t="s">
        <v>328</v>
      </c>
      <c r="DK173" s="15"/>
      <c r="DL173" s="15"/>
      <c r="DM173" s="15"/>
      <c r="DN173" s="15"/>
      <c r="DO173" s="15"/>
      <c r="DP173" s="14" t="s">
        <v>1145</v>
      </c>
      <c r="DQ173" s="15" t="s">
        <v>328</v>
      </c>
      <c r="DR173" s="15"/>
      <c r="DS173" s="15"/>
      <c r="DT173" s="15"/>
      <c r="DU173" s="15"/>
      <c r="DV173" s="15"/>
      <c r="DW173" s="15"/>
      <c r="DX173" s="15" t="s">
        <v>1145</v>
      </c>
      <c r="DY173" s="15" t="s">
        <v>328</v>
      </c>
      <c r="DZ173" s="15"/>
      <c r="EA173" s="15"/>
      <c r="EB173" s="15"/>
      <c r="EC173" s="15"/>
      <c r="ED173" s="15"/>
      <c r="EE173" s="102" t="s">
        <v>1145</v>
      </c>
      <c r="EF173" s="99"/>
      <c r="EG173" s="17">
        <f t="shared" si="2"/>
        <v>0</v>
      </c>
    </row>
    <row r="174" spans="1:137" x14ac:dyDescent="0.25">
      <c r="A174" s="50" t="s">
        <v>1855</v>
      </c>
      <c r="B174" s="208">
        <v>41549</v>
      </c>
      <c r="C174" s="210" t="s">
        <v>2751</v>
      </c>
      <c r="D174" s="61" t="s">
        <v>657</v>
      </c>
      <c r="E174" s="15" t="s">
        <v>328</v>
      </c>
      <c r="F174" s="15"/>
      <c r="G174" s="15">
        <v>48</v>
      </c>
      <c r="H174" s="15" t="s">
        <v>329</v>
      </c>
      <c r="I174" s="15" t="s">
        <v>357</v>
      </c>
      <c r="J174" s="15" t="s">
        <v>788</v>
      </c>
      <c r="K174" s="15" t="s">
        <v>1266</v>
      </c>
      <c r="L174" s="14" t="s">
        <v>1335</v>
      </c>
      <c r="M174" s="15">
        <v>20</v>
      </c>
      <c r="N174" s="15">
        <v>1</v>
      </c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>
        <v>1</v>
      </c>
      <c r="AA174" s="15"/>
      <c r="AB174" s="15" t="s">
        <v>328</v>
      </c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 t="s">
        <v>328</v>
      </c>
      <c r="AN174" s="15"/>
      <c r="AO174" s="15"/>
      <c r="AP174" s="15" t="s">
        <v>328</v>
      </c>
      <c r="AQ174" s="15"/>
      <c r="AR174" s="15">
        <v>5</v>
      </c>
      <c r="AS174" s="15">
        <v>10</v>
      </c>
      <c r="AT174" s="15"/>
      <c r="AU174" s="15"/>
      <c r="AV174" s="15" t="s">
        <v>328</v>
      </c>
      <c r="AW174" s="15"/>
      <c r="AX174" s="15">
        <v>2</v>
      </c>
      <c r="AY174" s="15">
        <v>1</v>
      </c>
      <c r="AZ174" s="15">
        <v>3</v>
      </c>
      <c r="BA174" s="15"/>
      <c r="BB174" s="15" t="s">
        <v>328</v>
      </c>
      <c r="BC174" s="15"/>
      <c r="BD174" s="15" t="s">
        <v>328</v>
      </c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 t="s">
        <v>328</v>
      </c>
      <c r="BP174" s="15"/>
      <c r="BQ174" s="15" t="s">
        <v>328</v>
      </c>
      <c r="BR174" s="15" t="s">
        <v>328</v>
      </c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 t="s">
        <v>328</v>
      </c>
      <c r="CE174" s="15"/>
      <c r="CF174" s="15"/>
      <c r="CG174" s="15" t="s">
        <v>328</v>
      </c>
      <c r="CH174" s="15"/>
      <c r="CI174" s="15"/>
      <c r="CJ174" s="15" t="s">
        <v>328</v>
      </c>
      <c r="CK174" s="15"/>
      <c r="CL174" s="15"/>
      <c r="CM174" s="15"/>
      <c r="CN174" s="15">
        <v>6</v>
      </c>
      <c r="CO174" s="15">
        <v>1</v>
      </c>
      <c r="CP174" s="15">
        <v>2</v>
      </c>
      <c r="CQ174" s="15">
        <v>4</v>
      </c>
      <c r="CR174" s="15">
        <v>3</v>
      </c>
      <c r="CS174" s="15">
        <v>5</v>
      </c>
      <c r="CT174" s="15"/>
      <c r="CU174" s="15"/>
      <c r="CV174" s="15"/>
      <c r="CW174" s="15"/>
      <c r="CX174" s="15"/>
      <c r="CY174" s="15"/>
      <c r="CZ174" s="15" t="s">
        <v>332</v>
      </c>
      <c r="DA174" s="15"/>
      <c r="DB174" s="15"/>
      <c r="DC174" s="15">
        <v>1</v>
      </c>
      <c r="DD174" s="15">
        <v>3</v>
      </c>
      <c r="DE174" s="15">
        <v>4</v>
      </c>
      <c r="DF174" s="15">
        <v>5</v>
      </c>
      <c r="DG174" s="15">
        <v>2</v>
      </c>
      <c r="DH174" s="15">
        <v>6</v>
      </c>
      <c r="DI174" s="15"/>
      <c r="DJ174" s="15" t="s">
        <v>328</v>
      </c>
      <c r="DK174" s="15"/>
      <c r="DL174" s="15"/>
      <c r="DM174" s="15"/>
      <c r="DN174" s="15"/>
      <c r="DO174" s="15"/>
      <c r="DP174" s="14" t="s">
        <v>1146</v>
      </c>
      <c r="DQ174" s="15" t="s">
        <v>328</v>
      </c>
      <c r="DR174" s="15"/>
      <c r="DS174" s="15"/>
      <c r="DT174" s="15"/>
      <c r="DU174" s="15"/>
      <c r="DV174" s="15"/>
      <c r="DW174" s="15"/>
      <c r="DX174" s="15" t="s">
        <v>1152</v>
      </c>
      <c r="DY174" s="15" t="s">
        <v>328</v>
      </c>
      <c r="DZ174" s="15"/>
      <c r="EA174" s="15"/>
      <c r="EB174" s="15"/>
      <c r="EC174" s="15"/>
      <c r="ED174" s="15"/>
      <c r="EE174" s="102" t="s">
        <v>1152</v>
      </c>
      <c r="EF174" s="99"/>
      <c r="EG174" s="17">
        <f t="shared" si="2"/>
        <v>0</v>
      </c>
    </row>
    <row r="175" spans="1:137" x14ac:dyDescent="0.25">
      <c r="A175" s="50" t="s">
        <v>1855</v>
      </c>
      <c r="B175" s="208">
        <v>41550</v>
      </c>
      <c r="C175" s="209" t="s">
        <v>2766</v>
      </c>
      <c r="D175" s="61" t="s">
        <v>658</v>
      </c>
      <c r="E175" s="15" t="s">
        <v>328</v>
      </c>
      <c r="F175" s="15"/>
      <c r="G175" s="15">
        <v>34</v>
      </c>
      <c r="H175" s="15" t="s">
        <v>329</v>
      </c>
      <c r="I175" s="15" t="s">
        <v>399</v>
      </c>
      <c r="J175" s="15" t="s">
        <v>732</v>
      </c>
      <c r="K175" s="15" t="s">
        <v>1235</v>
      </c>
      <c r="L175" s="15" t="s">
        <v>1183</v>
      </c>
      <c r="M175" s="15">
        <v>0</v>
      </c>
      <c r="N175" s="15">
        <v>5</v>
      </c>
      <c r="O175" s="15">
        <v>3</v>
      </c>
      <c r="P175" s="15">
        <v>2</v>
      </c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 t="s">
        <v>328</v>
      </c>
      <c r="AC175" s="15" t="s">
        <v>328</v>
      </c>
      <c r="AD175" s="15"/>
      <c r="AE175" s="15" t="s">
        <v>328</v>
      </c>
      <c r="AF175" s="15" t="s">
        <v>328</v>
      </c>
      <c r="AG175" s="15"/>
      <c r="AH175" s="15" t="s">
        <v>328</v>
      </c>
      <c r="AI175" s="15"/>
      <c r="AJ175" s="15"/>
      <c r="AK175" s="15"/>
      <c r="AL175" s="15"/>
      <c r="AM175" s="15" t="s">
        <v>328</v>
      </c>
      <c r="AN175" s="15"/>
      <c r="AO175" s="15" t="s">
        <v>328</v>
      </c>
      <c r="AP175" s="15" t="s">
        <v>328</v>
      </c>
      <c r="AQ175" s="15"/>
      <c r="AR175" s="15">
        <v>5</v>
      </c>
      <c r="AS175" s="15">
        <v>5</v>
      </c>
      <c r="AT175" s="15"/>
      <c r="AU175" s="15" t="s">
        <v>328</v>
      </c>
      <c r="AV175" s="15"/>
      <c r="AW175" s="15"/>
      <c r="AX175" s="15">
        <v>2</v>
      </c>
      <c r="AY175" s="15">
        <v>3</v>
      </c>
      <c r="AZ175" s="15">
        <v>1</v>
      </c>
      <c r="BA175" s="15"/>
      <c r="BB175" s="15" t="s">
        <v>328</v>
      </c>
      <c r="BC175" s="15"/>
      <c r="BD175" s="15" t="s">
        <v>328</v>
      </c>
      <c r="BE175" s="15"/>
      <c r="BF175" s="15"/>
      <c r="BG175" s="15"/>
      <c r="BH175" s="15" t="s">
        <v>328</v>
      </c>
      <c r="BI175" s="15"/>
      <c r="BJ175" s="15"/>
      <c r="BK175" s="15"/>
      <c r="BL175" s="15"/>
      <c r="BM175" s="15"/>
      <c r="BN175" s="15"/>
      <c r="BO175" s="15" t="s">
        <v>328</v>
      </c>
      <c r="BP175" s="15" t="s">
        <v>328</v>
      </c>
      <c r="BQ175" s="15"/>
      <c r="BR175" s="15"/>
      <c r="BS175" s="15"/>
      <c r="BT175" s="15"/>
      <c r="BU175" s="15"/>
      <c r="BV175" s="15"/>
      <c r="BW175" s="15" t="s">
        <v>328</v>
      </c>
      <c r="BX175" s="15"/>
      <c r="BY175" s="15" t="s">
        <v>328</v>
      </c>
      <c r="BZ175" s="15"/>
      <c r="CA175" s="15"/>
      <c r="CB175" s="15" t="s">
        <v>328</v>
      </c>
      <c r="CC175" s="15" t="s">
        <v>328</v>
      </c>
      <c r="CD175" s="15"/>
      <c r="CE175" s="15"/>
      <c r="CF175" s="15"/>
      <c r="CG175" s="15"/>
      <c r="CH175" s="15"/>
      <c r="CI175" s="15"/>
      <c r="CJ175" s="15"/>
      <c r="CK175" s="15"/>
      <c r="CL175" s="15" t="s">
        <v>328</v>
      </c>
      <c r="CM175" s="15"/>
      <c r="CN175" s="15">
        <v>1</v>
      </c>
      <c r="CO175" s="15">
        <v>3</v>
      </c>
      <c r="CP175" s="15">
        <v>6</v>
      </c>
      <c r="CQ175" s="15">
        <v>4</v>
      </c>
      <c r="CR175" s="15">
        <v>5</v>
      </c>
      <c r="CS175" s="15">
        <v>2</v>
      </c>
      <c r="CT175" s="15"/>
      <c r="CU175" s="15" t="s">
        <v>328</v>
      </c>
      <c r="CV175" s="15" t="s">
        <v>328</v>
      </c>
      <c r="CW175" s="15"/>
      <c r="CX175" s="15"/>
      <c r="CY175" s="15"/>
      <c r="CZ175" s="15"/>
      <c r="DA175" s="15"/>
      <c r="DB175" s="15"/>
      <c r="DC175" s="15">
        <v>1</v>
      </c>
      <c r="DD175" s="15">
        <v>5</v>
      </c>
      <c r="DE175" s="15">
        <v>6</v>
      </c>
      <c r="DF175" s="15">
        <v>3</v>
      </c>
      <c r="DG175" s="15">
        <v>2</v>
      </c>
      <c r="DH175" s="15">
        <v>4</v>
      </c>
      <c r="DI175" s="15"/>
      <c r="DJ175" s="15" t="s">
        <v>328</v>
      </c>
      <c r="DK175" s="15"/>
      <c r="DL175" s="15"/>
      <c r="DM175" s="15"/>
      <c r="DN175" s="15"/>
      <c r="DO175" s="15"/>
      <c r="DP175" s="15" t="s">
        <v>411</v>
      </c>
      <c r="DQ175" s="15" t="s">
        <v>328</v>
      </c>
      <c r="DR175" s="15"/>
      <c r="DS175" s="15"/>
      <c r="DT175" s="15"/>
      <c r="DU175" s="15"/>
      <c r="DV175" s="15"/>
      <c r="DW175" s="15"/>
      <c r="DX175" s="15" t="s">
        <v>411</v>
      </c>
      <c r="DY175" s="15" t="s">
        <v>328</v>
      </c>
      <c r="DZ175" s="15"/>
      <c r="EA175" s="15"/>
      <c r="EB175" s="15"/>
      <c r="EC175" s="15"/>
      <c r="ED175" s="15"/>
      <c r="EE175" s="102" t="s">
        <v>411</v>
      </c>
      <c r="EF175" s="99"/>
      <c r="EG175" s="17">
        <f t="shared" si="2"/>
        <v>0</v>
      </c>
    </row>
    <row r="176" spans="1:137" x14ac:dyDescent="0.25">
      <c r="A176" s="50" t="s">
        <v>1855</v>
      </c>
      <c r="B176" s="208">
        <v>41550</v>
      </c>
      <c r="C176" s="209" t="s">
        <v>2766</v>
      </c>
      <c r="D176" s="61" t="s">
        <v>659</v>
      </c>
      <c r="E176" s="15" t="s">
        <v>328</v>
      </c>
      <c r="F176" s="15"/>
      <c r="G176" s="15">
        <v>47</v>
      </c>
      <c r="H176" s="15" t="s">
        <v>329</v>
      </c>
      <c r="I176" s="15" t="s">
        <v>330</v>
      </c>
      <c r="J176" s="15" t="s">
        <v>732</v>
      </c>
      <c r="K176" s="15" t="s">
        <v>1235</v>
      </c>
      <c r="L176" s="15" t="s">
        <v>1183</v>
      </c>
      <c r="M176" s="15">
        <v>25</v>
      </c>
      <c r="N176" s="15">
        <v>1</v>
      </c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>
        <v>1</v>
      </c>
      <c r="AA176" s="15"/>
      <c r="AB176" s="15"/>
      <c r="AC176" s="15" t="s">
        <v>328</v>
      </c>
      <c r="AD176" s="15"/>
      <c r="AE176" s="15"/>
      <c r="AF176" s="15"/>
      <c r="AG176" s="15" t="s">
        <v>328</v>
      </c>
      <c r="AH176" s="15"/>
      <c r="AI176" s="15"/>
      <c r="AJ176" s="15"/>
      <c r="AK176" s="15"/>
      <c r="AL176" s="15"/>
      <c r="AM176" s="15" t="s">
        <v>328</v>
      </c>
      <c r="AN176" s="15"/>
      <c r="AO176" s="15" t="s">
        <v>328</v>
      </c>
      <c r="AP176" s="15"/>
      <c r="AQ176" s="15"/>
      <c r="AR176" s="15">
        <v>8</v>
      </c>
      <c r="AS176" s="15">
        <v>4</v>
      </c>
      <c r="AT176" s="15"/>
      <c r="AU176" s="15" t="s">
        <v>328</v>
      </c>
      <c r="AV176" s="15"/>
      <c r="AW176" s="15"/>
      <c r="AX176" s="15">
        <v>3</v>
      </c>
      <c r="AY176" s="15">
        <v>2</v>
      </c>
      <c r="AZ176" s="15">
        <v>1</v>
      </c>
      <c r="BA176" s="15"/>
      <c r="BB176" s="15" t="s">
        <v>328</v>
      </c>
      <c r="BC176" s="15"/>
      <c r="BD176" s="15" t="s">
        <v>328</v>
      </c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 t="s">
        <v>328</v>
      </c>
      <c r="BP176" s="15"/>
      <c r="BQ176" s="15" t="s">
        <v>328</v>
      </c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 t="s">
        <v>328</v>
      </c>
      <c r="CG176" s="15" t="s">
        <v>328</v>
      </c>
      <c r="CH176" s="15"/>
      <c r="CI176" s="15"/>
      <c r="CJ176" s="15" t="s">
        <v>328</v>
      </c>
      <c r="CK176" s="15"/>
      <c r="CL176" s="15"/>
      <c r="CM176" s="15"/>
      <c r="CN176" s="15">
        <v>4</v>
      </c>
      <c r="CO176" s="15">
        <v>1</v>
      </c>
      <c r="CP176" s="15">
        <v>5</v>
      </c>
      <c r="CQ176" s="15">
        <v>3</v>
      </c>
      <c r="CR176" s="15">
        <v>2</v>
      </c>
      <c r="CS176" s="15">
        <v>6</v>
      </c>
      <c r="CT176" s="15"/>
      <c r="CU176" s="15"/>
      <c r="CV176" s="15"/>
      <c r="CW176" s="15"/>
      <c r="CX176" s="15"/>
      <c r="CY176" s="15"/>
      <c r="CZ176" s="15" t="s">
        <v>332</v>
      </c>
      <c r="DA176" s="15"/>
      <c r="DB176" s="15"/>
      <c r="DC176" s="15">
        <v>1</v>
      </c>
      <c r="DD176" s="15">
        <v>3</v>
      </c>
      <c r="DE176" s="15">
        <v>4</v>
      </c>
      <c r="DF176" s="15">
        <v>5</v>
      </c>
      <c r="DG176" s="15">
        <v>2</v>
      </c>
      <c r="DH176" s="15">
        <v>6</v>
      </c>
      <c r="DI176" s="15"/>
      <c r="DJ176" s="15" t="s">
        <v>328</v>
      </c>
      <c r="DK176" s="15"/>
      <c r="DL176" s="15"/>
      <c r="DM176" s="15"/>
      <c r="DN176" s="15"/>
      <c r="DO176" s="15"/>
      <c r="DP176" s="14" t="s">
        <v>333</v>
      </c>
      <c r="DQ176" s="15" t="s">
        <v>328</v>
      </c>
      <c r="DR176" s="15"/>
      <c r="DS176" s="15"/>
      <c r="DT176" s="15"/>
      <c r="DU176" s="15"/>
      <c r="DV176" s="15"/>
      <c r="DW176" s="15"/>
      <c r="DX176" s="15" t="s">
        <v>333</v>
      </c>
      <c r="DY176" s="15" t="s">
        <v>328</v>
      </c>
      <c r="DZ176" s="15"/>
      <c r="EA176" s="15"/>
      <c r="EB176" s="15"/>
      <c r="EC176" s="15"/>
      <c r="ED176" s="15"/>
      <c r="EE176" s="102" t="s">
        <v>333</v>
      </c>
      <c r="EF176" s="99"/>
      <c r="EG176" s="17">
        <f t="shared" si="2"/>
        <v>0</v>
      </c>
    </row>
    <row r="177" spans="1:137" x14ac:dyDescent="0.25">
      <c r="A177" s="50" t="s">
        <v>1855</v>
      </c>
      <c r="B177" s="208">
        <v>41550</v>
      </c>
      <c r="C177" s="209" t="s">
        <v>2766</v>
      </c>
      <c r="D177" s="61" t="s">
        <v>660</v>
      </c>
      <c r="E177" s="15" t="s">
        <v>328</v>
      </c>
      <c r="F177" s="15"/>
      <c r="G177" s="15">
        <v>33</v>
      </c>
      <c r="H177" s="15" t="s">
        <v>329</v>
      </c>
      <c r="I177" s="15" t="s">
        <v>330</v>
      </c>
      <c r="J177" s="15" t="s">
        <v>789</v>
      </c>
      <c r="K177" s="18" t="s">
        <v>1267</v>
      </c>
      <c r="L177" s="15" t="s">
        <v>1291</v>
      </c>
      <c r="M177" s="15">
        <v>10</v>
      </c>
      <c r="N177" s="15">
        <v>1</v>
      </c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>
        <v>1</v>
      </c>
      <c r="AA177" s="15"/>
      <c r="AB177" s="15" t="s">
        <v>328</v>
      </c>
      <c r="AC177" s="15" t="s">
        <v>328</v>
      </c>
      <c r="AD177" s="15"/>
      <c r="AE177" s="15"/>
      <c r="AF177" s="15"/>
      <c r="AG177" s="15" t="s">
        <v>328</v>
      </c>
      <c r="AH177" s="15"/>
      <c r="AI177" s="15"/>
      <c r="AJ177" s="15"/>
      <c r="AK177" s="15"/>
      <c r="AL177" s="15"/>
      <c r="AM177" s="15" t="s">
        <v>328</v>
      </c>
      <c r="AN177" s="15"/>
      <c r="AO177" s="15" t="s">
        <v>328</v>
      </c>
      <c r="AP177" s="15"/>
      <c r="AQ177" s="15"/>
      <c r="AR177" s="15">
        <v>5</v>
      </c>
      <c r="AS177" s="15">
        <v>12</v>
      </c>
      <c r="AT177" s="15"/>
      <c r="AU177" s="15" t="s">
        <v>328</v>
      </c>
      <c r="AV177" s="15"/>
      <c r="AW177" s="15"/>
      <c r="AX177" s="15">
        <v>2</v>
      </c>
      <c r="AY177" s="15">
        <v>1</v>
      </c>
      <c r="AZ177" s="15">
        <v>3</v>
      </c>
      <c r="BA177" s="15"/>
      <c r="BB177" s="15"/>
      <c r="BC177" s="15" t="s">
        <v>328</v>
      </c>
      <c r="BD177" s="15" t="s">
        <v>328</v>
      </c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 t="s">
        <v>328</v>
      </c>
      <c r="BP177" s="15"/>
      <c r="BQ177" s="15" t="s">
        <v>328</v>
      </c>
      <c r="BR177" s="15" t="s">
        <v>328</v>
      </c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 t="s">
        <v>328</v>
      </c>
      <c r="CF177" s="15"/>
      <c r="CG177" s="15" t="s">
        <v>328</v>
      </c>
      <c r="CH177" s="15"/>
      <c r="CI177" s="15"/>
      <c r="CJ177" s="15"/>
      <c r="CK177" s="15"/>
      <c r="CL177" s="15" t="s">
        <v>328</v>
      </c>
      <c r="CM177" s="15"/>
      <c r="CN177" s="15">
        <v>4</v>
      </c>
      <c r="CO177" s="15">
        <v>1</v>
      </c>
      <c r="CP177" s="15">
        <v>6</v>
      </c>
      <c r="CQ177" s="15">
        <v>3</v>
      </c>
      <c r="CR177" s="15">
        <v>2</v>
      </c>
      <c r="CS177" s="15">
        <v>5</v>
      </c>
      <c r="CT177" s="15"/>
      <c r="CU177" s="15"/>
      <c r="CV177" s="15"/>
      <c r="CW177" s="15"/>
      <c r="CX177" s="15" t="s">
        <v>328</v>
      </c>
      <c r="CY177" s="15"/>
      <c r="CZ177" s="15"/>
      <c r="DA177" s="15"/>
      <c r="DB177" s="15"/>
      <c r="DC177" s="15">
        <v>2</v>
      </c>
      <c r="DD177" s="15">
        <v>3</v>
      </c>
      <c r="DE177" s="15">
        <v>1</v>
      </c>
      <c r="DF177" s="15">
        <v>4</v>
      </c>
      <c r="DG177" s="15">
        <v>5</v>
      </c>
      <c r="DH177" s="15">
        <v>6</v>
      </c>
      <c r="DI177" s="15"/>
      <c r="DJ177" s="15" t="s">
        <v>328</v>
      </c>
      <c r="DK177" s="15"/>
      <c r="DL177" s="15"/>
      <c r="DM177" s="15"/>
      <c r="DN177" s="15"/>
      <c r="DO177" s="15"/>
      <c r="DP177" s="15" t="s">
        <v>411</v>
      </c>
      <c r="DQ177" s="15"/>
      <c r="DR177" s="15" t="s">
        <v>328</v>
      </c>
      <c r="DS177" s="15"/>
      <c r="DT177" s="15"/>
      <c r="DU177" s="15" t="s">
        <v>328</v>
      </c>
      <c r="DV177" s="15" t="s">
        <v>680</v>
      </c>
      <c r="DW177" s="15" t="s">
        <v>927</v>
      </c>
      <c r="DX177" s="15" t="s">
        <v>625</v>
      </c>
      <c r="DY177" s="15" t="s">
        <v>328</v>
      </c>
      <c r="DZ177" s="15"/>
      <c r="EA177" s="15"/>
      <c r="EB177" s="15"/>
      <c r="EC177" s="15"/>
      <c r="ED177" s="15"/>
      <c r="EE177" s="102" t="s">
        <v>450</v>
      </c>
      <c r="EF177" s="99"/>
      <c r="EG177" s="17">
        <f t="shared" si="2"/>
        <v>0</v>
      </c>
    </row>
    <row r="178" spans="1:137" x14ac:dyDescent="0.25">
      <c r="A178" s="50" t="s">
        <v>1855</v>
      </c>
      <c r="B178" s="208">
        <v>41550</v>
      </c>
      <c r="C178" s="209" t="s">
        <v>2766</v>
      </c>
      <c r="D178" s="61" t="s">
        <v>661</v>
      </c>
      <c r="E178" s="15" t="s">
        <v>328</v>
      </c>
      <c r="F178" s="15"/>
      <c r="G178" s="15">
        <v>44</v>
      </c>
      <c r="H178" s="15" t="s">
        <v>329</v>
      </c>
      <c r="I178" s="15" t="s">
        <v>357</v>
      </c>
      <c r="J178" s="15" t="s">
        <v>790</v>
      </c>
      <c r="K178" s="18" t="s">
        <v>1268</v>
      </c>
      <c r="L178" s="15" t="s">
        <v>1446</v>
      </c>
      <c r="M178" s="15">
        <v>20</v>
      </c>
      <c r="N178" s="15">
        <v>1</v>
      </c>
      <c r="O178" s="15">
        <v>1</v>
      </c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 t="s">
        <v>328</v>
      </c>
      <c r="AD178" s="15"/>
      <c r="AE178" s="15"/>
      <c r="AF178" s="15" t="s">
        <v>328</v>
      </c>
      <c r="AG178" s="15"/>
      <c r="AH178" s="15" t="s">
        <v>328</v>
      </c>
      <c r="AI178" s="15"/>
      <c r="AJ178" s="15"/>
      <c r="AK178" s="15"/>
      <c r="AL178" s="15"/>
      <c r="AM178" s="15" t="s">
        <v>328</v>
      </c>
      <c r="AN178" s="15"/>
      <c r="AO178" s="15" t="s">
        <v>328</v>
      </c>
      <c r="AP178" s="15"/>
      <c r="AQ178" s="15"/>
      <c r="AR178" s="15">
        <v>6</v>
      </c>
      <c r="AS178" s="15">
        <v>2</v>
      </c>
      <c r="AT178" s="15"/>
      <c r="AU178" s="15" t="s">
        <v>328</v>
      </c>
      <c r="AV178" s="15"/>
      <c r="AW178" s="15"/>
      <c r="AX178" s="15">
        <v>1</v>
      </c>
      <c r="AY178" s="15">
        <v>3</v>
      </c>
      <c r="AZ178" s="15">
        <v>2</v>
      </c>
      <c r="BA178" s="15"/>
      <c r="BB178" s="15" t="s">
        <v>328</v>
      </c>
      <c r="BC178" s="15"/>
      <c r="BD178" s="15" t="s">
        <v>328</v>
      </c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 t="s">
        <v>328</v>
      </c>
      <c r="BP178" s="15" t="s">
        <v>328</v>
      </c>
      <c r="BQ178" s="15"/>
      <c r="BR178" s="15"/>
      <c r="BS178" s="15" t="s">
        <v>328</v>
      </c>
      <c r="BT178" s="15"/>
      <c r="BU178" s="15"/>
      <c r="BV178" s="15"/>
      <c r="BW178" s="15" t="s">
        <v>328</v>
      </c>
      <c r="BX178" s="15"/>
      <c r="BY178" s="15"/>
      <c r="BZ178" s="15"/>
      <c r="CA178" s="15"/>
      <c r="CB178" s="15" t="s">
        <v>328</v>
      </c>
      <c r="CC178" s="15" t="s">
        <v>328</v>
      </c>
      <c r="CD178" s="15" t="s">
        <v>328</v>
      </c>
      <c r="CE178" s="15"/>
      <c r="CF178" s="15"/>
      <c r="CG178" s="15"/>
      <c r="CH178" s="15"/>
      <c r="CI178" s="15" t="s">
        <v>328</v>
      </c>
      <c r="CJ178" s="15"/>
      <c r="CK178" s="15"/>
      <c r="CL178" s="15"/>
      <c r="CM178" s="15"/>
      <c r="CN178" s="15">
        <v>5</v>
      </c>
      <c r="CO178" s="15">
        <v>1</v>
      </c>
      <c r="CP178" s="15">
        <v>2</v>
      </c>
      <c r="CQ178" s="15">
        <v>3</v>
      </c>
      <c r="CR178" s="15">
        <v>4</v>
      </c>
      <c r="CS178" s="15">
        <v>6</v>
      </c>
      <c r="CT178" s="15"/>
      <c r="CU178" s="15" t="s">
        <v>328</v>
      </c>
      <c r="CV178" s="15" t="s">
        <v>328</v>
      </c>
      <c r="CW178" s="15"/>
      <c r="CX178" s="15"/>
      <c r="CY178" s="15"/>
      <c r="CZ178" s="15"/>
      <c r="DA178" s="15"/>
      <c r="DB178" s="15"/>
      <c r="DC178" s="15">
        <v>1</v>
      </c>
      <c r="DD178" s="15">
        <v>5</v>
      </c>
      <c r="DE178" s="15">
        <v>6</v>
      </c>
      <c r="DF178" s="15">
        <v>2</v>
      </c>
      <c r="DG178" s="15">
        <v>4</v>
      </c>
      <c r="DH178" s="15">
        <v>3</v>
      </c>
      <c r="DI178" s="15"/>
      <c r="DJ178" s="15" t="s">
        <v>328</v>
      </c>
      <c r="DK178" s="15"/>
      <c r="DL178" s="15"/>
      <c r="DM178" s="15"/>
      <c r="DN178" s="15"/>
      <c r="DO178" s="15"/>
      <c r="DP178" s="14" t="s">
        <v>396</v>
      </c>
      <c r="DQ178" s="15"/>
      <c r="DR178" s="15" t="s">
        <v>328</v>
      </c>
      <c r="DS178" s="15" t="s">
        <v>328</v>
      </c>
      <c r="DT178" s="15" t="s">
        <v>437</v>
      </c>
      <c r="DU178" s="15"/>
      <c r="DV178" s="15"/>
      <c r="DW178" s="15" t="s">
        <v>489</v>
      </c>
      <c r="DX178" s="15" t="s">
        <v>593</v>
      </c>
      <c r="DY178" s="15" t="s">
        <v>328</v>
      </c>
      <c r="DZ178" s="15"/>
      <c r="EA178" s="15"/>
      <c r="EB178" s="15"/>
      <c r="EC178" s="15"/>
      <c r="ED178" s="15"/>
      <c r="EE178" s="102" t="s">
        <v>450</v>
      </c>
      <c r="EF178" s="99"/>
      <c r="EG178" s="17">
        <f t="shared" si="2"/>
        <v>0</v>
      </c>
    </row>
    <row r="179" spans="1:137" x14ac:dyDescent="0.25">
      <c r="A179" s="50" t="s">
        <v>1855</v>
      </c>
      <c r="B179" s="208">
        <v>41550</v>
      </c>
      <c r="C179" s="209" t="s">
        <v>2766</v>
      </c>
      <c r="D179" s="61" t="s">
        <v>662</v>
      </c>
      <c r="E179" s="15" t="s">
        <v>328</v>
      </c>
      <c r="F179" s="15"/>
      <c r="G179" s="15">
        <v>53</v>
      </c>
      <c r="H179" s="15" t="s">
        <v>329</v>
      </c>
      <c r="I179" s="15" t="s">
        <v>330</v>
      </c>
      <c r="J179" s="15" t="s">
        <v>791</v>
      </c>
      <c r="K179" s="18" t="s">
        <v>1269</v>
      </c>
      <c r="L179" s="15" t="s">
        <v>1292</v>
      </c>
      <c r="M179" s="15">
        <v>25</v>
      </c>
      <c r="N179" s="15">
        <v>1</v>
      </c>
      <c r="O179" s="15">
        <v>1</v>
      </c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 t="s">
        <v>328</v>
      </c>
      <c r="AC179" s="15" t="s">
        <v>328</v>
      </c>
      <c r="AD179" s="15"/>
      <c r="AE179" s="15"/>
      <c r="AF179" s="15" t="s">
        <v>328</v>
      </c>
      <c r="AG179" s="15"/>
      <c r="AH179" s="15" t="s">
        <v>328</v>
      </c>
      <c r="AI179" s="15"/>
      <c r="AJ179" s="15"/>
      <c r="AK179" s="15"/>
      <c r="AL179" s="15"/>
      <c r="AM179" s="15" t="s">
        <v>328</v>
      </c>
      <c r="AN179" s="15"/>
      <c r="AO179" s="15" t="s">
        <v>328</v>
      </c>
      <c r="AP179" s="15" t="s">
        <v>328</v>
      </c>
      <c r="AQ179" s="15"/>
      <c r="AR179" s="15">
        <v>8</v>
      </c>
      <c r="AS179" s="15">
        <v>2</v>
      </c>
      <c r="AT179" s="15"/>
      <c r="AU179" s="15"/>
      <c r="AV179" s="15" t="s">
        <v>328</v>
      </c>
      <c r="AW179" s="15"/>
      <c r="AX179" s="15">
        <v>1</v>
      </c>
      <c r="AY179" s="15">
        <v>3</v>
      </c>
      <c r="AZ179" s="15">
        <v>2</v>
      </c>
      <c r="BA179" s="15"/>
      <c r="BB179" s="15" t="s">
        <v>328</v>
      </c>
      <c r="BC179" s="15"/>
      <c r="BD179" s="15" t="s">
        <v>328</v>
      </c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 t="s">
        <v>328</v>
      </c>
      <c r="BP179" s="15" t="s">
        <v>328</v>
      </c>
      <c r="BQ179" s="15"/>
      <c r="BR179" s="15"/>
      <c r="BS179" s="15"/>
      <c r="BT179" s="15"/>
      <c r="BU179" s="15"/>
      <c r="BV179" s="15"/>
      <c r="BW179" s="15" t="s">
        <v>328</v>
      </c>
      <c r="BX179" s="15"/>
      <c r="BY179" s="15"/>
      <c r="BZ179" s="15"/>
      <c r="CA179" s="15"/>
      <c r="CB179" s="15"/>
      <c r="CC179" s="15"/>
      <c r="CD179" s="15" t="s">
        <v>328</v>
      </c>
      <c r="CE179" s="15"/>
      <c r="CF179" s="15"/>
      <c r="CG179" s="15"/>
      <c r="CH179" s="14" t="s">
        <v>579</v>
      </c>
      <c r="CI179" s="15"/>
      <c r="CJ179" s="15" t="s">
        <v>328</v>
      </c>
      <c r="CK179" s="15"/>
      <c r="CL179" s="15"/>
      <c r="CM179" s="15"/>
      <c r="CN179" s="15">
        <v>1</v>
      </c>
      <c r="CO179" s="15">
        <v>4</v>
      </c>
      <c r="CP179" s="15">
        <v>3</v>
      </c>
      <c r="CQ179" s="15">
        <v>5</v>
      </c>
      <c r="CR179" s="15">
        <v>6</v>
      </c>
      <c r="CS179" s="15">
        <v>2</v>
      </c>
      <c r="CT179" s="15" t="s">
        <v>328</v>
      </c>
      <c r="CU179" s="15"/>
      <c r="CV179" s="15"/>
      <c r="CW179" s="15"/>
      <c r="CX179" s="15"/>
      <c r="CY179" s="15"/>
      <c r="CZ179" s="15"/>
      <c r="DA179" s="15"/>
      <c r="DB179" s="15"/>
      <c r="DC179" s="15">
        <v>3</v>
      </c>
      <c r="DD179" s="15">
        <v>4</v>
      </c>
      <c r="DE179" s="15">
        <v>2</v>
      </c>
      <c r="DF179" s="15">
        <v>5</v>
      </c>
      <c r="DG179" s="15">
        <v>1</v>
      </c>
      <c r="DH179" s="15">
        <v>6</v>
      </c>
      <c r="DI179" s="15"/>
      <c r="DJ179" s="15" t="s">
        <v>328</v>
      </c>
      <c r="DK179" s="15"/>
      <c r="DL179" s="15"/>
      <c r="DM179" s="15"/>
      <c r="DN179" s="15"/>
      <c r="DO179" s="15"/>
      <c r="DP179" s="15" t="s">
        <v>411</v>
      </c>
      <c r="DQ179" s="15"/>
      <c r="DR179" s="15" t="s">
        <v>328</v>
      </c>
      <c r="DS179" s="15" t="s">
        <v>328</v>
      </c>
      <c r="DT179" s="15" t="s">
        <v>420</v>
      </c>
      <c r="DU179" s="15"/>
      <c r="DV179" s="15"/>
      <c r="DW179" s="15"/>
      <c r="DX179" s="15" t="s">
        <v>625</v>
      </c>
      <c r="DY179" s="15" t="s">
        <v>328</v>
      </c>
      <c r="DZ179" s="15"/>
      <c r="EA179" s="15"/>
      <c r="EB179" s="15"/>
      <c r="EC179" s="15"/>
      <c r="ED179" s="15"/>
      <c r="EE179" s="102" t="s">
        <v>1161</v>
      </c>
      <c r="EF179" s="99"/>
      <c r="EG179" s="17">
        <f t="shared" si="2"/>
        <v>0</v>
      </c>
    </row>
    <row r="180" spans="1:137" x14ac:dyDescent="0.25">
      <c r="A180" s="50" t="s">
        <v>1855</v>
      </c>
      <c r="B180" s="208">
        <v>41550</v>
      </c>
      <c r="C180" s="209" t="s">
        <v>2766</v>
      </c>
      <c r="D180" s="61" t="s">
        <v>663</v>
      </c>
      <c r="E180" s="15" t="s">
        <v>328</v>
      </c>
      <c r="F180" s="15"/>
      <c r="G180" s="15">
        <v>52</v>
      </c>
      <c r="H180" s="15" t="s">
        <v>329</v>
      </c>
      <c r="I180" s="15" t="s">
        <v>353</v>
      </c>
      <c r="J180" s="15" t="s">
        <v>792</v>
      </c>
      <c r="K180" s="18" t="s">
        <v>1270</v>
      </c>
      <c r="L180" s="15" t="s">
        <v>1337</v>
      </c>
      <c r="M180" s="15">
        <v>25</v>
      </c>
      <c r="N180" s="15">
        <v>1</v>
      </c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>
        <v>1</v>
      </c>
      <c r="AA180" s="15"/>
      <c r="AB180" s="15" t="s">
        <v>328</v>
      </c>
      <c r="AC180" s="15"/>
      <c r="AD180" s="15"/>
      <c r="AE180" s="15"/>
      <c r="AF180" s="15"/>
      <c r="AG180" s="15" t="s">
        <v>328</v>
      </c>
      <c r="AH180" s="15"/>
      <c r="AI180" s="15"/>
      <c r="AJ180" s="15"/>
      <c r="AK180" s="15"/>
      <c r="AL180" s="15"/>
      <c r="AM180" s="15" t="s">
        <v>328</v>
      </c>
      <c r="AN180" s="15"/>
      <c r="AO180" s="15" t="s">
        <v>328</v>
      </c>
      <c r="AP180" s="15"/>
      <c r="AQ180" s="15"/>
      <c r="AR180" s="15">
        <v>5</v>
      </c>
      <c r="AS180" s="15">
        <v>3</v>
      </c>
      <c r="AT180" s="15"/>
      <c r="AU180" s="15" t="s">
        <v>328</v>
      </c>
      <c r="AV180" s="15"/>
      <c r="AW180" s="15"/>
      <c r="AX180" s="15">
        <v>3</v>
      </c>
      <c r="AY180" s="15">
        <v>2</v>
      </c>
      <c r="AZ180" s="15">
        <v>1</v>
      </c>
      <c r="BA180" s="15"/>
      <c r="BB180" s="15" t="s">
        <v>328</v>
      </c>
      <c r="BC180" s="15"/>
      <c r="BD180" s="15" t="s">
        <v>328</v>
      </c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 t="s">
        <v>328</v>
      </c>
      <c r="BP180" s="15"/>
      <c r="BQ180" s="15" t="s">
        <v>328</v>
      </c>
      <c r="BR180" s="15" t="s">
        <v>328</v>
      </c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 t="s">
        <v>328</v>
      </c>
      <c r="CG180" s="15" t="s">
        <v>328</v>
      </c>
      <c r="CH180" s="15"/>
      <c r="CI180" s="15"/>
      <c r="CJ180" s="15"/>
      <c r="CK180" s="15"/>
      <c r="CL180" s="15" t="s">
        <v>328</v>
      </c>
      <c r="CM180" s="15"/>
      <c r="CN180" s="15">
        <v>4</v>
      </c>
      <c r="CO180" s="15">
        <v>3</v>
      </c>
      <c r="CP180" s="15">
        <v>5</v>
      </c>
      <c r="CQ180" s="15">
        <v>2</v>
      </c>
      <c r="CR180" s="15">
        <v>1</v>
      </c>
      <c r="CS180" s="15">
        <v>6</v>
      </c>
      <c r="CT180" s="15"/>
      <c r="CU180" s="15"/>
      <c r="CV180" s="15"/>
      <c r="CW180" s="15"/>
      <c r="CX180" s="15" t="s">
        <v>328</v>
      </c>
      <c r="CY180" s="15"/>
      <c r="CZ180" s="15"/>
      <c r="DA180" s="15"/>
      <c r="DB180" s="15"/>
      <c r="DC180" s="15">
        <v>1</v>
      </c>
      <c r="DD180" s="15">
        <v>2</v>
      </c>
      <c r="DE180" s="15">
        <v>3</v>
      </c>
      <c r="DF180" s="15">
        <v>4</v>
      </c>
      <c r="DG180" s="15">
        <v>5</v>
      </c>
      <c r="DH180" s="15">
        <v>6</v>
      </c>
      <c r="DI180" s="15"/>
      <c r="DJ180" s="15" t="s">
        <v>328</v>
      </c>
      <c r="DK180" s="15"/>
      <c r="DL180" s="15"/>
      <c r="DM180" s="15"/>
      <c r="DN180" s="15"/>
      <c r="DO180" s="15"/>
      <c r="DP180" s="14" t="s">
        <v>333</v>
      </c>
      <c r="DQ180" s="15" t="s">
        <v>328</v>
      </c>
      <c r="DR180" s="15"/>
      <c r="DS180" s="15"/>
      <c r="DT180" s="15"/>
      <c r="DU180" s="15"/>
      <c r="DV180" s="15"/>
      <c r="DW180" s="15"/>
      <c r="DX180" s="15" t="s">
        <v>333</v>
      </c>
      <c r="DY180" s="15" t="s">
        <v>328</v>
      </c>
      <c r="DZ180" s="15"/>
      <c r="EA180" s="15"/>
      <c r="EB180" s="15"/>
      <c r="EC180" s="15"/>
      <c r="ED180" s="15"/>
      <c r="EE180" s="102" t="s">
        <v>333</v>
      </c>
      <c r="EF180" s="99"/>
      <c r="EG180" s="17">
        <f t="shared" si="2"/>
        <v>0</v>
      </c>
    </row>
    <row r="181" spans="1:137" x14ac:dyDescent="0.25">
      <c r="A181" s="50" t="s">
        <v>1855</v>
      </c>
      <c r="B181" s="208">
        <v>41550</v>
      </c>
      <c r="C181" s="209" t="s">
        <v>2766</v>
      </c>
      <c r="D181" s="61" t="s">
        <v>664</v>
      </c>
      <c r="E181" s="15" t="s">
        <v>328</v>
      </c>
      <c r="F181" s="15"/>
      <c r="G181" s="15">
        <v>61</v>
      </c>
      <c r="H181" s="15" t="s">
        <v>329</v>
      </c>
      <c r="I181" s="15" t="s">
        <v>584</v>
      </c>
      <c r="J181" s="15" t="s">
        <v>793</v>
      </c>
      <c r="K181" s="18" t="s">
        <v>1271</v>
      </c>
      <c r="L181" s="15" t="s">
        <v>1188</v>
      </c>
      <c r="M181" s="15">
        <v>40</v>
      </c>
      <c r="N181" s="15">
        <v>1</v>
      </c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>
        <v>1</v>
      </c>
      <c r="AA181" s="15"/>
      <c r="AB181" s="15" t="s">
        <v>328</v>
      </c>
      <c r="AC181" s="15"/>
      <c r="AD181" s="15"/>
      <c r="AE181" s="15"/>
      <c r="AF181" s="15"/>
      <c r="AG181" s="15" t="s">
        <v>328</v>
      </c>
      <c r="AH181" s="15"/>
      <c r="AI181" s="15"/>
      <c r="AJ181" s="15"/>
      <c r="AK181" s="15"/>
      <c r="AL181" s="15"/>
      <c r="AM181" s="15" t="s">
        <v>328</v>
      </c>
      <c r="AN181" s="15"/>
      <c r="AO181" s="15" t="s">
        <v>328</v>
      </c>
      <c r="AP181" s="15"/>
      <c r="AQ181" s="15"/>
      <c r="AR181" s="15">
        <v>5</v>
      </c>
      <c r="AS181" s="15">
        <v>5</v>
      </c>
      <c r="AT181" s="15"/>
      <c r="AU181" s="15" t="s">
        <v>328</v>
      </c>
      <c r="AV181" s="15"/>
      <c r="AW181" s="15"/>
      <c r="AX181" s="15">
        <v>1</v>
      </c>
      <c r="AY181" s="15">
        <v>3</v>
      </c>
      <c r="AZ181" s="15">
        <v>2</v>
      </c>
      <c r="BA181" s="15"/>
      <c r="BB181" s="15" t="s">
        <v>328</v>
      </c>
      <c r="BC181" s="15"/>
      <c r="BD181" s="15" t="s">
        <v>328</v>
      </c>
      <c r="BE181" s="15"/>
      <c r="BF181" s="15"/>
      <c r="BG181" s="15"/>
      <c r="BH181" s="15"/>
      <c r="BI181" s="15"/>
      <c r="BJ181" s="15"/>
      <c r="BK181" s="15"/>
      <c r="BL181" s="15"/>
      <c r="BM181" s="15"/>
      <c r="BN181" s="15" t="s">
        <v>696</v>
      </c>
      <c r="BO181" s="15" t="s">
        <v>328</v>
      </c>
      <c r="BP181" s="15"/>
      <c r="BQ181" s="15" t="s">
        <v>328</v>
      </c>
      <c r="BR181" s="15" t="s">
        <v>328</v>
      </c>
      <c r="BS181" s="15" t="s">
        <v>328</v>
      </c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 t="s">
        <v>328</v>
      </c>
      <c r="CE181" s="15"/>
      <c r="CF181" s="15"/>
      <c r="CG181" s="15"/>
      <c r="CH181" s="15"/>
      <c r="CI181" s="15"/>
      <c r="CJ181" s="15" t="s">
        <v>328</v>
      </c>
      <c r="CK181" s="15"/>
      <c r="CL181" s="15"/>
      <c r="CM181" s="15"/>
      <c r="CN181" s="15">
        <v>4</v>
      </c>
      <c r="CO181" s="15">
        <v>1</v>
      </c>
      <c r="CP181" s="15">
        <v>2</v>
      </c>
      <c r="CQ181" s="15">
        <v>5</v>
      </c>
      <c r="CR181" s="15">
        <v>6</v>
      </c>
      <c r="CS181" s="15">
        <v>3</v>
      </c>
      <c r="CT181" s="15"/>
      <c r="CU181" s="15"/>
      <c r="CV181" s="15"/>
      <c r="CW181" s="15"/>
      <c r="CX181" s="15" t="s">
        <v>328</v>
      </c>
      <c r="CY181" s="15"/>
      <c r="CZ181" s="15"/>
      <c r="DA181" s="15"/>
      <c r="DB181" s="15"/>
      <c r="DC181" s="15">
        <v>1</v>
      </c>
      <c r="DD181" s="15">
        <v>2</v>
      </c>
      <c r="DE181" s="15">
        <v>3</v>
      </c>
      <c r="DF181" s="15">
        <v>4</v>
      </c>
      <c r="DG181" s="15">
        <v>5</v>
      </c>
      <c r="DH181" s="15">
        <v>6</v>
      </c>
      <c r="DI181" s="15"/>
      <c r="DJ181" s="15" t="s">
        <v>328</v>
      </c>
      <c r="DK181" s="15"/>
      <c r="DL181" s="15"/>
      <c r="DM181" s="15"/>
      <c r="DN181" s="15"/>
      <c r="DO181" s="15"/>
      <c r="DP181" s="14" t="s">
        <v>1145</v>
      </c>
      <c r="DQ181" s="15" t="s">
        <v>328</v>
      </c>
      <c r="DR181" s="15"/>
      <c r="DS181" s="15"/>
      <c r="DT181" s="15"/>
      <c r="DU181" s="15"/>
      <c r="DV181" s="15"/>
      <c r="DW181" s="15"/>
      <c r="DX181" s="15" t="s">
        <v>1145</v>
      </c>
      <c r="DY181" s="15" t="s">
        <v>328</v>
      </c>
      <c r="DZ181" s="15"/>
      <c r="EA181" s="15"/>
      <c r="EB181" s="15"/>
      <c r="EC181" s="15"/>
      <c r="ED181" s="15"/>
      <c r="EE181" s="102" t="s">
        <v>1145</v>
      </c>
      <c r="EF181" s="99"/>
      <c r="EG181" s="17">
        <f t="shared" si="2"/>
        <v>0</v>
      </c>
    </row>
    <row r="182" spans="1:137" x14ac:dyDescent="0.25">
      <c r="A182" s="50" t="s">
        <v>1855</v>
      </c>
      <c r="B182" s="208">
        <v>41550</v>
      </c>
      <c r="C182" s="209" t="s">
        <v>2766</v>
      </c>
      <c r="D182" s="61" t="s">
        <v>665</v>
      </c>
      <c r="E182" s="15" t="s">
        <v>328</v>
      </c>
      <c r="F182" s="15"/>
      <c r="G182" s="15">
        <v>41</v>
      </c>
      <c r="H182" s="15" t="s">
        <v>329</v>
      </c>
      <c r="I182" s="15" t="s">
        <v>330</v>
      </c>
      <c r="J182" s="14" t="s">
        <v>751</v>
      </c>
      <c r="K182" s="14" t="s">
        <v>1227</v>
      </c>
      <c r="L182" s="14" t="s">
        <v>1183</v>
      </c>
      <c r="M182" s="15">
        <v>16</v>
      </c>
      <c r="N182" s="15">
        <v>1</v>
      </c>
      <c r="O182" s="15"/>
      <c r="P182" s="15">
        <v>1</v>
      </c>
      <c r="Q182" s="15"/>
      <c r="R182" s="15">
        <v>1</v>
      </c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 t="s">
        <v>328</v>
      </c>
      <c r="AJ182" s="15"/>
      <c r="AK182" s="15"/>
      <c r="AL182" s="15"/>
      <c r="AM182" s="15" t="s">
        <v>328</v>
      </c>
      <c r="AN182" s="15"/>
      <c r="AO182" s="15"/>
      <c r="AP182" s="15" t="s">
        <v>328</v>
      </c>
      <c r="AQ182" s="15"/>
      <c r="AR182" s="15">
        <v>9</v>
      </c>
      <c r="AS182" s="15">
        <v>4</v>
      </c>
      <c r="AT182" s="15"/>
      <c r="AU182" s="15"/>
      <c r="AV182" s="15" t="s">
        <v>328</v>
      </c>
      <c r="AW182" s="15"/>
      <c r="AX182" s="15">
        <v>1</v>
      </c>
      <c r="AY182" s="15">
        <v>3</v>
      </c>
      <c r="AZ182" s="15">
        <v>2</v>
      </c>
      <c r="BA182" s="15"/>
      <c r="BB182" s="15"/>
      <c r="BC182" s="15" t="s">
        <v>328</v>
      </c>
      <c r="BD182" s="15"/>
      <c r="BE182" s="15" t="s">
        <v>328</v>
      </c>
      <c r="BF182" s="15"/>
      <c r="BG182" s="15"/>
      <c r="BH182" s="15"/>
      <c r="BI182" s="15"/>
      <c r="BJ182" s="15"/>
      <c r="BK182" s="15"/>
      <c r="BL182" s="15"/>
      <c r="BM182" s="15"/>
      <c r="BN182" s="15"/>
      <c r="BO182" s="15" t="s">
        <v>328</v>
      </c>
      <c r="BP182" s="15"/>
      <c r="BQ182" s="15" t="s">
        <v>328</v>
      </c>
      <c r="BR182" s="15"/>
      <c r="BS182" s="15"/>
      <c r="BT182" s="15"/>
      <c r="BU182" s="15"/>
      <c r="BV182" s="15"/>
      <c r="BW182" s="15" t="s">
        <v>328</v>
      </c>
      <c r="BX182" s="15"/>
      <c r="BY182" s="15"/>
      <c r="BZ182" s="15"/>
      <c r="CA182" s="15"/>
      <c r="CB182" s="15" t="s">
        <v>328</v>
      </c>
      <c r="CC182" s="15"/>
      <c r="CD182" s="15" t="s">
        <v>328</v>
      </c>
      <c r="CE182" s="15"/>
      <c r="CF182" s="15"/>
      <c r="CG182" s="15"/>
      <c r="CH182" s="15"/>
      <c r="CI182" s="15" t="s">
        <v>328</v>
      </c>
      <c r="CJ182" s="15"/>
      <c r="CK182" s="15"/>
      <c r="CL182" s="15"/>
      <c r="CM182" s="15"/>
      <c r="CN182" s="15">
        <v>5</v>
      </c>
      <c r="CO182" s="15">
        <v>3</v>
      </c>
      <c r="CP182" s="15">
        <v>4</v>
      </c>
      <c r="CQ182" s="15">
        <v>1</v>
      </c>
      <c r="CR182" s="15">
        <v>2</v>
      </c>
      <c r="CS182" s="15">
        <v>6</v>
      </c>
      <c r="CT182" s="15"/>
      <c r="CU182" s="15"/>
      <c r="CV182" s="15"/>
      <c r="CW182" s="15"/>
      <c r="CX182" s="15"/>
      <c r="CY182" s="15"/>
      <c r="CZ182" s="15" t="s">
        <v>332</v>
      </c>
      <c r="DA182" s="15"/>
      <c r="DB182" s="15"/>
      <c r="DC182" s="15">
        <v>1</v>
      </c>
      <c r="DD182" s="15">
        <v>2</v>
      </c>
      <c r="DE182" s="15">
        <v>3</v>
      </c>
      <c r="DF182" s="15">
        <v>4</v>
      </c>
      <c r="DG182" s="15">
        <v>6</v>
      </c>
      <c r="DH182" s="15">
        <v>5</v>
      </c>
      <c r="DI182" s="15"/>
      <c r="DJ182" s="15" t="s">
        <v>328</v>
      </c>
      <c r="DK182" s="15"/>
      <c r="DL182" s="15"/>
      <c r="DM182" s="15"/>
      <c r="DN182" s="15"/>
      <c r="DO182" s="15"/>
      <c r="DP182" s="14" t="s">
        <v>1146</v>
      </c>
      <c r="DQ182" s="15" t="s">
        <v>328</v>
      </c>
      <c r="DR182" s="15"/>
      <c r="DS182" s="15"/>
      <c r="DT182" s="15"/>
      <c r="DU182" s="15"/>
      <c r="DV182" s="15"/>
      <c r="DW182" s="15"/>
      <c r="DX182" s="15" t="s">
        <v>1148</v>
      </c>
      <c r="DY182" s="15" t="s">
        <v>328</v>
      </c>
      <c r="DZ182" s="15"/>
      <c r="EA182" s="15"/>
      <c r="EB182" s="15"/>
      <c r="EC182" s="15"/>
      <c r="ED182" s="15"/>
      <c r="EE182" s="102" t="s">
        <v>1148</v>
      </c>
      <c r="EF182" s="99"/>
      <c r="EG182" s="17">
        <f t="shared" si="2"/>
        <v>0</v>
      </c>
    </row>
    <row r="183" spans="1:137" x14ac:dyDescent="0.25">
      <c r="A183" s="50" t="s">
        <v>1855</v>
      </c>
      <c r="B183" s="208">
        <v>41550</v>
      </c>
      <c r="C183" s="209" t="s">
        <v>2766</v>
      </c>
      <c r="D183" s="61" t="s">
        <v>666</v>
      </c>
      <c r="E183" s="15" t="s">
        <v>328</v>
      </c>
      <c r="F183" s="15"/>
      <c r="G183" s="15">
        <v>31</v>
      </c>
      <c r="H183" s="15" t="s">
        <v>329</v>
      </c>
      <c r="I183" s="15" t="s">
        <v>357</v>
      </c>
      <c r="J183" s="15" t="s">
        <v>794</v>
      </c>
      <c r="K183" s="18" t="s">
        <v>1272</v>
      </c>
      <c r="L183" s="15" t="s">
        <v>1287</v>
      </c>
      <c r="M183" s="15">
        <v>0</v>
      </c>
      <c r="N183" s="15">
        <v>2</v>
      </c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>
        <v>1</v>
      </c>
      <c r="AA183" s="15"/>
      <c r="AB183" s="15" t="s">
        <v>328</v>
      </c>
      <c r="AC183" s="15"/>
      <c r="AD183" s="15"/>
      <c r="AE183" s="15"/>
      <c r="AF183" s="15"/>
      <c r="AG183" s="15" t="s">
        <v>328</v>
      </c>
      <c r="AH183" s="15"/>
      <c r="AI183" s="15"/>
      <c r="AJ183" s="15"/>
      <c r="AK183" s="15"/>
      <c r="AL183" s="15"/>
      <c r="AM183" s="15" t="s">
        <v>328</v>
      </c>
      <c r="AN183" s="15"/>
      <c r="AO183" s="15"/>
      <c r="AP183" s="15"/>
      <c r="AQ183" s="15" t="s">
        <v>328</v>
      </c>
      <c r="AR183" s="15">
        <v>10</v>
      </c>
      <c r="AS183" s="15">
        <v>3</v>
      </c>
      <c r="AT183" s="15"/>
      <c r="AU183" s="15" t="s">
        <v>328</v>
      </c>
      <c r="AV183" s="15"/>
      <c r="AW183" s="15"/>
      <c r="AX183" s="15">
        <v>3</v>
      </c>
      <c r="AY183" s="15">
        <v>2</v>
      </c>
      <c r="AZ183" s="15">
        <v>1</v>
      </c>
      <c r="BA183" s="15"/>
      <c r="BB183" s="15" t="s">
        <v>328</v>
      </c>
      <c r="BC183" s="15"/>
      <c r="BD183" s="15" t="s">
        <v>328</v>
      </c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 t="s">
        <v>328</v>
      </c>
      <c r="BP183" s="15"/>
      <c r="BQ183" s="15" t="s">
        <v>328</v>
      </c>
      <c r="BR183" s="15"/>
      <c r="BS183" s="15"/>
      <c r="BT183" s="15"/>
      <c r="BU183" s="15"/>
      <c r="BV183" s="15"/>
      <c r="BW183" s="15" t="s">
        <v>328</v>
      </c>
      <c r="BX183" s="15"/>
      <c r="BY183" s="15"/>
      <c r="BZ183" s="15"/>
      <c r="CA183" s="15"/>
      <c r="CB183" s="15"/>
      <c r="CC183" s="15"/>
      <c r="CD183" s="15" t="s">
        <v>328</v>
      </c>
      <c r="CE183" s="15"/>
      <c r="CF183" s="15"/>
      <c r="CG183" s="15" t="s">
        <v>328</v>
      </c>
      <c r="CH183" s="15"/>
      <c r="CI183" s="15"/>
      <c r="CJ183" s="15" t="s">
        <v>328</v>
      </c>
      <c r="CK183" s="15"/>
      <c r="CL183" s="15"/>
      <c r="CM183" s="15"/>
      <c r="CN183" s="15">
        <v>6</v>
      </c>
      <c r="CO183" s="15">
        <v>2</v>
      </c>
      <c r="CP183" s="15">
        <v>1</v>
      </c>
      <c r="CQ183" s="15">
        <v>3</v>
      </c>
      <c r="CR183" s="15">
        <v>4</v>
      </c>
      <c r="CS183" s="15">
        <v>5</v>
      </c>
      <c r="CT183" s="15"/>
      <c r="CU183" s="15"/>
      <c r="CV183" s="15"/>
      <c r="CW183" s="15"/>
      <c r="CX183" s="15"/>
      <c r="CY183" s="15"/>
      <c r="CZ183" s="15" t="s">
        <v>332</v>
      </c>
      <c r="DA183" s="15"/>
      <c r="DB183" s="15"/>
      <c r="DC183" s="15">
        <v>1</v>
      </c>
      <c r="DD183" s="15">
        <v>3</v>
      </c>
      <c r="DE183" s="15">
        <v>2</v>
      </c>
      <c r="DF183" s="15">
        <v>4</v>
      </c>
      <c r="DG183" s="15">
        <v>6</v>
      </c>
      <c r="DH183" s="15">
        <v>5</v>
      </c>
      <c r="DI183" s="15"/>
      <c r="DJ183" s="15" t="s">
        <v>328</v>
      </c>
      <c r="DK183" s="15"/>
      <c r="DL183" s="15"/>
      <c r="DM183" s="15"/>
      <c r="DN183" s="15"/>
      <c r="DO183" s="15"/>
      <c r="DP183" s="14" t="s">
        <v>396</v>
      </c>
      <c r="DQ183" s="15" t="s">
        <v>328</v>
      </c>
      <c r="DR183" s="15"/>
      <c r="DS183" s="15"/>
      <c r="DT183" s="15"/>
      <c r="DU183" s="15"/>
      <c r="DV183" s="15"/>
      <c r="DW183" s="15"/>
      <c r="DX183" s="15" t="s">
        <v>497</v>
      </c>
      <c r="DY183" s="15" t="s">
        <v>328</v>
      </c>
      <c r="DZ183" s="15"/>
      <c r="EA183" s="15"/>
      <c r="EB183" s="15"/>
      <c r="EC183" s="15"/>
      <c r="ED183" s="15"/>
      <c r="EE183" s="102" t="s">
        <v>450</v>
      </c>
      <c r="EF183" s="99"/>
      <c r="EG183" s="17">
        <f t="shared" si="2"/>
        <v>0</v>
      </c>
    </row>
    <row r="184" spans="1:137" x14ac:dyDescent="0.25">
      <c r="A184" s="50" t="s">
        <v>1855</v>
      </c>
      <c r="B184" s="208">
        <v>41550</v>
      </c>
      <c r="C184" s="209" t="s">
        <v>2766</v>
      </c>
      <c r="D184" s="61" t="s">
        <v>667</v>
      </c>
      <c r="E184" s="15" t="s">
        <v>328</v>
      </c>
      <c r="F184" s="15"/>
      <c r="G184" s="15">
        <v>39</v>
      </c>
      <c r="H184" s="15" t="s">
        <v>329</v>
      </c>
      <c r="I184" s="15" t="s">
        <v>330</v>
      </c>
      <c r="J184" s="15" t="s">
        <v>795</v>
      </c>
      <c r="K184" s="18" t="s">
        <v>1273</v>
      </c>
      <c r="L184" s="15" t="s">
        <v>1293</v>
      </c>
      <c r="M184" s="15">
        <v>5</v>
      </c>
      <c r="N184" s="15">
        <v>1</v>
      </c>
      <c r="O184" s="15">
        <v>1</v>
      </c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 t="s">
        <v>328</v>
      </c>
      <c r="AD184" s="15"/>
      <c r="AE184" s="15"/>
      <c r="AF184" s="15"/>
      <c r="AG184" s="15"/>
      <c r="AH184" s="15"/>
      <c r="AI184" s="15"/>
      <c r="AJ184" s="15"/>
      <c r="AK184" s="15"/>
      <c r="AL184" s="15"/>
      <c r="AM184" s="15" t="s">
        <v>328</v>
      </c>
      <c r="AN184" s="15"/>
      <c r="AO184" s="15"/>
      <c r="AP184" s="15" t="s">
        <v>328</v>
      </c>
      <c r="AQ184" s="15"/>
      <c r="AR184" s="15">
        <v>5</v>
      </c>
      <c r="AS184" s="15">
        <v>7</v>
      </c>
      <c r="AT184" s="15"/>
      <c r="AU184" s="15"/>
      <c r="AV184" s="15" t="s">
        <v>328</v>
      </c>
      <c r="AW184" s="15"/>
      <c r="AX184" s="15">
        <v>1</v>
      </c>
      <c r="AY184" s="15">
        <v>3</v>
      </c>
      <c r="AZ184" s="15">
        <v>2</v>
      </c>
      <c r="BA184" s="15"/>
      <c r="BB184" s="15" t="s">
        <v>328</v>
      </c>
      <c r="BC184" s="15"/>
      <c r="BD184" s="15" t="s">
        <v>328</v>
      </c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 t="s">
        <v>328</v>
      </c>
      <c r="BP184" s="15"/>
      <c r="BQ184" s="15" t="s">
        <v>328</v>
      </c>
      <c r="BR184" s="15" t="s">
        <v>328</v>
      </c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 t="s">
        <v>328</v>
      </c>
      <c r="CG184" s="15"/>
      <c r="CH184" s="15"/>
      <c r="CI184" s="15"/>
      <c r="CJ184" s="15" t="s">
        <v>328</v>
      </c>
      <c r="CK184" s="15"/>
      <c r="CL184" s="15"/>
      <c r="CM184" s="15"/>
      <c r="CN184" s="15">
        <v>5</v>
      </c>
      <c r="CO184" s="15">
        <v>4</v>
      </c>
      <c r="CP184" s="15">
        <v>3</v>
      </c>
      <c r="CQ184" s="15">
        <v>1</v>
      </c>
      <c r="CR184" s="15">
        <v>2</v>
      </c>
      <c r="CS184" s="15">
        <v>6</v>
      </c>
      <c r="CT184" s="15"/>
      <c r="CU184" s="15"/>
      <c r="CV184" s="15"/>
      <c r="CW184" s="15"/>
      <c r="CX184" s="15"/>
      <c r="CY184" s="15"/>
      <c r="CZ184" s="15" t="s">
        <v>332</v>
      </c>
      <c r="DA184" s="15"/>
      <c r="DB184" s="15"/>
      <c r="DC184" s="15">
        <v>1</v>
      </c>
      <c r="DD184" s="15">
        <v>3</v>
      </c>
      <c r="DE184" s="15">
        <v>4</v>
      </c>
      <c r="DF184" s="15">
        <v>5</v>
      </c>
      <c r="DG184" s="15">
        <v>2</v>
      </c>
      <c r="DH184" s="15">
        <v>6</v>
      </c>
      <c r="DI184" s="15"/>
      <c r="DJ184" s="15" t="s">
        <v>328</v>
      </c>
      <c r="DK184" s="15"/>
      <c r="DL184" s="15"/>
      <c r="DM184" s="15"/>
      <c r="DN184" s="15"/>
      <c r="DO184" s="15"/>
      <c r="DP184" s="15" t="s">
        <v>411</v>
      </c>
      <c r="DQ184" s="15" t="s">
        <v>328</v>
      </c>
      <c r="DR184" s="15"/>
      <c r="DS184" s="15"/>
      <c r="DT184" s="15"/>
      <c r="DU184" s="15"/>
      <c r="DV184" s="15"/>
      <c r="DW184" s="15"/>
      <c r="DX184" s="15" t="s">
        <v>450</v>
      </c>
      <c r="DY184" s="15" t="s">
        <v>328</v>
      </c>
      <c r="DZ184" s="15"/>
      <c r="EA184" s="15"/>
      <c r="EB184" s="15"/>
      <c r="EC184" s="15"/>
      <c r="ED184" s="15"/>
      <c r="EE184" s="102" t="s">
        <v>450</v>
      </c>
      <c r="EF184" s="99"/>
      <c r="EG184" s="17">
        <f t="shared" si="2"/>
        <v>0</v>
      </c>
    </row>
    <row r="185" spans="1:137" x14ac:dyDescent="0.25">
      <c r="A185" s="50" t="s">
        <v>1855</v>
      </c>
      <c r="B185" s="208">
        <v>41551</v>
      </c>
      <c r="C185" s="209" t="s">
        <v>2766</v>
      </c>
      <c r="D185" s="61" t="s">
        <v>668</v>
      </c>
      <c r="E185" s="15" t="s">
        <v>328</v>
      </c>
      <c r="F185" s="15"/>
      <c r="G185" s="15">
        <v>48</v>
      </c>
      <c r="H185" s="15" t="s">
        <v>329</v>
      </c>
      <c r="I185" s="15" t="s">
        <v>399</v>
      </c>
      <c r="J185" s="15" t="s">
        <v>796</v>
      </c>
      <c r="K185" s="18" t="s">
        <v>1274</v>
      </c>
      <c r="L185" s="15" t="s">
        <v>1288</v>
      </c>
      <c r="M185" s="15">
        <v>0</v>
      </c>
      <c r="N185" s="15">
        <v>2</v>
      </c>
      <c r="O185" s="15"/>
      <c r="P185" s="15"/>
      <c r="Q185" s="15"/>
      <c r="R185" s="15"/>
      <c r="S185" s="15"/>
      <c r="T185" s="15"/>
      <c r="U185" s="15"/>
      <c r="V185" s="15"/>
      <c r="W185" s="15"/>
      <c r="X185" s="15">
        <v>2</v>
      </c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 t="s">
        <v>692</v>
      </c>
      <c r="AL185" s="15" t="s">
        <v>328</v>
      </c>
      <c r="AM185" s="15"/>
      <c r="AN185" s="15"/>
      <c r="AO185" s="15"/>
      <c r="AP185" s="15" t="s">
        <v>328</v>
      </c>
      <c r="AQ185" s="15"/>
      <c r="AR185" s="15">
        <v>10</v>
      </c>
      <c r="AS185" s="15">
        <v>2</v>
      </c>
      <c r="AT185" s="15"/>
      <c r="AU185" s="15"/>
      <c r="AV185" s="15" t="s">
        <v>328</v>
      </c>
      <c r="AW185" s="15"/>
      <c r="AX185" s="15">
        <v>1</v>
      </c>
      <c r="AY185" s="15">
        <v>2</v>
      </c>
      <c r="AZ185" s="15">
        <v>3</v>
      </c>
      <c r="BA185" s="15"/>
      <c r="BB185" s="15"/>
      <c r="BC185" s="15" t="s">
        <v>328</v>
      </c>
      <c r="BD185" s="15" t="s">
        <v>328</v>
      </c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 t="s">
        <v>328</v>
      </c>
      <c r="BP185" s="15" t="s">
        <v>328</v>
      </c>
      <c r="BQ185" s="15"/>
      <c r="BR185" s="15" t="s">
        <v>328</v>
      </c>
      <c r="BS185" s="15"/>
      <c r="BT185" s="15"/>
      <c r="BU185" s="15"/>
      <c r="BV185" s="15"/>
      <c r="BW185" s="15" t="s">
        <v>328</v>
      </c>
      <c r="BX185" s="15"/>
      <c r="BY185" s="15" t="s">
        <v>328</v>
      </c>
      <c r="BZ185" s="15"/>
      <c r="CA185" s="15"/>
      <c r="CB185" s="15"/>
      <c r="CC185" s="15" t="s">
        <v>328</v>
      </c>
      <c r="CD185" s="15"/>
      <c r="CE185" s="15"/>
      <c r="CF185" s="15"/>
      <c r="CG185" s="15"/>
      <c r="CH185" s="15"/>
      <c r="CI185" s="15" t="s">
        <v>328</v>
      </c>
      <c r="CJ185" s="15"/>
      <c r="CK185" s="15"/>
      <c r="CL185" s="15"/>
      <c r="CM185" s="15"/>
      <c r="CN185" s="15">
        <v>2</v>
      </c>
      <c r="CO185" s="15">
        <v>5</v>
      </c>
      <c r="CP185" s="15">
        <v>6</v>
      </c>
      <c r="CQ185" s="15">
        <v>3</v>
      </c>
      <c r="CR185" s="15">
        <v>4</v>
      </c>
      <c r="CS185" s="15">
        <v>1</v>
      </c>
      <c r="CT185" s="15"/>
      <c r="CU185" s="15" t="s">
        <v>328</v>
      </c>
      <c r="CV185" s="15"/>
      <c r="CW185" s="15"/>
      <c r="CX185" s="15"/>
      <c r="CY185" s="15"/>
      <c r="CZ185" s="15"/>
      <c r="DA185" s="15"/>
      <c r="DB185" s="15"/>
      <c r="DC185" s="15">
        <v>3</v>
      </c>
      <c r="DD185" s="15">
        <v>4</v>
      </c>
      <c r="DE185" s="15">
        <v>5</v>
      </c>
      <c r="DF185" s="15">
        <v>1</v>
      </c>
      <c r="DG185" s="15">
        <v>6</v>
      </c>
      <c r="DH185" s="15">
        <v>2</v>
      </c>
      <c r="DI185" s="15"/>
      <c r="DJ185" s="15" t="s">
        <v>328</v>
      </c>
      <c r="DK185" s="15"/>
      <c r="DL185" s="15"/>
      <c r="DM185" s="15"/>
      <c r="DN185" s="15"/>
      <c r="DO185" s="15"/>
      <c r="DP185" s="15" t="s">
        <v>411</v>
      </c>
      <c r="DQ185" s="15"/>
      <c r="DR185" s="15" t="s">
        <v>328</v>
      </c>
      <c r="DS185" s="15" t="s">
        <v>328</v>
      </c>
      <c r="DT185" s="15" t="s">
        <v>397</v>
      </c>
      <c r="DU185" s="15"/>
      <c r="DV185" s="15"/>
      <c r="DW185" s="15" t="s">
        <v>492</v>
      </c>
      <c r="DX185" s="15" t="s">
        <v>1161</v>
      </c>
      <c r="DY185" s="15" t="s">
        <v>328</v>
      </c>
      <c r="DZ185" s="15"/>
      <c r="EA185" s="15"/>
      <c r="EB185" s="15"/>
      <c r="EC185" s="15"/>
      <c r="ED185" s="15"/>
      <c r="EE185" s="102" t="s">
        <v>438</v>
      </c>
      <c r="EF185" s="99"/>
      <c r="EG185" s="17">
        <f t="shared" si="2"/>
        <v>0</v>
      </c>
    </row>
    <row r="186" spans="1:137" x14ac:dyDescent="0.25">
      <c r="A186" s="50" t="s">
        <v>1855</v>
      </c>
      <c r="B186" s="208">
        <v>41551</v>
      </c>
      <c r="C186" s="209" t="s">
        <v>2766</v>
      </c>
      <c r="D186" s="61" t="s">
        <v>669</v>
      </c>
      <c r="E186" s="15"/>
      <c r="F186" s="15" t="s">
        <v>328</v>
      </c>
      <c r="G186" s="15">
        <v>51</v>
      </c>
      <c r="H186" s="15" t="s">
        <v>329</v>
      </c>
      <c r="I186" s="15" t="s">
        <v>399</v>
      </c>
      <c r="J186" s="15" t="s">
        <v>356</v>
      </c>
      <c r="K186" s="15" t="s">
        <v>1183</v>
      </c>
      <c r="L186" s="15" t="s">
        <v>1183</v>
      </c>
      <c r="M186" s="15">
        <v>0</v>
      </c>
      <c r="N186" s="15">
        <v>8</v>
      </c>
      <c r="O186" s="15">
        <v>8</v>
      </c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 t="s">
        <v>328</v>
      </c>
      <c r="AG186" s="15"/>
      <c r="AH186" s="15" t="s">
        <v>328</v>
      </c>
      <c r="AI186" s="15"/>
      <c r="AJ186" s="15"/>
      <c r="AK186" s="15"/>
      <c r="AL186" s="15" t="s">
        <v>328</v>
      </c>
      <c r="AM186" s="15"/>
      <c r="AN186" s="15"/>
      <c r="AO186" s="15"/>
      <c r="AP186" s="15" t="s">
        <v>328</v>
      </c>
      <c r="AQ186" s="15"/>
      <c r="AR186" s="15">
        <v>10</v>
      </c>
      <c r="AS186" s="15">
        <v>2</v>
      </c>
      <c r="AT186" s="15"/>
      <c r="AU186" s="15" t="s">
        <v>328</v>
      </c>
      <c r="AV186" s="15"/>
      <c r="AW186" s="15"/>
      <c r="AX186" s="15">
        <v>2</v>
      </c>
      <c r="AY186" s="15">
        <v>3</v>
      </c>
      <c r="AZ186" s="15">
        <v>1</v>
      </c>
      <c r="BA186" s="15"/>
      <c r="BB186" s="15"/>
      <c r="BC186" s="15" t="s">
        <v>328</v>
      </c>
      <c r="BD186" s="15"/>
      <c r="BE186" s="15"/>
      <c r="BF186" s="15"/>
      <c r="BG186" s="15" t="s">
        <v>328</v>
      </c>
      <c r="BH186" s="15"/>
      <c r="BI186" s="15"/>
      <c r="BJ186" s="15"/>
      <c r="BK186" s="15"/>
      <c r="BL186" s="15"/>
      <c r="BM186" s="15"/>
      <c r="BN186" s="15"/>
      <c r="BO186" s="15" t="s">
        <v>328</v>
      </c>
      <c r="BP186" s="15" t="s">
        <v>328</v>
      </c>
      <c r="BQ186" s="15"/>
      <c r="BR186" s="15"/>
      <c r="BS186" s="15" t="s">
        <v>328</v>
      </c>
      <c r="BT186" s="15"/>
      <c r="BU186" s="15"/>
      <c r="BV186" s="15"/>
      <c r="BW186" s="15" t="s">
        <v>328</v>
      </c>
      <c r="BX186" s="15"/>
      <c r="BY186" s="15" t="s">
        <v>328</v>
      </c>
      <c r="BZ186" s="15"/>
      <c r="CA186" s="15"/>
      <c r="CB186" s="15" t="s">
        <v>328</v>
      </c>
      <c r="CC186" s="15" t="s">
        <v>328</v>
      </c>
      <c r="CD186" s="15"/>
      <c r="CE186" s="15"/>
      <c r="CF186" s="15"/>
      <c r="CG186" s="15"/>
      <c r="CH186" s="15"/>
      <c r="CI186" s="15"/>
      <c r="CJ186" s="15"/>
      <c r="CK186" s="15"/>
      <c r="CL186" s="15" t="s">
        <v>328</v>
      </c>
      <c r="CM186" s="15"/>
      <c r="CN186" s="15">
        <v>1</v>
      </c>
      <c r="CO186" s="15">
        <v>2</v>
      </c>
      <c r="CP186" s="15">
        <v>3</v>
      </c>
      <c r="CQ186" s="15">
        <v>4</v>
      </c>
      <c r="CR186" s="15">
        <v>6</v>
      </c>
      <c r="CS186" s="15">
        <v>5</v>
      </c>
      <c r="CT186" s="15"/>
      <c r="CU186" s="15" t="s">
        <v>328</v>
      </c>
      <c r="CV186" s="15" t="s">
        <v>328</v>
      </c>
      <c r="CW186" s="15" t="s">
        <v>328</v>
      </c>
      <c r="CX186" s="15"/>
      <c r="CY186" s="15" t="s">
        <v>328</v>
      </c>
      <c r="CZ186" s="15"/>
      <c r="DA186" s="15"/>
      <c r="DB186" s="15"/>
      <c r="DC186" s="15">
        <v>1</v>
      </c>
      <c r="DD186" s="15">
        <v>3</v>
      </c>
      <c r="DE186" s="15">
        <v>4</v>
      </c>
      <c r="DF186" s="15">
        <v>5</v>
      </c>
      <c r="DG186" s="15">
        <v>2</v>
      </c>
      <c r="DH186" s="15">
        <v>6</v>
      </c>
      <c r="DI186" s="15"/>
      <c r="DJ186" s="15" t="s">
        <v>328</v>
      </c>
      <c r="DK186" s="15"/>
      <c r="DL186" s="15"/>
      <c r="DM186" s="15"/>
      <c r="DN186" s="15"/>
      <c r="DO186" s="15"/>
      <c r="DP186" s="14" t="s">
        <v>396</v>
      </c>
      <c r="DQ186" s="15"/>
      <c r="DR186" s="15" t="s">
        <v>328</v>
      </c>
      <c r="DS186" s="15" t="s">
        <v>328</v>
      </c>
      <c r="DT186" s="15" t="s">
        <v>607</v>
      </c>
      <c r="DU186" s="15"/>
      <c r="DV186" s="15"/>
      <c r="DW186" s="15" t="s">
        <v>489</v>
      </c>
      <c r="DX186" s="15" t="s">
        <v>593</v>
      </c>
      <c r="DY186" s="15"/>
      <c r="DZ186" s="15" t="s">
        <v>328</v>
      </c>
      <c r="EA186" s="15" t="s">
        <v>328</v>
      </c>
      <c r="EB186" s="15" t="s">
        <v>684</v>
      </c>
      <c r="EC186" s="15"/>
      <c r="ED186" s="15" t="s">
        <v>697</v>
      </c>
      <c r="EE186" s="102" t="s">
        <v>698</v>
      </c>
      <c r="EF186" s="99"/>
      <c r="EG186" s="17">
        <f t="shared" si="2"/>
        <v>0</v>
      </c>
    </row>
    <row r="187" spans="1:137" x14ac:dyDescent="0.25">
      <c r="A187" s="50" t="s">
        <v>1855</v>
      </c>
      <c r="B187" s="208">
        <v>41551</v>
      </c>
      <c r="C187" s="209" t="s">
        <v>2766</v>
      </c>
      <c r="D187" s="61" t="s">
        <v>670</v>
      </c>
      <c r="E187" s="15" t="s">
        <v>328</v>
      </c>
      <c r="F187" s="15"/>
      <c r="G187" s="15">
        <v>36</v>
      </c>
      <c r="H187" s="15" t="s">
        <v>329</v>
      </c>
      <c r="I187" s="15" t="s">
        <v>357</v>
      </c>
      <c r="J187" s="15" t="s">
        <v>732</v>
      </c>
      <c r="K187" s="15" t="s">
        <v>1235</v>
      </c>
      <c r="L187" s="15" t="s">
        <v>1183</v>
      </c>
      <c r="M187" s="15">
        <v>5</v>
      </c>
      <c r="N187" s="15">
        <v>3</v>
      </c>
      <c r="O187" s="15"/>
      <c r="P187" s="15"/>
      <c r="Q187" s="15"/>
      <c r="R187" s="15"/>
      <c r="S187" s="15"/>
      <c r="T187" s="15"/>
      <c r="U187" s="15"/>
      <c r="V187" s="15">
        <v>6</v>
      </c>
      <c r="W187" s="15"/>
      <c r="X187" s="15"/>
      <c r="Y187" s="15"/>
      <c r="Z187" s="15"/>
      <c r="AA187" s="18"/>
      <c r="AB187" s="15"/>
      <c r="AC187" s="15"/>
      <c r="AD187" s="15"/>
      <c r="AE187" s="15"/>
      <c r="AF187" s="15" t="s">
        <v>328</v>
      </c>
      <c r="AG187" s="15"/>
      <c r="AH187" s="15" t="s">
        <v>328</v>
      </c>
      <c r="AI187" s="15"/>
      <c r="AJ187" s="15"/>
      <c r="AK187" s="15" t="s">
        <v>1165</v>
      </c>
      <c r="AL187" s="15" t="s">
        <v>328</v>
      </c>
      <c r="AM187" s="15"/>
      <c r="AN187" s="15" t="s">
        <v>328</v>
      </c>
      <c r="AO187" s="15"/>
      <c r="AP187" s="15"/>
      <c r="AQ187" s="15"/>
      <c r="AR187" s="15">
        <v>6</v>
      </c>
      <c r="AS187" s="15">
        <v>6</v>
      </c>
      <c r="AT187" s="15"/>
      <c r="AU187" s="15"/>
      <c r="AV187" s="15" t="s">
        <v>328</v>
      </c>
      <c r="AW187" s="15"/>
      <c r="AX187" s="15">
        <v>1</v>
      </c>
      <c r="AY187" s="15">
        <v>2</v>
      </c>
      <c r="AZ187" s="15">
        <v>3</v>
      </c>
      <c r="BA187" s="15"/>
      <c r="BB187" s="15" t="s">
        <v>328</v>
      </c>
      <c r="BC187" s="15"/>
      <c r="BD187" s="15"/>
      <c r="BE187" s="15"/>
      <c r="BF187" s="15"/>
      <c r="BG187" s="15" t="s">
        <v>328</v>
      </c>
      <c r="BH187" s="15"/>
      <c r="BI187" s="15"/>
      <c r="BJ187" s="15"/>
      <c r="BK187" s="15"/>
      <c r="BL187" s="15"/>
      <c r="BM187" s="15"/>
      <c r="BN187" s="15"/>
      <c r="BO187" s="15" t="s">
        <v>328</v>
      </c>
      <c r="BP187" s="15"/>
      <c r="BQ187" s="15" t="s">
        <v>328</v>
      </c>
      <c r="BR187" s="15" t="s">
        <v>328</v>
      </c>
      <c r="BS187" s="15"/>
      <c r="BT187" s="15"/>
      <c r="BU187" s="15"/>
      <c r="BV187" s="15"/>
      <c r="BW187" s="15" t="s">
        <v>328</v>
      </c>
      <c r="BX187" s="15"/>
      <c r="BY187" s="15" t="s">
        <v>328</v>
      </c>
      <c r="BZ187" s="15"/>
      <c r="CA187" s="15"/>
      <c r="CB187" s="15"/>
      <c r="CC187" s="15" t="s">
        <v>328</v>
      </c>
      <c r="CD187" s="15"/>
      <c r="CE187" s="15"/>
      <c r="CF187" s="15"/>
      <c r="CG187" s="15"/>
      <c r="CH187" s="15"/>
      <c r="CI187" s="15" t="s">
        <v>328</v>
      </c>
      <c r="CJ187" s="15"/>
      <c r="CK187" s="15"/>
      <c r="CL187" s="15"/>
      <c r="CM187" s="15"/>
      <c r="CN187" s="15">
        <v>3</v>
      </c>
      <c r="CO187" s="15">
        <v>1</v>
      </c>
      <c r="CP187" s="15">
        <v>2</v>
      </c>
      <c r="CQ187" s="15">
        <v>6</v>
      </c>
      <c r="CR187" s="15">
        <v>5</v>
      </c>
      <c r="CS187" s="15">
        <v>4</v>
      </c>
      <c r="CT187" s="15"/>
      <c r="CU187" s="15" t="s">
        <v>328</v>
      </c>
      <c r="CV187" s="15"/>
      <c r="CW187" s="15"/>
      <c r="CX187" s="15"/>
      <c r="CY187" s="15"/>
      <c r="CZ187" s="15"/>
      <c r="DA187" s="15"/>
      <c r="DB187" s="15"/>
      <c r="DC187" s="15">
        <v>1</v>
      </c>
      <c r="DD187" s="15">
        <v>5</v>
      </c>
      <c r="DE187" s="15">
        <v>3</v>
      </c>
      <c r="DF187" s="15">
        <v>4</v>
      </c>
      <c r="DG187" s="15">
        <v>2</v>
      </c>
      <c r="DH187" s="15">
        <v>6</v>
      </c>
      <c r="DI187" s="15"/>
      <c r="DJ187" s="15" t="s">
        <v>328</v>
      </c>
      <c r="DK187" s="15"/>
      <c r="DL187" s="15"/>
      <c r="DM187" s="15"/>
      <c r="DN187" s="15"/>
      <c r="DO187" s="15"/>
      <c r="DP187" s="15" t="s">
        <v>411</v>
      </c>
      <c r="DQ187" s="15"/>
      <c r="DR187" s="15" t="s">
        <v>328</v>
      </c>
      <c r="DS187" s="15"/>
      <c r="DT187" s="15"/>
      <c r="DU187" s="15" t="s">
        <v>328</v>
      </c>
      <c r="DV187" s="15" t="s">
        <v>680</v>
      </c>
      <c r="DW187" s="15" t="s">
        <v>428</v>
      </c>
      <c r="DX187" s="15" t="s">
        <v>1145</v>
      </c>
      <c r="DY187" s="15" t="s">
        <v>328</v>
      </c>
      <c r="DZ187" s="15"/>
      <c r="EA187" s="15"/>
      <c r="EB187" s="15"/>
      <c r="EC187" s="15"/>
      <c r="ED187" s="15"/>
      <c r="EE187" s="102" t="s">
        <v>450</v>
      </c>
      <c r="EF187" s="99"/>
      <c r="EG187" s="17">
        <f t="shared" si="2"/>
        <v>0</v>
      </c>
    </row>
    <row r="188" spans="1:137" x14ac:dyDescent="0.25">
      <c r="A188" s="50" t="s">
        <v>1855</v>
      </c>
      <c r="B188" s="208">
        <v>41551</v>
      </c>
      <c r="C188" s="209" t="s">
        <v>2766</v>
      </c>
      <c r="D188" s="61" t="s">
        <v>671</v>
      </c>
      <c r="E188" s="15" t="s">
        <v>328</v>
      </c>
      <c r="F188" s="15"/>
      <c r="G188" s="15">
        <v>57</v>
      </c>
      <c r="H188" s="15" t="s">
        <v>329</v>
      </c>
      <c r="I188" s="15" t="s">
        <v>584</v>
      </c>
      <c r="J188" s="15" t="s">
        <v>797</v>
      </c>
      <c r="K188" s="18" t="s">
        <v>1275</v>
      </c>
      <c r="L188" s="15" t="s">
        <v>1183</v>
      </c>
      <c r="M188" s="15">
        <v>36</v>
      </c>
      <c r="N188" s="15">
        <v>1</v>
      </c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>
        <v>1</v>
      </c>
      <c r="AA188" s="15"/>
      <c r="AB188" s="15"/>
      <c r="AC188" s="15"/>
      <c r="AD188" s="15"/>
      <c r="AE188" s="15"/>
      <c r="AF188" s="15"/>
      <c r="AG188" s="15" t="s">
        <v>328</v>
      </c>
      <c r="AH188" s="15"/>
      <c r="AI188" s="15"/>
      <c r="AJ188" s="15"/>
      <c r="AK188" s="15"/>
      <c r="AL188" s="15"/>
      <c r="AM188" s="15" t="s">
        <v>328</v>
      </c>
      <c r="AN188" s="15"/>
      <c r="AO188" s="15" t="s">
        <v>328</v>
      </c>
      <c r="AP188" s="15"/>
      <c r="AQ188" s="15" t="s">
        <v>328</v>
      </c>
      <c r="AR188" s="15">
        <v>8</v>
      </c>
      <c r="AS188" s="15">
        <v>10</v>
      </c>
      <c r="AT188" s="15"/>
      <c r="AU188" s="15" t="s">
        <v>328</v>
      </c>
      <c r="AV188" s="15"/>
      <c r="AW188" s="15"/>
      <c r="AX188" s="15">
        <v>3</v>
      </c>
      <c r="AY188" s="15">
        <v>2</v>
      </c>
      <c r="AZ188" s="15">
        <v>1</v>
      </c>
      <c r="BA188" s="15"/>
      <c r="BB188" s="15" t="s">
        <v>328</v>
      </c>
      <c r="BC188" s="15"/>
      <c r="BD188" s="15" t="s">
        <v>328</v>
      </c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 t="s">
        <v>328</v>
      </c>
      <c r="BP188" s="15"/>
      <c r="BQ188" s="15" t="s">
        <v>328</v>
      </c>
      <c r="BR188" s="15"/>
      <c r="BS188" s="15"/>
      <c r="BT188" s="15"/>
      <c r="BU188" s="15"/>
      <c r="BV188" s="15"/>
      <c r="BW188" s="15"/>
      <c r="BX188" s="14" t="s">
        <v>332</v>
      </c>
      <c r="BY188" s="15"/>
      <c r="BZ188" s="15"/>
      <c r="CA188" s="15"/>
      <c r="CB188" s="15"/>
      <c r="CC188" s="15"/>
      <c r="CD188" s="15"/>
      <c r="CE188" s="15"/>
      <c r="CF188" s="15"/>
      <c r="CG188" s="15"/>
      <c r="CH188" s="15" t="s">
        <v>332</v>
      </c>
      <c r="CI188" s="15" t="s">
        <v>328</v>
      </c>
      <c r="CJ188" s="15"/>
      <c r="CK188" s="15"/>
      <c r="CL188" s="15"/>
      <c r="CM188" s="15"/>
      <c r="CN188" s="15">
        <v>4</v>
      </c>
      <c r="CO188" s="15">
        <v>1</v>
      </c>
      <c r="CP188" s="15">
        <v>6</v>
      </c>
      <c r="CQ188" s="15">
        <v>3</v>
      </c>
      <c r="CR188" s="15">
        <v>2</v>
      </c>
      <c r="CS188" s="15">
        <v>5</v>
      </c>
      <c r="CT188" s="15"/>
      <c r="CU188" s="15"/>
      <c r="CV188" s="15"/>
      <c r="CW188" s="15"/>
      <c r="CX188" s="15"/>
      <c r="CY188" s="15"/>
      <c r="CZ188" s="15" t="s">
        <v>332</v>
      </c>
      <c r="DA188" s="15" t="s">
        <v>328</v>
      </c>
      <c r="DB188" s="15" t="s">
        <v>700</v>
      </c>
      <c r="DC188" s="15"/>
      <c r="DD188" s="15"/>
      <c r="DE188" s="15"/>
      <c r="DF188" s="15"/>
      <c r="DG188" s="15"/>
      <c r="DH188" s="15"/>
      <c r="DI188" s="15"/>
      <c r="DJ188" s="15" t="s">
        <v>328</v>
      </c>
      <c r="DK188" s="15"/>
      <c r="DL188" s="15"/>
      <c r="DM188" s="15"/>
      <c r="DN188" s="15"/>
      <c r="DO188" s="15"/>
      <c r="DP188" s="14" t="s">
        <v>333</v>
      </c>
      <c r="DQ188" s="15" t="s">
        <v>328</v>
      </c>
      <c r="DR188" s="15"/>
      <c r="DS188" s="15"/>
      <c r="DT188" s="15"/>
      <c r="DU188" s="15"/>
      <c r="DV188" s="15"/>
      <c r="DW188" s="15"/>
      <c r="DX188" s="15" t="s">
        <v>333</v>
      </c>
      <c r="DY188" s="15" t="s">
        <v>328</v>
      </c>
      <c r="DZ188" s="15"/>
      <c r="EA188" s="15"/>
      <c r="EB188" s="15"/>
      <c r="EC188" s="15"/>
      <c r="ED188" s="15"/>
      <c r="EE188" s="102" t="s">
        <v>333</v>
      </c>
      <c r="EF188" s="99"/>
      <c r="EG188" s="17">
        <f t="shared" si="2"/>
        <v>0</v>
      </c>
    </row>
    <row r="189" spans="1:137" x14ac:dyDescent="0.25">
      <c r="A189" s="50" t="s">
        <v>1855</v>
      </c>
      <c r="B189" s="208">
        <v>41551</v>
      </c>
      <c r="C189" s="209" t="s">
        <v>2766</v>
      </c>
      <c r="D189" s="61" t="s">
        <v>672</v>
      </c>
      <c r="E189" s="15" t="s">
        <v>328</v>
      </c>
      <c r="F189" s="15"/>
      <c r="G189" s="15">
        <v>45</v>
      </c>
      <c r="H189" s="15" t="s">
        <v>329</v>
      </c>
      <c r="I189" s="15" t="s">
        <v>357</v>
      </c>
      <c r="J189" s="15" t="s">
        <v>798</v>
      </c>
      <c r="K189" s="18" t="s">
        <v>1276</v>
      </c>
      <c r="L189" s="15" t="s">
        <v>1288</v>
      </c>
      <c r="M189" s="15">
        <v>0</v>
      </c>
      <c r="N189" s="15">
        <v>2</v>
      </c>
      <c r="O189" s="15">
        <v>2</v>
      </c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 t="s">
        <v>328</v>
      </c>
      <c r="AG189" s="15"/>
      <c r="AH189" s="15" t="s">
        <v>328</v>
      </c>
      <c r="AI189" s="15"/>
      <c r="AJ189" s="15"/>
      <c r="AK189" s="15"/>
      <c r="AL189" s="15"/>
      <c r="AM189" s="15" t="s">
        <v>328</v>
      </c>
      <c r="AN189" s="15"/>
      <c r="AO189" s="15"/>
      <c r="AP189" s="15" t="s">
        <v>328</v>
      </c>
      <c r="AQ189" s="15"/>
      <c r="AR189" s="15">
        <v>10</v>
      </c>
      <c r="AS189" s="15">
        <v>1</v>
      </c>
      <c r="AT189" s="15"/>
      <c r="AU189" s="15"/>
      <c r="AV189" s="15" t="s">
        <v>328</v>
      </c>
      <c r="AW189" s="15"/>
      <c r="AX189" s="15">
        <v>1</v>
      </c>
      <c r="AY189" s="15">
        <v>2</v>
      </c>
      <c r="AZ189" s="15">
        <v>3</v>
      </c>
      <c r="BA189" s="15"/>
      <c r="BB189" s="15" t="s">
        <v>328</v>
      </c>
      <c r="BC189" s="15"/>
      <c r="BD189" s="15"/>
      <c r="BE189" s="15"/>
      <c r="BF189" s="15"/>
      <c r="BG189" s="15"/>
      <c r="BH189" s="15"/>
      <c r="BI189" s="15" t="s">
        <v>328</v>
      </c>
      <c r="BJ189" s="15"/>
      <c r="BK189" s="15"/>
      <c r="BL189" s="15"/>
      <c r="BM189" s="15"/>
      <c r="BN189" s="15"/>
      <c r="BO189" s="15" t="s">
        <v>328</v>
      </c>
      <c r="BP189" s="15"/>
      <c r="BQ189" s="15" t="s">
        <v>328</v>
      </c>
      <c r="BR189" s="15"/>
      <c r="BS189" s="15"/>
      <c r="BT189" s="15"/>
      <c r="BU189" s="15"/>
      <c r="BV189" s="15" t="s">
        <v>328</v>
      </c>
      <c r="BW189" s="15"/>
      <c r="BX189" s="15"/>
      <c r="BY189" s="15"/>
      <c r="BZ189" s="15"/>
      <c r="CA189" s="15"/>
      <c r="CB189" s="15"/>
      <c r="CC189" s="15"/>
      <c r="CD189" s="15" t="s">
        <v>328</v>
      </c>
      <c r="CE189" s="15"/>
      <c r="CF189" s="15"/>
      <c r="CG189" s="15" t="s">
        <v>328</v>
      </c>
      <c r="CH189" s="15"/>
      <c r="CI189" s="15"/>
      <c r="CJ189" s="15" t="s">
        <v>328</v>
      </c>
      <c r="CK189" s="15"/>
      <c r="CL189" s="15"/>
      <c r="CM189" s="15"/>
      <c r="CN189" s="15">
        <v>4</v>
      </c>
      <c r="CO189" s="15">
        <v>1</v>
      </c>
      <c r="CP189" s="15">
        <v>5</v>
      </c>
      <c r="CQ189" s="15">
        <v>3</v>
      </c>
      <c r="CR189" s="15">
        <v>2</v>
      </c>
      <c r="CS189" s="15">
        <v>6</v>
      </c>
      <c r="CT189" s="15"/>
      <c r="CU189" s="15"/>
      <c r="CV189" s="15"/>
      <c r="CW189" s="15"/>
      <c r="CX189" s="15"/>
      <c r="CY189" s="15"/>
      <c r="CZ189" s="15" t="s">
        <v>332</v>
      </c>
      <c r="DA189" s="15"/>
      <c r="DB189" s="15"/>
      <c r="DC189" s="15">
        <v>6</v>
      </c>
      <c r="DD189" s="15">
        <v>1</v>
      </c>
      <c r="DE189" s="15">
        <v>2</v>
      </c>
      <c r="DF189" s="15">
        <v>3</v>
      </c>
      <c r="DG189" s="15">
        <v>5</v>
      </c>
      <c r="DH189" s="15">
        <v>4</v>
      </c>
      <c r="DI189" s="15"/>
      <c r="DJ189" s="15" t="s">
        <v>328</v>
      </c>
      <c r="DK189" s="15"/>
      <c r="DL189" s="15"/>
      <c r="DM189" s="15"/>
      <c r="DN189" s="15"/>
      <c r="DO189" s="15"/>
      <c r="DP189" s="14" t="s">
        <v>1145</v>
      </c>
      <c r="DQ189" s="15" t="s">
        <v>328</v>
      </c>
      <c r="DR189" s="15"/>
      <c r="DS189" s="15"/>
      <c r="DT189" s="15"/>
      <c r="DU189" s="15"/>
      <c r="DV189" s="15"/>
      <c r="DW189" s="15"/>
      <c r="DX189" s="15" t="s">
        <v>1145</v>
      </c>
      <c r="DY189" s="15" t="s">
        <v>328</v>
      </c>
      <c r="DZ189" s="15"/>
      <c r="EA189" s="15"/>
      <c r="EB189" s="15"/>
      <c r="EC189" s="15"/>
      <c r="ED189" s="15"/>
      <c r="EE189" s="102" t="s">
        <v>1145</v>
      </c>
      <c r="EF189" s="99"/>
      <c r="EG189" s="17">
        <f t="shared" si="2"/>
        <v>0</v>
      </c>
    </row>
    <row r="190" spans="1:137" x14ac:dyDescent="0.25">
      <c r="A190" s="50" t="s">
        <v>1855</v>
      </c>
      <c r="B190" s="208">
        <v>41550</v>
      </c>
      <c r="C190" s="209" t="s">
        <v>2766</v>
      </c>
      <c r="D190" s="61" t="s">
        <v>673</v>
      </c>
      <c r="E190" s="15" t="s">
        <v>328</v>
      </c>
      <c r="F190" s="15"/>
      <c r="G190" s="15">
        <v>23</v>
      </c>
      <c r="H190" s="15" t="s">
        <v>329</v>
      </c>
      <c r="I190" s="15" t="s">
        <v>357</v>
      </c>
      <c r="J190" s="15" t="s">
        <v>356</v>
      </c>
      <c r="K190" s="15" t="s">
        <v>1183</v>
      </c>
      <c r="L190" s="15" t="s">
        <v>1183</v>
      </c>
      <c r="M190" s="15">
        <v>1</v>
      </c>
      <c r="N190" s="15">
        <v>1</v>
      </c>
      <c r="O190" s="15">
        <v>1</v>
      </c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 t="s">
        <v>328</v>
      </c>
      <c r="AD190" s="15"/>
      <c r="AE190" s="15"/>
      <c r="AF190" s="15"/>
      <c r="AG190" s="15"/>
      <c r="AH190" s="15"/>
      <c r="AI190" s="15"/>
      <c r="AJ190" s="15"/>
      <c r="AK190" s="15"/>
      <c r="AL190" s="15"/>
      <c r="AM190" s="15" t="s">
        <v>328</v>
      </c>
      <c r="AN190" s="15"/>
      <c r="AO190" s="15"/>
      <c r="AP190" s="15"/>
      <c r="AQ190" s="15" t="s">
        <v>328</v>
      </c>
      <c r="AR190" s="15">
        <v>10</v>
      </c>
      <c r="AS190" s="15">
        <v>1</v>
      </c>
      <c r="AT190" s="15"/>
      <c r="AU190" s="15"/>
      <c r="AV190" s="15" t="s">
        <v>328</v>
      </c>
      <c r="AW190" s="15"/>
      <c r="AX190" s="15">
        <v>1</v>
      </c>
      <c r="AY190" s="15">
        <v>2</v>
      </c>
      <c r="AZ190" s="15">
        <v>3</v>
      </c>
      <c r="BA190" s="15"/>
      <c r="BB190" s="15" t="s">
        <v>328</v>
      </c>
      <c r="BC190" s="15"/>
      <c r="BD190" s="15"/>
      <c r="BE190" s="15" t="s">
        <v>328</v>
      </c>
      <c r="BF190" s="15"/>
      <c r="BG190" s="15"/>
      <c r="BH190" s="15"/>
      <c r="BI190" s="15"/>
      <c r="BJ190" s="15"/>
      <c r="BK190" s="15"/>
      <c r="BL190" s="15"/>
      <c r="BM190" s="15"/>
      <c r="BN190" s="15"/>
      <c r="BO190" s="15" t="s">
        <v>328</v>
      </c>
      <c r="BP190" s="15"/>
      <c r="BQ190" s="15" t="s">
        <v>328</v>
      </c>
      <c r="BR190" s="15"/>
      <c r="BS190" s="15" t="s">
        <v>328</v>
      </c>
      <c r="BT190" s="15"/>
      <c r="BU190" s="15"/>
      <c r="BV190" s="15"/>
      <c r="BW190" s="15"/>
      <c r="BX190" s="15"/>
      <c r="BY190" s="15"/>
      <c r="BZ190" s="15"/>
      <c r="CA190" s="15"/>
      <c r="CB190" s="15" t="s">
        <v>328</v>
      </c>
      <c r="CC190" s="15"/>
      <c r="CD190" s="15" t="s">
        <v>328</v>
      </c>
      <c r="CE190" s="15"/>
      <c r="CF190" s="15"/>
      <c r="CG190" s="15"/>
      <c r="CH190" s="15"/>
      <c r="CI190" s="15"/>
      <c r="CJ190" s="15"/>
      <c r="CK190" s="15"/>
      <c r="CL190" s="15" t="s">
        <v>328</v>
      </c>
      <c r="CM190" s="15"/>
      <c r="CN190" s="15">
        <v>1</v>
      </c>
      <c r="CO190" s="15">
        <v>3</v>
      </c>
      <c r="CP190" s="15">
        <v>6</v>
      </c>
      <c r="CQ190" s="15">
        <v>4</v>
      </c>
      <c r="CR190" s="15">
        <v>5</v>
      </c>
      <c r="CS190" s="15">
        <v>2</v>
      </c>
      <c r="CT190" s="15"/>
      <c r="CU190" s="15"/>
      <c r="CV190" s="15"/>
      <c r="CW190" s="15"/>
      <c r="CX190" s="15"/>
      <c r="CY190" s="15"/>
      <c r="CZ190" s="15" t="s">
        <v>332</v>
      </c>
      <c r="DA190" s="15"/>
      <c r="DB190" s="15"/>
      <c r="DC190" s="15">
        <v>4</v>
      </c>
      <c r="DD190" s="15">
        <v>5</v>
      </c>
      <c r="DE190" s="15">
        <v>6</v>
      </c>
      <c r="DF190" s="15">
        <v>2</v>
      </c>
      <c r="DG190" s="15">
        <v>1</v>
      </c>
      <c r="DH190" s="15">
        <v>3</v>
      </c>
      <c r="DI190" s="15"/>
      <c r="DJ190" s="15" t="s">
        <v>328</v>
      </c>
      <c r="DK190" s="15"/>
      <c r="DL190" s="15"/>
      <c r="DM190" s="15"/>
      <c r="DN190" s="15"/>
      <c r="DO190" s="15"/>
      <c r="DP190" s="14" t="s">
        <v>333</v>
      </c>
      <c r="DQ190" s="15" t="s">
        <v>328</v>
      </c>
      <c r="DR190" s="15"/>
      <c r="DS190" s="15"/>
      <c r="DT190" s="15"/>
      <c r="DU190" s="15"/>
      <c r="DV190" s="15"/>
      <c r="DW190" s="15"/>
      <c r="DX190" s="15" t="s">
        <v>1155</v>
      </c>
      <c r="DY190" s="15" t="s">
        <v>328</v>
      </c>
      <c r="DZ190" s="15"/>
      <c r="EA190" s="15"/>
      <c r="EB190" s="15"/>
      <c r="EC190" s="15"/>
      <c r="ED190" s="15"/>
      <c r="EE190" s="102" t="s">
        <v>1155</v>
      </c>
      <c r="EF190" s="99"/>
      <c r="EG190" s="17">
        <f t="shared" si="2"/>
        <v>0</v>
      </c>
    </row>
    <row r="191" spans="1:137" x14ac:dyDescent="0.25">
      <c r="A191" s="50" t="s">
        <v>1855</v>
      </c>
      <c r="B191" s="208">
        <v>41550</v>
      </c>
      <c r="C191" s="209" t="s">
        <v>2766</v>
      </c>
      <c r="D191" s="61" t="s">
        <v>674</v>
      </c>
      <c r="E191" s="15" t="s">
        <v>328</v>
      </c>
      <c r="F191" s="15"/>
      <c r="G191" s="15">
        <v>50</v>
      </c>
      <c r="H191" s="15" t="s">
        <v>329</v>
      </c>
      <c r="I191" s="15" t="s">
        <v>357</v>
      </c>
      <c r="J191" s="15" t="s">
        <v>356</v>
      </c>
      <c r="K191" s="15" t="s">
        <v>1183</v>
      </c>
      <c r="L191" s="15" t="s">
        <v>1183</v>
      </c>
      <c r="M191" s="15">
        <v>0</v>
      </c>
      <c r="N191" s="15">
        <v>3</v>
      </c>
      <c r="O191" s="15">
        <v>6</v>
      </c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 t="s">
        <v>328</v>
      </c>
      <c r="AG191" s="15"/>
      <c r="AH191" s="15" t="s">
        <v>328</v>
      </c>
      <c r="AI191" s="15"/>
      <c r="AJ191" s="15"/>
      <c r="AK191" s="15"/>
      <c r="AL191" s="15" t="s">
        <v>328</v>
      </c>
      <c r="AM191" s="15"/>
      <c r="AN191" s="15"/>
      <c r="AO191" s="15"/>
      <c r="AP191" s="15" t="s">
        <v>328</v>
      </c>
      <c r="AQ191" s="15"/>
      <c r="AR191" s="15">
        <v>10</v>
      </c>
      <c r="AS191" s="15">
        <v>2</v>
      </c>
      <c r="AT191" s="15"/>
      <c r="AU191" s="15" t="s">
        <v>328</v>
      </c>
      <c r="AV191" s="15"/>
      <c r="AW191" s="15"/>
      <c r="AX191" s="15">
        <v>1</v>
      </c>
      <c r="AY191" s="15">
        <v>2</v>
      </c>
      <c r="AZ191" s="15">
        <v>3</v>
      </c>
      <c r="BA191" s="15"/>
      <c r="BB191" s="15"/>
      <c r="BC191" s="15" t="s">
        <v>328</v>
      </c>
      <c r="BD191" s="15"/>
      <c r="BE191" s="15"/>
      <c r="BF191" s="15"/>
      <c r="BG191" s="15" t="s">
        <v>328</v>
      </c>
      <c r="BH191" s="15"/>
      <c r="BI191" s="15"/>
      <c r="BJ191" s="15"/>
      <c r="BK191" s="15"/>
      <c r="BL191" s="15"/>
      <c r="BM191" s="15"/>
      <c r="BN191" s="15"/>
      <c r="BO191" s="15" t="s">
        <v>328</v>
      </c>
      <c r="BP191" s="15" t="s">
        <v>328</v>
      </c>
      <c r="BQ191" s="15"/>
      <c r="BR191" s="15"/>
      <c r="BS191" s="15"/>
      <c r="BT191" s="15"/>
      <c r="BU191" s="15"/>
      <c r="BV191" s="15" t="s">
        <v>328</v>
      </c>
      <c r="BW191" s="15" t="s">
        <v>328</v>
      </c>
      <c r="BX191" s="15"/>
      <c r="BY191" s="15"/>
      <c r="BZ191" s="15"/>
      <c r="CA191" s="15"/>
      <c r="CB191" s="15" t="s">
        <v>328</v>
      </c>
      <c r="CC191" s="15" t="s">
        <v>328</v>
      </c>
      <c r="CD191" s="15"/>
      <c r="CE191" s="15"/>
      <c r="CF191" s="15"/>
      <c r="CG191" s="15"/>
      <c r="CH191" s="15"/>
      <c r="CI191" s="15" t="s">
        <v>328</v>
      </c>
      <c r="CJ191" s="15"/>
      <c r="CK191" s="15"/>
      <c r="CL191" s="15"/>
      <c r="CM191" s="15"/>
      <c r="CN191" s="15">
        <v>2</v>
      </c>
      <c r="CO191" s="15">
        <v>5</v>
      </c>
      <c r="CP191" s="15">
        <v>6</v>
      </c>
      <c r="CQ191" s="15">
        <v>3</v>
      </c>
      <c r="CR191" s="15">
        <v>4</v>
      </c>
      <c r="CS191" s="15">
        <v>1</v>
      </c>
      <c r="CT191" s="15"/>
      <c r="CU191" s="15" t="s">
        <v>328</v>
      </c>
      <c r="CV191" s="15"/>
      <c r="CW191" s="15"/>
      <c r="CX191" s="15" t="s">
        <v>328</v>
      </c>
      <c r="CY191" s="15"/>
      <c r="CZ191" s="15"/>
      <c r="DA191" s="15"/>
      <c r="DB191" s="15"/>
      <c r="DC191" s="15">
        <v>1</v>
      </c>
      <c r="DD191" s="15">
        <v>5</v>
      </c>
      <c r="DE191" s="15">
        <v>4</v>
      </c>
      <c r="DF191" s="15">
        <v>2</v>
      </c>
      <c r="DG191" s="15">
        <v>6</v>
      </c>
      <c r="DH191" s="15">
        <v>3</v>
      </c>
      <c r="DI191" s="15"/>
      <c r="DJ191" s="15" t="s">
        <v>328</v>
      </c>
      <c r="DK191" s="15"/>
      <c r="DL191" s="15"/>
      <c r="DM191" s="15"/>
      <c r="DN191" s="15"/>
      <c r="DO191" s="15"/>
      <c r="DP191" s="15" t="s">
        <v>411</v>
      </c>
      <c r="DQ191" s="15"/>
      <c r="DR191" s="15" t="s">
        <v>328</v>
      </c>
      <c r="DS191" s="15" t="s">
        <v>328</v>
      </c>
      <c r="DT191" s="15" t="s">
        <v>420</v>
      </c>
      <c r="DU191" s="15"/>
      <c r="DV191" s="15"/>
      <c r="DW191" s="15"/>
      <c r="DX191" s="15" t="s">
        <v>411</v>
      </c>
      <c r="DY191" s="15"/>
      <c r="DZ191" s="15" t="s">
        <v>328</v>
      </c>
      <c r="EA191" s="15" t="s">
        <v>328</v>
      </c>
      <c r="EB191" s="15" t="s">
        <v>420</v>
      </c>
      <c r="EC191" s="15"/>
      <c r="ED191" s="15" t="s">
        <v>559</v>
      </c>
      <c r="EE191" s="102" t="s">
        <v>494</v>
      </c>
      <c r="EF191" s="99"/>
      <c r="EG191" s="17">
        <f t="shared" si="2"/>
        <v>0</v>
      </c>
    </row>
    <row r="192" spans="1:137" x14ac:dyDescent="0.25">
      <c r="A192" s="50" t="s">
        <v>1855</v>
      </c>
      <c r="B192" s="208">
        <v>41550</v>
      </c>
      <c r="C192" s="209" t="s">
        <v>2766</v>
      </c>
      <c r="D192" s="61" t="s">
        <v>675</v>
      </c>
      <c r="E192" s="15" t="s">
        <v>328</v>
      </c>
      <c r="F192" s="15"/>
      <c r="G192" s="15">
        <v>38</v>
      </c>
      <c r="H192" s="15" t="s">
        <v>329</v>
      </c>
      <c r="I192" s="15" t="s">
        <v>399</v>
      </c>
      <c r="J192" s="15" t="s">
        <v>732</v>
      </c>
      <c r="K192" s="15" t="s">
        <v>1235</v>
      </c>
      <c r="L192" s="15" t="s">
        <v>1183</v>
      </c>
      <c r="M192" s="15">
        <v>0</v>
      </c>
      <c r="N192" s="15">
        <v>2</v>
      </c>
      <c r="O192" s="15"/>
      <c r="P192" s="15"/>
      <c r="Q192" s="15"/>
      <c r="R192" s="15"/>
      <c r="S192" s="15">
        <v>2</v>
      </c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 t="s">
        <v>328</v>
      </c>
      <c r="AE192" s="15"/>
      <c r="AF192" s="15"/>
      <c r="AG192" s="15"/>
      <c r="AH192" s="15"/>
      <c r="AI192" s="15"/>
      <c r="AJ192" s="15" t="s">
        <v>328</v>
      </c>
      <c r="AK192" s="15"/>
      <c r="AL192" s="15" t="s">
        <v>328</v>
      </c>
      <c r="AM192" s="15"/>
      <c r="AN192" s="15"/>
      <c r="AO192" s="15"/>
      <c r="AP192" s="15" t="s">
        <v>328</v>
      </c>
      <c r="AQ192" s="15"/>
      <c r="AR192" s="15">
        <v>10</v>
      </c>
      <c r="AS192" s="15">
        <v>1</v>
      </c>
      <c r="AT192" s="15"/>
      <c r="AU192" s="15" t="s">
        <v>328</v>
      </c>
      <c r="AV192" s="15"/>
      <c r="AW192" s="15"/>
      <c r="AX192" s="15">
        <v>1</v>
      </c>
      <c r="AY192" s="15">
        <v>3</v>
      </c>
      <c r="AZ192" s="15">
        <v>2</v>
      </c>
      <c r="BA192" s="15"/>
      <c r="BB192" s="15" t="s">
        <v>328</v>
      </c>
      <c r="BC192" s="15"/>
      <c r="BD192" s="15"/>
      <c r="BE192" s="15"/>
      <c r="BF192" s="15"/>
      <c r="BG192" s="15"/>
      <c r="BH192" s="15"/>
      <c r="BI192" s="15" t="s">
        <v>328</v>
      </c>
      <c r="BJ192" s="15"/>
      <c r="BK192" s="15"/>
      <c r="BL192" s="15"/>
      <c r="BM192" s="15"/>
      <c r="BN192" s="15"/>
      <c r="BO192" s="15" t="s">
        <v>328</v>
      </c>
      <c r="BP192" s="15" t="s">
        <v>328</v>
      </c>
      <c r="BQ192" s="15"/>
      <c r="BR192" s="15"/>
      <c r="BS192" s="15"/>
      <c r="BT192" s="15"/>
      <c r="BU192" s="15"/>
      <c r="BV192" s="15" t="s">
        <v>328</v>
      </c>
      <c r="BW192" s="15"/>
      <c r="BX192" s="15"/>
      <c r="BY192" s="15" t="s">
        <v>328</v>
      </c>
      <c r="BZ192" s="15"/>
      <c r="CA192" s="15"/>
      <c r="CB192" s="15"/>
      <c r="CC192" s="15" t="s">
        <v>328</v>
      </c>
      <c r="CD192" s="15"/>
      <c r="CE192" s="15"/>
      <c r="CF192" s="15"/>
      <c r="CG192" s="15"/>
      <c r="CH192" s="14" t="s">
        <v>579</v>
      </c>
      <c r="CI192" s="15" t="s">
        <v>328</v>
      </c>
      <c r="CJ192" s="15"/>
      <c r="CK192" s="15"/>
      <c r="CL192" s="15"/>
      <c r="CM192" s="15"/>
      <c r="CN192" s="15">
        <v>3</v>
      </c>
      <c r="CO192" s="15">
        <v>1</v>
      </c>
      <c r="CP192" s="15">
        <v>2</v>
      </c>
      <c r="CQ192" s="15">
        <v>5</v>
      </c>
      <c r="CR192" s="15">
        <v>6</v>
      </c>
      <c r="CS192" s="15">
        <v>4</v>
      </c>
      <c r="CT192" s="15"/>
      <c r="CU192" s="15"/>
      <c r="CV192" s="15"/>
      <c r="CW192" s="15"/>
      <c r="CX192" s="15"/>
      <c r="CY192" s="15"/>
      <c r="CZ192" s="15" t="s">
        <v>332</v>
      </c>
      <c r="DA192" s="15"/>
      <c r="DB192" s="15"/>
      <c r="DC192" s="15">
        <v>4</v>
      </c>
      <c r="DD192" s="15">
        <v>6</v>
      </c>
      <c r="DE192" s="15">
        <v>3</v>
      </c>
      <c r="DF192" s="15">
        <v>1</v>
      </c>
      <c r="DG192" s="15">
        <v>5</v>
      </c>
      <c r="DH192" s="15">
        <v>2</v>
      </c>
      <c r="DI192" s="15"/>
      <c r="DJ192" s="15" t="s">
        <v>328</v>
      </c>
      <c r="DK192" s="15"/>
      <c r="DL192" s="15"/>
      <c r="DM192" s="15"/>
      <c r="DN192" s="15"/>
      <c r="DO192" s="15"/>
      <c r="DP192" s="14" t="s">
        <v>333</v>
      </c>
      <c r="DQ192" s="15" t="s">
        <v>328</v>
      </c>
      <c r="DR192" s="15"/>
      <c r="DS192" s="15"/>
      <c r="DT192" s="15"/>
      <c r="DU192" s="15"/>
      <c r="DV192" s="15"/>
      <c r="DW192" s="15"/>
      <c r="DX192" s="15" t="s">
        <v>1144</v>
      </c>
      <c r="DY192" s="15" t="s">
        <v>328</v>
      </c>
      <c r="DZ192" s="15"/>
      <c r="EA192" s="15"/>
      <c r="EB192" s="15"/>
      <c r="EC192" s="15"/>
      <c r="ED192" s="15"/>
      <c r="EE192" s="102" t="s">
        <v>1144</v>
      </c>
      <c r="EF192" s="99"/>
      <c r="EG192" s="17">
        <f t="shared" si="2"/>
        <v>0</v>
      </c>
    </row>
    <row r="193" spans="1:137" x14ac:dyDescent="0.25">
      <c r="A193" s="50" t="s">
        <v>1855</v>
      </c>
      <c r="B193" s="208">
        <v>41550</v>
      </c>
      <c r="C193" s="209" t="s">
        <v>2766</v>
      </c>
      <c r="D193" s="61" t="s">
        <v>676</v>
      </c>
      <c r="E193" s="15" t="s">
        <v>328</v>
      </c>
      <c r="F193" s="15"/>
      <c r="G193" s="15">
        <v>52</v>
      </c>
      <c r="H193" s="15" t="s">
        <v>329</v>
      </c>
      <c r="I193" s="15" t="s">
        <v>330</v>
      </c>
      <c r="J193" s="15" t="s">
        <v>797</v>
      </c>
      <c r="K193" s="18" t="s">
        <v>1275</v>
      </c>
      <c r="L193" s="15" t="s">
        <v>1183</v>
      </c>
      <c r="M193" s="15">
        <v>30</v>
      </c>
      <c r="N193" s="15">
        <v>1</v>
      </c>
      <c r="O193" s="15"/>
      <c r="P193" s="15"/>
      <c r="Q193" s="15"/>
      <c r="R193" s="15"/>
      <c r="S193" s="15"/>
      <c r="T193" s="15"/>
      <c r="U193" s="15"/>
      <c r="V193" s="15"/>
      <c r="W193" s="15">
        <v>1</v>
      </c>
      <c r="X193" s="15"/>
      <c r="Y193" s="15"/>
      <c r="Z193" s="15"/>
      <c r="AA193" s="15"/>
      <c r="AB193" s="15"/>
      <c r="AC193" s="15"/>
      <c r="AD193" s="15"/>
      <c r="AE193" s="15" t="s">
        <v>328</v>
      </c>
      <c r="AF193" s="15"/>
      <c r="AG193" s="15"/>
      <c r="AH193" s="15"/>
      <c r="AI193" s="15"/>
      <c r="AJ193" s="15"/>
      <c r="AK193" s="15"/>
      <c r="AL193" s="15" t="s">
        <v>328</v>
      </c>
      <c r="AM193" s="15"/>
      <c r="AN193" s="15"/>
      <c r="AO193" s="15"/>
      <c r="AP193" s="15"/>
      <c r="AQ193" s="15" t="s">
        <v>328</v>
      </c>
      <c r="AR193" s="15">
        <v>10</v>
      </c>
      <c r="AS193" s="15">
        <v>1</v>
      </c>
      <c r="AT193" s="15"/>
      <c r="AU193" s="15" t="s">
        <v>328</v>
      </c>
      <c r="AV193" s="15"/>
      <c r="AW193" s="15"/>
      <c r="AX193" s="15">
        <v>3</v>
      </c>
      <c r="AY193" s="15">
        <v>2</v>
      </c>
      <c r="AZ193" s="15">
        <v>1</v>
      </c>
      <c r="BA193" s="15"/>
      <c r="BB193" s="15" t="s">
        <v>328</v>
      </c>
      <c r="BC193" s="15"/>
      <c r="BD193" s="15"/>
      <c r="BE193" s="15" t="s">
        <v>328</v>
      </c>
      <c r="BF193" s="15"/>
      <c r="BG193" s="15"/>
      <c r="BH193" s="15"/>
      <c r="BI193" s="15"/>
      <c r="BJ193" s="15"/>
      <c r="BK193" s="15"/>
      <c r="BL193" s="15"/>
      <c r="BM193" s="15"/>
      <c r="BN193" s="15"/>
      <c r="BO193" s="15" t="s">
        <v>328</v>
      </c>
      <c r="BP193" s="15"/>
      <c r="BQ193" s="15" t="s">
        <v>328</v>
      </c>
      <c r="BR193" s="15" t="s">
        <v>328</v>
      </c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 t="s">
        <v>332</v>
      </c>
      <c r="CI193" s="15"/>
      <c r="CJ193" s="15" t="s">
        <v>328</v>
      </c>
      <c r="CK193" s="15"/>
      <c r="CL193" s="15"/>
      <c r="CM193" s="15"/>
      <c r="CN193" s="15">
        <v>5</v>
      </c>
      <c r="CO193" s="15">
        <v>4</v>
      </c>
      <c r="CP193" s="15">
        <v>3</v>
      </c>
      <c r="CQ193" s="15">
        <v>1</v>
      </c>
      <c r="CR193" s="15">
        <v>2</v>
      </c>
      <c r="CS193" s="15">
        <v>6</v>
      </c>
      <c r="CT193" s="15"/>
      <c r="CU193" s="15"/>
      <c r="CV193" s="15"/>
      <c r="CW193" s="15"/>
      <c r="CX193" s="15"/>
      <c r="CY193" s="15"/>
      <c r="CZ193" s="15" t="s">
        <v>332</v>
      </c>
      <c r="DA193" s="15"/>
      <c r="DB193" s="15"/>
      <c r="DC193" s="15">
        <v>1</v>
      </c>
      <c r="DD193" s="15">
        <v>4</v>
      </c>
      <c r="DE193" s="15">
        <v>3</v>
      </c>
      <c r="DF193" s="15">
        <v>5</v>
      </c>
      <c r="DG193" s="15">
        <v>2</v>
      </c>
      <c r="DH193" s="15">
        <v>6</v>
      </c>
      <c r="DI193" s="15"/>
      <c r="DJ193" s="15" t="s">
        <v>328</v>
      </c>
      <c r="DK193" s="15"/>
      <c r="DL193" s="15"/>
      <c r="DM193" s="15"/>
      <c r="DN193" s="15"/>
      <c r="DO193" s="15"/>
      <c r="DP193" s="14" t="s">
        <v>1146</v>
      </c>
      <c r="DQ193" s="15" t="s">
        <v>328</v>
      </c>
      <c r="DR193" s="15"/>
      <c r="DS193" s="15"/>
      <c r="DT193" s="15"/>
      <c r="DU193" s="15"/>
      <c r="DV193" s="15"/>
      <c r="DW193" s="15"/>
      <c r="DX193" s="15" t="s">
        <v>1152</v>
      </c>
      <c r="DY193" s="15" t="s">
        <v>328</v>
      </c>
      <c r="DZ193" s="15"/>
      <c r="EA193" s="15"/>
      <c r="EB193" s="15"/>
      <c r="EC193" s="15"/>
      <c r="ED193" s="15"/>
      <c r="EE193" s="102" t="s">
        <v>1152</v>
      </c>
      <c r="EF193" s="99"/>
      <c r="EG193" s="17">
        <f t="shared" si="2"/>
        <v>0</v>
      </c>
    </row>
    <row r="194" spans="1:137" x14ac:dyDescent="0.25">
      <c r="A194" s="50" t="s">
        <v>1855</v>
      </c>
      <c r="B194" s="208">
        <v>41550</v>
      </c>
      <c r="C194" s="209" t="s">
        <v>2766</v>
      </c>
      <c r="D194" s="61" t="s">
        <v>677</v>
      </c>
      <c r="E194" s="15" t="s">
        <v>328</v>
      </c>
      <c r="F194" s="15"/>
      <c r="G194" s="15">
        <v>47</v>
      </c>
      <c r="H194" s="15" t="s">
        <v>329</v>
      </c>
      <c r="I194" s="15" t="s">
        <v>330</v>
      </c>
      <c r="J194" s="15" t="s">
        <v>788</v>
      </c>
      <c r="K194" s="15" t="s">
        <v>1266</v>
      </c>
      <c r="L194" s="14" t="s">
        <v>1335</v>
      </c>
      <c r="M194" s="15">
        <v>20</v>
      </c>
      <c r="N194" s="15">
        <v>1</v>
      </c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>
        <v>1</v>
      </c>
      <c r="AA194" s="15"/>
      <c r="AB194" s="15" t="s">
        <v>328</v>
      </c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 t="s">
        <v>328</v>
      </c>
      <c r="AN194" s="15"/>
      <c r="AO194" s="15"/>
      <c r="AP194" s="15" t="s">
        <v>328</v>
      </c>
      <c r="AQ194" s="15"/>
      <c r="AR194" s="15">
        <v>10</v>
      </c>
      <c r="AS194" s="15">
        <v>1</v>
      </c>
      <c r="AT194" s="15"/>
      <c r="AU194" s="15" t="s">
        <v>328</v>
      </c>
      <c r="AV194" s="15"/>
      <c r="AW194" s="15"/>
      <c r="AX194" s="15">
        <v>1</v>
      </c>
      <c r="AY194" s="15">
        <v>2</v>
      </c>
      <c r="AZ194" s="15">
        <v>3</v>
      </c>
      <c r="BA194" s="15"/>
      <c r="BB194" s="15" t="s">
        <v>328</v>
      </c>
      <c r="BC194" s="15"/>
      <c r="BD194" s="15" t="s">
        <v>328</v>
      </c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 t="s">
        <v>328</v>
      </c>
      <c r="BP194" s="15"/>
      <c r="BQ194" s="15" t="s">
        <v>328</v>
      </c>
      <c r="BR194" s="15" t="s">
        <v>328</v>
      </c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 t="s">
        <v>328</v>
      </c>
      <c r="CG194" s="15"/>
      <c r="CH194" s="15"/>
      <c r="CI194" s="15"/>
      <c r="CJ194" s="15" t="s">
        <v>328</v>
      </c>
      <c r="CK194" s="15"/>
      <c r="CL194" s="15"/>
      <c r="CM194" s="15"/>
      <c r="CN194" s="15">
        <v>4</v>
      </c>
      <c r="CO194" s="15">
        <v>1</v>
      </c>
      <c r="CP194" s="15">
        <v>6</v>
      </c>
      <c r="CQ194" s="15">
        <v>3</v>
      </c>
      <c r="CR194" s="15">
        <v>2</v>
      </c>
      <c r="CS194" s="15">
        <v>5</v>
      </c>
      <c r="CT194" s="15"/>
      <c r="CU194" s="15"/>
      <c r="CV194" s="15"/>
      <c r="CW194" s="15"/>
      <c r="CX194" s="15"/>
      <c r="CY194" s="15"/>
      <c r="CZ194" s="15" t="s">
        <v>332</v>
      </c>
      <c r="DA194" s="15"/>
      <c r="DB194" s="15"/>
      <c r="DC194" s="15">
        <v>1</v>
      </c>
      <c r="DD194" s="15">
        <v>4</v>
      </c>
      <c r="DE194" s="15">
        <v>3</v>
      </c>
      <c r="DF194" s="15">
        <v>6</v>
      </c>
      <c r="DG194" s="15">
        <v>2</v>
      </c>
      <c r="DH194" s="15">
        <v>5</v>
      </c>
      <c r="DI194" s="15"/>
      <c r="DJ194" s="15" t="s">
        <v>328</v>
      </c>
      <c r="DK194" s="15"/>
      <c r="DL194" s="15"/>
      <c r="DM194" s="15"/>
      <c r="DN194" s="15"/>
      <c r="DO194" s="15"/>
      <c r="DP194" s="15" t="s">
        <v>411</v>
      </c>
      <c r="DQ194" s="15" t="s">
        <v>328</v>
      </c>
      <c r="DR194" s="15"/>
      <c r="DS194" s="15"/>
      <c r="DT194" s="15"/>
      <c r="DU194" s="15"/>
      <c r="DV194" s="15"/>
      <c r="DW194" s="15"/>
      <c r="DX194" s="15" t="s">
        <v>497</v>
      </c>
      <c r="DY194" s="15" t="s">
        <v>328</v>
      </c>
      <c r="DZ194" s="15"/>
      <c r="EA194" s="15"/>
      <c r="EB194" s="15"/>
      <c r="EC194" s="15"/>
      <c r="ED194" s="15"/>
      <c r="EE194" s="102" t="s">
        <v>497</v>
      </c>
      <c r="EF194" s="99"/>
      <c r="EG194" s="17">
        <f t="shared" si="2"/>
        <v>0</v>
      </c>
    </row>
    <row r="195" spans="1:137" x14ac:dyDescent="0.25">
      <c r="A195" s="50" t="s">
        <v>1855</v>
      </c>
      <c r="B195" s="208">
        <v>41550</v>
      </c>
      <c r="C195" s="209" t="s">
        <v>2766</v>
      </c>
      <c r="D195" s="61" t="s">
        <v>678</v>
      </c>
      <c r="E195" s="15" t="s">
        <v>328</v>
      </c>
      <c r="F195" s="15"/>
      <c r="G195" s="15">
        <v>56</v>
      </c>
      <c r="H195" s="15" t="s">
        <v>329</v>
      </c>
      <c r="I195" s="15" t="s">
        <v>353</v>
      </c>
      <c r="J195" s="15" t="s">
        <v>799</v>
      </c>
      <c r="K195" s="18" t="s">
        <v>1277</v>
      </c>
      <c r="L195" s="15" t="s">
        <v>1293</v>
      </c>
      <c r="M195" s="15">
        <v>0</v>
      </c>
      <c r="N195" s="15">
        <v>1</v>
      </c>
      <c r="O195" s="15">
        <v>1</v>
      </c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 t="s">
        <v>328</v>
      </c>
      <c r="AD195" s="15"/>
      <c r="AE195" s="15"/>
      <c r="AF195" s="15" t="s">
        <v>328</v>
      </c>
      <c r="AG195" s="15"/>
      <c r="AH195" s="15"/>
      <c r="AI195" s="15"/>
      <c r="AJ195" s="15"/>
      <c r="AK195" s="15"/>
      <c r="AL195" s="15"/>
      <c r="AM195" s="15" t="s">
        <v>328</v>
      </c>
      <c r="AN195" s="15"/>
      <c r="AO195" s="15" t="s">
        <v>328</v>
      </c>
      <c r="AP195" s="15"/>
      <c r="AQ195" s="15"/>
      <c r="AR195" s="15">
        <v>10</v>
      </c>
      <c r="AS195" s="15">
        <v>3</v>
      </c>
      <c r="AT195" s="15"/>
      <c r="AU195" s="15"/>
      <c r="AV195" s="15" t="s">
        <v>328</v>
      </c>
      <c r="AW195" s="15"/>
      <c r="AX195" s="15">
        <v>1</v>
      </c>
      <c r="AY195" s="15">
        <v>3</v>
      </c>
      <c r="AZ195" s="15">
        <v>2</v>
      </c>
      <c r="BA195" s="15"/>
      <c r="BB195" s="15" t="s">
        <v>328</v>
      </c>
      <c r="BC195" s="15"/>
      <c r="BD195" s="15" t="s">
        <v>328</v>
      </c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 t="s">
        <v>328</v>
      </c>
      <c r="BP195" s="15"/>
      <c r="BQ195" s="15" t="s">
        <v>328</v>
      </c>
      <c r="BR195" s="15"/>
      <c r="BS195" s="15" t="s">
        <v>328</v>
      </c>
      <c r="BT195" s="15"/>
      <c r="BU195" s="15"/>
      <c r="BV195" s="15"/>
      <c r="BW195" s="15" t="s">
        <v>328</v>
      </c>
      <c r="BX195" s="15"/>
      <c r="BY195" s="15"/>
      <c r="BZ195" s="15"/>
      <c r="CA195" s="15"/>
      <c r="CB195" s="15"/>
      <c r="CC195" s="15"/>
      <c r="CD195" s="15" t="s">
        <v>328</v>
      </c>
      <c r="CE195" s="15"/>
      <c r="CF195" s="15" t="s">
        <v>328</v>
      </c>
      <c r="CG195" s="15"/>
      <c r="CH195" s="15"/>
      <c r="CI195" s="15" t="s">
        <v>328</v>
      </c>
      <c r="CJ195" s="15"/>
      <c r="CK195" s="15"/>
      <c r="CL195" s="15"/>
      <c r="CM195" s="15"/>
      <c r="CN195" s="15">
        <v>6</v>
      </c>
      <c r="CO195" s="15">
        <v>1</v>
      </c>
      <c r="CP195" s="15">
        <v>2</v>
      </c>
      <c r="CQ195" s="15">
        <v>3</v>
      </c>
      <c r="CR195" s="15">
        <v>4</v>
      </c>
      <c r="CS195" s="15">
        <v>5</v>
      </c>
      <c r="CT195" s="15"/>
      <c r="CU195" s="15"/>
      <c r="CV195" s="15"/>
      <c r="CW195" s="15"/>
      <c r="CX195" s="15"/>
      <c r="CY195" s="15"/>
      <c r="CZ195" s="15" t="s">
        <v>332</v>
      </c>
      <c r="DA195" s="15"/>
      <c r="DB195" s="15"/>
      <c r="DC195" s="15">
        <v>3</v>
      </c>
      <c r="DD195" s="15">
        <v>4</v>
      </c>
      <c r="DE195" s="15">
        <v>2</v>
      </c>
      <c r="DF195" s="15">
        <v>5</v>
      </c>
      <c r="DG195" s="15">
        <v>1</v>
      </c>
      <c r="DH195" s="15">
        <v>6</v>
      </c>
      <c r="DI195" s="15"/>
      <c r="DJ195" s="15" t="s">
        <v>328</v>
      </c>
      <c r="DK195" s="15"/>
      <c r="DL195" s="15"/>
      <c r="DM195" s="15"/>
      <c r="DN195" s="15"/>
      <c r="DO195" s="15"/>
      <c r="DP195" s="14" t="s">
        <v>1146</v>
      </c>
      <c r="DQ195" s="15" t="s">
        <v>328</v>
      </c>
      <c r="DR195" s="15"/>
      <c r="DS195" s="15"/>
      <c r="DT195" s="15"/>
      <c r="DU195" s="15"/>
      <c r="DV195" s="15"/>
      <c r="DW195" s="15"/>
      <c r="DX195" s="15" t="s">
        <v>1294</v>
      </c>
      <c r="DY195" s="15" t="s">
        <v>328</v>
      </c>
      <c r="DZ195" s="15"/>
      <c r="EA195" s="15"/>
      <c r="EB195" s="15"/>
      <c r="EC195" s="15"/>
      <c r="ED195" s="15"/>
      <c r="EE195" s="102" t="s">
        <v>1294</v>
      </c>
      <c r="EF195" s="99"/>
      <c r="EG195" s="17">
        <f t="shared" si="2"/>
        <v>0</v>
      </c>
    </row>
    <row r="196" spans="1:137" x14ac:dyDescent="0.25">
      <c r="A196" s="50" t="s">
        <v>1855</v>
      </c>
      <c r="B196" s="208">
        <v>41550</v>
      </c>
      <c r="C196" s="209" t="s">
        <v>2766</v>
      </c>
      <c r="D196" s="61" t="s">
        <v>679</v>
      </c>
      <c r="E196" s="15" t="s">
        <v>328</v>
      </c>
      <c r="F196" s="15"/>
      <c r="G196" s="15">
        <v>57</v>
      </c>
      <c r="H196" s="15" t="s">
        <v>329</v>
      </c>
      <c r="I196" s="15" t="s">
        <v>584</v>
      </c>
      <c r="J196" s="15" t="s">
        <v>800</v>
      </c>
      <c r="K196" s="18" t="s">
        <v>1278</v>
      </c>
      <c r="L196" s="14" t="s">
        <v>1335</v>
      </c>
      <c r="M196" s="15">
        <v>35</v>
      </c>
      <c r="N196" s="15">
        <v>1</v>
      </c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>
        <v>1</v>
      </c>
      <c r="AA196" s="15"/>
      <c r="AB196" s="15" t="s">
        <v>328</v>
      </c>
      <c r="AC196" s="15"/>
      <c r="AD196" s="15"/>
      <c r="AE196" s="15"/>
      <c r="AF196" s="15"/>
      <c r="AG196" s="15" t="s">
        <v>328</v>
      </c>
      <c r="AH196" s="15"/>
      <c r="AI196" s="15"/>
      <c r="AJ196" s="15"/>
      <c r="AK196" s="15"/>
      <c r="AL196" s="15"/>
      <c r="AM196" s="15" t="s">
        <v>328</v>
      </c>
      <c r="AN196" s="15"/>
      <c r="AO196" s="15" t="s">
        <v>328</v>
      </c>
      <c r="AP196" s="15"/>
      <c r="AQ196" s="15"/>
      <c r="AR196" s="15">
        <v>5</v>
      </c>
      <c r="AS196" s="15">
        <v>5</v>
      </c>
      <c r="AT196" s="15"/>
      <c r="AU196" s="15"/>
      <c r="AV196" s="15" t="s">
        <v>328</v>
      </c>
      <c r="AW196" s="15"/>
      <c r="AX196" s="15">
        <v>1</v>
      </c>
      <c r="AY196" s="15">
        <v>3</v>
      </c>
      <c r="AZ196" s="15">
        <v>2</v>
      </c>
      <c r="BA196" s="15"/>
      <c r="BB196" s="15" t="s">
        <v>328</v>
      </c>
      <c r="BC196" s="15"/>
      <c r="BD196" s="15" t="s">
        <v>328</v>
      </c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 t="s">
        <v>328</v>
      </c>
      <c r="BP196" s="15"/>
      <c r="BQ196" s="15" t="s">
        <v>328</v>
      </c>
      <c r="BR196" s="15" t="s">
        <v>328</v>
      </c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 t="s">
        <v>328</v>
      </c>
      <c r="CE196" s="15"/>
      <c r="CF196" s="15"/>
      <c r="CG196" s="15" t="s">
        <v>328</v>
      </c>
      <c r="CH196" s="15"/>
      <c r="CI196" s="15"/>
      <c r="CJ196" s="15"/>
      <c r="CK196" s="15" t="s">
        <v>328</v>
      </c>
      <c r="CL196" s="15"/>
      <c r="CM196" s="15"/>
      <c r="CN196" s="15">
        <v>4</v>
      </c>
      <c r="CO196" s="15">
        <v>2</v>
      </c>
      <c r="CP196" s="15">
        <v>1</v>
      </c>
      <c r="CQ196" s="15">
        <v>6</v>
      </c>
      <c r="CR196" s="15">
        <v>3</v>
      </c>
      <c r="CS196" s="15">
        <v>5</v>
      </c>
      <c r="CT196" s="15"/>
      <c r="CU196" s="15"/>
      <c r="CV196" s="15"/>
      <c r="CW196" s="15"/>
      <c r="CX196" s="15"/>
      <c r="CY196" s="15"/>
      <c r="CZ196" s="15" t="s">
        <v>332</v>
      </c>
      <c r="DA196" s="15"/>
      <c r="DB196" s="15"/>
      <c r="DC196" s="15">
        <v>1</v>
      </c>
      <c r="DD196" s="15">
        <v>2</v>
      </c>
      <c r="DE196" s="15">
        <v>3</v>
      </c>
      <c r="DF196" s="15">
        <v>4</v>
      </c>
      <c r="DG196" s="15">
        <v>5</v>
      </c>
      <c r="DH196" s="15">
        <v>6</v>
      </c>
      <c r="DI196" s="15"/>
      <c r="DJ196" s="15" t="s">
        <v>328</v>
      </c>
      <c r="DK196" s="15"/>
      <c r="DL196" s="15"/>
      <c r="DM196" s="15"/>
      <c r="DN196" s="15"/>
      <c r="DO196" s="15"/>
      <c r="DP196" s="15" t="s">
        <v>411</v>
      </c>
      <c r="DQ196" s="15" t="s">
        <v>328</v>
      </c>
      <c r="DR196" s="15"/>
      <c r="DS196" s="15"/>
      <c r="DT196" s="15"/>
      <c r="DU196" s="15"/>
      <c r="DV196" s="15"/>
      <c r="DW196" s="15"/>
      <c r="DX196" s="15" t="s">
        <v>411</v>
      </c>
      <c r="DY196" s="15" t="s">
        <v>328</v>
      </c>
      <c r="DZ196" s="15"/>
      <c r="EA196" s="15"/>
      <c r="EB196" s="15"/>
      <c r="EC196" s="15"/>
      <c r="ED196" s="15"/>
      <c r="EE196" s="102" t="s">
        <v>411</v>
      </c>
      <c r="EF196" s="99"/>
      <c r="EG196" s="17">
        <f t="shared" si="2"/>
        <v>0</v>
      </c>
    </row>
    <row r="197" spans="1:137" x14ac:dyDescent="0.25">
      <c r="A197" s="50" t="s">
        <v>1855</v>
      </c>
      <c r="B197" s="208">
        <v>41550</v>
      </c>
      <c r="C197" s="209" t="s">
        <v>2766</v>
      </c>
      <c r="D197" s="61" t="s">
        <v>699</v>
      </c>
      <c r="E197" s="15" t="s">
        <v>328</v>
      </c>
      <c r="F197" s="15"/>
      <c r="G197" s="15">
        <v>49</v>
      </c>
      <c r="H197" s="15" t="s">
        <v>329</v>
      </c>
      <c r="I197" s="15" t="s">
        <v>330</v>
      </c>
      <c r="J197" s="15" t="s">
        <v>801</v>
      </c>
      <c r="K197" s="18" t="s">
        <v>1279</v>
      </c>
      <c r="L197" s="15" t="s">
        <v>1290</v>
      </c>
      <c r="M197" s="15">
        <v>18</v>
      </c>
      <c r="N197" s="15">
        <v>1</v>
      </c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>
        <v>1</v>
      </c>
      <c r="AA197" s="15"/>
      <c r="AB197" s="15" t="s">
        <v>328</v>
      </c>
      <c r="AC197" s="15"/>
      <c r="AD197" s="15"/>
      <c r="AE197" s="15"/>
      <c r="AF197" s="15"/>
      <c r="AG197" s="15" t="s">
        <v>328</v>
      </c>
      <c r="AH197" s="15"/>
      <c r="AI197" s="15"/>
      <c r="AJ197" s="15"/>
      <c r="AK197" s="15"/>
      <c r="AL197" s="15"/>
      <c r="AM197" s="15" t="s">
        <v>328</v>
      </c>
      <c r="AN197" s="15"/>
      <c r="AO197" s="15" t="s">
        <v>328</v>
      </c>
      <c r="AP197" s="15"/>
      <c r="AQ197" s="15"/>
      <c r="AR197" s="15">
        <v>3</v>
      </c>
      <c r="AS197" s="15">
        <v>6</v>
      </c>
      <c r="AT197" s="15"/>
      <c r="AU197" s="15"/>
      <c r="AV197" s="15" t="s">
        <v>328</v>
      </c>
      <c r="AW197" s="15"/>
      <c r="AX197" s="15">
        <v>2</v>
      </c>
      <c r="AY197" s="15">
        <v>3</v>
      </c>
      <c r="AZ197" s="15">
        <v>1</v>
      </c>
      <c r="BA197" s="15"/>
      <c r="BB197" s="15" t="s">
        <v>328</v>
      </c>
      <c r="BC197" s="15"/>
      <c r="BD197" s="15" t="s">
        <v>328</v>
      </c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 t="s">
        <v>328</v>
      </c>
      <c r="BP197" s="15" t="s">
        <v>328</v>
      </c>
      <c r="BQ197" s="15"/>
      <c r="BR197" s="15"/>
      <c r="BS197" s="15"/>
      <c r="BT197" s="15"/>
      <c r="BU197" s="15"/>
      <c r="BV197" s="15"/>
      <c r="BW197" s="98"/>
      <c r="BX197" s="15" t="s">
        <v>409</v>
      </c>
      <c r="BY197" s="15"/>
      <c r="BZ197" s="15"/>
      <c r="CA197" s="15"/>
      <c r="CB197" s="15"/>
      <c r="CC197" s="15"/>
      <c r="CD197" s="15"/>
      <c r="CE197" s="15"/>
      <c r="CF197" s="15"/>
      <c r="CG197" s="15"/>
      <c r="CH197" s="15" t="s">
        <v>332</v>
      </c>
      <c r="CI197" s="15"/>
      <c r="CJ197" s="15"/>
      <c r="CK197" s="15"/>
      <c r="CL197" s="15" t="s">
        <v>328</v>
      </c>
      <c r="CM197" s="15"/>
      <c r="CN197" s="15">
        <v>1</v>
      </c>
      <c r="CO197" s="15">
        <v>2</v>
      </c>
      <c r="CP197" s="15">
        <v>3</v>
      </c>
      <c r="CQ197" s="15">
        <v>4</v>
      </c>
      <c r="CR197" s="15">
        <v>5</v>
      </c>
      <c r="CS197" s="15">
        <v>6</v>
      </c>
      <c r="CT197" s="15"/>
      <c r="CU197" s="15"/>
      <c r="CV197" s="15"/>
      <c r="CW197" s="15"/>
      <c r="CX197" s="15"/>
      <c r="CY197" s="15"/>
      <c r="CZ197" s="15" t="s">
        <v>332</v>
      </c>
      <c r="DA197" s="15" t="s">
        <v>328</v>
      </c>
      <c r="DB197" s="15" t="s">
        <v>700</v>
      </c>
      <c r="DC197" s="15"/>
      <c r="DD197" s="15"/>
      <c r="DE197" s="15"/>
      <c r="DF197" s="15"/>
      <c r="DG197" s="15"/>
      <c r="DH197" s="15"/>
      <c r="DI197" s="15"/>
      <c r="DJ197" s="15" t="s">
        <v>328</v>
      </c>
      <c r="DK197" s="15"/>
      <c r="DL197" s="15"/>
      <c r="DM197" s="15"/>
      <c r="DN197" s="15"/>
      <c r="DO197" s="15"/>
      <c r="DP197" s="14" t="s">
        <v>1145</v>
      </c>
      <c r="DQ197" s="15" t="s">
        <v>328</v>
      </c>
      <c r="DR197" s="15"/>
      <c r="DS197" s="15"/>
      <c r="DT197" s="15"/>
      <c r="DU197" s="15"/>
      <c r="DV197" s="15"/>
      <c r="DW197" s="15"/>
      <c r="DX197" s="15" t="s">
        <v>1145</v>
      </c>
      <c r="DY197" s="15" t="s">
        <v>328</v>
      </c>
      <c r="DZ197" s="15"/>
      <c r="EA197" s="15"/>
      <c r="EB197" s="15"/>
      <c r="EC197" s="15"/>
      <c r="ED197" s="15"/>
      <c r="EE197" s="102" t="s">
        <v>1145</v>
      </c>
      <c r="EF197" s="99"/>
      <c r="EG197" s="17">
        <f t="shared" si="2"/>
        <v>0</v>
      </c>
    </row>
    <row r="198" spans="1:137" x14ac:dyDescent="0.25">
      <c r="A198" s="50" t="s">
        <v>1404</v>
      </c>
      <c r="B198" s="211">
        <v>41568</v>
      </c>
      <c r="C198" s="212" t="s">
        <v>2765</v>
      </c>
      <c r="D198" s="61" t="s">
        <v>1030</v>
      </c>
      <c r="E198" s="15" t="s">
        <v>328</v>
      </c>
      <c r="F198" s="15"/>
      <c r="G198" s="15">
        <v>50</v>
      </c>
      <c r="H198" s="15" t="s">
        <v>329</v>
      </c>
      <c r="I198" s="15" t="s">
        <v>399</v>
      </c>
      <c r="J198" s="15" t="s">
        <v>1031</v>
      </c>
      <c r="K198" s="18" t="s">
        <v>1203</v>
      </c>
      <c r="L198" s="15" t="s">
        <v>1284</v>
      </c>
      <c r="M198" s="15">
        <v>20</v>
      </c>
      <c r="N198" s="15">
        <v>1</v>
      </c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>
        <v>1</v>
      </c>
      <c r="AA198" s="14"/>
      <c r="AB198" s="15" t="s">
        <v>328</v>
      </c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 t="s">
        <v>328</v>
      </c>
      <c r="AN198" s="15"/>
      <c r="AO198" s="15"/>
      <c r="AP198" s="15"/>
      <c r="AQ198" s="15" t="s">
        <v>328</v>
      </c>
      <c r="AR198" s="15">
        <v>6</v>
      </c>
      <c r="AS198" s="15">
        <v>4</v>
      </c>
      <c r="AT198" s="15"/>
      <c r="AU198" s="15"/>
      <c r="AV198" s="15" t="s">
        <v>328</v>
      </c>
      <c r="AW198" s="15"/>
      <c r="AX198" s="15">
        <v>2</v>
      </c>
      <c r="AY198" s="15">
        <v>3</v>
      </c>
      <c r="AZ198" s="15">
        <v>1</v>
      </c>
      <c r="BA198" s="15"/>
      <c r="BB198" s="15" t="s">
        <v>328</v>
      </c>
      <c r="BC198" s="15"/>
      <c r="BD198" s="15" t="s">
        <v>328</v>
      </c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 t="s">
        <v>328</v>
      </c>
      <c r="BP198" s="15"/>
      <c r="BQ198" s="15" t="s">
        <v>328</v>
      </c>
      <c r="BR198" s="15" t="s">
        <v>328</v>
      </c>
      <c r="BS198" s="15"/>
      <c r="BT198" s="15" t="s">
        <v>328</v>
      </c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 t="s">
        <v>332</v>
      </c>
      <c r="CI198" s="15" t="s">
        <v>328</v>
      </c>
      <c r="CJ198" s="15"/>
      <c r="CK198" s="15" t="s">
        <v>328</v>
      </c>
      <c r="CL198" s="15"/>
      <c r="CM198" s="15"/>
      <c r="CN198" s="15">
        <v>3</v>
      </c>
      <c r="CO198" s="15">
        <v>1</v>
      </c>
      <c r="CP198" s="15">
        <v>4</v>
      </c>
      <c r="CQ198" s="15">
        <v>5</v>
      </c>
      <c r="CR198" s="15">
        <v>6</v>
      </c>
      <c r="CS198" s="15">
        <v>2</v>
      </c>
      <c r="CT198" s="15" t="s">
        <v>328</v>
      </c>
      <c r="CU198" s="15" t="s">
        <v>328</v>
      </c>
      <c r="CV198" s="15"/>
      <c r="CW198" s="15"/>
      <c r="CX198" s="15" t="s">
        <v>328</v>
      </c>
      <c r="CY198" s="15"/>
      <c r="CZ198" s="15"/>
      <c r="DA198" s="15"/>
      <c r="DB198" s="15"/>
      <c r="DC198" s="15">
        <v>4</v>
      </c>
      <c r="DD198" s="15">
        <v>2</v>
      </c>
      <c r="DE198" s="15">
        <v>3</v>
      </c>
      <c r="DF198" s="15">
        <v>1</v>
      </c>
      <c r="DG198" s="15">
        <v>5</v>
      </c>
      <c r="DH198" s="15">
        <v>6</v>
      </c>
      <c r="DI198" s="15"/>
      <c r="DJ198" s="15" t="s">
        <v>328</v>
      </c>
      <c r="DK198" s="15"/>
      <c r="DL198" s="15"/>
      <c r="DM198" s="15"/>
      <c r="DN198" s="15"/>
      <c r="DO198" s="15"/>
      <c r="DP198" s="14" t="s">
        <v>333</v>
      </c>
      <c r="DQ198" s="15" t="s">
        <v>328</v>
      </c>
      <c r="DR198" s="15"/>
      <c r="DS198" s="15"/>
      <c r="DT198" s="15"/>
      <c r="DU198" s="15"/>
      <c r="DV198" s="15"/>
      <c r="DW198" s="15"/>
      <c r="DX198" s="15" t="s">
        <v>1144</v>
      </c>
      <c r="DY198" s="15" t="s">
        <v>328</v>
      </c>
      <c r="DZ198" s="15"/>
      <c r="EA198" s="15"/>
      <c r="EB198" s="15"/>
      <c r="EC198" s="15"/>
      <c r="ED198" s="15"/>
      <c r="EE198" s="102" t="s">
        <v>1144</v>
      </c>
      <c r="EF198" s="48"/>
      <c r="EG198" s="17">
        <f t="shared" si="2"/>
        <v>0</v>
      </c>
    </row>
    <row r="199" spans="1:137" x14ac:dyDescent="0.25">
      <c r="A199" s="50" t="s">
        <v>1404</v>
      </c>
      <c r="B199" s="211">
        <v>41568</v>
      </c>
      <c r="C199" s="212" t="s">
        <v>2765</v>
      </c>
      <c r="D199" s="61" t="s">
        <v>1032</v>
      </c>
      <c r="E199" s="15" t="s">
        <v>328</v>
      </c>
      <c r="F199" s="15"/>
      <c r="G199" s="15">
        <v>45</v>
      </c>
      <c r="H199" s="15" t="s">
        <v>329</v>
      </c>
      <c r="I199" s="15" t="s">
        <v>355</v>
      </c>
      <c r="J199" s="15" t="s">
        <v>743</v>
      </c>
      <c r="K199" s="15" t="s">
        <v>1218</v>
      </c>
      <c r="L199" s="15" t="s">
        <v>1283</v>
      </c>
      <c r="M199" s="15">
        <v>15</v>
      </c>
      <c r="N199" s="15">
        <v>1</v>
      </c>
      <c r="O199" s="15">
        <v>1</v>
      </c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 t="s">
        <v>418</v>
      </c>
      <c r="AL199" s="15"/>
      <c r="AM199" s="15" t="s">
        <v>328</v>
      </c>
      <c r="AN199" s="15"/>
      <c r="AO199" s="15"/>
      <c r="AP199" s="15" t="s">
        <v>328</v>
      </c>
      <c r="AQ199" s="15"/>
      <c r="AR199" s="15">
        <v>3</v>
      </c>
      <c r="AS199" s="15">
        <v>3</v>
      </c>
      <c r="AT199" s="15"/>
      <c r="AU199" s="15" t="s">
        <v>328</v>
      </c>
      <c r="AV199" s="15" t="s">
        <v>328</v>
      </c>
      <c r="AW199" s="15"/>
      <c r="AX199" s="15">
        <v>1</v>
      </c>
      <c r="AY199" s="15">
        <v>3</v>
      </c>
      <c r="AZ199" s="15">
        <v>2</v>
      </c>
      <c r="BA199" s="15"/>
      <c r="BB199" s="15"/>
      <c r="BC199" s="15" t="s">
        <v>328</v>
      </c>
      <c r="BD199" s="15" t="s">
        <v>328</v>
      </c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 t="s">
        <v>328</v>
      </c>
      <c r="BP199" s="15"/>
      <c r="BQ199" s="15" t="s">
        <v>328</v>
      </c>
      <c r="BR199" s="15" t="s">
        <v>328</v>
      </c>
      <c r="BS199" s="15"/>
      <c r="BT199" s="15"/>
      <c r="BU199" s="15"/>
      <c r="BV199" s="15" t="s">
        <v>328</v>
      </c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 t="s">
        <v>332</v>
      </c>
      <c r="CI199" s="15"/>
      <c r="CJ199" s="15"/>
      <c r="CK199" s="15" t="s">
        <v>328</v>
      </c>
      <c r="CL199" s="15"/>
      <c r="CM199" s="15" t="s">
        <v>328</v>
      </c>
      <c r="CN199" s="15">
        <v>3</v>
      </c>
      <c r="CO199" s="15">
        <v>4</v>
      </c>
      <c r="CP199" s="15">
        <v>2</v>
      </c>
      <c r="CQ199" s="15">
        <v>6</v>
      </c>
      <c r="CR199" s="15">
        <v>5</v>
      </c>
      <c r="CS199" s="15">
        <v>1</v>
      </c>
      <c r="CT199" s="15" t="s">
        <v>328</v>
      </c>
      <c r="CU199" s="15" t="s">
        <v>328</v>
      </c>
      <c r="CV199" s="15"/>
      <c r="CW199" s="15"/>
      <c r="CX199" s="15" t="s">
        <v>328</v>
      </c>
      <c r="CY199" s="15"/>
      <c r="CZ199" s="15"/>
      <c r="DA199" s="15" t="s">
        <v>328</v>
      </c>
      <c r="DB199" s="15" t="s">
        <v>404</v>
      </c>
      <c r="DC199" s="15"/>
      <c r="DD199" s="15"/>
      <c r="DE199" s="15"/>
      <c r="DF199" s="15"/>
      <c r="DG199" s="15"/>
      <c r="DH199" s="15"/>
      <c r="DI199" s="15"/>
      <c r="DJ199" s="15" t="s">
        <v>328</v>
      </c>
      <c r="DK199" s="15"/>
      <c r="DL199" s="15"/>
      <c r="DM199" s="15"/>
      <c r="DN199" s="15"/>
      <c r="DO199" s="15"/>
      <c r="DP199" s="15" t="s">
        <v>411</v>
      </c>
      <c r="DQ199" s="15" t="s">
        <v>328</v>
      </c>
      <c r="DR199" s="15"/>
      <c r="DS199" s="15"/>
      <c r="DT199" s="15"/>
      <c r="DU199" s="15"/>
      <c r="DV199" s="15"/>
      <c r="DW199" s="15"/>
      <c r="DX199" s="15" t="s">
        <v>497</v>
      </c>
      <c r="DY199" s="15" t="s">
        <v>328</v>
      </c>
      <c r="DZ199" s="15"/>
      <c r="EA199" s="15"/>
      <c r="EB199" s="15"/>
      <c r="EC199" s="15"/>
      <c r="ED199" s="15"/>
      <c r="EE199" s="102" t="s">
        <v>497</v>
      </c>
      <c r="EF199" s="48"/>
      <c r="EG199" s="17">
        <f t="shared" si="2"/>
        <v>0</v>
      </c>
    </row>
    <row r="200" spans="1:137" x14ac:dyDescent="0.25">
      <c r="A200" s="50" t="s">
        <v>1404</v>
      </c>
      <c r="B200" s="211">
        <v>41568</v>
      </c>
      <c r="C200" s="212" t="s">
        <v>2765</v>
      </c>
      <c r="D200" s="61" t="s">
        <v>1033</v>
      </c>
      <c r="E200" s="15" t="s">
        <v>328</v>
      </c>
      <c r="F200" s="15"/>
      <c r="G200" s="15">
        <v>45</v>
      </c>
      <c r="H200" s="15" t="s">
        <v>329</v>
      </c>
      <c r="I200" s="15" t="s">
        <v>355</v>
      </c>
      <c r="J200" s="15" t="s">
        <v>726</v>
      </c>
      <c r="K200" s="15" t="s">
        <v>1231</v>
      </c>
      <c r="L200" s="15" t="s">
        <v>1283</v>
      </c>
      <c r="M200" s="15">
        <v>29</v>
      </c>
      <c r="N200" s="15">
        <v>1</v>
      </c>
      <c r="O200" s="15">
        <v>1</v>
      </c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 t="s">
        <v>418</v>
      </c>
      <c r="AL200" s="15" t="s">
        <v>328</v>
      </c>
      <c r="AM200" s="15"/>
      <c r="AN200" s="15"/>
      <c r="AO200" s="15"/>
      <c r="AP200" s="15"/>
      <c r="AQ200" s="15" t="s">
        <v>328</v>
      </c>
      <c r="AR200" s="15">
        <v>5</v>
      </c>
      <c r="AS200" s="15">
        <v>3</v>
      </c>
      <c r="AT200" s="15"/>
      <c r="AU200" s="15"/>
      <c r="AV200" s="15"/>
      <c r="AW200" s="15" t="s">
        <v>328</v>
      </c>
      <c r="AX200" s="15">
        <v>1</v>
      </c>
      <c r="AY200" s="15">
        <v>3</v>
      </c>
      <c r="AZ200" s="15">
        <v>2</v>
      </c>
      <c r="BA200" s="15"/>
      <c r="BB200" s="15" t="s">
        <v>328</v>
      </c>
      <c r="BC200" s="15"/>
      <c r="BD200" s="15"/>
      <c r="BE200" s="15"/>
      <c r="BF200" s="15"/>
      <c r="BG200" s="15"/>
      <c r="BH200" s="15"/>
      <c r="BI200" s="15"/>
      <c r="BJ200" s="15"/>
      <c r="BK200" s="15" t="s">
        <v>328</v>
      </c>
      <c r="BL200" s="15"/>
      <c r="BM200" s="15"/>
      <c r="BN200" s="15"/>
      <c r="BO200" s="15" t="s">
        <v>328</v>
      </c>
      <c r="BP200" s="15" t="s">
        <v>328</v>
      </c>
      <c r="BQ200" s="15"/>
      <c r="BR200" s="15" t="s">
        <v>328</v>
      </c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 t="s">
        <v>332</v>
      </c>
      <c r="CI200" s="15" t="s">
        <v>328</v>
      </c>
      <c r="CJ200" s="15"/>
      <c r="CK200" s="15"/>
      <c r="CL200" s="15"/>
      <c r="CM200" s="15"/>
      <c r="CN200" s="15">
        <v>3</v>
      </c>
      <c r="CO200" s="15">
        <v>2</v>
      </c>
      <c r="CP200" s="15">
        <v>1</v>
      </c>
      <c r="CQ200" s="15">
        <v>5</v>
      </c>
      <c r="CR200" s="15">
        <v>6</v>
      </c>
      <c r="CS200" s="15">
        <v>4</v>
      </c>
      <c r="CT200" s="15"/>
      <c r="CU200" s="15"/>
      <c r="CV200" s="15"/>
      <c r="CW200" s="15"/>
      <c r="CX200" s="15"/>
      <c r="CY200" s="15"/>
      <c r="CZ200" s="15" t="s">
        <v>332</v>
      </c>
      <c r="DA200" s="15" t="s">
        <v>328</v>
      </c>
      <c r="DB200" s="15" t="s">
        <v>404</v>
      </c>
      <c r="DC200" s="15"/>
      <c r="DD200" s="15"/>
      <c r="DE200" s="15"/>
      <c r="DF200" s="15"/>
      <c r="DG200" s="15"/>
      <c r="DH200" s="15"/>
      <c r="DI200" s="15"/>
      <c r="DJ200" s="15" t="s">
        <v>328</v>
      </c>
      <c r="DK200" s="15"/>
      <c r="DL200" s="15"/>
      <c r="DM200" s="15"/>
      <c r="DN200" s="15"/>
      <c r="DO200" s="15"/>
      <c r="DP200" s="15" t="s">
        <v>411</v>
      </c>
      <c r="DQ200" s="15"/>
      <c r="DR200" s="15" t="s">
        <v>328</v>
      </c>
      <c r="DS200" s="15" t="s">
        <v>328</v>
      </c>
      <c r="DT200" s="15" t="s">
        <v>354</v>
      </c>
      <c r="DU200" s="15"/>
      <c r="DV200" s="15"/>
      <c r="DW200" s="15" t="s">
        <v>491</v>
      </c>
      <c r="DX200" s="15" t="s">
        <v>1034</v>
      </c>
      <c r="DY200" s="15" t="s">
        <v>328</v>
      </c>
      <c r="DZ200" s="15"/>
      <c r="EA200" s="15"/>
      <c r="EB200" s="15"/>
      <c r="EC200" s="15"/>
      <c r="ED200" s="15"/>
      <c r="EE200" s="102" t="s">
        <v>1146</v>
      </c>
      <c r="EF200" s="48"/>
      <c r="EG200" s="17">
        <f t="shared" ref="EG200:EG263" si="3">IF(AS200=0,IF(AR200&gt;0,"ERR",0),0)</f>
        <v>0</v>
      </c>
    </row>
    <row r="201" spans="1:137" x14ac:dyDescent="0.25">
      <c r="A201" s="50" t="s">
        <v>1404</v>
      </c>
      <c r="B201" s="211">
        <v>41568</v>
      </c>
      <c r="C201" s="212" t="s">
        <v>2765</v>
      </c>
      <c r="D201" s="61" t="s">
        <v>1035</v>
      </c>
      <c r="E201" s="15" t="s">
        <v>328</v>
      </c>
      <c r="F201" s="15"/>
      <c r="G201" s="15">
        <v>54</v>
      </c>
      <c r="H201" s="15" t="s">
        <v>329</v>
      </c>
      <c r="I201" s="15" t="s">
        <v>357</v>
      </c>
      <c r="J201" s="15" t="s">
        <v>1036</v>
      </c>
      <c r="K201" s="15" t="s">
        <v>1296</v>
      </c>
      <c r="L201" s="15" t="s">
        <v>1188</v>
      </c>
      <c r="M201" s="15">
        <v>30</v>
      </c>
      <c r="N201" s="15">
        <v>3</v>
      </c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>
        <v>3</v>
      </c>
      <c r="AA201" s="14"/>
      <c r="AB201" s="15" t="s">
        <v>328</v>
      </c>
      <c r="AC201" s="15"/>
      <c r="AD201" s="15"/>
      <c r="AE201" s="15"/>
      <c r="AF201" s="15"/>
      <c r="AG201" s="15"/>
      <c r="AH201" s="15"/>
      <c r="AI201" s="15"/>
      <c r="AJ201" s="15"/>
      <c r="AK201" s="15" t="s">
        <v>418</v>
      </c>
      <c r="AL201" s="15"/>
      <c r="AM201" s="15" t="s">
        <v>328</v>
      </c>
      <c r="AN201" s="15"/>
      <c r="AO201" s="15"/>
      <c r="AP201" s="15"/>
      <c r="AQ201" s="15" t="s">
        <v>328</v>
      </c>
      <c r="AR201" s="15">
        <v>5</v>
      </c>
      <c r="AS201" s="15">
        <v>5</v>
      </c>
      <c r="AT201" s="15"/>
      <c r="AU201" s="15" t="s">
        <v>328</v>
      </c>
      <c r="AV201" s="15" t="s">
        <v>328</v>
      </c>
      <c r="AW201" s="15"/>
      <c r="AX201" s="15">
        <v>1</v>
      </c>
      <c r="AY201" s="15">
        <v>3</v>
      </c>
      <c r="AZ201" s="15">
        <v>2</v>
      </c>
      <c r="BA201" s="15"/>
      <c r="BB201" s="15" t="s">
        <v>328</v>
      </c>
      <c r="BC201" s="15"/>
      <c r="BD201" s="15" t="s">
        <v>328</v>
      </c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 t="s">
        <v>328</v>
      </c>
      <c r="BP201" s="15"/>
      <c r="BQ201" s="15" t="s">
        <v>328</v>
      </c>
      <c r="BR201" s="15" t="s">
        <v>328</v>
      </c>
      <c r="BS201" s="15"/>
      <c r="BT201" s="15" t="s">
        <v>328</v>
      </c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 t="s">
        <v>332</v>
      </c>
      <c r="CI201" s="15"/>
      <c r="CJ201" s="15"/>
      <c r="CK201" s="15" t="s">
        <v>328</v>
      </c>
      <c r="CL201" s="15"/>
      <c r="CM201" s="15"/>
      <c r="CN201" s="15">
        <v>2</v>
      </c>
      <c r="CO201" s="15">
        <v>5</v>
      </c>
      <c r="CP201" s="15">
        <v>3</v>
      </c>
      <c r="CQ201" s="15">
        <v>6</v>
      </c>
      <c r="CR201" s="15">
        <v>4</v>
      </c>
      <c r="CS201" s="15">
        <v>1</v>
      </c>
      <c r="CT201" s="15" t="s">
        <v>328</v>
      </c>
      <c r="CU201" s="15"/>
      <c r="CV201" s="15"/>
      <c r="CW201" s="15"/>
      <c r="CX201" s="15" t="s">
        <v>328</v>
      </c>
      <c r="CY201" s="15"/>
      <c r="CZ201" s="15"/>
      <c r="DA201" s="15" t="s">
        <v>328</v>
      </c>
      <c r="DB201" s="15" t="s">
        <v>404</v>
      </c>
      <c r="DC201" s="15"/>
      <c r="DD201" s="15"/>
      <c r="DE201" s="15"/>
      <c r="DF201" s="15"/>
      <c r="DG201" s="15"/>
      <c r="DH201" s="15"/>
      <c r="DI201" s="15"/>
      <c r="DJ201" s="15" t="s">
        <v>328</v>
      </c>
      <c r="DK201" s="15"/>
      <c r="DL201" s="15"/>
      <c r="DM201" s="15"/>
      <c r="DN201" s="15"/>
      <c r="DO201" s="15"/>
      <c r="DP201" s="14" t="s">
        <v>1146</v>
      </c>
      <c r="DQ201" s="15" t="s">
        <v>328</v>
      </c>
      <c r="DR201" s="15"/>
      <c r="DS201" s="15"/>
      <c r="DT201" s="15"/>
      <c r="DU201" s="15"/>
      <c r="DV201" s="15"/>
      <c r="DW201" s="15"/>
      <c r="DX201" s="15" t="s">
        <v>1152</v>
      </c>
      <c r="DY201" s="15" t="s">
        <v>328</v>
      </c>
      <c r="DZ201" s="15"/>
      <c r="EA201" s="15"/>
      <c r="EB201" s="15"/>
      <c r="EC201" s="15"/>
      <c r="ED201" s="15"/>
      <c r="EE201" s="102" t="s">
        <v>1152</v>
      </c>
      <c r="EF201" s="48"/>
      <c r="EG201" s="17">
        <f t="shared" si="3"/>
        <v>0</v>
      </c>
    </row>
    <row r="202" spans="1:137" x14ac:dyDescent="0.25">
      <c r="A202" s="50" t="s">
        <v>1404</v>
      </c>
      <c r="B202" s="211">
        <v>41569</v>
      </c>
      <c r="C202" s="212" t="s">
        <v>2765</v>
      </c>
      <c r="D202" s="61" t="s">
        <v>1037</v>
      </c>
      <c r="E202" s="15" t="s">
        <v>328</v>
      </c>
      <c r="F202" s="15"/>
      <c r="G202" s="15">
        <v>46</v>
      </c>
      <c r="H202" s="15" t="s">
        <v>329</v>
      </c>
      <c r="I202" s="15" t="s">
        <v>357</v>
      </c>
      <c r="J202" s="15" t="s">
        <v>734</v>
      </c>
      <c r="K202" s="15" t="s">
        <v>1229</v>
      </c>
      <c r="L202" s="15" t="s">
        <v>1283</v>
      </c>
      <c r="M202" s="15">
        <v>10</v>
      </c>
      <c r="N202" s="15">
        <v>2</v>
      </c>
      <c r="O202" s="15">
        <v>2</v>
      </c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 t="s">
        <v>418</v>
      </c>
      <c r="AL202" s="15"/>
      <c r="AM202" s="15" t="s">
        <v>328</v>
      </c>
      <c r="AN202" s="15"/>
      <c r="AO202" s="15"/>
      <c r="AP202" s="15"/>
      <c r="AQ202" s="15" t="s">
        <v>328</v>
      </c>
      <c r="AR202" s="15">
        <v>8</v>
      </c>
      <c r="AS202" s="15">
        <v>7</v>
      </c>
      <c r="AT202" s="15"/>
      <c r="AU202" s="15" t="s">
        <v>328</v>
      </c>
      <c r="AV202" s="15" t="s">
        <v>328</v>
      </c>
      <c r="AW202" s="15"/>
      <c r="AX202" s="15">
        <v>1</v>
      </c>
      <c r="AY202" s="15">
        <v>3</v>
      </c>
      <c r="AZ202" s="15">
        <v>2</v>
      </c>
      <c r="BA202" s="15"/>
      <c r="BB202" s="15" t="s">
        <v>328</v>
      </c>
      <c r="BC202" s="15"/>
      <c r="BD202" s="15" t="s">
        <v>328</v>
      </c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 t="s">
        <v>328</v>
      </c>
      <c r="BP202" s="15"/>
      <c r="BQ202" s="15" t="s">
        <v>328</v>
      </c>
      <c r="BR202" s="15" t="s">
        <v>328</v>
      </c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 t="s">
        <v>332</v>
      </c>
      <c r="CI202" s="15"/>
      <c r="CJ202" s="15"/>
      <c r="CK202" s="15" t="s">
        <v>328</v>
      </c>
      <c r="CL202" s="15"/>
      <c r="CM202" s="15" t="s">
        <v>328</v>
      </c>
      <c r="CN202" s="15">
        <v>2</v>
      </c>
      <c r="CO202" s="15">
        <v>4</v>
      </c>
      <c r="CP202" s="15">
        <v>6</v>
      </c>
      <c r="CQ202" s="15">
        <v>3</v>
      </c>
      <c r="CR202" s="15">
        <v>5</v>
      </c>
      <c r="CS202" s="15">
        <v>1</v>
      </c>
      <c r="CT202" s="15" t="s">
        <v>328</v>
      </c>
      <c r="CU202" s="15" t="s">
        <v>328</v>
      </c>
      <c r="CV202" s="15" t="s">
        <v>328</v>
      </c>
      <c r="CW202" s="15"/>
      <c r="CX202" s="15" t="s">
        <v>328</v>
      </c>
      <c r="CY202" s="15" t="s">
        <v>328</v>
      </c>
      <c r="CZ202" s="15"/>
      <c r="DA202" s="15" t="s">
        <v>328</v>
      </c>
      <c r="DB202" s="14" t="s">
        <v>404</v>
      </c>
      <c r="DC202" s="15"/>
      <c r="DD202" s="15"/>
      <c r="DE202" s="15"/>
      <c r="DF202" s="15"/>
      <c r="DG202" s="15"/>
      <c r="DH202" s="15"/>
      <c r="DI202" s="15"/>
      <c r="DJ202" s="15" t="s">
        <v>328</v>
      </c>
      <c r="DK202" s="15"/>
      <c r="DL202" s="15"/>
      <c r="DM202" s="15"/>
      <c r="DN202" s="15"/>
      <c r="DO202" s="15"/>
      <c r="DP202" s="14" t="s">
        <v>396</v>
      </c>
      <c r="DQ202" s="15" t="s">
        <v>328</v>
      </c>
      <c r="DR202" s="15"/>
      <c r="DS202" s="15"/>
      <c r="DT202" s="15"/>
      <c r="DU202" s="15"/>
      <c r="DV202" s="15"/>
      <c r="DW202" s="15"/>
      <c r="DX202" s="15" t="s">
        <v>438</v>
      </c>
      <c r="DY202" s="15" t="s">
        <v>328</v>
      </c>
      <c r="DZ202" s="15"/>
      <c r="EA202" s="15"/>
      <c r="EB202" s="15"/>
      <c r="EC202" s="15"/>
      <c r="ED202" s="15"/>
      <c r="EE202" s="102" t="s">
        <v>438</v>
      </c>
      <c r="EF202" s="48"/>
      <c r="EG202" s="17">
        <f t="shared" si="3"/>
        <v>0</v>
      </c>
    </row>
    <row r="203" spans="1:137" x14ac:dyDescent="0.25">
      <c r="A203" s="50" t="s">
        <v>1404</v>
      </c>
      <c r="B203" s="211">
        <v>41569</v>
      </c>
      <c r="C203" s="212" t="s">
        <v>2765</v>
      </c>
      <c r="D203" s="61" t="s">
        <v>1038</v>
      </c>
      <c r="E203" s="15" t="s">
        <v>328</v>
      </c>
      <c r="F203" s="15"/>
      <c r="G203" s="15">
        <v>40</v>
      </c>
      <c r="H203" s="15" t="s">
        <v>329</v>
      </c>
      <c r="I203" s="15" t="s">
        <v>330</v>
      </c>
      <c r="J203" s="15" t="s">
        <v>1178</v>
      </c>
      <c r="K203" s="15" t="s">
        <v>1295</v>
      </c>
      <c r="L203" s="15" t="s">
        <v>1283</v>
      </c>
      <c r="M203" s="15">
        <v>8</v>
      </c>
      <c r="N203" s="15">
        <v>1</v>
      </c>
      <c r="O203" s="15">
        <v>1</v>
      </c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 t="s">
        <v>418</v>
      </c>
      <c r="AL203" s="15"/>
      <c r="AM203" s="15" t="s">
        <v>328</v>
      </c>
      <c r="AN203" s="15"/>
      <c r="AO203" s="15" t="s">
        <v>328</v>
      </c>
      <c r="AP203" s="15"/>
      <c r="AQ203" s="15"/>
      <c r="AR203" s="15">
        <v>10</v>
      </c>
      <c r="AS203" s="15">
        <v>1</v>
      </c>
      <c r="AT203" s="15"/>
      <c r="AU203" s="15"/>
      <c r="AV203" s="15" t="s">
        <v>328</v>
      </c>
      <c r="AW203" s="15"/>
      <c r="AX203" s="15">
        <v>2</v>
      </c>
      <c r="AY203" s="15">
        <v>3</v>
      </c>
      <c r="AZ203" s="15">
        <v>1</v>
      </c>
      <c r="BA203" s="15"/>
      <c r="BB203" s="15" t="s">
        <v>328</v>
      </c>
      <c r="BC203" s="15"/>
      <c r="BD203" s="15" t="s">
        <v>328</v>
      </c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 t="s">
        <v>328</v>
      </c>
      <c r="BP203" s="15"/>
      <c r="BQ203" s="15" t="s">
        <v>328</v>
      </c>
      <c r="BR203" s="15" t="s">
        <v>328</v>
      </c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 t="s">
        <v>332</v>
      </c>
      <c r="CI203" s="15"/>
      <c r="CJ203" s="15"/>
      <c r="CK203" s="15"/>
      <c r="CL203" s="15" t="s">
        <v>328</v>
      </c>
      <c r="CM203" s="15"/>
      <c r="CN203" s="15">
        <v>4</v>
      </c>
      <c r="CO203" s="15">
        <v>2</v>
      </c>
      <c r="CP203" s="15">
        <v>1</v>
      </c>
      <c r="CQ203" s="15">
        <v>5</v>
      </c>
      <c r="CR203" s="15">
        <v>6</v>
      </c>
      <c r="CS203" s="15">
        <v>3</v>
      </c>
      <c r="CT203" s="15"/>
      <c r="CU203" s="15"/>
      <c r="CV203" s="15"/>
      <c r="CW203" s="15"/>
      <c r="CX203" s="15"/>
      <c r="CY203" s="15"/>
      <c r="CZ203" s="15" t="s">
        <v>332</v>
      </c>
      <c r="DA203" s="15" t="s">
        <v>328</v>
      </c>
      <c r="DB203" s="15" t="s">
        <v>404</v>
      </c>
      <c r="DC203" s="15"/>
      <c r="DD203" s="15"/>
      <c r="DE203" s="15"/>
      <c r="DF203" s="15"/>
      <c r="DG203" s="15"/>
      <c r="DH203" s="15"/>
      <c r="DI203" s="15"/>
      <c r="DJ203" s="15" t="s">
        <v>328</v>
      </c>
      <c r="DK203" s="15"/>
      <c r="DL203" s="15"/>
      <c r="DM203" s="15"/>
      <c r="DN203" s="15"/>
      <c r="DO203" s="15"/>
      <c r="DP203" s="14" t="s">
        <v>333</v>
      </c>
      <c r="DQ203" s="15" t="s">
        <v>328</v>
      </c>
      <c r="DR203" s="15"/>
      <c r="DS203" s="15"/>
      <c r="DT203" s="15"/>
      <c r="DU203" s="15"/>
      <c r="DV203" s="15"/>
      <c r="DW203" s="15"/>
      <c r="DX203" s="15" t="s">
        <v>1144</v>
      </c>
      <c r="DY203" s="15" t="s">
        <v>328</v>
      </c>
      <c r="DZ203" s="15"/>
      <c r="EA203" s="15"/>
      <c r="EB203" s="15"/>
      <c r="EC203" s="15"/>
      <c r="ED203" s="15"/>
      <c r="EE203" s="102" t="s">
        <v>1144</v>
      </c>
      <c r="EF203" s="48"/>
      <c r="EG203" s="17">
        <f t="shared" si="3"/>
        <v>0</v>
      </c>
    </row>
    <row r="204" spans="1:137" x14ac:dyDescent="0.25">
      <c r="A204" s="50" t="s">
        <v>1404</v>
      </c>
      <c r="B204" s="211">
        <v>41569</v>
      </c>
      <c r="C204" s="212" t="s">
        <v>2765</v>
      </c>
      <c r="D204" s="61" t="s">
        <v>1039</v>
      </c>
      <c r="E204" s="15" t="s">
        <v>328</v>
      </c>
      <c r="F204" s="15"/>
      <c r="G204" s="15">
        <v>51</v>
      </c>
      <c r="H204" s="15" t="s">
        <v>329</v>
      </c>
      <c r="I204" s="15" t="s">
        <v>357</v>
      </c>
      <c r="J204" s="15" t="s">
        <v>1040</v>
      </c>
      <c r="K204" s="15" t="s">
        <v>1254</v>
      </c>
      <c r="L204" s="15" t="s">
        <v>1280</v>
      </c>
      <c r="M204" s="15">
        <v>20</v>
      </c>
      <c r="N204" s="15">
        <v>2</v>
      </c>
      <c r="O204" s="15">
        <v>10</v>
      </c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 t="s">
        <v>418</v>
      </c>
      <c r="AL204" s="15"/>
      <c r="AM204" s="15" t="s">
        <v>328</v>
      </c>
      <c r="AN204" s="15"/>
      <c r="AO204" s="15"/>
      <c r="AP204" s="15" t="s">
        <v>328</v>
      </c>
      <c r="AQ204" s="15"/>
      <c r="AR204" s="15">
        <v>8</v>
      </c>
      <c r="AS204" s="15">
        <v>3</v>
      </c>
      <c r="AT204" s="15"/>
      <c r="AU204" s="15" t="s">
        <v>328</v>
      </c>
      <c r="AV204" s="15" t="s">
        <v>328</v>
      </c>
      <c r="AW204" s="15"/>
      <c r="AX204" s="15">
        <v>2</v>
      </c>
      <c r="AY204" s="15">
        <v>1</v>
      </c>
      <c r="AZ204" s="15">
        <v>3</v>
      </c>
      <c r="BA204" s="15"/>
      <c r="BB204" s="15" t="s">
        <v>328</v>
      </c>
      <c r="BC204" s="15"/>
      <c r="BD204" s="15"/>
      <c r="BE204" s="15"/>
      <c r="BF204" s="15"/>
      <c r="BG204" s="15"/>
      <c r="BH204" s="15"/>
      <c r="BI204" s="15"/>
      <c r="BJ204" s="15"/>
      <c r="BK204" s="15" t="s">
        <v>328</v>
      </c>
      <c r="BL204" s="15"/>
      <c r="BM204" s="15"/>
      <c r="BN204" s="15" t="s">
        <v>328</v>
      </c>
      <c r="BO204" s="15"/>
      <c r="BP204" s="15" t="s">
        <v>328</v>
      </c>
      <c r="BQ204" s="15"/>
      <c r="BR204" s="15" t="s">
        <v>328</v>
      </c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 t="s">
        <v>328</v>
      </c>
      <c r="CE204" s="15"/>
      <c r="CF204" s="15"/>
      <c r="CG204" s="15" t="s">
        <v>328</v>
      </c>
      <c r="CH204" s="15"/>
      <c r="CI204" s="15" t="s">
        <v>328</v>
      </c>
      <c r="CJ204" s="15"/>
      <c r="CK204" s="15"/>
      <c r="CL204" s="15"/>
      <c r="CM204" s="15" t="s">
        <v>328</v>
      </c>
      <c r="CN204" s="15">
        <v>3</v>
      </c>
      <c r="CO204" s="15">
        <v>1</v>
      </c>
      <c r="CP204" s="15">
        <v>4</v>
      </c>
      <c r="CQ204" s="15">
        <v>5</v>
      </c>
      <c r="CR204" s="15">
        <v>6</v>
      </c>
      <c r="CS204" s="15">
        <v>2</v>
      </c>
      <c r="CT204" s="15" t="s">
        <v>328</v>
      </c>
      <c r="CU204" s="15" t="s">
        <v>328</v>
      </c>
      <c r="CV204" s="15"/>
      <c r="CW204" s="15"/>
      <c r="CX204" s="15" t="s">
        <v>328</v>
      </c>
      <c r="CY204" s="15"/>
      <c r="CZ204" s="15"/>
      <c r="DA204" s="15" t="s">
        <v>328</v>
      </c>
      <c r="DB204" s="15" t="s">
        <v>404</v>
      </c>
      <c r="DC204" s="15"/>
      <c r="DD204" s="15"/>
      <c r="DE204" s="15"/>
      <c r="DF204" s="15"/>
      <c r="DG204" s="15"/>
      <c r="DH204" s="15"/>
      <c r="DI204" s="15"/>
      <c r="DJ204" s="15" t="s">
        <v>328</v>
      </c>
      <c r="DK204" s="15"/>
      <c r="DL204" s="15"/>
      <c r="DM204" s="15"/>
      <c r="DN204" s="15"/>
      <c r="DO204" s="15"/>
      <c r="DP204" s="15" t="s">
        <v>411</v>
      </c>
      <c r="DQ204" s="15" t="s">
        <v>328</v>
      </c>
      <c r="DR204" s="15"/>
      <c r="DS204" s="15"/>
      <c r="DT204" s="15"/>
      <c r="DU204" s="15"/>
      <c r="DV204" s="15"/>
      <c r="DW204" s="15"/>
      <c r="DX204" s="15" t="s">
        <v>497</v>
      </c>
      <c r="DY204" s="15" t="s">
        <v>328</v>
      </c>
      <c r="DZ204" s="15"/>
      <c r="EA204" s="15"/>
      <c r="EB204" s="15"/>
      <c r="EC204" s="15"/>
      <c r="ED204" s="15"/>
      <c r="EE204" s="102" t="s">
        <v>497</v>
      </c>
      <c r="EF204" s="48"/>
      <c r="EG204" s="17">
        <f t="shared" si="3"/>
        <v>0</v>
      </c>
    </row>
    <row r="205" spans="1:137" x14ac:dyDescent="0.25">
      <c r="A205" s="50" t="s">
        <v>1404</v>
      </c>
      <c r="B205" s="211">
        <v>41570</v>
      </c>
      <c r="C205" s="212" t="s">
        <v>2765</v>
      </c>
      <c r="D205" s="61" t="s">
        <v>1041</v>
      </c>
      <c r="E205" s="15" t="s">
        <v>328</v>
      </c>
      <c r="F205" s="15"/>
      <c r="G205" s="15">
        <v>61</v>
      </c>
      <c r="H205" s="15" t="s">
        <v>329</v>
      </c>
      <c r="I205" s="15" t="s">
        <v>399</v>
      </c>
      <c r="J205" s="15" t="s">
        <v>1042</v>
      </c>
      <c r="K205" s="15" t="s">
        <v>1190</v>
      </c>
      <c r="L205" s="15" t="s">
        <v>1280</v>
      </c>
      <c r="M205" s="15">
        <v>30</v>
      </c>
      <c r="N205" s="15">
        <v>3</v>
      </c>
      <c r="O205" s="15">
        <v>5</v>
      </c>
      <c r="P205" s="15">
        <v>5</v>
      </c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 t="s">
        <v>328</v>
      </c>
      <c r="AC205" s="15"/>
      <c r="AD205" s="15"/>
      <c r="AE205" s="15"/>
      <c r="AF205" s="15"/>
      <c r="AG205" s="15"/>
      <c r="AH205" s="15"/>
      <c r="AI205" s="15" t="s">
        <v>328</v>
      </c>
      <c r="AJ205" s="15"/>
      <c r="AK205" s="15"/>
      <c r="AL205" s="15" t="s">
        <v>328</v>
      </c>
      <c r="AM205" s="15"/>
      <c r="AN205" s="15" t="s">
        <v>328</v>
      </c>
      <c r="AO205" s="15"/>
      <c r="AP205" s="15"/>
      <c r="AQ205" s="15"/>
      <c r="AR205" s="15">
        <v>10</v>
      </c>
      <c r="AS205" s="15">
        <v>6</v>
      </c>
      <c r="AT205" s="15"/>
      <c r="AU205" s="15" t="s">
        <v>328</v>
      </c>
      <c r="AV205" s="15" t="s">
        <v>328</v>
      </c>
      <c r="AW205" s="15"/>
      <c r="AX205" s="15">
        <v>1</v>
      </c>
      <c r="AY205" s="15">
        <v>3</v>
      </c>
      <c r="AZ205" s="15">
        <v>2</v>
      </c>
      <c r="BA205" s="15"/>
      <c r="BB205" s="15"/>
      <c r="BC205" s="15" t="s">
        <v>328</v>
      </c>
      <c r="BD205" s="15"/>
      <c r="BE205" s="15" t="s">
        <v>328</v>
      </c>
      <c r="BF205" s="15"/>
      <c r="BG205" s="15"/>
      <c r="BH205" s="15"/>
      <c r="BI205" s="15"/>
      <c r="BJ205" s="15"/>
      <c r="BK205" s="15"/>
      <c r="BL205" s="15"/>
      <c r="BM205" s="15"/>
      <c r="BN205" s="15" t="s">
        <v>328</v>
      </c>
      <c r="BO205" s="15"/>
      <c r="BP205" s="15" t="s">
        <v>328</v>
      </c>
      <c r="BQ205" s="15"/>
      <c r="BR205" s="15" t="s">
        <v>328</v>
      </c>
      <c r="BS205" s="15"/>
      <c r="BT205" s="15"/>
      <c r="BU205" s="15"/>
      <c r="BV205" s="15" t="s">
        <v>328</v>
      </c>
      <c r="BW205" s="15"/>
      <c r="BX205" s="15"/>
      <c r="BY205" s="15"/>
      <c r="BZ205" s="15"/>
      <c r="CA205" s="15"/>
      <c r="CB205" s="15"/>
      <c r="CC205" s="15" t="s">
        <v>328</v>
      </c>
      <c r="CD205" s="15"/>
      <c r="CE205" s="15" t="s">
        <v>328</v>
      </c>
      <c r="CF205" s="15"/>
      <c r="CG205" s="15"/>
      <c r="CH205" s="15"/>
      <c r="CI205" s="15" t="s">
        <v>328</v>
      </c>
      <c r="CJ205" s="15"/>
      <c r="CK205" s="15"/>
      <c r="CL205" s="15"/>
      <c r="CM205" s="15" t="s">
        <v>328</v>
      </c>
      <c r="CN205" s="15">
        <v>2</v>
      </c>
      <c r="CO205" s="15">
        <v>4</v>
      </c>
      <c r="CP205" s="15">
        <v>3</v>
      </c>
      <c r="CQ205" s="15">
        <v>5</v>
      </c>
      <c r="CR205" s="15">
        <v>6</v>
      </c>
      <c r="CS205" s="15">
        <v>1</v>
      </c>
      <c r="CT205" s="15" t="s">
        <v>328</v>
      </c>
      <c r="CU205" s="15" t="s">
        <v>328</v>
      </c>
      <c r="CV205" s="15"/>
      <c r="CW205" s="15"/>
      <c r="CX205" s="15" t="s">
        <v>328</v>
      </c>
      <c r="CY205" s="15"/>
      <c r="CZ205" s="15"/>
      <c r="DA205" s="15"/>
      <c r="DB205" s="15"/>
      <c r="DC205" s="15">
        <v>1</v>
      </c>
      <c r="DD205" s="15">
        <v>3</v>
      </c>
      <c r="DE205" s="15">
        <v>5</v>
      </c>
      <c r="DF205" s="15">
        <v>2</v>
      </c>
      <c r="DG205" s="15">
        <v>4</v>
      </c>
      <c r="DH205" s="15">
        <v>6</v>
      </c>
      <c r="DI205" s="15"/>
      <c r="DJ205" s="15"/>
      <c r="DK205" s="15" t="s">
        <v>328</v>
      </c>
      <c r="DL205" s="15" t="s">
        <v>328</v>
      </c>
      <c r="DM205" s="15" t="s">
        <v>405</v>
      </c>
      <c r="DN205" s="15"/>
      <c r="DO205" s="14" t="s">
        <v>432</v>
      </c>
      <c r="DP205" s="15" t="s">
        <v>411</v>
      </c>
      <c r="DQ205" s="15" t="s">
        <v>328</v>
      </c>
      <c r="DR205" s="15"/>
      <c r="DS205" s="15"/>
      <c r="DT205" s="15"/>
      <c r="DU205" s="15"/>
      <c r="DV205" s="15"/>
      <c r="DW205" s="15"/>
      <c r="DX205" s="15" t="s">
        <v>497</v>
      </c>
      <c r="DY205" s="15" t="s">
        <v>328</v>
      </c>
      <c r="DZ205" s="15"/>
      <c r="EA205" s="15"/>
      <c r="EB205" s="15"/>
      <c r="EC205" s="15"/>
      <c r="ED205" s="15"/>
      <c r="EE205" s="102" t="s">
        <v>497</v>
      </c>
      <c r="EF205" s="48"/>
      <c r="EG205" s="17">
        <f t="shared" si="3"/>
        <v>0</v>
      </c>
    </row>
    <row r="206" spans="1:137" x14ac:dyDescent="0.25">
      <c r="A206" s="50" t="s">
        <v>1404</v>
      </c>
      <c r="B206" s="211">
        <v>41570</v>
      </c>
      <c r="C206" s="212" t="s">
        <v>2765</v>
      </c>
      <c r="D206" s="61" t="s">
        <v>1043</v>
      </c>
      <c r="E206" s="15" t="s">
        <v>328</v>
      </c>
      <c r="F206" s="15"/>
      <c r="G206" s="15">
        <v>63</v>
      </c>
      <c r="H206" s="15" t="s">
        <v>329</v>
      </c>
      <c r="I206" s="15" t="s">
        <v>353</v>
      </c>
      <c r="J206" s="15" t="s">
        <v>738</v>
      </c>
      <c r="K206" s="15" t="s">
        <v>1251</v>
      </c>
      <c r="L206" s="15" t="s">
        <v>1283</v>
      </c>
      <c r="M206" s="15">
        <v>40</v>
      </c>
      <c r="N206" s="15">
        <v>2</v>
      </c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>
        <v>2</v>
      </c>
      <c r="AA206" s="14"/>
      <c r="AB206" s="15" t="s">
        <v>328</v>
      </c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 t="s">
        <v>328</v>
      </c>
      <c r="AN206" s="15"/>
      <c r="AO206" s="15"/>
      <c r="AP206" s="15"/>
      <c r="AQ206" s="15" t="s">
        <v>328</v>
      </c>
      <c r="AR206" s="15">
        <v>10</v>
      </c>
      <c r="AS206" s="15">
        <v>4</v>
      </c>
      <c r="AT206" s="15"/>
      <c r="AU206" s="15" t="s">
        <v>328</v>
      </c>
      <c r="AV206" s="15" t="s">
        <v>328</v>
      </c>
      <c r="AW206" s="15"/>
      <c r="AX206" s="15">
        <v>1</v>
      </c>
      <c r="AY206" s="15">
        <v>3</v>
      </c>
      <c r="AZ206" s="15">
        <v>2</v>
      </c>
      <c r="BA206" s="15"/>
      <c r="BB206" s="15"/>
      <c r="BC206" s="15" t="s">
        <v>328</v>
      </c>
      <c r="BD206" s="15" t="s">
        <v>328</v>
      </c>
      <c r="BE206" s="15" t="s">
        <v>328</v>
      </c>
      <c r="BF206" s="15"/>
      <c r="BG206" s="15"/>
      <c r="BH206" s="15"/>
      <c r="BI206" s="15"/>
      <c r="BJ206" s="15"/>
      <c r="BK206" s="15"/>
      <c r="BL206" s="15"/>
      <c r="BM206" s="15"/>
      <c r="BN206" s="15" t="s">
        <v>328</v>
      </c>
      <c r="BO206" s="15"/>
      <c r="BP206" s="15" t="s">
        <v>328</v>
      </c>
      <c r="BQ206" s="15"/>
      <c r="BR206" s="15" t="s">
        <v>328</v>
      </c>
      <c r="BS206" s="15"/>
      <c r="BT206" s="15" t="s">
        <v>328</v>
      </c>
      <c r="BU206" s="15"/>
      <c r="BV206" s="15"/>
      <c r="BW206" s="15" t="s">
        <v>328</v>
      </c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 t="s">
        <v>332</v>
      </c>
      <c r="CI206" s="15" t="s">
        <v>328</v>
      </c>
      <c r="CJ206" s="15" t="s">
        <v>328</v>
      </c>
      <c r="CK206" s="15"/>
      <c r="CL206" s="15"/>
      <c r="CM206" s="15"/>
      <c r="CN206" s="15">
        <v>3</v>
      </c>
      <c r="CO206" s="15">
        <v>5</v>
      </c>
      <c r="CP206" s="15">
        <v>4</v>
      </c>
      <c r="CQ206" s="15">
        <v>6</v>
      </c>
      <c r="CR206" s="15">
        <v>2</v>
      </c>
      <c r="CS206" s="15">
        <v>1</v>
      </c>
      <c r="CT206" s="15" t="s">
        <v>328</v>
      </c>
      <c r="CU206" s="15"/>
      <c r="CV206" s="15"/>
      <c r="CW206" s="15"/>
      <c r="CX206" s="15" t="s">
        <v>328</v>
      </c>
      <c r="CY206" s="15"/>
      <c r="CZ206" s="15"/>
      <c r="DA206" s="15"/>
      <c r="DB206" s="15"/>
      <c r="DC206" s="15">
        <v>1</v>
      </c>
      <c r="DD206" s="15">
        <v>3</v>
      </c>
      <c r="DE206" s="15">
        <v>6</v>
      </c>
      <c r="DF206" s="15">
        <v>5</v>
      </c>
      <c r="DG206" s="15">
        <v>2</v>
      </c>
      <c r="DH206" s="15">
        <v>4</v>
      </c>
      <c r="DI206" s="15"/>
      <c r="DJ206" s="15" t="s">
        <v>328</v>
      </c>
      <c r="DK206" s="15"/>
      <c r="DL206" s="15"/>
      <c r="DM206" s="15"/>
      <c r="DN206" s="15"/>
      <c r="DO206" s="15"/>
      <c r="DP206" s="14" t="s">
        <v>333</v>
      </c>
      <c r="DQ206" s="15" t="s">
        <v>328</v>
      </c>
      <c r="DR206" s="15"/>
      <c r="DS206" s="15"/>
      <c r="DT206" s="15"/>
      <c r="DU206" s="15"/>
      <c r="DV206" s="15"/>
      <c r="DW206" s="15"/>
      <c r="DX206" s="15" t="s">
        <v>1155</v>
      </c>
      <c r="DY206" s="15" t="s">
        <v>328</v>
      </c>
      <c r="DZ206" s="15"/>
      <c r="EA206" s="15"/>
      <c r="EB206" s="15"/>
      <c r="EC206" s="15"/>
      <c r="ED206" s="15"/>
      <c r="EE206" s="102" t="s">
        <v>1155</v>
      </c>
      <c r="EF206" s="48"/>
      <c r="EG206" s="17">
        <f t="shared" si="3"/>
        <v>0</v>
      </c>
    </row>
    <row r="207" spans="1:137" x14ac:dyDescent="0.25">
      <c r="A207" s="51" t="s">
        <v>1856</v>
      </c>
      <c r="B207" s="211">
        <v>41554</v>
      </c>
      <c r="C207" s="212" t="s">
        <v>2752</v>
      </c>
      <c r="D207" s="61" t="s">
        <v>1044</v>
      </c>
      <c r="E207" s="15" t="s">
        <v>328</v>
      </c>
      <c r="F207" s="15"/>
      <c r="G207" s="15">
        <v>57</v>
      </c>
      <c r="H207" s="15" t="s">
        <v>329</v>
      </c>
      <c r="I207" s="15" t="s">
        <v>353</v>
      </c>
      <c r="J207" s="15" t="s">
        <v>1045</v>
      </c>
      <c r="K207" s="15" t="s">
        <v>1297</v>
      </c>
      <c r="L207" s="15" t="s">
        <v>1293</v>
      </c>
      <c r="M207" s="15">
        <v>35</v>
      </c>
      <c r="N207" s="15">
        <v>1</v>
      </c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>
        <v>1</v>
      </c>
      <c r="AA207" s="14"/>
      <c r="AB207" s="15" t="s">
        <v>328</v>
      </c>
      <c r="AC207" s="15"/>
      <c r="AD207" s="15"/>
      <c r="AE207" s="15"/>
      <c r="AF207" s="15"/>
      <c r="AG207" s="15" t="s">
        <v>328</v>
      </c>
      <c r="AH207" s="15"/>
      <c r="AI207" s="15"/>
      <c r="AJ207" s="15"/>
      <c r="AK207" s="15"/>
      <c r="AL207" s="15"/>
      <c r="AM207" s="15" t="s">
        <v>328</v>
      </c>
      <c r="AN207" s="15"/>
      <c r="AO207" s="15" t="s">
        <v>328</v>
      </c>
      <c r="AP207" s="15"/>
      <c r="AQ207" s="15"/>
      <c r="AR207" s="15">
        <v>0</v>
      </c>
      <c r="AS207" s="15">
        <v>0</v>
      </c>
      <c r="AT207" s="15"/>
      <c r="AU207" s="15" t="s">
        <v>328</v>
      </c>
      <c r="AV207" s="15"/>
      <c r="AW207" s="15"/>
      <c r="AX207" s="15">
        <v>3</v>
      </c>
      <c r="AY207" s="15">
        <v>2</v>
      </c>
      <c r="AZ207" s="15">
        <v>1</v>
      </c>
      <c r="BA207" s="15"/>
      <c r="BB207" s="15" t="s">
        <v>328</v>
      </c>
      <c r="BC207" s="15"/>
      <c r="BD207" s="15" t="s">
        <v>328</v>
      </c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 t="s">
        <v>328</v>
      </c>
      <c r="BP207" s="15"/>
      <c r="BQ207" s="15" t="s">
        <v>328</v>
      </c>
      <c r="BR207" s="15" t="s">
        <v>328</v>
      </c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 t="s">
        <v>328</v>
      </c>
      <c r="CF207" s="15" t="s">
        <v>328</v>
      </c>
      <c r="CG207" s="15"/>
      <c r="CH207" s="15"/>
      <c r="CI207" s="15"/>
      <c r="CJ207" s="15"/>
      <c r="CK207" s="15" t="s">
        <v>328</v>
      </c>
      <c r="CL207" s="15"/>
      <c r="CM207" s="15"/>
      <c r="CN207" s="15">
        <v>4</v>
      </c>
      <c r="CO207" s="15">
        <v>6</v>
      </c>
      <c r="CP207" s="15">
        <v>1</v>
      </c>
      <c r="CQ207" s="15">
        <v>2</v>
      </c>
      <c r="CR207" s="15">
        <v>3</v>
      </c>
      <c r="CS207" s="15">
        <v>5</v>
      </c>
      <c r="CT207" s="15"/>
      <c r="CU207" s="15"/>
      <c r="CV207" s="15"/>
      <c r="CW207" s="15"/>
      <c r="CX207" s="15"/>
      <c r="CY207" s="15"/>
      <c r="CZ207" s="15" t="s">
        <v>332</v>
      </c>
      <c r="DA207" s="15"/>
      <c r="DB207" s="15"/>
      <c r="DC207" s="15">
        <v>1</v>
      </c>
      <c r="DD207" s="15">
        <v>3</v>
      </c>
      <c r="DE207" s="15">
        <v>4</v>
      </c>
      <c r="DF207" s="15">
        <v>5</v>
      </c>
      <c r="DG207" s="15">
        <v>2</v>
      </c>
      <c r="DH207" s="15">
        <v>6</v>
      </c>
      <c r="DI207" s="15"/>
      <c r="DJ207" s="15" t="s">
        <v>328</v>
      </c>
      <c r="DK207" s="15"/>
      <c r="DL207" s="15"/>
      <c r="DM207" s="15"/>
      <c r="DN207" s="15"/>
      <c r="DO207" s="15"/>
      <c r="DP207" s="14" t="s">
        <v>1146</v>
      </c>
      <c r="DQ207" s="15" t="s">
        <v>328</v>
      </c>
      <c r="DR207" s="15"/>
      <c r="DS207" s="15"/>
      <c r="DT207" s="15"/>
      <c r="DU207" s="15"/>
      <c r="DV207" s="15"/>
      <c r="DW207" s="15"/>
      <c r="DX207" s="15" t="s">
        <v>1152</v>
      </c>
      <c r="DY207" s="15" t="s">
        <v>328</v>
      </c>
      <c r="DZ207" s="15"/>
      <c r="EA207" s="15"/>
      <c r="EB207" s="15"/>
      <c r="EC207" s="15"/>
      <c r="ED207" s="15"/>
      <c r="EE207" s="102" t="s">
        <v>1152</v>
      </c>
      <c r="EF207" s="48"/>
      <c r="EG207" s="17">
        <f t="shared" si="3"/>
        <v>0</v>
      </c>
    </row>
    <row r="208" spans="1:137" x14ac:dyDescent="0.25">
      <c r="A208" s="51" t="s">
        <v>1856</v>
      </c>
      <c r="B208" s="211">
        <v>41554</v>
      </c>
      <c r="C208" s="212" t="s">
        <v>2752</v>
      </c>
      <c r="D208" s="61" t="s">
        <v>1046</v>
      </c>
      <c r="E208" s="15" t="s">
        <v>328</v>
      </c>
      <c r="F208" s="15"/>
      <c r="G208" s="15">
        <v>35</v>
      </c>
      <c r="H208" s="15" t="s">
        <v>329</v>
      </c>
      <c r="I208" s="15" t="s">
        <v>330</v>
      </c>
      <c r="J208" s="15" t="s">
        <v>1047</v>
      </c>
      <c r="K208" s="15" t="s">
        <v>1298</v>
      </c>
      <c r="L208" s="15" t="s">
        <v>1289</v>
      </c>
      <c r="M208" s="15">
        <v>0</v>
      </c>
      <c r="N208" s="15">
        <v>1</v>
      </c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>
        <v>1</v>
      </c>
      <c r="AA208" s="14"/>
      <c r="AB208" s="15" t="s">
        <v>328</v>
      </c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 t="s">
        <v>328</v>
      </c>
      <c r="AN208" s="15"/>
      <c r="AO208" s="15" t="s">
        <v>328</v>
      </c>
      <c r="AP208" s="15"/>
      <c r="AQ208" s="15"/>
      <c r="AR208" s="15">
        <v>10</v>
      </c>
      <c r="AS208" s="15">
        <v>1</v>
      </c>
      <c r="AT208" s="15"/>
      <c r="AU208" s="15" t="s">
        <v>328</v>
      </c>
      <c r="AV208" s="15"/>
      <c r="AW208" s="15"/>
      <c r="AX208" s="15">
        <v>2</v>
      </c>
      <c r="AY208" s="15">
        <v>1</v>
      </c>
      <c r="AZ208" s="15">
        <v>3</v>
      </c>
      <c r="BA208" s="15"/>
      <c r="BB208" s="15" t="s">
        <v>328</v>
      </c>
      <c r="BC208" s="15"/>
      <c r="BD208" s="15" t="s">
        <v>328</v>
      </c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 t="s">
        <v>328</v>
      </c>
      <c r="BP208" s="15"/>
      <c r="BQ208" s="15" t="s">
        <v>328</v>
      </c>
      <c r="BR208" s="15"/>
      <c r="BS208" s="15"/>
      <c r="BT208" s="15"/>
      <c r="BU208" s="15"/>
      <c r="BV208" s="15"/>
      <c r="BW208" s="15" t="s">
        <v>328</v>
      </c>
      <c r="BX208" s="15"/>
      <c r="BY208" s="15"/>
      <c r="BZ208" s="15"/>
      <c r="CA208" s="15"/>
      <c r="CB208" s="15"/>
      <c r="CC208" s="15"/>
      <c r="CD208" s="15" t="s">
        <v>328</v>
      </c>
      <c r="CE208" s="15"/>
      <c r="CF208" s="15"/>
      <c r="CG208" s="15"/>
      <c r="CH208" s="15"/>
      <c r="CI208" s="15"/>
      <c r="CJ208" s="15"/>
      <c r="CK208" s="15"/>
      <c r="CL208" s="15" t="s">
        <v>328</v>
      </c>
      <c r="CM208" s="15"/>
      <c r="CN208" s="15">
        <v>6</v>
      </c>
      <c r="CO208" s="15">
        <v>1</v>
      </c>
      <c r="CP208" s="15">
        <v>2</v>
      </c>
      <c r="CQ208" s="15">
        <v>4</v>
      </c>
      <c r="CR208" s="15">
        <v>3</v>
      </c>
      <c r="CS208" s="15">
        <v>5</v>
      </c>
      <c r="CT208" s="15"/>
      <c r="CU208" s="15"/>
      <c r="CV208" s="15"/>
      <c r="CW208" s="15"/>
      <c r="CX208" s="15" t="s">
        <v>328</v>
      </c>
      <c r="CY208" s="15"/>
      <c r="CZ208" s="15"/>
      <c r="DA208" s="15"/>
      <c r="DB208" s="15"/>
      <c r="DC208" s="15">
        <v>1</v>
      </c>
      <c r="DD208" s="15">
        <v>2</v>
      </c>
      <c r="DE208" s="15">
        <v>3</v>
      </c>
      <c r="DF208" s="15">
        <v>4</v>
      </c>
      <c r="DG208" s="15">
        <v>5</v>
      </c>
      <c r="DH208" s="15">
        <v>6</v>
      </c>
      <c r="DI208" s="15"/>
      <c r="DJ208" s="15" t="s">
        <v>328</v>
      </c>
      <c r="DK208" s="15"/>
      <c r="DL208" s="15"/>
      <c r="DM208" s="15"/>
      <c r="DN208" s="15"/>
      <c r="DO208" s="15"/>
      <c r="DP208" s="15" t="s">
        <v>411</v>
      </c>
      <c r="DQ208" s="15" t="s">
        <v>328</v>
      </c>
      <c r="DR208" s="15"/>
      <c r="DS208" s="15"/>
      <c r="DT208" s="15"/>
      <c r="DU208" s="15"/>
      <c r="DV208" s="15"/>
      <c r="DW208" s="15"/>
      <c r="DX208" s="15" t="s">
        <v>411</v>
      </c>
      <c r="DY208" s="15" t="s">
        <v>328</v>
      </c>
      <c r="DZ208" s="15"/>
      <c r="EA208" s="15"/>
      <c r="EB208" s="15"/>
      <c r="EC208" s="15"/>
      <c r="ED208" s="15"/>
      <c r="EE208" s="102" t="s">
        <v>411</v>
      </c>
      <c r="EF208" s="48"/>
      <c r="EG208" s="17">
        <f t="shared" si="3"/>
        <v>0</v>
      </c>
    </row>
    <row r="209" spans="1:137" x14ac:dyDescent="0.25">
      <c r="A209" s="51" t="s">
        <v>1856</v>
      </c>
      <c r="B209" s="211">
        <v>41554</v>
      </c>
      <c r="C209" s="212" t="s">
        <v>2752</v>
      </c>
      <c r="D209" s="61" t="s">
        <v>1048</v>
      </c>
      <c r="E209" s="15" t="s">
        <v>328</v>
      </c>
      <c r="F209" s="15"/>
      <c r="G209" s="15">
        <v>40</v>
      </c>
      <c r="H209" s="15" t="s">
        <v>329</v>
      </c>
      <c r="I209" s="15" t="s">
        <v>330</v>
      </c>
      <c r="J209" s="15" t="s">
        <v>1049</v>
      </c>
      <c r="K209" s="15" t="s">
        <v>1299</v>
      </c>
      <c r="L209" s="15" t="s">
        <v>1293</v>
      </c>
      <c r="M209" s="15">
        <v>15</v>
      </c>
      <c r="N209" s="15">
        <v>2</v>
      </c>
      <c r="O209" s="15">
        <v>2</v>
      </c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 t="s">
        <v>328</v>
      </c>
      <c r="AD209" s="15"/>
      <c r="AE209" s="15"/>
      <c r="AF209" s="15"/>
      <c r="AG209" s="15"/>
      <c r="AH209" s="15"/>
      <c r="AI209" s="15"/>
      <c r="AJ209" s="15"/>
      <c r="AK209" s="15"/>
      <c r="AL209" s="15" t="s">
        <v>328</v>
      </c>
      <c r="AM209" s="15"/>
      <c r="AN209" s="15"/>
      <c r="AO209" s="15"/>
      <c r="AP209" s="15" t="s">
        <v>328</v>
      </c>
      <c r="AQ209" s="15"/>
      <c r="AR209" s="15">
        <v>10</v>
      </c>
      <c r="AS209" s="15">
        <v>1</v>
      </c>
      <c r="AT209" s="15"/>
      <c r="AU209" s="15"/>
      <c r="AV209" s="15"/>
      <c r="AW209" s="15" t="s">
        <v>328</v>
      </c>
      <c r="AX209" s="15">
        <v>3</v>
      </c>
      <c r="AY209" s="15">
        <v>1</v>
      </c>
      <c r="AZ209" s="15">
        <v>2</v>
      </c>
      <c r="BA209" s="15"/>
      <c r="BB209" s="15" t="s">
        <v>328</v>
      </c>
      <c r="BC209" s="15"/>
      <c r="BD209" s="15"/>
      <c r="BE209" s="15" t="s">
        <v>328</v>
      </c>
      <c r="BF209" s="15"/>
      <c r="BG209" s="15"/>
      <c r="BH209" s="15"/>
      <c r="BI209" s="15"/>
      <c r="BJ209" s="15"/>
      <c r="BK209" s="15"/>
      <c r="BL209" s="15"/>
      <c r="BM209" s="15"/>
      <c r="BN209" s="15"/>
      <c r="BO209" s="15" t="s">
        <v>328</v>
      </c>
      <c r="BP209" s="15"/>
      <c r="BQ209" s="15" t="s">
        <v>328</v>
      </c>
      <c r="BR209" s="15" t="s">
        <v>328</v>
      </c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 t="s">
        <v>328</v>
      </c>
      <c r="CE209" s="15"/>
      <c r="CF209" s="15"/>
      <c r="CG209" s="15"/>
      <c r="CH209" s="15"/>
      <c r="CI209" s="15" t="s">
        <v>328</v>
      </c>
      <c r="CJ209" s="15"/>
      <c r="CK209" s="15"/>
      <c r="CL209" s="15"/>
      <c r="CM209" s="15"/>
      <c r="CN209" s="15">
        <v>3</v>
      </c>
      <c r="CO209" s="15">
        <v>2</v>
      </c>
      <c r="CP209" s="15">
        <v>1</v>
      </c>
      <c r="CQ209" s="15">
        <v>4</v>
      </c>
      <c r="CR209" s="15">
        <v>5</v>
      </c>
      <c r="CS209" s="15">
        <v>6</v>
      </c>
      <c r="CT209" s="15"/>
      <c r="CU209" s="15"/>
      <c r="CV209" s="15"/>
      <c r="CW209" s="15"/>
      <c r="CX209" s="15"/>
      <c r="CY209" s="15"/>
      <c r="CZ209" s="15" t="s">
        <v>332</v>
      </c>
      <c r="DA209" s="15"/>
      <c r="DB209" s="15"/>
      <c r="DC209" s="15">
        <v>1</v>
      </c>
      <c r="DD209" s="15">
        <v>3</v>
      </c>
      <c r="DE209" s="15">
        <v>4</v>
      </c>
      <c r="DF209" s="15">
        <v>5</v>
      </c>
      <c r="DG209" s="15">
        <v>2</v>
      </c>
      <c r="DH209" s="15">
        <v>6</v>
      </c>
      <c r="DI209" s="15"/>
      <c r="DJ209" s="15" t="s">
        <v>328</v>
      </c>
      <c r="DK209" s="15"/>
      <c r="DL209" s="15"/>
      <c r="DM209" s="15"/>
      <c r="DN209" s="15"/>
      <c r="DO209" s="15"/>
      <c r="DP209" s="15" t="s">
        <v>411</v>
      </c>
      <c r="DQ209" s="15" t="s">
        <v>328</v>
      </c>
      <c r="DR209" s="15"/>
      <c r="DS209" s="15"/>
      <c r="DT209" s="15"/>
      <c r="DU209" s="15"/>
      <c r="DV209" s="15"/>
      <c r="DW209" s="15"/>
      <c r="DX209" s="15" t="s">
        <v>497</v>
      </c>
      <c r="DY209" s="15" t="s">
        <v>328</v>
      </c>
      <c r="DZ209" s="15"/>
      <c r="EA209" s="15"/>
      <c r="EB209" s="15"/>
      <c r="EC209" s="15"/>
      <c r="ED209" s="15"/>
      <c r="EE209" s="102" t="s">
        <v>497</v>
      </c>
      <c r="EF209" s="48"/>
      <c r="EG209" s="17">
        <f t="shared" si="3"/>
        <v>0</v>
      </c>
    </row>
    <row r="210" spans="1:137" x14ac:dyDescent="0.25">
      <c r="A210" s="51" t="s">
        <v>1856</v>
      </c>
      <c r="B210" s="211">
        <v>41554</v>
      </c>
      <c r="C210" s="212" t="s">
        <v>2752</v>
      </c>
      <c r="D210" s="61" t="s">
        <v>1050</v>
      </c>
      <c r="E210" s="15" t="s">
        <v>328</v>
      </c>
      <c r="F210" s="15"/>
      <c r="G210" s="15">
        <v>47</v>
      </c>
      <c r="H210" s="15" t="s">
        <v>329</v>
      </c>
      <c r="I210" s="15" t="s">
        <v>330</v>
      </c>
      <c r="J210" s="15" t="s">
        <v>1051</v>
      </c>
      <c r="K210" s="15" t="s">
        <v>1199</v>
      </c>
      <c r="L210" s="15" t="s">
        <v>1281</v>
      </c>
      <c r="M210" s="15">
        <v>25</v>
      </c>
      <c r="N210" s="15">
        <v>1</v>
      </c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>
        <v>1</v>
      </c>
      <c r="AA210" s="14"/>
      <c r="AB210" s="15" t="s">
        <v>328</v>
      </c>
      <c r="AC210" s="15"/>
      <c r="AD210" s="15"/>
      <c r="AE210" s="15"/>
      <c r="AF210" s="15"/>
      <c r="AG210" s="15" t="s">
        <v>328</v>
      </c>
      <c r="AH210" s="15"/>
      <c r="AI210" s="15"/>
      <c r="AJ210" s="15"/>
      <c r="AK210" s="15"/>
      <c r="AL210" s="15"/>
      <c r="AM210" s="15" t="s">
        <v>328</v>
      </c>
      <c r="AN210" s="15"/>
      <c r="AO210" s="15" t="s">
        <v>328</v>
      </c>
      <c r="AP210" s="15"/>
      <c r="AQ210" s="15"/>
      <c r="AR210" s="15">
        <v>0</v>
      </c>
      <c r="AS210" s="15">
        <v>0</v>
      </c>
      <c r="AT210" s="15"/>
      <c r="AU210" s="15" t="s">
        <v>328</v>
      </c>
      <c r="AV210" s="15"/>
      <c r="AW210" s="15"/>
      <c r="AX210" s="15">
        <v>3</v>
      </c>
      <c r="AY210" s="15">
        <v>2</v>
      </c>
      <c r="AZ210" s="15">
        <v>1</v>
      </c>
      <c r="BA210" s="15"/>
      <c r="BB210" s="15" t="s">
        <v>328</v>
      </c>
      <c r="BC210" s="15"/>
      <c r="BD210" s="15" t="s">
        <v>328</v>
      </c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 t="s">
        <v>328</v>
      </c>
      <c r="BP210" s="15"/>
      <c r="BQ210" s="15" t="s">
        <v>328</v>
      </c>
      <c r="BR210" s="15" t="s">
        <v>328</v>
      </c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 t="s">
        <v>328</v>
      </c>
      <c r="CH210" s="15"/>
      <c r="CI210" s="15"/>
      <c r="CJ210" s="15"/>
      <c r="CK210" s="15" t="s">
        <v>328</v>
      </c>
      <c r="CL210" s="15"/>
      <c r="CM210" s="15"/>
      <c r="CN210" s="15">
        <v>3</v>
      </c>
      <c r="CO210" s="15">
        <v>1</v>
      </c>
      <c r="CP210" s="15">
        <v>2</v>
      </c>
      <c r="CQ210" s="15">
        <v>6</v>
      </c>
      <c r="CR210" s="15">
        <v>5</v>
      </c>
      <c r="CS210" s="15">
        <v>4</v>
      </c>
      <c r="CT210" s="15"/>
      <c r="CU210" s="15"/>
      <c r="CV210" s="15"/>
      <c r="CW210" s="15"/>
      <c r="CX210" s="15"/>
      <c r="CY210" s="15"/>
      <c r="CZ210" s="15" t="s">
        <v>332</v>
      </c>
      <c r="DA210" s="15"/>
      <c r="DB210" s="15"/>
      <c r="DC210" s="15">
        <v>1</v>
      </c>
      <c r="DD210" s="15">
        <v>3</v>
      </c>
      <c r="DE210" s="15">
        <v>4</v>
      </c>
      <c r="DF210" s="15">
        <v>5</v>
      </c>
      <c r="DG210" s="15">
        <v>2</v>
      </c>
      <c r="DH210" s="15">
        <v>6</v>
      </c>
      <c r="DI210" s="15"/>
      <c r="DJ210" s="15" t="s">
        <v>328</v>
      </c>
      <c r="DK210" s="15"/>
      <c r="DL210" s="15"/>
      <c r="DM210" s="15"/>
      <c r="DN210" s="15"/>
      <c r="DO210" s="15"/>
      <c r="DP210" s="14" t="s">
        <v>1146</v>
      </c>
      <c r="DQ210" s="15" t="s">
        <v>328</v>
      </c>
      <c r="DR210" s="15"/>
      <c r="DS210" s="15"/>
      <c r="DT210" s="15"/>
      <c r="DU210" s="15"/>
      <c r="DV210" s="15"/>
      <c r="DW210" s="15"/>
      <c r="DX210" s="15" t="s">
        <v>1152</v>
      </c>
      <c r="DY210" s="15" t="s">
        <v>328</v>
      </c>
      <c r="DZ210" s="15"/>
      <c r="EA210" s="15"/>
      <c r="EB210" s="15"/>
      <c r="EC210" s="15"/>
      <c r="ED210" s="15"/>
      <c r="EE210" s="102" t="s">
        <v>1152</v>
      </c>
      <c r="EF210" s="48"/>
      <c r="EG210" s="17">
        <f t="shared" si="3"/>
        <v>0</v>
      </c>
    </row>
    <row r="211" spans="1:137" x14ac:dyDescent="0.25">
      <c r="A211" s="51" t="s">
        <v>1856</v>
      </c>
      <c r="B211" s="211">
        <v>41554</v>
      </c>
      <c r="C211" s="212" t="s">
        <v>2752</v>
      </c>
      <c r="D211" s="61" t="s">
        <v>1052</v>
      </c>
      <c r="E211" s="15" t="s">
        <v>328</v>
      </c>
      <c r="F211" s="15"/>
      <c r="G211" s="15">
        <v>53</v>
      </c>
      <c r="H211" s="15" t="s">
        <v>329</v>
      </c>
      <c r="I211" s="15" t="s">
        <v>353</v>
      </c>
      <c r="J211" s="15" t="s">
        <v>1053</v>
      </c>
      <c r="K211" s="15" t="s">
        <v>1300</v>
      </c>
      <c r="L211" s="15" t="s">
        <v>1301</v>
      </c>
      <c r="M211" s="15">
        <v>30</v>
      </c>
      <c r="N211" s="15">
        <v>1</v>
      </c>
      <c r="O211" s="15"/>
      <c r="P211" s="15">
        <v>1</v>
      </c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 t="s">
        <v>328</v>
      </c>
      <c r="AC211" s="15"/>
      <c r="AD211" s="15"/>
      <c r="AE211" s="15"/>
      <c r="AF211" s="15"/>
      <c r="AG211" s="15"/>
      <c r="AH211" s="15"/>
      <c r="AI211" s="15" t="s">
        <v>328</v>
      </c>
      <c r="AJ211" s="15"/>
      <c r="AK211" s="15"/>
      <c r="AL211" s="15"/>
      <c r="AM211" s="15" t="s">
        <v>328</v>
      </c>
      <c r="AN211" s="15"/>
      <c r="AO211" s="15"/>
      <c r="AP211" s="15" t="s">
        <v>328</v>
      </c>
      <c r="AQ211" s="15"/>
      <c r="AR211" s="15">
        <v>0</v>
      </c>
      <c r="AS211" s="15">
        <v>0</v>
      </c>
      <c r="AT211" s="15"/>
      <c r="AU211" s="15" t="s">
        <v>328</v>
      </c>
      <c r="AV211" s="15"/>
      <c r="AW211" s="15"/>
      <c r="AX211" s="15">
        <v>3</v>
      </c>
      <c r="AY211" s="15">
        <v>2</v>
      </c>
      <c r="AZ211" s="15">
        <v>1</v>
      </c>
      <c r="BA211" s="15"/>
      <c r="BB211" s="15" t="s">
        <v>328</v>
      </c>
      <c r="BC211" s="15"/>
      <c r="BD211" s="15" t="s">
        <v>328</v>
      </c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 t="s">
        <v>328</v>
      </c>
      <c r="BP211" s="15" t="s">
        <v>328</v>
      </c>
      <c r="BQ211" s="15"/>
      <c r="BR211" s="15"/>
      <c r="BS211" s="15" t="s">
        <v>328</v>
      </c>
      <c r="BT211" s="15"/>
      <c r="BU211" s="15"/>
      <c r="BV211" s="15"/>
      <c r="BW211" s="15" t="s">
        <v>328</v>
      </c>
      <c r="BX211" s="15"/>
      <c r="BY211" s="15"/>
      <c r="BZ211" s="15"/>
      <c r="CA211" s="15"/>
      <c r="CB211" s="15"/>
      <c r="CC211" s="15"/>
      <c r="CD211" s="15" t="s">
        <v>328</v>
      </c>
      <c r="CE211" s="15"/>
      <c r="CF211" s="15"/>
      <c r="CG211" s="15" t="s">
        <v>328</v>
      </c>
      <c r="CH211" s="15"/>
      <c r="CI211" s="15" t="s">
        <v>328</v>
      </c>
      <c r="CJ211" s="15"/>
      <c r="CK211" s="15"/>
      <c r="CL211" s="15"/>
      <c r="CM211" s="15"/>
      <c r="CN211" s="15">
        <v>5</v>
      </c>
      <c r="CO211" s="15">
        <v>1</v>
      </c>
      <c r="CP211" s="15">
        <v>4</v>
      </c>
      <c r="CQ211" s="15">
        <v>2</v>
      </c>
      <c r="CR211" s="15">
        <v>3</v>
      </c>
      <c r="CS211" s="15">
        <v>6</v>
      </c>
      <c r="CT211" s="15"/>
      <c r="CU211" s="15"/>
      <c r="CV211" s="15"/>
      <c r="CW211" s="15"/>
      <c r="CX211" s="15" t="s">
        <v>328</v>
      </c>
      <c r="CY211" s="15"/>
      <c r="CZ211" s="15"/>
      <c r="DA211" s="15"/>
      <c r="DB211" s="15"/>
      <c r="DC211" s="15">
        <v>1</v>
      </c>
      <c r="DD211" s="15">
        <v>2</v>
      </c>
      <c r="DE211" s="15">
        <v>3</v>
      </c>
      <c r="DF211" s="15">
        <v>6</v>
      </c>
      <c r="DG211" s="15">
        <v>5</v>
      </c>
      <c r="DH211" s="15">
        <v>4</v>
      </c>
      <c r="DI211" s="15"/>
      <c r="DJ211" s="15" t="s">
        <v>328</v>
      </c>
      <c r="DK211" s="15"/>
      <c r="DL211" s="15"/>
      <c r="DM211" s="15"/>
      <c r="DN211" s="15"/>
      <c r="DO211" s="15"/>
      <c r="DP211" s="14" t="s">
        <v>1145</v>
      </c>
      <c r="DQ211" s="15"/>
      <c r="DR211" s="15" t="s">
        <v>328</v>
      </c>
      <c r="DS211" s="15" t="s">
        <v>328</v>
      </c>
      <c r="DT211" s="15" t="s">
        <v>397</v>
      </c>
      <c r="DU211" s="15"/>
      <c r="DV211" s="15"/>
      <c r="DW211" s="15"/>
      <c r="DX211" s="15" t="s">
        <v>1145</v>
      </c>
      <c r="DY211" s="15" t="s">
        <v>328</v>
      </c>
      <c r="DZ211" s="15"/>
      <c r="EA211" s="15"/>
      <c r="EB211" s="15"/>
      <c r="EC211" s="15"/>
      <c r="ED211" s="15"/>
      <c r="EE211" s="102" t="s">
        <v>1145</v>
      </c>
      <c r="EF211" s="48"/>
      <c r="EG211" s="17">
        <f t="shared" si="3"/>
        <v>0</v>
      </c>
    </row>
    <row r="212" spans="1:137" x14ac:dyDescent="0.25">
      <c r="A212" s="51" t="s">
        <v>1856</v>
      </c>
      <c r="B212" s="211">
        <v>41554</v>
      </c>
      <c r="C212" s="212" t="s">
        <v>2752</v>
      </c>
      <c r="D212" s="61" t="s">
        <v>1054</v>
      </c>
      <c r="E212" s="15" t="s">
        <v>328</v>
      </c>
      <c r="F212" s="15"/>
      <c r="G212" s="15">
        <v>45</v>
      </c>
      <c r="H212" s="15" t="s">
        <v>329</v>
      </c>
      <c r="I212" s="15" t="s">
        <v>357</v>
      </c>
      <c r="J212" s="15" t="s">
        <v>1047</v>
      </c>
      <c r="K212" s="15" t="s">
        <v>1298</v>
      </c>
      <c r="L212" s="15" t="s">
        <v>1289</v>
      </c>
      <c r="M212" s="15">
        <v>7</v>
      </c>
      <c r="N212" s="15">
        <v>1</v>
      </c>
      <c r="O212" s="15"/>
      <c r="P212" s="15">
        <v>1</v>
      </c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 t="s">
        <v>328</v>
      </c>
      <c r="AC212" s="15"/>
      <c r="AD212" s="15"/>
      <c r="AE212" s="15"/>
      <c r="AF212" s="15"/>
      <c r="AG212" s="15"/>
      <c r="AH212" s="15"/>
      <c r="AI212" s="15" t="s">
        <v>328</v>
      </c>
      <c r="AJ212" s="15"/>
      <c r="AK212" s="15"/>
      <c r="AL212" s="15"/>
      <c r="AM212" s="15" t="s">
        <v>328</v>
      </c>
      <c r="AN212" s="15"/>
      <c r="AO212" s="15" t="s">
        <v>328</v>
      </c>
      <c r="AP212" s="15"/>
      <c r="AQ212" s="15"/>
      <c r="AR212" s="15">
        <v>0</v>
      </c>
      <c r="AS212" s="15">
        <v>0</v>
      </c>
      <c r="AT212" s="15"/>
      <c r="AU212" s="15" t="s">
        <v>328</v>
      </c>
      <c r="AV212" s="15"/>
      <c r="AW212" s="15"/>
      <c r="AX212" s="15">
        <v>1</v>
      </c>
      <c r="AY212" s="15">
        <v>2</v>
      </c>
      <c r="AZ212" s="15">
        <v>3</v>
      </c>
      <c r="BA212" s="15"/>
      <c r="BB212" s="15" t="s">
        <v>328</v>
      </c>
      <c r="BC212" s="15"/>
      <c r="BD212" s="15" t="s">
        <v>328</v>
      </c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 t="s">
        <v>328</v>
      </c>
      <c r="BP212" s="15"/>
      <c r="BQ212" s="15" t="s">
        <v>328</v>
      </c>
      <c r="BR212" s="15" t="s">
        <v>328</v>
      </c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 t="s">
        <v>328</v>
      </c>
      <c r="CG212" s="15"/>
      <c r="CH212" s="15"/>
      <c r="CI212" s="15" t="s">
        <v>328</v>
      </c>
      <c r="CJ212" s="15"/>
      <c r="CK212" s="15"/>
      <c r="CL212" s="15"/>
      <c r="CM212" s="15"/>
      <c r="CN212" s="15">
        <v>1</v>
      </c>
      <c r="CO212" s="15">
        <v>5</v>
      </c>
      <c r="CP212" s="15">
        <v>6</v>
      </c>
      <c r="CQ212" s="15">
        <v>3</v>
      </c>
      <c r="CR212" s="15">
        <v>4</v>
      </c>
      <c r="CS212" s="15">
        <v>2</v>
      </c>
      <c r="CT212" s="15"/>
      <c r="CU212" s="15"/>
      <c r="CV212" s="15"/>
      <c r="CW212" s="15"/>
      <c r="CX212" s="15" t="s">
        <v>328</v>
      </c>
      <c r="CY212" s="15"/>
      <c r="CZ212" s="15"/>
      <c r="DA212" s="15"/>
      <c r="DB212" s="15"/>
      <c r="DC212" s="15">
        <v>1</v>
      </c>
      <c r="DD212" s="15">
        <v>2</v>
      </c>
      <c r="DE212" s="15">
        <v>3</v>
      </c>
      <c r="DF212" s="15">
        <v>4</v>
      </c>
      <c r="DG212" s="15">
        <v>5</v>
      </c>
      <c r="DH212" s="15">
        <v>6</v>
      </c>
      <c r="DI212" s="15"/>
      <c r="DJ212" s="15" t="s">
        <v>328</v>
      </c>
      <c r="DK212" s="15"/>
      <c r="DL212" s="15"/>
      <c r="DM212" s="15"/>
      <c r="DN212" s="15"/>
      <c r="DO212" s="15"/>
      <c r="DP212" s="15" t="s">
        <v>411</v>
      </c>
      <c r="DQ212" s="15" t="s">
        <v>328</v>
      </c>
      <c r="DR212" s="15"/>
      <c r="DS212" s="15"/>
      <c r="DT212" s="15"/>
      <c r="DU212" s="15"/>
      <c r="DV212" s="15"/>
      <c r="DW212" s="15"/>
      <c r="DX212" s="15" t="s">
        <v>497</v>
      </c>
      <c r="DY212" s="15" t="s">
        <v>328</v>
      </c>
      <c r="DZ212" s="15"/>
      <c r="EA212" s="15"/>
      <c r="EB212" s="15"/>
      <c r="EC212" s="15"/>
      <c r="ED212" s="15"/>
      <c r="EE212" s="102" t="s">
        <v>497</v>
      </c>
      <c r="EF212" s="48"/>
      <c r="EG212" s="17">
        <f t="shared" si="3"/>
        <v>0</v>
      </c>
    </row>
    <row r="213" spans="1:137" x14ac:dyDescent="0.25">
      <c r="A213" s="51" t="s">
        <v>1856</v>
      </c>
      <c r="B213" s="211">
        <v>41554</v>
      </c>
      <c r="C213" s="212" t="s">
        <v>2752</v>
      </c>
      <c r="D213" s="61" t="s">
        <v>1055</v>
      </c>
      <c r="E213" s="15" t="s">
        <v>328</v>
      </c>
      <c r="F213" s="15"/>
      <c r="G213" s="15">
        <v>55</v>
      </c>
      <c r="H213" s="15" t="s">
        <v>329</v>
      </c>
      <c r="I213" s="15" t="s">
        <v>353</v>
      </c>
      <c r="J213" s="15" t="s">
        <v>1056</v>
      </c>
      <c r="K213" s="15" t="s">
        <v>1266</v>
      </c>
      <c r="L213" s="14" t="s">
        <v>1335</v>
      </c>
      <c r="M213" s="15">
        <v>35</v>
      </c>
      <c r="N213" s="15">
        <v>2</v>
      </c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>
        <v>2</v>
      </c>
      <c r="AA213" s="14"/>
      <c r="AB213" s="15" t="s">
        <v>328</v>
      </c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 t="s">
        <v>328</v>
      </c>
      <c r="AN213" s="15"/>
      <c r="AO213" s="15" t="s">
        <v>328</v>
      </c>
      <c r="AP213" s="15" t="s">
        <v>328</v>
      </c>
      <c r="AQ213" s="15"/>
      <c r="AR213" s="15">
        <v>10</v>
      </c>
      <c r="AS213" s="15">
        <v>1</v>
      </c>
      <c r="AT213" s="15"/>
      <c r="AU213" s="15" t="s">
        <v>328</v>
      </c>
      <c r="AV213" s="15"/>
      <c r="AW213" s="15"/>
      <c r="AX213" s="15">
        <v>1</v>
      </c>
      <c r="AY213" s="15">
        <v>3</v>
      </c>
      <c r="AZ213" s="15">
        <v>2</v>
      </c>
      <c r="BA213" s="15"/>
      <c r="BB213" s="15" t="s">
        <v>328</v>
      </c>
      <c r="BC213" s="15"/>
      <c r="BD213" s="15" t="s">
        <v>328</v>
      </c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 t="s">
        <v>328</v>
      </c>
      <c r="BP213" s="15"/>
      <c r="BQ213" s="15" t="s">
        <v>328</v>
      </c>
      <c r="BR213" s="15"/>
      <c r="BS213" s="15" t="s">
        <v>328</v>
      </c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 t="s">
        <v>328</v>
      </c>
      <c r="CE213" s="15"/>
      <c r="CF213" s="15" t="s">
        <v>328</v>
      </c>
      <c r="CG213" s="15"/>
      <c r="CH213" s="15"/>
      <c r="CI213" s="15"/>
      <c r="CJ213" s="15" t="s">
        <v>328</v>
      </c>
      <c r="CK213" s="15"/>
      <c r="CL213" s="15"/>
      <c r="CM213" s="15"/>
      <c r="CN213" s="15">
        <v>6</v>
      </c>
      <c r="CO213" s="15">
        <v>1</v>
      </c>
      <c r="CP213" s="15">
        <v>2</v>
      </c>
      <c r="CQ213" s="15">
        <v>4</v>
      </c>
      <c r="CR213" s="15">
        <v>3</v>
      </c>
      <c r="CS213" s="15">
        <v>5</v>
      </c>
      <c r="CT213" s="15"/>
      <c r="CU213" s="15"/>
      <c r="CV213" s="15"/>
      <c r="CW213" s="15"/>
      <c r="CX213" s="15"/>
      <c r="CY213" s="15"/>
      <c r="CZ213" s="15" t="s">
        <v>332</v>
      </c>
      <c r="DA213" s="15"/>
      <c r="DB213" s="15"/>
      <c r="DC213" s="15">
        <v>1</v>
      </c>
      <c r="DD213" s="15">
        <v>3</v>
      </c>
      <c r="DE213" s="15">
        <v>4</v>
      </c>
      <c r="DF213" s="15">
        <v>5</v>
      </c>
      <c r="DG213" s="15">
        <v>2</v>
      </c>
      <c r="DH213" s="15">
        <v>6</v>
      </c>
      <c r="DI213" s="15"/>
      <c r="DJ213" s="15" t="s">
        <v>328</v>
      </c>
      <c r="DK213" s="15"/>
      <c r="DL213" s="15"/>
      <c r="DM213" s="15"/>
      <c r="DN213" s="15"/>
      <c r="DO213" s="15"/>
      <c r="DP213" s="14" t="s">
        <v>333</v>
      </c>
      <c r="DQ213" s="15" t="s">
        <v>328</v>
      </c>
      <c r="DR213" s="15"/>
      <c r="DS213" s="15"/>
      <c r="DT213" s="15"/>
      <c r="DU213" s="15"/>
      <c r="DV213" s="15"/>
      <c r="DW213" s="15"/>
      <c r="DX213" s="15" t="s">
        <v>1155</v>
      </c>
      <c r="DY213" s="15" t="s">
        <v>328</v>
      </c>
      <c r="DZ213" s="15"/>
      <c r="EA213" s="15"/>
      <c r="EB213" s="15"/>
      <c r="EC213" s="15"/>
      <c r="ED213" s="15"/>
      <c r="EE213" s="102" t="s">
        <v>1155</v>
      </c>
      <c r="EF213" s="48"/>
      <c r="EG213" s="17">
        <f t="shared" si="3"/>
        <v>0</v>
      </c>
    </row>
    <row r="214" spans="1:137" x14ac:dyDescent="0.25">
      <c r="A214" s="51" t="s">
        <v>1856</v>
      </c>
      <c r="B214" s="211">
        <v>41554</v>
      </c>
      <c r="C214" s="212" t="s">
        <v>2752</v>
      </c>
      <c r="D214" s="61" t="s">
        <v>1057</v>
      </c>
      <c r="E214" s="15" t="s">
        <v>328</v>
      </c>
      <c r="F214" s="15"/>
      <c r="G214" s="15">
        <v>61</v>
      </c>
      <c r="H214" s="15" t="s">
        <v>329</v>
      </c>
      <c r="I214" s="15" t="s">
        <v>584</v>
      </c>
      <c r="J214" s="15" t="s">
        <v>1058</v>
      </c>
      <c r="K214" s="15" t="s">
        <v>1302</v>
      </c>
      <c r="L214" s="15" t="s">
        <v>1293</v>
      </c>
      <c r="M214" s="15">
        <v>40</v>
      </c>
      <c r="N214" s="15">
        <v>1</v>
      </c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>
        <v>1</v>
      </c>
      <c r="AA214" s="14"/>
      <c r="AB214" s="15" t="s">
        <v>328</v>
      </c>
      <c r="AC214" s="15"/>
      <c r="AD214" s="15"/>
      <c r="AE214" s="15"/>
      <c r="AF214" s="15"/>
      <c r="AG214" s="15" t="s">
        <v>328</v>
      </c>
      <c r="AH214" s="15"/>
      <c r="AI214" s="15"/>
      <c r="AJ214" s="15"/>
      <c r="AK214" s="15"/>
      <c r="AL214" s="15"/>
      <c r="AM214" s="15" t="s">
        <v>328</v>
      </c>
      <c r="AN214" s="15"/>
      <c r="AO214" s="15" t="s">
        <v>328</v>
      </c>
      <c r="AP214" s="15"/>
      <c r="AQ214" s="15"/>
      <c r="AR214" s="15">
        <v>0</v>
      </c>
      <c r="AS214" s="15">
        <v>0</v>
      </c>
      <c r="AT214" s="15"/>
      <c r="AU214" s="15" t="s">
        <v>328</v>
      </c>
      <c r="AV214" s="15"/>
      <c r="AW214" s="15"/>
      <c r="AX214" s="15">
        <v>2</v>
      </c>
      <c r="AY214" s="15">
        <v>3</v>
      </c>
      <c r="AZ214" s="15">
        <v>1</v>
      </c>
      <c r="BA214" s="15"/>
      <c r="BB214" s="15" t="s">
        <v>328</v>
      </c>
      <c r="BC214" s="15"/>
      <c r="BD214" s="15" t="s">
        <v>328</v>
      </c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 t="s">
        <v>328</v>
      </c>
      <c r="BP214" s="15"/>
      <c r="BQ214" s="15" t="s">
        <v>328</v>
      </c>
      <c r="BR214" s="15" t="s">
        <v>328</v>
      </c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 t="s">
        <v>328</v>
      </c>
      <c r="CE214" s="15" t="s">
        <v>328</v>
      </c>
      <c r="CF214" s="15" t="s">
        <v>328</v>
      </c>
      <c r="CG214" s="15"/>
      <c r="CH214" s="15"/>
      <c r="CI214" s="15"/>
      <c r="CJ214" s="15" t="s">
        <v>328</v>
      </c>
      <c r="CK214" s="15"/>
      <c r="CL214" s="15"/>
      <c r="CM214" s="15"/>
      <c r="CN214" s="15">
        <v>5</v>
      </c>
      <c r="CO214" s="15">
        <v>3</v>
      </c>
      <c r="CP214" s="15">
        <v>4</v>
      </c>
      <c r="CQ214" s="15">
        <v>1</v>
      </c>
      <c r="CR214" s="15">
        <v>2</v>
      </c>
      <c r="CS214" s="15">
        <v>6</v>
      </c>
      <c r="CT214" s="15"/>
      <c r="CU214" s="15"/>
      <c r="CV214" s="15"/>
      <c r="CW214" s="15"/>
      <c r="CX214" s="15"/>
      <c r="CY214" s="15"/>
      <c r="CZ214" s="15" t="s">
        <v>332</v>
      </c>
      <c r="DA214" s="15"/>
      <c r="DB214" s="15"/>
      <c r="DC214" s="15">
        <v>1</v>
      </c>
      <c r="DD214" s="15">
        <v>3</v>
      </c>
      <c r="DE214" s="15">
        <v>4</v>
      </c>
      <c r="DF214" s="15">
        <v>5</v>
      </c>
      <c r="DG214" s="15">
        <v>2</v>
      </c>
      <c r="DH214" s="15">
        <v>6</v>
      </c>
      <c r="DI214" s="15"/>
      <c r="DJ214" s="15" t="s">
        <v>328</v>
      </c>
      <c r="DK214" s="15"/>
      <c r="DL214" s="15"/>
      <c r="DM214" s="15"/>
      <c r="DN214" s="15"/>
      <c r="DO214" s="15"/>
      <c r="DP214" s="14" t="s">
        <v>1146</v>
      </c>
      <c r="DQ214" s="15" t="s">
        <v>328</v>
      </c>
      <c r="DR214" s="15"/>
      <c r="DS214" s="15"/>
      <c r="DT214" s="15"/>
      <c r="DU214" s="15"/>
      <c r="DV214" s="15"/>
      <c r="DW214" s="15"/>
      <c r="DX214" s="15" t="s">
        <v>1294</v>
      </c>
      <c r="DY214" s="15" t="s">
        <v>328</v>
      </c>
      <c r="DZ214" s="15"/>
      <c r="EA214" s="15"/>
      <c r="EB214" s="15"/>
      <c r="EC214" s="15"/>
      <c r="ED214" s="15"/>
      <c r="EE214" s="102" t="s">
        <v>1294</v>
      </c>
      <c r="EF214" s="48"/>
      <c r="EG214" s="17">
        <f t="shared" si="3"/>
        <v>0</v>
      </c>
    </row>
    <row r="215" spans="1:137" x14ac:dyDescent="0.25">
      <c r="A215" s="51" t="s">
        <v>1856</v>
      </c>
      <c r="B215" s="211">
        <v>41554</v>
      </c>
      <c r="C215" s="212" t="s">
        <v>2752</v>
      </c>
      <c r="D215" s="61" t="s">
        <v>1059</v>
      </c>
      <c r="E215" s="15" t="s">
        <v>328</v>
      </c>
      <c r="F215" s="15"/>
      <c r="G215" s="15">
        <v>49</v>
      </c>
      <c r="H215" s="15" t="s">
        <v>329</v>
      </c>
      <c r="I215" s="15" t="s">
        <v>330</v>
      </c>
      <c r="J215" s="15" t="s">
        <v>1060</v>
      </c>
      <c r="K215" s="15" t="s">
        <v>1303</v>
      </c>
      <c r="L215" s="15" t="s">
        <v>1280</v>
      </c>
      <c r="M215" s="15">
        <v>0</v>
      </c>
      <c r="N215" s="15">
        <v>1</v>
      </c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>
        <v>1</v>
      </c>
      <c r="AA215" s="14"/>
      <c r="AB215" s="15" t="s">
        <v>328</v>
      </c>
      <c r="AC215" s="15" t="s">
        <v>328</v>
      </c>
      <c r="AD215" s="15"/>
      <c r="AE215" s="15"/>
      <c r="AF215" s="15"/>
      <c r="AG215" s="15" t="s">
        <v>328</v>
      </c>
      <c r="AH215" s="15"/>
      <c r="AI215" s="15"/>
      <c r="AJ215" s="15"/>
      <c r="AK215" s="15"/>
      <c r="AL215" s="15"/>
      <c r="AM215" s="15" t="s">
        <v>328</v>
      </c>
      <c r="AN215" s="15"/>
      <c r="AO215" s="15" t="s">
        <v>328</v>
      </c>
      <c r="AP215" s="15"/>
      <c r="AQ215" s="15"/>
      <c r="AR215" s="15">
        <v>0</v>
      </c>
      <c r="AS215" s="15">
        <v>0</v>
      </c>
      <c r="AT215" s="15"/>
      <c r="AU215" s="15" t="s">
        <v>328</v>
      </c>
      <c r="AV215" s="15"/>
      <c r="AW215" s="15"/>
      <c r="AX215" s="15">
        <v>1</v>
      </c>
      <c r="AY215" s="15">
        <v>2</v>
      </c>
      <c r="AZ215" s="15">
        <v>3</v>
      </c>
      <c r="BA215" s="15"/>
      <c r="BB215" s="15" t="s">
        <v>328</v>
      </c>
      <c r="BC215" s="15"/>
      <c r="BD215" s="15" t="s">
        <v>328</v>
      </c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 t="s">
        <v>328</v>
      </c>
      <c r="BP215" s="15" t="s">
        <v>328</v>
      </c>
      <c r="BQ215" s="15"/>
      <c r="BR215" s="15" t="s">
        <v>328</v>
      </c>
      <c r="BS215" s="15" t="s">
        <v>328</v>
      </c>
      <c r="BT215" s="15"/>
      <c r="BU215" s="15"/>
      <c r="BV215" s="15"/>
      <c r="BW215" s="15" t="s">
        <v>328</v>
      </c>
      <c r="BX215" s="15"/>
      <c r="BY215" s="15"/>
      <c r="BZ215" s="15"/>
      <c r="CA215" s="15"/>
      <c r="CB215" s="15" t="s">
        <v>328</v>
      </c>
      <c r="CC215" s="15"/>
      <c r="CD215" s="15" t="s">
        <v>328</v>
      </c>
      <c r="CE215" s="15"/>
      <c r="CF215" s="15"/>
      <c r="CG215" s="15"/>
      <c r="CH215" s="15"/>
      <c r="CI215" s="15" t="s">
        <v>328</v>
      </c>
      <c r="CJ215" s="15"/>
      <c r="CK215" s="15"/>
      <c r="CL215" s="15"/>
      <c r="CM215" s="15"/>
      <c r="CN215" s="15">
        <v>5</v>
      </c>
      <c r="CO215" s="15">
        <v>1</v>
      </c>
      <c r="CP215" s="15">
        <v>4</v>
      </c>
      <c r="CQ215" s="15">
        <v>2</v>
      </c>
      <c r="CR215" s="15">
        <v>3</v>
      </c>
      <c r="CS215" s="15">
        <v>6</v>
      </c>
      <c r="CT215" s="15"/>
      <c r="CU215" s="15"/>
      <c r="CV215" s="15"/>
      <c r="CW215" s="15"/>
      <c r="CX215" s="15" t="s">
        <v>328</v>
      </c>
      <c r="CY215" s="15"/>
      <c r="CZ215" s="15"/>
      <c r="DA215" s="15"/>
      <c r="DB215" s="15"/>
      <c r="DC215" s="15">
        <v>1</v>
      </c>
      <c r="DD215" s="15">
        <v>2</v>
      </c>
      <c r="DE215" s="15">
        <v>3</v>
      </c>
      <c r="DF215" s="15">
        <v>4</v>
      </c>
      <c r="DG215" s="15">
        <v>5</v>
      </c>
      <c r="DH215" s="15">
        <v>6</v>
      </c>
      <c r="DI215" s="15"/>
      <c r="DJ215" s="15" t="s">
        <v>328</v>
      </c>
      <c r="DK215" s="15"/>
      <c r="DL215" s="15"/>
      <c r="DM215" s="15"/>
      <c r="DN215" s="15"/>
      <c r="DO215" s="15"/>
      <c r="DP215" s="14" t="s">
        <v>1146</v>
      </c>
      <c r="DQ215" s="15"/>
      <c r="DR215" s="15" t="s">
        <v>328</v>
      </c>
      <c r="DS215" s="15"/>
      <c r="DT215" s="15"/>
      <c r="DU215" s="15" t="s">
        <v>328</v>
      </c>
      <c r="DV215" s="15" t="s">
        <v>680</v>
      </c>
      <c r="DW215" s="15" t="s">
        <v>1061</v>
      </c>
      <c r="DX215" s="15" t="s">
        <v>1062</v>
      </c>
      <c r="DY215" s="15" t="s">
        <v>328</v>
      </c>
      <c r="DZ215" s="15"/>
      <c r="EA215" s="15"/>
      <c r="EB215" s="15"/>
      <c r="EC215" s="15"/>
      <c r="ED215" s="15"/>
      <c r="EE215" s="102" t="s">
        <v>450</v>
      </c>
      <c r="EF215" s="48"/>
      <c r="EG215" s="17">
        <f t="shared" si="3"/>
        <v>0</v>
      </c>
    </row>
    <row r="216" spans="1:137" x14ac:dyDescent="0.25">
      <c r="A216" s="51" t="s">
        <v>1856</v>
      </c>
      <c r="B216" s="211">
        <v>41554</v>
      </c>
      <c r="C216" s="212" t="s">
        <v>2752</v>
      </c>
      <c r="D216" s="61" t="s">
        <v>1063</v>
      </c>
      <c r="E216" s="15" t="s">
        <v>328</v>
      </c>
      <c r="F216" s="15"/>
      <c r="G216" s="15">
        <v>42</v>
      </c>
      <c r="H216" s="15" t="s">
        <v>329</v>
      </c>
      <c r="I216" s="15" t="s">
        <v>357</v>
      </c>
      <c r="J216" s="15" t="s">
        <v>1064</v>
      </c>
      <c r="K216" s="15" t="s">
        <v>1273</v>
      </c>
      <c r="L216" s="15" t="s">
        <v>1293</v>
      </c>
      <c r="M216" s="15">
        <v>0</v>
      </c>
      <c r="N216" s="15">
        <v>1</v>
      </c>
      <c r="O216" s="15">
        <v>1</v>
      </c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 t="s">
        <v>328</v>
      </c>
      <c r="AD216" s="15"/>
      <c r="AE216" s="15" t="s">
        <v>328</v>
      </c>
      <c r="AF216" s="15"/>
      <c r="AG216" s="15" t="s">
        <v>328</v>
      </c>
      <c r="AH216" s="15"/>
      <c r="AI216" s="15"/>
      <c r="AJ216" s="15"/>
      <c r="AK216" s="15"/>
      <c r="AL216" s="15"/>
      <c r="AM216" s="15" t="s">
        <v>328</v>
      </c>
      <c r="AN216" s="15"/>
      <c r="AO216" s="15" t="s">
        <v>328</v>
      </c>
      <c r="AP216" s="15" t="s">
        <v>328</v>
      </c>
      <c r="AQ216" s="15"/>
      <c r="AR216" s="15">
        <v>0</v>
      </c>
      <c r="AS216" s="15">
        <v>0</v>
      </c>
      <c r="AT216" s="15"/>
      <c r="AU216" s="15" t="s">
        <v>328</v>
      </c>
      <c r="AV216" s="15"/>
      <c r="AW216" s="15"/>
      <c r="AX216" s="15">
        <v>2</v>
      </c>
      <c r="AY216" s="15">
        <v>1</v>
      </c>
      <c r="AZ216" s="15">
        <v>3</v>
      </c>
      <c r="BA216" s="15"/>
      <c r="BB216" s="15" t="s">
        <v>328</v>
      </c>
      <c r="BC216" s="15"/>
      <c r="BD216" s="15" t="s">
        <v>328</v>
      </c>
      <c r="BE216" s="15"/>
      <c r="BF216" s="15"/>
      <c r="BG216" s="15"/>
      <c r="BH216" s="15"/>
      <c r="BI216" s="15"/>
      <c r="BJ216" s="15"/>
      <c r="BK216" s="15"/>
      <c r="BL216" s="15"/>
      <c r="BM216" s="15"/>
      <c r="BN216" s="15" t="s">
        <v>328</v>
      </c>
      <c r="BO216" s="15"/>
      <c r="BP216" s="15" t="s">
        <v>328</v>
      </c>
      <c r="BQ216" s="15"/>
      <c r="BR216" s="15"/>
      <c r="BS216" s="15" t="s">
        <v>328</v>
      </c>
      <c r="BT216" s="15"/>
      <c r="BU216" s="15"/>
      <c r="BV216" s="15"/>
      <c r="BW216" s="15" t="s">
        <v>328</v>
      </c>
      <c r="BX216" s="15"/>
      <c r="BY216" s="15"/>
      <c r="BZ216" s="15"/>
      <c r="CA216" s="15"/>
      <c r="CB216" s="15" t="s">
        <v>328</v>
      </c>
      <c r="CC216" s="15" t="s">
        <v>328</v>
      </c>
      <c r="CD216" s="15" t="s">
        <v>328</v>
      </c>
      <c r="CE216" s="15"/>
      <c r="CF216" s="15"/>
      <c r="CG216" s="15"/>
      <c r="CH216" s="15"/>
      <c r="CI216" s="15" t="s">
        <v>328</v>
      </c>
      <c r="CJ216" s="15"/>
      <c r="CK216" s="15"/>
      <c r="CL216" s="15"/>
      <c r="CM216" s="15"/>
      <c r="CN216" s="15">
        <v>6</v>
      </c>
      <c r="CO216" s="15">
        <v>1</v>
      </c>
      <c r="CP216" s="15">
        <v>2</v>
      </c>
      <c r="CQ216" s="15">
        <v>3</v>
      </c>
      <c r="CR216" s="15">
        <v>4</v>
      </c>
      <c r="CS216" s="15">
        <v>5</v>
      </c>
      <c r="CT216" s="15"/>
      <c r="CU216" s="15" t="s">
        <v>328</v>
      </c>
      <c r="CV216" s="15" t="s">
        <v>328</v>
      </c>
      <c r="CW216" s="15"/>
      <c r="CX216" s="15"/>
      <c r="CY216" s="15"/>
      <c r="CZ216" s="15"/>
      <c r="DA216" s="15"/>
      <c r="DB216" s="15"/>
      <c r="DC216" s="15">
        <v>1</v>
      </c>
      <c r="DD216" s="15">
        <v>4</v>
      </c>
      <c r="DE216" s="15">
        <v>5</v>
      </c>
      <c r="DF216" s="15">
        <v>2</v>
      </c>
      <c r="DG216" s="15">
        <v>6</v>
      </c>
      <c r="DH216" s="15">
        <v>3</v>
      </c>
      <c r="DI216" s="15"/>
      <c r="DJ216" s="15" t="s">
        <v>328</v>
      </c>
      <c r="DK216" s="15"/>
      <c r="DL216" s="15"/>
      <c r="DM216" s="15"/>
      <c r="DN216" s="15"/>
      <c r="DO216" s="15"/>
      <c r="DP216" s="15" t="s">
        <v>411</v>
      </c>
      <c r="DQ216" s="15"/>
      <c r="DR216" s="15" t="s">
        <v>328</v>
      </c>
      <c r="DS216" s="15" t="s">
        <v>328</v>
      </c>
      <c r="DT216" s="15" t="s">
        <v>420</v>
      </c>
      <c r="DU216" s="15"/>
      <c r="DV216" s="15"/>
      <c r="DW216" s="15"/>
      <c r="DX216" s="15" t="s">
        <v>1327</v>
      </c>
      <c r="DY216" s="15" t="s">
        <v>328</v>
      </c>
      <c r="DZ216" s="15"/>
      <c r="EA216" s="15"/>
      <c r="EB216" s="15"/>
      <c r="EC216" s="15"/>
      <c r="ED216" s="15"/>
      <c r="EE216" s="102" t="s">
        <v>1327</v>
      </c>
      <c r="EF216" s="48"/>
      <c r="EG216" s="17">
        <f t="shared" si="3"/>
        <v>0</v>
      </c>
    </row>
    <row r="217" spans="1:137" x14ac:dyDescent="0.25">
      <c r="A217" s="51" t="s">
        <v>1856</v>
      </c>
      <c r="B217" s="211">
        <v>41554</v>
      </c>
      <c r="C217" s="212" t="s">
        <v>2752</v>
      </c>
      <c r="D217" s="61" t="s">
        <v>1065</v>
      </c>
      <c r="E217" s="15" t="s">
        <v>328</v>
      </c>
      <c r="F217" s="15"/>
      <c r="G217" s="15">
        <v>43</v>
      </c>
      <c r="H217" s="15" t="s">
        <v>329</v>
      </c>
      <c r="I217" s="15" t="s">
        <v>330</v>
      </c>
      <c r="J217" s="15" t="s">
        <v>1066</v>
      </c>
      <c r="K217" s="15" t="s">
        <v>1304</v>
      </c>
      <c r="L217" s="15" t="s">
        <v>1292</v>
      </c>
      <c r="M217" s="15">
        <v>20</v>
      </c>
      <c r="N217" s="15">
        <v>1</v>
      </c>
      <c r="O217" s="15">
        <v>1</v>
      </c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 t="s">
        <v>328</v>
      </c>
      <c r="AC217" s="15" t="s">
        <v>328</v>
      </c>
      <c r="AD217" s="15"/>
      <c r="AE217" s="15"/>
      <c r="AF217" s="15" t="s">
        <v>328</v>
      </c>
      <c r="AG217" s="15"/>
      <c r="AH217" s="15" t="s">
        <v>328</v>
      </c>
      <c r="AI217" s="15"/>
      <c r="AJ217" s="15"/>
      <c r="AK217" s="15"/>
      <c r="AL217" s="15"/>
      <c r="AM217" s="15" t="s">
        <v>328</v>
      </c>
      <c r="AN217" s="15"/>
      <c r="AO217" s="15" t="s">
        <v>328</v>
      </c>
      <c r="AP217" s="15" t="s">
        <v>328</v>
      </c>
      <c r="AQ217" s="15"/>
      <c r="AR217" s="15">
        <v>8</v>
      </c>
      <c r="AS217" s="15">
        <v>4</v>
      </c>
      <c r="AT217" s="15"/>
      <c r="AU217" s="15" t="s">
        <v>328</v>
      </c>
      <c r="AV217" s="15"/>
      <c r="AW217" s="15"/>
      <c r="AX217" s="15">
        <v>2</v>
      </c>
      <c r="AY217" s="15">
        <v>3</v>
      </c>
      <c r="AZ217" s="15">
        <v>1</v>
      </c>
      <c r="BA217" s="15"/>
      <c r="BB217" s="15" t="s">
        <v>328</v>
      </c>
      <c r="BC217" s="15"/>
      <c r="BD217" s="15" t="s">
        <v>328</v>
      </c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 t="s">
        <v>328</v>
      </c>
      <c r="BP217" s="15"/>
      <c r="BQ217" s="15" t="s">
        <v>328</v>
      </c>
      <c r="BR217" s="15" t="s">
        <v>328</v>
      </c>
      <c r="BS217" s="15"/>
      <c r="BT217" s="15"/>
      <c r="BU217" s="15"/>
      <c r="BV217" s="15"/>
      <c r="BW217" s="15" t="s">
        <v>328</v>
      </c>
      <c r="BX217" s="15"/>
      <c r="BY217" s="15"/>
      <c r="BZ217" s="15"/>
      <c r="CA217" s="15"/>
      <c r="CB217" s="15"/>
      <c r="CC217" s="15"/>
      <c r="CD217" s="15" t="s">
        <v>328</v>
      </c>
      <c r="CE217" s="15" t="s">
        <v>328</v>
      </c>
      <c r="CF217" s="15"/>
      <c r="CG217" s="15" t="s">
        <v>328</v>
      </c>
      <c r="CH217" s="15"/>
      <c r="CI217" s="15"/>
      <c r="CJ217" s="15" t="s">
        <v>328</v>
      </c>
      <c r="CK217" s="15"/>
      <c r="CL217" s="15"/>
      <c r="CM217" s="15"/>
      <c r="CN217" s="15">
        <v>3</v>
      </c>
      <c r="CO217" s="15">
        <v>1</v>
      </c>
      <c r="CP217" s="15">
        <v>2</v>
      </c>
      <c r="CQ217" s="15">
        <v>6</v>
      </c>
      <c r="CR217" s="15">
        <v>5</v>
      </c>
      <c r="CS217" s="15">
        <v>4</v>
      </c>
      <c r="CT217" s="15"/>
      <c r="CU217" s="15"/>
      <c r="CV217" s="15"/>
      <c r="CW217" s="15"/>
      <c r="CX217" s="15"/>
      <c r="CY217" s="15"/>
      <c r="CZ217" s="15" t="s">
        <v>332</v>
      </c>
      <c r="DA217" s="15"/>
      <c r="DB217" s="15"/>
      <c r="DC217" s="15">
        <v>1</v>
      </c>
      <c r="DD217" s="15">
        <v>3</v>
      </c>
      <c r="DE217" s="15">
        <v>4</v>
      </c>
      <c r="DF217" s="15">
        <v>5</v>
      </c>
      <c r="DG217" s="15">
        <v>2</v>
      </c>
      <c r="DH217" s="15">
        <v>6</v>
      </c>
      <c r="DI217" s="15"/>
      <c r="DJ217" s="15" t="s">
        <v>328</v>
      </c>
      <c r="DK217" s="15"/>
      <c r="DL217" s="15"/>
      <c r="DM217" s="15"/>
      <c r="DN217" s="15"/>
      <c r="DO217" s="15"/>
      <c r="DP217" s="14" t="s">
        <v>333</v>
      </c>
      <c r="DQ217" s="15" t="s">
        <v>328</v>
      </c>
      <c r="DR217" s="15"/>
      <c r="DS217" s="15"/>
      <c r="DT217" s="15"/>
      <c r="DU217" s="15"/>
      <c r="DV217" s="15"/>
      <c r="DW217" s="15"/>
      <c r="DX217" s="15" t="s">
        <v>1144</v>
      </c>
      <c r="DY217" s="15" t="s">
        <v>328</v>
      </c>
      <c r="DZ217" s="15"/>
      <c r="EA217" s="15"/>
      <c r="EB217" s="15"/>
      <c r="EC217" s="15"/>
      <c r="ED217" s="15"/>
      <c r="EE217" s="102" t="s">
        <v>1144</v>
      </c>
      <c r="EF217" s="48"/>
      <c r="EG217" s="17">
        <f t="shared" si="3"/>
        <v>0</v>
      </c>
    </row>
    <row r="218" spans="1:137" x14ac:dyDescent="0.25">
      <c r="A218" s="51" t="s">
        <v>1856</v>
      </c>
      <c r="B218" s="211">
        <v>41554</v>
      </c>
      <c r="C218" s="212" t="s">
        <v>2752</v>
      </c>
      <c r="D218" s="61" t="s">
        <v>1067</v>
      </c>
      <c r="E218" s="15" t="s">
        <v>328</v>
      </c>
      <c r="F218" s="15"/>
      <c r="G218" s="15">
        <v>38</v>
      </c>
      <c r="H218" s="15" t="s">
        <v>329</v>
      </c>
      <c r="I218" s="15" t="s">
        <v>357</v>
      </c>
      <c r="J218" s="15" t="s">
        <v>1068</v>
      </c>
      <c r="K218" s="15" t="s">
        <v>1305</v>
      </c>
      <c r="L218" s="15" t="s">
        <v>1293</v>
      </c>
      <c r="M218" s="15">
        <v>6</v>
      </c>
      <c r="N218" s="15">
        <v>3</v>
      </c>
      <c r="O218" s="15">
        <v>3</v>
      </c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 t="s">
        <v>328</v>
      </c>
      <c r="AD218" s="15"/>
      <c r="AE218" s="15"/>
      <c r="AF218" s="15"/>
      <c r="AG218" s="15"/>
      <c r="AH218" s="15" t="s">
        <v>328</v>
      </c>
      <c r="AI218" s="15"/>
      <c r="AJ218" s="15"/>
      <c r="AK218" s="15"/>
      <c r="AL218" s="15" t="s">
        <v>328</v>
      </c>
      <c r="AM218" s="15"/>
      <c r="AN218" s="15"/>
      <c r="AO218" s="15"/>
      <c r="AP218" s="15" t="s">
        <v>328</v>
      </c>
      <c r="AQ218" s="15"/>
      <c r="AR218" s="15">
        <v>5</v>
      </c>
      <c r="AS218" s="15">
        <v>1</v>
      </c>
      <c r="AT218" s="15"/>
      <c r="AU218" s="15"/>
      <c r="AV218" s="15" t="s">
        <v>328</v>
      </c>
      <c r="AW218" s="15"/>
      <c r="AX218" s="15">
        <v>1</v>
      </c>
      <c r="AY218" s="15">
        <v>2</v>
      </c>
      <c r="AZ218" s="15">
        <v>3</v>
      </c>
      <c r="BA218" s="15"/>
      <c r="BB218" s="15" t="s">
        <v>328</v>
      </c>
      <c r="BC218" s="15"/>
      <c r="BD218" s="15"/>
      <c r="BE218" s="15"/>
      <c r="BF218" s="15"/>
      <c r="BG218" s="15" t="s">
        <v>328</v>
      </c>
      <c r="BH218" s="15"/>
      <c r="BI218" s="15"/>
      <c r="BJ218" s="15"/>
      <c r="BK218" s="15"/>
      <c r="BL218" s="15"/>
      <c r="BM218" s="15"/>
      <c r="BN218" s="15"/>
      <c r="BO218" s="15" t="s">
        <v>328</v>
      </c>
      <c r="BP218" s="15" t="s">
        <v>328</v>
      </c>
      <c r="BQ218" s="15"/>
      <c r="BR218" s="15"/>
      <c r="BS218" s="15"/>
      <c r="BT218" s="15"/>
      <c r="BU218" s="15"/>
      <c r="BV218" s="15" t="s">
        <v>328</v>
      </c>
      <c r="BW218" s="15"/>
      <c r="BX218" s="15"/>
      <c r="BY218" s="15"/>
      <c r="BZ218" s="15"/>
      <c r="CA218" s="15"/>
      <c r="CB218" s="15" t="s">
        <v>328</v>
      </c>
      <c r="CC218" s="15"/>
      <c r="CD218" s="15"/>
      <c r="CE218" s="15"/>
      <c r="CF218" s="15"/>
      <c r="CG218" s="15"/>
      <c r="CH218" s="15"/>
      <c r="CI218" s="15" t="s">
        <v>328</v>
      </c>
      <c r="CJ218" s="15"/>
      <c r="CK218" s="15"/>
      <c r="CL218" s="15"/>
      <c r="CM218" s="15"/>
      <c r="CN218" s="15">
        <v>3</v>
      </c>
      <c r="CO218" s="15">
        <v>2</v>
      </c>
      <c r="CP218" s="15">
        <v>1</v>
      </c>
      <c r="CQ218" s="15">
        <v>6</v>
      </c>
      <c r="CR218" s="15">
        <v>4</v>
      </c>
      <c r="CS218" s="15">
        <v>5</v>
      </c>
      <c r="CT218" s="15"/>
      <c r="CU218" s="15"/>
      <c r="CV218" s="15"/>
      <c r="CW218" s="15"/>
      <c r="CX218" s="15"/>
      <c r="CY218" s="15"/>
      <c r="CZ218" s="15" t="s">
        <v>332</v>
      </c>
      <c r="DA218" s="15"/>
      <c r="DB218" s="15"/>
      <c r="DC218" s="15">
        <v>1</v>
      </c>
      <c r="DD218" s="15">
        <v>2</v>
      </c>
      <c r="DE218" s="15">
        <v>3</v>
      </c>
      <c r="DF218" s="15">
        <v>5</v>
      </c>
      <c r="DG218" s="15">
        <v>4</v>
      </c>
      <c r="DH218" s="15">
        <v>6</v>
      </c>
      <c r="DI218" s="15"/>
      <c r="DJ218" s="15" t="s">
        <v>328</v>
      </c>
      <c r="DK218" s="15"/>
      <c r="DL218" s="15"/>
      <c r="DM218" s="15"/>
      <c r="DN218" s="15"/>
      <c r="DO218" s="15"/>
      <c r="DP218" s="15" t="s">
        <v>411</v>
      </c>
      <c r="DQ218" s="15" t="s">
        <v>328</v>
      </c>
      <c r="DR218" s="15"/>
      <c r="DS218" s="15"/>
      <c r="DT218" s="15"/>
      <c r="DU218" s="15"/>
      <c r="DV218" s="15"/>
      <c r="DW218" s="15"/>
      <c r="DX218" s="15" t="s">
        <v>1161</v>
      </c>
      <c r="DY218" s="15" t="s">
        <v>328</v>
      </c>
      <c r="DZ218" s="15"/>
      <c r="EA218" s="15"/>
      <c r="EB218" s="15"/>
      <c r="EC218" s="15"/>
      <c r="ED218" s="15"/>
      <c r="EE218" s="102" t="s">
        <v>1161</v>
      </c>
      <c r="EF218" s="48"/>
      <c r="EG218" s="17">
        <f t="shared" si="3"/>
        <v>0</v>
      </c>
    </row>
    <row r="219" spans="1:137" x14ac:dyDescent="0.25">
      <c r="A219" s="51" t="s">
        <v>1856</v>
      </c>
      <c r="B219" s="211">
        <v>41554</v>
      </c>
      <c r="C219" s="212" t="s">
        <v>2752</v>
      </c>
      <c r="D219" s="61" t="s">
        <v>1069</v>
      </c>
      <c r="E219" s="15" t="s">
        <v>328</v>
      </c>
      <c r="F219" s="15"/>
      <c r="G219" s="15">
        <v>46</v>
      </c>
      <c r="H219" s="15" t="s">
        <v>329</v>
      </c>
      <c r="I219" s="15" t="s">
        <v>330</v>
      </c>
      <c r="J219" s="15" t="s">
        <v>1070</v>
      </c>
      <c r="K219" s="15" t="s">
        <v>1306</v>
      </c>
      <c r="L219" s="15" t="s">
        <v>1256</v>
      </c>
      <c r="M219" s="15">
        <v>25</v>
      </c>
      <c r="N219" s="15">
        <v>1</v>
      </c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>
        <v>1</v>
      </c>
      <c r="AA219" s="14"/>
      <c r="AB219" s="15" t="s">
        <v>328</v>
      </c>
      <c r="AC219" s="15"/>
      <c r="AD219" s="15"/>
      <c r="AE219" s="15"/>
      <c r="AF219" s="15"/>
      <c r="AG219" s="15" t="s">
        <v>328</v>
      </c>
      <c r="AH219" s="15"/>
      <c r="AI219" s="15"/>
      <c r="AJ219" s="15"/>
      <c r="AK219" s="15"/>
      <c r="AL219" s="15"/>
      <c r="AM219" s="15" t="s">
        <v>328</v>
      </c>
      <c r="AN219" s="15"/>
      <c r="AO219" s="15" t="s">
        <v>328</v>
      </c>
      <c r="AP219" s="15"/>
      <c r="AQ219" s="15"/>
      <c r="AR219" s="15">
        <v>0</v>
      </c>
      <c r="AS219" s="15">
        <v>0</v>
      </c>
      <c r="AT219" s="15"/>
      <c r="AU219" s="15" t="s">
        <v>328</v>
      </c>
      <c r="AV219" s="15"/>
      <c r="AW219" s="15"/>
      <c r="AX219" s="15">
        <v>2</v>
      </c>
      <c r="AY219" s="15">
        <v>3</v>
      </c>
      <c r="AZ219" s="15">
        <v>1</v>
      </c>
      <c r="BA219" s="15"/>
      <c r="BB219" s="15" t="s">
        <v>328</v>
      </c>
      <c r="BC219" s="15"/>
      <c r="BD219" s="15" t="s">
        <v>328</v>
      </c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 t="s">
        <v>328</v>
      </c>
      <c r="BP219" s="15"/>
      <c r="BQ219" s="15" t="s">
        <v>328</v>
      </c>
      <c r="BR219" s="15" t="s">
        <v>328</v>
      </c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 t="s">
        <v>328</v>
      </c>
      <c r="CE219" s="15"/>
      <c r="CF219" s="15" t="s">
        <v>328</v>
      </c>
      <c r="CG219" s="15"/>
      <c r="CH219" s="15"/>
      <c r="CI219" s="15"/>
      <c r="CJ219" s="15" t="s">
        <v>328</v>
      </c>
      <c r="CK219" s="15"/>
      <c r="CL219" s="15"/>
      <c r="CM219" s="15"/>
      <c r="CN219" s="15">
        <v>3</v>
      </c>
      <c r="CO219" s="15">
        <v>1</v>
      </c>
      <c r="CP219" s="15">
        <v>2</v>
      </c>
      <c r="CQ219" s="15">
        <v>5</v>
      </c>
      <c r="CR219" s="15">
        <v>6</v>
      </c>
      <c r="CS219" s="15">
        <v>4</v>
      </c>
      <c r="CT219" s="15"/>
      <c r="CU219" s="15"/>
      <c r="CV219" s="15"/>
      <c r="CW219" s="15"/>
      <c r="CX219" s="15"/>
      <c r="CY219" s="15"/>
      <c r="CZ219" s="15" t="s">
        <v>332</v>
      </c>
      <c r="DA219" s="15"/>
      <c r="DB219" s="15"/>
      <c r="DC219" s="15">
        <v>1</v>
      </c>
      <c r="DD219" s="15">
        <v>2</v>
      </c>
      <c r="DE219" s="15">
        <v>3</v>
      </c>
      <c r="DF219" s="15">
        <v>4</v>
      </c>
      <c r="DG219" s="15">
        <v>5</v>
      </c>
      <c r="DH219" s="15">
        <v>6</v>
      </c>
      <c r="DI219" s="15"/>
      <c r="DJ219" s="15" t="s">
        <v>328</v>
      </c>
      <c r="DK219" s="15"/>
      <c r="DL219" s="15"/>
      <c r="DM219" s="15"/>
      <c r="DN219" s="15"/>
      <c r="DO219" s="15"/>
      <c r="DP219" s="14" t="s">
        <v>333</v>
      </c>
      <c r="DQ219" s="15" t="s">
        <v>328</v>
      </c>
      <c r="DR219" s="15"/>
      <c r="DS219" s="15"/>
      <c r="DT219" s="15"/>
      <c r="DU219" s="15"/>
      <c r="DV219" s="15"/>
      <c r="DW219" s="15"/>
      <c r="DX219" s="15" t="s">
        <v>1144</v>
      </c>
      <c r="DY219" s="15" t="s">
        <v>328</v>
      </c>
      <c r="DZ219" s="15"/>
      <c r="EA219" s="15"/>
      <c r="EB219" s="15"/>
      <c r="EC219" s="15"/>
      <c r="ED219" s="15"/>
      <c r="EE219" s="102" t="s">
        <v>1144</v>
      </c>
      <c r="EF219" s="48"/>
      <c r="EG219" s="17">
        <f t="shared" si="3"/>
        <v>0</v>
      </c>
    </row>
    <row r="220" spans="1:137" x14ac:dyDescent="0.25">
      <c r="A220" s="51" t="s">
        <v>1856</v>
      </c>
      <c r="B220" s="211">
        <v>41555</v>
      </c>
      <c r="C220" s="212" t="s">
        <v>2752</v>
      </c>
      <c r="D220" s="61" t="s">
        <v>1071</v>
      </c>
      <c r="E220" s="15" t="s">
        <v>328</v>
      </c>
      <c r="F220" s="15"/>
      <c r="G220" s="15">
        <v>51</v>
      </c>
      <c r="H220" s="15" t="s">
        <v>329</v>
      </c>
      <c r="I220" s="15" t="s">
        <v>330</v>
      </c>
      <c r="J220" s="15" t="s">
        <v>1072</v>
      </c>
      <c r="K220" s="15" t="s">
        <v>1307</v>
      </c>
      <c r="L220" s="15" t="s">
        <v>1301</v>
      </c>
      <c r="M220" s="15">
        <v>28</v>
      </c>
      <c r="N220" s="15">
        <v>1</v>
      </c>
      <c r="O220" s="15">
        <v>1</v>
      </c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 t="s">
        <v>328</v>
      </c>
      <c r="AD220" s="15"/>
      <c r="AE220" s="15"/>
      <c r="AF220" s="15"/>
      <c r="AG220" s="15"/>
      <c r="AH220" s="15"/>
      <c r="AI220" s="15"/>
      <c r="AJ220" s="15"/>
      <c r="AK220" s="15"/>
      <c r="AL220" s="15"/>
      <c r="AM220" s="15" t="s">
        <v>328</v>
      </c>
      <c r="AN220" s="15"/>
      <c r="AO220" s="15" t="s">
        <v>328</v>
      </c>
      <c r="AP220" s="15"/>
      <c r="AQ220" s="15"/>
      <c r="AR220" s="15">
        <v>0</v>
      </c>
      <c r="AS220" s="15">
        <v>0</v>
      </c>
      <c r="AT220" s="15"/>
      <c r="AU220" s="15" t="s">
        <v>328</v>
      </c>
      <c r="AV220" s="15"/>
      <c r="AW220" s="15"/>
      <c r="AX220" s="15">
        <v>1</v>
      </c>
      <c r="AY220" s="15">
        <v>3</v>
      </c>
      <c r="AZ220" s="15">
        <v>2</v>
      </c>
      <c r="BA220" s="15"/>
      <c r="BB220" s="15" t="s">
        <v>328</v>
      </c>
      <c r="BC220" s="15"/>
      <c r="BD220" s="15" t="s">
        <v>328</v>
      </c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 t="s">
        <v>328</v>
      </c>
      <c r="BP220" s="15"/>
      <c r="BQ220" s="15" t="s">
        <v>328</v>
      </c>
      <c r="BR220" s="15"/>
      <c r="BS220" s="15" t="s">
        <v>328</v>
      </c>
      <c r="BT220" s="15"/>
      <c r="BU220" s="15"/>
      <c r="BV220" s="15"/>
      <c r="BW220" s="15" t="s">
        <v>328</v>
      </c>
      <c r="BX220" s="15"/>
      <c r="BY220" s="15"/>
      <c r="BZ220" s="15"/>
      <c r="CA220" s="15"/>
      <c r="CB220" s="15"/>
      <c r="CC220" s="15"/>
      <c r="CD220" s="15" t="s">
        <v>328</v>
      </c>
      <c r="CE220" s="15"/>
      <c r="CF220" s="15"/>
      <c r="CG220" s="15"/>
      <c r="CH220" s="15"/>
      <c r="CI220" s="15" t="s">
        <v>328</v>
      </c>
      <c r="CJ220" s="15"/>
      <c r="CK220" s="15"/>
      <c r="CL220" s="15"/>
      <c r="CM220" s="15"/>
      <c r="CN220" s="15">
        <v>6</v>
      </c>
      <c r="CO220" s="15">
        <v>1</v>
      </c>
      <c r="CP220" s="15">
        <v>2</v>
      </c>
      <c r="CQ220" s="15">
        <v>4</v>
      </c>
      <c r="CR220" s="15">
        <v>3</v>
      </c>
      <c r="CS220" s="15">
        <v>5</v>
      </c>
      <c r="CT220" s="15"/>
      <c r="CU220" s="15"/>
      <c r="CV220" s="15"/>
      <c r="CW220" s="15"/>
      <c r="CX220" s="15"/>
      <c r="CY220" s="15"/>
      <c r="CZ220" s="15" t="s">
        <v>332</v>
      </c>
      <c r="DA220" s="15"/>
      <c r="DB220" s="15"/>
      <c r="DC220" s="15">
        <v>1</v>
      </c>
      <c r="DD220" s="15">
        <v>3</v>
      </c>
      <c r="DE220" s="15">
        <v>4</v>
      </c>
      <c r="DF220" s="15">
        <v>6</v>
      </c>
      <c r="DG220" s="15">
        <v>2</v>
      </c>
      <c r="DH220" s="15">
        <v>5</v>
      </c>
      <c r="DI220" s="15"/>
      <c r="DJ220" s="15" t="s">
        <v>328</v>
      </c>
      <c r="DK220" s="15"/>
      <c r="DL220" s="15"/>
      <c r="DM220" s="15"/>
      <c r="DN220" s="15"/>
      <c r="DO220" s="15"/>
      <c r="DP220" s="15" t="s">
        <v>411</v>
      </c>
      <c r="DQ220" s="15" t="s">
        <v>328</v>
      </c>
      <c r="DR220" s="15"/>
      <c r="DS220" s="15"/>
      <c r="DT220" s="15"/>
      <c r="DU220" s="15"/>
      <c r="DV220" s="15"/>
      <c r="DW220" s="15"/>
      <c r="DX220" s="15" t="s">
        <v>497</v>
      </c>
      <c r="DY220" s="15" t="s">
        <v>328</v>
      </c>
      <c r="DZ220" s="15"/>
      <c r="EA220" s="15"/>
      <c r="EB220" s="15"/>
      <c r="EC220" s="15"/>
      <c r="ED220" s="15"/>
      <c r="EE220" s="102" t="s">
        <v>497</v>
      </c>
      <c r="EF220" s="48"/>
      <c r="EG220" s="17">
        <f t="shared" si="3"/>
        <v>0</v>
      </c>
    </row>
    <row r="221" spans="1:137" x14ac:dyDescent="0.25">
      <c r="A221" s="51" t="s">
        <v>1856</v>
      </c>
      <c r="B221" s="211">
        <v>41555</v>
      </c>
      <c r="C221" s="212" t="s">
        <v>2752</v>
      </c>
      <c r="D221" s="61" t="s">
        <v>1073</v>
      </c>
      <c r="E221" s="15" t="s">
        <v>328</v>
      </c>
      <c r="F221" s="15"/>
      <c r="G221" s="15">
        <v>39</v>
      </c>
      <c r="H221" s="15" t="s">
        <v>329</v>
      </c>
      <c r="I221" s="15" t="s">
        <v>330</v>
      </c>
      <c r="J221" s="15" t="s">
        <v>1074</v>
      </c>
      <c r="K221" s="15" t="s">
        <v>1308</v>
      </c>
      <c r="L221" s="15" t="s">
        <v>1287</v>
      </c>
      <c r="M221" s="15">
        <v>10</v>
      </c>
      <c r="N221" s="15">
        <v>1</v>
      </c>
      <c r="O221" s="15">
        <v>1</v>
      </c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 t="s">
        <v>328</v>
      </c>
      <c r="AD221" s="15"/>
      <c r="AE221" s="15"/>
      <c r="AF221" s="15" t="s">
        <v>328</v>
      </c>
      <c r="AG221" s="15"/>
      <c r="AH221" s="15"/>
      <c r="AI221" s="15"/>
      <c r="AJ221" s="15"/>
      <c r="AK221" s="15"/>
      <c r="AL221" s="15"/>
      <c r="AM221" s="15" t="s">
        <v>328</v>
      </c>
      <c r="AN221" s="15"/>
      <c r="AO221" s="15"/>
      <c r="AP221" s="15" t="s">
        <v>328</v>
      </c>
      <c r="AQ221" s="15"/>
      <c r="AR221" s="15">
        <v>7</v>
      </c>
      <c r="AS221" s="15">
        <v>2</v>
      </c>
      <c r="AT221" s="15"/>
      <c r="AU221" s="15" t="s">
        <v>328</v>
      </c>
      <c r="AV221" s="15"/>
      <c r="AW221" s="15"/>
      <c r="AX221" s="15">
        <v>2</v>
      </c>
      <c r="AY221" s="15">
        <v>3</v>
      </c>
      <c r="AZ221" s="15">
        <v>1</v>
      </c>
      <c r="BA221" s="15"/>
      <c r="BB221" s="15" t="s">
        <v>328</v>
      </c>
      <c r="BC221" s="15"/>
      <c r="BD221" s="15" t="s">
        <v>328</v>
      </c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 t="s">
        <v>328</v>
      </c>
      <c r="BP221" s="15" t="s">
        <v>328</v>
      </c>
      <c r="BQ221" s="15"/>
      <c r="BR221" s="15"/>
      <c r="BS221" s="15" t="s">
        <v>328</v>
      </c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 t="s">
        <v>328</v>
      </c>
      <c r="CE221" s="15"/>
      <c r="CF221" s="15" t="s">
        <v>328</v>
      </c>
      <c r="CG221" s="15" t="s">
        <v>328</v>
      </c>
      <c r="CH221" s="15"/>
      <c r="CI221" s="15"/>
      <c r="CJ221" s="15" t="s">
        <v>328</v>
      </c>
      <c r="CK221" s="15"/>
      <c r="CL221" s="15"/>
      <c r="CM221" s="15"/>
      <c r="CN221" s="15">
        <v>5</v>
      </c>
      <c r="CO221" s="15">
        <v>3</v>
      </c>
      <c r="CP221" s="15">
        <v>4</v>
      </c>
      <c r="CQ221" s="15">
        <v>1</v>
      </c>
      <c r="CR221" s="15">
        <v>2</v>
      </c>
      <c r="CS221" s="15">
        <v>6</v>
      </c>
      <c r="CT221" s="15"/>
      <c r="CU221" s="15"/>
      <c r="CV221" s="15"/>
      <c r="CW221" s="15"/>
      <c r="CX221" s="15"/>
      <c r="CY221" s="15"/>
      <c r="CZ221" s="15" t="s">
        <v>332</v>
      </c>
      <c r="DA221" s="15"/>
      <c r="DB221" s="15"/>
      <c r="DC221" s="15">
        <v>1</v>
      </c>
      <c r="DD221" s="15">
        <v>5</v>
      </c>
      <c r="DE221" s="15">
        <v>6</v>
      </c>
      <c r="DF221" s="15">
        <v>4</v>
      </c>
      <c r="DG221" s="15">
        <v>2</v>
      </c>
      <c r="DH221" s="15">
        <v>3</v>
      </c>
      <c r="DI221" s="15"/>
      <c r="DJ221" s="15"/>
      <c r="DK221" s="15" t="s">
        <v>328</v>
      </c>
      <c r="DL221" s="15" t="s">
        <v>328</v>
      </c>
      <c r="DM221" s="15" t="s">
        <v>1075</v>
      </c>
      <c r="DN221" s="15"/>
      <c r="DO221" s="15"/>
      <c r="DP221" s="15" t="s">
        <v>411</v>
      </c>
      <c r="DQ221" s="15"/>
      <c r="DR221" s="15" t="s">
        <v>328</v>
      </c>
      <c r="DS221" s="15" t="s">
        <v>328</v>
      </c>
      <c r="DT221" s="15" t="s">
        <v>607</v>
      </c>
      <c r="DU221" s="15"/>
      <c r="DV221" s="15"/>
      <c r="DW221" s="15"/>
      <c r="DX221" s="15" t="s">
        <v>450</v>
      </c>
      <c r="DY221" s="15" t="s">
        <v>328</v>
      </c>
      <c r="DZ221" s="15"/>
      <c r="EA221" s="15"/>
      <c r="EB221" s="15"/>
      <c r="EC221" s="15"/>
      <c r="ED221" s="15"/>
      <c r="EE221" s="102" t="s">
        <v>1152</v>
      </c>
      <c r="EF221" s="48"/>
      <c r="EG221" s="17">
        <f t="shared" si="3"/>
        <v>0</v>
      </c>
    </row>
    <row r="222" spans="1:137" x14ac:dyDescent="0.25">
      <c r="A222" s="51" t="s">
        <v>1856</v>
      </c>
      <c r="B222" s="211">
        <v>41555</v>
      </c>
      <c r="C222" s="212" t="s">
        <v>2752</v>
      </c>
      <c r="D222" s="61" t="s">
        <v>1076</v>
      </c>
      <c r="E222" s="15" t="s">
        <v>328</v>
      </c>
      <c r="F222" s="15"/>
      <c r="G222" s="15">
        <v>46</v>
      </c>
      <c r="H222" s="15" t="s">
        <v>329</v>
      </c>
      <c r="I222" s="15" t="s">
        <v>330</v>
      </c>
      <c r="J222" s="15" t="s">
        <v>1077</v>
      </c>
      <c r="K222" s="15" t="s">
        <v>1309</v>
      </c>
      <c r="L222" s="15" t="s">
        <v>1288</v>
      </c>
      <c r="M222" s="15">
        <v>10</v>
      </c>
      <c r="N222" s="15">
        <v>1</v>
      </c>
      <c r="O222" s="15">
        <v>1</v>
      </c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 t="s">
        <v>418</v>
      </c>
      <c r="AL222" s="15"/>
      <c r="AM222" s="15" t="s">
        <v>328</v>
      </c>
      <c r="AN222" s="15"/>
      <c r="AO222" s="15"/>
      <c r="AP222" s="15" t="s">
        <v>328</v>
      </c>
      <c r="AQ222" s="15"/>
      <c r="AR222" s="15">
        <v>10</v>
      </c>
      <c r="AS222" s="15">
        <v>3</v>
      </c>
      <c r="AT222" s="15"/>
      <c r="AU222" s="15"/>
      <c r="AV222" s="15" t="s">
        <v>328</v>
      </c>
      <c r="AW222" s="15"/>
      <c r="AX222" s="15">
        <v>1</v>
      </c>
      <c r="AY222" s="15">
        <v>3</v>
      </c>
      <c r="AZ222" s="15">
        <v>2</v>
      </c>
      <c r="BA222" s="15"/>
      <c r="BB222" s="15" t="s">
        <v>328</v>
      </c>
      <c r="BC222" s="15"/>
      <c r="BD222" s="15"/>
      <c r="BE222" s="15"/>
      <c r="BF222" s="15"/>
      <c r="BG222" s="15"/>
      <c r="BH222" s="15"/>
      <c r="BI222" s="15"/>
      <c r="BJ222" s="15"/>
      <c r="BK222" s="15" t="s">
        <v>328</v>
      </c>
      <c r="BL222" s="15"/>
      <c r="BM222" s="15"/>
      <c r="BN222" s="15"/>
      <c r="BO222" s="15" t="s">
        <v>328</v>
      </c>
      <c r="BP222" s="15" t="s">
        <v>328</v>
      </c>
      <c r="BQ222" s="15"/>
      <c r="BR222" s="15"/>
      <c r="BS222" s="15" t="s">
        <v>328</v>
      </c>
      <c r="BT222" s="15"/>
      <c r="BU222" s="15"/>
      <c r="BV222" s="15"/>
      <c r="BW222" s="15" t="s">
        <v>328</v>
      </c>
      <c r="BX222" s="15"/>
      <c r="BY222" s="15"/>
      <c r="BZ222" s="15"/>
      <c r="CA222" s="15"/>
      <c r="CB222" s="15" t="s">
        <v>328</v>
      </c>
      <c r="CC222" s="15" t="s">
        <v>328</v>
      </c>
      <c r="CD222" s="15" t="s">
        <v>328</v>
      </c>
      <c r="CE222" s="15"/>
      <c r="CF222" s="15"/>
      <c r="CG222" s="15"/>
      <c r="CH222" s="15"/>
      <c r="CI222" s="15" t="s">
        <v>328</v>
      </c>
      <c r="CJ222" s="15"/>
      <c r="CK222" s="15"/>
      <c r="CL222" s="15"/>
      <c r="CM222" s="15"/>
      <c r="CN222" s="15">
        <v>3</v>
      </c>
      <c r="CO222" s="15">
        <v>1</v>
      </c>
      <c r="CP222" s="15">
        <v>2</v>
      </c>
      <c r="CQ222" s="15">
        <v>4</v>
      </c>
      <c r="CR222" s="15">
        <v>5</v>
      </c>
      <c r="CS222" s="15">
        <v>6</v>
      </c>
      <c r="CT222" s="15"/>
      <c r="CU222" s="15"/>
      <c r="CV222" s="15"/>
      <c r="CW222" s="15"/>
      <c r="CX222" s="15"/>
      <c r="CY222" s="15"/>
      <c r="CZ222" s="15" t="s">
        <v>332</v>
      </c>
      <c r="DA222" s="15"/>
      <c r="DB222" s="15"/>
      <c r="DC222" s="15">
        <v>1</v>
      </c>
      <c r="DD222" s="15">
        <v>4</v>
      </c>
      <c r="DE222" s="15">
        <v>2</v>
      </c>
      <c r="DF222" s="15">
        <v>5</v>
      </c>
      <c r="DG222" s="15">
        <v>3</v>
      </c>
      <c r="DH222" s="15">
        <v>6</v>
      </c>
      <c r="DI222" s="15"/>
      <c r="DJ222" s="15" t="s">
        <v>328</v>
      </c>
      <c r="DK222" s="15"/>
      <c r="DL222" s="15"/>
      <c r="DM222" s="15"/>
      <c r="DN222" s="15"/>
      <c r="DO222" s="15"/>
      <c r="DP222" s="15" t="s">
        <v>411</v>
      </c>
      <c r="DQ222" s="15" t="s">
        <v>328</v>
      </c>
      <c r="DR222" s="15"/>
      <c r="DS222" s="15"/>
      <c r="DT222" s="15"/>
      <c r="DU222" s="15"/>
      <c r="DV222" s="15"/>
      <c r="DW222" s="15"/>
      <c r="DX222" s="15" t="s">
        <v>1161</v>
      </c>
      <c r="DY222" s="15" t="s">
        <v>328</v>
      </c>
      <c r="DZ222" s="15"/>
      <c r="EA222" s="15"/>
      <c r="EB222" s="15"/>
      <c r="EC222" s="15"/>
      <c r="ED222" s="15"/>
      <c r="EE222" s="102" t="s">
        <v>1161</v>
      </c>
      <c r="EF222" s="48"/>
      <c r="EG222" s="17">
        <f t="shared" si="3"/>
        <v>0</v>
      </c>
    </row>
    <row r="223" spans="1:137" x14ac:dyDescent="0.25">
      <c r="A223" s="51" t="s">
        <v>1856</v>
      </c>
      <c r="B223" s="211">
        <v>41555</v>
      </c>
      <c r="C223" s="212" t="s">
        <v>2752</v>
      </c>
      <c r="D223" s="61" t="s">
        <v>1078</v>
      </c>
      <c r="E223" s="15" t="s">
        <v>328</v>
      </c>
      <c r="F223" s="15"/>
      <c r="G223" s="15">
        <v>50</v>
      </c>
      <c r="H223" s="15" t="s">
        <v>329</v>
      </c>
      <c r="I223" s="15" t="s">
        <v>353</v>
      </c>
      <c r="J223" s="15" t="s">
        <v>1064</v>
      </c>
      <c r="K223" s="15" t="s">
        <v>1273</v>
      </c>
      <c r="L223" s="15" t="s">
        <v>1293</v>
      </c>
      <c r="M223" s="15">
        <v>28</v>
      </c>
      <c r="N223" s="15">
        <v>1</v>
      </c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>
        <v>1</v>
      </c>
      <c r="AA223" s="14"/>
      <c r="AB223" s="15" t="s">
        <v>328</v>
      </c>
      <c r="AC223" s="15"/>
      <c r="AD223" s="15"/>
      <c r="AE223" s="15"/>
      <c r="AF223" s="15"/>
      <c r="AG223" s="15" t="s">
        <v>328</v>
      </c>
      <c r="AH223" s="15"/>
      <c r="AI223" s="15"/>
      <c r="AJ223" s="15"/>
      <c r="AK223" s="15"/>
      <c r="AL223" s="15"/>
      <c r="AM223" s="15" t="s">
        <v>328</v>
      </c>
      <c r="AN223" s="15"/>
      <c r="AO223" s="15" t="s">
        <v>328</v>
      </c>
      <c r="AP223" s="15"/>
      <c r="AQ223" s="15"/>
      <c r="AR223" s="15">
        <v>0</v>
      </c>
      <c r="AS223" s="15">
        <v>0</v>
      </c>
      <c r="AT223" s="15"/>
      <c r="AU223" s="15" t="s">
        <v>328</v>
      </c>
      <c r="AV223" s="15"/>
      <c r="AW223" s="15"/>
      <c r="AX223" s="15">
        <v>3</v>
      </c>
      <c r="AY223" s="15">
        <v>2</v>
      </c>
      <c r="AZ223" s="15">
        <v>1</v>
      </c>
      <c r="BA223" s="15"/>
      <c r="BB223" s="15" t="s">
        <v>328</v>
      </c>
      <c r="BC223" s="15"/>
      <c r="BD223" s="15" t="s">
        <v>328</v>
      </c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 t="s">
        <v>328</v>
      </c>
      <c r="BP223" s="15"/>
      <c r="BQ223" s="15" t="s">
        <v>328</v>
      </c>
      <c r="BR223" s="15" t="s">
        <v>328</v>
      </c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 t="s">
        <v>328</v>
      </c>
      <c r="CE223" s="15" t="s">
        <v>328</v>
      </c>
      <c r="CF223" s="15"/>
      <c r="CG223" s="15"/>
      <c r="CH223" s="15"/>
      <c r="CI223" s="15"/>
      <c r="CJ223" s="15" t="s">
        <v>328</v>
      </c>
      <c r="CK223" s="15"/>
      <c r="CL223" s="15"/>
      <c r="CM223" s="15"/>
      <c r="CN223" s="15">
        <v>4</v>
      </c>
      <c r="CO223" s="15">
        <v>2</v>
      </c>
      <c r="CP223" s="15">
        <v>1</v>
      </c>
      <c r="CQ223" s="15">
        <v>5</v>
      </c>
      <c r="CR223" s="15">
        <v>3</v>
      </c>
      <c r="CS223" s="15">
        <v>6</v>
      </c>
      <c r="CT223" s="15"/>
      <c r="CU223" s="15"/>
      <c r="CV223" s="15"/>
      <c r="CW223" s="15"/>
      <c r="CX223" s="15" t="s">
        <v>328</v>
      </c>
      <c r="CY223" s="15"/>
      <c r="CZ223" s="15"/>
      <c r="DA223" s="15"/>
      <c r="DB223" s="15"/>
      <c r="DC223" s="15">
        <v>1</v>
      </c>
      <c r="DD223" s="15">
        <v>2</v>
      </c>
      <c r="DE223" s="15">
        <v>3</v>
      </c>
      <c r="DF223" s="15">
        <v>4</v>
      </c>
      <c r="DG223" s="15">
        <v>5</v>
      </c>
      <c r="DH223" s="15">
        <v>6</v>
      </c>
      <c r="DI223" s="15"/>
      <c r="DJ223" s="15" t="s">
        <v>328</v>
      </c>
      <c r="DK223" s="15"/>
      <c r="DL223" s="15"/>
      <c r="DM223" s="15"/>
      <c r="DN223" s="15"/>
      <c r="DO223" s="15"/>
      <c r="DP223" s="15" t="s">
        <v>411</v>
      </c>
      <c r="DQ223" s="15" t="s">
        <v>328</v>
      </c>
      <c r="DR223" s="15"/>
      <c r="DS223" s="15"/>
      <c r="DT223" s="15"/>
      <c r="DU223" s="15"/>
      <c r="DV223" s="15"/>
      <c r="DW223" s="15"/>
      <c r="DX223" s="15" t="s">
        <v>1327</v>
      </c>
      <c r="DY223" s="15" t="s">
        <v>328</v>
      </c>
      <c r="DZ223" s="15"/>
      <c r="EA223" s="15"/>
      <c r="EB223" s="15"/>
      <c r="EC223" s="15"/>
      <c r="ED223" s="15"/>
      <c r="EE223" s="102" t="s">
        <v>1327</v>
      </c>
      <c r="EF223" s="48"/>
      <c r="EG223" s="17">
        <f t="shared" si="3"/>
        <v>0</v>
      </c>
    </row>
    <row r="224" spans="1:137" x14ac:dyDescent="0.25">
      <c r="A224" s="51" t="s">
        <v>1856</v>
      </c>
      <c r="B224" s="211">
        <v>41555</v>
      </c>
      <c r="C224" s="212" t="s">
        <v>2752</v>
      </c>
      <c r="D224" s="61" t="s">
        <v>1079</v>
      </c>
      <c r="E224" s="15" t="s">
        <v>328</v>
      </c>
      <c r="F224" s="15"/>
      <c r="G224" s="15">
        <v>39</v>
      </c>
      <c r="H224" s="15" t="s">
        <v>329</v>
      </c>
      <c r="I224" s="15" t="s">
        <v>357</v>
      </c>
      <c r="J224" s="15" t="s">
        <v>1080</v>
      </c>
      <c r="K224" s="15" t="s">
        <v>1310</v>
      </c>
      <c r="L224" s="15" t="s">
        <v>1293</v>
      </c>
      <c r="M224" s="15">
        <v>5</v>
      </c>
      <c r="N224" s="15">
        <v>2</v>
      </c>
      <c r="O224" s="15">
        <v>2</v>
      </c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 t="s">
        <v>328</v>
      </c>
      <c r="AD224" s="15"/>
      <c r="AE224" s="15"/>
      <c r="AF224" s="15" t="s">
        <v>328</v>
      </c>
      <c r="AG224" s="15"/>
      <c r="AH224" s="15" t="s">
        <v>328</v>
      </c>
      <c r="AI224" s="15"/>
      <c r="AJ224" s="15"/>
      <c r="AK224" s="15"/>
      <c r="AL224" s="15"/>
      <c r="AM224" s="15" t="s">
        <v>328</v>
      </c>
      <c r="AN224" s="15"/>
      <c r="AO224" s="15" t="s">
        <v>328</v>
      </c>
      <c r="AP224" s="15" t="s">
        <v>328</v>
      </c>
      <c r="AQ224" s="15"/>
      <c r="AR224" s="15">
        <v>0</v>
      </c>
      <c r="AS224" s="15">
        <v>0</v>
      </c>
      <c r="AT224" s="15" t="s">
        <v>328</v>
      </c>
      <c r="AU224" s="15" t="s">
        <v>328</v>
      </c>
      <c r="AV224" s="15"/>
      <c r="AW224" s="15"/>
      <c r="AX224" s="15">
        <v>1</v>
      </c>
      <c r="AY224" s="15">
        <v>3</v>
      </c>
      <c r="AZ224" s="15">
        <v>2</v>
      </c>
      <c r="BA224" s="15"/>
      <c r="BB224" s="15" t="s">
        <v>328</v>
      </c>
      <c r="BC224" s="15"/>
      <c r="BD224" s="15"/>
      <c r="BE224" s="15"/>
      <c r="BF224" s="15"/>
      <c r="BG224" s="15" t="s">
        <v>328</v>
      </c>
      <c r="BH224" s="15"/>
      <c r="BI224" s="15"/>
      <c r="BJ224" s="15"/>
      <c r="BK224" s="15" t="s">
        <v>328</v>
      </c>
      <c r="BL224" s="15"/>
      <c r="BM224" s="15"/>
      <c r="BN224" s="15"/>
      <c r="BO224" s="15" t="s">
        <v>328</v>
      </c>
      <c r="BP224" s="15"/>
      <c r="BQ224" s="15" t="s">
        <v>328</v>
      </c>
      <c r="BR224" s="15"/>
      <c r="BS224" s="15"/>
      <c r="BT224" s="15"/>
      <c r="BU224" s="15"/>
      <c r="BV224" s="15"/>
      <c r="BW224" s="15" t="s">
        <v>328</v>
      </c>
      <c r="BX224" s="15"/>
      <c r="BY224" s="15"/>
      <c r="BZ224" s="15"/>
      <c r="CA224" s="15"/>
      <c r="CB224" s="15"/>
      <c r="CC224" s="15" t="s">
        <v>328</v>
      </c>
      <c r="CD224" s="15" t="s">
        <v>328</v>
      </c>
      <c r="CE224" s="15"/>
      <c r="CF224" s="15"/>
      <c r="CG224" s="15"/>
      <c r="CH224" s="15"/>
      <c r="CI224" s="15"/>
      <c r="CJ224" s="15" t="s">
        <v>328</v>
      </c>
      <c r="CK224" s="15"/>
      <c r="CL224" s="15"/>
      <c r="CM224" s="15"/>
      <c r="CN224" s="15">
        <v>2</v>
      </c>
      <c r="CO224" s="15">
        <v>1</v>
      </c>
      <c r="CP224" s="15">
        <v>5</v>
      </c>
      <c r="CQ224" s="15">
        <v>3</v>
      </c>
      <c r="CR224" s="15">
        <v>4</v>
      </c>
      <c r="CS224" s="15">
        <v>6</v>
      </c>
      <c r="CT224" s="15"/>
      <c r="CU224" s="15"/>
      <c r="CV224" s="15"/>
      <c r="CW224" s="15"/>
      <c r="CX224" s="15"/>
      <c r="CY224" s="15"/>
      <c r="CZ224" s="15" t="s">
        <v>332</v>
      </c>
      <c r="DA224" s="15"/>
      <c r="DB224" s="15"/>
      <c r="DC224" s="15">
        <v>1</v>
      </c>
      <c r="DD224" s="15">
        <v>2</v>
      </c>
      <c r="DE224" s="15">
        <v>3</v>
      </c>
      <c r="DF224" s="15">
        <v>5</v>
      </c>
      <c r="DG224" s="15">
        <v>4</v>
      </c>
      <c r="DH224" s="15">
        <v>6</v>
      </c>
      <c r="DI224" s="15"/>
      <c r="DJ224" s="15" t="s">
        <v>328</v>
      </c>
      <c r="DK224" s="15"/>
      <c r="DL224" s="15"/>
      <c r="DM224" s="15"/>
      <c r="DN224" s="15"/>
      <c r="DO224" s="15"/>
      <c r="DP224" s="15" t="s">
        <v>411</v>
      </c>
      <c r="DQ224" s="15" t="s">
        <v>328</v>
      </c>
      <c r="DR224" s="15"/>
      <c r="DS224" s="15"/>
      <c r="DT224" s="15"/>
      <c r="DU224" s="15"/>
      <c r="DV224" s="15"/>
      <c r="DW224" s="15"/>
      <c r="DX224" s="15" t="s">
        <v>450</v>
      </c>
      <c r="DY224" s="15" t="s">
        <v>328</v>
      </c>
      <c r="DZ224" s="15"/>
      <c r="EA224" s="15"/>
      <c r="EB224" s="15"/>
      <c r="EC224" s="15"/>
      <c r="ED224" s="15"/>
      <c r="EE224" s="102" t="s">
        <v>450</v>
      </c>
      <c r="EF224" s="48"/>
      <c r="EG224" s="17">
        <f t="shared" si="3"/>
        <v>0</v>
      </c>
    </row>
    <row r="225" spans="1:137" x14ac:dyDescent="0.25">
      <c r="A225" s="51" t="s">
        <v>1856</v>
      </c>
      <c r="B225" s="211">
        <v>41555</v>
      </c>
      <c r="C225" s="212" t="s">
        <v>2752</v>
      </c>
      <c r="D225" s="61" t="s">
        <v>1081</v>
      </c>
      <c r="E225" s="15" t="s">
        <v>328</v>
      </c>
      <c r="F225" s="15"/>
      <c r="G225" s="15">
        <v>46</v>
      </c>
      <c r="H225" s="15" t="s">
        <v>329</v>
      </c>
      <c r="I225" s="15" t="s">
        <v>330</v>
      </c>
      <c r="J225" s="15" t="s">
        <v>1082</v>
      </c>
      <c r="K225" s="15" t="s">
        <v>1311</v>
      </c>
      <c r="L225" s="15" t="s">
        <v>1311</v>
      </c>
      <c r="M225" s="15">
        <v>10</v>
      </c>
      <c r="N225" s="15">
        <v>2</v>
      </c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>
        <v>2</v>
      </c>
      <c r="AA225" s="14"/>
      <c r="AB225" s="15" t="s">
        <v>328</v>
      </c>
      <c r="AC225" s="15" t="s">
        <v>328</v>
      </c>
      <c r="AD225" s="15"/>
      <c r="AE225" s="15"/>
      <c r="AF225" s="15"/>
      <c r="AG225" s="15" t="s">
        <v>328</v>
      </c>
      <c r="AH225" s="15"/>
      <c r="AI225" s="15"/>
      <c r="AJ225" s="15"/>
      <c r="AK225" s="15"/>
      <c r="AL225" s="15"/>
      <c r="AM225" s="15" t="s">
        <v>328</v>
      </c>
      <c r="AN225" s="15"/>
      <c r="AO225" s="15" t="s">
        <v>328</v>
      </c>
      <c r="AP225" s="15" t="s">
        <v>328</v>
      </c>
      <c r="AQ225" s="15"/>
      <c r="AR225" s="15">
        <v>10</v>
      </c>
      <c r="AS225" s="15">
        <v>2</v>
      </c>
      <c r="AT225" s="15"/>
      <c r="AU225" s="15" t="s">
        <v>328</v>
      </c>
      <c r="AV225" s="15" t="s">
        <v>328</v>
      </c>
      <c r="AW225" s="15"/>
      <c r="AX225" s="15">
        <v>1</v>
      </c>
      <c r="AY225" s="15">
        <v>3</v>
      </c>
      <c r="AZ225" s="15">
        <v>2</v>
      </c>
      <c r="BA225" s="15"/>
      <c r="BB225" s="15" t="s">
        <v>328</v>
      </c>
      <c r="BC225" s="15"/>
      <c r="BD225" s="15" t="s">
        <v>328</v>
      </c>
      <c r="BE225" s="15" t="s">
        <v>328</v>
      </c>
      <c r="BF225" s="15"/>
      <c r="BG225" s="15"/>
      <c r="BH225" s="15"/>
      <c r="BI225" s="15"/>
      <c r="BJ225" s="15"/>
      <c r="BK225" s="15"/>
      <c r="BL225" s="15"/>
      <c r="BM225" s="15"/>
      <c r="BN225" s="15"/>
      <c r="BO225" s="15" t="s">
        <v>328</v>
      </c>
      <c r="BP225" s="15" t="s">
        <v>328</v>
      </c>
      <c r="BQ225" s="15"/>
      <c r="BR225" s="15"/>
      <c r="BS225" s="15"/>
      <c r="BT225" s="15"/>
      <c r="BU225" s="15"/>
      <c r="BV225" s="15" t="s">
        <v>328</v>
      </c>
      <c r="BW225" s="15"/>
      <c r="BX225" s="15"/>
      <c r="BY225" s="15" t="s">
        <v>328</v>
      </c>
      <c r="BZ225" s="15"/>
      <c r="CA225" s="15"/>
      <c r="CB225" s="15" t="s">
        <v>328</v>
      </c>
      <c r="CC225" s="15"/>
      <c r="CD225" s="15" t="s">
        <v>328</v>
      </c>
      <c r="CE225" s="15"/>
      <c r="CF225" s="15"/>
      <c r="CG225" s="15"/>
      <c r="CH225" s="15"/>
      <c r="CI225" s="15"/>
      <c r="CJ225" s="15" t="s">
        <v>328</v>
      </c>
      <c r="CK225" s="15"/>
      <c r="CL225" s="15"/>
      <c r="CM225" s="15"/>
      <c r="CN225" s="15">
        <v>2</v>
      </c>
      <c r="CO225" s="15">
        <v>4</v>
      </c>
      <c r="CP225" s="15">
        <v>1</v>
      </c>
      <c r="CQ225" s="15">
        <v>5</v>
      </c>
      <c r="CR225" s="15">
        <v>6</v>
      </c>
      <c r="CS225" s="15">
        <v>3</v>
      </c>
      <c r="CT225" s="15"/>
      <c r="CU225" s="15"/>
      <c r="CV225" s="15"/>
      <c r="CW225" s="15"/>
      <c r="CX225" s="15"/>
      <c r="CY225" s="15"/>
      <c r="CZ225" s="15" t="s">
        <v>332</v>
      </c>
      <c r="DA225" s="15"/>
      <c r="DB225" s="15"/>
      <c r="DC225" s="15">
        <v>1</v>
      </c>
      <c r="DD225" s="15">
        <v>2</v>
      </c>
      <c r="DE225" s="15">
        <v>4</v>
      </c>
      <c r="DF225" s="15">
        <v>5</v>
      </c>
      <c r="DG225" s="15">
        <v>3</v>
      </c>
      <c r="DH225" s="15">
        <v>6</v>
      </c>
      <c r="DI225" s="15"/>
      <c r="DJ225" s="15" t="s">
        <v>328</v>
      </c>
      <c r="DK225" s="15"/>
      <c r="DL225" s="15"/>
      <c r="DM225" s="15"/>
      <c r="DN225" s="15"/>
      <c r="DO225" s="15"/>
      <c r="DP225" s="14" t="s">
        <v>333</v>
      </c>
      <c r="DQ225" s="15" t="s">
        <v>328</v>
      </c>
      <c r="DR225" s="15"/>
      <c r="DS225" s="15"/>
      <c r="DT225" s="15"/>
      <c r="DU225" s="15"/>
      <c r="DV225" s="15"/>
      <c r="DW225" s="15"/>
      <c r="DX225" s="15" t="s">
        <v>1155</v>
      </c>
      <c r="DY225" s="15" t="s">
        <v>328</v>
      </c>
      <c r="DZ225" s="15"/>
      <c r="EA225" s="15"/>
      <c r="EB225" s="15"/>
      <c r="EC225" s="15"/>
      <c r="ED225" s="15"/>
      <c r="EE225" s="102" t="s">
        <v>1155</v>
      </c>
      <c r="EF225" s="48"/>
      <c r="EG225" s="17">
        <f t="shared" si="3"/>
        <v>0</v>
      </c>
    </row>
    <row r="226" spans="1:137" x14ac:dyDescent="0.25">
      <c r="A226" s="51" t="s">
        <v>1856</v>
      </c>
      <c r="B226" s="211">
        <v>41555</v>
      </c>
      <c r="C226" s="212" t="s">
        <v>2752</v>
      </c>
      <c r="D226" s="61" t="s">
        <v>1083</v>
      </c>
      <c r="E226" s="15" t="s">
        <v>328</v>
      </c>
      <c r="F226" s="15"/>
      <c r="G226" s="15">
        <v>52</v>
      </c>
      <c r="H226" s="15" t="s">
        <v>329</v>
      </c>
      <c r="I226" s="15" t="s">
        <v>1346</v>
      </c>
      <c r="J226" s="15" t="s">
        <v>1068</v>
      </c>
      <c r="K226" s="15" t="s">
        <v>1305</v>
      </c>
      <c r="L226" s="15" t="s">
        <v>1293</v>
      </c>
      <c r="M226" s="15">
        <v>0</v>
      </c>
      <c r="N226" s="15">
        <v>3</v>
      </c>
      <c r="O226" s="15"/>
      <c r="P226" s="15"/>
      <c r="Q226" s="15"/>
      <c r="R226" s="15"/>
      <c r="S226" s="15"/>
      <c r="T226" s="15"/>
      <c r="U226" s="15"/>
      <c r="V226" s="15">
        <v>3</v>
      </c>
      <c r="W226" s="15"/>
      <c r="X226" s="15"/>
      <c r="Y226" s="15"/>
      <c r="Z226" s="15"/>
      <c r="AA226" s="15"/>
      <c r="AB226" s="15"/>
      <c r="AC226" s="15"/>
      <c r="AD226" s="15" t="s">
        <v>328</v>
      </c>
      <c r="AE226" s="15"/>
      <c r="AF226" s="15"/>
      <c r="AG226" s="15"/>
      <c r="AH226" s="15"/>
      <c r="AI226" s="15"/>
      <c r="AJ226" s="15"/>
      <c r="AK226" s="15"/>
      <c r="AL226" s="12"/>
      <c r="AM226" s="15" t="s">
        <v>328</v>
      </c>
      <c r="AN226" s="15"/>
      <c r="AO226" s="15"/>
      <c r="AP226" s="15" t="s">
        <v>328</v>
      </c>
      <c r="AQ226" s="15"/>
      <c r="AR226" s="15">
        <v>10</v>
      </c>
      <c r="AS226" s="15">
        <v>10</v>
      </c>
      <c r="AT226" s="15"/>
      <c r="AU226" s="15" t="s">
        <v>328</v>
      </c>
      <c r="AV226" s="15"/>
      <c r="AW226" s="12"/>
      <c r="AX226" s="15">
        <v>1</v>
      </c>
      <c r="AY226" s="15">
        <v>3</v>
      </c>
      <c r="AZ226" s="15">
        <v>2</v>
      </c>
      <c r="BA226" s="15"/>
      <c r="BB226" s="15" t="s">
        <v>328</v>
      </c>
      <c r="BC226" s="15"/>
      <c r="BD226" s="12"/>
      <c r="BE226" s="15" t="s">
        <v>328</v>
      </c>
      <c r="BF226" s="15"/>
      <c r="BG226" s="15"/>
      <c r="BH226" s="15"/>
      <c r="BI226" s="15"/>
      <c r="BJ226" s="15"/>
      <c r="BK226" s="15"/>
      <c r="BL226" s="12"/>
      <c r="BM226" s="12"/>
      <c r="BN226" s="15"/>
      <c r="BO226" s="15" t="s">
        <v>328</v>
      </c>
      <c r="BP226" s="15" t="s">
        <v>328</v>
      </c>
      <c r="BQ226" s="15"/>
      <c r="BR226" s="15"/>
      <c r="BS226" s="12"/>
      <c r="BT226" s="12"/>
      <c r="BU226" s="15"/>
      <c r="BV226" s="15" t="s">
        <v>328</v>
      </c>
      <c r="BW226" s="15" t="s">
        <v>328</v>
      </c>
      <c r="BX226" s="15"/>
      <c r="BY226" s="12"/>
      <c r="BZ226" s="12"/>
      <c r="CA226" s="12"/>
      <c r="CB226" s="15" t="s">
        <v>328</v>
      </c>
      <c r="CC226" s="15" t="s">
        <v>328</v>
      </c>
      <c r="CD226" s="15" t="s">
        <v>328</v>
      </c>
      <c r="CE226" s="15"/>
      <c r="CF226" s="15"/>
      <c r="CG226" s="15"/>
      <c r="CH226" s="14" t="s">
        <v>579</v>
      </c>
      <c r="CI226" s="15"/>
      <c r="CJ226" s="15" t="s">
        <v>328</v>
      </c>
      <c r="CK226" s="15"/>
      <c r="CL226" s="12"/>
      <c r="CM226" s="12"/>
      <c r="CN226" s="15">
        <v>4</v>
      </c>
      <c r="CO226" s="15">
        <v>3</v>
      </c>
      <c r="CP226" s="15">
        <v>6</v>
      </c>
      <c r="CQ226" s="15">
        <v>1</v>
      </c>
      <c r="CR226" s="15">
        <v>2</v>
      </c>
      <c r="CS226" s="15">
        <v>5</v>
      </c>
      <c r="CT226" s="15"/>
      <c r="CU226" s="15" t="s">
        <v>328</v>
      </c>
      <c r="CV226" s="15" t="s">
        <v>328</v>
      </c>
      <c r="CW226" s="15"/>
      <c r="CX226" s="15"/>
      <c r="CY226" s="15"/>
      <c r="CZ226" s="15"/>
      <c r="DA226" s="15"/>
      <c r="DB226" s="15"/>
      <c r="DC226" s="15">
        <v>1</v>
      </c>
      <c r="DD226" s="15">
        <v>6</v>
      </c>
      <c r="DE226" s="15">
        <v>5</v>
      </c>
      <c r="DF226" s="15">
        <v>2</v>
      </c>
      <c r="DG226" s="15">
        <v>4</v>
      </c>
      <c r="DH226" s="15">
        <v>3</v>
      </c>
      <c r="DI226" s="15"/>
      <c r="DJ226" s="15" t="s">
        <v>328</v>
      </c>
      <c r="DK226" s="15"/>
      <c r="DL226" s="15"/>
      <c r="DM226" s="15"/>
      <c r="DN226" s="15"/>
      <c r="DO226" s="15"/>
      <c r="DP226" s="14" t="s">
        <v>1145</v>
      </c>
      <c r="DQ226" s="15" t="s">
        <v>328</v>
      </c>
      <c r="DR226" s="15"/>
      <c r="DS226" s="15"/>
      <c r="DT226" s="15"/>
      <c r="DU226" s="15"/>
      <c r="DV226" s="15"/>
      <c r="DW226" s="15"/>
      <c r="DX226" s="15" t="s">
        <v>1145</v>
      </c>
      <c r="DY226" s="15" t="s">
        <v>328</v>
      </c>
      <c r="DZ226" s="15"/>
      <c r="EA226" s="15"/>
      <c r="EB226" s="15"/>
      <c r="EC226" s="15"/>
      <c r="ED226" s="15"/>
      <c r="EE226" s="102" t="s">
        <v>1145</v>
      </c>
      <c r="EG226" s="17">
        <f t="shared" si="3"/>
        <v>0</v>
      </c>
    </row>
    <row r="227" spans="1:137" x14ac:dyDescent="0.25">
      <c r="A227" s="51" t="s">
        <v>1856</v>
      </c>
      <c r="B227" s="211">
        <v>41555</v>
      </c>
      <c r="C227" s="212" t="s">
        <v>2752</v>
      </c>
      <c r="D227" s="61" t="s">
        <v>1084</v>
      </c>
      <c r="E227" s="15" t="s">
        <v>328</v>
      </c>
      <c r="F227" s="15"/>
      <c r="G227" s="15">
        <v>52</v>
      </c>
      <c r="H227" s="15" t="s">
        <v>329</v>
      </c>
      <c r="I227" s="15" t="s">
        <v>330</v>
      </c>
      <c r="J227" s="15" t="s">
        <v>1085</v>
      </c>
      <c r="K227" s="15" t="s">
        <v>1312</v>
      </c>
      <c r="L227" s="15" t="s">
        <v>1301</v>
      </c>
      <c r="M227" s="15">
        <v>30</v>
      </c>
      <c r="N227" s="15">
        <v>1</v>
      </c>
      <c r="O227" s="15"/>
      <c r="P227" s="15">
        <v>1</v>
      </c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2"/>
      <c r="AI227" s="15" t="s">
        <v>328</v>
      </c>
      <c r="AJ227" s="15"/>
      <c r="AK227" s="15"/>
      <c r="AL227" s="15" t="s">
        <v>328</v>
      </c>
      <c r="AM227" s="15" t="s">
        <v>328</v>
      </c>
      <c r="AN227" s="15"/>
      <c r="AO227" s="15" t="s">
        <v>328</v>
      </c>
      <c r="AP227" s="15" t="s">
        <v>328</v>
      </c>
      <c r="AQ227" s="15"/>
      <c r="AR227" s="15">
        <v>10</v>
      </c>
      <c r="AS227" s="15">
        <v>5</v>
      </c>
      <c r="AT227" s="15"/>
      <c r="AU227" s="15"/>
      <c r="AV227" s="15"/>
      <c r="AW227" s="15" t="s">
        <v>328</v>
      </c>
      <c r="AX227" s="15">
        <v>1</v>
      </c>
      <c r="AY227" s="15">
        <v>2</v>
      </c>
      <c r="AZ227" s="15">
        <v>3</v>
      </c>
      <c r="BA227" s="15"/>
      <c r="BB227" s="15" t="s">
        <v>328</v>
      </c>
      <c r="BC227" s="12"/>
      <c r="BD227" s="15" t="s">
        <v>328</v>
      </c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 t="s">
        <v>328</v>
      </c>
      <c r="BP227" s="15"/>
      <c r="BQ227" s="15" t="s">
        <v>328</v>
      </c>
      <c r="BR227" s="15" t="s">
        <v>328</v>
      </c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 t="s">
        <v>328</v>
      </c>
      <c r="CE227" s="15"/>
      <c r="CF227" s="15"/>
      <c r="CG227" s="15"/>
      <c r="CH227" s="15"/>
      <c r="CI227" s="15"/>
      <c r="CJ227" s="15" t="s">
        <v>328</v>
      </c>
      <c r="CK227" s="15"/>
      <c r="CL227" s="12"/>
      <c r="CM227" s="12"/>
      <c r="CN227" s="15">
        <v>5</v>
      </c>
      <c r="CO227" s="15">
        <v>3</v>
      </c>
      <c r="CP227" s="15">
        <v>4</v>
      </c>
      <c r="CQ227" s="15">
        <v>2</v>
      </c>
      <c r="CR227" s="15">
        <v>1</v>
      </c>
      <c r="CS227" s="15">
        <v>6</v>
      </c>
      <c r="CT227" s="15"/>
      <c r="CU227" s="15"/>
      <c r="CV227" s="15"/>
      <c r="CW227" s="12"/>
      <c r="CX227" s="12"/>
      <c r="CY227" s="12"/>
      <c r="CZ227" s="15" t="s">
        <v>332</v>
      </c>
      <c r="DA227" s="15"/>
      <c r="DB227" s="15"/>
      <c r="DC227" s="15">
        <v>1</v>
      </c>
      <c r="DD227" s="15">
        <v>6</v>
      </c>
      <c r="DE227" s="15">
        <v>5</v>
      </c>
      <c r="DF227" s="15">
        <v>4</v>
      </c>
      <c r="DG227" s="15">
        <v>2</v>
      </c>
      <c r="DH227" s="15">
        <v>3</v>
      </c>
      <c r="DI227" s="15"/>
      <c r="DJ227" s="15" t="s">
        <v>328</v>
      </c>
      <c r="DK227" s="15"/>
      <c r="DL227" s="15"/>
      <c r="DM227" s="15"/>
      <c r="DN227" s="15"/>
      <c r="DO227" s="15"/>
      <c r="DP227" s="14" t="s">
        <v>1145</v>
      </c>
      <c r="DQ227" s="15" t="s">
        <v>328</v>
      </c>
      <c r="DR227" s="15"/>
      <c r="DS227" s="15"/>
      <c r="DT227" s="15"/>
      <c r="DU227" s="15"/>
      <c r="DV227" s="15"/>
      <c r="DW227" s="15"/>
      <c r="DX227" s="15" t="s">
        <v>1145</v>
      </c>
      <c r="DY227" s="15" t="s">
        <v>328</v>
      </c>
      <c r="DZ227" s="15"/>
      <c r="EA227" s="15"/>
      <c r="EB227" s="15"/>
      <c r="EC227" s="15"/>
      <c r="ED227" s="12"/>
      <c r="EE227" s="102" t="s">
        <v>1145</v>
      </c>
      <c r="EG227" s="17">
        <f t="shared" si="3"/>
        <v>0</v>
      </c>
    </row>
    <row r="228" spans="1:137" x14ac:dyDescent="0.25">
      <c r="A228" s="51" t="s">
        <v>1856</v>
      </c>
      <c r="B228" s="211">
        <v>41555</v>
      </c>
      <c r="C228" s="212" t="s">
        <v>2752</v>
      </c>
      <c r="D228" s="61" t="s">
        <v>1086</v>
      </c>
      <c r="E228" s="15" t="s">
        <v>328</v>
      </c>
      <c r="F228" s="15"/>
      <c r="G228" s="15">
        <v>48</v>
      </c>
      <c r="H228" s="15" t="s">
        <v>329</v>
      </c>
      <c r="I228" s="15" t="s">
        <v>353</v>
      </c>
      <c r="J228" s="15" t="s">
        <v>1087</v>
      </c>
      <c r="K228" s="15" t="s">
        <v>1279</v>
      </c>
      <c r="L228" s="15" t="s">
        <v>1290</v>
      </c>
      <c r="M228" s="15">
        <v>30</v>
      </c>
      <c r="N228" s="15">
        <v>1</v>
      </c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4"/>
      <c r="AB228" s="15"/>
      <c r="AC228" s="15"/>
      <c r="AD228" s="15"/>
      <c r="AE228" s="15"/>
      <c r="AF228" s="15"/>
      <c r="AG228" s="15" t="s">
        <v>328</v>
      </c>
      <c r="AH228" s="15"/>
      <c r="AI228" s="15"/>
      <c r="AJ228" s="15"/>
      <c r="AK228" s="15"/>
      <c r="AL228" s="15"/>
      <c r="AM228" s="15" t="s">
        <v>328</v>
      </c>
      <c r="AN228" s="15"/>
      <c r="AO228" s="15" t="s">
        <v>328</v>
      </c>
      <c r="AP228" s="15"/>
      <c r="AQ228" s="15"/>
      <c r="AR228" s="15">
        <v>0</v>
      </c>
      <c r="AS228" s="15">
        <v>0</v>
      </c>
      <c r="AT228" s="15"/>
      <c r="AU228" s="15" t="s">
        <v>328</v>
      </c>
      <c r="AV228" s="15"/>
      <c r="AW228" s="15"/>
      <c r="AX228" s="15">
        <v>3</v>
      </c>
      <c r="AY228" s="15">
        <v>2</v>
      </c>
      <c r="AZ228" s="15">
        <v>1</v>
      </c>
      <c r="BA228" s="15"/>
      <c r="BB228" s="15" t="s">
        <v>328</v>
      </c>
      <c r="BC228" s="15"/>
      <c r="BD228" s="15" t="s">
        <v>328</v>
      </c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 t="s">
        <v>328</v>
      </c>
      <c r="BP228" s="15"/>
      <c r="BQ228" s="15" t="s">
        <v>328</v>
      </c>
      <c r="BR228" s="15" t="s">
        <v>328</v>
      </c>
      <c r="BS228" s="15"/>
      <c r="BT228" s="15"/>
      <c r="BU228" s="15"/>
      <c r="BV228" s="15"/>
      <c r="BW228" s="15" t="s">
        <v>328</v>
      </c>
      <c r="BX228" s="15"/>
      <c r="BY228" s="15"/>
      <c r="BZ228" s="15"/>
      <c r="CA228" s="15"/>
      <c r="CB228" s="15"/>
      <c r="CC228" s="15"/>
      <c r="CD228" s="15"/>
      <c r="CE228" s="15"/>
      <c r="CF228" s="15"/>
      <c r="CG228" s="15" t="s">
        <v>328</v>
      </c>
      <c r="CH228" s="15"/>
      <c r="CI228" s="15"/>
      <c r="CJ228" s="15" t="s">
        <v>328</v>
      </c>
      <c r="CK228" s="15"/>
      <c r="CL228" s="12"/>
      <c r="CM228" s="12"/>
      <c r="CN228" s="15">
        <v>5</v>
      </c>
      <c r="CO228" s="15">
        <v>4</v>
      </c>
      <c r="CP228" s="15">
        <v>1</v>
      </c>
      <c r="CQ228" s="15">
        <v>3</v>
      </c>
      <c r="CR228" s="15">
        <v>2</v>
      </c>
      <c r="CS228" s="15">
        <v>6</v>
      </c>
      <c r="CT228" s="15"/>
      <c r="CU228" s="15"/>
      <c r="CV228" s="15"/>
      <c r="CW228" s="15"/>
      <c r="CX228" s="15" t="s">
        <v>328</v>
      </c>
      <c r="CY228" s="15"/>
      <c r="CZ228" s="15"/>
      <c r="DA228" s="15"/>
      <c r="DB228" s="15"/>
      <c r="DC228" s="15">
        <v>1</v>
      </c>
      <c r="DD228" s="15">
        <v>5</v>
      </c>
      <c r="DE228" s="15">
        <v>6</v>
      </c>
      <c r="DF228" s="15">
        <v>4</v>
      </c>
      <c r="DG228" s="15">
        <v>3</v>
      </c>
      <c r="DH228" s="15">
        <v>2</v>
      </c>
      <c r="DI228" s="15"/>
      <c r="DJ228" s="15" t="s">
        <v>328</v>
      </c>
      <c r="DK228" s="15"/>
      <c r="DL228" s="15"/>
      <c r="DM228" s="15"/>
      <c r="DN228" s="15"/>
      <c r="DO228" s="15"/>
      <c r="DP228" s="15" t="s">
        <v>497</v>
      </c>
      <c r="DQ228" s="15" t="s">
        <v>328</v>
      </c>
      <c r="DR228" s="15"/>
      <c r="DS228" s="15"/>
      <c r="DT228" s="15"/>
      <c r="DU228" s="15"/>
      <c r="DV228" s="15"/>
      <c r="DW228" s="15"/>
      <c r="DX228" s="15" t="s">
        <v>497</v>
      </c>
      <c r="DY228" s="15" t="s">
        <v>328</v>
      </c>
      <c r="DZ228" s="15"/>
      <c r="EA228" s="15"/>
      <c r="EB228" s="15"/>
      <c r="EC228" s="15"/>
      <c r="ED228" s="15"/>
      <c r="EE228" s="102" t="s">
        <v>497</v>
      </c>
      <c r="EF228" s="48"/>
      <c r="EG228" s="17">
        <f t="shared" si="3"/>
        <v>0</v>
      </c>
    </row>
    <row r="229" spans="1:137" x14ac:dyDescent="0.25">
      <c r="A229" s="51" t="s">
        <v>1856</v>
      </c>
      <c r="B229" s="211">
        <v>41555</v>
      </c>
      <c r="C229" s="212" t="s">
        <v>2752</v>
      </c>
      <c r="D229" s="61" t="s">
        <v>1088</v>
      </c>
      <c r="E229" s="15" t="s">
        <v>328</v>
      </c>
      <c r="F229" s="15"/>
      <c r="G229" s="15">
        <v>48</v>
      </c>
      <c r="H229" s="15" t="s">
        <v>329</v>
      </c>
      <c r="I229" s="15" t="s">
        <v>353</v>
      </c>
      <c r="J229" s="15" t="s">
        <v>1056</v>
      </c>
      <c r="K229" s="15" t="s">
        <v>1266</v>
      </c>
      <c r="L229" s="15" t="s">
        <v>1335</v>
      </c>
      <c r="M229" s="15">
        <v>30</v>
      </c>
      <c r="N229" s="15">
        <v>1</v>
      </c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4"/>
      <c r="AB229" s="15" t="s">
        <v>328</v>
      </c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 t="s">
        <v>328</v>
      </c>
      <c r="AN229" s="15"/>
      <c r="AO229" s="15"/>
      <c r="AP229" s="15" t="s">
        <v>328</v>
      </c>
      <c r="AQ229" s="15"/>
      <c r="AR229" s="15">
        <v>0</v>
      </c>
      <c r="AS229" s="15">
        <v>0</v>
      </c>
      <c r="AT229" s="15"/>
      <c r="AU229" s="15" t="s">
        <v>328</v>
      </c>
      <c r="AV229" s="15"/>
      <c r="AW229" s="15"/>
      <c r="AX229" s="15">
        <v>3</v>
      </c>
      <c r="AY229" s="15">
        <v>1</v>
      </c>
      <c r="AZ229" s="15">
        <v>2</v>
      </c>
      <c r="BA229" s="15"/>
      <c r="BB229" s="15" t="s">
        <v>328</v>
      </c>
      <c r="BC229" s="15"/>
      <c r="BD229" s="15" t="s">
        <v>328</v>
      </c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 t="s">
        <v>328</v>
      </c>
      <c r="BP229" s="15"/>
      <c r="BQ229" s="15" t="s">
        <v>328</v>
      </c>
      <c r="BR229" s="15" t="s">
        <v>328</v>
      </c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 t="s">
        <v>328</v>
      </c>
      <c r="CE229" s="15"/>
      <c r="CF229" s="15"/>
      <c r="CG229" s="15" t="s">
        <v>328</v>
      </c>
      <c r="CH229" s="15"/>
      <c r="CI229" s="15"/>
      <c r="CJ229" s="15" t="s">
        <v>328</v>
      </c>
      <c r="CK229" s="15"/>
      <c r="CL229" s="12"/>
      <c r="CM229" s="12"/>
      <c r="CN229" s="15">
        <v>5</v>
      </c>
      <c r="CO229" s="15">
        <v>1</v>
      </c>
      <c r="CP229" s="15">
        <v>2</v>
      </c>
      <c r="CQ229" s="15">
        <v>3</v>
      </c>
      <c r="CR229" s="15">
        <v>4</v>
      </c>
      <c r="CS229" s="15">
        <v>6</v>
      </c>
      <c r="CT229" s="15"/>
      <c r="CU229" s="15"/>
      <c r="CV229" s="15"/>
      <c r="CW229" s="15"/>
      <c r="CX229" s="15"/>
      <c r="CY229" s="15"/>
      <c r="CZ229" s="15" t="s">
        <v>332</v>
      </c>
      <c r="DA229" s="15"/>
      <c r="DB229" s="15"/>
      <c r="DC229" s="15">
        <v>2</v>
      </c>
      <c r="DD229" s="15">
        <v>4</v>
      </c>
      <c r="DE229" s="15">
        <v>3</v>
      </c>
      <c r="DF229" s="15">
        <v>5</v>
      </c>
      <c r="DG229" s="15">
        <v>1</v>
      </c>
      <c r="DH229" s="15">
        <v>6</v>
      </c>
      <c r="DI229" s="15"/>
      <c r="DJ229" s="15" t="s">
        <v>328</v>
      </c>
      <c r="DK229" s="15"/>
      <c r="DL229" s="15"/>
      <c r="DM229" s="15"/>
      <c r="DN229" s="15"/>
      <c r="DO229" s="15"/>
      <c r="DP229" s="15" t="s">
        <v>438</v>
      </c>
      <c r="DQ229" s="15" t="s">
        <v>328</v>
      </c>
      <c r="DR229" s="15"/>
      <c r="DS229" s="15"/>
      <c r="DT229" s="15"/>
      <c r="DU229" s="15"/>
      <c r="DV229" s="15"/>
      <c r="DW229" s="15"/>
      <c r="DX229" s="15" t="s">
        <v>438</v>
      </c>
      <c r="DY229" s="15" t="s">
        <v>328</v>
      </c>
      <c r="DZ229" s="15"/>
      <c r="EA229" s="15"/>
      <c r="EB229" s="15"/>
      <c r="EC229" s="15"/>
      <c r="ED229" s="15"/>
      <c r="EE229" s="102" t="s">
        <v>438</v>
      </c>
      <c r="EF229" s="48"/>
      <c r="EG229" s="17">
        <f t="shared" si="3"/>
        <v>0</v>
      </c>
    </row>
    <row r="230" spans="1:137" x14ac:dyDescent="0.25">
      <c r="A230" s="51" t="s">
        <v>1856</v>
      </c>
      <c r="B230" s="211">
        <v>41555</v>
      </c>
      <c r="C230" s="212" t="s">
        <v>2752</v>
      </c>
      <c r="D230" s="61" t="s">
        <v>1089</v>
      </c>
      <c r="E230" s="15" t="s">
        <v>328</v>
      </c>
      <c r="F230" s="15"/>
      <c r="G230" s="15">
        <v>56</v>
      </c>
      <c r="H230" s="15" t="s">
        <v>329</v>
      </c>
      <c r="I230" s="15" t="s">
        <v>330</v>
      </c>
      <c r="J230" s="15" t="s">
        <v>741</v>
      </c>
      <c r="K230" s="15" t="s">
        <v>1212</v>
      </c>
      <c r="L230" s="15" t="s">
        <v>1283</v>
      </c>
      <c r="M230" s="15">
        <v>35</v>
      </c>
      <c r="N230" s="15">
        <v>1</v>
      </c>
      <c r="O230" s="15">
        <v>1</v>
      </c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 t="s">
        <v>328</v>
      </c>
      <c r="AD230" s="15"/>
      <c r="AE230" s="15"/>
      <c r="AF230" s="15"/>
      <c r="AG230" s="15"/>
      <c r="AH230" s="15"/>
      <c r="AI230" s="15"/>
      <c r="AJ230" s="15"/>
      <c r="AK230" s="15"/>
      <c r="AL230" s="15"/>
      <c r="AM230" s="15" t="s">
        <v>328</v>
      </c>
      <c r="AN230" s="15"/>
      <c r="AO230" s="15" t="s">
        <v>328</v>
      </c>
      <c r="AP230" s="15"/>
      <c r="AQ230" s="15"/>
      <c r="AR230" s="15">
        <v>10</v>
      </c>
      <c r="AS230" s="15">
        <v>2</v>
      </c>
      <c r="AT230" s="15"/>
      <c r="AU230" s="15" t="s">
        <v>328</v>
      </c>
      <c r="AV230" s="15"/>
      <c r="AW230" s="15"/>
      <c r="AX230" s="15">
        <v>1</v>
      </c>
      <c r="AY230" s="15">
        <v>3</v>
      </c>
      <c r="AZ230" s="15">
        <v>2</v>
      </c>
      <c r="BA230" s="15"/>
      <c r="BB230" s="15" t="s">
        <v>328</v>
      </c>
      <c r="BC230" s="15"/>
      <c r="BD230" s="15"/>
      <c r="BE230" s="15"/>
      <c r="BF230" s="15"/>
      <c r="BG230" s="15" t="s">
        <v>328</v>
      </c>
      <c r="BH230" s="15"/>
      <c r="BI230" s="15"/>
      <c r="BJ230" s="15"/>
      <c r="BK230" s="15"/>
      <c r="BL230" s="15" t="s">
        <v>328</v>
      </c>
      <c r="BM230" s="15"/>
      <c r="BN230" s="15"/>
      <c r="BO230" s="15" t="s">
        <v>328</v>
      </c>
      <c r="BP230" s="15"/>
      <c r="BQ230" s="15" t="s">
        <v>328</v>
      </c>
      <c r="BR230" s="15"/>
      <c r="BS230" s="15" t="s">
        <v>328</v>
      </c>
      <c r="BT230" s="15"/>
      <c r="BU230" s="15"/>
      <c r="BV230" s="15"/>
      <c r="BW230" s="15" t="s">
        <v>328</v>
      </c>
      <c r="BX230" s="15"/>
      <c r="BY230" s="15"/>
      <c r="BZ230" s="15"/>
      <c r="CA230" s="15"/>
      <c r="CB230" s="15"/>
      <c r="CC230" s="15"/>
      <c r="CD230" s="15" t="s">
        <v>328</v>
      </c>
      <c r="CE230" s="15"/>
      <c r="CF230" s="15" t="s">
        <v>328</v>
      </c>
      <c r="CG230" s="15"/>
      <c r="CH230" s="15"/>
      <c r="CI230" s="15"/>
      <c r="CJ230" s="15" t="s">
        <v>328</v>
      </c>
      <c r="CK230" s="15"/>
      <c r="CL230" s="12"/>
      <c r="CM230" s="12"/>
      <c r="CN230" s="15">
        <v>1</v>
      </c>
      <c r="CO230" s="15">
        <v>5</v>
      </c>
      <c r="CP230" s="15">
        <v>6</v>
      </c>
      <c r="CQ230" s="15">
        <v>3</v>
      </c>
      <c r="CR230" s="15">
        <v>4</v>
      </c>
      <c r="CS230" s="15">
        <v>2</v>
      </c>
      <c r="CT230" s="15"/>
      <c r="CU230" s="15"/>
      <c r="CV230" s="15"/>
      <c r="CW230" s="15"/>
      <c r="CX230" s="15" t="s">
        <v>328</v>
      </c>
      <c r="CY230" s="15"/>
      <c r="CZ230" s="15"/>
      <c r="DA230" s="15"/>
      <c r="DB230" s="15"/>
      <c r="DC230" s="15">
        <v>1</v>
      </c>
      <c r="DD230" s="15">
        <v>4</v>
      </c>
      <c r="DE230" s="15">
        <v>5</v>
      </c>
      <c r="DF230" s="15">
        <v>2</v>
      </c>
      <c r="DG230" s="15">
        <v>3</v>
      </c>
      <c r="DH230" s="15">
        <v>6</v>
      </c>
      <c r="DI230" s="15"/>
      <c r="DJ230" s="15" t="s">
        <v>328</v>
      </c>
      <c r="DK230" s="15"/>
      <c r="DL230" s="15"/>
      <c r="DM230" s="15"/>
      <c r="DN230" s="15"/>
      <c r="DO230" s="15"/>
      <c r="DP230" s="15" t="s">
        <v>1161</v>
      </c>
      <c r="DQ230" s="15" t="s">
        <v>328</v>
      </c>
      <c r="DR230" s="15"/>
      <c r="DS230" s="15"/>
      <c r="DT230" s="15"/>
      <c r="DU230" s="15"/>
      <c r="DV230" s="15"/>
      <c r="DW230" s="15"/>
      <c r="DX230" s="15" t="s">
        <v>1161</v>
      </c>
      <c r="DY230" s="15" t="s">
        <v>328</v>
      </c>
      <c r="DZ230" s="15"/>
      <c r="EA230" s="15"/>
      <c r="EB230" s="15"/>
      <c r="EC230" s="15"/>
      <c r="ED230" s="15"/>
      <c r="EE230" s="102" t="s">
        <v>1161</v>
      </c>
      <c r="EF230" s="48"/>
      <c r="EG230" s="17">
        <f t="shared" si="3"/>
        <v>0</v>
      </c>
    </row>
    <row r="231" spans="1:137" x14ac:dyDescent="0.25">
      <c r="A231" s="51" t="s">
        <v>1856</v>
      </c>
      <c r="B231" s="211">
        <v>41555</v>
      </c>
      <c r="C231" s="212" t="s">
        <v>2752</v>
      </c>
      <c r="D231" s="61" t="s">
        <v>1090</v>
      </c>
      <c r="E231" s="15" t="s">
        <v>328</v>
      </c>
      <c r="F231" s="15"/>
      <c r="G231" s="15">
        <v>49</v>
      </c>
      <c r="H231" s="15" t="s">
        <v>329</v>
      </c>
      <c r="I231" s="15" t="s">
        <v>353</v>
      </c>
      <c r="J231" s="15" t="s">
        <v>1091</v>
      </c>
      <c r="K231" s="15" t="s">
        <v>1313</v>
      </c>
      <c r="L231" s="15" t="s">
        <v>1288</v>
      </c>
      <c r="M231" s="15">
        <v>20</v>
      </c>
      <c r="N231" s="15">
        <v>1</v>
      </c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>
        <v>1</v>
      </c>
      <c r="AA231" s="14"/>
      <c r="AB231" s="15" t="s">
        <v>328</v>
      </c>
      <c r="AC231" s="15" t="s">
        <v>328</v>
      </c>
      <c r="AD231" s="15"/>
      <c r="AE231" s="15"/>
      <c r="AF231" s="15"/>
      <c r="AG231" s="15" t="s">
        <v>328</v>
      </c>
      <c r="AH231" s="15"/>
      <c r="AI231" s="15"/>
      <c r="AJ231" s="15"/>
      <c r="AK231" s="15"/>
      <c r="AL231" s="15"/>
      <c r="AM231" s="15" t="s">
        <v>328</v>
      </c>
      <c r="AN231" s="15"/>
      <c r="AO231" s="15" t="s">
        <v>328</v>
      </c>
      <c r="AP231" s="15" t="s">
        <v>328</v>
      </c>
      <c r="AQ231" s="15"/>
      <c r="AR231" s="15">
        <v>0</v>
      </c>
      <c r="AS231" s="15">
        <v>0</v>
      </c>
      <c r="AT231" s="15"/>
      <c r="AU231" s="15" t="s">
        <v>328</v>
      </c>
      <c r="AV231" s="15"/>
      <c r="AW231" s="15"/>
      <c r="AX231" s="15">
        <v>1</v>
      </c>
      <c r="AY231" s="15">
        <v>2</v>
      </c>
      <c r="AZ231" s="15">
        <v>3</v>
      </c>
      <c r="BA231" s="15"/>
      <c r="BB231" s="15" t="s">
        <v>328</v>
      </c>
      <c r="BC231" s="15"/>
      <c r="BD231" s="15" t="s">
        <v>328</v>
      </c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 t="s">
        <v>328</v>
      </c>
      <c r="BP231" s="15"/>
      <c r="BQ231" s="15" t="s">
        <v>328</v>
      </c>
      <c r="BR231" s="15" t="s">
        <v>328</v>
      </c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 t="s">
        <v>328</v>
      </c>
      <c r="CE231" s="15"/>
      <c r="CF231" s="15" t="s">
        <v>328</v>
      </c>
      <c r="CG231" s="15"/>
      <c r="CH231" s="15"/>
      <c r="CI231" s="15"/>
      <c r="CJ231" s="15" t="s">
        <v>328</v>
      </c>
      <c r="CK231" s="15"/>
      <c r="CL231" s="12"/>
      <c r="CM231" s="12"/>
      <c r="CN231" s="15">
        <v>5</v>
      </c>
      <c r="CO231" s="15">
        <v>1</v>
      </c>
      <c r="CP231" s="15">
        <v>4</v>
      </c>
      <c r="CQ231" s="15">
        <v>3</v>
      </c>
      <c r="CR231" s="15">
        <v>2</v>
      </c>
      <c r="CS231" s="15">
        <v>6</v>
      </c>
      <c r="CT231" s="15"/>
      <c r="CU231" s="15"/>
      <c r="CV231" s="15"/>
      <c r="CW231" s="15"/>
      <c r="CX231" s="15"/>
      <c r="CY231" s="15"/>
      <c r="CZ231" s="15" t="s">
        <v>332</v>
      </c>
      <c r="DA231" s="15"/>
      <c r="DB231" s="15"/>
      <c r="DC231" s="15">
        <v>1</v>
      </c>
      <c r="DD231" s="15">
        <v>3</v>
      </c>
      <c r="DE231" s="15">
        <v>4</v>
      </c>
      <c r="DF231" s="15">
        <v>5</v>
      </c>
      <c r="DG231" s="15">
        <v>2</v>
      </c>
      <c r="DH231" s="15">
        <v>6</v>
      </c>
      <c r="DI231" s="15"/>
      <c r="DJ231" s="15" t="s">
        <v>328</v>
      </c>
      <c r="DK231" s="15"/>
      <c r="DL231" s="15"/>
      <c r="DM231" s="15"/>
      <c r="DN231" s="15"/>
      <c r="DO231" s="15"/>
      <c r="DP231" s="15" t="s">
        <v>1152</v>
      </c>
      <c r="DQ231" s="15" t="s">
        <v>328</v>
      </c>
      <c r="DR231" s="15"/>
      <c r="DS231" s="15"/>
      <c r="DT231" s="15"/>
      <c r="DU231" s="15"/>
      <c r="DV231" s="15"/>
      <c r="DW231" s="15"/>
      <c r="DX231" s="15" t="s">
        <v>1152</v>
      </c>
      <c r="DY231" s="15" t="s">
        <v>328</v>
      </c>
      <c r="DZ231" s="15"/>
      <c r="EA231" s="15"/>
      <c r="EB231" s="15"/>
      <c r="EC231" s="15"/>
      <c r="ED231" s="15"/>
      <c r="EE231" s="102" t="s">
        <v>1152</v>
      </c>
      <c r="EF231" s="48"/>
      <c r="EG231" s="17">
        <f t="shared" si="3"/>
        <v>0</v>
      </c>
    </row>
    <row r="232" spans="1:137" x14ac:dyDescent="0.25">
      <c r="A232" s="51" t="s">
        <v>1856</v>
      </c>
      <c r="B232" s="211">
        <v>41555</v>
      </c>
      <c r="C232" s="212" t="s">
        <v>2752</v>
      </c>
      <c r="D232" s="61" t="s">
        <v>1092</v>
      </c>
      <c r="E232" s="15" t="s">
        <v>328</v>
      </c>
      <c r="F232" s="15"/>
      <c r="G232" s="15">
        <v>39</v>
      </c>
      <c r="H232" s="15" t="s">
        <v>329</v>
      </c>
      <c r="I232" s="15" t="s">
        <v>330</v>
      </c>
      <c r="J232" s="15" t="s">
        <v>1093</v>
      </c>
      <c r="K232" s="15" t="s">
        <v>1314</v>
      </c>
      <c r="L232" s="15" t="s">
        <v>1315</v>
      </c>
      <c r="M232" s="15">
        <v>18</v>
      </c>
      <c r="N232" s="15">
        <v>1</v>
      </c>
      <c r="O232" s="15">
        <v>1</v>
      </c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 t="s">
        <v>328</v>
      </c>
      <c r="AC232" s="15" t="s">
        <v>328</v>
      </c>
      <c r="AD232" s="15"/>
      <c r="AE232" s="15"/>
      <c r="AF232" s="15"/>
      <c r="AG232" s="15" t="s">
        <v>328</v>
      </c>
      <c r="AH232" s="15"/>
      <c r="AI232" s="15"/>
      <c r="AJ232" s="15"/>
      <c r="AK232" s="15"/>
      <c r="AL232" s="15"/>
      <c r="AM232" s="15" t="s">
        <v>328</v>
      </c>
      <c r="AN232" s="15"/>
      <c r="AO232" s="15" t="s">
        <v>328</v>
      </c>
      <c r="AP232" s="15"/>
      <c r="AQ232" s="15"/>
      <c r="AR232" s="15">
        <v>0</v>
      </c>
      <c r="AS232" s="15">
        <v>0</v>
      </c>
      <c r="AT232" s="15"/>
      <c r="AU232" s="15" t="s">
        <v>328</v>
      </c>
      <c r="AV232" s="15"/>
      <c r="AW232" s="15"/>
      <c r="AX232" s="15">
        <v>1</v>
      </c>
      <c r="AY232" s="15">
        <v>2</v>
      </c>
      <c r="AZ232" s="15">
        <v>3</v>
      </c>
      <c r="BA232" s="15"/>
      <c r="BB232" s="15" t="s">
        <v>328</v>
      </c>
      <c r="BC232" s="15"/>
      <c r="BD232" s="15" t="s">
        <v>328</v>
      </c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 t="s">
        <v>328</v>
      </c>
      <c r="BP232" s="15"/>
      <c r="BQ232" s="15" t="s">
        <v>328</v>
      </c>
      <c r="BR232" s="15" t="s">
        <v>328</v>
      </c>
      <c r="BS232" s="15"/>
      <c r="BT232" s="15"/>
      <c r="BU232" s="15"/>
      <c r="BV232" s="15"/>
      <c r="BW232" s="15" t="s">
        <v>328</v>
      </c>
      <c r="BX232" s="15"/>
      <c r="BY232" s="15"/>
      <c r="BZ232" s="15"/>
      <c r="CA232" s="15"/>
      <c r="CB232" s="15"/>
      <c r="CC232" s="15" t="s">
        <v>328</v>
      </c>
      <c r="CD232" s="15" t="s">
        <v>328</v>
      </c>
      <c r="CE232" s="15"/>
      <c r="CF232" s="15"/>
      <c r="CG232" s="15"/>
      <c r="CH232" s="15"/>
      <c r="CI232" s="15" t="s">
        <v>328</v>
      </c>
      <c r="CJ232" s="15"/>
      <c r="CK232" s="15"/>
      <c r="CL232" s="12"/>
      <c r="CM232" s="12"/>
      <c r="CN232" s="15">
        <v>6</v>
      </c>
      <c r="CO232" s="15">
        <v>2</v>
      </c>
      <c r="CP232" s="15">
        <v>1</v>
      </c>
      <c r="CQ232" s="15">
        <v>4</v>
      </c>
      <c r="CR232" s="15">
        <v>3</v>
      </c>
      <c r="CS232" s="15">
        <v>5</v>
      </c>
      <c r="CT232" s="15"/>
      <c r="CU232" s="15"/>
      <c r="CV232" s="15"/>
      <c r="CW232" s="15"/>
      <c r="CX232" s="15"/>
      <c r="CY232" s="15"/>
      <c r="CZ232" s="15" t="s">
        <v>332</v>
      </c>
      <c r="DA232" s="15"/>
      <c r="DB232" s="15"/>
      <c r="DC232" s="15">
        <v>1</v>
      </c>
      <c r="DD232" s="15">
        <v>4</v>
      </c>
      <c r="DE232" s="15">
        <v>2</v>
      </c>
      <c r="DF232" s="15">
        <v>5</v>
      </c>
      <c r="DG232" s="15">
        <v>3</v>
      </c>
      <c r="DH232" s="15">
        <v>6</v>
      </c>
      <c r="DI232" s="15"/>
      <c r="DJ232" s="15" t="s">
        <v>328</v>
      </c>
      <c r="DK232" s="15"/>
      <c r="DL232" s="15"/>
      <c r="DM232" s="15"/>
      <c r="DN232" s="15"/>
      <c r="DO232" s="15"/>
      <c r="DP232" s="15" t="s">
        <v>497</v>
      </c>
      <c r="DQ232" s="15" t="s">
        <v>328</v>
      </c>
      <c r="DR232" s="15"/>
      <c r="DS232" s="15"/>
      <c r="DT232" s="15"/>
      <c r="DU232" s="15"/>
      <c r="DV232" s="15"/>
      <c r="DW232" s="15"/>
      <c r="DX232" s="15" t="s">
        <v>497</v>
      </c>
      <c r="DY232" s="15" t="s">
        <v>328</v>
      </c>
      <c r="DZ232" s="15"/>
      <c r="EA232" s="15"/>
      <c r="EB232" s="15"/>
      <c r="EC232" s="15"/>
      <c r="ED232" s="15"/>
      <c r="EE232" s="102" t="s">
        <v>497</v>
      </c>
      <c r="EF232" s="48"/>
      <c r="EG232" s="17">
        <f t="shared" si="3"/>
        <v>0</v>
      </c>
    </row>
    <row r="233" spans="1:137" x14ac:dyDescent="0.25">
      <c r="A233" s="51" t="s">
        <v>1856</v>
      </c>
      <c r="B233" s="211">
        <v>41555</v>
      </c>
      <c r="C233" s="212" t="s">
        <v>2752</v>
      </c>
      <c r="D233" s="61" t="s">
        <v>1094</v>
      </c>
      <c r="E233" s="15" t="s">
        <v>328</v>
      </c>
      <c r="F233" s="15"/>
      <c r="G233" s="15">
        <v>52</v>
      </c>
      <c r="H233" s="15" t="s">
        <v>329</v>
      </c>
      <c r="I233" s="15" t="s">
        <v>330</v>
      </c>
      <c r="J233" s="15" t="s">
        <v>1095</v>
      </c>
      <c r="K233" s="15" t="s">
        <v>1316</v>
      </c>
      <c r="L233" s="15" t="s">
        <v>1311</v>
      </c>
      <c r="M233" s="15">
        <v>30</v>
      </c>
      <c r="N233" s="15">
        <v>2</v>
      </c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>
        <v>2</v>
      </c>
      <c r="AA233" s="14"/>
      <c r="AB233" s="15" t="s">
        <v>328</v>
      </c>
      <c r="AC233" s="15" t="s">
        <v>328</v>
      </c>
      <c r="AD233" s="15"/>
      <c r="AE233" s="15"/>
      <c r="AF233" s="15"/>
      <c r="AG233" s="15" t="s">
        <v>328</v>
      </c>
      <c r="AH233" s="15"/>
      <c r="AI233" s="15"/>
      <c r="AJ233" s="15"/>
      <c r="AK233" s="15"/>
      <c r="AL233" s="15"/>
      <c r="AM233" s="15" t="s">
        <v>328</v>
      </c>
      <c r="AN233" s="15"/>
      <c r="AO233" s="15" t="s">
        <v>328</v>
      </c>
      <c r="AP233" s="15"/>
      <c r="AQ233" s="15"/>
      <c r="AR233" s="15">
        <v>0</v>
      </c>
      <c r="AS233" s="15">
        <v>0</v>
      </c>
      <c r="AT233" s="15" t="s">
        <v>328</v>
      </c>
      <c r="AU233" s="15" t="s">
        <v>328</v>
      </c>
      <c r="AV233" s="15"/>
      <c r="AW233" s="15"/>
      <c r="AX233" s="15">
        <v>1</v>
      </c>
      <c r="AY233" s="15">
        <v>2</v>
      </c>
      <c r="AZ233" s="15">
        <v>3</v>
      </c>
      <c r="BA233" s="15"/>
      <c r="BB233" s="15" t="s">
        <v>328</v>
      </c>
      <c r="BC233" s="15"/>
      <c r="BD233" s="15" t="s">
        <v>328</v>
      </c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 t="s">
        <v>328</v>
      </c>
      <c r="BP233" s="15" t="s">
        <v>328</v>
      </c>
      <c r="BQ233" s="15"/>
      <c r="BR233" s="15" t="s">
        <v>328</v>
      </c>
      <c r="BS233" s="15"/>
      <c r="BT233" s="15"/>
      <c r="BU233" s="15"/>
      <c r="BV233" s="15"/>
      <c r="BW233" s="15" t="s">
        <v>328</v>
      </c>
      <c r="BX233" s="15"/>
      <c r="BY233" s="15"/>
      <c r="BZ233" s="15"/>
      <c r="CA233" s="15"/>
      <c r="CB233" s="15" t="s">
        <v>328</v>
      </c>
      <c r="CC233" s="15"/>
      <c r="CD233" s="15" t="s">
        <v>328</v>
      </c>
      <c r="CE233" s="15"/>
      <c r="CF233" s="15"/>
      <c r="CG233" s="15" t="s">
        <v>328</v>
      </c>
      <c r="CH233" s="15"/>
      <c r="CI233" s="15"/>
      <c r="CJ233" s="15" t="s">
        <v>328</v>
      </c>
      <c r="CK233" s="15"/>
      <c r="CL233" s="12"/>
      <c r="CM233" s="12"/>
      <c r="CN233" s="15">
        <v>5</v>
      </c>
      <c r="CO233" s="15">
        <v>2</v>
      </c>
      <c r="CP233" s="15">
        <v>4</v>
      </c>
      <c r="CQ233" s="15">
        <v>1</v>
      </c>
      <c r="CR233" s="15">
        <v>3</v>
      </c>
      <c r="CS233" s="15">
        <v>6</v>
      </c>
      <c r="CT233" s="15"/>
      <c r="CU233" s="15"/>
      <c r="CV233" s="15"/>
      <c r="CW233" s="15"/>
      <c r="CX233" s="15" t="s">
        <v>328</v>
      </c>
      <c r="CY233" s="15"/>
      <c r="CZ233" s="15"/>
      <c r="DA233" s="15"/>
      <c r="DB233" s="15"/>
      <c r="DC233" s="15">
        <v>1</v>
      </c>
      <c r="DD233" s="15">
        <v>2</v>
      </c>
      <c r="DE233" s="15">
        <v>3</v>
      </c>
      <c r="DF233" s="15">
        <v>4</v>
      </c>
      <c r="DG233" s="15">
        <v>5</v>
      </c>
      <c r="DH233" s="15">
        <v>6</v>
      </c>
      <c r="DI233" s="15"/>
      <c r="DJ233" s="15" t="s">
        <v>328</v>
      </c>
      <c r="DK233" s="15"/>
      <c r="DL233" s="15"/>
      <c r="DM233" s="15"/>
      <c r="DN233" s="15"/>
      <c r="DO233" s="15"/>
      <c r="DP233" s="15" t="s">
        <v>438</v>
      </c>
      <c r="DQ233" s="15" t="s">
        <v>328</v>
      </c>
      <c r="DR233" s="15"/>
      <c r="DS233" s="15"/>
      <c r="DT233" s="15"/>
      <c r="DU233" s="15"/>
      <c r="DV233" s="15"/>
      <c r="DW233" s="15"/>
      <c r="DX233" s="15" t="s">
        <v>438</v>
      </c>
      <c r="DY233" s="15" t="s">
        <v>328</v>
      </c>
      <c r="DZ233" s="15"/>
      <c r="EA233" s="15"/>
      <c r="EB233" s="15"/>
      <c r="EC233" s="15"/>
      <c r="ED233" s="15"/>
      <c r="EE233" s="102" t="s">
        <v>438</v>
      </c>
      <c r="EF233" s="48"/>
      <c r="EG233" s="17">
        <f t="shared" si="3"/>
        <v>0</v>
      </c>
    </row>
    <row r="234" spans="1:137" x14ac:dyDescent="0.25">
      <c r="A234" s="51" t="s">
        <v>1856</v>
      </c>
      <c r="B234" s="211">
        <v>41555</v>
      </c>
      <c r="C234" s="212" t="s">
        <v>2752</v>
      </c>
      <c r="D234" s="61" t="s">
        <v>1096</v>
      </c>
      <c r="E234" s="15" t="s">
        <v>328</v>
      </c>
      <c r="F234" s="15"/>
      <c r="G234" s="15">
        <v>47</v>
      </c>
      <c r="H234" s="15" t="s">
        <v>329</v>
      </c>
      <c r="I234" s="15" t="s">
        <v>584</v>
      </c>
      <c r="J234" s="15" t="s">
        <v>1097</v>
      </c>
      <c r="K234" s="15" t="s">
        <v>1317</v>
      </c>
      <c r="L234" s="14" t="s">
        <v>1337</v>
      </c>
      <c r="M234" s="15">
        <v>30</v>
      </c>
      <c r="N234" s="15">
        <v>1</v>
      </c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>
        <v>1</v>
      </c>
      <c r="AA234" s="14"/>
      <c r="AB234" s="15" t="s">
        <v>328</v>
      </c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 t="s">
        <v>328</v>
      </c>
      <c r="AN234" s="15"/>
      <c r="AO234" s="15" t="s">
        <v>328</v>
      </c>
      <c r="AP234" s="15" t="s">
        <v>328</v>
      </c>
      <c r="AQ234" s="15"/>
      <c r="AR234" s="15">
        <v>0</v>
      </c>
      <c r="AS234" s="15">
        <v>0</v>
      </c>
      <c r="AT234" s="15"/>
      <c r="AU234" s="15" t="s">
        <v>328</v>
      </c>
      <c r="AV234" s="15"/>
      <c r="AW234" s="15"/>
      <c r="AX234" s="15">
        <v>3</v>
      </c>
      <c r="AY234" s="15">
        <v>2</v>
      </c>
      <c r="AZ234" s="15">
        <v>1</v>
      </c>
      <c r="BA234" s="15"/>
      <c r="BB234" s="15" t="s">
        <v>328</v>
      </c>
      <c r="BC234" s="15"/>
      <c r="BD234" s="15" t="s">
        <v>328</v>
      </c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 t="s">
        <v>328</v>
      </c>
      <c r="BP234" s="15"/>
      <c r="BQ234" s="15" t="s">
        <v>328</v>
      </c>
      <c r="BR234" s="15"/>
      <c r="BS234" s="15"/>
      <c r="BT234" s="15"/>
      <c r="BU234" s="15"/>
      <c r="BV234" s="15"/>
      <c r="BW234" s="12"/>
      <c r="BX234" s="14" t="s">
        <v>874</v>
      </c>
      <c r="BY234" s="15"/>
      <c r="BZ234" s="15"/>
      <c r="CA234" s="15"/>
      <c r="CB234" s="15"/>
      <c r="CC234" s="15"/>
      <c r="CD234" s="15"/>
      <c r="CE234" s="15" t="s">
        <v>328</v>
      </c>
      <c r="CF234" s="15" t="s">
        <v>328</v>
      </c>
      <c r="CG234" s="15"/>
      <c r="CH234" s="15"/>
      <c r="CI234" s="15"/>
      <c r="CJ234" s="15" t="s">
        <v>328</v>
      </c>
      <c r="CK234" s="15"/>
      <c r="CL234" s="12"/>
      <c r="CM234" s="12"/>
      <c r="CN234" s="15">
        <v>5</v>
      </c>
      <c r="CO234" s="15">
        <v>1</v>
      </c>
      <c r="CP234" s="15">
        <v>4</v>
      </c>
      <c r="CQ234" s="15">
        <v>2</v>
      </c>
      <c r="CR234" s="15">
        <v>3</v>
      </c>
      <c r="CS234" s="15">
        <v>6</v>
      </c>
      <c r="CT234" s="15"/>
      <c r="CU234" s="15"/>
      <c r="CV234" s="15"/>
      <c r="CW234" s="15"/>
      <c r="CX234" s="15"/>
      <c r="CY234" s="15"/>
      <c r="CZ234" s="15" t="s">
        <v>332</v>
      </c>
      <c r="DA234" s="15"/>
      <c r="DB234" s="15"/>
      <c r="DC234" s="15">
        <v>1</v>
      </c>
      <c r="DD234" s="15">
        <v>2</v>
      </c>
      <c r="DE234" s="15">
        <v>3</v>
      </c>
      <c r="DF234" s="15">
        <v>4</v>
      </c>
      <c r="DG234" s="15">
        <v>5</v>
      </c>
      <c r="DH234" s="15">
        <v>6</v>
      </c>
      <c r="DI234" s="15"/>
      <c r="DJ234" s="15" t="s">
        <v>328</v>
      </c>
      <c r="DK234" s="15"/>
      <c r="DL234" s="15"/>
      <c r="DM234" s="15"/>
      <c r="DN234" s="15"/>
      <c r="DO234" s="15"/>
      <c r="DP234" s="15" t="s">
        <v>333</v>
      </c>
      <c r="DQ234" s="15" t="s">
        <v>328</v>
      </c>
      <c r="DR234" s="15"/>
      <c r="DS234" s="15"/>
      <c r="DT234" s="15"/>
      <c r="DU234" s="15"/>
      <c r="DV234" s="15"/>
      <c r="DW234" s="15"/>
      <c r="DX234" s="15" t="s">
        <v>333</v>
      </c>
      <c r="DY234" s="15" t="s">
        <v>328</v>
      </c>
      <c r="DZ234" s="15"/>
      <c r="EA234" s="15"/>
      <c r="EB234" s="15"/>
      <c r="EC234" s="15"/>
      <c r="ED234" s="15"/>
      <c r="EE234" s="102" t="s">
        <v>333</v>
      </c>
      <c r="EF234" s="48"/>
      <c r="EG234" s="17">
        <f t="shared" si="3"/>
        <v>0</v>
      </c>
    </row>
    <row r="235" spans="1:137" x14ac:dyDescent="0.25">
      <c r="A235" s="51" t="s">
        <v>1856</v>
      </c>
      <c r="B235" s="211">
        <v>41555</v>
      </c>
      <c r="C235" s="212" t="s">
        <v>2752</v>
      </c>
      <c r="D235" s="61" t="s">
        <v>1098</v>
      </c>
      <c r="E235" s="15" t="s">
        <v>328</v>
      </c>
      <c r="F235" s="15"/>
      <c r="G235" s="15">
        <v>50</v>
      </c>
      <c r="H235" s="15" t="s">
        <v>329</v>
      </c>
      <c r="I235" s="15" t="s">
        <v>584</v>
      </c>
      <c r="J235" s="15" t="s">
        <v>1099</v>
      </c>
      <c r="K235" s="15" t="s">
        <v>1318</v>
      </c>
      <c r="L235" s="15" t="s">
        <v>1284</v>
      </c>
      <c r="M235" s="15">
        <v>32</v>
      </c>
      <c r="N235" s="15">
        <v>1</v>
      </c>
      <c r="O235" s="15">
        <v>1</v>
      </c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 t="s">
        <v>328</v>
      </c>
      <c r="AC235" s="15" t="s">
        <v>328</v>
      </c>
      <c r="AD235" s="15"/>
      <c r="AE235" s="15"/>
      <c r="AF235" s="15"/>
      <c r="AG235" s="15" t="s">
        <v>328</v>
      </c>
      <c r="AH235" s="15"/>
      <c r="AI235" s="15"/>
      <c r="AJ235" s="15"/>
      <c r="AK235" s="15"/>
      <c r="AL235" s="15"/>
      <c r="AM235" s="15" t="s">
        <v>328</v>
      </c>
      <c r="AN235" s="15"/>
      <c r="AO235" s="15" t="s">
        <v>328</v>
      </c>
      <c r="AP235" s="15"/>
      <c r="AQ235" s="15"/>
      <c r="AR235" s="15">
        <v>0</v>
      </c>
      <c r="AS235" s="15">
        <v>0</v>
      </c>
      <c r="AT235" s="15"/>
      <c r="AU235" s="15" t="s">
        <v>328</v>
      </c>
      <c r="AV235" s="15"/>
      <c r="AW235" s="15"/>
      <c r="AX235" s="15">
        <v>2</v>
      </c>
      <c r="AY235" s="15">
        <v>3</v>
      </c>
      <c r="AZ235" s="15">
        <v>1</v>
      </c>
      <c r="BA235" s="15"/>
      <c r="BB235" s="15" t="s">
        <v>328</v>
      </c>
      <c r="BC235" s="15"/>
      <c r="BD235" s="15" t="s">
        <v>328</v>
      </c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 t="s">
        <v>328</v>
      </c>
      <c r="BP235" s="15"/>
      <c r="BQ235" s="15" t="s">
        <v>328</v>
      </c>
      <c r="BR235" s="15" t="s">
        <v>328</v>
      </c>
      <c r="BS235" s="15" t="s">
        <v>328</v>
      </c>
      <c r="BT235" s="15"/>
      <c r="BU235" s="15"/>
      <c r="BV235" s="15"/>
      <c r="BW235" s="15"/>
      <c r="BX235" s="15"/>
      <c r="BY235" s="15"/>
      <c r="BZ235" s="15"/>
      <c r="CA235" s="15"/>
      <c r="CB235" s="15" t="s">
        <v>328</v>
      </c>
      <c r="CC235" s="15"/>
      <c r="CD235" s="15" t="s">
        <v>328</v>
      </c>
      <c r="CE235" s="15"/>
      <c r="CF235" s="15"/>
      <c r="CG235" s="15"/>
      <c r="CH235" s="15"/>
      <c r="CI235" s="15" t="s">
        <v>328</v>
      </c>
      <c r="CJ235" s="15"/>
      <c r="CK235" s="15"/>
      <c r="CL235" s="12"/>
      <c r="CM235" s="12"/>
      <c r="CN235" s="15">
        <v>1</v>
      </c>
      <c r="CO235" s="15">
        <v>2</v>
      </c>
      <c r="CP235" s="15">
        <v>5</v>
      </c>
      <c r="CQ235" s="15">
        <v>3</v>
      </c>
      <c r="CR235" s="15">
        <v>4</v>
      </c>
      <c r="CS235" s="15">
        <v>6</v>
      </c>
      <c r="CT235" s="15"/>
      <c r="CU235" s="15"/>
      <c r="CV235" s="15"/>
      <c r="CW235" s="15"/>
      <c r="CX235" s="15"/>
      <c r="CY235" s="15"/>
      <c r="CZ235" s="15" t="s">
        <v>332</v>
      </c>
      <c r="DA235" s="15"/>
      <c r="DB235" s="15"/>
      <c r="DC235" s="15">
        <v>1</v>
      </c>
      <c r="DD235" s="15">
        <v>2</v>
      </c>
      <c r="DE235" s="15">
        <v>4</v>
      </c>
      <c r="DF235" s="15">
        <v>3</v>
      </c>
      <c r="DG235" s="15">
        <v>5</v>
      </c>
      <c r="DH235" s="15">
        <v>6</v>
      </c>
      <c r="DI235" s="15"/>
      <c r="DJ235" s="15" t="s">
        <v>328</v>
      </c>
      <c r="DK235" s="15"/>
      <c r="DL235" s="15"/>
      <c r="DM235" s="15"/>
      <c r="DN235" s="15"/>
      <c r="DO235" s="15"/>
      <c r="DP235" s="15" t="s">
        <v>1145</v>
      </c>
      <c r="DQ235" s="15" t="s">
        <v>328</v>
      </c>
      <c r="DR235" s="15"/>
      <c r="DS235" s="15"/>
      <c r="DT235" s="15"/>
      <c r="DU235" s="15"/>
      <c r="DV235" s="15"/>
      <c r="DW235" s="15"/>
      <c r="DX235" s="15" t="s">
        <v>1145</v>
      </c>
      <c r="DY235" s="15" t="s">
        <v>328</v>
      </c>
      <c r="DZ235" s="15"/>
      <c r="EA235" s="15"/>
      <c r="EB235" s="15"/>
      <c r="EC235" s="15"/>
      <c r="ED235" s="15"/>
      <c r="EE235" s="102" t="s">
        <v>1145</v>
      </c>
      <c r="EF235" s="48"/>
      <c r="EG235" s="17">
        <f t="shared" si="3"/>
        <v>0</v>
      </c>
    </row>
    <row r="236" spans="1:137" x14ac:dyDescent="0.25">
      <c r="A236" s="51" t="s">
        <v>1856</v>
      </c>
      <c r="B236" s="211">
        <v>41555</v>
      </c>
      <c r="C236" s="212" t="s">
        <v>2752</v>
      </c>
      <c r="D236" s="61" t="s">
        <v>1100</v>
      </c>
      <c r="E236" s="15" t="s">
        <v>328</v>
      </c>
      <c r="F236" s="15"/>
      <c r="G236" s="15">
        <v>49</v>
      </c>
      <c r="H236" s="15" t="s">
        <v>329</v>
      </c>
      <c r="I236" s="15" t="s">
        <v>330</v>
      </c>
      <c r="J236" s="15" t="s">
        <v>380</v>
      </c>
      <c r="K236" s="15" t="s">
        <v>1188</v>
      </c>
      <c r="L236" s="15" t="s">
        <v>1188</v>
      </c>
      <c r="M236" s="15">
        <v>28</v>
      </c>
      <c r="N236" s="15">
        <v>1</v>
      </c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>
        <v>1</v>
      </c>
      <c r="AA236" s="14"/>
      <c r="AB236" s="15" t="s">
        <v>328</v>
      </c>
      <c r="AC236" s="15"/>
      <c r="AD236" s="15"/>
      <c r="AE236" s="15"/>
      <c r="AF236" s="15"/>
      <c r="AG236" s="15" t="s">
        <v>328</v>
      </c>
      <c r="AH236" s="15"/>
      <c r="AI236" s="15"/>
      <c r="AJ236" s="15"/>
      <c r="AK236" s="15"/>
      <c r="AL236" s="15"/>
      <c r="AM236" s="15" t="s">
        <v>328</v>
      </c>
      <c r="AN236" s="15"/>
      <c r="AO236" s="15" t="s">
        <v>328</v>
      </c>
      <c r="AP236" s="15"/>
      <c r="AQ236" s="15"/>
      <c r="AR236" s="15">
        <v>0</v>
      </c>
      <c r="AS236" s="15">
        <v>0</v>
      </c>
      <c r="AT236" s="15"/>
      <c r="AU236" s="15" t="s">
        <v>328</v>
      </c>
      <c r="AV236" s="15"/>
      <c r="AW236" s="15"/>
      <c r="AX236" s="15">
        <v>1</v>
      </c>
      <c r="AY236" s="15">
        <v>3</v>
      </c>
      <c r="AZ236" s="15">
        <v>2</v>
      </c>
      <c r="BA236" s="15"/>
      <c r="BB236" s="15" t="s">
        <v>328</v>
      </c>
      <c r="BC236" s="15"/>
      <c r="BD236" s="15" t="s">
        <v>328</v>
      </c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 t="s">
        <v>328</v>
      </c>
      <c r="BP236" s="15"/>
      <c r="BQ236" s="15" t="s">
        <v>328</v>
      </c>
      <c r="BR236" s="15" t="s">
        <v>328</v>
      </c>
      <c r="BS236" s="15"/>
      <c r="BT236" s="15"/>
      <c r="BU236" s="15"/>
      <c r="BV236" s="15"/>
      <c r="BW236" s="15" t="s">
        <v>328</v>
      </c>
      <c r="BX236" s="15"/>
      <c r="BY236" s="15"/>
      <c r="BZ236" s="15"/>
      <c r="CA236" s="15"/>
      <c r="CB236" s="15"/>
      <c r="CC236" s="15"/>
      <c r="CD236" s="15" t="s">
        <v>328</v>
      </c>
      <c r="CE236" s="15"/>
      <c r="CF236" s="15"/>
      <c r="CG236" s="15"/>
      <c r="CH236" s="15"/>
      <c r="CI236" s="15" t="s">
        <v>328</v>
      </c>
      <c r="CJ236" s="15"/>
      <c r="CK236" s="15"/>
      <c r="CL236" s="12"/>
      <c r="CM236" s="12"/>
      <c r="CN236" s="15">
        <v>4</v>
      </c>
      <c r="CO236" s="15">
        <v>3</v>
      </c>
      <c r="CP236" s="15">
        <v>6</v>
      </c>
      <c r="CQ236" s="15">
        <v>1</v>
      </c>
      <c r="CR236" s="15">
        <v>2</v>
      </c>
      <c r="CS236" s="15">
        <v>5</v>
      </c>
      <c r="CT236" s="15"/>
      <c r="CU236" s="15"/>
      <c r="CV236" s="15"/>
      <c r="CW236" s="15"/>
      <c r="CX236" s="15"/>
      <c r="CY236" s="15"/>
      <c r="CZ236" s="15" t="s">
        <v>332</v>
      </c>
      <c r="DA236" s="15"/>
      <c r="DB236" s="15"/>
      <c r="DC236" s="15">
        <v>1</v>
      </c>
      <c r="DD236" s="15">
        <v>2</v>
      </c>
      <c r="DE236" s="15">
        <v>3</v>
      </c>
      <c r="DF236" s="15">
        <v>5</v>
      </c>
      <c r="DG236" s="15">
        <v>4</v>
      </c>
      <c r="DH236" s="15">
        <v>6</v>
      </c>
      <c r="DI236" s="15"/>
      <c r="DJ236" s="15" t="s">
        <v>328</v>
      </c>
      <c r="DK236" s="15"/>
      <c r="DL236" s="15"/>
      <c r="DM236" s="15"/>
      <c r="DN236" s="15"/>
      <c r="DO236" s="15"/>
      <c r="DP236" s="15" t="s">
        <v>497</v>
      </c>
      <c r="DQ236" s="15" t="s">
        <v>328</v>
      </c>
      <c r="DR236" s="15"/>
      <c r="DS236" s="15"/>
      <c r="DT236" s="15"/>
      <c r="DU236" s="15"/>
      <c r="DV236" s="15"/>
      <c r="DW236" s="15"/>
      <c r="DX236" s="15" t="s">
        <v>497</v>
      </c>
      <c r="DY236" s="15" t="s">
        <v>328</v>
      </c>
      <c r="DZ236" s="15"/>
      <c r="EA236" s="15"/>
      <c r="EB236" s="15"/>
      <c r="EC236" s="15"/>
      <c r="ED236" s="15"/>
      <c r="EE236" s="102" t="s">
        <v>497</v>
      </c>
      <c r="EF236" s="48"/>
      <c r="EG236" s="17">
        <f t="shared" si="3"/>
        <v>0</v>
      </c>
    </row>
    <row r="237" spans="1:137" x14ac:dyDescent="0.25">
      <c r="A237" s="51" t="s">
        <v>1856</v>
      </c>
      <c r="B237" s="211">
        <v>41555</v>
      </c>
      <c r="C237" s="212" t="s">
        <v>2752</v>
      </c>
      <c r="D237" s="61" t="s">
        <v>1101</v>
      </c>
      <c r="E237" s="15" t="s">
        <v>328</v>
      </c>
      <c r="F237" s="15"/>
      <c r="G237" s="15">
        <v>51</v>
      </c>
      <c r="H237" s="15" t="s">
        <v>329</v>
      </c>
      <c r="I237" s="15" t="s">
        <v>330</v>
      </c>
      <c r="J237" s="15" t="s">
        <v>1102</v>
      </c>
      <c r="K237" s="15" t="s">
        <v>1319</v>
      </c>
      <c r="L237" s="15" t="s">
        <v>1291</v>
      </c>
      <c r="M237" s="15">
        <v>30</v>
      </c>
      <c r="N237" s="15">
        <v>1</v>
      </c>
      <c r="O237" s="15">
        <v>1</v>
      </c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 t="s">
        <v>328</v>
      </c>
      <c r="AD237" s="15"/>
      <c r="AE237" s="15"/>
      <c r="AF237" s="15"/>
      <c r="AG237" s="15"/>
      <c r="AH237" s="15"/>
      <c r="AI237" s="15"/>
      <c r="AJ237" s="15"/>
      <c r="AK237" s="15"/>
      <c r="AL237" s="15"/>
      <c r="AM237" s="15" t="s">
        <v>328</v>
      </c>
      <c r="AN237" s="15"/>
      <c r="AO237" s="15" t="s">
        <v>328</v>
      </c>
      <c r="AP237" s="15"/>
      <c r="AQ237" s="15"/>
      <c r="AR237" s="15">
        <v>0</v>
      </c>
      <c r="AS237" s="15">
        <v>0</v>
      </c>
      <c r="AT237" s="15"/>
      <c r="AU237" s="15" t="s">
        <v>328</v>
      </c>
      <c r="AV237" s="15"/>
      <c r="AW237" s="15"/>
      <c r="AX237" s="15">
        <v>1</v>
      </c>
      <c r="AY237" s="15">
        <v>3</v>
      </c>
      <c r="AZ237" s="15">
        <v>2</v>
      </c>
      <c r="BA237" s="15"/>
      <c r="BB237" s="15" t="s">
        <v>328</v>
      </c>
      <c r="BC237" s="15"/>
      <c r="BD237" s="15" t="s">
        <v>328</v>
      </c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 t="s">
        <v>328</v>
      </c>
      <c r="BP237" s="15"/>
      <c r="BQ237" s="15" t="s">
        <v>328</v>
      </c>
      <c r="BR237" s="15" t="s">
        <v>328</v>
      </c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 t="s">
        <v>328</v>
      </c>
      <c r="CE237" s="15"/>
      <c r="CF237" s="15" t="s">
        <v>328</v>
      </c>
      <c r="CG237" s="15" t="s">
        <v>328</v>
      </c>
      <c r="CH237" s="15"/>
      <c r="CI237" s="15"/>
      <c r="CJ237" s="15" t="s">
        <v>328</v>
      </c>
      <c r="CK237" s="15"/>
      <c r="CL237" s="12"/>
      <c r="CM237" s="12"/>
      <c r="CN237" s="15">
        <v>4</v>
      </c>
      <c r="CO237" s="15">
        <v>1</v>
      </c>
      <c r="CP237" s="15">
        <v>6</v>
      </c>
      <c r="CQ237" s="15">
        <v>2</v>
      </c>
      <c r="CR237" s="15">
        <v>3</v>
      </c>
      <c r="CS237" s="15">
        <v>5</v>
      </c>
      <c r="CT237" s="15"/>
      <c r="CU237" s="15"/>
      <c r="CV237" s="15"/>
      <c r="CW237" s="15"/>
      <c r="CX237" s="15"/>
      <c r="CY237" s="15"/>
      <c r="CZ237" s="15" t="s">
        <v>332</v>
      </c>
      <c r="DA237" s="15"/>
      <c r="DB237" s="15"/>
      <c r="DC237" s="15">
        <v>1</v>
      </c>
      <c r="DD237" s="15">
        <v>5</v>
      </c>
      <c r="DE237" s="15">
        <v>6</v>
      </c>
      <c r="DF237" s="15">
        <v>2</v>
      </c>
      <c r="DG237" s="15">
        <v>4</v>
      </c>
      <c r="DH237" s="15">
        <v>3</v>
      </c>
      <c r="DI237" s="15"/>
      <c r="DJ237" s="15" t="s">
        <v>328</v>
      </c>
      <c r="DK237" s="15"/>
      <c r="DL237" s="15"/>
      <c r="DM237" s="15"/>
      <c r="DN237" s="15"/>
      <c r="DO237" s="15"/>
      <c r="DP237" s="15" t="s">
        <v>438</v>
      </c>
      <c r="DQ237" s="15" t="s">
        <v>328</v>
      </c>
      <c r="DR237" s="15"/>
      <c r="DS237" s="15"/>
      <c r="DT237" s="15"/>
      <c r="DU237" s="15"/>
      <c r="DV237" s="15"/>
      <c r="DW237" s="15"/>
      <c r="DX237" s="15" t="s">
        <v>438</v>
      </c>
      <c r="DY237" s="15" t="s">
        <v>328</v>
      </c>
      <c r="DZ237" s="15"/>
      <c r="EA237" s="15"/>
      <c r="EB237" s="15"/>
      <c r="EC237" s="15"/>
      <c r="ED237" s="15"/>
      <c r="EE237" s="102" t="s">
        <v>438</v>
      </c>
      <c r="EF237" s="48"/>
      <c r="EG237" s="17">
        <f t="shared" si="3"/>
        <v>0</v>
      </c>
    </row>
    <row r="238" spans="1:137" x14ac:dyDescent="0.25">
      <c r="A238" s="51" t="s">
        <v>1856</v>
      </c>
      <c r="B238" s="211">
        <v>41555</v>
      </c>
      <c r="C238" s="212" t="s">
        <v>2752</v>
      </c>
      <c r="D238" s="61" t="s">
        <v>1103</v>
      </c>
      <c r="E238" s="15" t="s">
        <v>328</v>
      </c>
      <c r="F238" s="15"/>
      <c r="G238" s="15">
        <v>31</v>
      </c>
      <c r="H238" s="15" t="s">
        <v>329</v>
      </c>
      <c r="I238" s="15" t="s">
        <v>330</v>
      </c>
      <c r="J238" s="15" t="s">
        <v>1064</v>
      </c>
      <c r="K238" s="15" t="s">
        <v>1273</v>
      </c>
      <c r="L238" s="15" t="s">
        <v>1293</v>
      </c>
      <c r="M238" s="15">
        <v>10</v>
      </c>
      <c r="N238" s="15">
        <v>2</v>
      </c>
      <c r="O238" s="15">
        <v>2</v>
      </c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 t="s">
        <v>418</v>
      </c>
      <c r="AL238" s="12"/>
      <c r="AM238" s="15" t="s">
        <v>328</v>
      </c>
      <c r="AN238" s="15" t="s">
        <v>328</v>
      </c>
      <c r="AO238" s="15" t="s">
        <v>328</v>
      </c>
      <c r="AP238" s="15" t="s">
        <v>328</v>
      </c>
      <c r="AQ238" s="15"/>
      <c r="AR238" s="15">
        <v>10</v>
      </c>
      <c r="AS238" s="15">
        <v>2</v>
      </c>
      <c r="AT238" s="15" t="s">
        <v>328</v>
      </c>
      <c r="AU238" s="15" t="s">
        <v>328</v>
      </c>
      <c r="AV238" s="15"/>
      <c r="AW238" s="15"/>
      <c r="AX238" s="15">
        <v>1</v>
      </c>
      <c r="AY238" s="15">
        <v>3</v>
      </c>
      <c r="AZ238" s="15">
        <v>2</v>
      </c>
      <c r="BA238" s="15"/>
      <c r="BB238" s="15" t="s">
        <v>328</v>
      </c>
      <c r="BC238" s="15"/>
      <c r="BD238" s="15" t="s">
        <v>328</v>
      </c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 t="s">
        <v>328</v>
      </c>
      <c r="BP238" s="15" t="s">
        <v>328</v>
      </c>
      <c r="BQ238" s="15"/>
      <c r="BR238" s="15" t="s">
        <v>328</v>
      </c>
      <c r="BS238" s="15"/>
      <c r="BT238" s="15"/>
      <c r="BU238" s="15"/>
      <c r="BV238" s="15"/>
      <c r="BW238" s="15" t="s">
        <v>328</v>
      </c>
      <c r="BX238" s="15"/>
      <c r="BY238" s="15"/>
      <c r="BZ238" s="15"/>
      <c r="CA238" s="15"/>
      <c r="CB238" s="15" t="s">
        <v>328</v>
      </c>
      <c r="CC238" s="15"/>
      <c r="CD238" s="15" t="s">
        <v>328</v>
      </c>
      <c r="CE238" s="15"/>
      <c r="CF238" s="15"/>
      <c r="CG238" s="15"/>
      <c r="CH238" s="15"/>
      <c r="CI238" s="15"/>
      <c r="CJ238" s="15"/>
      <c r="CK238" s="15"/>
      <c r="CL238" s="15" t="s">
        <v>328</v>
      </c>
      <c r="CM238" s="12"/>
      <c r="CN238" s="15">
        <v>4</v>
      </c>
      <c r="CO238" s="15">
        <v>3</v>
      </c>
      <c r="CP238" s="15">
        <v>5</v>
      </c>
      <c r="CQ238" s="15">
        <v>1</v>
      </c>
      <c r="CR238" s="15">
        <v>2</v>
      </c>
      <c r="CS238" s="15">
        <v>6</v>
      </c>
      <c r="CT238" s="15"/>
      <c r="CU238" s="15"/>
      <c r="CV238" s="15"/>
      <c r="CW238" s="15"/>
      <c r="CX238" s="15" t="s">
        <v>328</v>
      </c>
      <c r="CY238" s="15"/>
      <c r="CZ238" s="15"/>
      <c r="DA238" s="15"/>
      <c r="DB238" s="15"/>
      <c r="DC238" s="15">
        <v>1</v>
      </c>
      <c r="DD238" s="15">
        <v>2</v>
      </c>
      <c r="DE238" s="15">
        <v>4</v>
      </c>
      <c r="DF238" s="15">
        <v>3</v>
      </c>
      <c r="DG238" s="15">
        <v>5</v>
      </c>
      <c r="DH238" s="15">
        <v>6</v>
      </c>
      <c r="DI238" s="15"/>
      <c r="DJ238" s="15" t="s">
        <v>328</v>
      </c>
      <c r="DK238" s="15"/>
      <c r="DL238" s="15"/>
      <c r="DM238" s="15"/>
      <c r="DN238" s="15"/>
      <c r="DO238" s="15"/>
      <c r="DP238" s="15" t="s">
        <v>1152</v>
      </c>
      <c r="DQ238" s="15" t="s">
        <v>328</v>
      </c>
      <c r="DR238" s="15"/>
      <c r="DS238" s="15"/>
      <c r="DT238" s="15"/>
      <c r="DU238" s="15"/>
      <c r="DV238" s="15"/>
      <c r="DW238" s="15"/>
      <c r="DX238" s="15" t="s">
        <v>1152</v>
      </c>
      <c r="DY238" s="15" t="s">
        <v>328</v>
      </c>
      <c r="DZ238" s="15"/>
      <c r="EA238" s="15"/>
      <c r="EB238" s="15"/>
      <c r="EC238" s="15"/>
      <c r="ED238" s="15"/>
      <c r="EE238" s="102" t="s">
        <v>1152</v>
      </c>
      <c r="EF238" s="48"/>
      <c r="EG238" s="17">
        <f t="shared" si="3"/>
        <v>0</v>
      </c>
    </row>
    <row r="239" spans="1:137" x14ac:dyDescent="0.25">
      <c r="A239" s="51" t="s">
        <v>1856</v>
      </c>
      <c r="B239" s="211">
        <v>41555</v>
      </c>
      <c r="C239" s="212" t="s">
        <v>2752</v>
      </c>
      <c r="D239" s="61" t="s">
        <v>1104</v>
      </c>
      <c r="E239" s="15" t="s">
        <v>328</v>
      </c>
      <c r="F239" s="15"/>
      <c r="G239" s="15">
        <v>38</v>
      </c>
      <c r="H239" s="15" t="s">
        <v>329</v>
      </c>
      <c r="I239" s="15" t="s">
        <v>330</v>
      </c>
      <c r="J239" s="15" t="s">
        <v>1105</v>
      </c>
      <c r="K239" s="15" t="s">
        <v>1320</v>
      </c>
      <c r="L239" s="15" t="s">
        <v>1256</v>
      </c>
      <c r="M239" s="15">
        <v>20</v>
      </c>
      <c r="N239" s="15">
        <v>1</v>
      </c>
      <c r="O239" s="15">
        <v>1</v>
      </c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 t="s">
        <v>328</v>
      </c>
      <c r="AG239" s="15"/>
      <c r="AH239" s="15"/>
      <c r="AI239" s="15"/>
      <c r="AJ239" s="15"/>
      <c r="AK239" s="15"/>
      <c r="AL239" s="15" t="s">
        <v>328</v>
      </c>
      <c r="AM239" s="15"/>
      <c r="AN239" s="15" t="s">
        <v>328</v>
      </c>
      <c r="AO239" s="15"/>
      <c r="AP239" s="15"/>
      <c r="AQ239" s="15"/>
      <c r="AR239" s="15">
        <v>0</v>
      </c>
      <c r="AS239" s="15">
        <v>0</v>
      </c>
      <c r="AT239" s="15"/>
      <c r="AU239" s="15" t="s">
        <v>328</v>
      </c>
      <c r="AV239" s="15"/>
      <c r="AW239" s="15"/>
      <c r="AX239" s="15">
        <v>1</v>
      </c>
      <c r="AY239" s="15">
        <v>3</v>
      </c>
      <c r="AZ239" s="15">
        <v>2</v>
      </c>
      <c r="BA239" s="15"/>
      <c r="BB239" s="15" t="s">
        <v>328</v>
      </c>
      <c r="BC239" s="15"/>
      <c r="BD239" s="15" t="s">
        <v>328</v>
      </c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 t="s">
        <v>328</v>
      </c>
      <c r="BP239" s="15"/>
      <c r="BQ239" s="15" t="s">
        <v>328</v>
      </c>
      <c r="BR239" s="15"/>
      <c r="BS239" s="15"/>
      <c r="BT239" s="15"/>
      <c r="BU239" s="15"/>
      <c r="BV239" s="15" t="s">
        <v>328</v>
      </c>
      <c r="BW239" s="15"/>
      <c r="BX239" s="15"/>
      <c r="BY239" s="15"/>
      <c r="BZ239" s="15"/>
      <c r="CA239" s="15"/>
      <c r="CB239" s="15"/>
      <c r="CC239" s="15"/>
      <c r="CD239" s="15" t="s">
        <v>328</v>
      </c>
      <c r="CE239" s="15"/>
      <c r="CF239" s="15"/>
      <c r="CG239" s="15"/>
      <c r="CH239" s="15"/>
      <c r="CI239" s="15" t="s">
        <v>328</v>
      </c>
      <c r="CJ239" s="15"/>
      <c r="CK239" s="15"/>
      <c r="CL239" s="12"/>
      <c r="CM239" s="12"/>
      <c r="CN239" s="15">
        <v>5</v>
      </c>
      <c r="CO239" s="15">
        <v>1</v>
      </c>
      <c r="CP239" s="15">
        <v>6</v>
      </c>
      <c r="CQ239" s="15">
        <v>2</v>
      </c>
      <c r="CR239" s="15">
        <v>3</v>
      </c>
      <c r="CS239" s="15">
        <v>4</v>
      </c>
      <c r="CT239" s="15"/>
      <c r="CU239" s="15"/>
      <c r="CV239" s="15"/>
      <c r="CW239" s="15"/>
      <c r="CX239" s="15"/>
      <c r="CY239" s="15"/>
      <c r="CZ239" s="15" t="s">
        <v>332</v>
      </c>
      <c r="DA239" s="15"/>
      <c r="DB239" s="15"/>
      <c r="DC239" s="15">
        <v>2</v>
      </c>
      <c r="DD239" s="15">
        <v>3</v>
      </c>
      <c r="DE239" s="15">
        <v>4</v>
      </c>
      <c r="DF239" s="15">
        <v>5</v>
      </c>
      <c r="DG239" s="15">
        <v>1</v>
      </c>
      <c r="DH239" s="15">
        <v>6</v>
      </c>
      <c r="DI239" s="15"/>
      <c r="DJ239" s="15" t="s">
        <v>328</v>
      </c>
      <c r="DK239" s="15"/>
      <c r="DL239" s="15"/>
      <c r="DM239" s="15"/>
      <c r="DN239" s="15"/>
      <c r="DO239" s="15"/>
      <c r="DP239" s="15" t="s">
        <v>497</v>
      </c>
      <c r="DQ239" s="15" t="s">
        <v>328</v>
      </c>
      <c r="DR239" s="15"/>
      <c r="DS239" s="15"/>
      <c r="DT239" s="15"/>
      <c r="DU239" s="15"/>
      <c r="DV239" s="15"/>
      <c r="DW239" s="15"/>
      <c r="DX239" s="15" t="s">
        <v>497</v>
      </c>
      <c r="DY239" s="15" t="s">
        <v>328</v>
      </c>
      <c r="DZ239" s="15"/>
      <c r="EA239" s="15"/>
      <c r="EB239" s="15"/>
      <c r="EC239" s="15"/>
      <c r="ED239" s="15"/>
      <c r="EE239" s="102" t="s">
        <v>497</v>
      </c>
      <c r="EF239" s="48"/>
      <c r="EG239" s="17">
        <f t="shared" si="3"/>
        <v>0</v>
      </c>
    </row>
    <row r="240" spans="1:137" x14ac:dyDescent="0.25">
      <c r="A240" s="51" t="s">
        <v>1856</v>
      </c>
      <c r="B240" s="211">
        <v>41555</v>
      </c>
      <c r="C240" s="212" t="s">
        <v>2752</v>
      </c>
      <c r="D240" s="61" t="s">
        <v>1106</v>
      </c>
      <c r="E240" s="15" t="s">
        <v>328</v>
      </c>
      <c r="F240" s="15"/>
      <c r="G240" s="15">
        <v>49</v>
      </c>
      <c r="H240" s="15" t="s">
        <v>329</v>
      </c>
      <c r="I240" s="15" t="s">
        <v>584</v>
      </c>
      <c r="J240" s="15" t="s">
        <v>1107</v>
      </c>
      <c r="K240" s="15" t="s">
        <v>1321</v>
      </c>
      <c r="L240" s="15" t="s">
        <v>1281</v>
      </c>
      <c r="M240" s="15">
        <v>30</v>
      </c>
      <c r="N240" s="15">
        <v>1</v>
      </c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>
        <v>1</v>
      </c>
      <c r="AA240" s="14"/>
      <c r="AB240" s="15" t="s">
        <v>328</v>
      </c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 t="s">
        <v>328</v>
      </c>
      <c r="AN240" s="15"/>
      <c r="AO240" s="15" t="s">
        <v>328</v>
      </c>
      <c r="AP240" s="15"/>
      <c r="AQ240" s="15"/>
      <c r="AR240" s="15">
        <v>0</v>
      </c>
      <c r="AS240" s="15">
        <v>0</v>
      </c>
      <c r="AT240" s="15"/>
      <c r="AU240" s="15" t="s">
        <v>328</v>
      </c>
      <c r="AV240" s="15"/>
      <c r="AW240" s="15"/>
      <c r="AX240" s="15">
        <v>1</v>
      </c>
      <c r="AY240" s="15">
        <v>2</v>
      </c>
      <c r="AZ240" s="15">
        <v>3</v>
      </c>
      <c r="BA240" s="15"/>
      <c r="BB240" s="15" t="s">
        <v>328</v>
      </c>
      <c r="BC240" s="15"/>
      <c r="BD240" s="15" t="s">
        <v>328</v>
      </c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 t="s">
        <v>328</v>
      </c>
      <c r="BP240" s="15"/>
      <c r="BQ240" s="15" t="s">
        <v>328</v>
      </c>
      <c r="BR240" s="15" t="s">
        <v>328</v>
      </c>
      <c r="BS240" s="15"/>
      <c r="BT240" s="15"/>
      <c r="BU240" s="15"/>
      <c r="BV240" s="15"/>
      <c r="BW240" s="15" t="s">
        <v>328</v>
      </c>
      <c r="BX240" s="15"/>
      <c r="BY240" s="15"/>
      <c r="BZ240" s="15"/>
      <c r="CA240" s="15"/>
      <c r="CB240" s="15"/>
      <c r="CC240" s="15"/>
      <c r="CD240" s="15" t="s">
        <v>328</v>
      </c>
      <c r="CE240" s="15"/>
      <c r="CF240" s="15"/>
      <c r="CG240" s="15" t="s">
        <v>328</v>
      </c>
      <c r="CH240" s="15"/>
      <c r="CI240" s="15" t="s">
        <v>328</v>
      </c>
      <c r="CJ240" s="15"/>
      <c r="CK240" s="15"/>
      <c r="CL240" s="12"/>
      <c r="CM240" s="12"/>
      <c r="CN240" s="15">
        <v>3</v>
      </c>
      <c r="CO240" s="15">
        <v>1</v>
      </c>
      <c r="CP240" s="15">
        <v>2</v>
      </c>
      <c r="CQ240" s="15">
        <v>5</v>
      </c>
      <c r="CR240" s="15">
        <v>6</v>
      </c>
      <c r="CS240" s="15">
        <v>4</v>
      </c>
      <c r="CT240" s="15"/>
      <c r="CU240" s="15"/>
      <c r="CV240" s="15"/>
      <c r="CW240" s="15"/>
      <c r="CX240" s="15"/>
      <c r="CY240" s="15"/>
      <c r="CZ240" s="15" t="s">
        <v>332</v>
      </c>
      <c r="DA240" s="15"/>
      <c r="DB240" s="15"/>
      <c r="DC240" s="15">
        <v>1</v>
      </c>
      <c r="DD240" s="15">
        <v>3</v>
      </c>
      <c r="DE240" s="15">
        <v>5</v>
      </c>
      <c r="DF240" s="15">
        <v>2</v>
      </c>
      <c r="DG240" s="15">
        <v>6</v>
      </c>
      <c r="DH240" s="15">
        <v>4</v>
      </c>
      <c r="DI240" s="15"/>
      <c r="DJ240" s="15" t="s">
        <v>328</v>
      </c>
      <c r="DK240" s="15"/>
      <c r="DL240" s="15"/>
      <c r="DM240" s="15"/>
      <c r="DN240" s="15"/>
      <c r="DO240" s="15"/>
      <c r="DP240" s="15" t="s">
        <v>333</v>
      </c>
      <c r="DQ240" s="15" t="s">
        <v>328</v>
      </c>
      <c r="DR240" s="15"/>
      <c r="DS240" s="15"/>
      <c r="DT240" s="15"/>
      <c r="DU240" s="15"/>
      <c r="DV240" s="15"/>
      <c r="DW240" s="15"/>
      <c r="DX240" s="15" t="s">
        <v>333</v>
      </c>
      <c r="DY240" s="15" t="s">
        <v>328</v>
      </c>
      <c r="DZ240" s="15"/>
      <c r="EA240" s="15"/>
      <c r="EB240" s="15"/>
      <c r="EC240" s="15"/>
      <c r="ED240" s="15"/>
      <c r="EE240" s="102" t="s">
        <v>333</v>
      </c>
      <c r="EF240" s="48"/>
      <c r="EG240" s="17">
        <f t="shared" si="3"/>
        <v>0</v>
      </c>
    </row>
    <row r="241" spans="1:138" x14ac:dyDescent="0.25">
      <c r="A241" s="51" t="s">
        <v>1856</v>
      </c>
      <c r="B241" s="211">
        <v>41555</v>
      </c>
      <c r="C241" s="212" t="s">
        <v>2752</v>
      </c>
      <c r="D241" s="61" t="s">
        <v>1108</v>
      </c>
      <c r="E241" s="15" t="s">
        <v>328</v>
      </c>
      <c r="F241" s="15"/>
      <c r="G241" s="15">
        <v>39</v>
      </c>
      <c r="H241" s="15" t="s">
        <v>329</v>
      </c>
      <c r="I241" s="15" t="s">
        <v>357</v>
      </c>
      <c r="J241" s="15" t="s">
        <v>1066</v>
      </c>
      <c r="K241" s="15" t="s">
        <v>1304</v>
      </c>
      <c r="L241" s="15" t="s">
        <v>1292</v>
      </c>
      <c r="M241" s="15">
        <v>0</v>
      </c>
      <c r="N241" s="15">
        <v>1</v>
      </c>
      <c r="O241" s="15">
        <v>1</v>
      </c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 t="s">
        <v>328</v>
      </c>
      <c r="AC241" s="15" t="s">
        <v>328</v>
      </c>
      <c r="AD241" s="15"/>
      <c r="AE241" s="15"/>
      <c r="AF241" s="15"/>
      <c r="AG241" s="15" t="s">
        <v>328</v>
      </c>
      <c r="AH241" s="15"/>
      <c r="AI241" s="15"/>
      <c r="AJ241" s="15"/>
      <c r="AK241" s="15"/>
      <c r="AL241" s="15"/>
      <c r="AM241" s="15" t="s">
        <v>328</v>
      </c>
      <c r="AN241" s="15"/>
      <c r="AO241" s="15" t="s">
        <v>328</v>
      </c>
      <c r="AP241" s="15"/>
      <c r="AQ241" s="15"/>
      <c r="AR241" s="15">
        <v>0</v>
      </c>
      <c r="AS241" s="15">
        <v>0</v>
      </c>
      <c r="AT241" s="15"/>
      <c r="AU241" s="15" t="s">
        <v>328</v>
      </c>
      <c r="AV241" s="15"/>
      <c r="AW241" s="15"/>
      <c r="AX241" s="15">
        <v>1</v>
      </c>
      <c r="AY241" s="15">
        <v>3</v>
      </c>
      <c r="AZ241" s="15">
        <v>2</v>
      </c>
      <c r="BA241" s="15"/>
      <c r="BB241" s="15" t="s">
        <v>328</v>
      </c>
      <c r="BC241" s="15"/>
      <c r="BD241" s="15" t="s">
        <v>328</v>
      </c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 t="s">
        <v>328</v>
      </c>
      <c r="BP241" s="15"/>
      <c r="BQ241" s="15" t="s">
        <v>328</v>
      </c>
      <c r="BR241" s="15" t="s">
        <v>328</v>
      </c>
      <c r="BS241" s="15"/>
      <c r="BT241" s="15"/>
      <c r="BU241" s="15"/>
      <c r="BV241" s="15"/>
      <c r="BW241" s="15"/>
      <c r="BX241" s="15"/>
      <c r="BY241" s="15"/>
      <c r="BZ241" s="15"/>
      <c r="CA241" s="15"/>
      <c r="CB241" s="15" t="s">
        <v>328</v>
      </c>
      <c r="CC241" s="15"/>
      <c r="CD241" s="15" t="s">
        <v>328</v>
      </c>
      <c r="CE241" s="15"/>
      <c r="CF241" s="15"/>
      <c r="CG241" s="15"/>
      <c r="CH241" s="15"/>
      <c r="CI241" s="15" t="s">
        <v>328</v>
      </c>
      <c r="CJ241" s="15"/>
      <c r="CK241" s="15"/>
      <c r="CL241" s="12"/>
      <c r="CM241" s="12"/>
      <c r="CN241" s="15">
        <v>3</v>
      </c>
      <c r="CO241" s="15">
        <v>5</v>
      </c>
      <c r="CP241" s="15">
        <v>6</v>
      </c>
      <c r="CQ241" s="15">
        <v>2</v>
      </c>
      <c r="CR241" s="15">
        <v>1</v>
      </c>
      <c r="CS241" s="15">
        <v>4</v>
      </c>
      <c r="CT241" s="15"/>
      <c r="CU241" s="15"/>
      <c r="CV241" s="15"/>
      <c r="CW241" s="15"/>
      <c r="CX241" s="15"/>
      <c r="CY241" s="15"/>
      <c r="CZ241" s="15" t="s">
        <v>332</v>
      </c>
      <c r="DA241" s="15"/>
      <c r="DB241" s="15"/>
      <c r="DC241" s="15">
        <v>1</v>
      </c>
      <c r="DD241" s="15">
        <v>2</v>
      </c>
      <c r="DE241" s="15">
        <v>3</v>
      </c>
      <c r="DF241" s="15">
        <v>6</v>
      </c>
      <c r="DG241" s="15">
        <v>4</v>
      </c>
      <c r="DH241" s="15">
        <v>5</v>
      </c>
      <c r="DI241" s="15"/>
      <c r="DJ241" s="15" t="s">
        <v>328</v>
      </c>
      <c r="DK241" s="15"/>
      <c r="DL241" s="15"/>
      <c r="DM241" s="15"/>
      <c r="DN241" s="15"/>
      <c r="DO241" s="15"/>
      <c r="DP241" s="15" t="s">
        <v>450</v>
      </c>
      <c r="DQ241" s="15"/>
      <c r="DR241" s="15" t="s">
        <v>328</v>
      </c>
      <c r="DS241" s="15" t="s">
        <v>328</v>
      </c>
      <c r="DT241" s="15" t="s">
        <v>1347</v>
      </c>
      <c r="DU241" s="15"/>
      <c r="DV241" s="15"/>
      <c r="DW241" s="15"/>
      <c r="DX241" s="15" t="s">
        <v>450</v>
      </c>
      <c r="DY241" s="15" t="s">
        <v>328</v>
      </c>
      <c r="DZ241" s="15"/>
      <c r="EA241" s="15"/>
      <c r="EB241" s="15"/>
      <c r="EC241" s="15"/>
      <c r="ED241" s="15"/>
      <c r="EE241" s="102" t="s">
        <v>450</v>
      </c>
      <c r="EF241" s="48"/>
      <c r="EG241" s="17">
        <f t="shared" si="3"/>
        <v>0</v>
      </c>
    </row>
    <row r="242" spans="1:138" x14ac:dyDescent="0.25">
      <c r="A242" s="51" t="s">
        <v>1856</v>
      </c>
      <c r="B242" s="211">
        <v>41555</v>
      </c>
      <c r="C242" s="212" t="s">
        <v>2752</v>
      </c>
      <c r="D242" s="61" t="s">
        <v>1109</v>
      </c>
      <c r="E242" s="15" t="s">
        <v>328</v>
      </c>
      <c r="F242" s="15"/>
      <c r="G242" s="15">
        <v>54</v>
      </c>
      <c r="H242" s="15" t="s">
        <v>329</v>
      </c>
      <c r="I242" s="15" t="s">
        <v>353</v>
      </c>
      <c r="J242" s="15" t="s">
        <v>1110</v>
      </c>
      <c r="K242" s="15" t="s">
        <v>1322</v>
      </c>
      <c r="L242" s="15" t="s">
        <v>1293</v>
      </c>
      <c r="M242" s="15">
        <v>30</v>
      </c>
      <c r="N242" s="15">
        <v>1</v>
      </c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>
        <v>1</v>
      </c>
      <c r="AA242" s="14"/>
      <c r="AB242" s="15" t="s">
        <v>328</v>
      </c>
      <c r="AC242" s="15" t="s">
        <v>328</v>
      </c>
      <c r="AD242" s="15"/>
      <c r="AE242" s="15"/>
      <c r="AF242" s="15"/>
      <c r="AG242" s="15" t="s">
        <v>328</v>
      </c>
      <c r="AH242" s="15"/>
      <c r="AI242" s="15"/>
      <c r="AJ242" s="15"/>
      <c r="AK242" s="15"/>
      <c r="AL242" s="15"/>
      <c r="AM242" s="15" t="s">
        <v>328</v>
      </c>
      <c r="AN242" s="15"/>
      <c r="AO242" s="15" t="s">
        <v>328</v>
      </c>
      <c r="AP242" s="15"/>
      <c r="AQ242" s="15"/>
      <c r="AR242" s="15">
        <v>0</v>
      </c>
      <c r="AS242" s="15">
        <v>0</v>
      </c>
      <c r="AT242" s="15"/>
      <c r="AU242" s="15" t="s">
        <v>328</v>
      </c>
      <c r="AV242" s="15"/>
      <c r="AW242" s="15"/>
      <c r="AX242" s="15">
        <v>1</v>
      </c>
      <c r="AY242" s="15">
        <v>3</v>
      </c>
      <c r="AZ242" s="15">
        <v>2</v>
      </c>
      <c r="BA242" s="15"/>
      <c r="BB242" s="15" t="s">
        <v>328</v>
      </c>
      <c r="BC242" s="15"/>
      <c r="BD242" s="15" t="s">
        <v>328</v>
      </c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 t="s">
        <v>328</v>
      </c>
      <c r="BP242" s="15"/>
      <c r="BQ242" s="15" t="s">
        <v>328</v>
      </c>
      <c r="BR242" s="15" t="s">
        <v>328</v>
      </c>
      <c r="BS242" s="15" t="s">
        <v>328</v>
      </c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 t="s">
        <v>328</v>
      </c>
      <c r="CG242" s="15"/>
      <c r="CH242" s="15"/>
      <c r="CI242" s="15"/>
      <c r="CJ242" s="15" t="s">
        <v>328</v>
      </c>
      <c r="CK242" s="15"/>
      <c r="CL242" s="12"/>
      <c r="CM242" s="12"/>
      <c r="CN242" s="15">
        <v>4</v>
      </c>
      <c r="CO242" s="15">
        <v>1</v>
      </c>
      <c r="CP242" s="15">
        <v>6</v>
      </c>
      <c r="CQ242" s="15">
        <v>3</v>
      </c>
      <c r="CR242" s="15">
        <v>2</v>
      </c>
      <c r="CS242" s="15">
        <v>5</v>
      </c>
      <c r="CT242" s="15"/>
      <c r="CU242" s="15"/>
      <c r="CV242" s="15"/>
      <c r="CW242" s="15"/>
      <c r="CX242" s="15"/>
      <c r="CY242" s="15"/>
      <c r="CZ242" s="15" t="s">
        <v>332</v>
      </c>
      <c r="DA242" s="15" t="s">
        <v>328</v>
      </c>
      <c r="DB242" s="15" t="s">
        <v>700</v>
      </c>
      <c r="DC242" s="15"/>
      <c r="DD242" s="15"/>
      <c r="DE242" s="15"/>
      <c r="DF242" s="15"/>
      <c r="DG242" s="15"/>
      <c r="DH242" s="15"/>
      <c r="DI242" s="15"/>
      <c r="DJ242" s="15" t="s">
        <v>328</v>
      </c>
      <c r="DK242" s="15"/>
      <c r="DL242" s="15"/>
      <c r="DM242" s="15"/>
      <c r="DN242" s="15"/>
      <c r="DO242" s="15"/>
      <c r="DP242" s="15" t="s">
        <v>1152</v>
      </c>
      <c r="DQ242" s="15" t="s">
        <v>328</v>
      </c>
      <c r="DR242" s="15"/>
      <c r="DS242" s="15"/>
      <c r="DT242" s="15"/>
      <c r="DU242" s="15"/>
      <c r="DV242" s="15"/>
      <c r="DW242" s="15"/>
      <c r="DX242" s="15" t="s">
        <v>1152</v>
      </c>
      <c r="DY242" s="15" t="s">
        <v>328</v>
      </c>
      <c r="DZ242" s="15"/>
      <c r="EA242" s="15"/>
      <c r="EB242" s="15"/>
      <c r="EC242" s="15"/>
      <c r="ED242" s="15"/>
      <c r="EE242" s="102" t="s">
        <v>1152</v>
      </c>
      <c r="EF242" s="48"/>
      <c r="EG242" s="17">
        <f t="shared" si="3"/>
        <v>0</v>
      </c>
    </row>
    <row r="243" spans="1:138" x14ac:dyDescent="0.25">
      <c r="A243" s="51" t="s">
        <v>1856</v>
      </c>
      <c r="B243" s="211">
        <v>41555</v>
      </c>
      <c r="C243" s="212" t="s">
        <v>2752</v>
      </c>
      <c r="D243" s="61" t="s">
        <v>1111</v>
      </c>
      <c r="E243" s="15" t="s">
        <v>328</v>
      </c>
      <c r="F243" s="15"/>
      <c r="G243" s="15">
        <v>43</v>
      </c>
      <c r="H243" s="15" t="s">
        <v>329</v>
      </c>
      <c r="I243" s="15" t="s">
        <v>584</v>
      </c>
      <c r="J243" s="15" t="s">
        <v>1112</v>
      </c>
      <c r="K243" s="15" t="s">
        <v>1323</v>
      </c>
      <c r="L243" s="15" t="s">
        <v>1188</v>
      </c>
      <c r="M243" s="15">
        <v>25</v>
      </c>
      <c r="N243" s="15">
        <v>1</v>
      </c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>
        <v>1</v>
      </c>
      <c r="AA243" s="14"/>
      <c r="AB243" s="15" t="s">
        <v>328</v>
      </c>
      <c r="AC243" s="15" t="s">
        <v>328</v>
      </c>
      <c r="AD243" s="15"/>
      <c r="AE243" s="15"/>
      <c r="AF243" s="15"/>
      <c r="AG243" s="15"/>
      <c r="AH243" s="15"/>
      <c r="AI243" s="15"/>
      <c r="AJ243" s="15"/>
      <c r="AK243" s="15"/>
      <c r="AL243" s="15"/>
      <c r="AM243" s="15" t="s">
        <v>328</v>
      </c>
      <c r="AN243" s="15"/>
      <c r="AO243" s="15" t="s">
        <v>328</v>
      </c>
      <c r="AP243" s="15" t="s">
        <v>328</v>
      </c>
      <c r="AQ243" s="15"/>
      <c r="AR243" s="15">
        <v>0</v>
      </c>
      <c r="AS243" s="15">
        <v>0</v>
      </c>
      <c r="AT243" s="15"/>
      <c r="AU243" s="15" t="s">
        <v>328</v>
      </c>
      <c r="AV243" s="15"/>
      <c r="AW243" s="15"/>
      <c r="AX243" s="15">
        <v>1</v>
      </c>
      <c r="AY243" s="15">
        <v>3</v>
      </c>
      <c r="AZ243" s="15">
        <v>2</v>
      </c>
      <c r="BA243" s="15"/>
      <c r="BB243" s="15" t="s">
        <v>328</v>
      </c>
      <c r="BC243" s="15"/>
      <c r="BD243" s="15" t="s">
        <v>328</v>
      </c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 t="s">
        <v>328</v>
      </c>
      <c r="BP243" s="15"/>
      <c r="BQ243" s="15" t="s">
        <v>328</v>
      </c>
      <c r="BR243" s="15" t="s">
        <v>328</v>
      </c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 t="s">
        <v>328</v>
      </c>
      <c r="CF243" s="15" t="s">
        <v>328</v>
      </c>
      <c r="CG243" s="15"/>
      <c r="CH243" s="15"/>
      <c r="CI243" s="15"/>
      <c r="CJ243" s="15" t="s">
        <v>328</v>
      </c>
      <c r="CK243" s="15"/>
      <c r="CL243" s="12"/>
      <c r="CM243" s="12"/>
      <c r="CN243" s="15">
        <v>3</v>
      </c>
      <c r="CO243" s="15">
        <v>1</v>
      </c>
      <c r="CP243" s="15">
        <v>6</v>
      </c>
      <c r="CQ243" s="15">
        <v>5</v>
      </c>
      <c r="CR243" s="15">
        <v>2</v>
      </c>
      <c r="CS243" s="15">
        <v>4</v>
      </c>
      <c r="CT243" s="15"/>
      <c r="CU243" s="15"/>
      <c r="CV243" s="15"/>
      <c r="CW243" s="15"/>
      <c r="CX243" s="15"/>
      <c r="CY243" s="15"/>
      <c r="CZ243" s="15" t="s">
        <v>332</v>
      </c>
      <c r="DA243" s="15"/>
      <c r="DB243" s="15"/>
      <c r="DC243" s="15">
        <v>1</v>
      </c>
      <c r="DD243" s="15">
        <v>5</v>
      </c>
      <c r="DE243" s="15">
        <v>6</v>
      </c>
      <c r="DF243" s="15">
        <v>4</v>
      </c>
      <c r="DG243" s="15">
        <v>2</v>
      </c>
      <c r="DH243" s="15">
        <v>3</v>
      </c>
      <c r="DI243" s="15"/>
      <c r="DJ243" s="15" t="s">
        <v>328</v>
      </c>
      <c r="DK243" s="15"/>
      <c r="DL243" s="15"/>
      <c r="DM243" s="15"/>
      <c r="DN243" s="15"/>
      <c r="DO243" s="15"/>
      <c r="DP243" s="15" t="s">
        <v>1155</v>
      </c>
      <c r="DQ243" s="15" t="s">
        <v>328</v>
      </c>
      <c r="DR243" s="15"/>
      <c r="DS243" s="15"/>
      <c r="DT243" s="15"/>
      <c r="DU243" s="15"/>
      <c r="DV243" s="15"/>
      <c r="DW243" s="15"/>
      <c r="DX243" s="15" t="s">
        <v>1155</v>
      </c>
      <c r="DY243" s="15" t="s">
        <v>328</v>
      </c>
      <c r="DZ243" s="15"/>
      <c r="EA243" s="15"/>
      <c r="EB243" s="15"/>
      <c r="EC243" s="15"/>
      <c r="ED243" s="15"/>
      <c r="EE243" s="102" t="s">
        <v>1155</v>
      </c>
      <c r="EF243" s="48"/>
      <c r="EG243" s="17">
        <f t="shared" si="3"/>
        <v>0</v>
      </c>
    </row>
    <row r="244" spans="1:138" x14ac:dyDescent="0.25">
      <c r="A244" s="51" t="s">
        <v>1856</v>
      </c>
      <c r="B244" s="211">
        <v>41555</v>
      </c>
      <c r="C244" s="212" t="s">
        <v>2752</v>
      </c>
      <c r="D244" s="61" t="s">
        <v>1113</v>
      </c>
      <c r="E244" s="15" t="s">
        <v>328</v>
      </c>
      <c r="F244" s="15"/>
      <c r="G244" s="15">
        <v>50</v>
      </c>
      <c r="H244" s="15" t="s">
        <v>329</v>
      </c>
      <c r="I244" s="15" t="s">
        <v>353</v>
      </c>
      <c r="J244" s="15" t="s">
        <v>1114</v>
      </c>
      <c r="K244" s="15" t="s">
        <v>1324</v>
      </c>
      <c r="L244" s="15" t="s">
        <v>1293</v>
      </c>
      <c r="M244" s="15">
        <v>30</v>
      </c>
      <c r="N244" s="15">
        <v>2</v>
      </c>
      <c r="O244" s="15">
        <v>2</v>
      </c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 t="s">
        <v>328</v>
      </c>
      <c r="AD244" s="15"/>
      <c r="AE244" s="15"/>
      <c r="AF244" s="15"/>
      <c r="AG244" s="15"/>
      <c r="AH244" s="15"/>
      <c r="AI244" s="15"/>
      <c r="AJ244" s="15"/>
      <c r="AK244" s="15"/>
      <c r="AL244" s="15"/>
      <c r="AM244" s="15" t="s">
        <v>328</v>
      </c>
      <c r="AN244" s="15"/>
      <c r="AO244" s="15"/>
      <c r="AP244" s="15" t="s">
        <v>328</v>
      </c>
      <c r="AQ244" s="15"/>
      <c r="AR244" s="15">
        <v>10</v>
      </c>
      <c r="AS244" s="15">
        <v>2</v>
      </c>
      <c r="AT244" s="15"/>
      <c r="AU244" s="15"/>
      <c r="AV244" s="15" t="s">
        <v>328</v>
      </c>
      <c r="AW244" s="15"/>
      <c r="AX244" s="15">
        <v>1</v>
      </c>
      <c r="AY244" s="15">
        <v>2</v>
      </c>
      <c r="AZ244" s="15">
        <v>3</v>
      </c>
      <c r="BA244" s="15"/>
      <c r="BB244" s="15" t="s">
        <v>328</v>
      </c>
      <c r="BC244" s="15"/>
      <c r="BD244" s="15"/>
      <c r="BE244" s="15"/>
      <c r="BF244" s="15"/>
      <c r="BG244" s="15"/>
      <c r="BH244" s="15"/>
      <c r="BI244" s="15"/>
      <c r="BJ244" s="15"/>
      <c r="BK244" s="15"/>
      <c r="BL244" s="15" t="s">
        <v>328</v>
      </c>
      <c r="BM244" s="15"/>
      <c r="BN244" s="15"/>
      <c r="BO244" s="15" t="s">
        <v>328</v>
      </c>
      <c r="BP244" s="15"/>
      <c r="BQ244" s="15" t="s">
        <v>328</v>
      </c>
      <c r="BR244" s="15"/>
      <c r="BS244" s="15" t="s">
        <v>328</v>
      </c>
      <c r="BT244" s="15"/>
      <c r="BU244" s="15"/>
      <c r="BV244" s="15" t="s">
        <v>328</v>
      </c>
      <c r="BW244" s="15" t="s">
        <v>328</v>
      </c>
      <c r="BX244" s="15"/>
      <c r="BY244" s="15"/>
      <c r="BZ244" s="15"/>
      <c r="CA244" s="15"/>
      <c r="CB244" s="15" t="s">
        <v>328</v>
      </c>
      <c r="CC244" s="15"/>
      <c r="CD244" s="15"/>
      <c r="CE244" s="15"/>
      <c r="CF244" s="15"/>
      <c r="CG244" s="15"/>
      <c r="CH244" s="15" t="s">
        <v>1115</v>
      </c>
      <c r="CI244" s="15" t="s">
        <v>328</v>
      </c>
      <c r="CJ244" s="15"/>
      <c r="CK244" s="15"/>
      <c r="CL244" s="12"/>
      <c r="CM244" s="12"/>
      <c r="CN244" s="15">
        <v>1</v>
      </c>
      <c r="CO244" s="15">
        <v>3</v>
      </c>
      <c r="CP244" s="15">
        <v>6</v>
      </c>
      <c r="CQ244" s="15">
        <v>4</v>
      </c>
      <c r="CR244" s="15">
        <v>5</v>
      </c>
      <c r="CS244" s="15">
        <v>2</v>
      </c>
      <c r="CT244" s="15"/>
      <c r="CU244" s="15"/>
      <c r="CV244" s="15"/>
      <c r="CW244" s="15"/>
      <c r="CX244" s="15" t="s">
        <v>328</v>
      </c>
      <c r="CY244" s="15"/>
      <c r="CZ244" s="15"/>
      <c r="DA244" s="15"/>
      <c r="DB244" s="15"/>
      <c r="DC244" s="15">
        <v>1</v>
      </c>
      <c r="DD244" s="15">
        <v>2</v>
      </c>
      <c r="DE244" s="15">
        <v>3</v>
      </c>
      <c r="DF244" s="15">
        <v>4</v>
      </c>
      <c r="DG244" s="15">
        <v>6</v>
      </c>
      <c r="DH244" s="15">
        <v>5</v>
      </c>
      <c r="DI244" s="15"/>
      <c r="DJ244" s="15" t="s">
        <v>328</v>
      </c>
      <c r="DK244" s="15"/>
      <c r="DL244" s="15"/>
      <c r="DM244" s="15"/>
      <c r="DN244" s="15"/>
      <c r="DO244" s="15"/>
      <c r="DP244" s="15" t="s">
        <v>497</v>
      </c>
      <c r="DQ244" s="15"/>
      <c r="DR244" s="15" t="s">
        <v>328</v>
      </c>
      <c r="DS244" s="15"/>
      <c r="DT244" s="15"/>
      <c r="DU244" s="15" t="s">
        <v>328</v>
      </c>
      <c r="DV244" s="15" t="s">
        <v>1348</v>
      </c>
      <c r="DW244" s="15" t="s">
        <v>1116</v>
      </c>
      <c r="DX244" s="15" t="s">
        <v>1117</v>
      </c>
      <c r="DY244" s="15" t="s">
        <v>328</v>
      </c>
      <c r="DZ244" s="15"/>
      <c r="EA244" s="15"/>
      <c r="EB244" s="15"/>
      <c r="EC244" s="15"/>
      <c r="ED244" s="15"/>
      <c r="EE244" s="102" t="s">
        <v>497</v>
      </c>
      <c r="EF244" s="48"/>
      <c r="EG244" s="17">
        <f t="shared" si="3"/>
        <v>0</v>
      </c>
    </row>
    <row r="245" spans="1:138" x14ac:dyDescent="0.25">
      <c r="A245" s="51" t="s">
        <v>1856</v>
      </c>
      <c r="B245" s="211">
        <v>41555</v>
      </c>
      <c r="C245" s="212" t="s">
        <v>2752</v>
      </c>
      <c r="D245" s="61" t="s">
        <v>1118</v>
      </c>
      <c r="E245" s="15" t="s">
        <v>328</v>
      </c>
      <c r="F245" s="15"/>
      <c r="G245" s="15">
        <v>61</v>
      </c>
      <c r="H245" s="15" t="s">
        <v>329</v>
      </c>
      <c r="I245" s="15" t="s">
        <v>353</v>
      </c>
      <c r="J245" s="15" t="s">
        <v>1119</v>
      </c>
      <c r="K245" s="15" t="s">
        <v>1315</v>
      </c>
      <c r="L245" s="15" t="s">
        <v>1315</v>
      </c>
      <c r="M245" s="15">
        <v>40</v>
      </c>
      <c r="N245" s="15">
        <v>1</v>
      </c>
      <c r="O245" s="15">
        <v>1</v>
      </c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 t="s">
        <v>328</v>
      </c>
      <c r="AD245" s="15"/>
      <c r="AE245" s="15"/>
      <c r="AF245" s="15"/>
      <c r="AG245" s="15" t="s">
        <v>328</v>
      </c>
      <c r="AH245" s="15"/>
      <c r="AI245" s="15"/>
      <c r="AJ245" s="15"/>
      <c r="AK245" s="15"/>
      <c r="AL245" s="15"/>
      <c r="AM245" s="15" t="s">
        <v>328</v>
      </c>
      <c r="AN245" s="15"/>
      <c r="AO245" s="15" t="s">
        <v>328</v>
      </c>
      <c r="AP245" s="15"/>
      <c r="AQ245" s="15"/>
      <c r="AR245" s="15">
        <v>0</v>
      </c>
      <c r="AS245" s="15">
        <v>0</v>
      </c>
      <c r="AT245" s="15"/>
      <c r="AU245" s="15" t="s">
        <v>328</v>
      </c>
      <c r="AV245" s="15"/>
      <c r="AW245" s="15"/>
      <c r="AX245" s="15">
        <v>1</v>
      </c>
      <c r="AY245" s="15">
        <v>3</v>
      </c>
      <c r="AZ245" s="15">
        <v>2</v>
      </c>
      <c r="BA245" s="15"/>
      <c r="BB245" s="15" t="s">
        <v>328</v>
      </c>
      <c r="BC245" s="15"/>
      <c r="BD245" s="15" t="s">
        <v>328</v>
      </c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 t="s">
        <v>328</v>
      </c>
      <c r="BP245" s="15"/>
      <c r="BQ245" s="15" t="s">
        <v>328</v>
      </c>
      <c r="BR245" s="15" t="s">
        <v>328</v>
      </c>
      <c r="BS245" s="15"/>
      <c r="BT245" s="15"/>
      <c r="BU245" s="15"/>
      <c r="BV245" s="15" t="s">
        <v>328</v>
      </c>
      <c r="BW245" s="15"/>
      <c r="BX245" s="15"/>
      <c r="BY245" s="15"/>
      <c r="BZ245" s="15"/>
      <c r="CA245" s="15"/>
      <c r="CB245" s="15"/>
      <c r="CC245" s="15"/>
      <c r="CD245" s="15" t="s">
        <v>328</v>
      </c>
      <c r="CE245" s="15"/>
      <c r="CF245" s="15"/>
      <c r="CG245" s="15" t="s">
        <v>328</v>
      </c>
      <c r="CH245" s="15"/>
      <c r="CI245" s="15"/>
      <c r="CJ245" s="15" t="s">
        <v>328</v>
      </c>
      <c r="CK245" s="15"/>
      <c r="CL245" s="12"/>
      <c r="CM245" s="12"/>
      <c r="CN245" s="15">
        <v>1</v>
      </c>
      <c r="CO245" s="15">
        <v>2</v>
      </c>
      <c r="CP245" s="15">
        <v>5</v>
      </c>
      <c r="CQ245" s="15">
        <v>3</v>
      </c>
      <c r="CR245" s="15">
        <v>4</v>
      </c>
      <c r="CS245" s="15">
        <v>6</v>
      </c>
      <c r="CT245" s="15"/>
      <c r="CU245" s="15"/>
      <c r="CV245" s="15"/>
      <c r="CW245" s="15"/>
      <c r="CX245" s="15" t="s">
        <v>328</v>
      </c>
      <c r="CY245" s="15"/>
      <c r="CZ245" s="15"/>
      <c r="DA245" s="15"/>
      <c r="DB245" s="15"/>
      <c r="DC245" s="15">
        <v>1</v>
      </c>
      <c r="DD245" s="15">
        <v>2</v>
      </c>
      <c r="DE245" s="15">
        <v>3</v>
      </c>
      <c r="DF245" s="15">
        <v>4</v>
      </c>
      <c r="DG245" s="15">
        <v>5</v>
      </c>
      <c r="DH245" s="15">
        <v>6</v>
      </c>
      <c r="DI245" s="15"/>
      <c r="DJ245" s="15" t="s">
        <v>328</v>
      </c>
      <c r="DK245" s="15"/>
      <c r="DL245" s="15"/>
      <c r="DM245" s="15"/>
      <c r="DN245" s="15"/>
      <c r="DO245" s="15"/>
      <c r="DP245" s="15" t="s">
        <v>497</v>
      </c>
      <c r="DQ245" s="15" t="s">
        <v>328</v>
      </c>
      <c r="DR245" s="15"/>
      <c r="DS245" s="15"/>
      <c r="DT245" s="15"/>
      <c r="DU245" s="15"/>
      <c r="DV245" s="15"/>
      <c r="DW245" s="15"/>
      <c r="DX245" s="15" t="s">
        <v>497</v>
      </c>
      <c r="DY245" s="15" t="s">
        <v>328</v>
      </c>
      <c r="DZ245" s="15"/>
      <c r="EA245" s="15"/>
      <c r="EB245" s="15"/>
      <c r="EC245" s="15"/>
      <c r="ED245" s="15"/>
      <c r="EE245" s="102" t="s">
        <v>497</v>
      </c>
      <c r="EF245" s="48"/>
      <c r="EG245" s="17">
        <f t="shared" si="3"/>
        <v>0</v>
      </c>
    </row>
    <row r="246" spans="1:138" x14ac:dyDescent="0.25">
      <c r="A246" s="51" t="s">
        <v>1856</v>
      </c>
      <c r="B246" s="211">
        <v>41555</v>
      </c>
      <c r="C246" s="212" t="s">
        <v>2752</v>
      </c>
      <c r="D246" s="61" t="s">
        <v>1120</v>
      </c>
      <c r="E246" s="15" t="s">
        <v>328</v>
      </c>
      <c r="F246" s="15"/>
      <c r="G246" s="15">
        <v>49</v>
      </c>
      <c r="H246" s="15" t="s">
        <v>329</v>
      </c>
      <c r="I246" s="15" t="s">
        <v>330</v>
      </c>
      <c r="J246" s="15" t="s">
        <v>1064</v>
      </c>
      <c r="K246" s="15" t="s">
        <v>1273</v>
      </c>
      <c r="L246" s="15" t="s">
        <v>1293</v>
      </c>
      <c r="M246" s="15">
        <v>25</v>
      </c>
      <c r="N246" s="15">
        <v>1</v>
      </c>
      <c r="O246" s="15">
        <v>1</v>
      </c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 t="s">
        <v>328</v>
      </c>
      <c r="AD246" s="15"/>
      <c r="AE246" s="15"/>
      <c r="AF246" s="15"/>
      <c r="AG246" s="15"/>
      <c r="AH246" s="15"/>
      <c r="AI246" s="15"/>
      <c r="AJ246" s="15"/>
      <c r="AK246" s="15"/>
      <c r="AL246" s="15"/>
      <c r="AM246" s="15" t="s">
        <v>328</v>
      </c>
      <c r="AN246" s="15"/>
      <c r="AO246" s="15" t="s">
        <v>328</v>
      </c>
      <c r="AP246" s="15" t="s">
        <v>328</v>
      </c>
      <c r="AQ246" s="15"/>
      <c r="AR246" s="15">
        <v>0</v>
      </c>
      <c r="AS246" s="15">
        <v>0</v>
      </c>
      <c r="AT246" s="15"/>
      <c r="AU246" s="15" t="s">
        <v>328</v>
      </c>
      <c r="AV246" s="15"/>
      <c r="AW246" s="15"/>
      <c r="AX246" s="15">
        <v>1</v>
      </c>
      <c r="AY246" s="15">
        <v>3</v>
      </c>
      <c r="AZ246" s="15">
        <v>2</v>
      </c>
      <c r="BA246" s="15"/>
      <c r="BB246" s="15" t="s">
        <v>328</v>
      </c>
      <c r="BC246" s="15"/>
      <c r="BD246" s="15" t="s">
        <v>328</v>
      </c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 t="s">
        <v>328</v>
      </c>
      <c r="BP246" s="15"/>
      <c r="BQ246" s="15" t="s">
        <v>328</v>
      </c>
      <c r="BR246" s="15" t="s">
        <v>328</v>
      </c>
      <c r="BS246" s="15"/>
      <c r="BT246" s="15"/>
      <c r="BU246" s="15"/>
      <c r="BV246" s="15"/>
      <c r="BW246" s="15" t="s">
        <v>328</v>
      </c>
      <c r="BX246" s="15"/>
      <c r="BY246" s="15"/>
      <c r="BZ246" s="15"/>
      <c r="CA246" s="15"/>
      <c r="CB246" s="15"/>
      <c r="CC246" s="15"/>
      <c r="CD246" s="15" t="s">
        <v>328</v>
      </c>
      <c r="CE246" s="15"/>
      <c r="CF246" s="15" t="s">
        <v>328</v>
      </c>
      <c r="CG246" s="15"/>
      <c r="CH246" s="15"/>
      <c r="CI246" s="15"/>
      <c r="CJ246" s="15" t="s">
        <v>328</v>
      </c>
      <c r="CK246" s="15"/>
      <c r="CL246" s="12"/>
      <c r="CM246" s="12"/>
      <c r="CN246" s="15">
        <v>2</v>
      </c>
      <c r="CO246" s="15">
        <v>1</v>
      </c>
      <c r="CP246" s="15">
        <v>5</v>
      </c>
      <c r="CQ246" s="15">
        <v>6</v>
      </c>
      <c r="CR246" s="15">
        <v>3</v>
      </c>
      <c r="CS246" s="15">
        <v>4</v>
      </c>
      <c r="CT246" s="15"/>
      <c r="CU246" s="15" t="s">
        <v>328</v>
      </c>
      <c r="CV246" s="15"/>
      <c r="CW246" s="15"/>
      <c r="CX246" s="15"/>
      <c r="CY246" s="15"/>
      <c r="CZ246" s="15"/>
      <c r="DA246" s="15"/>
      <c r="DB246" s="15"/>
      <c r="DC246" s="15">
        <v>1</v>
      </c>
      <c r="DD246" s="15">
        <v>4</v>
      </c>
      <c r="DE246" s="15">
        <v>2</v>
      </c>
      <c r="DF246" s="15">
        <v>5</v>
      </c>
      <c r="DG246" s="15">
        <v>3</v>
      </c>
      <c r="DH246" s="15">
        <v>6</v>
      </c>
      <c r="DI246" s="15"/>
      <c r="DJ246" s="15" t="s">
        <v>328</v>
      </c>
      <c r="DK246" s="15"/>
      <c r="DL246" s="15"/>
      <c r="DM246" s="15"/>
      <c r="DN246" s="15"/>
      <c r="DO246" s="15"/>
      <c r="DP246" s="15" t="s">
        <v>1144</v>
      </c>
      <c r="DQ246" s="15" t="s">
        <v>328</v>
      </c>
      <c r="DR246" s="15"/>
      <c r="DS246" s="15"/>
      <c r="DT246" s="15"/>
      <c r="DU246" s="15"/>
      <c r="DV246" s="15"/>
      <c r="DW246" s="15"/>
      <c r="DX246" s="15" t="s">
        <v>1144</v>
      </c>
      <c r="DY246" s="15" t="s">
        <v>328</v>
      </c>
      <c r="DZ246" s="15"/>
      <c r="EA246" s="15"/>
      <c r="EB246" s="15"/>
      <c r="EC246" s="15"/>
      <c r="ED246" s="15"/>
      <c r="EE246" s="102" t="s">
        <v>1144</v>
      </c>
      <c r="EF246" s="48"/>
      <c r="EG246" s="17">
        <f t="shared" si="3"/>
        <v>0</v>
      </c>
    </row>
    <row r="247" spans="1:138" x14ac:dyDescent="0.25">
      <c r="A247" s="51" t="s">
        <v>1856</v>
      </c>
      <c r="B247" s="211">
        <v>41555</v>
      </c>
      <c r="C247" s="212" t="s">
        <v>2752</v>
      </c>
      <c r="D247" s="61" t="s">
        <v>1121</v>
      </c>
      <c r="E247" s="15" t="s">
        <v>328</v>
      </c>
      <c r="F247" s="15"/>
      <c r="G247" s="15">
        <v>36</v>
      </c>
      <c r="H247" s="15" t="s">
        <v>329</v>
      </c>
      <c r="I247" s="15" t="s">
        <v>330</v>
      </c>
      <c r="J247" s="15" t="s">
        <v>1122</v>
      </c>
      <c r="K247" s="15" t="s">
        <v>1267</v>
      </c>
      <c r="L247" s="15" t="s">
        <v>1291</v>
      </c>
      <c r="M247" s="15">
        <v>15</v>
      </c>
      <c r="N247" s="15">
        <v>1</v>
      </c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>
        <v>1</v>
      </c>
      <c r="AA247" s="14"/>
      <c r="AB247" s="15" t="s">
        <v>328</v>
      </c>
      <c r="AC247" s="15" t="s">
        <v>328</v>
      </c>
      <c r="AD247" s="15"/>
      <c r="AE247" s="15"/>
      <c r="AF247" s="15"/>
      <c r="AG247" s="15" t="s">
        <v>328</v>
      </c>
      <c r="AH247" s="15"/>
      <c r="AI247" s="15"/>
      <c r="AJ247" s="15"/>
      <c r="AK247" s="15"/>
      <c r="AL247" s="15"/>
      <c r="AM247" s="15" t="s">
        <v>328</v>
      </c>
      <c r="AN247" s="15"/>
      <c r="AO247" s="15" t="s">
        <v>328</v>
      </c>
      <c r="AP247" s="15"/>
      <c r="AQ247" s="15"/>
      <c r="AR247" s="15">
        <v>0</v>
      </c>
      <c r="AS247" s="15">
        <v>0</v>
      </c>
      <c r="AT247" s="15"/>
      <c r="AU247" s="15" t="s">
        <v>328</v>
      </c>
      <c r="AV247" s="15"/>
      <c r="AW247" s="15"/>
      <c r="AX247" s="15">
        <v>1</v>
      </c>
      <c r="AY247" s="15">
        <v>3</v>
      </c>
      <c r="AZ247" s="15">
        <v>2</v>
      </c>
      <c r="BA247" s="15"/>
      <c r="BB247" s="15" t="s">
        <v>328</v>
      </c>
      <c r="BC247" s="15"/>
      <c r="BD247" s="15" t="s">
        <v>328</v>
      </c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 t="s">
        <v>328</v>
      </c>
      <c r="BP247" s="15"/>
      <c r="BQ247" s="15" t="s">
        <v>328</v>
      </c>
      <c r="BR247" s="15" t="s">
        <v>328</v>
      </c>
      <c r="BS247" s="15"/>
      <c r="BT247" s="15"/>
      <c r="BU247" s="15"/>
      <c r="BV247" s="15"/>
      <c r="BW247" s="15" t="s">
        <v>328</v>
      </c>
      <c r="BX247" s="15"/>
      <c r="BY247" s="15"/>
      <c r="BZ247" s="15"/>
      <c r="CA247" s="15"/>
      <c r="CB247" s="15"/>
      <c r="CC247" s="15"/>
      <c r="CD247" s="15" t="s">
        <v>328</v>
      </c>
      <c r="CE247" s="15"/>
      <c r="CF247" s="15"/>
      <c r="CG247" s="15" t="s">
        <v>328</v>
      </c>
      <c r="CH247" s="15"/>
      <c r="CI247" s="15"/>
      <c r="CJ247" s="15" t="s">
        <v>328</v>
      </c>
      <c r="CK247" s="15"/>
      <c r="CL247" s="12"/>
      <c r="CM247" s="12"/>
      <c r="CN247" s="15">
        <v>5</v>
      </c>
      <c r="CO247" s="15">
        <v>2</v>
      </c>
      <c r="CP247" s="15">
        <v>1</v>
      </c>
      <c r="CQ247" s="15">
        <v>4</v>
      </c>
      <c r="CR247" s="15">
        <v>3</v>
      </c>
      <c r="CS247" s="15">
        <v>6</v>
      </c>
      <c r="CT247" s="15"/>
      <c r="CU247" s="15"/>
      <c r="CV247" s="15"/>
      <c r="CW247" s="15"/>
      <c r="CX247" s="15"/>
      <c r="CY247" s="15"/>
      <c r="CZ247" s="15" t="s">
        <v>332</v>
      </c>
      <c r="DA247" s="15"/>
      <c r="DB247" s="15"/>
      <c r="DC247" s="15">
        <v>1</v>
      </c>
      <c r="DD247" s="15">
        <v>2</v>
      </c>
      <c r="DE247" s="15">
        <v>3</v>
      </c>
      <c r="DF247" s="15">
        <v>4</v>
      </c>
      <c r="DG247" s="15">
        <v>5</v>
      </c>
      <c r="DH247" s="15">
        <v>6</v>
      </c>
      <c r="DI247" s="15"/>
      <c r="DJ247" s="15" t="s">
        <v>328</v>
      </c>
      <c r="DK247" s="15"/>
      <c r="DL247" s="15"/>
      <c r="DM247" s="15"/>
      <c r="DN247" s="15"/>
      <c r="DO247" s="15"/>
      <c r="DP247" s="15" t="s">
        <v>333</v>
      </c>
      <c r="DQ247" s="15" t="s">
        <v>328</v>
      </c>
      <c r="DR247" s="15"/>
      <c r="DS247" s="15"/>
      <c r="DT247" s="15"/>
      <c r="DU247" s="15"/>
      <c r="DV247" s="15"/>
      <c r="DW247" s="15"/>
      <c r="DX247" s="15" t="s">
        <v>333</v>
      </c>
      <c r="DY247" s="15" t="s">
        <v>328</v>
      </c>
      <c r="DZ247" s="15"/>
      <c r="EA247" s="15"/>
      <c r="EB247" s="15"/>
      <c r="EC247" s="15"/>
      <c r="ED247" s="15"/>
      <c r="EE247" s="102" t="s">
        <v>333</v>
      </c>
      <c r="EF247" s="48"/>
      <c r="EG247" s="17">
        <f t="shared" si="3"/>
        <v>0</v>
      </c>
    </row>
    <row r="248" spans="1:138" x14ac:dyDescent="0.25">
      <c r="A248" s="51" t="s">
        <v>1856</v>
      </c>
      <c r="B248" s="211">
        <v>41555</v>
      </c>
      <c r="C248" s="212" t="s">
        <v>2752</v>
      </c>
      <c r="D248" s="61" t="s">
        <v>1123</v>
      </c>
      <c r="E248" s="15" t="s">
        <v>328</v>
      </c>
      <c r="F248" s="15"/>
      <c r="G248" s="15">
        <v>54</v>
      </c>
      <c r="H248" s="15" t="s">
        <v>329</v>
      </c>
      <c r="I248" s="15" t="s">
        <v>330</v>
      </c>
      <c r="J248" s="15" t="s">
        <v>1124</v>
      </c>
      <c r="K248" s="15" t="s">
        <v>1325</v>
      </c>
      <c r="L248" s="15" t="s">
        <v>1446</v>
      </c>
      <c r="M248" s="15">
        <v>30</v>
      </c>
      <c r="N248" s="15">
        <v>1</v>
      </c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>
        <v>1</v>
      </c>
      <c r="AA248" s="14"/>
      <c r="AB248" s="15" t="s">
        <v>328</v>
      </c>
      <c r="AC248" s="15"/>
      <c r="AD248" s="15"/>
      <c r="AE248" s="15"/>
      <c r="AF248" s="15"/>
      <c r="AG248" s="15" t="s">
        <v>328</v>
      </c>
      <c r="AH248" s="15"/>
      <c r="AI248" s="15"/>
      <c r="AJ248" s="15"/>
      <c r="AK248" s="15"/>
      <c r="AL248" s="15"/>
      <c r="AM248" s="15" t="s">
        <v>328</v>
      </c>
      <c r="AN248" s="15"/>
      <c r="AO248" s="15" t="s">
        <v>328</v>
      </c>
      <c r="AP248" s="15"/>
      <c r="AQ248" s="12"/>
      <c r="AR248" s="15">
        <v>0</v>
      </c>
      <c r="AS248" s="15">
        <v>0</v>
      </c>
      <c r="AT248" s="15"/>
      <c r="AU248" s="15"/>
      <c r="AV248" s="15"/>
      <c r="AW248" s="15" t="s">
        <v>328</v>
      </c>
      <c r="AX248" s="15">
        <v>2</v>
      </c>
      <c r="AY248" s="15">
        <v>3</v>
      </c>
      <c r="AZ248" s="15">
        <v>1</v>
      </c>
      <c r="BA248" s="15"/>
      <c r="BB248" s="15" t="s">
        <v>328</v>
      </c>
      <c r="BC248" s="15"/>
      <c r="BD248" s="15" t="s">
        <v>328</v>
      </c>
      <c r="BE248" s="15"/>
      <c r="BF248" s="15"/>
      <c r="BG248" s="15"/>
      <c r="BH248" s="15"/>
      <c r="BI248" s="15"/>
      <c r="BJ248" s="15"/>
      <c r="BK248" s="15"/>
      <c r="BL248" s="15"/>
      <c r="BM248" s="12"/>
      <c r="BN248" s="15" t="s">
        <v>328</v>
      </c>
      <c r="BO248" s="15"/>
      <c r="BP248" s="15" t="s">
        <v>328</v>
      </c>
      <c r="BQ248" s="15"/>
      <c r="BR248" s="15" t="s">
        <v>328</v>
      </c>
      <c r="BS248" s="15" t="s">
        <v>328</v>
      </c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 t="s">
        <v>328</v>
      </c>
      <c r="CE248" s="15"/>
      <c r="CF248" s="15"/>
      <c r="CG248" s="15"/>
      <c r="CH248" s="15"/>
      <c r="CI248" s="15"/>
      <c r="CJ248" s="15" t="s">
        <v>328</v>
      </c>
      <c r="CK248" s="15"/>
      <c r="CL248" s="12"/>
      <c r="CM248" s="12"/>
      <c r="CN248" s="15">
        <v>5</v>
      </c>
      <c r="CO248" s="15">
        <v>1</v>
      </c>
      <c r="CP248" s="15">
        <v>4</v>
      </c>
      <c r="CQ248" s="15">
        <v>2</v>
      </c>
      <c r="CR248" s="15">
        <v>3</v>
      </c>
      <c r="CS248" s="15">
        <v>6</v>
      </c>
      <c r="CT248" s="15"/>
      <c r="CU248" s="15"/>
      <c r="CV248" s="15"/>
      <c r="CW248" s="15"/>
      <c r="CX248" s="15"/>
      <c r="CY248" s="15"/>
      <c r="CZ248" s="15" t="s">
        <v>332</v>
      </c>
      <c r="DA248" s="12"/>
      <c r="DB248" s="12"/>
      <c r="DC248" s="15">
        <v>1</v>
      </c>
      <c r="DD248" s="15">
        <v>3</v>
      </c>
      <c r="DE248" s="15">
        <v>2</v>
      </c>
      <c r="DF248" s="15">
        <v>6</v>
      </c>
      <c r="DG248" s="15">
        <v>5</v>
      </c>
      <c r="DH248" s="15">
        <v>4</v>
      </c>
      <c r="DI248" s="12"/>
      <c r="DJ248" s="15" t="s">
        <v>328</v>
      </c>
      <c r="DK248" s="12"/>
      <c r="DL248" s="15"/>
      <c r="DM248" s="15"/>
      <c r="DN248" s="15"/>
      <c r="DO248" s="15"/>
      <c r="DP248" s="15" t="s">
        <v>497</v>
      </c>
      <c r="DQ248" s="15" t="s">
        <v>328</v>
      </c>
      <c r="DR248" s="15"/>
      <c r="DS248" s="15"/>
      <c r="DT248" s="15"/>
      <c r="DU248" s="15"/>
      <c r="DV248" s="15"/>
      <c r="DW248" s="15"/>
      <c r="DX248" s="15" t="s">
        <v>333</v>
      </c>
      <c r="DY248" s="15"/>
      <c r="DZ248" s="15" t="s">
        <v>328</v>
      </c>
      <c r="EA248" s="15" t="s">
        <v>328</v>
      </c>
      <c r="EB248" s="15"/>
      <c r="EC248" s="15"/>
      <c r="ED248" s="15" t="s">
        <v>697</v>
      </c>
      <c r="EE248" s="102" t="s">
        <v>497</v>
      </c>
      <c r="EF248" s="48"/>
      <c r="EG248" s="17">
        <f t="shared" si="3"/>
        <v>0</v>
      </c>
      <c r="EH248" s="15" t="s">
        <v>497</v>
      </c>
    </row>
    <row r="249" spans="1:138" x14ac:dyDescent="0.25">
      <c r="A249" s="51" t="s">
        <v>1856</v>
      </c>
      <c r="B249" s="211">
        <v>41555</v>
      </c>
      <c r="C249" s="212" t="s">
        <v>2752</v>
      </c>
      <c r="D249" s="61" t="s">
        <v>1125</v>
      </c>
      <c r="E249" s="15" t="s">
        <v>328</v>
      </c>
      <c r="F249" s="15"/>
      <c r="G249" s="15">
        <v>52</v>
      </c>
      <c r="H249" s="15" t="s">
        <v>329</v>
      </c>
      <c r="I249" s="15" t="s">
        <v>1349</v>
      </c>
      <c r="J249" s="15" t="s">
        <v>1126</v>
      </c>
      <c r="K249" s="15" t="s">
        <v>1326</v>
      </c>
      <c r="L249" s="15" t="s">
        <v>1188</v>
      </c>
      <c r="M249" s="15">
        <v>18</v>
      </c>
      <c r="N249" s="15">
        <v>1</v>
      </c>
      <c r="O249" s="15">
        <v>1</v>
      </c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2"/>
      <c r="AB249" s="15" t="s">
        <v>328</v>
      </c>
      <c r="AC249" s="15" t="s">
        <v>328</v>
      </c>
      <c r="AD249" s="15"/>
      <c r="AE249" s="15"/>
      <c r="AF249" s="15"/>
      <c r="AG249" s="15" t="s">
        <v>328</v>
      </c>
      <c r="AH249" s="15"/>
      <c r="AI249" s="15"/>
      <c r="AJ249" s="15"/>
      <c r="AK249" s="15"/>
      <c r="AL249" s="15"/>
      <c r="AM249" s="15" t="s">
        <v>328</v>
      </c>
      <c r="AN249" s="15"/>
      <c r="AO249" s="15" t="s">
        <v>328</v>
      </c>
      <c r="AP249" s="15" t="s">
        <v>328</v>
      </c>
      <c r="AQ249" s="15"/>
      <c r="AR249" s="15">
        <v>0</v>
      </c>
      <c r="AS249" s="15">
        <v>0</v>
      </c>
      <c r="AT249" s="15"/>
      <c r="AU249" s="15" t="s">
        <v>328</v>
      </c>
      <c r="AV249" s="15"/>
      <c r="AW249" s="15"/>
      <c r="AX249" s="15">
        <v>1</v>
      </c>
      <c r="AY249" s="15">
        <v>3</v>
      </c>
      <c r="AZ249" s="15">
        <v>2</v>
      </c>
      <c r="BA249" s="15"/>
      <c r="BB249" s="15" t="s">
        <v>328</v>
      </c>
      <c r="BC249" s="15"/>
      <c r="BD249" s="15" t="s">
        <v>328</v>
      </c>
      <c r="BE249" s="15"/>
      <c r="BF249" s="15"/>
      <c r="BG249" s="15"/>
      <c r="BH249" s="15"/>
      <c r="BI249" s="15"/>
      <c r="BJ249" s="15"/>
      <c r="BK249" s="15"/>
      <c r="BL249" s="15"/>
      <c r="BM249" s="12"/>
      <c r="BN249" s="12"/>
      <c r="BO249" s="15" t="s">
        <v>328</v>
      </c>
      <c r="BP249" s="15" t="s">
        <v>328</v>
      </c>
      <c r="BQ249" s="15"/>
      <c r="BR249" s="15"/>
      <c r="BS249" s="15" t="s">
        <v>328</v>
      </c>
      <c r="BT249" s="15"/>
      <c r="BU249" s="15"/>
      <c r="BV249" s="15"/>
      <c r="BW249" s="15" t="s">
        <v>328</v>
      </c>
      <c r="BX249" s="15"/>
      <c r="BY249" s="15"/>
      <c r="BZ249" s="15"/>
      <c r="CA249" s="15"/>
      <c r="CB249" s="15" t="s">
        <v>328</v>
      </c>
      <c r="CC249" s="15" t="s">
        <v>328</v>
      </c>
      <c r="CD249" s="15" t="s">
        <v>328</v>
      </c>
      <c r="CE249" s="15"/>
      <c r="CF249" s="15"/>
      <c r="CG249" s="15"/>
      <c r="CH249" s="15"/>
      <c r="CI249" s="15"/>
      <c r="CJ249" s="15" t="s">
        <v>328</v>
      </c>
      <c r="CK249" s="15"/>
      <c r="CL249" s="12"/>
      <c r="CM249" s="12"/>
      <c r="CN249" s="15">
        <v>2</v>
      </c>
      <c r="CO249" s="15">
        <v>3</v>
      </c>
      <c r="CP249" s="15">
        <v>5</v>
      </c>
      <c r="CQ249" s="15">
        <v>6</v>
      </c>
      <c r="CR249" s="15">
        <v>4</v>
      </c>
      <c r="CS249" s="15">
        <v>1</v>
      </c>
      <c r="CT249" s="15"/>
      <c r="CU249" s="15" t="s">
        <v>328</v>
      </c>
      <c r="CV249" s="15" t="s">
        <v>328</v>
      </c>
      <c r="CW249" s="15"/>
      <c r="CX249" s="15"/>
      <c r="CY249" s="15"/>
      <c r="CZ249" s="15"/>
      <c r="DA249" s="15"/>
      <c r="DB249" s="15"/>
      <c r="DC249" s="15">
        <v>1</v>
      </c>
      <c r="DD249" s="15">
        <v>4</v>
      </c>
      <c r="DE249" s="15">
        <v>6</v>
      </c>
      <c r="DF249" s="15">
        <v>3</v>
      </c>
      <c r="DG249" s="15">
        <v>2</v>
      </c>
      <c r="DH249" s="15">
        <v>5</v>
      </c>
      <c r="DI249" s="15"/>
      <c r="DJ249" s="15" t="s">
        <v>328</v>
      </c>
      <c r="DK249" s="15"/>
      <c r="DL249" s="15"/>
      <c r="DM249" s="15"/>
      <c r="DN249" s="15"/>
      <c r="DO249" s="15"/>
      <c r="DP249" s="15" t="s">
        <v>497</v>
      </c>
      <c r="DQ249" s="15" t="s">
        <v>328</v>
      </c>
      <c r="DR249" s="15"/>
      <c r="DS249" s="15"/>
      <c r="DT249" s="15"/>
      <c r="DU249" s="15"/>
      <c r="DV249" s="15"/>
      <c r="DW249" s="15"/>
      <c r="DX249" s="15" t="s">
        <v>497</v>
      </c>
      <c r="DY249" s="15" t="s">
        <v>328</v>
      </c>
      <c r="DZ249" s="15"/>
      <c r="EA249" s="15"/>
      <c r="EB249" s="15"/>
      <c r="EC249" s="15"/>
      <c r="ED249" s="15"/>
      <c r="EE249" s="102" t="s">
        <v>497</v>
      </c>
      <c r="EF249" s="48"/>
      <c r="EG249" s="17">
        <f t="shared" si="3"/>
        <v>0</v>
      </c>
    </row>
    <row r="250" spans="1:138" x14ac:dyDescent="0.25">
      <c r="A250" s="51" t="s">
        <v>1856</v>
      </c>
      <c r="B250" s="211">
        <v>41555</v>
      </c>
      <c r="C250" s="212" t="s">
        <v>2752</v>
      </c>
      <c r="D250" s="61" t="s">
        <v>1127</v>
      </c>
      <c r="E250" s="15" t="s">
        <v>328</v>
      </c>
      <c r="F250" s="15"/>
      <c r="G250" s="15">
        <v>36</v>
      </c>
      <c r="H250" s="15" t="s">
        <v>329</v>
      </c>
      <c r="I250" s="15" t="s">
        <v>357</v>
      </c>
      <c r="J250" s="15" t="s">
        <v>1068</v>
      </c>
      <c r="K250" s="15" t="s">
        <v>1305</v>
      </c>
      <c r="L250" s="15" t="s">
        <v>1293</v>
      </c>
      <c r="M250" s="15">
        <v>15</v>
      </c>
      <c r="N250" s="15">
        <v>1</v>
      </c>
      <c r="O250" s="15">
        <v>1</v>
      </c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 t="s">
        <v>328</v>
      </c>
      <c r="AC250" s="15"/>
      <c r="AD250" s="15"/>
      <c r="AE250" s="15"/>
      <c r="AF250" s="15"/>
      <c r="AG250" s="15"/>
      <c r="AH250" s="15"/>
      <c r="AI250" s="15"/>
      <c r="AJ250" s="15"/>
      <c r="AK250" s="15"/>
      <c r="AL250" s="15" t="s">
        <v>328</v>
      </c>
      <c r="AM250" s="15" t="s">
        <v>328</v>
      </c>
      <c r="AN250" s="15" t="s">
        <v>328</v>
      </c>
      <c r="AO250" s="15" t="s">
        <v>328</v>
      </c>
      <c r="AP250" s="15" t="s">
        <v>328</v>
      </c>
      <c r="AQ250" s="15"/>
      <c r="AR250" s="15">
        <v>10</v>
      </c>
      <c r="AS250" s="15">
        <v>5</v>
      </c>
      <c r="AT250" s="15"/>
      <c r="AU250" s="15"/>
      <c r="AV250" s="15"/>
      <c r="AW250" s="15" t="s">
        <v>328</v>
      </c>
      <c r="AX250" s="15">
        <v>1</v>
      </c>
      <c r="AY250" s="15">
        <v>3</v>
      </c>
      <c r="AZ250" s="15">
        <v>2</v>
      </c>
      <c r="BA250" s="15"/>
      <c r="BB250" s="15" t="s">
        <v>328</v>
      </c>
      <c r="BC250" s="15"/>
      <c r="BD250" s="15" t="s">
        <v>328</v>
      </c>
      <c r="BE250" s="15" t="s">
        <v>328</v>
      </c>
      <c r="BF250" s="15"/>
      <c r="BG250" s="15"/>
      <c r="BH250" s="15"/>
      <c r="BI250" s="15"/>
      <c r="BJ250" s="15"/>
      <c r="BK250" s="15"/>
      <c r="BL250" s="15"/>
      <c r="BM250" s="12"/>
      <c r="BN250" s="15" t="s">
        <v>328</v>
      </c>
      <c r="BO250" s="15"/>
      <c r="BP250" s="15" t="s">
        <v>328</v>
      </c>
      <c r="BQ250" s="15"/>
      <c r="BR250" s="15" t="s">
        <v>328</v>
      </c>
      <c r="BS250" s="15"/>
      <c r="BT250" s="15"/>
      <c r="BU250" s="15"/>
      <c r="BV250" s="15"/>
      <c r="BW250" s="15"/>
      <c r="BX250" s="15"/>
      <c r="BY250" s="15"/>
      <c r="BZ250" s="15"/>
      <c r="CA250" s="15"/>
      <c r="CB250" s="15" t="s">
        <v>328</v>
      </c>
      <c r="CC250" s="15"/>
      <c r="CD250" s="15" t="s">
        <v>328</v>
      </c>
      <c r="CE250" s="15"/>
      <c r="CF250" s="15"/>
      <c r="CG250" s="15" t="s">
        <v>328</v>
      </c>
      <c r="CH250" s="15"/>
      <c r="CI250" s="15" t="s">
        <v>328</v>
      </c>
      <c r="CJ250" s="15"/>
      <c r="CK250" s="15"/>
      <c r="CL250" s="12"/>
      <c r="CM250" s="12"/>
      <c r="CN250" s="15">
        <v>4</v>
      </c>
      <c r="CO250" s="15">
        <v>1</v>
      </c>
      <c r="CP250" s="15">
        <v>6</v>
      </c>
      <c r="CQ250" s="15">
        <v>3</v>
      </c>
      <c r="CR250" s="15">
        <v>2</v>
      </c>
      <c r="CS250" s="15">
        <v>5</v>
      </c>
      <c r="CT250" s="15"/>
      <c r="CU250" s="15" t="s">
        <v>328</v>
      </c>
      <c r="CV250" s="15" t="s">
        <v>328</v>
      </c>
      <c r="CW250" s="15"/>
      <c r="CX250" s="15"/>
      <c r="CY250" s="15"/>
      <c r="CZ250" s="15"/>
      <c r="DA250" s="15"/>
      <c r="DB250" s="15"/>
      <c r="DC250" s="15">
        <v>1</v>
      </c>
      <c r="DD250" s="15">
        <v>4</v>
      </c>
      <c r="DE250" s="15">
        <v>5</v>
      </c>
      <c r="DF250" s="15">
        <v>3</v>
      </c>
      <c r="DG250" s="15">
        <v>2</v>
      </c>
      <c r="DH250" s="15">
        <v>6</v>
      </c>
      <c r="DI250" s="15"/>
      <c r="DJ250" s="15" t="s">
        <v>328</v>
      </c>
      <c r="DK250" s="15"/>
      <c r="DL250" s="15"/>
      <c r="DM250" s="15"/>
      <c r="DN250" s="15"/>
      <c r="DO250" s="15"/>
      <c r="DP250" s="15" t="s">
        <v>497</v>
      </c>
      <c r="DQ250" s="15"/>
      <c r="DR250" s="15" t="s">
        <v>328</v>
      </c>
      <c r="DS250" s="15" t="s">
        <v>328</v>
      </c>
      <c r="DT250" s="15" t="s">
        <v>410</v>
      </c>
      <c r="DU250" s="15"/>
      <c r="DV250" s="15"/>
      <c r="DW250" s="15"/>
      <c r="DX250" s="15" t="s">
        <v>497</v>
      </c>
      <c r="DY250" s="15" t="s">
        <v>328</v>
      </c>
      <c r="DZ250" s="15"/>
      <c r="EA250" s="15"/>
      <c r="EB250" s="15"/>
      <c r="EC250" s="15"/>
      <c r="ED250" s="15"/>
      <c r="EE250" s="102" t="s">
        <v>438</v>
      </c>
      <c r="EF250" s="48"/>
      <c r="EG250" s="17">
        <f t="shared" si="3"/>
        <v>0</v>
      </c>
    </row>
    <row r="251" spans="1:138" x14ac:dyDescent="0.25">
      <c r="A251" s="51" t="s">
        <v>1856</v>
      </c>
      <c r="B251" s="211">
        <v>41555</v>
      </c>
      <c r="C251" s="212" t="s">
        <v>2752</v>
      </c>
      <c r="D251" s="61" t="s">
        <v>1128</v>
      </c>
      <c r="E251" s="15" t="s">
        <v>328</v>
      </c>
      <c r="F251" s="15"/>
      <c r="G251" s="15">
        <v>36</v>
      </c>
      <c r="H251" s="15" t="s">
        <v>329</v>
      </c>
      <c r="I251" s="15" t="s">
        <v>357</v>
      </c>
      <c r="J251" s="15" t="s">
        <v>569</v>
      </c>
      <c r="K251" s="15" t="s">
        <v>1239</v>
      </c>
      <c r="L251" s="15" t="s">
        <v>1288</v>
      </c>
      <c r="M251" s="15">
        <v>10</v>
      </c>
      <c r="N251" s="15">
        <v>2</v>
      </c>
      <c r="O251" s="15">
        <v>2</v>
      </c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 t="s">
        <v>328</v>
      </c>
      <c r="AD251" s="15"/>
      <c r="AE251" s="15"/>
      <c r="AF251" s="15"/>
      <c r="AG251" s="15"/>
      <c r="AH251" s="15"/>
      <c r="AI251" s="15"/>
      <c r="AJ251" s="15"/>
      <c r="AK251" s="15"/>
      <c r="AL251" s="15" t="s">
        <v>328</v>
      </c>
      <c r="AM251" s="15"/>
      <c r="AN251" s="15"/>
      <c r="AO251" s="15"/>
      <c r="AP251" s="15" t="s">
        <v>328</v>
      </c>
      <c r="AQ251" s="15"/>
      <c r="AR251" s="15">
        <v>10</v>
      </c>
      <c r="AS251" s="15">
        <v>10</v>
      </c>
      <c r="AT251" s="15"/>
      <c r="AU251" s="15"/>
      <c r="AV251" s="15" t="s">
        <v>328</v>
      </c>
      <c r="AW251" s="15"/>
      <c r="AX251" s="15">
        <v>1</v>
      </c>
      <c r="AY251" s="15">
        <v>2</v>
      </c>
      <c r="AZ251" s="15">
        <v>3</v>
      </c>
      <c r="BA251" s="15"/>
      <c r="BB251" s="15" t="s">
        <v>328</v>
      </c>
      <c r="BC251" s="15"/>
      <c r="BD251" s="15"/>
      <c r="BE251" s="15"/>
      <c r="BF251" s="15"/>
      <c r="BG251" s="15"/>
      <c r="BH251" s="15"/>
      <c r="BI251" s="15"/>
      <c r="BJ251" s="15"/>
      <c r="BK251" s="15" t="s">
        <v>328</v>
      </c>
      <c r="BL251" s="15"/>
      <c r="BM251" s="15"/>
      <c r="BN251" s="15" t="s">
        <v>328</v>
      </c>
      <c r="BO251" s="15"/>
      <c r="BP251" s="15" t="s">
        <v>328</v>
      </c>
      <c r="BQ251" s="15"/>
      <c r="BR251" s="15"/>
      <c r="BS251" s="15"/>
      <c r="BT251" s="15"/>
      <c r="BU251" s="15"/>
      <c r="BV251" s="15" t="s">
        <v>328</v>
      </c>
      <c r="BW251" s="15" t="s">
        <v>328</v>
      </c>
      <c r="BX251" s="15"/>
      <c r="BY251" s="15"/>
      <c r="BZ251" s="15"/>
      <c r="CA251" s="15"/>
      <c r="CB251" s="15" t="s">
        <v>328</v>
      </c>
      <c r="CC251" s="15"/>
      <c r="CD251" s="15" t="s">
        <v>328</v>
      </c>
      <c r="CE251" s="15"/>
      <c r="CF251" s="15" t="s">
        <v>328</v>
      </c>
      <c r="CG251" s="15"/>
      <c r="CH251" s="15"/>
      <c r="CI251" s="15" t="s">
        <v>328</v>
      </c>
      <c r="CJ251" s="15"/>
      <c r="CK251" s="15"/>
      <c r="CL251" s="12"/>
      <c r="CM251" s="12"/>
      <c r="CN251" s="15">
        <v>1</v>
      </c>
      <c r="CO251" s="15">
        <v>2</v>
      </c>
      <c r="CP251" s="15">
        <v>5</v>
      </c>
      <c r="CQ251" s="15">
        <v>4</v>
      </c>
      <c r="CR251" s="15">
        <v>3</v>
      </c>
      <c r="CS251" s="15">
        <v>6</v>
      </c>
      <c r="CT251" s="15"/>
      <c r="CU251" s="15"/>
      <c r="CV251" s="15"/>
      <c r="CW251" s="15"/>
      <c r="CX251" s="15"/>
      <c r="CY251" s="15"/>
      <c r="CZ251" s="15" t="s">
        <v>332</v>
      </c>
      <c r="DA251" s="15"/>
      <c r="DB251" s="15"/>
      <c r="DC251" s="15">
        <v>1</v>
      </c>
      <c r="DD251" s="15">
        <v>4</v>
      </c>
      <c r="DE251" s="15">
        <v>3</v>
      </c>
      <c r="DF251" s="15">
        <v>5</v>
      </c>
      <c r="DG251" s="15">
        <v>2</v>
      </c>
      <c r="DH251" s="15">
        <v>6</v>
      </c>
      <c r="DI251" s="15"/>
      <c r="DJ251" s="15" t="s">
        <v>328</v>
      </c>
      <c r="DK251" s="15"/>
      <c r="DL251" s="15"/>
      <c r="DM251" s="15"/>
      <c r="DN251" s="15"/>
      <c r="DO251" s="15"/>
      <c r="DP251" s="15" t="s">
        <v>497</v>
      </c>
      <c r="DQ251" s="15" t="s">
        <v>328</v>
      </c>
      <c r="DR251" s="15"/>
      <c r="DS251" s="15"/>
      <c r="DT251" s="15"/>
      <c r="DU251" s="15"/>
      <c r="DV251" s="15"/>
      <c r="DW251" s="15"/>
      <c r="DX251" s="15" t="s">
        <v>497</v>
      </c>
      <c r="DY251" s="15" t="s">
        <v>328</v>
      </c>
      <c r="DZ251" s="15"/>
      <c r="EA251" s="15"/>
      <c r="EB251" s="15"/>
      <c r="EC251" s="15"/>
      <c r="ED251" s="15"/>
      <c r="EE251" s="102" t="s">
        <v>497</v>
      </c>
      <c r="EG251" s="17">
        <f t="shared" si="3"/>
        <v>0</v>
      </c>
    </row>
    <row r="252" spans="1:138" x14ac:dyDescent="0.25">
      <c r="A252" s="50" t="s">
        <v>1404</v>
      </c>
      <c r="B252" s="211">
        <v>41570</v>
      </c>
      <c r="C252" s="213" t="s">
        <v>2764</v>
      </c>
      <c r="D252" s="61" t="s">
        <v>1137</v>
      </c>
      <c r="E252" s="15" t="s">
        <v>328</v>
      </c>
      <c r="F252" s="15"/>
      <c r="G252" s="15">
        <v>40</v>
      </c>
      <c r="H252" s="15" t="s">
        <v>329</v>
      </c>
      <c r="I252" s="15" t="s">
        <v>357</v>
      </c>
      <c r="J252" s="15" t="s">
        <v>1178</v>
      </c>
      <c r="K252" s="15" t="s">
        <v>1295</v>
      </c>
      <c r="L252" s="15" t="s">
        <v>1283</v>
      </c>
      <c r="M252" s="15">
        <v>20</v>
      </c>
      <c r="N252" s="15">
        <v>1</v>
      </c>
      <c r="O252" s="15">
        <v>1</v>
      </c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 t="s">
        <v>328</v>
      </c>
      <c r="AF252" s="15"/>
      <c r="AG252" s="15"/>
      <c r="AH252" s="15" t="s">
        <v>328</v>
      </c>
      <c r="AI252" s="15"/>
      <c r="AJ252" s="15"/>
      <c r="AK252" s="15"/>
      <c r="AL252" s="15" t="s">
        <v>328</v>
      </c>
      <c r="AM252" s="15"/>
      <c r="AN252" s="15"/>
      <c r="AO252" s="15"/>
      <c r="AP252" s="15"/>
      <c r="AQ252" s="15" t="s">
        <v>328</v>
      </c>
      <c r="AR252" s="15">
        <v>10</v>
      </c>
      <c r="AS252" s="15">
        <v>2</v>
      </c>
      <c r="AT252" s="15"/>
      <c r="AU252" s="15" t="s">
        <v>328</v>
      </c>
      <c r="AV252" s="15"/>
      <c r="AW252" s="15"/>
      <c r="AX252" s="15">
        <v>2</v>
      </c>
      <c r="AY252" s="15">
        <v>1</v>
      </c>
      <c r="AZ252" s="15">
        <v>3</v>
      </c>
      <c r="BA252" s="15"/>
      <c r="BB252" s="15" t="s">
        <v>328</v>
      </c>
      <c r="BC252" s="15"/>
      <c r="BD252" s="15"/>
      <c r="BE252" s="15"/>
      <c r="BF252" s="15"/>
      <c r="BG252" s="15"/>
      <c r="BH252" s="15"/>
      <c r="BI252" s="15"/>
      <c r="BJ252" s="15"/>
      <c r="BK252" s="15" t="s">
        <v>328</v>
      </c>
      <c r="BL252" s="15"/>
      <c r="BM252" s="15"/>
      <c r="BN252" s="15"/>
      <c r="BO252" s="15" t="s">
        <v>328</v>
      </c>
      <c r="BP252" s="15"/>
      <c r="BQ252" s="15" t="s">
        <v>328</v>
      </c>
      <c r="BR252" s="15"/>
      <c r="BS252" s="15"/>
      <c r="BT252" s="15"/>
      <c r="BU252" s="15"/>
      <c r="BV252" s="15"/>
      <c r="BW252" s="15"/>
      <c r="BX252" s="14" t="s">
        <v>332</v>
      </c>
      <c r="BY252" s="15"/>
      <c r="BZ252" s="15"/>
      <c r="CA252" s="15"/>
      <c r="CB252" s="15"/>
      <c r="CC252" s="15"/>
      <c r="CD252" s="15"/>
      <c r="CE252" s="15"/>
      <c r="CF252" s="15"/>
      <c r="CG252" s="15"/>
      <c r="CH252" s="15" t="s">
        <v>332</v>
      </c>
      <c r="CI252" s="15" t="s">
        <v>328</v>
      </c>
      <c r="CJ252" s="15"/>
      <c r="CK252" s="15"/>
      <c r="CL252" s="15"/>
      <c r="CM252" s="15"/>
      <c r="CN252" s="15">
        <v>4</v>
      </c>
      <c r="CO252" s="15">
        <v>1</v>
      </c>
      <c r="CP252" s="15">
        <v>2</v>
      </c>
      <c r="CQ252" s="15">
        <v>6</v>
      </c>
      <c r="CR252" s="15">
        <v>5</v>
      </c>
      <c r="CS252" s="15">
        <v>3</v>
      </c>
      <c r="CT252" s="15"/>
      <c r="CU252" s="15"/>
      <c r="CV252" s="15"/>
      <c r="CW252" s="15"/>
      <c r="CX252" s="15"/>
      <c r="CY252" s="15"/>
      <c r="CZ252" s="15" t="s">
        <v>332</v>
      </c>
      <c r="DA252" s="15" t="s">
        <v>328</v>
      </c>
      <c r="DB252" s="15" t="s">
        <v>404</v>
      </c>
      <c r="DC252" s="15"/>
      <c r="DD252" s="15"/>
      <c r="DE252" s="15"/>
      <c r="DF252" s="15"/>
      <c r="DG252" s="15"/>
      <c r="DH252" s="15"/>
      <c r="DI252" s="15"/>
      <c r="DJ252" s="15" t="s">
        <v>328</v>
      </c>
      <c r="DK252" s="15"/>
      <c r="DL252" s="15"/>
      <c r="DM252" s="15"/>
      <c r="DN252" s="15"/>
      <c r="DO252" s="15"/>
      <c r="DP252" s="15" t="s">
        <v>1155</v>
      </c>
      <c r="DQ252" s="15"/>
      <c r="DR252" s="15" t="s">
        <v>328</v>
      </c>
      <c r="DS252" s="15" t="s">
        <v>328</v>
      </c>
      <c r="DT252" s="15" t="s">
        <v>354</v>
      </c>
      <c r="DU252" s="15"/>
      <c r="DV252" s="15"/>
      <c r="DW252" s="15" t="s">
        <v>1350</v>
      </c>
      <c r="DX252" s="15" t="s">
        <v>625</v>
      </c>
      <c r="DY252" s="15" t="s">
        <v>328</v>
      </c>
      <c r="DZ252" s="15"/>
      <c r="EA252" s="15"/>
      <c r="EB252" s="15"/>
      <c r="EC252" s="15"/>
      <c r="ED252" s="15"/>
      <c r="EE252" s="102" t="s">
        <v>1155</v>
      </c>
      <c r="EF252" s="99"/>
      <c r="EG252" s="17">
        <f t="shared" si="3"/>
        <v>0</v>
      </c>
    </row>
    <row r="253" spans="1:138" x14ac:dyDescent="0.25">
      <c r="A253" s="50" t="s">
        <v>1404</v>
      </c>
      <c r="B253" s="211">
        <v>41571</v>
      </c>
      <c r="C253" s="213" t="s">
        <v>2764</v>
      </c>
      <c r="D253" s="61" t="s">
        <v>1138</v>
      </c>
      <c r="E253" s="15" t="s">
        <v>328</v>
      </c>
      <c r="F253" s="15"/>
      <c r="G253" s="15">
        <v>62</v>
      </c>
      <c r="H253" s="15" t="s">
        <v>329</v>
      </c>
      <c r="I253" s="15" t="s">
        <v>353</v>
      </c>
      <c r="J253" s="15" t="s">
        <v>769</v>
      </c>
      <c r="K253" s="15" t="s">
        <v>1219</v>
      </c>
      <c r="L253" s="15" t="s">
        <v>1183</v>
      </c>
      <c r="M253" s="15">
        <v>30</v>
      </c>
      <c r="N253" s="15">
        <v>2</v>
      </c>
      <c r="O253" s="15"/>
      <c r="P253" s="15">
        <v>2</v>
      </c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 t="s">
        <v>328</v>
      </c>
      <c r="AC253" s="15"/>
      <c r="AD253" s="15"/>
      <c r="AE253" s="15"/>
      <c r="AF253" s="15"/>
      <c r="AG253" s="15"/>
      <c r="AH253" s="15"/>
      <c r="AI253" s="15" t="s">
        <v>328</v>
      </c>
      <c r="AJ253" s="15"/>
      <c r="AK253" s="15"/>
      <c r="AL253" s="15"/>
      <c r="AM253" s="15" t="s">
        <v>328</v>
      </c>
      <c r="AN253" s="15"/>
      <c r="AO253" s="15" t="s">
        <v>328</v>
      </c>
      <c r="AP253" s="15" t="s">
        <v>328</v>
      </c>
      <c r="AQ253" s="15"/>
      <c r="AR253" s="15">
        <v>10</v>
      </c>
      <c r="AS253" s="15">
        <v>5</v>
      </c>
      <c r="AT253" s="15"/>
      <c r="AU253" s="15" t="s">
        <v>328</v>
      </c>
      <c r="AV253" s="15"/>
      <c r="AW253" s="15"/>
      <c r="AX253" s="15">
        <v>1</v>
      </c>
      <c r="AY253" s="15">
        <v>3</v>
      </c>
      <c r="AZ253" s="15">
        <v>2</v>
      </c>
      <c r="BA253" s="15"/>
      <c r="BB253" s="15"/>
      <c r="BC253" s="15" t="s">
        <v>328</v>
      </c>
      <c r="BD253" s="15" t="s">
        <v>328</v>
      </c>
      <c r="BE253" s="15"/>
      <c r="BF253" s="15"/>
      <c r="BG253" s="15" t="s">
        <v>328</v>
      </c>
      <c r="BH253" s="15"/>
      <c r="BI253" s="15"/>
      <c r="BJ253" s="15"/>
      <c r="BK253" s="15"/>
      <c r="BL253" s="15"/>
      <c r="BM253" s="15"/>
      <c r="BN253" s="15" t="s">
        <v>328</v>
      </c>
      <c r="BO253" s="15"/>
      <c r="BP253" s="15" t="s">
        <v>328</v>
      </c>
      <c r="BQ253" s="15"/>
      <c r="BR253" s="15" t="s">
        <v>328</v>
      </c>
      <c r="BS253" s="15" t="s">
        <v>328</v>
      </c>
      <c r="BT253" s="15"/>
      <c r="BU253" s="15"/>
      <c r="BV253" s="15"/>
      <c r="BW253" s="15" t="s">
        <v>328</v>
      </c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 t="s">
        <v>332</v>
      </c>
      <c r="CI253" s="15" t="s">
        <v>328</v>
      </c>
      <c r="CJ253" s="15"/>
      <c r="CK253" s="15"/>
      <c r="CL253" s="15"/>
      <c r="CM253" s="15" t="s">
        <v>328</v>
      </c>
      <c r="CN253" s="15">
        <v>2</v>
      </c>
      <c r="CO253" s="15">
        <v>1</v>
      </c>
      <c r="CP253" s="15">
        <v>3</v>
      </c>
      <c r="CQ253" s="15">
        <v>5</v>
      </c>
      <c r="CR253" s="15">
        <v>4</v>
      </c>
      <c r="CS253" s="15">
        <v>6</v>
      </c>
      <c r="CT253" s="15" t="s">
        <v>328</v>
      </c>
      <c r="CU253" s="15"/>
      <c r="CV253" s="15"/>
      <c r="CW253" s="15"/>
      <c r="CX253" s="15" t="s">
        <v>328</v>
      </c>
      <c r="CY253" s="15"/>
      <c r="CZ253" s="15"/>
      <c r="DA253" s="15"/>
      <c r="DB253" s="15"/>
      <c r="DC253" s="15">
        <v>3</v>
      </c>
      <c r="DD253" s="15">
        <v>6</v>
      </c>
      <c r="DE253" s="15">
        <v>5</v>
      </c>
      <c r="DF253" s="15">
        <v>2</v>
      </c>
      <c r="DG253" s="15">
        <v>4</v>
      </c>
      <c r="DH253" s="15">
        <v>1</v>
      </c>
      <c r="DI253" s="15"/>
      <c r="DJ253" s="15" t="s">
        <v>328</v>
      </c>
      <c r="DK253" s="15"/>
      <c r="DL253" s="15"/>
      <c r="DM253" s="15"/>
      <c r="DN253" s="15"/>
      <c r="DO253" s="15"/>
      <c r="DP253" s="15" t="s">
        <v>1152</v>
      </c>
      <c r="DQ253" s="15" t="s">
        <v>328</v>
      </c>
      <c r="DR253" s="15"/>
      <c r="DS253" s="15"/>
      <c r="DT253" s="15"/>
      <c r="DU253" s="15"/>
      <c r="DV253" s="15"/>
      <c r="DW253" s="15"/>
      <c r="DX253" s="15" t="s">
        <v>1152</v>
      </c>
      <c r="DY253" s="15" t="s">
        <v>328</v>
      </c>
      <c r="DZ253" s="15"/>
      <c r="EA253" s="15"/>
      <c r="EB253" s="15"/>
      <c r="EC253" s="15"/>
      <c r="ED253" s="15"/>
      <c r="EE253" s="102" t="s">
        <v>1152</v>
      </c>
      <c r="EF253" s="99"/>
      <c r="EG253" s="17">
        <f t="shared" si="3"/>
        <v>0</v>
      </c>
    </row>
    <row r="254" spans="1:138" x14ac:dyDescent="0.25">
      <c r="A254" s="50" t="s">
        <v>1404</v>
      </c>
      <c r="B254" s="211">
        <v>41571</v>
      </c>
      <c r="C254" s="213" t="s">
        <v>2764</v>
      </c>
      <c r="D254" s="61" t="s">
        <v>1139</v>
      </c>
      <c r="E254" s="15" t="s">
        <v>328</v>
      </c>
      <c r="F254" s="15"/>
      <c r="G254" s="15">
        <v>58</v>
      </c>
      <c r="H254" s="15" t="s">
        <v>329</v>
      </c>
      <c r="I254" s="15" t="s">
        <v>355</v>
      </c>
      <c r="J254" s="15" t="s">
        <v>1040</v>
      </c>
      <c r="K254" s="15" t="s">
        <v>1254</v>
      </c>
      <c r="L254" s="15" t="s">
        <v>1280</v>
      </c>
      <c r="M254" s="15">
        <v>39</v>
      </c>
      <c r="N254" s="15">
        <v>1</v>
      </c>
      <c r="O254" s="15">
        <v>1</v>
      </c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 t="s">
        <v>328</v>
      </c>
      <c r="AF254" s="15"/>
      <c r="AG254" s="15"/>
      <c r="AH254" s="15"/>
      <c r="AI254" s="15"/>
      <c r="AJ254" s="15"/>
      <c r="AK254" s="15"/>
      <c r="AL254" s="15" t="s">
        <v>328</v>
      </c>
      <c r="AM254" s="15"/>
      <c r="AN254" s="15"/>
      <c r="AO254" s="15"/>
      <c r="AP254" s="15" t="s">
        <v>328</v>
      </c>
      <c r="AQ254" s="15"/>
      <c r="AR254" s="15">
        <v>0</v>
      </c>
      <c r="AS254" s="15">
        <v>0</v>
      </c>
      <c r="AT254" s="15"/>
      <c r="AU254" s="15"/>
      <c r="AV254" s="15" t="s">
        <v>328</v>
      </c>
      <c r="AW254" s="15"/>
      <c r="AX254" s="15">
        <v>1</v>
      </c>
      <c r="AY254" s="15">
        <v>3</v>
      </c>
      <c r="AZ254" s="15">
        <v>2</v>
      </c>
      <c r="BA254" s="15"/>
      <c r="BB254" s="15" t="s">
        <v>328</v>
      </c>
      <c r="BC254" s="15"/>
      <c r="BD254" s="15"/>
      <c r="BE254" s="15"/>
      <c r="BF254" s="15"/>
      <c r="BG254" s="15" t="s">
        <v>328</v>
      </c>
      <c r="BH254" s="15"/>
      <c r="BI254" s="15"/>
      <c r="BJ254" s="15"/>
      <c r="BK254" s="15"/>
      <c r="BL254" s="15"/>
      <c r="BM254" s="15"/>
      <c r="BN254" s="15"/>
      <c r="BO254" s="15" t="s">
        <v>328</v>
      </c>
      <c r="BP254" s="15" t="s">
        <v>328</v>
      </c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 t="s">
        <v>332</v>
      </c>
      <c r="CI254" s="15" t="s">
        <v>328</v>
      </c>
      <c r="CJ254" s="15" t="s">
        <v>328</v>
      </c>
      <c r="CK254" s="15"/>
      <c r="CL254" s="15"/>
      <c r="CM254" s="15"/>
      <c r="CN254" s="15">
        <v>3</v>
      </c>
      <c r="CO254" s="15">
        <v>1</v>
      </c>
      <c r="CP254" s="15">
        <v>2</v>
      </c>
      <c r="CQ254" s="15">
        <v>5</v>
      </c>
      <c r="CR254" s="15">
        <v>6</v>
      </c>
      <c r="CS254" s="15">
        <v>4</v>
      </c>
      <c r="CT254" s="15"/>
      <c r="CU254" s="15"/>
      <c r="CV254" s="15"/>
      <c r="CW254" s="15"/>
      <c r="CX254" s="15"/>
      <c r="CY254" s="15"/>
      <c r="CZ254" s="15" t="s">
        <v>332</v>
      </c>
      <c r="DA254" s="15" t="s">
        <v>328</v>
      </c>
      <c r="DB254" s="15"/>
      <c r="DC254" s="15">
        <v>3</v>
      </c>
      <c r="DD254" s="15">
        <v>1</v>
      </c>
      <c r="DE254" s="15">
        <v>2</v>
      </c>
      <c r="DF254" s="15">
        <v>5</v>
      </c>
      <c r="DG254" s="15">
        <v>6</v>
      </c>
      <c r="DH254" s="15">
        <v>4</v>
      </c>
      <c r="DI254" s="15"/>
      <c r="DJ254" s="15" t="s">
        <v>328</v>
      </c>
      <c r="DK254" s="15"/>
      <c r="DL254" s="15"/>
      <c r="DM254" s="15"/>
      <c r="DN254" s="15"/>
      <c r="DO254" s="15"/>
      <c r="DP254" s="15" t="s">
        <v>411</v>
      </c>
      <c r="DQ254" s="15" t="s">
        <v>328</v>
      </c>
      <c r="DR254" s="15"/>
      <c r="DS254" s="15"/>
      <c r="DT254" s="15"/>
      <c r="DU254" s="15"/>
      <c r="DV254" s="15"/>
      <c r="DW254" s="15"/>
      <c r="DX254" s="15" t="s">
        <v>411</v>
      </c>
      <c r="DY254" s="15" t="s">
        <v>328</v>
      </c>
      <c r="DZ254" s="15"/>
      <c r="EA254" s="15"/>
      <c r="EB254" s="15"/>
      <c r="EC254" s="15"/>
      <c r="ED254" s="15"/>
      <c r="EE254" s="102" t="s">
        <v>411</v>
      </c>
      <c r="EF254" s="99"/>
      <c r="EG254" s="17">
        <f t="shared" si="3"/>
        <v>0</v>
      </c>
    </row>
    <row r="255" spans="1:138" x14ac:dyDescent="0.25">
      <c r="A255" s="50" t="s">
        <v>1404</v>
      </c>
      <c r="B255" s="211">
        <v>41571</v>
      </c>
      <c r="C255" s="213" t="s">
        <v>2764</v>
      </c>
      <c r="D255" s="61" t="s">
        <v>1140</v>
      </c>
      <c r="E255" s="15" t="s">
        <v>328</v>
      </c>
      <c r="F255" s="15"/>
      <c r="G255" s="15">
        <v>50</v>
      </c>
      <c r="H255" s="15" t="s">
        <v>329</v>
      </c>
      <c r="I255" s="15" t="s">
        <v>399</v>
      </c>
      <c r="J255" s="15" t="s">
        <v>1036</v>
      </c>
      <c r="K255" s="15" t="s">
        <v>1296</v>
      </c>
      <c r="L255" s="15" t="s">
        <v>1188</v>
      </c>
      <c r="M255" s="15">
        <v>20</v>
      </c>
      <c r="N255" s="15">
        <v>1</v>
      </c>
      <c r="O255" s="15">
        <v>1</v>
      </c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 t="s">
        <v>418</v>
      </c>
      <c r="AL255" s="15" t="s">
        <v>328</v>
      </c>
      <c r="AM255" s="15"/>
      <c r="AN255" s="15"/>
      <c r="AO255" s="15" t="s">
        <v>328</v>
      </c>
      <c r="AP255" s="15" t="s">
        <v>328</v>
      </c>
      <c r="AQ255" s="15"/>
      <c r="AR255" s="15">
        <v>10</v>
      </c>
      <c r="AS255" s="15">
        <v>8</v>
      </c>
      <c r="AT255" s="15"/>
      <c r="AU255" s="15" t="s">
        <v>328</v>
      </c>
      <c r="AV255" s="15"/>
      <c r="AW255" s="15"/>
      <c r="AX255" s="15">
        <v>2</v>
      </c>
      <c r="AY255" s="15">
        <v>4</v>
      </c>
      <c r="AZ255" s="15">
        <v>3</v>
      </c>
      <c r="BA255" s="15" t="s">
        <v>346</v>
      </c>
      <c r="BB255" s="15"/>
      <c r="BC255" s="15" t="s">
        <v>328</v>
      </c>
      <c r="BD255" s="15"/>
      <c r="BE255" s="15"/>
      <c r="BF255" s="15"/>
      <c r="BG255" s="15"/>
      <c r="BH255" s="15"/>
      <c r="BI255" s="15"/>
      <c r="BJ255" s="15"/>
      <c r="BK255" s="15" t="s">
        <v>328</v>
      </c>
      <c r="BL255" s="15"/>
      <c r="BM255" s="15"/>
      <c r="BN255" s="15" t="s">
        <v>328</v>
      </c>
      <c r="BO255" s="15"/>
      <c r="BP255" s="15" t="s">
        <v>328</v>
      </c>
      <c r="BQ255" s="15"/>
      <c r="BR255" s="15" t="s">
        <v>328</v>
      </c>
      <c r="BS255" s="15"/>
      <c r="BT255" s="15"/>
      <c r="BU255" s="15"/>
      <c r="BV255" s="15" t="s">
        <v>328</v>
      </c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 t="s">
        <v>332</v>
      </c>
      <c r="CI255" s="15" t="s">
        <v>328</v>
      </c>
      <c r="CJ255" s="15"/>
      <c r="CK255" s="15" t="s">
        <v>328</v>
      </c>
      <c r="CL255" s="15"/>
      <c r="CM255" s="15" t="s">
        <v>328</v>
      </c>
      <c r="CN255" s="15">
        <v>2</v>
      </c>
      <c r="CO255" s="15">
        <v>1</v>
      </c>
      <c r="CP255" s="15">
        <v>3</v>
      </c>
      <c r="CQ255" s="15">
        <v>5</v>
      </c>
      <c r="CR255" s="15">
        <v>4</v>
      </c>
      <c r="CS255" s="15">
        <v>6</v>
      </c>
      <c r="CT255" s="15" t="s">
        <v>328</v>
      </c>
      <c r="CU255" s="15" t="s">
        <v>328</v>
      </c>
      <c r="CV255" s="15"/>
      <c r="CW255" s="15"/>
      <c r="CX255" s="15" t="s">
        <v>328</v>
      </c>
      <c r="CY255" s="15"/>
      <c r="CZ255" s="15"/>
      <c r="DA255" s="15" t="s">
        <v>328</v>
      </c>
      <c r="DB255" s="15" t="s">
        <v>404</v>
      </c>
      <c r="DC255" s="15"/>
      <c r="DD255" s="15"/>
      <c r="DE255" s="15"/>
      <c r="DF255" s="15"/>
      <c r="DG255" s="15"/>
      <c r="DH255" s="15"/>
      <c r="DI255" s="15"/>
      <c r="DJ255" s="15" t="s">
        <v>328</v>
      </c>
      <c r="DK255" s="15"/>
      <c r="DL255" s="15"/>
      <c r="DM255" s="15"/>
      <c r="DN255" s="15"/>
      <c r="DO255" s="15"/>
      <c r="DP255" s="15" t="s">
        <v>497</v>
      </c>
      <c r="DQ255" s="15" t="s">
        <v>328</v>
      </c>
      <c r="DR255" s="15"/>
      <c r="DS255" s="15"/>
      <c r="DT255" s="15"/>
      <c r="DU255" s="15"/>
      <c r="DV255" s="15"/>
      <c r="DW255" s="15"/>
      <c r="DX255" s="15" t="s">
        <v>497</v>
      </c>
      <c r="DY255" s="15" t="s">
        <v>328</v>
      </c>
      <c r="DZ255" s="15"/>
      <c r="EA255" s="15"/>
      <c r="EB255" s="15"/>
      <c r="EC255" s="15"/>
      <c r="ED255" s="15"/>
      <c r="EE255" s="102" t="s">
        <v>497</v>
      </c>
      <c r="EF255" s="99"/>
      <c r="EG255" s="17">
        <f t="shared" si="3"/>
        <v>0</v>
      </c>
    </row>
    <row r="256" spans="1:138" x14ac:dyDescent="0.25">
      <c r="A256" s="50" t="s">
        <v>1404</v>
      </c>
      <c r="B256" s="211">
        <v>41572</v>
      </c>
      <c r="C256" s="213" t="s">
        <v>2764</v>
      </c>
      <c r="D256" s="61" t="s">
        <v>1141</v>
      </c>
      <c r="E256" s="15" t="s">
        <v>328</v>
      </c>
      <c r="F256" s="15"/>
      <c r="G256" s="15">
        <v>47</v>
      </c>
      <c r="H256" s="15" t="s">
        <v>329</v>
      </c>
      <c r="I256" s="15" t="s">
        <v>330</v>
      </c>
      <c r="J256" s="15" t="s">
        <v>762</v>
      </c>
      <c r="K256" s="15" t="s">
        <v>1252</v>
      </c>
      <c r="L256" s="15" t="s">
        <v>1283</v>
      </c>
      <c r="M256" s="15">
        <v>20</v>
      </c>
      <c r="N256" s="15">
        <v>1</v>
      </c>
      <c r="O256" s="15">
        <v>1</v>
      </c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 t="s">
        <v>328</v>
      </c>
      <c r="AF256" s="15"/>
      <c r="AG256" s="15"/>
      <c r="AH256" s="15" t="s">
        <v>328</v>
      </c>
      <c r="AI256" s="15"/>
      <c r="AJ256" s="15"/>
      <c r="AK256" s="15"/>
      <c r="AL256" s="15" t="s">
        <v>328</v>
      </c>
      <c r="AM256" s="15"/>
      <c r="AN256" s="15" t="s">
        <v>328</v>
      </c>
      <c r="AO256" s="15"/>
      <c r="AP256" s="15"/>
      <c r="AQ256" s="15"/>
      <c r="AR256" s="15">
        <v>10</v>
      </c>
      <c r="AS256" s="15">
        <v>3</v>
      </c>
      <c r="AT256" s="15"/>
      <c r="AU256" s="15"/>
      <c r="AV256" s="15" t="s">
        <v>328</v>
      </c>
      <c r="AW256" s="15"/>
      <c r="AX256" s="15">
        <v>1</v>
      </c>
      <c r="AY256" s="15">
        <v>2</v>
      </c>
      <c r="AZ256" s="15">
        <v>3</v>
      </c>
      <c r="BA256" s="15"/>
      <c r="BB256" s="15" t="s">
        <v>328</v>
      </c>
      <c r="BC256" s="15"/>
      <c r="BD256" s="15" t="s">
        <v>328</v>
      </c>
      <c r="BE256" s="15"/>
      <c r="BF256" s="15"/>
      <c r="BG256" s="15"/>
      <c r="BH256" s="15"/>
      <c r="BI256" s="15"/>
      <c r="BJ256" s="15"/>
      <c r="BK256" s="15"/>
      <c r="BL256" s="15"/>
      <c r="BM256" s="15"/>
      <c r="BN256" s="15" t="s">
        <v>328</v>
      </c>
      <c r="BO256" s="15"/>
      <c r="BP256" s="15" t="s">
        <v>328</v>
      </c>
      <c r="BQ256" s="15"/>
      <c r="BR256" s="15"/>
      <c r="BS256" s="15"/>
      <c r="BT256" s="15"/>
      <c r="BU256" s="12"/>
      <c r="BV256" s="15"/>
      <c r="BW256" s="15"/>
      <c r="BX256" s="15" t="s">
        <v>332</v>
      </c>
      <c r="BY256" s="15"/>
      <c r="BZ256" s="15"/>
      <c r="CA256" s="15"/>
      <c r="CB256" s="15"/>
      <c r="CC256" s="15"/>
      <c r="CD256" s="15"/>
      <c r="CE256" s="15"/>
      <c r="CF256" s="15"/>
      <c r="CG256" s="15"/>
      <c r="CH256" s="15" t="s">
        <v>332</v>
      </c>
      <c r="CI256" s="15"/>
      <c r="CJ256" s="15"/>
      <c r="CK256" s="15"/>
      <c r="CL256" s="15" t="s">
        <v>328</v>
      </c>
      <c r="CM256" s="15"/>
      <c r="CN256" s="15">
        <v>5</v>
      </c>
      <c r="CO256" s="15">
        <v>1</v>
      </c>
      <c r="CP256" s="15">
        <v>3</v>
      </c>
      <c r="CQ256" s="15">
        <v>6</v>
      </c>
      <c r="CR256" s="15">
        <v>4</v>
      </c>
      <c r="CS256" s="15">
        <v>2</v>
      </c>
      <c r="CT256" s="15"/>
      <c r="CU256" s="15"/>
      <c r="CV256" s="15"/>
      <c r="CW256" s="15"/>
      <c r="CX256" s="15"/>
      <c r="CY256" s="15"/>
      <c r="CZ256" s="15" t="s">
        <v>332</v>
      </c>
      <c r="DA256" s="15" t="s">
        <v>328</v>
      </c>
      <c r="DB256" s="15" t="s">
        <v>404</v>
      </c>
      <c r="DC256" s="15"/>
      <c r="DD256" s="15"/>
      <c r="DE256" s="15"/>
      <c r="DF256" s="15"/>
      <c r="DG256" s="15"/>
      <c r="DH256" s="15"/>
      <c r="DI256" s="15"/>
      <c r="DJ256" s="15" t="s">
        <v>328</v>
      </c>
      <c r="DK256" s="15"/>
      <c r="DL256" s="15"/>
      <c r="DM256" s="15"/>
      <c r="DN256" s="15"/>
      <c r="DO256" s="15"/>
      <c r="DP256" s="15" t="s">
        <v>1152</v>
      </c>
      <c r="DQ256" s="15" t="s">
        <v>328</v>
      </c>
      <c r="DR256" s="15"/>
      <c r="DS256" s="15"/>
      <c r="DT256" s="15"/>
      <c r="DU256" s="15"/>
      <c r="DV256" s="15"/>
      <c r="DW256" s="15"/>
      <c r="DX256" s="15" t="s">
        <v>1152</v>
      </c>
      <c r="DY256" s="15" t="s">
        <v>328</v>
      </c>
      <c r="DZ256" s="15"/>
      <c r="EA256" s="15"/>
      <c r="EB256" s="15"/>
      <c r="EC256" s="15"/>
      <c r="ED256" s="15"/>
      <c r="EE256" s="102" t="s">
        <v>1152</v>
      </c>
      <c r="EF256" s="99"/>
      <c r="EG256" s="17">
        <f t="shared" si="3"/>
        <v>0</v>
      </c>
    </row>
    <row r="257" spans="1:137" x14ac:dyDescent="0.25">
      <c r="A257" s="50" t="s">
        <v>1404</v>
      </c>
      <c r="B257" s="211">
        <v>41572</v>
      </c>
      <c r="C257" s="213" t="s">
        <v>2764</v>
      </c>
      <c r="D257" s="61" t="s">
        <v>1142</v>
      </c>
      <c r="E257" s="15" t="s">
        <v>328</v>
      </c>
      <c r="F257" s="15"/>
      <c r="G257" s="15">
        <v>43</v>
      </c>
      <c r="H257" s="15" t="s">
        <v>329</v>
      </c>
      <c r="I257" s="15" t="s">
        <v>355</v>
      </c>
      <c r="J257" s="15" t="s">
        <v>748</v>
      </c>
      <c r="K257" s="15" t="s">
        <v>1221</v>
      </c>
      <c r="L257" s="15" t="s">
        <v>1280</v>
      </c>
      <c r="M257" s="15">
        <v>15</v>
      </c>
      <c r="N257" s="15">
        <v>2</v>
      </c>
      <c r="O257" s="15"/>
      <c r="P257" s="15"/>
      <c r="Q257" s="15"/>
      <c r="R257" s="15">
        <v>2</v>
      </c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 t="s">
        <v>328</v>
      </c>
      <c r="AJ257" s="15"/>
      <c r="AK257" s="15"/>
      <c r="AL257" s="15"/>
      <c r="AM257" s="15" t="s">
        <v>328</v>
      </c>
      <c r="AN257" s="15"/>
      <c r="AO257" s="15" t="s">
        <v>328</v>
      </c>
      <c r="AP257" s="15"/>
      <c r="AQ257" s="15"/>
      <c r="AR257" s="15">
        <v>10</v>
      </c>
      <c r="AS257" s="15">
        <v>3</v>
      </c>
      <c r="AT257" s="15"/>
      <c r="AU257" s="15"/>
      <c r="AV257" s="15"/>
      <c r="AW257" s="15" t="s">
        <v>328</v>
      </c>
      <c r="AX257" s="15">
        <v>1</v>
      </c>
      <c r="AY257" s="15">
        <v>3</v>
      </c>
      <c r="AZ257" s="15">
        <v>2</v>
      </c>
      <c r="BA257" s="15"/>
      <c r="BB257" s="15" t="s">
        <v>328</v>
      </c>
      <c r="BC257" s="15"/>
      <c r="BD257" s="15" t="s">
        <v>328</v>
      </c>
      <c r="BE257" s="15"/>
      <c r="BF257" s="15"/>
      <c r="BG257" s="15" t="s">
        <v>328</v>
      </c>
      <c r="BH257" s="15"/>
      <c r="BI257" s="15"/>
      <c r="BJ257" s="15"/>
      <c r="BK257" s="15"/>
      <c r="BL257" s="15"/>
      <c r="BM257" s="15"/>
      <c r="BN257" s="15" t="s">
        <v>328</v>
      </c>
      <c r="BO257" s="15"/>
      <c r="BP257" s="15" t="s">
        <v>328</v>
      </c>
      <c r="BQ257" s="15"/>
      <c r="BR257" s="15" t="s">
        <v>328</v>
      </c>
      <c r="BS257" s="15"/>
      <c r="BT257" s="15" t="s">
        <v>328</v>
      </c>
      <c r="BU257" s="15"/>
      <c r="BV257" s="15"/>
      <c r="BW257" s="15" t="s">
        <v>328</v>
      </c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 t="s">
        <v>332</v>
      </c>
      <c r="CI257" s="15" t="s">
        <v>328</v>
      </c>
      <c r="CJ257" s="15"/>
      <c r="CK257" s="15" t="s">
        <v>328</v>
      </c>
      <c r="CL257" s="15"/>
      <c r="CM257" s="15" t="s">
        <v>328</v>
      </c>
      <c r="CN257" s="15">
        <v>6</v>
      </c>
      <c r="CO257" s="15">
        <v>5</v>
      </c>
      <c r="CP257" s="15">
        <v>4</v>
      </c>
      <c r="CQ257" s="15">
        <v>1</v>
      </c>
      <c r="CR257" s="15">
        <v>2</v>
      </c>
      <c r="CS257" s="15">
        <v>3</v>
      </c>
      <c r="CT257" s="15" t="s">
        <v>328</v>
      </c>
      <c r="CU257" s="15" t="s">
        <v>328</v>
      </c>
      <c r="CV257" s="15"/>
      <c r="CW257" s="15"/>
      <c r="CX257" s="15" t="s">
        <v>328</v>
      </c>
      <c r="CY257" s="15"/>
      <c r="CZ257" s="15"/>
      <c r="DA257" s="15"/>
      <c r="DB257" s="15"/>
      <c r="DC257" s="15">
        <v>1</v>
      </c>
      <c r="DD257" s="15">
        <v>3</v>
      </c>
      <c r="DE257" s="15">
        <v>5</v>
      </c>
      <c r="DF257" s="15">
        <v>4</v>
      </c>
      <c r="DG257" s="15">
        <v>2</v>
      </c>
      <c r="DH257" s="15">
        <v>6</v>
      </c>
      <c r="DI257" s="15"/>
      <c r="DJ257" s="15" t="s">
        <v>328</v>
      </c>
      <c r="DK257" s="15"/>
      <c r="DL257" s="15"/>
      <c r="DM257" s="15"/>
      <c r="DN257" s="15"/>
      <c r="DO257" s="15"/>
      <c r="DP257" s="15" t="s">
        <v>1145</v>
      </c>
      <c r="DQ257" s="15" t="s">
        <v>328</v>
      </c>
      <c r="DR257" s="15"/>
      <c r="DS257" s="15"/>
      <c r="DT257" s="15"/>
      <c r="DU257" s="15"/>
      <c r="DV257" s="15"/>
      <c r="DW257" s="15"/>
      <c r="DX257" s="15" t="s">
        <v>1145</v>
      </c>
      <c r="DY257" s="15" t="s">
        <v>328</v>
      </c>
      <c r="DZ257" s="15"/>
      <c r="EA257" s="15"/>
      <c r="EB257" s="15"/>
      <c r="EC257" s="15"/>
      <c r="ED257" s="15"/>
      <c r="EE257" s="102" t="s">
        <v>1145</v>
      </c>
      <c r="EF257" s="99"/>
      <c r="EG257" s="17">
        <f t="shared" si="3"/>
        <v>0</v>
      </c>
    </row>
    <row r="258" spans="1:137" x14ac:dyDescent="0.25">
      <c r="A258" s="50" t="s">
        <v>1404</v>
      </c>
      <c r="B258" s="211">
        <v>41572</v>
      </c>
      <c r="C258" s="213" t="s">
        <v>2764</v>
      </c>
      <c r="D258" s="61" t="s">
        <v>1143</v>
      </c>
      <c r="E258" s="15" t="s">
        <v>328</v>
      </c>
      <c r="F258" s="15"/>
      <c r="G258" s="15">
        <v>57</v>
      </c>
      <c r="H258" s="15" t="s">
        <v>329</v>
      </c>
      <c r="I258" s="15" t="s">
        <v>357</v>
      </c>
      <c r="J258" s="15" t="s">
        <v>1031</v>
      </c>
      <c r="K258" s="15" t="s">
        <v>1203</v>
      </c>
      <c r="L258" s="15" t="s">
        <v>1284</v>
      </c>
      <c r="M258" s="15">
        <v>20</v>
      </c>
      <c r="N258" s="15">
        <v>2</v>
      </c>
      <c r="O258" s="15">
        <v>5</v>
      </c>
      <c r="P258" s="15"/>
      <c r="Q258" s="15">
        <v>3</v>
      </c>
      <c r="R258" s="15"/>
      <c r="S258" s="15">
        <v>2</v>
      </c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 t="s">
        <v>418</v>
      </c>
      <c r="AL258" s="15"/>
      <c r="AM258" s="15" t="s">
        <v>328</v>
      </c>
      <c r="AN258" s="15"/>
      <c r="AO258" s="15"/>
      <c r="AP258" s="15" t="s">
        <v>328</v>
      </c>
      <c r="AQ258" s="15"/>
      <c r="AR258" s="15">
        <v>10</v>
      </c>
      <c r="AS258" s="15">
        <v>4</v>
      </c>
      <c r="AT258" s="15"/>
      <c r="AU258" s="15"/>
      <c r="AV258" s="15"/>
      <c r="AW258" s="15" t="s">
        <v>328</v>
      </c>
      <c r="AX258" s="15">
        <v>2</v>
      </c>
      <c r="AY258" s="15">
        <v>3</v>
      </c>
      <c r="AZ258" s="15">
        <v>1</v>
      </c>
      <c r="BA258" s="15"/>
      <c r="BB258" s="15"/>
      <c r="BC258" s="15" t="s">
        <v>328</v>
      </c>
      <c r="BD258" s="15" t="s">
        <v>328</v>
      </c>
      <c r="BE258" s="15"/>
      <c r="BF258" s="15"/>
      <c r="BG258" s="15" t="s">
        <v>328</v>
      </c>
      <c r="BH258" s="15"/>
      <c r="BI258" s="15"/>
      <c r="BJ258" s="15"/>
      <c r="BK258" s="15"/>
      <c r="BL258" s="15"/>
      <c r="BM258" s="15"/>
      <c r="BN258" s="15" t="s">
        <v>328</v>
      </c>
      <c r="BO258" s="15"/>
      <c r="BP258" s="15" t="s">
        <v>328</v>
      </c>
      <c r="BQ258" s="15"/>
      <c r="BR258" s="15" t="s">
        <v>328</v>
      </c>
      <c r="BS258" s="15"/>
      <c r="BT258" s="15"/>
      <c r="BU258" s="15"/>
      <c r="BV258" s="15" t="s">
        <v>328</v>
      </c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 t="s">
        <v>332</v>
      </c>
      <c r="CI258" s="15" t="s">
        <v>328</v>
      </c>
      <c r="CJ258" s="15"/>
      <c r="CK258" s="15" t="s">
        <v>328</v>
      </c>
      <c r="CL258" s="15"/>
      <c r="CM258" s="15"/>
      <c r="CN258" s="15">
        <v>3</v>
      </c>
      <c r="CO258" s="15">
        <v>1</v>
      </c>
      <c r="CP258" s="15">
        <v>2</v>
      </c>
      <c r="CQ258" s="15">
        <v>5</v>
      </c>
      <c r="CR258" s="15">
        <v>6</v>
      </c>
      <c r="CS258" s="15">
        <v>4</v>
      </c>
      <c r="CT258" s="15" t="s">
        <v>328</v>
      </c>
      <c r="CU258" s="15" t="s">
        <v>328</v>
      </c>
      <c r="CV258" s="15"/>
      <c r="CW258" s="15"/>
      <c r="CX258" s="15" t="s">
        <v>328</v>
      </c>
      <c r="CY258" s="15"/>
      <c r="CZ258" s="15"/>
      <c r="DA258" s="15" t="s">
        <v>328</v>
      </c>
      <c r="DB258" s="15" t="s">
        <v>404</v>
      </c>
      <c r="DC258" s="15"/>
      <c r="DD258" s="15"/>
      <c r="DE258" s="15"/>
      <c r="DF258" s="15"/>
      <c r="DG258" s="15"/>
      <c r="DH258" s="15"/>
      <c r="DI258" s="15"/>
      <c r="DJ258" s="15" t="s">
        <v>328</v>
      </c>
      <c r="DK258" s="15"/>
      <c r="DL258" s="15"/>
      <c r="DM258" s="15"/>
      <c r="DN258" s="15"/>
      <c r="DO258" s="15"/>
      <c r="DP258" s="15" t="s">
        <v>497</v>
      </c>
      <c r="DQ258" s="15" t="s">
        <v>328</v>
      </c>
      <c r="DR258" s="15"/>
      <c r="DS258" s="15"/>
      <c r="DT258" s="15"/>
      <c r="DU258" s="15"/>
      <c r="DV258" s="15"/>
      <c r="DW258" s="15"/>
      <c r="DX258" s="15" t="s">
        <v>497</v>
      </c>
      <c r="DY258" s="15" t="s">
        <v>328</v>
      </c>
      <c r="DZ258" s="15"/>
      <c r="EA258" s="15"/>
      <c r="EB258" s="15"/>
      <c r="EC258" s="15"/>
      <c r="ED258" s="15"/>
      <c r="EE258" s="102" t="s">
        <v>497</v>
      </c>
      <c r="EF258" s="99"/>
      <c r="EG258" s="17">
        <f t="shared" si="3"/>
        <v>0</v>
      </c>
    </row>
    <row r="259" spans="1:137" x14ac:dyDescent="0.25">
      <c r="A259" s="51" t="s">
        <v>1378</v>
      </c>
      <c r="B259" s="211">
        <v>41569</v>
      </c>
      <c r="C259" s="212" t="s">
        <v>2763</v>
      </c>
      <c r="D259" s="61" t="s">
        <v>1351</v>
      </c>
      <c r="E259" s="15"/>
      <c r="F259" s="15" t="s">
        <v>328</v>
      </c>
      <c r="G259" s="15">
        <v>28</v>
      </c>
      <c r="H259" s="15" t="s">
        <v>376</v>
      </c>
      <c r="I259" s="15" t="s">
        <v>399</v>
      </c>
      <c r="J259" s="15" t="s">
        <v>1107</v>
      </c>
      <c r="K259" s="15" t="s">
        <v>1321</v>
      </c>
      <c r="L259" s="15" t="s">
        <v>1281</v>
      </c>
      <c r="M259" s="15">
        <v>0</v>
      </c>
      <c r="N259" s="15">
        <v>6</v>
      </c>
      <c r="O259" s="15"/>
      <c r="P259" s="15">
        <v>8</v>
      </c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 t="s">
        <v>328</v>
      </c>
      <c r="AJ259" s="15"/>
      <c r="AK259" s="15"/>
      <c r="AL259" s="15"/>
      <c r="AM259" s="15" t="s">
        <v>328</v>
      </c>
      <c r="AN259" s="15"/>
      <c r="AO259" s="15" t="s">
        <v>328</v>
      </c>
      <c r="AP259" s="15"/>
      <c r="AQ259" s="15"/>
      <c r="AR259" s="15">
        <v>7</v>
      </c>
      <c r="AS259" s="15">
        <v>5</v>
      </c>
      <c r="AT259" s="15"/>
      <c r="AU259" s="15" t="s">
        <v>328</v>
      </c>
      <c r="AV259" s="15"/>
      <c r="AW259" s="15" t="s">
        <v>328</v>
      </c>
      <c r="AX259" s="15">
        <v>2</v>
      </c>
      <c r="AY259" s="15">
        <v>1</v>
      </c>
      <c r="AZ259" s="15">
        <v>3</v>
      </c>
      <c r="BA259" s="15"/>
      <c r="BB259" s="15"/>
      <c r="BC259" s="15" t="s">
        <v>328</v>
      </c>
      <c r="BD259" s="15"/>
      <c r="BE259" s="15"/>
      <c r="BF259" s="15"/>
      <c r="BG259" s="15"/>
      <c r="BH259" s="15" t="s">
        <v>328</v>
      </c>
      <c r="BI259" s="15"/>
      <c r="BJ259" s="15"/>
      <c r="BK259" s="15"/>
      <c r="BL259" s="15"/>
      <c r="BM259" s="15"/>
      <c r="BN259" s="15"/>
      <c r="BO259" s="15" t="s">
        <v>328</v>
      </c>
      <c r="BP259" s="15"/>
      <c r="BQ259" s="15" t="s">
        <v>328</v>
      </c>
      <c r="BR259" s="15" t="s">
        <v>328</v>
      </c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 t="s">
        <v>328</v>
      </c>
      <c r="CD259" s="15"/>
      <c r="CE259" s="15"/>
      <c r="CF259" s="15"/>
      <c r="CG259" s="15"/>
      <c r="CH259" s="15"/>
      <c r="CI259" s="15"/>
      <c r="CJ259" s="15"/>
      <c r="CK259" s="15" t="s">
        <v>328</v>
      </c>
      <c r="CL259" s="15"/>
      <c r="CM259" s="15" t="s">
        <v>328</v>
      </c>
      <c r="CN259" s="15">
        <v>4</v>
      </c>
      <c r="CO259" s="15">
        <v>3</v>
      </c>
      <c r="CP259" s="15">
        <v>2</v>
      </c>
      <c r="CQ259" s="15">
        <v>6</v>
      </c>
      <c r="CR259" s="15">
        <v>5</v>
      </c>
      <c r="CS259" s="15">
        <v>1</v>
      </c>
      <c r="CT259" s="15"/>
      <c r="CU259" s="15"/>
      <c r="CV259" s="15"/>
      <c r="CW259" s="15"/>
      <c r="CX259" s="15"/>
      <c r="CY259" s="15"/>
      <c r="CZ259" s="15" t="s">
        <v>332</v>
      </c>
      <c r="DA259" s="15"/>
      <c r="DB259" s="15"/>
      <c r="DC259" s="15">
        <v>4</v>
      </c>
      <c r="DD259" s="15">
        <v>1</v>
      </c>
      <c r="DE259" s="15">
        <v>2</v>
      </c>
      <c r="DF259" s="15">
        <v>3</v>
      </c>
      <c r="DG259" s="15">
        <v>6</v>
      </c>
      <c r="DH259" s="15">
        <v>5</v>
      </c>
      <c r="DI259" s="15"/>
      <c r="DJ259" s="15" t="s">
        <v>328</v>
      </c>
      <c r="DK259" s="15"/>
      <c r="DL259" s="15"/>
      <c r="DM259" s="15"/>
      <c r="DN259" s="15"/>
      <c r="DO259" s="15"/>
      <c r="DP259" s="15"/>
      <c r="DQ259" s="15"/>
      <c r="DR259" s="15" t="s">
        <v>328</v>
      </c>
      <c r="DS259" s="15"/>
      <c r="DT259" s="15"/>
      <c r="DU259" s="15" t="s">
        <v>328</v>
      </c>
      <c r="DV259" s="15" t="s">
        <v>680</v>
      </c>
      <c r="DW259" s="15" t="s">
        <v>492</v>
      </c>
      <c r="DX259" s="14" t="s">
        <v>590</v>
      </c>
      <c r="DY259" s="15" t="s">
        <v>328</v>
      </c>
      <c r="DZ259" s="15"/>
      <c r="EA259" s="15"/>
      <c r="EB259" s="15"/>
      <c r="EC259" s="15"/>
      <c r="ED259" s="15"/>
      <c r="EE259" s="102"/>
      <c r="EF259" s="99"/>
      <c r="EG259" s="17">
        <f t="shared" si="3"/>
        <v>0</v>
      </c>
    </row>
    <row r="260" spans="1:137" x14ac:dyDescent="0.25">
      <c r="A260" s="51" t="s">
        <v>1378</v>
      </c>
      <c r="B260" s="211">
        <v>41569</v>
      </c>
      <c r="C260" s="212" t="s">
        <v>2763</v>
      </c>
      <c r="D260" s="61" t="s">
        <v>1352</v>
      </c>
      <c r="E260" s="15" t="s">
        <v>328</v>
      </c>
      <c r="F260" s="15"/>
      <c r="G260" s="15">
        <v>39</v>
      </c>
      <c r="H260" s="15" t="s">
        <v>329</v>
      </c>
      <c r="I260" s="15" t="s">
        <v>399</v>
      </c>
      <c r="J260" s="15" t="s">
        <v>1107</v>
      </c>
      <c r="K260" s="15" t="s">
        <v>1321</v>
      </c>
      <c r="L260" s="15" t="s">
        <v>1281</v>
      </c>
      <c r="M260" s="15">
        <v>10</v>
      </c>
      <c r="N260" s="15">
        <v>1</v>
      </c>
      <c r="O260" s="15"/>
      <c r="P260" s="15"/>
      <c r="Q260" s="15"/>
      <c r="R260" s="15">
        <v>1</v>
      </c>
      <c r="S260" s="15"/>
      <c r="T260" s="15"/>
      <c r="U260" s="15"/>
      <c r="V260" s="15"/>
      <c r="W260" s="15"/>
      <c r="X260" s="15"/>
      <c r="Y260" s="15"/>
      <c r="Z260" s="15"/>
      <c r="AA260" s="15"/>
      <c r="AB260" s="15" t="s">
        <v>328</v>
      </c>
      <c r="AC260" s="15" t="s">
        <v>328</v>
      </c>
      <c r="AD260" s="15"/>
      <c r="AE260" s="15"/>
      <c r="AF260" s="15"/>
      <c r="AG260" s="15"/>
      <c r="AH260" s="15"/>
      <c r="AI260" s="15" t="s">
        <v>328</v>
      </c>
      <c r="AJ260" s="15"/>
      <c r="AK260" s="15"/>
      <c r="AL260" s="15"/>
      <c r="AM260" s="15" t="s">
        <v>328</v>
      </c>
      <c r="AN260" s="15"/>
      <c r="AO260" s="15" t="s">
        <v>328</v>
      </c>
      <c r="AP260" s="15"/>
      <c r="AQ260" s="15"/>
      <c r="AR260" s="15">
        <v>10</v>
      </c>
      <c r="AS260" s="15">
        <v>8</v>
      </c>
      <c r="AT260" s="15"/>
      <c r="AU260" s="15"/>
      <c r="AV260" s="15"/>
      <c r="AW260" s="15" t="s">
        <v>328</v>
      </c>
      <c r="AX260" s="15">
        <v>3</v>
      </c>
      <c r="AY260" s="15">
        <v>2</v>
      </c>
      <c r="AZ260" s="15">
        <v>1</v>
      </c>
      <c r="BA260" s="15"/>
      <c r="BB260" s="15" t="s">
        <v>328</v>
      </c>
      <c r="BC260" s="15"/>
      <c r="BD260" s="15"/>
      <c r="BE260" s="15"/>
      <c r="BF260" s="15"/>
      <c r="BG260" s="15" t="s">
        <v>328</v>
      </c>
      <c r="BH260" s="15"/>
      <c r="BI260" s="15"/>
      <c r="BJ260" s="15"/>
      <c r="BK260" s="15"/>
      <c r="BL260" s="15"/>
      <c r="BM260" s="15"/>
      <c r="BN260" s="15"/>
      <c r="BO260" s="15" t="s">
        <v>328</v>
      </c>
      <c r="BP260" s="15"/>
      <c r="BQ260" s="15" t="s">
        <v>328</v>
      </c>
      <c r="BR260" s="15" t="s">
        <v>328</v>
      </c>
      <c r="BS260" s="15"/>
      <c r="BT260" s="15"/>
      <c r="BU260" s="15"/>
      <c r="BV260" s="15"/>
      <c r="BW260" s="15"/>
      <c r="BX260" s="15"/>
      <c r="BY260" s="15"/>
      <c r="BZ260" s="15"/>
      <c r="CA260" s="15"/>
      <c r="CB260" s="15" t="s">
        <v>328</v>
      </c>
      <c r="CC260" s="15" t="s">
        <v>328</v>
      </c>
      <c r="CD260" s="15" t="s">
        <v>328</v>
      </c>
      <c r="CE260" s="15"/>
      <c r="CF260" s="15"/>
      <c r="CG260" s="15"/>
      <c r="CH260" s="15"/>
      <c r="CI260" s="15"/>
      <c r="CJ260" s="15" t="s">
        <v>328</v>
      </c>
      <c r="CK260" s="15"/>
      <c r="CL260" s="15"/>
      <c r="CM260" s="15"/>
      <c r="CN260" s="15">
        <v>6</v>
      </c>
      <c r="CO260" s="15">
        <v>5</v>
      </c>
      <c r="CP260" s="15">
        <v>4</v>
      </c>
      <c r="CQ260" s="15">
        <v>3</v>
      </c>
      <c r="CR260" s="15">
        <v>2</v>
      </c>
      <c r="CS260" s="15">
        <v>1</v>
      </c>
      <c r="CT260" s="15"/>
      <c r="CU260" s="15"/>
      <c r="CV260" s="15"/>
      <c r="CW260" s="15"/>
      <c r="CX260" s="15"/>
      <c r="CY260" s="15"/>
      <c r="CZ260" s="15" t="s">
        <v>332</v>
      </c>
      <c r="DA260" s="15"/>
      <c r="DB260" s="15"/>
      <c r="DC260" s="15">
        <v>1</v>
      </c>
      <c r="DD260" s="15">
        <v>3</v>
      </c>
      <c r="DE260" s="15">
        <v>4</v>
      </c>
      <c r="DF260" s="15">
        <v>2</v>
      </c>
      <c r="DG260" s="15">
        <v>5</v>
      </c>
      <c r="DH260" s="15">
        <v>6</v>
      </c>
      <c r="DI260" s="15"/>
      <c r="DJ260" s="15" t="s">
        <v>328</v>
      </c>
      <c r="DK260" s="15"/>
      <c r="DL260" s="15"/>
      <c r="DM260" s="15"/>
      <c r="DN260" s="15"/>
      <c r="DO260" s="15"/>
      <c r="DP260" s="15"/>
      <c r="DQ260" s="15" t="s">
        <v>328</v>
      </c>
      <c r="DR260" s="15"/>
      <c r="DS260" s="15"/>
      <c r="DT260" s="15"/>
      <c r="DU260" s="15"/>
      <c r="DV260" s="15"/>
      <c r="DW260" s="15"/>
      <c r="DX260" s="15"/>
      <c r="DY260" s="15" t="s">
        <v>328</v>
      </c>
      <c r="DZ260" s="15"/>
      <c r="EA260" s="15"/>
      <c r="EB260" s="15"/>
      <c r="EC260" s="15"/>
      <c r="ED260" s="15"/>
      <c r="EE260" s="102"/>
      <c r="EF260" s="99"/>
      <c r="EG260" s="17">
        <f t="shared" si="3"/>
        <v>0</v>
      </c>
    </row>
    <row r="261" spans="1:137" x14ac:dyDescent="0.25">
      <c r="A261" s="51" t="s">
        <v>1378</v>
      </c>
      <c r="B261" s="211">
        <v>41569</v>
      </c>
      <c r="C261" s="212" t="s">
        <v>2763</v>
      </c>
      <c r="D261" s="61" t="s">
        <v>1353</v>
      </c>
      <c r="E261" s="15"/>
      <c r="F261" s="15" t="s">
        <v>328</v>
      </c>
      <c r="G261" s="15">
        <v>51</v>
      </c>
      <c r="H261" s="15" t="s">
        <v>329</v>
      </c>
      <c r="I261" s="15" t="s">
        <v>330</v>
      </c>
      <c r="J261" s="15" t="s">
        <v>1107</v>
      </c>
      <c r="K261" s="15" t="s">
        <v>1321</v>
      </c>
      <c r="L261" s="15" t="s">
        <v>1281</v>
      </c>
      <c r="M261" s="15">
        <v>35</v>
      </c>
      <c r="N261" s="15">
        <v>6</v>
      </c>
      <c r="O261" s="15">
        <v>1</v>
      </c>
      <c r="P261" s="15">
        <v>6</v>
      </c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 t="s">
        <v>328</v>
      </c>
      <c r="AD261" s="15"/>
      <c r="AE261" s="15"/>
      <c r="AF261" s="15"/>
      <c r="AG261" s="15"/>
      <c r="AH261" s="15"/>
      <c r="AI261" s="15" t="s">
        <v>328</v>
      </c>
      <c r="AJ261" s="15"/>
      <c r="AK261" s="15"/>
      <c r="AL261" s="15"/>
      <c r="AM261" s="15"/>
      <c r="AN261" s="15"/>
      <c r="AO261" s="15"/>
      <c r="AP261" s="15" t="s">
        <v>328</v>
      </c>
      <c r="AQ261" s="15"/>
      <c r="AR261" s="15">
        <v>10</v>
      </c>
      <c r="AS261" s="15">
        <v>3</v>
      </c>
      <c r="AT261" s="15"/>
      <c r="AU261" s="15"/>
      <c r="AV261" s="15"/>
      <c r="AW261" s="15" t="s">
        <v>328</v>
      </c>
      <c r="AX261" s="15">
        <v>3</v>
      </c>
      <c r="AY261" s="15">
        <v>1</v>
      </c>
      <c r="AZ261" s="15">
        <v>2</v>
      </c>
      <c r="BA261" s="15"/>
      <c r="BB261" s="15" t="s">
        <v>328</v>
      </c>
      <c r="BC261" s="15"/>
      <c r="BD261" s="15"/>
      <c r="BE261" s="15"/>
      <c r="BF261" s="15"/>
      <c r="BG261" s="15" t="s">
        <v>328</v>
      </c>
      <c r="BH261" s="15"/>
      <c r="BI261" s="15"/>
      <c r="BJ261" s="15"/>
      <c r="BK261" s="15" t="s">
        <v>328</v>
      </c>
      <c r="BL261" s="15"/>
      <c r="BM261" s="15"/>
      <c r="BN261" s="15"/>
      <c r="BO261" s="15" t="s">
        <v>328</v>
      </c>
      <c r="BP261" s="15"/>
      <c r="BQ261" s="15" t="s">
        <v>328</v>
      </c>
      <c r="BR261" s="15"/>
      <c r="BS261" s="15"/>
      <c r="BT261" s="15"/>
      <c r="BU261" s="15"/>
      <c r="BV261" s="15"/>
      <c r="BW261" s="15" t="s">
        <v>328</v>
      </c>
      <c r="BX261" s="15"/>
      <c r="BY261" s="15"/>
      <c r="BZ261" s="15"/>
      <c r="CA261" s="15"/>
      <c r="CB261" s="15"/>
      <c r="CC261" s="15" t="s">
        <v>328</v>
      </c>
      <c r="CD261" s="15"/>
      <c r="CE261" s="15"/>
      <c r="CF261" s="15"/>
      <c r="CG261" s="15"/>
      <c r="CH261" s="15"/>
      <c r="CI261" s="15"/>
      <c r="CJ261" s="15" t="s">
        <v>328</v>
      </c>
      <c r="CK261" s="15"/>
      <c r="CL261" s="15"/>
      <c r="CM261" s="15"/>
      <c r="CN261" s="15">
        <v>6</v>
      </c>
      <c r="CO261" s="15">
        <v>5</v>
      </c>
      <c r="CP261" s="15">
        <v>4</v>
      </c>
      <c r="CQ261" s="15">
        <v>2</v>
      </c>
      <c r="CR261" s="15">
        <v>3</v>
      </c>
      <c r="CS261" s="15">
        <v>1</v>
      </c>
      <c r="CT261" s="15"/>
      <c r="CU261" s="15"/>
      <c r="CV261" s="15"/>
      <c r="CW261" s="15"/>
      <c r="CX261" s="15"/>
      <c r="CY261" s="15"/>
      <c r="CZ261" s="15" t="s">
        <v>332</v>
      </c>
      <c r="DA261" s="15"/>
      <c r="DB261" s="15"/>
      <c r="DC261" s="15">
        <v>1</v>
      </c>
      <c r="DD261" s="15">
        <v>5</v>
      </c>
      <c r="DE261" s="15">
        <v>6</v>
      </c>
      <c r="DF261" s="15">
        <v>2</v>
      </c>
      <c r="DG261" s="15">
        <v>4</v>
      </c>
      <c r="DH261" s="15">
        <v>3</v>
      </c>
      <c r="DI261" s="15"/>
      <c r="DJ261" s="15" t="s">
        <v>328</v>
      </c>
      <c r="DK261" s="15"/>
      <c r="DL261" s="15"/>
      <c r="DM261" s="15"/>
      <c r="DN261" s="15"/>
      <c r="DO261" s="15"/>
      <c r="DP261" s="15"/>
      <c r="DQ261" s="15" t="s">
        <v>328</v>
      </c>
      <c r="DR261" s="15"/>
      <c r="DS261" s="15"/>
      <c r="DT261" s="15"/>
      <c r="DU261" s="15"/>
      <c r="DV261" s="15"/>
      <c r="DW261" s="15"/>
      <c r="DX261" s="15"/>
      <c r="DY261" s="15" t="s">
        <v>328</v>
      </c>
      <c r="DZ261" s="15"/>
      <c r="EA261" s="15"/>
      <c r="EB261" s="15"/>
      <c r="EC261" s="15"/>
      <c r="ED261" s="15"/>
      <c r="EE261" s="102"/>
      <c r="EF261" s="99"/>
      <c r="EG261" s="17">
        <f t="shared" si="3"/>
        <v>0</v>
      </c>
    </row>
    <row r="262" spans="1:137" x14ac:dyDescent="0.25">
      <c r="A262" s="51" t="s">
        <v>1378</v>
      </c>
      <c r="B262" s="211">
        <v>41569</v>
      </c>
      <c r="C262" s="212" t="s">
        <v>2763</v>
      </c>
      <c r="D262" s="103" t="s">
        <v>1354</v>
      </c>
      <c r="E262" s="15"/>
      <c r="F262" s="15" t="s">
        <v>328</v>
      </c>
      <c r="G262" s="15">
        <v>37</v>
      </c>
      <c r="H262" s="15" t="s">
        <v>329</v>
      </c>
      <c r="I262" s="15" t="s">
        <v>399</v>
      </c>
      <c r="J262" s="18" t="s">
        <v>1406</v>
      </c>
      <c r="K262" s="18" t="s">
        <v>1405</v>
      </c>
      <c r="L262" s="15" t="s">
        <v>1281</v>
      </c>
      <c r="M262" s="15">
        <v>0</v>
      </c>
      <c r="N262" s="15">
        <v>17</v>
      </c>
      <c r="O262" s="15">
        <v>7</v>
      </c>
      <c r="P262" s="15">
        <v>17</v>
      </c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 t="s">
        <v>328</v>
      </c>
      <c r="AD262" s="15"/>
      <c r="AE262" s="15"/>
      <c r="AF262" s="15"/>
      <c r="AG262" s="15"/>
      <c r="AH262" s="15"/>
      <c r="AI262" s="15" t="s">
        <v>328</v>
      </c>
      <c r="AJ262" s="15"/>
      <c r="AK262" s="15"/>
      <c r="AL262" s="15" t="s">
        <v>328</v>
      </c>
      <c r="AM262" s="15"/>
      <c r="AN262" s="15"/>
      <c r="AO262" s="15"/>
      <c r="AP262" s="15" t="s">
        <v>328</v>
      </c>
      <c r="AQ262" s="15"/>
      <c r="AR262" s="15">
        <v>8</v>
      </c>
      <c r="AS262" s="15">
        <v>6</v>
      </c>
      <c r="AT262" s="15"/>
      <c r="AU262" s="15"/>
      <c r="AV262" s="15"/>
      <c r="AW262" s="15" t="s">
        <v>328</v>
      </c>
      <c r="AX262" s="15">
        <v>4</v>
      </c>
      <c r="AY262" s="15">
        <v>3</v>
      </c>
      <c r="AZ262" s="15">
        <v>2</v>
      </c>
      <c r="BA262" s="15" t="s">
        <v>346</v>
      </c>
      <c r="BB262" s="15"/>
      <c r="BC262" s="15" t="s">
        <v>328</v>
      </c>
      <c r="BD262" s="15"/>
      <c r="BE262" s="15"/>
      <c r="BF262" s="15" t="s">
        <v>328</v>
      </c>
      <c r="BG262" s="15"/>
      <c r="BH262" s="15"/>
      <c r="BI262" s="15"/>
      <c r="BJ262" s="15"/>
      <c r="BK262" s="15" t="s">
        <v>328</v>
      </c>
      <c r="BL262" s="15"/>
      <c r="BM262" s="15"/>
      <c r="BN262" s="15" t="s">
        <v>328</v>
      </c>
      <c r="BO262" s="15"/>
      <c r="BP262" s="15" t="s">
        <v>328</v>
      </c>
      <c r="BQ262" s="15"/>
      <c r="BR262" s="15" t="s">
        <v>328</v>
      </c>
      <c r="BS262" s="15"/>
      <c r="BT262" s="15"/>
      <c r="BU262" s="15"/>
      <c r="BV262" s="15"/>
      <c r="BW262" s="15"/>
      <c r="BX262" s="15"/>
      <c r="BY262" s="15" t="s">
        <v>328</v>
      </c>
      <c r="BZ262" s="15"/>
      <c r="CA262" s="15"/>
      <c r="CB262" s="15"/>
      <c r="CC262" s="15" t="s">
        <v>328</v>
      </c>
      <c r="CD262" s="15" t="s">
        <v>328</v>
      </c>
      <c r="CE262" s="15"/>
      <c r="CF262" s="15"/>
      <c r="CG262" s="15"/>
      <c r="CH262" s="15"/>
      <c r="CI262" s="15" t="s">
        <v>328</v>
      </c>
      <c r="CJ262" s="15"/>
      <c r="CK262" s="15"/>
      <c r="CL262" s="15"/>
      <c r="CM262" s="15"/>
      <c r="CN262" s="15">
        <v>2</v>
      </c>
      <c r="CO262" s="15">
        <v>3</v>
      </c>
      <c r="CP262" s="15">
        <v>4</v>
      </c>
      <c r="CQ262" s="15">
        <v>6</v>
      </c>
      <c r="CR262" s="15">
        <v>5</v>
      </c>
      <c r="CS262" s="15">
        <v>1</v>
      </c>
      <c r="CT262" s="15"/>
      <c r="CU262" s="15" t="s">
        <v>328</v>
      </c>
      <c r="CV262" s="15" t="s">
        <v>328</v>
      </c>
      <c r="CW262" s="15"/>
      <c r="CX262" s="15"/>
      <c r="CY262" s="15"/>
      <c r="CZ262" s="15"/>
      <c r="DA262" s="15"/>
      <c r="DB262" s="15"/>
      <c r="DC262" s="15"/>
      <c r="DD262" s="15"/>
      <c r="DE262" s="15"/>
      <c r="DF262" s="15">
        <v>1</v>
      </c>
      <c r="DG262" s="15"/>
      <c r="DH262" s="15">
        <v>2</v>
      </c>
      <c r="DI262" s="15"/>
      <c r="DJ262" s="15" t="s">
        <v>328</v>
      </c>
      <c r="DK262" s="15"/>
      <c r="DL262" s="15"/>
      <c r="DM262" s="15"/>
      <c r="DN262" s="15"/>
      <c r="DO262" s="15"/>
      <c r="DP262" s="14" t="s">
        <v>333</v>
      </c>
      <c r="DQ262" s="15"/>
      <c r="DR262" s="15" t="s">
        <v>328</v>
      </c>
      <c r="DS262" s="15"/>
      <c r="DT262" s="15"/>
      <c r="DU262" s="15" t="s">
        <v>328</v>
      </c>
      <c r="DV262" s="15" t="s">
        <v>334</v>
      </c>
      <c r="DW262" s="15" t="s">
        <v>428</v>
      </c>
      <c r="DX262" s="15" t="s">
        <v>497</v>
      </c>
      <c r="DY262" s="15" t="s">
        <v>328</v>
      </c>
      <c r="DZ262" s="15"/>
      <c r="EA262" s="15"/>
      <c r="EB262" s="15"/>
      <c r="EC262" s="15"/>
      <c r="ED262" s="15"/>
      <c r="EE262" s="102"/>
      <c r="EF262" s="99"/>
      <c r="EG262" s="17">
        <f t="shared" si="3"/>
        <v>0</v>
      </c>
    </row>
    <row r="263" spans="1:137" x14ac:dyDescent="0.25">
      <c r="A263" s="51" t="s">
        <v>1378</v>
      </c>
      <c r="B263" s="211">
        <v>41569</v>
      </c>
      <c r="C263" s="212" t="s">
        <v>2763</v>
      </c>
      <c r="D263" s="61" t="s">
        <v>1355</v>
      </c>
      <c r="E263" s="15" t="s">
        <v>328</v>
      </c>
      <c r="F263" s="15"/>
      <c r="G263" s="15">
        <v>53</v>
      </c>
      <c r="H263" s="15" t="s">
        <v>329</v>
      </c>
      <c r="I263" s="15" t="s">
        <v>357</v>
      </c>
      <c r="J263" s="18" t="s">
        <v>1408</v>
      </c>
      <c r="K263" s="18" t="s">
        <v>1407</v>
      </c>
      <c r="L263" s="15" t="s">
        <v>1281</v>
      </c>
      <c r="M263" s="15">
        <v>30</v>
      </c>
      <c r="N263" s="15">
        <v>14</v>
      </c>
      <c r="O263" s="15"/>
      <c r="P263" s="15"/>
      <c r="Q263" s="15"/>
      <c r="R263" s="15">
        <v>1</v>
      </c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 t="s">
        <v>328</v>
      </c>
      <c r="AJ263" s="15"/>
      <c r="AK263" s="15"/>
      <c r="AL263" s="15"/>
      <c r="AM263" s="15" t="s">
        <v>328</v>
      </c>
      <c r="AN263" s="15"/>
      <c r="AO263" s="15"/>
      <c r="AP263" s="15"/>
      <c r="AQ263" s="15" t="s">
        <v>328</v>
      </c>
      <c r="AR263" s="15">
        <v>4</v>
      </c>
      <c r="AS263" s="15">
        <v>6</v>
      </c>
      <c r="AT263" s="15"/>
      <c r="AU263" s="15"/>
      <c r="AV263" s="15" t="s">
        <v>328</v>
      </c>
      <c r="AW263" s="15"/>
      <c r="AX263" s="15">
        <v>2</v>
      </c>
      <c r="AY263" s="15">
        <v>3</v>
      </c>
      <c r="AZ263" s="15">
        <v>4</v>
      </c>
      <c r="BA263" s="15" t="s">
        <v>346</v>
      </c>
      <c r="BB263" s="15" t="s">
        <v>328</v>
      </c>
      <c r="BC263" s="15"/>
      <c r="BD263" s="15" t="s">
        <v>328</v>
      </c>
      <c r="BE263" s="15"/>
      <c r="BF263" s="15" t="s">
        <v>328</v>
      </c>
      <c r="BG263" s="15"/>
      <c r="BH263" s="15"/>
      <c r="BI263" s="15"/>
      <c r="BJ263" s="15"/>
      <c r="BK263" s="15"/>
      <c r="BL263" s="15"/>
      <c r="BM263" s="15"/>
      <c r="BN263" s="15"/>
      <c r="BO263" s="15" t="s">
        <v>328</v>
      </c>
      <c r="BP263" s="15"/>
      <c r="BQ263" s="15" t="s">
        <v>328</v>
      </c>
      <c r="BR263" s="15"/>
      <c r="BS263" s="15"/>
      <c r="BT263" s="15" t="s">
        <v>328</v>
      </c>
      <c r="BU263" s="15"/>
      <c r="BV263" s="15"/>
      <c r="BW263" s="15"/>
      <c r="BX263" s="15"/>
      <c r="BY263" s="15"/>
      <c r="BZ263" s="15"/>
      <c r="CA263" s="15"/>
      <c r="CB263" s="15"/>
      <c r="CC263" s="15" t="s">
        <v>328</v>
      </c>
      <c r="CD263" s="15"/>
      <c r="CE263" s="15"/>
      <c r="CF263" s="15"/>
      <c r="CG263" s="15" t="s">
        <v>328</v>
      </c>
      <c r="CH263" s="15" t="s">
        <v>332</v>
      </c>
      <c r="CI263" s="15"/>
      <c r="CJ263" s="15" t="s">
        <v>328</v>
      </c>
      <c r="CK263" s="15"/>
      <c r="CL263" s="15"/>
      <c r="CM263" s="15"/>
      <c r="CN263" s="15">
        <v>2</v>
      </c>
      <c r="CO263" s="15">
        <v>6</v>
      </c>
      <c r="CP263" s="15">
        <v>4</v>
      </c>
      <c r="CQ263" s="15">
        <v>5</v>
      </c>
      <c r="CR263" s="15">
        <v>3</v>
      </c>
      <c r="CS263" s="15">
        <v>1</v>
      </c>
      <c r="CT263" s="15"/>
      <c r="CU263" s="15"/>
      <c r="CV263" s="15"/>
      <c r="CW263" s="15"/>
      <c r="CX263" s="15"/>
      <c r="CY263" s="15"/>
      <c r="CZ263" s="15" t="s">
        <v>332</v>
      </c>
      <c r="DA263" s="15"/>
      <c r="DB263" s="15"/>
      <c r="DC263" s="15">
        <v>1</v>
      </c>
      <c r="DD263" s="15"/>
      <c r="DE263" s="15"/>
      <c r="DF263" s="15"/>
      <c r="DG263" s="15">
        <v>2</v>
      </c>
      <c r="DH263" s="15"/>
      <c r="DI263" s="14" t="s">
        <v>346</v>
      </c>
      <c r="DJ263" s="15"/>
      <c r="DK263" s="15" t="s">
        <v>328</v>
      </c>
      <c r="DL263" s="15"/>
      <c r="DM263" s="15"/>
      <c r="DN263" s="15"/>
      <c r="DO263" s="14"/>
      <c r="DP263" s="15"/>
      <c r="DQ263" s="15"/>
      <c r="DR263" s="15" t="s">
        <v>328</v>
      </c>
      <c r="DS263" s="15" t="s">
        <v>328</v>
      </c>
      <c r="DT263" s="15" t="s">
        <v>354</v>
      </c>
      <c r="DU263" s="15"/>
      <c r="DV263" s="15"/>
      <c r="DW263" s="15" t="s">
        <v>492</v>
      </c>
      <c r="DX263" s="15" t="s">
        <v>1161</v>
      </c>
      <c r="DY263" s="15" t="s">
        <v>328</v>
      </c>
      <c r="DZ263" s="15"/>
      <c r="EA263" s="15"/>
      <c r="EB263" s="15"/>
      <c r="EC263" s="15"/>
      <c r="ED263" s="15"/>
      <c r="EE263" s="102" t="s">
        <v>333</v>
      </c>
      <c r="EF263" s="99"/>
      <c r="EG263" s="17">
        <f t="shared" si="3"/>
        <v>0</v>
      </c>
    </row>
    <row r="264" spans="1:137" x14ac:dyDescent="0.25">
      <c r="A264" s="51" t="s">
        <v>1378</v>
      </c>
      <c r="B264" s="211">
        <v>41569</v>
      </c>
      <c r="C264" s="212" t="s">
        <v>2763</v>
      </c>
      <c r="D264" s="61" t="s">
        <v>1356</v>
      </c>
      <c r="E264" s="15"/>
      <c r="F264" s="15" t="s">
        <v>328</v>
      </c>
      <c r="G264" s="15">
        <v>49</v>
      </c>
      <c r="H264" s="15" t="s">
        <v>329</v>
      </c>
      <c r="I264" s="15" t="s">
        <v>399</v>
      </c>
      <c r="J264" s="15" t="s">
        <v>1107</v>
      </c>
      <c r="K264" s="15" t="s">
        <v>1321</v>
      </c>
      <c r="L264" s="15" t="s">
        <v>1281</v>
      </c>
      <c r="M264" s="15">
        <v>30</v>
      </c>
      <c r="N264" s="15">
        <v>26</v>
      </c>
      <c r="O264" s="15"/>
      <c r="P264" s="15">
        <v>29</v>
      </c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 t="s">
        <v>328</v>
      </c>
      <c r="AC264" s="15"/>
      <c r="AD264" s="15"/>
      <c r="AE264" s="15"/>
      <c r="AF264" s="15"/>
      <c r="AG264" s="15"/>
      <c r="AH264" s="15"/>
      <c r="AI264" s="15" t="s">
        <v>328</v>
      </c>
      <c r="AJ264" s="15"/>
      <c r="AK264" s="15"/>
      <c r="AL264" s="15" t="s">
        <v>328</v>
      </c>
      <c r="AM264" s="15" t="s">
        <v>328</v>
      </c>
      <c r="AN264" s="15"/>
      <c r="AO264" s="15" t="s">
        <v>328</v>
      </c>
      <c r="AP264" s="15"/>
      <c r="AQ264" s="15" t="s">
        <v>328</v>
      </c>
      <c r="AR264" s="15">
        <v>8</v>
      </c>
      <c r="AS264" s="15">
        <v>6</v>
      </c>
      <c r="AT264" s="15"/>
      <c r="AU264" s="15"/>
      <c r="AV264" s="15"/>
      <c r="AW264" s="15" t="s">
        <v>328</v>
      </c>
      <c r="AX264" s="15">
        <v>3</v>
      </c>
      <c r="AY264" s="15">
        <v>4</v>
      </c>
      <c r="AZ264" s="15">
        <v>2</v>
      </c>
      <c r="BA264" s="15" t="s">
        <v>346</v>
      </c>
      <c r="BB264" s="15"/>
      <c r="BC264" s="15" t="s">
        <v>328</v>
      </c>
      <c r="BD264" s="15" t="s">
        <v>328</v>
      </c>
      <c r="BE264" s="15" t="s">
        <v>328</v>
      </c>
      <c r="BF264" s="15"/>
      <c r="BG264" s="15" t="s">
        <v>328</v>
      </c>
      <c r="BH264" s="15"/>
      <c r="BI264" s="15"/>
      <c r="BJ264" s="15"/>
      <c r="BK264" s="15"/>
      <c r="BL264" s="15"/>
      <c r="BM264" s="15"/>
      <c r="BN264" s="15"/>
      <c r="BO264" s="15" t="s">
        <v>328</v>
      </c>
      <c r="BP264" s="15" t="s">
        <v>328</v>
      </c>
      <c r="BQ264" s="15"/>
      <c r="BR264" s="15" t="s">
        <v>328</v>
      </c>
      <c r="BS264" s="15" t="s">
        <v>328</v>
      </c>
      <c r="BT264" s="15"/>
      <c r="BU264" s="15" t="s">
        <v>328</v>
      </c>
      <c r="BV264" s="15"/>
      <c r="BW264" s="15" t="s">
        <v>328</v>
      </c>
      <c r="BX264" s="15"/>
      <c r="BY264" s="15" t="s">
        <v>328</v>
      </c>
      <c r="BZ264" s="15"/>
      <c r="CA264" s="15"/>
      <c r="CB264" s="15"/>
      <c r="CC264" s="15" t="s">
        <v>328</v>
      </c>
      <c r="CD264" s="15"/>
      <c r="CE264" s="15"/>
      <c r="CF264" s="15"/>
      <c r="CG264" s="15" t="s">
        <v>328</v>
      </c>
      <c r="CH264" s="15"/>
      <c r="CI264" s="15" t="s">
        <v>328</v>
      </c>
      <c r="CJ264" s="15"/>
      <c r="CK264" s="15"/>
      <c r="CL264" s="15"/>
      <c r="CM264" s="15"/>
      <c r="CN264" s="15">
        <v>1</v>
      </c>
      <c r="CO264" s="15">
        <v>3</v>
      </c>
      <c r="CP264" s="15">
        <v>4</v>
      </c>
      <c r="CQ264" s="15">
        <v>5</v>
      </c>
      <c r="CR264" s="15">
        <v>6</v>
      </c>
      <c r="CS264" s="15">
        <v>2</v>
      </c>
      <c r="CT264" s="15" t="s">
        <v>328</v>
      </c>
      <c r="CU264" s="15"/>
      <c r="CV264" s="15"/>
      <c r="CW264" s="15" t="s">
        <v>328</v>
      </c>
      <c r="CX264" s="15" t="s">
        <v>328</v>
      </c>
      <c r="CY264" s="15"/>
      <c r="CZ264" s="15"/>
      <c r="DA264" s="15"/>
      <c r="DB264" s="15"/>
      <c r="DC264" s="15">
        <v>1</v>
      </c>
      <c r="DD264" s="15">
        <v>3</v>
      </c>
      <c r="DE264" s="15">
        <v>6</v>
      </c>
      <c r="DF264" s="15">
        <v>2</v>
      </c>
      <c r="DG264" s="15">
        <v>4</v>
      </c>
      <c r="DH264" s="15">
        <v>5</v>
      </c>
      <c r="DI264" s="15"/>
      <c r="DJ264" s="15" t="s">
        <v>328</v>
      </c>
      <c r="DK264" s="15"/>
      <c r="DL264" s="15"/>
      <c r="DM264" s="15"/>
      <c r="DN264" s="15"/>
      <c r="DO264" s="15" t="s">
        <v>1379</v>
      </c>
      <c r="DP264" s="15" t="s">
        <v>1380</v>
      </c>
      <c r="DQ264" s="15" t="s">
        <v>328</v>
      </c>
      <c r="DR264" s="15"/>
      <c r="DS264" s="15"/>
      <c r="DT264" s="15"/>
      <c r="DU264" s="15"/>
      <c r="DV264" s="15"/>
      <c r="DW264" s="15" t="s">
        <v>1381</v>
      </c>
      <c r="DX264" s="15" t="s">
        <v>1145</v>
      </c>
      <c r="DY264" s="15"/>
      <c r="DZ264" s="15" t="s">
        <v>328</v>
      </c>
      <c r="EA264" s="15" t="s">
        <v>328</v>
      </c>
      <c r="EB264" s="15" t="s">
        <v>1409</v>
      </c>
      <c r="EC264" s="15"/>
      <c r="ED264" s="15" t="s">
        <v>587</v>
      </c>
      <c r="EE264" s="102" t="s">
        <v>1161</v>
      </c>
      <c r="EF264" s="99"/>
      <c r="EG264" s="17">
        <f t="shared" ref="EG264:EG327" si="4">IF(AS264=0,IF(AR264&gt;0,"ERR",0),0)</f>
        <v>0</v>
      </c>
    </row>
    <row r="265" spans="1:137" x14ac:dyDescent="0.25">
      <c r="A265" s="51" t="s">
        <v>1378</v>
      </c>
      <c r="B265" s="211">
        <v>41569</v>
      </c>
      <c r="C265" s="212" t="s">
        <v>2763</v>
      </c>
      <c r="D265" s="61" t="s">
        <v>1357</v>
      </c>
      <c r="E265" s="15" t="s">
        <v>328</v>
      </c>
      <c r="F265" s="15"/>
      <c r="G265" s="15">
        <v>42</v>
      </c>
      <c r="H265" s="15" t="s">
        <v>329</v>
      </c>
      <c r="I265" s="15" t="s">
        <v>330</v>
      </c>
      <c r="J265" s="18" t="s">
        <v>1410</v>
      </c>
      <c r="K265" s="18" t="s">
        <v>1411</v>
      </c>
      <c r="L265" s="15" t="s">
        <v>1281</v>
      </c>
      <c r="M265" s="15">
        <v>15</v>
      </c>
      <c r="N265" s="15">
        <v>4</v>
      </c>
      <c r="O265" s="15">
        <v>4</v>
      </c>
      <c r="P265" s="15">
        <v>2</v>
      </c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 t="s">
        <v>328</v>
      </c>
      <c r="AC265" s="15" t="s">
        <v>328</v>
      </c>
      <c r="AD265" s="15"/>
      <c r="AE265" s="15"/>
      <c r="AF265" s="15" t="s">
        <v>328</v>
      </c>
      <c r="AG265" s="15"/>
      <c r="AH265" s="15"/>
      <c r="AI265" s="15" t="s">
        <v>328</v>
      </c>
      <c r="AJ265" s="15"/>
      <c r="AK265" s="15"/>
      <c r="AL265" s="15" t="s">
        <v>328</v>
      </c>
      <c r="AM265" s="15"/>
      <c r="AN265" s="15"/>
      <c r="AO265" s="15" t="s">
        <v>328</v>
      </c>
      <c r="AP265" s="15"/>
      <c r="AQ265" s="15"/>
      <c r="AR265" s="15">
        <v>1</v>
      </c>
      <c r="AS265" s="15">
        <v>9</v>
      </c>
      <c r="AT265" s="15"/>
      <c r="AU265" s="15"/>
      <c r="AV265" s="15"/>
      <c r="AW265" s="15" t="s">
        <v>328</v>
      </c>
      <c r="AX265" s="15">
        <v>1</v>
      </c>
      <c r="AY265" s="15">
        <v>3</v>
      </c>
      <c r="AZ265" s="15">
        <v>2</v>
      </c>
      <c r="BA265" s="15"/>
      <c r="BB265" s="15" t="s">
        <v>328</v>
      </c>
      <c r="BC265" s="15"/>
      <c r="BD265" s="15" t="s">
        <v>328</v>
      </c>
      <c r="BE265" s="15" t="s">
        <v>328</v>
      </c>
      <c r="BF265" s="15" t="s">
        <v>328</v>
      </c>
      <c r="BG265" s="15"/>
      <c r="BH265" s="15"/>
      <c r="BI265" s="15"/>
      <c r="BJ265" s="15"/>
      <c r="BK265" s="15" t="s">
        <v>328</v>
      </c>
      <c r="BL265" s="15"/>
      <c r="BM265" s="15"/>
      <c r="BN265" s="15"/>
      <c r="BO265" s="15" t="s">
        <v>328</v>
      </c>
      <c r="BP265" s="15"/>
      <c r="BQ265" s="15" t="s">
        <v>328</v>
      </c>
      <c r="BR265" s="15" t="s">
        <v>328</v>
      </c>
      <c r="BS265" s="15" t="s">
        <v>328</v>
      </c>
      <c r="BT265" s="15"/>
      <c r="BU265" s="15"/>
      <c r="BV265" s="15"/>
      <c r="BW265" s="15"/>
      <c r="BX265" s="15"/>
      <c r="BY265" s="15" t="s">
        <v>328</v>
      </c>
      <c r="BZ265" s="15" t="s">
        <v>328</v>
      </c>
      <c r="CA265" s="15"/>
      <c r="CB265" s="15" t="s">
        <v>328</v>
      </c>
      <c r="CC265" s="15"/>
      <c r="CD265" s="15"/>
      <c r="CE265" s="15"/>
      <c r="CF265" s="15"/>
      <c r="CG265" s="15"/>
      <c r="CH265" s="15"/>
      <c r="CI265" s="15"/>
      <c r="CJ265" s="15" t="s">
        <v>328</v>
      </c>
      <c r="CK265" s="15"/>
      <c r="CL265" s="15"/>
      <c r="CM265" s="15" t="s">
        <v>328</v>
      </c>
      <c r="CN265" s="15">
        <v>4</v>
      </c>
      <c r="CO265" s="15">
        <v>5</v>
      </c>
      <c r="CP265" s="15">
        <v>3</v>
      </c>
      <c r="CQ265" s="15">
        <v>6</v>
      </c>
      <c r="CR265" s="15">
        <v>2</v>
      </c>
      <c r="CS265" s="15">
        <v>1</v>
      </c>
      <c r="CT265" s="15" t="s">
        <v>328</v>
      </c>
      <c r="CU265" s="15" t="s">
        <v>328</v>
      </c>
      <c r="CV265" s="15"/>
      <c r="CW265" s="15" t="s">
        <v>328</v>
      </c>
      <c r="CX265" s="15" t="s">
        <v>328</v>
      </c>
      <c r="CY265" s="15"/>
      <c r="CZ265" s="15"/>
      <c r="DA265" s="15"/>
      <c r="DB265" s="15"/>
      <c r="DC265" s="15">
        <v>1</v>
      </c>
      <c r="DD265" s="15">
        <v>3</v>
      </c>
      <c r="DE265" s="15"/>
      <c r="DF265" s="15"/>
      <c r="DG265" s="15">
        <v>2</v>
      </c>
      <c r="DH265" s="15"/>
      <c r="DI265" s="15" t="s">
        <v>346</v>
      </c>
      <c r="DJ265" s="15" t="s">
        <v>328</v>
      </c>
      <c r="DK265" s="15"/>
      <c r="DL265" s="15"/>
      <c r="DM265" s="15"/>
      <c r="DN265" s="15"/>
      <c r="DO265" s="15"/>
      <c r="DP265" s="15"/>
      <c r="DQ265" s="15" t="s">
        <v>328</v>
      </c>
      <c r="DR265" s="15"/>
      <c r="DS265" s="15"/>
      <c r="DT265" s="15"/>
      <c r="DU265" s="15"/>
      <c r="DV265" s="15"/>
      <c r="DW265" s="15"/>
      <c r="DX265" s="15"/>
      <c r="DY265" s="15" t="s">
        <v>328</v>
      </c>
      <c r="DZ265" s="15"/>
      <c r="EA265" s="15"/>
      <c r="EB265" s="15"/>
      <c r="EC265" s="15"/>
      <c r="ED265" s="15"/>
      <c r="EE265" s="102"/>
      <c r="EF265" s="99"/>
      <c r="EG265" s="17">
        <f t="shared" si="4"/>
        <v>0</v>
      </c>
    </row>
    <row r="266" spans="1:137" x14ac:dyDescent="0.25">
      <c r="A266" s="51" t="s">
        <v>1378</v>
      </c>
      <c r="B266" s="211">
        <v>41569</v>
      </c>
      <c r="C266" s="212" t="s">
        <v>2763</v>
      </c>
      <c r="D266" s="61" t="s">
        <v>1358</v>
      </c>
      <c r="E266" s="15" t="s">
        <v>328</v>
      </c>
      <c r="F266" s="15"/>
      <c r="G266" s="15">
        <v>59</v>
      </c>
      <c r="H266" s="15" t="s">
        <v>329</v>
      </c>
      <c r="I266" s="15" t="s">
        <v>330</v>
      </c>
      <c r="J266" s="18" t="s">
        <v>1412</v>
      </c>
      <c r="K266" s="15" t="s">
        <v>1413</v>
      </c>
      <c r="L266" s="15" t="s">
        <v>1281</v>
      </c>
      <c r="M266" s="15">
        <v>30</v>
      </c>
      <c r="N266" s="15">
        <v>5</v>
      </c>
      <c r="O266" s="15">
        <v>5</v>
      </c>
      <c r="P266" s="15"/>
      <c r="Q266" s="15"/>
      <c r="R266" s="15"/>
      <c r="S266" s="15"/>
      <c r="T266" s="15"/>
      <c r="U266" s="15"/>
      <c r="V266" s="15">
        <v>1</v>
      </c>
      <c r="W266" s="15"/>
      <c r="X266" s="15"/>
      <c r="Y266" s="15"/>
      <c r="Z266" s="15">
        <v>1</v>
      </c>
      <c r="AA266" s="15"/>
      <c r="AB266" s="15"/>
      <c r="AC266" s="15"/>
      <c r="AD266" s="15"/>
      <c r="AE266" s="15"/>
      <c r="AF266" s="15" t="s">
        <v>328</v>
      </c>
      <c r="AG266" s="15" t="s">
        <v>328</v>
      </c>
      <c r="AH266" s="15" t="s">
        <v>328</v>
      </c>
      <c r="AI266" s="15"/>
      <c r="AJ266" s="15"/>
      <c r="AK266" s="15"/>
      <c r="AL266" s="15" t="s">
        <v>328</v>
      </c>
      <c r="AM266" s="15" t="s">
        <v>328</v>
      </c>
      <c r="AN266" s="15"/>
      <c r="AO266" s="15" t="s">
        <v>328</v>
      </c>
      <c r="AP266" s="15"/>
      <c r="AQ266" s="15"/>
      <c r="AR266" s="15">
        <v>4</v>
      </c>
      <c r="AS266" s="15">
        <v>6</v>
      </c>
      <c r="AT266" s="15"/>
      <c r="AU266" s="15" t="s">
        <v>328</v>
      </c>
      <c r="AV266" s="15"/>
      <c r="AW266" s="15"/>
      <c r="AX266" s="15">
        <v>2</v>
      </c>
      <c r="AY266" s="15">
        <v>3</v>
      </c>
      <c r="AZ266" s="15"/>
      <c r="BA266" s="15" t="s">
        <v>346</v>
      </c>
      <c r="BB266" s="15" t="s">
        <v>328</v>
      </c>
      <c r="BC266" s="15"/>
      <c r="BD266" s="15" t="s">
        <v>328</v>
      </c>
      <c r="BE266" s="15"/>
      <c r="BF266" s="15" t="s">
        <v>328</v>
      </c>
      <c r="BG266" s="15"/>
      <c r="BH266" s="15" t="s">
        <v>328</v>
      </c>
      <c r="BI266" s="15"/>
      <c r="BJ266" s="15"/>
      <c r="BK266" s="15"/>
      <c r="BL266" s="15"/>
      <c r="BM266" s="15"/>
      <c r="BN266" s="15"/>
      <c r="BO266" s="15" t="s">
        <v>328</v>
      </c>
      <c r="BP266" s="15"/>
      <c r="BQ266" s="15" t="s">
        <v>328</v>
      </c>
      <c r="BR266" s="15"/>
      <c r="BS266" s="15"/>
      <c r="BT266" s="15" t="s">
        <v>328</v>
      </c>
      <c r="BU266" s="15"/>
      <c r="BV266" s="15"/>
      <c r="BW266" s="15"/>
      <c r="BX266" s="15"/>
      <c r="BY266" s="15"/>
      <c r="BZ266" s="15"/>
      <c r="CA266" s="15"/>
      <c r="CB266" s="15"/>
      <c r="CC266" s="15" t="s">
        <v>328</v>
      </c>
      <c r="CD266" s="15"/>
      <c r="CE266" s="15"/>
      <c r="CF266" s="15" t="s">
        <v>328</v>
      </c>
      <c r="CG266" s="15"/>
      <c r="CH266" s="15"/>
      <c r="CI266" s="15"/>
      <c r="CJ266" s="15" t="s">
        <v>328</v>
      </c>
      <c r="CK266" s="15" t="s">
        <v>328</v>
      </c>
      <c r="CL266" s="15"/>
      <c r="CM266" s="15"/>
      <c r="CN266" s="15">
        <v>2</v>
      </c>
      <c r="CO266" s="15">
        <v>4</v>
      </c>
      <c r="CP266" s="15">
        <v>3</v>
      </c>
      <c r="CQ266" s="15">
        <v>6</v>
      </c>
      <c r="CR266" s="15">
        <v>5</v>
      </c>
      <c r="CS266" s="15">
        <v>1</v>
      </c>
      <c r="CT266" s="15"/>
      <c r="CU266" s="15"/>
      <c r="CV266" s="15"/>
      <c r="CW266" s="15"/>
      <c r="CX266" s="15"/>
      <c r="CY266" s="15"/>
      <c r="CZ266" s="15" t="s">
        <v>332</v>
      </c>
      <c r="DA266" s="15"/>
      <c r="DB266" s="15"/>
      <c r="DC266" s="15">
        <v>2</v>
      </c>
      <c r="DD266" s="15">
        <v>3</v>
      </c>
      <c r="DE266" s="15">
        <v>4</v>
      </c>
      <c r="DF266" s="15"/>
      <c r="DG266" s="15">
        <v>1</v>
      </c>
      <c r="DH266" s="15"/>
      <c r="DI266" s="15"/>
      <c r="DJ266" s="15" t="s">
        <v>328</v>
      </c>
      <c r="DK266" s="15"/>
      <c r="DL266" s="15"/>
      <c r="DM266" s="15"/>
      <c r="DN266" s="15"/>
      <c r="DO266" s="15"/>
      <c r="DP266" s="15"/>
      <c r="DQ266" s="15" t="s">
        <v>328</v>
      </c>
      <c r="DR266" s="15"/>
      <c r="DS266" s="15"/>
      <c r="DT266" s="15"/>
      <c r="DU266" s="15"/>
      <c r="DV266" s="15"/>
      <c r="DW266" s="15"/>
      <c r="DX266" s="15"/>
      <c r="DY266" s="15" t="s">
        <v>328</v>
      </c>
      <c r="DZ266" s="15"/>
      <c r="EA266" s="15"/>
      <c r="EB266" s="15"/>
      <c r="EC266" s="15"/>
      <c r="ED266" s="15"/>
      <c r="EE266" s="102"/>
      <c r="EF266" s="99"/>
      <c r="EG266" s="17">
        <f t="shared" si="4"/>
        <v>0</v>
      </c>
    </row>
    <row r="267" spans="1:137" x14ac:dyDescent="0.25">
      <c r="A267" s="51" t="s">
        <v>1378</v>
      </c>
      <c r="B267" s="211">
        <v>41569</v>
      </c>
      <c r="C267" s="212" t="s">
        <v>2763</v>
      </c>
      <c r="D267" s="61" t="s">
        <v>1359</v>
      </c>
      <c r="E267" s="15" t="s">
        <v>328</v>
      </c>
      <c r="F267" s="15"/>
      <c r="G267" s="15">
        <v>40</v>
      </c>
      <c r="H267" s="15" t="s">
        <v>329</v>
      </c>
      <c r="I267" s="15" t="s">
        <v>357</v>
      </c>
      <c r="J267" s="18" t="s">
        <v>1412</v>
      </c>
      <c r="K267" s="15" t="s">
        <v>1413</v>
      </c>
      <c r="L267" s="15" t="s">
        <v>1281</v>
      </c>
      <c r="M267" s="15">
        <v>25</v>
      </c>
      <c r="N267" s="15">
        <v>5</v>
      </c>
      <c r="O267" s="15">
        <v>1</v>
      </c>
      <c r="P267" s="15"/>
      <c r="Q267" s="15"/>
      <c r="R267" s="15"/>
      <c r="S267" s="15"/>
      <c r="T267" s="15"/>
      <c r="U267" s="15"/>
      <c r="V267" s="15">
        <v>1</v>
      </c>
      <c r="W267" s="15"/>
      <c r="X267" s="15">
        <v>2</v>
      </c>
      <c r="Y267" s="15"/>
      <c r="Z267" s="15">
        <v>2</v>
      </c>
      <c r="AA267" s="15"/>
      <c r="AB267" s="15" t="s">
        <v>328</v>
      </c>
      <c r="AC267" s="15" t="s">
        <v>328</v>
      </c>
      <c r="AD267" s="15"/>
      <c r="AE267" s="15"/>
      <c r="AF267" s="15"/>
      <c r="AG267" s="15" t="s">
        <v>328</v>
      </c>
      <c r="AH267" s="15"/>
      <c r="AI267" s="15"/>
      <c r="AJ267" s="15"/>
      <c r="AK267" s="15" t="s">
        <v>692</v>
      </c>
      <c r="AL267" s="15" t="s">
        <v>328</v>
      </c>
      <c r="AM267" s="15"/>
      <c r="AN267" s="15"/>
      <c r="AO267" s="15" t="s">
        <v>328</v>
      </c>
      <c r="AP267" s="15"/>
      <c r="AQ267" s="15" t="s">
        <v>328</v>
      </c>
      <c r="AR267" s="15">
        <v>8</v>
      </c>
      <c r="AS267" s="15">
        <v>5</v>
      </c>
      <c r="AT267" s="15"/>
      <c r="AU267" s="15"/>
      <c r="AV267" s="15"/>
      <c r="AW267" s="15" t="s">
        <v>328</v>
      </c>
      <c r="AX267" s="15">
        <v>2</v>
      </c>
      <c r="AY267" s="15">
        <v>3</v>
      </c>
      <c r="AZ267" s="15">
        <v>1</v>
      </c>
      <c r="BA267" s="15"/>
      <c r="BB267" s="15" t="s">
        <v>328</v>
      </c>
      <c r="BC267" s="15"/>
      <c r="BD267" s="15" t="s">
        <v>328</v>
      </c>
      <c r="BE267" s="15" t="s">
        <v>328</v>
      </c>
      <c r="BF267" s="15"/>
      <c r="BG267" s="15" t="s">
        <v>328</v>
      </c>
      <c r="BH267" s="15"/>
      <c r="BI267" s="15"/>
      <c r="BJ267" s="15"/>
      <c r="BK267" s="15"/>
      <c r="BL267" s="15"/>
      <c r="BM267" s="15"/>
      <c r="BN267" s="15"/>
      <c r="BO267" s="15" t="s">
        <v>328</v>
      </c>
      <c r="BP267" s="15"/>
      <c r="BQ267" s="15" t="s">
        <v>328</v>
      </c>
      <c r="BR267" s="15" t="s">
        <v>328</v>
      </c>
      <c r="BS267" s="15" t="s">
        <v>328</v>
      </c>
      <c r="BT267" s="15"/>
      <c r="BU267" s="15" t="s">
        <v>328</v>
      </c>
      <c r="BV267" s="15"/>
      <c r="BW267" s="15"/>
      <c r="BX267" s="15"/>
      <c r="BY267" s="15"/>
      <c r="BZ267" s="15" t="s">
        <v>328</v>
      </c>
      <c r="CA267" s="15"/>
      <c r="CB267" s="15"/>
      <c r="CC267" s="15" t="s">
        <v>328</v>
      </c>
      <c r="CD267" s="15"/>
      <c r="CE267" s="15"/>
      <c r="CF267" s="15"/>
      <c r="CG267" s="15"/>
      <c r="CH267" s="15"/>
      <c r="CI267" s="15" t="s">
        <v>328</v>
      </c>
      <c r="CJ267" s="15"/>
      <c r="CK267" s="15"/>
      <c r="CL267" s="15"/>
      <c r="CM267" s="15"/>
      <c r="CN267" s="15">
        <v>3</v>
      </c>
      <c r="CO267" s="15">
        <v>2</v>
      </c>
      <c r="CP267" s="15">
        <v>4</v>
      </c>
      <c r="CQ267" s="15">
        <v>5</v>
      </c>
      <c r="CR267" s="15">
        <v>6</v>
      </c>
      <c r="CS267" s="15">
        <v>1</v>
      </c>
      <c r="CT267" s="15" t="s">
        <v>328</v>
      </c>
      <c r="CU267" s="15" t="s">
        <v>328</v>
      </c>
      <c r="CV267" s="15"/>
      <c r="CW267" s="15" t="s">
        <v>328</v>
      </c>
      <c r="CX267" s="15"/>
      <c r="CY267" s="15"/>
      <c r="CZ267" s="15"/>
      <c r="DA267" s="15"/>
      <c r="DB267" s="15"/>
      <c r="DC267" s="15">
        <v>1</v>
      </c>
      <c r="DD267" s="15">
        <v>3</v>
      </c>
      <c r="DE267" s="15">
        <v>6</v>
      </c>
      <c r="DF267" s="15">
        <v>2</v>
      </c>
      <c r="DG267" s="15">
        <v>5</v>
      </c>
      <c r="DH267" s="15">
        <v>4</v>
      </c>
      <c r="DI267" s="15"/>
      <c r="DJ267" s="15" t="s">
        <v>328</v>
      </c>
      <c r="DK267" s="15"/>
      <c r="DL267" s="15"/>
      <c r="DM267" s="15"/>
      <c r="DN267" s="15"/>
      <c r="DO267" s="15"/>
      <c r="DP267" s="14" t="s">
        <v>333</v>
      </c>
      <c r="DQ267" s="15"/>
      <c r="DR267" s="15" t="s">
        <v>328</v>
      </c>
      <c r="DS267" s="15"/>
      <c r="DT267" s="15"/>
      <c r="DU267" s="15" t="s">
        <v>328</v>
      </c>
      <c r="DV267" s="15" t="s">
        <v>1382</v>
      </c>
      <c r="DW267" s="18" t="s">
        <v>1414</v>
      </c>
      <c r="DX267" s="15" t="s">
        <v>1383</v>
      </c>
      <c r="DY267" s="15" t="s">
        <v>328</v>
      </c>
      <c r="DZ267" s="15"/>
      <c r="EA267" s="15"/>
      <c r="EB267" s="15"/>
      <c r="EC267" s="15"/>
      <c r="ED267" s="15"/>
      <c r="EE267" s="102" t="s">
        <v>333</v>
      </c>
      <c r="EF267" s="99"/>
      <c r="EG267" s="17">
        <f t="shared" si="4"/>
        <v>0</v>
      </c>
    </row>
    <row r="268" spans="1:137" x14ac:dyDescent="0.25">
      <c r="A268" s="51" t="s">
        <v>1378</v>
      </c>
      <c r="B268" s="211">
        <v>41569</v>
      </c>
      <c r="C268" s="212" t="s">
        <v>2763</v>
      </c>
      <c r="D268" s="61" t="s">
        <v>1360</v>
      </c>
      <c r="E268" s="15" t="s">
        <v>328</v>
      </c>
      <c r="F268" s="15"/>
      <c r="G268" s="15">
        <v>53</v>
      </c>
      <c r="H268" s="15" t="s">
        <v>329</v>
      </c>
      <c r="I268" s="15" t="s">
        <v>357</v>
      </c>
      <c r="J268" s="18" t="s">
        <v>1415</v>
      </c>
      <c r="K268" s="18" t="s">
        <v>1191</v>
      </c>
      <c r="L268" s="15" t="s">
        <v>1281</v>
      </c>
      <c r="M268" s="15">
        <v>13</v>
      </c>
      <c r="N268" s="15">
        <v>3</v>
      </c>
      <c r="O268" s="15">
        <v>3</v>
      </c>
      <c r="P268" s="15"/>
      <c r="Q268" s="15">
        <v>1</v>
      </c>
      <c r="R268" s="15"/>
      <c r="S268" s="15"/>
      <c r="T268" s="15"/>
      <c r="U268" s="15"/>
      <c r="V268" s="15"/>
      <c r="W268" s="15"/>
      <c r="X268" s="15">
        <v>1</v>
      </c>
      <c r="Y268" s="15"/>
      <c r="Z268" s="15"/>
      <c r="AA268" s="15"/>
      <c r="AB268" s="15" t="s">
        <v>328</v>
      </c>
      <c r="AC268" s="15"/>
      <c r="AD268" s="15"/>
      <c r="AE268" s="15" t="s">
        <v>328</v>
      </c>
      <c r="AF268" s="15"/>
      <c r="AG268" s="15" t="s">
        <v>328</v>
      </c>
      <c r="AH268" s="15"/>
      <c r="AI268" s="15"/>
      <c r="AJ268" s="15"/>
      <c r="AK268" s="15"/>
      <c r="AL268" s="15" t="s">
        <v>328</v>
      </c>
      <c r="AM268" s="15"/>
      <c r="AN268" s="15" t="s">
        <v>328</v>
      </c>
      <c r="AO268" s="15"/>
      <c r="AP268" s="15"/>
      <c r="AQ268" s="15" t="s">
        <v>328</v>
      </c>
      <c r="AR268" s="15">
        <v>8</v>
      </c>
      <c r="AS268" s="15">
        <v>4</v>
      </c>
      <c r="AT268" s="15"/>
      <c r="AU268" s="15" t="s">
        <v>328</v>
      </c>
      <c r="AV268" s="15"/>
      <c r="AW268" s="15"/>
      <c r="AX268" s="15">
        <v>1</v>
      </c>
      <c r="AY268" s="15">
        <v>3</v>
      </c>
      <c r="AZ268" s="15">
        <v>2</v>
      </c>
      <c r="BA268" s="15"/>
      <c r="BB268" s="15" t="s">
        <v>328</v>
      </c>
      <c r="BC268" s="15"/>
      <c r="BD268" s="15" t="s">
        <v>328</v>
      </c>
      <c r="BE268" s="15" t="s">
        <v>328</v>
      </c>
      <c r="BF268" s="15"/>
      <c r="BG268" s="15" t="s">
        <v>328</v>
      </c>
      <c r="BH268" s="15"/>
      <c r="BI268" s="15"/>
      <c r="BJ268" s="15"/>
      <c r="BK268" s="15"/>
      <c r="BL268" s="15"/>
      <c r="BM268" s="15"/>
      <c r="BN268" s="15"/>
      <c r="BO268" s="15" t="s">
        <v>328</v>
      </c>
      <c r="BP268" s="15"/>
      <c r="BQ268" s="15" t="s">
        <v>328</v>
      </c>
      <c r="BR268" s="15" t="s">
        <v>328</v>
      </c>
      <c r="BS268" s="15"/>
      <c r="BT268" s="15"/>
      <c r="BU268" s="15"/>
      <c r="BV268" s="15"/>
      <c r="BW268" s="15"/>
      <c r="BX268" s="15"/>
      <c r="BY268" s="15" t="s">
        <v>328</v>
      </c>
      <c r="BZ268" s="15"/>
      <c r="CA268" s="15"/>
      <c r="CB268" s="15" t="s">
        <v>328</v>
      </c>
      <c r="CC268" s="15" t="s">
        <v>328</v>
      </c>
      <c r="CD268" s="15"/>
      <c r="CE268" s="15"/>
      <c r="CF268" s="15"/>
      <c r="CG268" s="15"/>
      <c r="CH268" s="15"/>
      <c r="CI268" s="15" t="s">
        <v>328</v>
      </c>
      <c r="CJ268" s="15"/>
      <c r="CK268" s="15"/>
      <c r="CL268" s="15"/>
      <c r="CM268" s="15"/>
      <c r="CN268" s="15">
        <v>3</v>
      </c>
      <c r="CO268" s="15">
        <v>1</v>
      </c>
      <c r="CP268" s="15">
        <v>2</v>
      </c>
      <c r="CQ268" s="15">
        <v>4</v>
      </c>
      <c r="CR268" s="15">
        <v>6</v>
      </c>
      <c r="CS268" s="15">
        <v>5</v>
      </c>
      <c r="CT268" s="15"/>
      <c r="CU268" s="15"/>
      <c r="CV268" s="15"/>
      <c r="CW268" s="15"/>
      <c r="CX268" s="15"/>
      <c r="CY268" s="15"/>
      <c r="CZ268" s="15" t="s">
        <v>332</v>
      </c>
      <c r="DA268" s="15"/>
      <c r="DB268" s="15"/>
      <c r="DC268" s="15">
        <v>3</v>
      </c>
      <c r="DD268" s="15">
        <v>4</v>
      </c>
      <c r="DE268" s="15"/>
      <c r="DF268" s="15"/>
      <c r="DG268" s="15">
        <v>2</v>
      </c>
      <c r="DH268" s="15" t="s">
        <v>328</v>
      </c>
      <c r="DI268" s="15" t="s">
        <v>346</v>
      </c>
      <c r="DJ268" s="15" t="s">
        <v>328</v>
      </c>
      <c r="DK268" s="15"/>
      <c r="DL268" s="15"/>
      <c r="DM268" s="15"/>
      <c r="DN268" s="15"/>
      <c r="DO268" s="15"/>
      <c r="DP268" s="14" t="s">
        <v>1145</v>
      </c>
      <c r="DQ268" s="15"/>
      <c r="DR268" s="15" t="s">
        <v>328</v>
      </c>
      <c r="DS268" s="15"/>
      <c r="DT268" s="15"/>
      <c r="DU268" s="15" t="s">
        <v>328</v>
      </c>
      <c r="DV268" s="15" t="s">
        <v>334</v>
      </c>
      <c r="DW268" s="15" t="s">
        <v>1384</v>
      </c>
      <c r="DX268" s="15" t="s">
        <v>1385</v>
      </c>
      <c r="DY268" s="15"/>
      <c r="DZ268" s="15" t="s">
        <v>328</v>
      </c>
      <c r="EA268" s="15" t="s">
        <v>328</v>
      </c>
      <c r="EB268" s="15"/>
      <c r="EC268" s="15"/>
      <c r="ED268" s="15" t="s">
        <v>1386</v>
      </c>
      <c r="EE268" s="102" t="s">
        <v>1387</v>
      </c>
      <c r="EF268" s="99"/>
      <c r="EG268" s="17">
        <f t="shared" si="4"/>
        <v>0</v>
      </c>
    </row>
    <row r="269" spans="1:137" x14ac:dyDescent="0.25">
      <c r="A269" s="51" t="s">
        <v>1378</v>
      </c>
      <c r="B269" s="211">
        <v>41569</v>
      </c>
      <c r="C269" s="212" t="s">
        <v>2763</v>
      </c>
      <c r="D269" s="61" t="s">
        <v>1361</v>
      </c>
      <c r="E269" s="15" t="s">
        <v>328</v>
      </c>
      <c r="F269" s="15"/>
      <c r="G269" s="15">
        <v>34</v>
      </c>
      <c r="H269" s="15" t="s">
        <v>329</v>
      </c>
      <c r="I269" s="15" t="s">
        <v>357</v>
      </c>
      <c r="J269" s="15" t="s">
        <v>1416</v>
      </c>
      <c r="K269" s="15" t="s">
        <v>1417</v>
      </c>
      <c r="L269" s="15" t="s">
        <v>1281</v>
      </c>
      <c r="M269" s="15">
        <v>8</v>
      </c>
      <c r="N269" s="15">
        <v>1</v>
      </c>
      <c r="O269" s="15"/>
      <c r="P269" s="15"/>
      <c r="Q269" s="15"/>
      <c r="R269" s="15"/>
      <c r="S269" s="15"/>
      <c r="T269" s="15"/>
      <c r="U269" s="15">
        <v>2</v>
      </c>
      <c r="V269" s="15"/>
      <c r="W269" s="15"/>
      <c r="X269" s="15"/>
      <c r="Y269" s="15"/>
      <c r="Z269" s="15"/>
      <c r="AA269" s="15"/>
      <c r="AB269" s="15"/>
      <c r="AC269" s="15"/>
      <c r="AD269" s="15"/>
      <c r="AE269" s="15" t="s">
        <v>328</v>
      </c>
      <c r="AF269" s="15" t="s">
        <v>328</v>
      </c>
      <c r="AG269" s="15"/>
      <c r="AH269" s="15"/>
      <c r="AI269" s="15"/>
      <c r="AJ269" s="15"/>
      <c r="AK269" s="15"/>
      <c r="AL269" s="15"/>
      <c r="AM269" s="15" t="s">
        <v>328</v>
      </c>
      <c r="AN269" s="15"/>
      <c r="AO269" s="15"/>
      <c r="AP269" s="15"/>
      <c r="AQ269" s="15" t="s">
        <v>328</v>
      </c>
      <c r="AR269" s="15">
        <v>6</v>
      </c>
      <c r="AS269" s="15">
        <v>3</v>
      </c>
      <c r="AT269" s="15"/>
      <c r="AU269" s="15" t="s">
        <v>328</v>
      </c>
      <c r="AV269" s="15"/>
      <c r="AW269" s="15"/>
      <c r="AX269" s="15">
        <v>3</v>
      </c>
      <c r="AY269" s="15">
        <v>2</v>
      </c>
      <c r="AZ269" s="15">
        <v>1</v>
      </c>
      <c r="BA269" s="15"/>
      <c r="BB269" s="15"/>
      <c r="BC269" s="15" t="s">
        <v>328</v>
      </c>
      <c r="BD269" s="15" t="s">
        <v>328</v>
      </c>
      <c r="BE269" s="15" t="s">
        <v>328</v>
      </c>
      <c r="BF269" s="15"/>
      <c r="BG269" s="15"/>
      <c r="BH269" s="15"/>
      <c r="BI269" s="15"/>
      <c r="BJ269" s="15"/>
      <c r="BK269" s="15"/>
      <c r="BL269" s="15"/>
      <c r="BM269" s="15"/>
      <c r="BN269" s="15" t="s">
        <v>328</v>
      </c>
      <c r="BO269" s="15"/>
      <c r="BP269" s="15" t="s">
        <v>328</v>
      </c>
      <c r="BQ269" s="15"/>
      <c r="BR269" s="15" t="s">
        <v>328</v>
      </c>
      <c r="BS269" s="15"/>
      <c r="BT269" s="15"/>
      <c r="BU269" s="15"/>
      <c r="BV269" s="15"/>
      <c r="BW269" s="15" t="s">
        <v>328</v>
      </c>
      <c r="BX269" s="15"/>
      <c r="BY269" s="15"/>
      <c r="BZ269" s="15"/>
      <c r="CA269" s="15"/>
      <c r="CB269" s="15" t="s">
        <v>328</v>
      </c>
      <c r="CC269" s="15" t="s">
        <v>328</v>
      </c>
      <c r="CD269" s="15"/>
      <c r="CE269" s="15"/>
      <c r="CF269" s="15"/>
      <c r="CG269" s="15"/>
      <c r="CH269" s="15"/>
      <c r="CI269" s="15" t="s">
        <v>328</v>
      </c>
      <c r="CJ269" s="15"/>
      <c r="CK269" s="15" t="s">
        <v>328</v>
      </c>
      <c r="CL269" s="15"/>
      <c r="CM269" s="15"/>
      <c r="CN269" s="15">
        <v>5</v>
      </c>
      <c r="CO269" s="15">
        <v>4</v>
      </c>
      <c r="CP269" s="15">
        <v>3</v>
      </c>
      <c r="CQ269" s="15">
        <v>6</v>
      </c>
      <c r="CR269" s="15">
        <v>2</v>
      </c>
      <c r="CS269" s="15">
        <v>1</v>
      </c>
      <c r="CT269" s="15" t="s">
        <v>328</v>
      </c>
      <c r="CU269" s="15"/>
      <c r="CV269" s="15"/>
      <c r="CW269" s="15"/>
      <c r="CX269" s="15" t="s">
        <v>328</v>
      </c>
      <c r="CY269" s="15"/>
      <c r="CZ269" s="15"/>
      <c r="DA269" s="15"/>
      <c r="DB269" s="15"/>
      <c r="DC269" s="15"/>
      <c r="DD269" s="15">
        <v>2</v>
      </c>
      <c r="DE269" s="15">
        <v>3</v>
      </c>
      <c r="DF269" s="15">
        <v>4</v>
      </c>
      <c r="DG269" s="15"/>
      <c r="DH269" s="15">
        <v>5</v>
      </c>
      <c r="DI269" s="15" t="s">
        <v>346</v>
      </c>
      <c r="DJ269" s="15" t="s">
        <v>328</v>
      </c>
      <c r="DK269" s="15"/>
      <c r="DL269" s="15"/>
      <c r="DM269" s="15"/>
      <c r="DN269" s="15"/>
      <c r="DO269" s="15"/>
      <c r="DP269" s="14" t="s">
        <v>1145</v>
      </c>
      <c r="DQ269" s="15" t="s">
        <v>328</v>
      </c>
      <c r="DR269" s="15"/>
      <c r="DS269" s="15"/>
      <c r="DT269" s="15"/>
      <c r="DU269" s="15"/>
      <c r="DV269" s="15"/>
      <c r="DW269" s="15"/>
      <c r="DX269" s="15"/>
      <c r="DY269" s="15" t="s">
        <v>328</v>
      </c>
      <c r="DZ269" s="15"/>
      <c r="EA269" s="15"/>
      <c r="EB269" s="15"/>
      <c r="EC269" s="15"/>
      <c r="ED269" s="15"/>
      <c r="EE269" s="102"/>
      <c r="EF269" s="99"/>
      <c r="EG269" s="17">
        <f t="shared" si="4"/>
        <v>0</v>
      </c>
    </row>
    <row r="270" spans="1:137" x14ac:dyDescent="0.25">
      <c r="A270" s="51" t="s">
        <v>1378</v>
      </c>
      <c r="B270" s="211">
        <v>41569</v>
      </c>
      <c r="C270" s="212" t="s">
        <v>2763</v>
      </c>
      <c r="D270" s="61" t="s">
        <v>1362</v>
      </c>
      <c r="E270" s="15" t="s">
        <v>328</v>
      </c>
      <c r="F270" s="15"/>
      <c r="G270" s="15">
        <v>31</v>
      </c>
      <c r="H270" s="15" t="s">
        <v>329</v>
      </c>
      <c r="I270" s="15" t="s">
        <v>399</v>
      </c>
      <c r="J270" s="15" t="s">
        <v>1412</v>
      </c>
      <c r="K270" s="15" t="s">
        <v>1413</v>
      </c>
      <c r="L270" s="15" t="s">
        <v>1281</v>
      </c>
      <c r="M270" s="15">
        <v>5</v>
      </c>
      <c r="N270" s="15">
        <v>2</v>
      </c>
      <c r="O270" s="15">
        <v>2</v>
      </c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>
        <v>1</v>
      </c>
      <c r="AA270" s="15"/>
      <c r="AB270" s="15"/>
      <c r="AC270" s="15" t="s">
        <v>328</v>
      </c>
      <c r="AD270" s="15"/>
      <c r="AE270" s="15"/>
      <c r="AF270" s="15"/>
      <c r="AG270" s="15" t="s">
        <v>328</v>
      </c>
      <c r="AH270" s="15" t="s">
        <v>328</v>
      </c>
      <c r="AI270" s="15"/>
      <c r="AJ270" s="15"/>
      <c r="AK270" s="15" t="s">
        <v>692</v>
      </c>
      <c r="AL270" s="15" t="s">
        <v>328</v>
      </c>
      <c r="AM270" s="15"/>
      <c r="AN270" s="15"/>
      <c r="AO270" s="15"/>
      <c r="AP270" s="15" t="s">
        <v>328</v>
      </c>
      <c r="AQ270" s="15"/>
      <c r="AR270" s="15">
        <v>9</v>
      </c>
      <c r="AS270" s="15">
        <v>6</v>
      </c>
      <c r="AT270" s="15"/>
      <c r="AU270" s="15"/>
      <c r="AV270" s="15"/>
      <c r="AW270" s="15" t="s">
        <v>328</v>
      </c>
      <c r="AX270" s="15">
        <v>2</v>
      </c>
      <c r="AY270" s="15">
        <v>1</v>
      </c>
      <c r="AZ270" s="15">
        <v>3</v>
      </c>
      <c r="BA270" s="15"/>
      <c r="BB270" s="15" t="s">
        <v>328</v>
      </c>
      <c r="BC270" s="15"/>
      <c r="BD270" s="15"/>
      <c r="BE270" s="15" t="s">
        <v>328</v>
      </c>
      <c r="BF270" s="15" t="s">
        <v>328</v>
      </c>
      <c r="BG270" s="15"/>
      <c r="BH270" s="15"/>
      <c r="BI270" s="15"/>
      <c r="BJ270" s="15"/>
      <c r="BK270" s="15"/>
      <c r="BL270" s="15" t="s">
        <v>328</v>
      </c>
      <c r="BM270" s="15"/>
      <c r="BN270" s="15" t="s">
        <v>328</v>
      </c>
      <c r="BO270" s="15"/>
      <c r="BP270" s="15" t="s">
        <v>328</v>
      </c>
      <c r="BQ270" s="15"/>
      <c r="BR270" s="15" t="s">
        <v>328</v>
      </c>
      <c r="BS270" s="15" t="s">
        <v>328</v>
      </c>
      <c r="BT270" s="15"/>
      <c r="BU270" s="15"/>
      <c r="BV270" s="15"/>
      <c r="BW270" s="15" t="s">
        <v>328</v>
      </c>
      <c r="BX270" s="15"/>
      <c r="BY270" s="15" t="s">
        <v>328</v>
      </c>
      <c r="BZ270" s="15"/>
      <c r="CA270" s="15"/>
      <c r="CB270" s="15"/>
      <c r="CC270" s="15"/>
      <c r="CD270" s="15" t="s">
        <v>328</v>
      </c>
      <c r="CE270" s="15"/>
      <c r="CF270" s="15"/>
      <c r="CG270" s="15"/>
      <c r="CH270" s="15"/>
      <c r="CI270" s="15" t="s">
        <v>328</v>
      </c>
      <c r="CJ270" s="15"/>
      <c r="CK270" s="15"/>
      <c r="CL270" s="15"/>
      <c r="CM270" s="15"/>
      <c r="CN270" s="15">
        <v>3</v>
      </c>
      <c r="CO270" s="15">
        <v>2</v>
      </c>
      <c r="CP270" s="15">
        <v>4</v>
      </c>
      <c r="CQ270" s="15">
        <v>5</v>
      </c>
      <c r="CR270" s="15">
        <v>6</v>
      </c>
      <c r="CS270" s="15">
        <v>1</v>
      </c>
      <c r="CT270" s="15"/>
      <c r="CU270" s="15" t="s">
        <v>328</v>
      </c>
      <c r="CV270" s="15"/>
      <c r="CW270" s="15"/>
      <c r="CX270" s="15" t="s">
        <v>328</v>
      </c>
      <c r="CY270" s="15"/>
      <c r="CZ270" s="15"/>
      <c r="DA270" s="15"/>
      <c r="DB270" s="15"/>
      <c r="DC270" s="15">
        <v>3</v>
      </c>
      <c r="DD270" s="15">
        <v>5</v>
      </c>
      <c r="DE270" s="15">
        <v>2</v>
      </c>
      <c r="DF270" s="15">
        <v>1</v>
      </c>
      <c r="DG270" s="15">
        <v>6</v>
      </c>
      <c r="DH270" s="15">
        <v>4</v>
      </c>
      <c r="DI270" s="15"/>
      <c r="DJ270" s="15" t="s">
        <v>328</v>
      </c>
      <c r="DK270" s="15"/>
      <c r="DL270" s="15"/>
      <c r="DM270" s="15"/>
      <c r="DN270" s="15"/>
      <c r="DO270" s="15"/>
      <c r="DP270" s="14" t="s">
        <v>333</v>
      </c>
      <c r="DQ270" s="15"/>
      <c r="DR270" s="15" t="s">
        <v>328</v>
      </c>
      <c r="DS270" s="15" t="s">
        <v>328</v>
      </c>
      <c r="DT270" s="15" t="s">
        <v>420</v>
      </c>
      <c r="DU270" s="15"/>
      <c r="DV270" s="15"/>
      <c r="DW270" s="15" t="s">
        <v>1388</v>
      </c>
      <c r="DX270" s="15"/>
      <c r="DY270" s="15" t="s">
        <v>328</v>
      </c>
      <c r="DZ270" s="15"/>
      <c r="EA270" s="15"/>
      <c r="EB270" s="15"/>
      <c r="EC270" s="15"/>
      <c r="ED270" s="15"/>
      <c r="EE270" s="102"/>
      <c r="EF270" s="99"/>
      <c r="EG270" s="17">
        <f t="shared" si="4"/>
        <v>0</v>
      </c>
    </row>
    <row r="271" spans="1:137" x14ac:dyDescent="0.25">
      <c r="A271" s="51" t="s">
        <v>1378</v>
      </c>
      <c r="B271" s="211">
        <v>41569</v>
      </c>
      <c r="C271" s="212" t="s">
        <v>2763</v>
      </c>
      <c r="D271" s="61" t="s">
        <v>1363</v>
      </c>
      <c r="E271" s="15" t="s">
        <v>328</v>
      </c>
      <c r="F271" s="15"/>
      <c r="G271" s="15">
        <v>45</v>
      </c>
      <c r="H271" s="15" t="s">
        <v>329</v>
      </c>
      <c r="I271" s="15" t="s">
        <v>399</v>
      </c>
      <c r="J271" s="18" t="s">
        <v>1418</v>
      </c>
      <c r="K271" s="18" t="s">
        <v>1419</v>
      </c>
      <c r="L271" s="15" t="s">
        <v>1281</v>
      </c>
      <c r="M271" s="15">
        <v>10</v>
      </c>
      <c r="N271" s="15">
        <v>5</v>
      </c>
      <c r="O271" s="15"/>
      <c r="P271" s="15"/>
      <c r="Q271" s="15">
        <v>1</v>
      </c>
      <c r="R271" s="15"/>
      <c r="S271" s="15">
        <v>7</v>
      </c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 t="s">
        <v>328</v>
      </c>
      <c r="AE271" s="15"/>
      <c r="AF271" s="15"/>
      <c r="AG271" s="15"/>
      <c r="AH271" s="15"/>
      <c r="AI271" s="15" t="s">
        <v>328</v>
      </c>
      <c r="AJ271" s="15" t="s">
        <v>328</v>
      </c>
      <c r="AK271" s="15"/>
      <c r="AL271" s="15" t="s">
        <v>328</v>
      </c>
      <c r="AM271" s="15"/>
      <c r="AN271" s="15"/>
      <c r="AO271" s="15"/>
      <c r="AP271" s="15"/>
      <c r="AQ271" s="15"/>
      <c r="AR271" s="15">
        <v>10</v>
      </c>
      <c r="AS271" s="15">
        <v>3</v>
      </c>
      <c r="AT271" s="15"/>
      <c r="AU271" s="15" t="s">
        <v>328</v>
      </c>
      <c r="AV271" s="15"/>
      <c r="AW271" s="15"/>
      <c r="AX271" s="15">
        <v>1</v>
      </c>
      <c r="AY271" s="15">
        <v>2</v>
      </c>
      <c r="AZ271" s="15">
        <v>3</v>
      </c>
      <c r="BA271" s="15"/>
      <c r="BB271" s="15"/>
      <c r="BC271" s="15" t="s">
        <v>328</v>
      </c>
      <c r="BD271" s="15"/>
      <c r="BE271" s="15"/>
      <c r="BF271" s="15"/>
      <c r="BG271" s="15" t="s">
        <v>328</v>
      </c>
      <c r="BH271" s="15"/>
      <c r="BI271" s="15"/>
      <c r="BJ271" s="15"/>
      <c r="BK271" s="15" t="s">
        <v>328</v>
      </c>
      <c r="BL271" s="15"/>
      <c r="BM271" s="15"/>
      <c r="BN271" s="15" t="s">
        <v>328</v>
      </c>
      <c r="BO271" s="15"/>
      <c r="BP271" s="15" t="s">
        <v>328</v>
      </c>
      <c r="BQ271" s="15"/>
      <c r="BR271" s="15" t="s">
        <v>328</v>
      </c>
      <c r="BS271" s="15"/>
      <c r="BT271" s="15"/>
      <c r="BU271" s="15"/>
      <c r="BV271" s="15" t="s">
        <v>328</v>
      </c>
      <c r="BW271" s="15" t="s">
        <v>328</v>
      </c>
      <c r="BX271" s="15"/>
      <c r="BY271" s="15"/>
      <c r="BZ271" s="15"/>
      <c r="CA271" s="15"/>
      <c r="CB271" s="15" t="s">
        <v>328</v>
      </c>
      <c r="CC271" s="15" t="s">
        <v>328</v>
      </c>
      <c r="CD271" s="15"/>
      <c r="CE271" s="15"/>
      <c r="CF271" s="15"/>
      <c r="CG271" s="15"/>
      <c r="CH271" s="15"/>
      <c r="CI271" s="15" t="s">
        <v>328</v>
      </c>
      <c r="CJ271" s="15"/>
      <c r="CK271" s="15"/>
      <c r="CL271" s="15"/>
      <c r="CM271" s="15"/>
      <c r="CN271" s="15">
        <v>4</v>
      </c>
      <c r="CO271" s="15">
        <v>3</v>
      </c>
      <c r="CP271" s="15">
        <v>2</v>
      </c>
      <c r="CQ271" s="15">
        <v>6</v>
      </c>
      <c r="CR271" s="15">
        <v>5</v>
      </c>
      <c r="CS271" s="15">
        <v>1</v>
      </c>
      <c r="CT271" s="15" t="s">
        <v>328</v>
      </c>
      <c r="CU271" s="15" t="s">
        <v>328</v>
      </c>
      <c r="CV271" s="15" t="s">
        <v>328</v>
      </c>
      <c r="CW271" s="15"/>
      <c r="CX271" s="15"/>
      <c r="CY271" s="15"/>
      <c r="CZ271" s="15"/>
      <c r="DA271" s="15"/>
      <c r="DB271" s="15"/>
      <c r="DC271" s="15">
        <v>2</v>
      </c>
      <c r="DD271" s="15"/>
      <c r="DE271" s="15">
        <v>5</v>
      </c>
      <c r="DF271" s="15">
        <v>3</v>
      </c>
      <c r="DG271" s="15">
        <v>4</v>
      </c>
      <c r="DH271" s="15"/>
      <c r="DI271" s="15" t="s">
        <v>346</v>
      </c>
      <c r="DJ271" s="15" t="s">
        <v>328</v>
      </c>
      <c r="DK271" s="15"/>
      <c r="DL271" s="15"/>
      <c r="DM271" s="15"/>
      <c r="DN271" s="15"/>
      <c r="DO271" s="15"/>
      <c r="DP271" s="14" t="s">
        <v>333</v>
      </c>
      <c r="DQ271" s="15"/>
      <c r="DR271" s="15" t="s">
        <v>328</v>
      </c>
      <c r="DS271" s="15" t="s">
        <v>328</v>
      </c>
      <c r="DT271" s="15" t="s">
        <v>420</v>
      </c>
      <c r="DU271" s="15"/>
      <c r="DV271" s="15"/>
      <c r="DW271" s="15" t="s">
        <v>492</v>
      </c>
      <c r="DX271" s="15" t="s">
        <v>411</v>
      </c>
      <c r="DY271" s="15" t="s">
        <v>328</v>
      </c>
      <c r="DZ271" s="15"/>
      <c r="EA271" s="15"/>
      <c r="EB271" s="15"/>
      <c r="EC271" s="15"/>
      <c r="ED271" s="15"/>
      <c r="EE271" s="102"/>
      <c r="EF271" s="99"/>
      <c r="EG271" s="17">
        <f t="shared" si="4"/>
        <v>0</v>
      </c>
    </row>
    <row r="272" spans="1:137" x14ac:dyDescent="0.25">
      <c r="A272" s="51" t="s">
        <v>1378</v>
      </c>
      <c r="B272" s="211">
        <v>41569</v>
      </c>
      <c r="C272" s="212" t="s">
        <v>2763</v>
      </c>
      <c r="D272" s="61" t="s">
        <v>1364</v>
      </c>
      <c r="E272" s="15" t="s">
        <v>328</v>
      </c>
      <c r="F272" s="15"/>
      <c r="G272" s="15">
        <v>28</v>
      </c>
      <c r="H272" s="15" t="s">
        <v>329</v>
      </c>
      <c r="I272" s="15" t="s">
        <v>357</v>
      </c>
      <c r="J272" s="18" t="s">
        <v>1415</v>
      </c>
      <c r="K272" s="18" t="s">
        <v>1191</v>
      </c>
      <c r="L272" s="15" t="s">
        <v>1281</v>
      </c>
      <c r="M272" s="15">
        <v>3</v>
      </c>
      <c r="N272" s="15">
        <v>3</v>
      </c>
      <c r="O272" s="15">
        <v>2</v>
      </c>
      <c r="P272" s="15">
        <v>3</v>
      </c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 t="s">
        <v>328</v>
      </c>
      <c r="AC272" s="15" t="s">
        <v>328</v>
      </c>
      <c r="AD272" s="15"/>
      <c r="AE272" s="15"/>
      <c r="AF272" s="15"/>
      <c r="AG272" s="15"/>
      <c r="AH272" s="15"/>
      <c r="AI272" s="15"/>
      <c r="AJ272" s="15"/>
      <c r="AK272" s="15"/>
      <c r="AL272" s="15" t="s">
        <v>328</v>
      </c>
      <c r="AM272" s="15"/>
      <c r="AN272" s="15"/>
      <c r="AO272" s="15"/>
      <c r="AP272" s="15"/>
      <c r="AQ272" s="15"/>
      <c r="AR272" s="15">
        <v>5</v>
      </c>
      <c r="AS272" s="15">
        <v>3</v>
      </c>
      <c r="AT272" s="15"/>
      <c r="AU272" s="15"/>
      <c r="AV272" s="15"/>
      <c r="AW272" s="15" t="s">
        <v>328</v>
      </c>
      <c r="AX272" s="15">
        <v>2</v>
      </c>
      <c r="AY272" s="15">
        <v>1</v>
      </c>
      <c r="AZ272" s="15">
        <v>3</v>
      </c>
      <c r="BA272" s="15"/>
      <c r="BB272" s="15" t="s">
        <v>328</v>
      </c>
      <c r="BC272" s="15"/>
      <c r="BD272" s="15" t="s">
        <v>328</v>
      </c>
      <c r="BE272" s="15"/>
      <c r="BF272" s="15" t="s">
        <v>328</v>
      </c>
      <c r="BG272" s="15"/>
      <c r="BH272" s="15"/>
      <c r="BI272" s="15"/>
      <c r="BJ272" s="15"/>
      <c r="BK272" s="15"/>
      <c r="BL272" s="15"/>
      <c r="BM272" s="15"/>
      <c r="BN272" s="15"/>
      <c r="BO272" s="15" t="s">
        <v>328</v>
      </c>
      <c r="BP272" s="15" t="s">
        <v>328</v>
      </c>
      <c r="BQ272" s="15"/>
      <c r="BR272" s="15" t="s">
        <v>328</v>
      </c>
      <c r="BS272" s="15"/>
      <c r="BT272" s="15"/>
      <c r="BU272" s="15"/>
      <c r="BV272" s="15"/>
      <c r="BW272" s="15" t="s">
        <v>328</v>
      </c>
      <c r="BX272" s="15"/>
      <c r="BY272" s="15"/>
      <c r="BZ272" s="15"/>
      <c r="CA272" s="15"/>
      <c r="CB272" s="15"/>
      <c r="CC272" s="15" t="s">
        <v>328</v>
      </c>
      <c r="CD272" s="15"/>
      <c r="CE272" s="15"/>
      <c r="CF272" s="15"/>
      <c r="CG272" s="15"/>
      <c r="CH272" s="15"/>
      <c r="CI272" s="15" t="s">
        <v>328</v>
      </c>
      <c r="CJ272" s="15"/>
      <c r="CK272" s="15" t="s">
        <v>328</v>
      </c>
      <c r="CL272" s="15"/>
      <c r="CM272" s="15"/>
      <c r="CN272" s="15">
        <v>5</v>
      </c>
      <c r="CO272" s="15">
        <v>3</v>
      </c>
      <c r="CP272" s="15">
        <v>4</v>
      </c>
      <c r="CQ272" s="15">
        <v>6</v>
      </c>
      <c r="CR272" s="15">
        <v>2</v>
      </c>
      <c r="CS272" s="15">
        <v>1</v>
      </c>
      <c r="CT272" s="15"/>
      <c r="CU272" s="15"/>
      <c r="CV272" s="15"/>
      <c r="CW272" s="15"/>
      <c r="CX272" s="15"/>
      <c r="CY272" s="15"/>
      <c r="CZ272" s="15" t="s">
        <v>332</v>
      </c>
      <c r="DA272" s="15"/>
      <c r="DB272" s="15"/>
      <c r="DC272" s="15">
        <v>2</v>
      </c>
      <c r="DD272" s="15">
        <v>4</v>
      </c>
      <c r="DE272" s="15"/>
      <c r="DF272" s="15"/>
      <c r="DG272" s="15">
        <v>3</v>
      </c>
      <c r="DH272" s="15"/>
      <c r="DI272" s="15" t="s">
        <v>346</v>
      </c>
      <c r="DJ272" s="15" t="s">
        <v>328</v>
      </c>
      <c r="DK272" s="15"/>
      <c r="DL272" s="15"/>
      <c r="DM272" s="15"/>
      <c r="DN272" s="15"/>
      <c r="DO272" s="15"/>
      <c r="DP272" s="15"/>
      <c r="DQ272" s="15" t="s">
        <v>328</v>
      </c>
      <c r="DR272" s="15"/>
      <c r="DS272" s="15"/>
      <c r="DT272" s="15"/>
      <c r="DU272" s="15"/>
      <c r="DV272" s="15"/>
      <c r="DW272" s="15"/>
      <c r="DX272" s="15"/>
      <c r="DY272" s="15" t="s">
        <v>328</v>
      </c>
      <c r="DZ272" s="15"/>
      <c r="EA272" s="15"/>
      <c r="EB272" s="15"/>
      <c r="EC272" s="15"/>
      <c r="ED272" s="15"/>
      <c r="EE272" s="102"/>
      <c r="EF272" s="99"/>
      <c r="EG272" s="17">
        <f t="shared" si="4"/>
        <v>0</v>
      </c>
    </row>
    <row r="273" spans="1:137" x14ac:dyDescent="0.25">
      <c r="A273" s="51" t="s">
        <v>1378</v>
      </c>
      <c r="B273" s="211">
        <v>41569</v>
      </c>
      <c r="C273" s="212" t="s">
        <v>2763</v>
      </c>
      <c r="D273" s="61" t="s">
        <v>1365</v>
      </c>
      <c r="E273" s="15" t="s">
        <v>328</v>
      </c>
      <c r="F273" s="15"/>
      <c r="G273" s="15">
        <v>58</v>
      </c>
      <c r="H273" s="15" t="s">
        <v>329</v>
      </c>
      <c r="I273" s="15" t="s">
        <v>357</v>
      </c>
      <c r="J273" s="15" t="s">
        <v>1418</v>
      </c>
      <c r="K273" s="15" t="s">
        <v>1419</v>
      </c>
      <c r="L273" s="15" t="s">
        <v>1281</v>
      </c>
      <c r="M273" s="15">
        <v>6</v>
      </c>
      <c r="N273" s="15">
        <v>2</v>
      </c>
      <c r="O273" s="15">
        <v>2</v>
      </c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 t="s">
        <v>328</v>
      </c>
      <c r="AF273" s="15" t="s">
        <v>328</v>
      </c>
      <c r="AG273" s="15"/>
      <c r="AH273" s="15"/>
      <c r="AI273" s="15"/>
      <c r="AJ273" s="15"/>
      <c r="AK273" s="15"/>
      <c r="AL273" s="15" t="s">
        <v>328</v>
      </c>
      <c r="AM273" s="15" t="s">
        <v>328</v>
      </c>
      <c r="AN273" s="15"/>
      <c r="AO273" s="15" t="s">
        <v>328</v>
      </c>
      <c r="AP273" s="15" t="s">
        <v>328</v>
      </c>
      <c r="AQ273" s="15"/>
      <c r="AR273" s="15">
        <v>8</v>
      </c>
      <c r="AS273" s="15">
        <v>2</v>
      </c>
      <c r="AT273" s="15"/>
      <c r="AU273" s="15"/>
      <c r="AV273" s="15"/>
      <c r="AW273" s="15" t="s">
        <v>328</v>
      </c>
      <c r="AX273" s="15">
        <v>1</v>
      </c>
      <c r="AY273" s="15">
        <v>3</v>
      </c>
      <c r="AZ273" s="15">
        <v>2</v>
      </c>
      <c r="BA273" s="15"/>
      <c r="BB273" s="15" t="s">
        <v>328</v>
      </c>
      <c r="BC273" s="15"/>
      <c r="BD273" s="15" t="s">
        <v>328</v>
      </c>
      <c r="BE273" s="15"/>
      <c r="BF273" s="15"/>
      <c r="BG273" s="15" t="s">
        <v>328</v>
      </c>
      <c r="BH273" s="15"/>
      <c r="BI273" s="15"/>
      <c r="BJ273" s="15"/>
      <c r="BK273" s="15" t="s">
        <v>328</v>
      </c>
      <c r="BL273" s="15"/>
      <c r="BM273" s="15"/>
      <c r="BN273" s="15"/>
      <c r="BO273" s="15" t="s">
        <v>328</v>
      </c>
      <c r="BP273" s="15" t="s">
        <v>328</v>
      </c>
      <c r="BQ273" s="15"/>
      <c r="BR273" s="15"/>
      <c r="BS273" s="15"/>
      <c r="BT273" s="15" t="s">
        <v>328</v>
      </c>
      <c r="BU273" s="15"/>
      <c r="BV273" s="15"/>
      <c r="BW273" s="15"/>
      <c r="BX273" s="15"/>
      <c r="BY273" s="15"/>
      <c r="BZ273" s="15"/>
      <c r="CA273" s="15"/>
      <c r="CB273" s="15"/>
      <c r="CC273" s="15" t="s">
        <v>328</v>
      </c>
      <c r="CD273" s="15" t="s">
        <v>328</v>
      </c>
      <c r="CE273" s="15"/>
      <c r="CF273" s="15"/>
      <c r="CG273" s="15" t="s">
        <v>328</v>
      </c>
      <c r="CH273" s="15"/>
      <c r="CI273" s="15"/>
      <c r="CJ273" s="15"/>
      <c r="CK273" s="15" t="s">
        <v>328</v>
      </c>
      <c r="CL273" s="15"/>
      <c r="CM273" s="15"/>
      <c r="CN273" s="15">
        <v>4</v>
      </c>
      <c r="CO273" s="15">
        <v>3</v>
      </c>
      <c r="CP273" s="15">
        <v>5</v>
      </c>
      <c r="CQ273" s="15">
        <v>6</v>
      </c>
      <c r="CR273" s="15">
        <v>2</v>
      </c>
      <c r="CS273" s="15">
        <v>1</v>
      </c>
      <c r="CT273" s="15" t="s">
        <v>328</v>
      </c>
      <c r="CU273" s="15"/>
      <c r="CV273" s="15" t="s">
        <v>328</v>
      </c>
      <c r="CW273" s="15"/>
      <c r="CX273" s="15" t="s">
        <v>328</v>
      </c>
      <c r="CY273" s="15"/>
      <c r="CZ273" s="15"/>
      <c r="DA273" s="15"/>
      <c r="DB273" s="15"/>
      <c r="DC273" s="15"/>
      <c r="DD273" s="15">
        <v>1</v>
      </c>
      <c r="DE273" s="15">
        <v>2</v>
      </c>
      <c r="DF273" s="15">
        <v>3</v>
      </c>
      <c r="DG273" s="15"/>
      <c r="DH273" s="15">
        <v>4</v>
      </c>
      <c r="DI273" s="15"/>
      <c r="DJ273" s="15"/>
      <c r="DK273" s="15" t="s">
        <v>328</v>
      </c>
      <c r="DL273" s="15" t="s">
        <v>328</v>
      </c>
      <c r="DM273" s="15" t="s">
        <v>497</v>
      </c>
      <c r="DN273" s="15"/>
      <c r="DO273" s="15" t="s">
        <v>492</v>
      </c>
      <c r="DP273" s="15" t="s">
        <v>411</v>
      </c>
      <c r="DQ273" s="15"/>
      <c r="DR273" s="15" t="s">
        <v>328</v>
      </c>
      <c r="DS273" s="15" t="s">
        <v>328</v>
      </c>
      <c r="DT273" s="15" t="s">
        <v>1389</v>
      </c>
      <c r="DU273" s="15"/>
      <c r="DV273" s="15"/>
      <c r="DW273" s="15" t="s">
        <v>492</v>
      </c>
      <c r="DX273" s="15" t="s">
        <v>1390</v>
      </c>
      <c r="DY273" s="15"/>
      <c r="DZ273" s="15" t="s">
        <v>328</v>
      </c>
      <c r="EA273" s="15" t="s">
        <v>328</v>
      </c>
      <c r="EB273" s="15" t="s">
        <v>1391</v>
      </c>
      <c r="EC273" s="15"/>
      <c r="ED273" s="15" t="s">
        <v>1392</v>
      </c>
      <c r="EE273" s="102"/>
      <c r="EF273" s="99"/>
      <c r="EG273" s="17">
        <f t="shared" si="4"/>
        <v>0</v>
      </c>
    </row>
    <row r="274" spans="1:137" x14ac:dyDescent="0.25">
      <c r="A274" s="51" t="s">
        <v>1378</v>
      </c>
      <c r="B274" s="211">
        <v>41569</v>
      </c>
      <c r="C274" s="212" t="s">
        <v>2763</v>
      </c>
      <c r="D274" s="61" t="s">
        <v>1366</v>
      </c>
      <c r="E274" s="15" t="s">
        <v>328</v>
      </c>
      <c r="F274" s="15"/>
      <c r="G274" s="15">
        <v>53</v>
      </c>
      <c r="H274" s="15" t="s">
        <v>329</v>
      </c>
      <c r="I274" s="15" t="s">
        <v>353</v>
      </c>
      <c r="J274" s="15" t="s">
        <v>1420</v>
      </c>
      <c r="K274" s="15" t="s">
        <v>1405</v>
      </c>
      <c r="L274" s="15" t="s">
        <v>1281</v>
      </c>
      <c r="M274" s="15">
        <v>30</v>
      </c>
      <c r="N274" s="15">
        <v>2</v>
      </c>
      <c r="O274" s="15"/>
      <c r="P274" s="15"/>
      <c r="Q274" s="15"/>
      <c r="R274" s="15"/>
      <c r="S274" s="15"/>
      <c r="T274" s="15"/>
      <c r="U274" s="15"/>
      <c r="V274" s="15">
        <v>2</v>
      </c>
      <c r="W274" s="15"/>
      <c r="X274" s="15">
        <v>2</v>
      </c>
      <c r="Y274" s="15"/>
      <c r="Z274" s="15"/>
      <c r="AA274" s="15"/>
      <c r="AB274" s="15"/>
      <c r="AC274" s="15" t="s">
        <v>328</v>
      </c>
      <c r="AD274" s="15"/>
      <c r="AE274" s="15"/>
      <c r="AF274" s="15" t="s">
        <v>328</v>
      </c>
      <c r="AG274" s="15" t="s">
        <v>328</v>
      </c>
      <c r="AH274" s="15"/>
      <c r="AI274" s="15" t="s">
        <v>328</v>
      </c>
      <c r="AJ274" s="15"/>
      <c r="AK274" s="15" t="s">
        <v>692</v>
      </c>
      <c r="AL274" s="15" t="s">
        <v>328</v>
      </c>
      <c r="AM274" s="15" t="s">
        <v>328</v>
      </c>
      <c r="AN274" s="15"/>
      <c r="AO274" s="15" t="s">
        <v>328</v>
      </c>
      <c r="AP274" s="15"/>
      <c r="AQ274" s="15"/>
      <c r="AR274" s="15">
        <v>10</v>
      </c>
      <c r="AS274" s="15">
        <v>4</v>
      </c>
      <c r="AT274" s="15"/>
      <c r="AU274" s="15"/>
      <c r="AV274" s="15"/>
      <c r="AW274" s="15" t="s">
        <v>328</v>
      </c>
      <c r="AX274" s="15">
        <v>2</v>
      </c>
      <c r="AY274" s="15">
        <v>4</v>
      </c>
      <c r="AZ274" s="15">
        <v>3</v>
      </c>
      <c r="BA274" s="15" t="s">
        <v>346</v>
      </c>
      <c r="BB274" s="15" t="s">
        <v>328</v>
      </c>
      <c r="BC274" s="15"/>
      <c r="BD274" s="15" t="s">
        <v>328</v>
      </c>
      <c r="BE274" s="15"/>
      <c r="BF274" s="15"/>
      <c r="BG274" s="15"/>
      <c r="BH274" s="15" t="s">
        <v>328</v>
      </c>
      <c r="BI274" s="15"/>
      <c r="BJ274" s="15"/>
      <c r="BK274" s="15" t="s">
        <v>328</v>
      </c>
      <c r="BL274" s="15"/>
      <c r="BM274" s="15"/>
      <c r="BN274" s="15"/>
      <c r="BO274" s="15" t="s">
        <v>328</v>
      </c>
      <c r="BP274" s="15" t="s">
        <v>328</v>
      </c>
      <c r="BQ274" s="15"/>
      <c r="BR274" s="15" t="s">
        <v>328</v>
      </c>
      <c r="BS274" s="15"/>
      <c r="BT274" s="15" t="s">
        <v>328</v>
      </c>
      <c r="BU274" s="15"/>
      <c r="BV274" s="15"/>
      <c r="BW274" s="15"/>
      <c r="BX274" s="15"/>
      <c r="BY274" s="15"/>
      <c r="BZ274" s="15"/>
      <c r="CA274" s="15"/>
      <c r="CB274" s="15"/>
      <c r="CC274" s="15" t="s">
        <v>328</v>
      </c>
      <c r="CD274" s="15"/>
      <c r="CE274" s="15"/>
      <c r="CF274" s="15"/>
      <c r="CG274" s="15" t="s">
        <v>328</v>
      </c>
      <c r="CH274" s="15"/>
      <c r="CI274" s="15"/>
      <c r="CJ274" s="15"/>
      <c r="CK274" s="15" t="s">
        <v>328</v>
      </c>
      <c r="CL274" s="15"/>
      <c r="CM274" s="15" t="s">
        <v>328</v>
      </c>
      <c r="CN274" s="15">
        <v>5</v>
      </c>
      <c r="CO274" s="15">
        <v>3</v>
      </c>
      <c r="CP274" s="15">
        <v>4</v>
      </c>
      <c r="CQ274" s="15">
        <v>2</v>
      </c>
      <c r="CR274" s="15">
        <v>1</v>
      </c>
      <c r="CS274" s="15">
        <v>6</v>
      </c>
      <c r="CT274" s="15"/>
      <c r="CU274" s="15"/>
      <c r="CV274" s="15"/>
      <c r="CW274" s="15"/>
      <c r="CX274" s="15"/>
      <c r="CY274" s="15"/>
      <c r="CZ274" s="15" t="s">
        <v>332</v>
      </c>
      <c r="DA274" s="15"/>
      <c r="DB274" s="15"/>
      <c r="DC274" s="15">
        <v>3</v>
      </c>
      <c r="DD274" s="15">
        <v>4</v>
      </c>
      <c r="DE274" s="15"/>
      <c r="DF274" s="15"/>
      <c r="DG274" s="15">
        <v>2</v>
      </c>
      <c r="DH274" s="15"/>
      <c r="DI274" s="15" t="s">
        <v>346</v>
      </c>
      <c r="DJ274" s="15" t="s">
        <v>328</v>
      </c>
      <c r="DK274" s="15"/>
      <c r="DL274" s="15"/>
      <c r="DM274" s="15"/>
      <c r="DN274" s="15"/>
      <c r="DO274" s="15"/>
      <c r="DP274" s="14" t="s">
        <v>333</v>
      </c>
      <c r="DQ274" s="15" t="s">
        <v>328</v>
      </c>
      <c r="DR274" s="15"/>
      <c r="DS274" s="15"/>
      <c r="DT274" s="15"/>
      <c r="DU274" s="15"/>
      <c r="DV274" s="15"/>
      <c r="DW274" s="15"/>
      <c r="DX274" s="15"/>
      <c r="DY274" s="15" t="s">
        <v>328</v>
      </c>
      <c r="DZ274" s="15"/>
      <c r="EA274" s="15"/>
      <c r="EB274" s="15"/>
      <c r="EC274" s="15"/>
      <c r="ED274" s="15"/>
      <c r="EE274" s="102"/>
      <c r="EF274" s="99"/>
      <c r="EG274" s="17">
        <f t="shared" si="4"/>
        <v>0</v>
      </c>
    </row>
    <row r="275" spans="1:137" x14ac:dyDescent="0.25">
      <c r="A275" s="51" t="s">
        <v>1378</v>
      </c>
      <c r="B275" s="211">
        <v>41569</v>
      </c>
      <c r="C275" s="212" t="s">
        <v>2763</v>
      </c>
      <c r="D275" s="61" t="s">
        <v>1367</v>
      </c>
      <c r="E275" s="15" t="s">
        <v>328</v>
      </c>
      <c r="F275" s="15"/>
      <c r="G275" s="15">
        <v>41</v>
      </c>
      <c r="H275" s="15" t="s">
        <v>329</v>
      </c>
      <c r="I275" s="15" t="s">
        <v>399</v>
      </c>
      <c r="J275" s="18" t="s">
        <v>1421</v>
      </c>
      <c r="K275" s="15" t="s">
        <v>1422</v>
      </c>
      <c r="L275" s="15" t="s">
        <v>1281</v>
      </c>
      <c r="M275" s="15">
        <v>25</v>
      </c>
      <c r="N275" s="15">
        <v>4</v>
      </c>
      <c r="O275" s="15">
        <v>2</v>
      </c>
      <c r="P275" s="15"/>
      <c r="Q275" s="15"/>
      <c r="R275" s="15">
        <v>4</v>
      </c>
      <c r="S275" s="15"/>
      <c r="T275" s="15"/>
      <c r="U275" s="15"/>
      <c r="V275" s="15"/>
      <c r="W275" s="15"/>
      <c r="X275" s="15"/>
      <c r="Y275" s="15"/>
      <c r="Z275" s="15"/>
      <c r="AA275" s="15"/>
      <c r="AB275" s="15" t="s">
        <v>328</v>
      </c>
      <c r="AC275" s="15" t="s">
        <v>328</v>
      </c>
      <c r="AD275" s="15"/>
      <c r="AE275" s="15"/>
      <c r="AF275" s="15"/>
      <c r="AG275" s="15"/>
      <c r="AH275" s="15"/>
      <c r="AI275" s="15" t="s">
        <v>328</v>
      </c>
      <c r="AJ275" s="15"/>
      <c r="AK275" s="15"/>
      <c r="AL275" s="15" t="s">
        <v>328</v>
      </c>
      <c r="AM275" s="15" t="s">
        <v>328</v>
      </c>
      <c r="AN275" s="15"/>
      <c r="AO275" s="15" t="s">
        <v>328</v>
      </c>
      <c r="AP275" s="15"/>
      <c r="AQ275" s="15"/>
      <c r="AR275" s="15">
        <v>9</v>
      </c>
      <c r="AS275" s="15">
        <v>5</v>
      </c>
      <c r="AT275" s="15"/>
      <c r="AU275" s="15"/>
      <c r="AV275" s="15" t="s">
        <v>328</v>
      </c>
      <c r="AW275" s="15"/>
      <c r="AX275" s="15">
        <v>3</v>
      </c>
      <c r="AY275" s="15">
        <v>2</v>
      </c>
      <c r="AZ275" s="15">
        <v>4</v>
      </c>
      <c r="BA275" s="15" t="s">
        <v>346</v>
      </c>
      <c r="BB275" s="15" t="s">
        <v>328</v>
      </c>
      <c r="BC275" s="15"/>
      <c r="BD275" s="15" t="s">
        <v>328</v>
      </c>
      <c r="BE275" s="15" t="s">
        <v>328</v>
      </c>
      <c r="BF275" s="15"/>
      <c r="BG275" s="15"/>
      <c r="BH275" s="15"/>
      <c r="BI275" s="15"/>
      <c r="BJ275" s="15"/>
      <c r="BK275" s="15"/>
      <c r="BL275" s="15"/>
      <c r="BM275" s="15"/>
      <c r="BN275" s="15"/>
      <c r="BO275" s="15" t="s">
        <v>328</v>
      </c>
      <c r="BP275" s="15"/>
      <c r="BQ275" s="15" t="s">
        <v>328</v>
      </c>
      <c r="BR275" s="15"/>
      <c r="BS275" s="15" t="s">
        <v>328</v>
      </c>
      <c r="BT275" s="15"/>
      <c r="BU275" s="15"/>
      <c r="BV275" s="15"/>
      <c r="BW275" s="15"/>
      <c r="BX275" s="15"/>
      <c r="BY275" s="15"/>
      <c r="BZ275" s="15" t="s">
        <v>328</v>
      </c>
      <c r="CA275" s="15"/>
      <c r="CB275" s="15"/>
      <c r="CC275" s="15" t="s">
        <v>328</v>
      </c>
      <c r="CD275" s="15" t="s">
        <v>328</v>
      </c>
      <c r="CE275" s="15"/>
      <c r="CF275" s="15"/>
      <c r="CG275" s="15" t="s">
        <v>328</v>
      </c>
      <c r="CH275" s="15"/>
      <c r="CI275" s="15"/>
      <c r="CJ275" s="15" t="s">
        <v>328</v>
      </c>
      <c r="CK275" s="15"/>
      <c r="CL275" s="15"/>
      <c r="CM275" s="15"/>
      <c r="CN275" s="15">
        <v>4</v>
      </c>
      <c r="CO275" s="15">
        <v>5</v>
      </c>
      <c r="CP275" s="15">
        <v>1</v>
      </c>
      <c r="CQ275" s="15">
        <v>6</v>
      </c>
      <c r="CR275" s="15">
        <v>2</v>
      </c>
      <c r="CS275" s="15">
        <v>3</v>
      </c>
      <c r="CT275" s="15"/>
      <c r="CU275" s="15"/>
      <c r="CV275" s="15"/>
      <c r="CW275" s="15"/>
      <c r="CX275" s="15"/>
      <c r="CY275" s="15"/>
      <c r="CZ275" s="15" t="s">
        <v>332</v>
      </c>
      <c r="DA275" s="15"/>
      <c r="DB275" s="15"/>
      <c r="DC275" s="15">
        <v>1</v>
      </c>
      <c r="DD275" s="15">
        <v>3</v>
      </c>
      <c r="DE275" s="15"/>
      <c r="DF275" s="15"/>
      <c r="DG275" s="15">
        <v>2</v>
      </c>
      <c r="DH275" s="15">
        <v>4</v>
      </c>
      <c r="DI275" s="15"/>
      <c r="DJ275" s="15"/>
      <c r="DK275" s="15" t="s">
        <v>328</v>
      </c>
      <c r="DL275" s="15" t="s">
        <v>328</v>
      </c>
      <c r="DM275" s="15" t="s">
        <v>1393</v>
      </c>
      <c r="DN275" s="15"/>
      <c r="DO275" s="15" t="s">
        <v>492</v>
      </c>
      <c r="DP275" s="15" t="s">
        <v>411</v>
      </c>
      <c r="DQ275" s="15" t="s">
        <v>328</v>
      </c>
      <c r="DR275" s="15"/>
      <c r="DS275" s="15"/>
      <c r="DT275" s="15"/>
      <c r="DU275" s="15"/>
      <c r="DV275" s="15"/>
      <c r="DW275" s="15"/>
      <c r="DX275" s="15"/>
      <c r="DY275" s="15" t="s">
        <v>328</v>
      </c>
      <c r="DZ275" s="15"/>
      <c r="EA275" s="15"/>
      <c r="EB275" s="15"/>
      <c r="EC275" s="15"/>
      <c r="ED275" s="15"/>
      <c r="EE275" s="102"/>
      <c r="EF275" s="99"/>
      <c r="EG275" s="17">
        <f t="shared" si="4"/>
        <v>0</v>
      </c>
    </row>
    <row r="276" spans="1:137" x14ac:dyDescent="0.25">
      <c r="A276" s="51" t="s">
        <v>1378</v>
      </c>
      <c r="B276" s="211">
        <v>41570</v>
      </c>
      <c r="C276" s="212" t="s">
        <v>2762</v>
      </c>
      <c r="D276" s="61" t="s">
        <v>1368</v>
      </c>
      <c r="E276" s="15" t="s">
        <v>328</v>
      </c>
      <c r="F276" s="15"/>
      <c r="G276" s="15">
        <v>75</v>
      </c>
      <c r="H276" s="15" t="s">
        <v>329</v>
      </c>
      <c r="I276" s="15" t="s">
        <v>330</v>
      </c>
      <c r="J276" s="15" t="s">
        <v>1394</v>
      </c>
      <c r="K276" s="15" t="s">
        <v>1395</v>
      </c>
      <c r="L276" s="15" t="s">
        <v>1281</v>
      </c>
      <c r="M276" s="15">
        <v>57</v>
      </c>
      <c r="N276" s="15">
        <v>3</v>
      </c>
      <c r="O276" s="15">
        <v>2</v>
      </c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>
        <v>1</v>
      </c>
      <c r="AA276" s="15"/>
      <c r="AB276" s="15"/>
      <c r="AC276" s="15"/>
      <c r="AD276" s="15"/>
      <c r="AE276" s="15" t="s">
        <v>328</v>
      </c>
      <c r="AF276" s="15" t="s">
        <v>328</v>
      </c>
      <c r="AG276" s="15" t="s">
        <v>328</v>
      </c>
      <c r="AH276" s="15" t="s">
        <v>328</v>
      </c>
      <c r="AI276" s="15"/>
      <c r="AJ276" s="15"/>
      <c r="AK276" s="15"/>
      <c r="AL276" s="15"/>
      <c r="AM276" s="15"/>
      <c r="AN276" s="15"/>
      <c r="AO276" s="15"/>
      <c r="AP276" s="15"/>
      <c r="AQ276" s="15" t="s">
        <v>328</v>
      </c>
      <c r="AR276" s="15">
        <v>10</v>
      </c>
      <c r="AS276" s="15">
        <v>6</v>
      </c>
      <c r="AT276" s="15"/>
      <c r="AU276" s="15" t="s">
        <v>328</v>
      </c>
      <c r="AV276" s="15"/>
      <c r="AW276" s="15"/>
      <c r="AX276" s="15">
        <v>3</v>
      </c>
      <c r="AY276" s="15">
        <v>2</v>
      </c>
      <c r="AZ276" s="15">
        <v>1</v>
      </c>
      <c r="BA276" s="15"/>
      <c r="BB276" s="15" t="s">
        <v>328</v>
      </c>
      <c r="BC276" s="15"/>
      <c r="BD276" s="15"/>
      <c r="BE276" s="15"/>
      <c r="BF276" s="15" t="s">
        <v>328</v>
      </c>
      <c r="BG276" s="15"/>
      <c r="BH276" s="15"/>
      <c r="BI276" s="15"/>
      <c r="BJ276" s="15"/>
      <c r="BK276" s="15"/>
      <c r="BL276" s="15"/>
      <c r="BM276" s="15"/>
      <c r="BN276" s="15"/>
      <c r="BO276" s="15" t="s">
        <v>328</v>
      </c>
      <c r="BP276" s="15"/>
      <c r="BQ276" s="15" t="s">
        <v>328</v>
      </c>
      <c r="BR276" s="15"/>
      <c r="BS276" s="15"/>
      <c r="BT276" s="15"/>
      <c r="BU276" s="15"/>
      <c r="BV276" s="15"/>
      <c r="BW276" s="15" t="s">
        <v>328</v>
      </c>
      <c r="BX276" s="15"/>
      <c r="BY276" s="15"/>
      <c r="BZ276" s="15"/>
      <c r="CA276" s="15"/>
      <c r="CB276" s="15"/>
      <c r="CC276" s="15" t="s">
        <v>328</v>
      </c>
      <c r="CD276" s="15"/>
      <c r="CE276" s="15"/>
      <c r="CF276" s="15"/>
      <c r="CG276" s="15"/>
      <c r="CH276" s="15"/>
      <c r="CI276" s="15" t="s">
        <v>328</v>
      </c>
      <c r="CJ276" s="15"/>
      <c r="CK276" s="15"/>
      <c r="CL276" s="15"/>
      <c r="CM276" s="15"/>
      <c r="CN276" s="15">
        <v>3</v>
      </c>
      <c r="CO276" s="15">
        <v>2</v>
      </c>
      <c r="CP276" s="15">
        <v>5</v>
      </c>
      <c r="CQ276" s="15">
        <v>6</v>
      </c>
      <c r="CR276" s="15">
        <v>4</v>
      </c>
      <c r="CS276" s="15">
        <v>1</v>
      </c>
      <c r="CT276" s="15"/>
      <c r="CU276" s="15"/>
      <c r="CV276" s="15"/>
      <c r="CW276" s="15"/>
      <c r="CX276" s="15"/>
      <c r="CY276" s="15"/>
      <c r="CZ276" s="15" t="s">
        <v>332</v>
      </c>
      <c r="DA276" s="15"/>
      <c r="DB276" s="15"/>
      <c r="DC276" s="15">
        <v>2</v>
      </c>
      <c r="DD276" s="15"/>
      <c r="DE276" s="15"/>
      <c r="DF276" s="15">
        <v>3</v>
      </c>
      <c r="DG276" s="15">
        <v>1</v>
      </c>
      <c r="DH276" s="15"/>
      <c r="DI276" s="15"/>
      <c r="DJ276" s="15" t="s">
        <v>328</v>
      </c>
      <c r="DK276" s="15"/>
      <c r="DL276" s="15"/>
      <c r="DM276" s="15"/>
      <c r="DN276" s="15"/>
      <c r="DO276" s="15"/>
      <c r="DP276" s="15"/>
      <c r="DQ276" s="15"/>
      <c r="DR276" s="15" t="s">
        <v>328</v>
      </c>
      <c r="DS276" s="15" t="s">
        <v>328</v>
      </c>
      <c r="DT276" s="15" t="s">
        <v>405</v>
      </c>
      <c r="DU276" s="15"/>
      <c r="DV276" s="15"/>
      <c r="DW276" s="15"/>
      <c r="DX276" s="15"/>
      <c r="DY276" s="15" t="s">
        <v>328</v>
      </c>
      <c r="DZ276" s="15"/>
      <c r="EA276" s="15"/>
      <c r="EB276" s="15"/>
      <c r="EC276" s="15"/>
      <c r="ED276" s="15"/>
      <c r="EE276" s="102"/>
      <c r="EF276" s="99"/>
      <c r="EG276" s="17">
        <f t="shared" si="4"/>
        <v>0</v>
      </c>
    </row>
    <row r="277" spans="1:137" x14ac:dyDescent="0.25">
      <c r="A277" s="51" t="s">
        <v>1378</v>
      </c>
      <c r="B277" s="211">
        <v>41570</v>
      </c>
      <c r="C277" s="212" t="s">
        <v>2762</v>
      </c>
      <c r="D277" s="61" t="s">
        <v>1369</v>
      </c>
      <c r="E277" s="15" t="s">
        <v>328</v>
      </c>
      <c r="F277" s="15"/>
      <c r="G277" s="15">
        <v>27</v>
      </c>
      <c r="H277" s="15" t="s">
        <v>329</v>
      </c>
      <c r="I277" s="15" t="s">
        <v>399</v>
      </c>
      <c r="J277" s="15" t="s">
        <v>1394</v>
      </c>
      <c r="K277" s="15" t="s">
        <v>1395</v>
      </c>
      <c r="L277" s="15" t="s">
        <v>1281</v>
      </c>
      <c r="M277" s="15">
        <v>9</v>
      </c>
      <c r="N277" s="15">
        <v>3</v>
      </c>
      <c r="O277" s="15"/>
      <c r="P277" s="15"/>
      <c r="Q277" s="15"/>
      <c r="R277" s="15"/>
      <c r="S277" s="15"/>
      <c r="T277" s="15"/>
      <c r="U277" s="15">
        <v>3</v>
      </c>
      <c r="V277" s="15"/>
      <c r="W277" s="15"/>
      <c r="X277" s="15"/>
      <c r="Y277" s="15"/>
      <c r="Z277" s="15"/>
      <c r="AA277" s="15"/>
      <c r="AB277" s="15"/>
      <c r="AC277" s="15"/>
      <c r="AD277" s="15"/>
      <c r="AE277" s="15" t="s">
        <v>328</v>
      </c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 t="s">
        <v>328</v>
      </c>
      <c r="AR277" s="15">
        <v>9</v>
      </c>
      <c r="AS277" s="15">
        <v>5</v>
      </c>
      <c r="AT277" s="15"/>
      <c r="AU277" s="15"/>
      <c r="AV277" s="15"/>
      <c r="AW277" s="15" t="s">
        <v>328</v>
      </c>
      <c r="AX277" s="15">
        <v>3</v>
      </c>
      <c r="AY277" s="15">
        <v>2</v>
      </c>
      <c r="AZ277" s="15">
        <v>1</v>
      </c>
      <c r="BA277" s="15"/>
      <c r="BB277" s="15" t="s">
        <v>328</v>
      </c>
      <c r="BC277" s="15"/>
      <c r="BD277" s="15" t="s">
        <v>328</v>
      </c>
      <c r="BE277" s="15"/>
      <c r="BF277" s="15" t="s">
        <v>328</v>
      </c>
      <c r="BG277" s="15"/>
      <c r="BH277" s="15"/>
      <c r="BI277" s="15"/>
      <c r="BJ277" s="15"/>
      <c r="BK277" s="15"/>
      <c r="BL277" s="15"/>
      <c r="BM277" s="15"/>
      <c r="BN277" s="15" t="s">
        <v>328</v>
      </c>
      <c r="BO277" s="15"/>
      <c r="BP277" s="15" t="s">
        <v>328</v>
      </c>
      <c r="BQ277" s="15"/>
      <c r="BR277" s="15"/>
      <c r="BS277" s="15"/>
      <c r="BT277" s="15"/>
      <c r="BU277" s="15"/>
      <c r="BV277" s="15"/>
      <c r="BW277" s="15" t="s">
        <v>328</v>
      </c>
      <c r="BX277" s="15"/>
      <c r="BY277" s="15"/>
      <c r="BZ277" s="15"/>
      <c r="CA277" s="15"/>
      <c r="CB277" s="15"/>
      <c r="CC277" s="15" t="s">
        <v>328</v>
      </c>
      <c r="CD277" s="15" t="s">
        <v>328</v>
      </c>
      <c r="CE277" s="15"/>
      <c r="CF277" s="15" t="s">
        <v>328</v>
      </c>
      <c r="CG277" s="15" t="s">
        <v>328</v>
      </c>
      <c r="CH277" s="15"/>
      <c r="CI277" s="15" t="s">
        <v>328</v>
      </c>
      <c r="CJ277" s="15"/>
      <c r="CK277" s="15"/>
      <c r="CL277" s="15"/>
      <c r="CM277" s="15"/>
      <c r="CN277" s="15">
        <v>3</v>
      </c>
      <c r="CO277" s="15">
        <v>1</v>
      </c>
      <c r="CP277" s="15">
        <v>4</v>
      </c>
      <c r="CQ277" s="15">
        <v>5</v>
      </c>
      <c r="CR277" s="15">
        <v>6</v>
      </c>
      <c r="CS277" s="15">
        <v>2</v>
      </c>
      <c r="CT277" s="15"/>
      <c r="CU277" s="15"/>
      <c r="CV277" s="15"/>
      <c r="CW277" s="15"/>
      <c r="CX277" s="15"/>
      <c r="CY277" s="15"/>
      <c r="CZ277" s="15" t="s">
        <v>332</v>
      </c>
      <c r="DA277" s="15"/>
      <c r="DB277" s="15"/>
      <c r="DC277" s="15">
        <v>3</v>
      </c>
      <c r="DD277" s="15">
        <v>2</v>
      </c>
      <c r="DE277" s="15">
        <v>6</v>
      </c>
      <c r="DF277" s="15">
        <v>1</v>
      </c>
      <c r="DG277" s="15">
        <v>5</v>
      </c>
      <c r="DH277" s="15">
        <v>4</v>
      </c>
      <c r="DI277" s="15"/>
      <c r="DJ277" s="15" t="s">
        <v>328</v>
      </c>
      <c r="DK277" s="15"/>
      <c r="DL277" s="15"/>
      <c r="DM277" s="15"/>
      <c r="DN277" s="15"/>
      <c r="DO277" s="15"/>
      <c r="DP277" s="15"/>
      <c r="DQ277" s="15" t="s">
        <v>328</v>
      </c>
      <c r="DR277" s="15"/>
      <c r="DS277" s="15"/>
      <c r="DT277" s="15"/>
      <c r="DU277" s="15"/>
      <c r="DV277" s="15"/>
      <c r="DW277" s="15"/>
      <c r="DX277" s="15"/>
      <c r="DY277" s="15" t="s">
        <v>328</v>
      </c>
      <c r="DZ277" s="15"/>
      <c r="EA277" s="15"/>
      <c r="EB277" s="15"/>
      <c r="EC277" s="15"/>
      <c r="ED277" s="15"/>
      <c r="EE277" s="102"/>
      <c r="EF277" s="99"/>
      <c r="EG277" s="17">
        <f t="shared" si="4"/>
        <v>0</v>
      </c>
    </row>
    <row r="278" spans="1:137" x14ac:dyDescent="0.25">
      <c r="A278" s="51" t="s">
        <v>1378</v>
      </c>
      <c r="B278" s="211">
        <v>41570</v>
      </c>
      <c r="C278" s="212" t="s">
        <v>2762</v>
      </c>
      <c r="D278" s="61" t="s">
        <v>1370</v>
      </c>
      <c r="E278" s="15" t="s">
        <v>328</v>
      </c>
      <c r="F278" s="15"/>
      <c r="G278" s="15">
        <v>65</v>
      </c>
      <c r="H278" s="15" t="s">
        <v>329</v>
      </c>
      <c r="I278" s="15" t="s">
        <v>353</v>
      </c>
      <c r="J278" s="15" t="s">
        <v>1396</v>
      </c>
      <c r="K278" s="15" t="s">
        <v>1397</v>
      </c>
      <c r="L278" s="15" t="s">
        <v>1281</v>
      </c>
      <c r="M278" s="15">
        <v>30</v>
      </c>
      <c r="N278" s="15">
        <v>1</v>
      </c>
      <c r="O278" s="15"/>
      <c r="P278" s="15"/>
      <c r="Q278" s="15"/>
      <c r="R278" s="15"/>
      <c r="S278" s="15"/>
      <c r="T278" s="15"/>
      <c r="U278" s="15">
        <v>1</v>
      </c>
      <c r="V278" s="15"/>
      <c r="W278" s="15"/>
      <c r="X278" s="15"/>
      <c r="Y278" s="15"/>
      <c r="Z278" s="15"/>
      <c r="AA278" s="15"/>
      <c r="AB278" s="15"/>
      <c r="AC278" s="15"/>
      <c r="AD278" s="15"/>
      <c r="AE278" s="15" t="s">
        <v>328</v>
      </c>
      <c r="AF278" s="15"/>
      <c r="AG278" s="15"/>
      <c r="AH278" s="15"/>
      <c r="AI278" s="15"/>
      <c r="AJ278" s="15"/>
      <c r="AK278" s="15"/>
      <c r="AL278" s="15"/>
      <c r="AM278" s="15" t="s">
        <v>328</v>
      </c>
      <c r="AN278" s="15"/>
      <c r="AO278" s="15" t="s">
        <v>328</v>
      </c>
      <c r="AP278" s="15"/>
      <c r="AQ278" s="15" t="s">
        <v>328</v>
      </c>
      <c r="AR278" s="15">
        <v>8</v>
      </c>
      <c r="AS278" s="15">
        <v>4</v>
      </c>
      <c r="AT278" s="15"/>
      <c r="AU278" s="15"/>
      <c r="AV278" s="15" t="s">
        <v>328</v>
      </c>
      <c r="AW278" s="15"/>
      <c r="AX278" s="15">
        <v>1</v>
      </c>
      <c r="AY278" s="15">
        <v>2</v>
      </c>
      <c r="AZ278" s="15">
        <v>3</v>
      </c>
      <c r="BA278" s="15"/>
      <c r="BB278" s="15" t="s">
        <v>328</v>
      </c>
      <c r="BC278" s="15"/>
      <c r="BD278" s="15" t="s">
        <v>328</v>
      </c>
      <c r="BE278" s="15"/>
      <c r="BF278" s="15"/>
      <c r="BG278" s="15" t="s">
        <v>328</v>
      </c>
      <c r="BH278" s="15" t="s">
        <v>328</v>
      </c>
      <c r="BI278" s="15"/>
      <c r="BJ278" s="15"/>
      <c r="BK278" s="15"/>
      <c r="BL278" s="15"/>
      <c r="BM278" s="15"/>
      <c r="BN278" s="15"/>
      <c r="BO278" s="15" t="s">
        <v>328</v>
      </c>
      <c r="BP278" s="15"/>
      <c r="BQ278" s="15" t="s">
        <v>328</v>
      </c>
      <c r="BR278" s="15" t="s">
        <v>328</v>
      </c>
      <c r="BS278" s="15"/>
      <c r="BT278" s="15"/>
      <c r="BU278" s="15"/>
      <c r="BV278" s="15"/>
      <c r="BW278" s="15" t="s">
        <v>328</v>
      </c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 t="s">
        <v>332</v>
      </c>
      <c r="CI278" s="15"/>
      <c r="CJ278" s="15"/>
      <c r="CK278" s="15" t="s">
        <v>328</v>
      </c>
      <c r="CL278" s="15"/>
      <c r="CM278" s="15"/>
      <c r="CN278" s="15">
        <v>1</v>
      </c>
      <c r="CO278" s="15">
        <v>3</v>
      </c>
      <c r="CP278" s="15">
        <v>4</v>
      </c>
      <c r="CQ278" s="15">
        <v>6</v>
      </c>
      <c r="CR278" s="15">
        <v>5</v>
      </c>
      <c r="CS278" s="15">
        <v>2</v>
      </c>
      <c r="CT278" s="15" t="s">
        <v>328</v>
      </c>
      <c r="CU278" s="15"/>
      <c r="CV278" s="15"/>
      <c r="CW278" s="15"/>
      <c r="CX278" s="15"/>
      <c r="CY278" s="15"/>
      <c r="CZ278" s="15"/>
      <c r="DA278" s="15"/>
      <c r="DB278" s="15"/>
      <c r="DC278" s="15">
        <v>1</v>
      </c>
      <c r="DD278" s="15"/>
      <c r="DE278" s="15"/>
      <c r="DF278" s="15"/>
      <c r="DG278" s="15">
        <v>2</v>
      </c>
      <c r="DH278" s="15"/>
      <c r="DI278" s="15"/>
      <c r="DJ278" s="15" t="s">
        <v>328</v>
      </c>
      <c r="DK278" s="15"/>
      <c r="DL278" s="15"/>
      <c r="DM278" s="15"/>
      <c r="DN278" s="15"/>
      <c r="DO278" s="15"/>
      <c r="DP278" s="15"/>
      <c r="DQ278" s="15" t="s">
        <v>328</v>
      </c>
      <c r="DR278" s="15"/>
      <c r="DS278" s="15"/>
      <c r="DT278" s="15"/>
      <c r="DU278" s="15"/>
      <c r="DV278" s="15"/>
      <c r="DW278" s="15"/>
      <c r="DX278" s="15"/>
      <c r="DY278" s="15" t="s">
        <v>328</v>
      </c>
      <c r="DZ278" s="15"/>
      <c r="EA278" s="15"/>
      <c r="EB278" s="15"/>
      <c r="EC278" s="15"/>
      <c r="ED278" s="15"/>
      <c r="EE278" s="102"/>
      <c r="EF278" s="99"/>
      <c r="EG278" s="17">
        <f t="shared" si="4"/>
        <v>0</v>
      </c>
    </row>
    <row r="279" spans="1:137" x14ac:dyDescent="0.25">
      <c r="A279" s="51" t="s">
        <v>1378</v>
      </c>
      <c r="B279" s="211">
        <v>41570</v>
      </c>
      <c r="C279" s="212" t="s">
        <v>2762</v>
      </c>
      <c r="D279" s="61" t="s">
        <v>1371</v>
      </c>
      <c r="E279" s="15" t="s">
        <v>328</v>
      </c>
      <c r="F279" s="15"/>
      <c r="G279" s="15">
        <v>50</v>
      </c>
      <c r="H279" s="15" t="s">
        <v>329</v>
      </c>
      <c r="I279" s="15" t="s">
        <v>353</v>
      </c>
      <c r="J279" s="18" t="s">
        <v>1423</v>
      </c>
      <c r="K279" s="18" t="s">
        <v>1424</v>
      </c>
      <c r="L279" s="15" t="s">
        <v>1281</v>
      </c>
      <c r="M279" s="15">
        <v>30</v>
      </c>
      <c r="N279" s="15">
        <v>1</v>
      </c>
      <c r="O279" s="15">
        <v>1</v>
      </c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 t="s">
        <v>328</v>
      </c>
      <c r="AH279" s="15"/>
      <c r="AI279" s="15"/>
      <c r="AJ279" s="15"/>
      <c r="AK279" s="15"/>
      <c r="AL279" s="15"/>
      <c r="AM279" s="15" t="s">
        <v>328</v>
      </c>
      <c r="AN279" s="15"/>
      <c r="AO279" s="15"/>
      <c r="AP279" s="15"/>
      <c r="AQ279" s="15" t="s">
        <v>328</v>
      </c>
      <c r="AR279" s="15">
        <v>10</v>
      </c>
      <c r="AS279" s="15">
        <v>2</v>
      </c>
      <c r="AT279" s="15"/>
      <c r="AU279" s="15" t="s">
        <v>328</v>
      </c>
      <c r="AV279" s="15"/>
      <c r="AW279" s="15"/>
      <c r="AX279" s="15">
        <v>3</v>
      </c>
      <c r="AY279" s="15">
        <v>2</v>
      </c>
      <c r="AZ279" s="15">
        <v>4</v>
      </c>
      <c r="BA279" s="15" t="s">
        <v>346</v>
      </c>
      <c r="BB279" s="15" t="s">
        <v>328</v>
      </c>
      <c r="BC279" s="15"/>
      <c r="BD279" s="15"/>
      <c r="BE279" s="15"/>
      <c r="BF279" s="15"/>
      <c r="BG279" s="15"/>
      <c r="BH279" s="15" t="s">
        <v>328</v>
      </c>
      <c r="BI279" s="15"/>
      <c r="BJ279" s="15"/>
      <c r="BK279" s="15" t="s">
        <v>328</v>
      </c>
      <c r="BL279" s="15"/>
      <c r="BM279" s="15"/>
      <c r="BN279" s="15"/>
      <c r="BO279" s="15" t="s">
        <v>328</v>
      </c>
      <c r="BP279" s="15"/>
      <c r="BQ279" s="15" t="s">
        <v>328</v>
      </c>
      <c r="BR279" s="15" t="s">
        <v>328</v>
      </c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 t="s">
        <v>328</v>
      </c>
      <c r="CH279" s="15"/>
      <c r="CI279" s="15"/>
      <c r="CJ279" s="15" t="s">
        <v>328</v>
      </c>
      <c r="CK279" s="15"/>
      <c r="CL279" s="15"/>
      <c r="CM279" s="15"/>
      <c r="CN279" s="15">
        <v>2</v>
      </c>
      <c r="CO279" s="15">
        <v>1</v>
      </c>
      <c r="CP279" s="15">
        <v>5</v>
      </c>
      <c r="CQ279" s="15">
        <v>4</v>
      </c>
      <c r="CR279" s="15">
        <v>6</v>
      </c>
      <c r="CS279" s="15">
        <v>3</v>
      </c>
      <c r="CT279" s="15"/>
      <c r="CU279" s="15"/>
      <c r="CV279" s="15"/>
      <c r="CW279" s="15"/>
      <c r="CX279" s="15"/>
      <c r="CY279" s="15"/>
      <c r="CZ279" s="15" t="s">
        <v>332</v>
      </c>
      <c r="DA279" s="15"/>
      <c r="DB279" s="15"/>
      <c r="DC279" s="15">
        <v>1</v>
      </c>
      <c r="DD279" s="15">
        <v>3</v>
      </c>
      <c r="DE279" s="15"/>
      <c r="DF279" s="15"/>
      <c r="DG279" s="15">
        <v>2</v>
      </c>
      <c r="DH279" s="15"/>
      <c r="DI279" s="15"/>
      <c r="DJ279" s="15" t="s">
        <v>328</v>
      </c>
      <c r="DK279" s="15"/>
      <c r="DL279" s="15"/>
      <c r="DM279" s="15"/>
      <c r="DN279" s="15"/>
      <c r="DO279" s="15"/>
      <c r="DP279" s="15"/>
      <c r="DQ279" s="15"/>
      <c r="DR279" s="15" t="s">
        <v>328</v>
      </c>
      <c r="DS279" s="15" t="s">
        <v>328</v>
      </c>
      <c r="DT279" s="15" t="s">
        <v>354</v>
      </c>
      <c r="DU279" s="15"/>
      <c r="DV279" s="15"/>
      <c r="DW279" s="15" t="s">
        <v>492</v>
      </c>
      <c r="DX279" s="15" t="s">
        <v>411</v>
      </c>
      <c r="DY279" s="15"/>
      <c r="DZ279" s="15" t="s">
        <v>328</v>
      </c>
      <c r="EA279" s="15" t="s">
        <v>328</v>
      </c>
      <c r="EB279" s="15" t="s">
        <v>411</v>
      </c>
      <c r="EC279" s="15"/>
      <c r="ED279" s="15" t="s">
        <v>1386</v>
      </c>
      <c r="EE279" s="102" t="s">
        <v>1387</v>
      </c>
      <c r="EF279" s="99"/>
      <c r="EG279" s="17">
        <f t="shared" si="4"/>
        <v>0</v>
      </c>
    </row>
    <row r="280" spans="1:137" x14ac:dyDescent="0.25">
      <c r="A280" s="51" t="s">
        <v>1378</v>
      </c>
      <c r="B280" s="211">
        <v>41570</v>
      </c>
      <c r="C280" s="212" t="s">
        <v>2762</v>
      </c>
      <c r="D280" s="61" t="s">
        <v>1372</v>
      </c>
      <c r="E280" s="15" t="s">
        <v>328</v>
      </c>
      <c r="F280" s="15"/>
      <c r="G280" s="15">
        <v>63</v>
      </c>
      <c r="H280" s="15" t="s">
        <v>329</v>
      </c>
      <c r="I280" s="15" t="s">
        <v>330</v>
      </c>
      <c r="J280" s="15" t="s">
        <v>1394</v>
      </c>
      <c r="K280" s="15" t="s">
        <v>1395</v>
      </c>
      <c r="L280" s="15" t="s">
        <v>1281</v>
      </c>
      <c r="M280" s="15">
        <v>25</v>
      </c>
      <c r="N280" s="15">
        <v>5</v>
      </c>
      <c r="O280" s="15"/>
      <c r="P280" s="15"/>
      <c r="Q280" s="15"/>
      <c r="R280" s="15"/>
      <c r="S280" s="15"/>
      <c r="T280" s="15"/>
      <c r="U280" s="15">
        <v>3</v>
      </c>
      <c r="V280" s="15"/>
      <c r="W280" s="15"/>
      <c r="X280" s="15"/>
      <c r="Y280" s="15"/>
      <c r="Z280" s="15"/>
      <c r="AA280" s="15"/>
      <c r="AB280" s="15"/>
      <c r="AC280" s="15"/>
      <c r="AD280" s="15"/>
      <c r="AE280" s="15" t="s">
        <v>328</v>
      </c>
      <c r="AF280" s="15"/>
      <c r="AG280" s="15" t="s">
        <v>328</v>
      </c>
      <c r="AH280" s="15"/>
      <c r="AI280" s="15"/>
      <c r="AJ280" s="15"/>
      <c r="AK280" s="15"/>
      <c r="AL280" s="15"/>
      <c r="AM280" s="15"/>
      <c r="AN280" s="15" t="s">
        <v>328</v>
      </c>
      <c r="AO280" s="15"/>
      <c r="AP280" s="15"/>
      <c r="AQ280" s="15"/>
      <c r="AR280" s="15">
        <v>10</v>
      </c>
      <c r="AS280" s="15">
        <v>4</v>
      </c>
      <c r="AT280" s="15"/>
      <c r="AU280" s="15"/>
      <c r="AV280" s="15" t="s">
        <v>328</v>
      </c>
      <c r="AW280" s="15"/>
      <c r="AX280" s="15">
        <v>1</v>
      </c>
      <c r="AY280" s="15">
        <v>3</v>
      </c>
      <c r="AZ280" s="15">
        <v>2</v>
      </c>
      <c r="BA280" s="15"/>
      <c r="BB280" s="15" t="s">
        <v>328</v>
      </c>
      <c r="BC280" s="15"/>
      <c r="BD280" s="15"/>
      <c r="BE280" s="15"/>
      <c r="BF280" s="15"/>
      <c r="BG280" s="15" t="s">
        <v>328</v>
      </c>
      <c r="BH280" s="15"/>
      <c r="BI280" s="15"/>
      <c r="BJ280" s="15"/>
      <c r="BK280" s="15" t="s">
        <v>328</v>
      </c>
      <c r="BL280" s="15"/>
      <c r="BM280" s="15"/>
      <c r="BN280" s="15" t="s">
        <v>328</v>
      </c>
      <c r="BO280" s="15"/>
      <c r="BP280" s="15" t="s">
        <v>328</v>
      </c>
      <c r="BQ280" s="15"/>
      <c r="BR280" s="15"/>
      <c r="BS280" s="15" t="s">
        <v>328</v>
      </c>
      <c r="BT280" s="15"/>
      <c r="BU280" s="15"/>
      <c r="BV280" s="15"/>
      <c r="BW280" s="15"/>
      <c r="BX280" s="15"/>
      <c r="BY280" s="15"/>
      <c r="BZ280" s="15"/>
      <c r="CA280" s="15"/>
      <c r="CB280" s="15"/>
      <c r="CC280" s="15" t="s">
        <v>328</v>
      </c>
      <c r="CD280" s="15"/>
      <c r="CE280" s="15"/>
      <c r="CF280" s="15"/>
      <c r="CG280" s="15"/>
      <c r="CH280" s="15"/>
      <c r="CI280" s="15"/>
      <c r="CJ280" s="15"/>
      <c r="CK280" s="15"/>
      <c r="CL280" s="15" t="s">
        <v>328</v>
      </c>
      <c r="CM280" s="15"/>
      <c r="CN280" s="15">
        <v>2</v>
      </c>
      <c r="CO280" s="15">
        <v>3</v>
      </c>
      <c r="CP280" s="15">
        <v>5</v>
      </c>
      <c r="CQ280" s="15">
        <v>6</v>
      </c>
      <c r="CR280" s="15">
        <v>4</v>
      </c>
      <c r="CS280" s="15">
        <v>1</v>
      </c>
      <c r="CT280" s="15"/>
      <c r="CU280" s="15"/>
      <c r="CV280" s="15"/>
      <c r="CW280" s="15"/>
      <c r="CX280" s="15"/>
      <c r="CY280" s="15"/>
      <c r="CZ280" s="15" t="s">
        <v>332</v>
      </c>
      <c r="DA280" s="15"/>
      <c r="DB280" s="15"/>
      <c r="DC280" s="15">
        <v>1</v>
      </c>
      <c r="DD280" s="15">
        <v>2</v>
      </c>
      <c r="DE280" s="15"/>
      <c r="DF280" s="15"/>
      <c r="DG280" s="15">
        <v>4</v>
      </c>
      <c r="DH280" s="15">
        <v>3</v>
      </c>
      <c r="DI280" s="15"/>
      <c r="DJ280" s="15" t="s">
        <v>328</v>
      </c>
      <c r="DK280" s="15"/>
      <c r="DL280" s="15"/>
      <c r="DM280" s="15"/>
      <c r="DN280" s="15"/>
      <c r="DO280" s="15" t="s">
        <v>1398</v>
      </c>
      <c r="DP280" s="15"/>
      <c r="DQ280" s="15" t="s">
        <v>328</v>
      </c>
      <c r="DR280" s="15"/>
      <c r="DS280" s="15"/>
      <c r="DT280" s="15"/>
      <c r="DU280" s="15"/>
      <c r="DV280" s="15"/>
      <c r="DW280" s="15" t="s">
        <v>492</v>
      </c>
      <c r="DX280" s="15"/>
      <c r="DY280" s="15" t="s">
        <v>328</v>
      </c>
      <c r="DZ280" s="15"/>
      <c r="EA280" s="15"/>
      <c r="EB280" s="15"/>
      <c r="EC280" s="15"/>
      <c r="ED280" s="15"/>
      <c r="EE280" s="102"/>
      <c r="EF280" s="99"/>
      <c r="EG280" s="17">
        <f t="shared" si="4"/>
        <v>0</v>
      </c>
    </row>
    <row r="281" spans="1:137" x14ac:dyDescent="0.25">
      <c r="A281" s="51" t="s">
        <v>1378</v>
      </c>
      <c r="B281" s="211">
        <v>41570</v>
      </c>
      <c r="C281" s="212" t="s">
        <v>2762</v>
      </c>
      <c r="D281" s="61" t="s">
        <v>1373</v>
      </c>
      <c r="E281" s="15" t="s">
        <v>328</v>
      </c>
      <c r="F281" s="15"/>
      <c r="G281" s="15">
        <v>65</v>
      </c>
      <c r="H281" s="15" t="s">
        <v>329</v>
      </c>
      <c r="I281" s="15" t="s">
        <v>353</v>
      </c>
      <c r="J281" s="15" t="s">
        <v>1439</v>
      </c>
      <c r="K281" s="15" t="s">
        <v>1440</v>
      </c>
      <c r="L281" s="15" t="s">
        <v>1281</v>
      </c>
      <c r="M281" s="15">
        <v>34</v>
      </c>
      <c r="N281" s="15">
        <v>3</v>
      </c>
      <c r="O281" s="15"/>
      <c r="P281" s="15"/>
      <c r="Q281" s="15"/>
      <c r="R281" s="15"/>
      <c r="S281" s="15"/>
      <c r="T281" s="15"/>
      <c r="U281" s="15">
        <v>2</v>
      </c>
      <c r="V281" s="15"/>
      <c r="W281" s="15"/>
      <c r="X281" s="15"/>
      <c r="Y281" s="15"/>
      <c r="Z281" s="15"/>
      <c r="AA281" s="15"/>
      <c r="AB281" s="15"/>
      <c r="AC281" s="15"/>
      <c r="AD281" s="15"/>
      <c r="AE281" s="15" t="s">
        <v>328</v>
      </c>
      <c r="AF281" s="15"/>
      <c r="AG281" s="15"/>
      <c r="AH281" s="15"/>
      <c r="AI281" s="15"/>
      <c r="AJ281" s="15"/>
      <c r="AK281" s="15"/>
      <c r="AL281" s="15"/>
      <c r="AM281" s="15" t="s">
        <v>328</v>
      </c>
      <c r="AN281" s="15"/>
      <c r="AO281" s="15"/>
      <c r="AP281" s="15"/>
      <c r="AQ281" s="15" t="s">
        <v>328</v>
      </c>
      <c r="AR281" s="15">
        <v>10</v>
      </c>
      <c r="AS281" s="15">
        <v>3</v>
      </c>
      <c r="AT281" s="15"/>
      <c r="AU281" s="15"/>
      <c r="AV281" s="15"/>
      <c r="AW281" s="15" t="s">
        <v>328</v>
      </c>
      <c r="AX281" s="15">
        <v>2</v>
      </c>
      <c r="AY281" s="15">
        <v>3</v>
      </c>
      <c r="AZ281" s="15">
        <v>1</v>
      </c>
      <c r="BA281" s="15"/>
      <c r="BB281" s="15"/>
      <c r="BC281" s="15" t="s">
        <v>328</v>
      </c>
      <c r="BD281" s="15" t="s">
        <v>328</v>
      </c>
      <c r="BE281" s="15" t="s">
        <v>328</v>
      </c>
      <c r="BF281" s="15"/>
      <c r="BG281" s="15" t="s">
        <v>328</v>
      </c>
      <c r="BH281" s="15"/>
      <c r="BI281" s="15"/>
      <c r="BJ281" s="15"/>
      <c r="BK281" s="15" t="s">
        <v>328</v>
      </c>
      <c r="BL281" s="15"/>
      <c r="BM281" s="15"/>
      <c r="BN281" s="15"/>
      <c r="BO281" s="15" t="s">
        <v>328</v>
      </c>
      <c r="BP281" s="15"/>
      <c r="BQ281" s="15" t="s">
        <v>328</v>
      </c>
      <c r="BR281" s="15"/>
      <c r="BS281" s="15"/>
      <c r="BT281" s="15" t="s">
        <v>328</v>
      </c>
      <c r="BU281" s="15"/>
      <c r="BV281" s="15"/>
      <c r="BW281" s="15"/>
      <c r="BX281" s="15"/>
      <c r="BY281" s="15"/>
      <c r="BZ281" s="15" t="s">
        <v>328</v>
      </c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 t="s">
        <v>328</v>
      </c>
      <c r="CN281" s="15">
        <v>1</v>
      </c>
      <c r="CO281" s="15">
        <v>3</v>
      </c>
      <c r="CP281" s="15">
        <v>6</v>
      </c>
      <c r="CQ281" s="15">
        <v>4</v>
      </c>
      <c r="CR281" s="15">
        <v>5</v>
      </c>
      <c r="CS281" s="15">
        <v>2</v>
      </c>
      <c r="CT281" s="15" t="s">
        <v>328</v>
      </c>
      <c r="CU281" s="15"/>
      <c r="CV281" s="15"/>
      <c r="CW281" s="15"/>
      <c r="CX281" s="15"/>
      <c r="CY281" s="15"/>
      <c r="CZ281" s="15"/>
      <c r="DA281" s="15"/>
      <c r="DB281" s="15"/>
      <c r="DC281" s="15">
        <v>1</v>
      </c>
      <c r="DD281" s="15"/>
      <c r="DE281" s="15"/>
      <c r="DF281" s="15"/>
      <c r="DG281" s="15">
        <v>2</v>
      </c>
      <c r="DH281" s="15"/>
      <c r="DI281" s="15"/>
      <c r="DJ281" s="15" t="s">
        <v>328</v>
      </c>
      <c r="DK281" s="15"/>
      <c r="DL281" s="15" t="s">
        <v>328</v>
      </c>
      <c r="DM281" s="15"/>
      <c r="DN281" s="15"/>
      <c r="DO281" s="15"/>
      <c r="DP281" s="15"/>
      <c r="DQ281" s="15" t="s">
        <v>328</v>
      </c>
      <c r="DR281" s="15"/>
      <c r="DS281" s="15"/>
      <c r="DT281" s="15"/>
      <c r="DU281" s="15"/>
      <c r="DV281" s="15"/>
      <c r="DW281" s="15"/>
      <c r="DX281" s="15"/>
      <c r="DY281" s="15" t="s">
        <v>328</v>
      </c>
      <c r="DZ281" s="15"/>
      <c r="EA281" s="15"/>
      <c r="EB281" s="15"/>
      <c r="EC281" s="15"/>
      <c r="ED281" s="15"/>
      <c r="EE281" s="102"/>
      <c r="EF281" s="99"/>
      <c r="EG281" s="17">
        <f t="shared" si="4"/>
        <v>0</v>
      </c>
    </row>
    <row r="282" spans="1:137" x14ac:dyDescent="0.25">
      <c r="A282" s="51" t="s">
        <v>1378</v>
      </c>
      <c r="B282" s="211">
        <v>41570</v>
      </c>
      <c r="C282" s="212" t="s">
        <v>2762</v>
      </c>
      <c r="D282" s="61" t="s">
        <v>1374</v>
      </c>
      <c r="E282" s="15" t="s">
        <v>328</v>
      </c>
      <c r="F282" s="15"/>
      <c r="G282" s="15">
        <v>33</v>
      </c>
      <c r="H282" s="15" t="s">
        <v>329</v>
      </c>
      <c r="I282" s="15" t="s">
        <v>330</v>
      </c>
      <c r="J282" s="15" t="s">
        <v>1394</v>
      </c>
      <c r="K282" s="15" t="s">
        <v>1395</v>
      </c>
      <c r="L282" s="15" t="s">
        <v>1281</v>
      </c>
      <c r="M282" s="15">
        <v>16</v>
      </c>
      <c r="N282" s="15">
        <v>1</v>
      </c>
      <c r="O282" s="15"/>
      <c r="P282" s="15"/>
      <c r="Q282" s="15">
        <v>2</v>
      </c>
      <c r="R282" s="15"/>
      <c r="S282" s="15"/>
      <c r="T282" s="15"/>
      <c r="U282" s="15"/>
      <c r="V282" s="15"/>
      <c r="W282" s="15">
        <v>2</v>
      </c>
      <c r="X282" s="15"/>
      <c r="Y282" s="15"/>
      <c r="Z282" s="15"/>
      <c r="AA282" s="15"/>
      <c r="AB282" s="15"/>
      <c r="AC282" s="15"/>
      <c r="AD282" s="15"/>
      <c r="AE282" s="15" t="s">
        <v>328</v>
      </c>
      <c r="AF282" s="15"/>
      <c r="AG282" s="15"/>
      <c r="AH282" s="15"/>
      <c r="AI282" s="15"/>
      <c r="AJ282" s="15"/>
      <c r="AK282" s="15"/>
      <c r="AL282" s="15"/>
      <c r="AM282" s="15" t="s">
        <v>328</v>
      </c>
      <c r="AN282" s="15"/>
      <c r="AO282" s="15"/>
      <c r="AP282" s="15"/>
      <c r="AQ282" s="15" t="s">
        <v>328</v>
      </c>
      <c r="AR282" s="15">
        <v>10</v>
      </c>
      <c r="AS282" s="15">
        <v>5</v>
      </c>
      <c r="AT282" s="15"/>
      <c r="AU282" s="15"/>
      <c r="AV282" s="15"/>
      <c r="AW282" s="15" t="s">
        <v>328</v>
      </c>
      <c r="AX282" s="15">
        <v>3</v>
      </c>
      <c r="AY282" s="15">
        <v>1</v>
      </c>
      <c r="AZ282" s="15">
        <v>2</v>
      </c>
      <c r="BA282" s="15"/>
      <c r="BB282" s="15"/>
      <c r="BC282" s="15" t="s">
        <v>328</v>
      </c>
      <c r="BD282" s="15"/>
      <c r="BE282" s="15"/>
      <c r="BF282" s="15" t="s">
        <v>328</v>
      </c>
      <c r="BG282" s="15"/>
      <c r="BH282" s="15"/>
      <c r="BI282" s="15"/>
      <c r="BJ282" s="15"/>
      <c r="BK282" s="15"/>
      <c r="BL282" s="15"/>
      <c r="BM282" s="15"/>
      <c r="BN282" s="15"/>
      <c r="BO282" s="15" t="s">
        <v>328</v>
      </c>
      <c r="BP282" s="15"/>
      <c r="BQ282" s="15" t="s">
        <v>328</v>
      </c>
      <c r="BR282" s="15" t="s">
        <v>328</v>
      </c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 t="s">
        <v>332</v>
      </c>
      <c r="CI282" s="15"/>
      <c r="CJ282" s="15"/>
      <c r="CK282" s="15"/>
      <c r="CL282" s="15"/>
      <c r="CM282" s="15" t="s">
        <v>328</v>
      </c>
      <c r="CN282" s="15">
        <v>2</v>
      </c>
      <c r="CO282" s="15">
        <v>4</v>
      </c>
      <c r="CP282" s="15">
        <v>3</v>
      </c>
      <c r="CQ282" s="15">
        <v>5</v>
      </c>
      <c r="CR282" s="15">
        <v>6</v>
      </c>
      <c r="CS282" s="15">
        <v>1</v>
      </c>
      <c r="CT282" s="15"/>
      <c r="CU282" s="15"/>
      <c r="CV282" s="15"/>
      <c r="CW282" s="15"/>
      <c r="CX282" s="15"/>
      <c r="CY282" s="15"/>
      <c r="CZ282" s="15" t="s">
        <v>332</v>
      </c>
      <c r="DA282" s="15" t="s">
        <v>328</v>
      </c>
      <c r="DB282" s="15"/>
      <c r="DC282" s="15"/>
      <c r="DD282" s="15"/>
      <c r="DE282" s="15"/>
      <c r="DF282" s="15"/>
      <c r="DG282" s="15"/>
      <c r="DH282" s="15"/>
      <c r="DI282" s="15"/>
      <c r="DJ282" s="15"/>
      <c r="DK282" s="15" t="s">
        <v>328</v>
      </c>
      <c r="DL282" s="15" t="s">
        <v>328</v>
      </c>
      <c r="DM282" s="15" t="s">
        <v>1399</v>
      </c>
      <c r="DN282" s="15"/>
      <c r="DO282" s="15"/>
      <c r="DP282" s="15"/>
      <c r="DQ282" s="15" t="s">
        <v>328</v>
      </c>
      <c r="DR282" s="15"/>
      <c r="DS282" s="15"/>
      <c r="DT282" s="15"/>
      <c r="DU282" s="15"/>
      <c r="DV282" s="15"/>
      <c r="DW282" s="15"/>
      <c r="DX282" s="15"/>
      <c r="DY282" s="15" t="s">
        <v>328</v>
      </c>
      <c r="DZ282" s="15"/>
      <c r="EA282" s="15"/>
      <c r="EB282" s="15"/>
      <c r="EC282" s="15"/>
      <c r="ED282" s="15"/>
      <c r="EE282" s="102"/>
      <c r="EF282" s="99"/>
      <c r="EG282" s="17">
        <f t="shared" si="4"/>
        <v>0</v>
      </c>
    </row>
    <row r="283" spans="1:137" x14ac:dyDescent="0.25">
      <c r="A283" s="51" t="s">
        <v>1378</v>
      </c>
      <c r="B283" s="211">
        <v>41570</v>
      </c>
      <c r="C283" s="212" t="s">
        <v>2762</v>
      </c>
      <c r="D283" s="61" t="s">
        <v>1375</v>
      </c>
      <c r="E283" s="15" t="s">
        <v>328</v>
      </c>
      <c r="F283" s="15"/>
      <c r="G283" s="15">
        <v>43</v>
      </c>
      <c r="H283" s="15" t="s">
        <v>329</v>
      </c>
      <c r="I283" s="15" t="s">
        <v>353</v>
      </c>
      <c r="J283" s="15" t="s">
        <v>1402</v>
      </c>
      <c r="K283" s="15" t="s">
        <v>1403</v>
      </c>
      <c r="L283" s="15" t="s">
        <v>1281</v>
      </c>
      <c r="M283" s="15">
        <v>20</v>
      </c>
      <c r="N283" s="15">
        <v>3</v>
      </c>
      <c r="O283" s="15">
        <v>2</v>
      </c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>
        <v>2</v>
      </c>
      <c r="AA283" s="15"/>
      <c r="AB283" s="15"/>
      <c r="AC283" s="15" t="s">
        <v>328</v>
      </c>
      <c r="AD283" s="15"/>
      <c r="AE283" s="15"/>
      <c r="AF283" s="15" t="s">
        <v>328</v>
      </c>
      <c r="AG283" s="15" t="s">
        <v>328</v>
      </c>
      <c r="AH283" s="15"/>
      <c r="AI283" s="15"/>
      <c r="AJ283" s="15"/>
      <c r="AK283" s="15"/>
      <c r="AL283" s="15"/>
      <c r="AM283" s="15" t="s">
        <v>328</v>
      </c>
      <c r="AN283" s="15"/>
      <c r="AO283" s="15"/>
      <c r="AP283" s="15"/>
      <c r="AQ283" s="15" t="s">
        <v>328</v>
      </c>
      <c r="AR283" s="15">
        <v>8</v>
      </c>
      <c r="AS283" s="15">
        <v>3</v>
      </c>
      <c r="AT283" s="15"/>
      <c r="AU283" s="15" t="s">
        <v>328</v>
      </c>
      <c r="AV283" s="15"/>
      <c r="AW283" s="15"/>
      <c r="AX283" s="15">
        <v>2</v>
      </c>
      <c r="AY283" s="15">
        <v>3</v>
      </c>
      <c r="AZ283" s="15">
        <v>4</v>
      </c>
      <c r="BA283" s="15" t="s">
        <v>346</v>
      </c>
      <c r="BB283" s="15" t="s">
        <v>328</v>
      </c>
      <c r="BC283" s="15"/>
      <c r="BD283" s="15" t="s">
        <v>328</v>
      </c>
      <c r="BE283" s="15"/>
      <c r="BF283" s="15"/>
      <c r="BG283" s="15" t="s">
        <v>328</v>
      </c>
      <c r="BH283" s="15"/>
      <c r="BI283" s="15"/>
      <c r="BJ283" s="15"/>
      <c r="BK283" s="15" t="s">
        <v>328</v>
      </c>
      <c r="BL283" s="15"/>
      <c r="BM283" s="15"/>
      <c r="BN283" s="15"/>
      <c r="BO283" s="15" t="s">
        <v>328</v>
      </c>
      <c r="BP283" s="15"/>
      <c r="BQ283" s="15" t="s">
        <v>328</v>
      </c>
      <c r="BR283" s="15"/>
      <c r="BS283" s="15" t="s">
        <v>328</v>
      </c>
      <c r="BT283" s="15"/>
      <c r="BU283" s="15"/>
      <c r="BV283" s="15"/>
      <c r="BW283" s="15"/>
      <c r="BX283" s="15"/>
      <c r="BY283" s="15"/>
      <c r="BZ283" s="15"/>
      <c r="CA283" s="15"/>
      <c r="CB283" s="15" t="s">
        <v>328</v>
      </c>
      <c r="CC283" s="15" t="s">
        <v>328</v>
      </c>
      <c r="CD283" s="15"/>
      <c r="CE283" s="15"/>
      <c r="CF283" s="15"/>
      <c r="CG283" s="15"/>
      <c r="CH283" s="15"/>
      <c r="CI283" s="15"/>
      <c r="CJ283" s="15"/>
      <c r="CK283" s="15"/>
      <c r="CL283" s="15" t="s">
        <v>328</v>
      </c>
      <c r="CM283" s="15"/>
      <c r="CN283" s="15">
        <v>2</v>
      </c>
      <c r="CO283" s="15">
        <v>3</v>
      </c>
      <c r="CP283" s="15">
        <v>1</v>
      </c>
      <c r="CQ283" s="15">
        <v>5</v>
      </c>
      <c r="CR283" s="15">
        <v>4</v>
      </c>
      <c r="CS283" s="15">
        <v>6</v>
      </c>
      <c r="CT283" s="15"/>
      <c r="CU283" s="15"/>
      <c r="CV283" s="15"/>
      <c r="CW283" s="15"/>
      <c r="CX283" s="15"/>
      <c r="CY283" s="15"/>
      <c r="CZ283" s="15" t="s">
        <v>332</v>
      </c>
      <c r="DA283" s="15" t="s">
        <v>328</v>
      </c>
      <c r="DB283" s="15"/>
      <c r="DC283" s="15"/>
      <c r="DD283" s="15"/>
      <c r="DE283" s="15"/>
      <c r="DF283" s="15"/>
      <c r="DG283" s="15"/>
      <c r="DH283" s="15"/>
      <c r="DI283" s="15"/>
      <c r="DJ283" s="15" t="s">
        <v>328</v>
      </c>
      <c r="DK283" s="15"/>
      <c r="DL283" s="15"/>
      <c r="DM283" s="15"/>
      <c r="DN283" s="15"/>
      <c r="DO283" s="15"/>
      <c r="DP283" s="15"/>
      <c r="DQ283" s="15" t="s">
        <v>328</v>
      </c>
      <c r="DR283" s="15"/>
      <c r="DS283" s="15"/>
      <c r="DT283" s="15"/>
      <c r="DU283" s="15"/>
      <c r="DV283" s="15"/>
      <c r="DW283" s="15"/>
      <c r="DX283" s="15"/>
      <c r="DY283" s="15" t="s">
        <v>328</v>
      </c>
      <c r="DZ283" s="15"/>
      <c r="EA283" s="15"/>
      <c r="EB283" s="15"/>
      <c r="EC283" s="15"/>
      <c r="ED283" s="15"/>
      <c r="EE283" s="102"/>
      <c r="EF283" s="99"/>
      <c r="EG283" s="17">
        <f t="shared" si="4"/>
        <v>0</v>
      </c>
    </row>
    <row r="284" spans="1:137" x14ac:dyDescent="0.25">
      <c r="A284" s="51" t="s">
        <v>1378</v>
      </c>
      <c r="B284" s="211">
        <v>41570</v>
      </c>
      <c r="C284" s="212" t="s">
        <v>2762</v>
      </c>
      <c r="D284" s="61" t="s">
        <v>1376</v>
      </c>
      <c r="E284" s="15"/>
      <c r="F284" s="15" t="s">
        <v>328</v>
      </c>
      <c r="G284" s="15">
        <v>55</v>
      </c>
      <c r="H284" s="15" t="s">
        <v>329</v>
      </c>
      <c r="I284" s="15" t="s">
        <v>1349</v>
      </c>
      <c r="J284" s="15" t="s">
        <v>1394</v>
      </c>
      <c r="K284" s="15" t="s">
        <v>1395</v>
      </c>
      <c r="L284" s="15" t="s">
        <v>1281</v>
      </c>
      <c r="M284" s="15">
        <v>30</v>
      </c>
      <c r="N284" s="15">
        <v>7</v>
      </c>
      <c r="O284" s="15"/>
      <c r="P284" s="15"/>
      <c r="Q284" s="15">
        <v>7</v>
      </c>
      <c r="R284" s="15"/>
      <c r="S284" s="15"/>
      <c r="T284" s="15"/>
      <c r="U284" s="15"/>
      <c r="V284" s="15"/>
      <c r="W284" s="15"/>
      <c r="X284" s="15"/>
      <c r="Y284" s="15"/>
      <c r="Z284" s="15"/>
      <c r="AA284" s="15" t="s">
        <v>1441</v>
      </c>
      <c r="AB284" s="15"/>
      <c r="AC284" s="15"/>
      <c r="AD284" s="15"/>
      <c r="AE284" s="15" t="s">
        <v>328</v>
      </c>
      <c r="AF284" s="15"/>
      <c r="AG284" s="15"/>
      <c r="AH284" s="15"/>
      <c r="AI284" s="15"/>
      <c r="AJ284" s="15"/>
      <c r="AK284" s="15" t="s">
        <v>423</v>
      </c>
      <c r="AL284" s="15" t="s">
        <v>328</v>
      </c>
      <c r="AM284" s="15"/>
      <c r="AN284" s="15" t="s">
        <v>328</v>
      </c>
      <c r="AO284" s="15"/>
      <c r="AP284" s="15"/>
      <c r="AQ284" s="15" t="s">
        <v>328</v>
      </c>
      <c r="AR284" s="15">
        <v>10</v>
      </c>
      <c r="AS284" s="15">
        <v>6</v>
      </c>
      <c r="AT284" s="15"/>
      <c r="AU284" s="15"/>
      <c r="AV284" s="15"/>
      <c r="AW284" s="15" t="s">
        <v>328</v>
      </c>
      <c r="AX284" s="15">
        <v>2</v>
      </c>
      <c r="AY284" s="15">
        <v>3</v>
      </c>
      <c r="AZ284" s="15">
        <v>1</v>
      </c>
      <c r="BA284" s="15"/>
      <c r="BB284" s="15"/>
      <c r="BC284" s="15" t="s">
        <v>328</v>
      </c>
      <c r="BD284" s="15" t="s">
        <v>328</v>
      </c>
      <c r="BE284" s="15" t="s">
        <v>328</v>
      </c>
      <c r="BF284" s="15"/>
      <c r="BG284" s="15"/>
      <c r="BH284" s="15"/>
      <c r="BI284" s="15"/>
      <c r="BJ284" s="15"/>
      <c r="BK284" s="15" t="s">
        <v>328</v>
      </c>
      <c r="BL284" s="15"/>
      <c r="BM284" s="15"/>
      <c r="BN284" s="15"/>
      <c r="BO284" s="15" t="s">
        <v>328</v>
      </c>
      <c r="BP284" s="15" t="s">
        <v>328</v>
      </c>
      <c r="BQ284" s="15"/>
      <c r="BR284" s="15"/>
      <c r="BS284" s="15" t="s">
        <v>328</v>
      </c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 t="s">
        <v>332</v>
      </c>
      <c r="CI284" s="15" t="s">
        <v>328</v>
      </c>
      <c r="CJ284" s="15"/>
      <c r="CK284" s="15"/>
      <c r="CL284" s="15"/>
      <c r="CM284" s="15"/>
      <c r="CN284" s="15">
        <v>4</v>
      </c>
      <c r="CO284" s="15">
        <v>5</v>
      </c>
      <c r="CP284" s="15">
        <v>2</v>
      </c>
      <c r="CQ284" s="15">
        <v>1</v>
      </c>
      <c r="CR284" s="15">
        <v>3</v>
      </c>
      <c r="CS284" s="15">
        <v>6</v>
      </c>
      <c r="CT284" s="15"/>
      <c r="CU284" s="15"/>
      <c r="CV284" s="15"/>
      <c r="CW284" s="15"/>
      <c r="CX284" s="15"/>
      <c r="CY284" s="15"/>
      <c r="CZ284" s="15" t="s">
        <v>332</v>
      </c>
      <c r="DA284" s="15" t="s">
        <v>328</v>
      </c>
      <c r="DB284" s="15"/>
      <c r="DC284" s="15"/>
      <c r="DD284" s="15"/>
      <c r="DE284" s="15"/>
      <c r="DF284" s="15"/>
      <c r="DG284" s="15"/>
      <c r="DH284" s="15"/>
      <c r="DI284" s="15"/>
      <c r="DJ284" s="15" t="s">
        <v>328</v>
      </c>
      <c r="DK284" s="15"/>
      <c r="DL284" s="15"/>
      <c r="DM284" s="15"/>
      <c r="DN284" s="15"/>
      <c r="DO284" s="15"/>
      <c r="DP284" s="15"/>
      <c r="DQ284" s="15" t="s">
        <v>328</v>
      </c>
      <c r="DR284" s="15"/>
      <c r="DS284" s="15"/>
      <c r="DT284" s="15"/>
      <c r="DU284" s="15"/>
      <c r="DV284" s="15"/>
      <c r="DW284" s="15"/>
      <c r="DX284" s="15"/>
      <c r="DY284" s="15" t="s">
        <v>328</v>
      </c>
      <c r="DZ284" s="15"/>
      <c r="EA284" s="15"/>
      <c r="EB284" s="15"/>
      <c r="EC284" s="15"/>
      <c r="ED284" s="15"/>
      <c r="EE284" s="102"/>
      <c r="EF284" s="99"/>
      <c r="EG284" s="17">
        <f t="shared" si="4"/>
        <v>0</v>
      </c>
    </row>
    <row r="285" spans="1:137" x14ac:dyDescent="0.25">
      <c r="A285" s="51" t="s">
        <v>1378</v>
      </c>
      <c r="B285" s="211">
        <v>41570</v>
      </c>
      <c r="C285" s="212" t="s">
        <v>2762</v>
      </c>
      <c r="D285" s="61" t="s">
        <v>1377</v>
      </c>
      <c r="E285" s="15"/>
      <c r="F285" s="15" t="s">
        <v>328</v>
      </c>
      <c r="G285" s="15">
        <v>64</v>
      </c>
      <c r="H285" s="15" t="s">
        <v>329</v>
      </c>
      <c r="I285" s="15" t="s">
        <v>353</v>
      </c>
      <c r="J285" s="15" t="s">
        <v>1394</v>
      </c>
      <c r="K285" s="15" t="s">
        <v>1395</v>
      </c>
      <c r="L285" s="15" t="s">
        <v>1281</v>
      </c>
      <c r="M285" s="15">
        <v>48</v>
      </c>
      <c r="N285" s="15">
        <v>6</v>
      </c>
      <c r="O285" s="15">
        <v>6</v>
      </c>
      <c r="P285" s="15"/>
      <c r="Q285" s="15"/>
      <c r="R285" s="15"/>
      <c r="S285" s="15"/>
      <c r="T285" s="15"/>
      <c r="U285" s="15"/>
      <c r="V285" s="15"/>
      <c r="W285" s="15"/>
      <c r="X285" s="15">
        <v>2</v>
      </c>
      <c r="Y285" s="15"/>
      <c r="Z285" s="15"/>
      <c r="AA285" s="15"/>
      <c r="AB285" s="15"/>
      <c r="AC285" s="15"/>
      <c r="AD285" s="15"/>
      <c r="AE285" s="15" t="s">
        <v>328</v>
      </c>
      <c r="AF285" s="15"/>
      <c r="AG285" s="15" t="s">
        <v>328</v>
      </c>
      <c r="AH285" s="15" t="s">
        <v>328</v>
      </c>
      <c r="AI285" s="15"/>
      <c r="AJ285" s="15"/>
      <c r="AK285" s="15"/>
      <c r="AL285" s="15"/>
      <c r="AM285" s="15"/>
      <c r="AN285" s="15"/>
      <c r="AO285" s="15"/>
      <c r="AP285" s="15"/>
      <c r="AQ285" s="15" t="s">
        <v>328</v>
      </c>
      <c r="AR285" s="15">
        <v>10</v>
      </c>
      <c r="AS285" s="15">
        <v>6</v>
      </c>
      <c r="AT285" s="15"/>
      <c r="AU285" s="15"/>
      <c r="AV285" s="15"/>
      <c r="AW285" s="15" t="s">
        <v>328</v>
      </c>
      <c r="AX285" s="15">
        <v>3</v>
      </c>
      <c r="AY285" s="15">
        <v>2</v>
      </c>
      <c r="AZ285" s="15">
        <v>1</v>
      </c>
      <c r="BA285" s="15"/>
      <c r="BB285" s="15"/>
      <c r="BC285" s="15" t="s">
        <v>328</v>
      </c>
      <c r="BD285" s="15" t="s">
        <v>328</v>
      </c>
      <c r="BE285" s="15"/>
      <c r="BF285" s="15" t="s">
        <v>328</v>
      </c>
      <c r="BG285" s="15"/>
      <c r="BH285" s="15"/>
      <c r="BI285" s="15"/>
      <c r="BJ285" s="15"/>
      <c r="BK285" s="15" t="s">
        <v>328</v>
      </c>
      <c r="BL285" s="15"/>
      <c r="BM285" s="15"/>
      <c r="BN285" s="15"/>
      <c r="BO285" s="15" t="s">
        <v>328</v>
      </c>
      <c r="BP285" s="15"/>
      <c r="BQ285" s="15" t="s">
        <v>328</v>
      </c>
      <c r="BR285" s="15" t="s">
        <v>328</v>
      </c>
      <c r="BS285" s="15"/>
      <c r="BT285" s="15"/>
      <c r="BU285" s="15"/>
      <c r="BV285" s="15"/>
      <c r="BW285" s="15" t="s">
        <v>328</v>
      </c>
      <c r="BX285" s="15"/>
      <c r="BY285" s="15"/>
      <c r="BZ285" s="15"/>
      <c r="CA285" s="15"/>
      <c r="CB285" s="15"/>
      <c r="CC285" s="15" t="s">
        <v>328</v>
      </c>
      <c r="CD285" s="15"/>
      <c r="CE285" s="15"/>
      <c r="CF285" s="15"/>
      <c r="CG285" s="15"/>
      <c r="CH285" s="15"/>
      <c r="CI285" s="15" t="s">
        <v>328</v>
      </c>
      <c r="CJ285" s="15"/>
      <c r="CK285" s="15"/>
      <c r="CL285" s="15"/>
      <c r="CM285" s="15"/>
      <c r="CN285" s="15">
        <v>1</v>
      </c>
      <c r="CO285" s="15">
        <v>3</v>
      </c>
      <c r="CP285" s="15">
        <v>4</v>
      </c>
      <c r="CQ285" s="15">
        <v>6</v>
      </c>
      <c r="CR285" s="15">
        <v>5</v>
      </c>
      <c r="CS285" s="15">
        <v>2</v>
      </c>
      <c r="CT285" s="15"/>
      <c r="CU285" s="15"/>
      <c r="CV285" s="15"/>
      <c r="CW285" s="15"/>
      <c r="CX285" s="15"/>
      <c r="CY285" s="15"/>
      <c r="CZ285" s="15" t="s">
        <v>332</v>
      </c>
      <c r="DA285" s="15"/>
      <c r="DB285" s="15"/>
      <c r="DC285" s="15">
        <v>2</v>
      </c>
      <c r="DD285" s="15"/>
      <c r="DE285" s="15"/>
      <c r="DF285" s="15">
        <v>3</v>
      </c>
      <c r="DG285" s="15">
        <v>1</v>
      </c>
      <c r="DH285" s="15"/>
      <c r="DI285" s="15"/>
      <c r="DJ285" s="15" t="s">
        <v>328</v>
      </c>
      <c r="DK285" s="15"/>
      <c r="DL285" s="15"/>
      <c r="DM285" s="15"/>
      <c r="DN285" s="15"/>
      <c r="DO285" s="15"/>
      <c r="DP285" s="15"/>
      <c r="DQ285" s="15" t="s">
        <v>328</v>
      </c>
      <c r="DR285" s="15"/>
      <c r="DS285" s="15"/>
      <c r="DT285" s="15"/>
      <c r="DU285" s="15"/>
      <c r="DV285" s="15"/>
      <c r="DW285" s="15"/>
      <c r="DX285" s="15"/>
      <c r="DY285" s="15" t="s">
        <v>328</v>
      </c>
      <c r="DZ285" s="15"/>
      <c r="EA285" s="15"/>
      <c r="EB285" s="15"/>
      <c r="EC285" s="15"/>
      <c r="ED285" s="15"/>
      <c r="EE285" s="102"/>
      <c r="EF285" s="99"/>
      <c r="EG285" s="17">
        <f t="shared" si="4"/>
        <v>0</v>
      </c>
    </row>
    <row r="286" spans="1:137" x14ac:dyDescent="0.25">
      <c r="A286" s="51" t="s">
        <v>1378</v>
      </c>
      <c r="B286" s="211">
        <v>41571</v>
      </c>
      <c r="C286" s="212" t="s">
        <v>2762</v>
      </c>
      <c r="D286" s="61" t="s">
        <v>1425</v>
      </c>
      <c r="E286" s="15" t="s">
        <v>328</v>
      </c>
      <c r="F286" s="15"/>
      <c r="G286" s="15">
        <v>57</v>
      </c>
      <c r="H286" s="15" t="s">
        <v>329</v>
      </c>
      <c r="I286" s="15" t="s">
        <v>353</v>
      </c>
      <c r="J286" s="18" t="s">
        <v>1406</v>
      </c>
      <c r="K286" s="18" t="s">
        <v>1405</v>
      </c>
      <c r="L286" s="15" t="s">
        <v>1281</v>
      </c>
      <c r="M286" s="15">
        <v>35</v>
      </c>
      <c r="N286" s="15">
        <v>1</v>
      </c>
      <c r="O286" s="15"/>
      <c r="P286" s="15"/>
      <c r="Q286" s="15"/>
      <c r="R286" s="15"/>
      <c r="S286" s="15">
        <v>4</v>
      </c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 t="s">
        <v>328</v>
      </c>
      <c r="AE286" s="15"/>
      <c r="AF286" s="15"/>
      <c r="AG286" s="15"/>
      <c r="AH286" s="15"/>
      <c r="AI286" s="15"/>
      <c r="AJ286" s="15" t="s">
        <v>328</v>
      </c>
      <c r="AK286" s="15"/>
      <c r="AL286" s="15" t="s">
        <v>328</v>
      </c>
      <c r="AM286" s="15" t="s">
        <v>328</v>
      </c>
      <c r="AN286" s="15"/>
      <c r="AO286" s="15" t="s">
        <v>328</v>
      </c>
      <c r="AP286" s="15"/>
      <c r="AQ286" s="15"/>
      <c r="AR286" s="15">
        <v>5</v>
      </c>
      <c r="AS286" s="15">
        <v>1</v>
      </c>
      <c r="AT286" s="15"/>
      <c r="AU286" s="15"/>
      <c r="AV286" s="15" t="s">
        <v>328</v>
      </c>
      <c r="AW286" s="15"/>
      <c r="AX286" s="15">
        <v>1</v>
      </c>
      <c r="AY286" s="15">
        <v>2</v>
      </c>
      <c r="AZ286" s="15">
        <v>3</v>
      </c>
      <c r="BA286" s="15"/>
      <c r="BB286" s="15" t="s">
        <v>328</v>
      </c>
      <c r="BC286" s="15"/>
      <c r="BD286" s="15"/>
      <c r="BE286" s="15"/>
      <c r="BF286" s="15"/>
      <c r="BG286" s="15"/>
      <c r="BH286" s="15"/>
      <c r="BI286" s="15"/>
      <c r="BJ286" s="15" t="s">
        <v>328</v>
      </c>
      <c r="BK286" s="15"/>
      <c r="BL286" s="15"/>
      <c r="BM286" s="15"/>
      <c r="BN286" s="15"/>
      <c r="BO286" s="15" t="s">
        <v>328</v>
      </c>
      <c r="BP286" s="15" t="s">
        <v>328</v>
      </c>
      <c r="BQ286" s="15"/>
      <c r="BR286" s="15" t="s">
        <v>328</v>
      </c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 t="s">
        <v>328</v>
      </c>
      <c r="CG286" s="15"/>
      <c r="CH286" s="15"/>
      <c r="CI286" s="15"/>
      <c r="CJ286" s="15" t="s">
        <v>328</v>
      </c>
      <c r="CK286" s="15"/>
      <c r="CL286" s="15"/>
      <c r="CM286" s="15"/>
      <c r="CN286" s="15">
        <v>5</v>
      </c>
      <c r="CO286" s="15">
        <v>3</v>
      </c>
      <c r="CP286" s="15">
        <v>1</v>
      </c>
      <c r="CQ286" s="15">
        <v>4</v>
      </c>
      <c r="CR286" s="15">
        <v>2</v>
      </c>
      <c r="CS286" s="15">
        <v>6</v>
      </c>
      <c r="CT286" s="15" t="s">
        <v>328</v>
      </c>
      <c r="CU286" s="15" t="s">
        <v>328</v>
      </c>
      <c r="CV286" s="15"/>
      <c r="CW286" s="15"/>
      <c r="CX286" s="15" t="s">
        <v>328</v>
      </c>
      <c r="CY286" s="15"/>
      <c r="CZ286" s="15"/>
      <c r="DA286" s="15"/>
      <c r="DB286" s="15"/>
      <c r="DC286" s="15">
        <v>1</v>
      </c>
      <c r="DD286" s="15">
        <v>5</v>
      </c>
      <c r="DE286" s="15">
        <v>2</v>
      </c>
      <c r="DF286" s="15">
        <v>3</v>
      </c>
      <c r="DG286" s="15">
        <v>6</v>
      </c>
      <c r="DH286" s="15">
        <v>4</v>
      </c>
      <c r="DI286" s="15"/>
      <c r="DJ286" s="15" t="s">
        <v>328</v>
      </c>
      <c r="DK286" s="15"/>
      <c r="DL286" s="15"/>
      <c r="DM286" s="15"/>
      <c r="DN286" s="15"/>
      <c r="DO286" s="15"/>
      <c r="DP286" s="14"/>
      <c r="DQ286" s="15" t="s">
        <v>328</v>
      </c>
      <c r="DR286" s="15"/>
      <c r="DS286" s="15"/>
      <c r="DT286" s="15"/>
      <c r="DU286" s="15"/>
      <c r="DV286" s="15"/>
      <c r="DW286" s="15"/>
      <c r="DX286" s="15" t="s">
        <v>450</v>
      </c>
      <c r="DY286" s="15" t="s">
        <v>328</v>
      </c>
      <c r="DZ286" s="15"/>
      <c r="EA286" s="15"/>
      <c r="EB286" s="15"/>
      <c r="EC286" s="15"/>
      <c r="ED286" s="15"/>
      <c r="EE286" s="102"/>
      <c r="EF286" s="99"/>
      <c r="EG286" s="17">
        <f t="shared" si="4"/>
        <v>0</v>
      </c>
    </row>
    <row r="287" spans="1:137" x14ac:dyDescent="0.25">
      <c r="A287" s="51" t="s">
        <v>1378</v>
      </c>
      <c r="B287" s="211">
        <v>41571</v>
      </c>
      <c r="C287" s="212" t="s">
        <v>2762</v>
      </c>
      <c r="D287" s="61" t="s">
        <v>1426</v>
      </c>
      <c r="E287" s="15" t="s">
        <v>328</v>
      </c>
      <c r="F287" s="15"/>
      <c r="G287" s="15">
        <v>55</v>
      </c>
      <c r="H287" s="15" t="s">
        <v>329</v>
      </c>
      <c r="I287" s="15" t="s">
        <v>357</v>
      </c>
      <c r="J287" s="18" t="s">
        <v>1408</v>
      </c>
      <c r="K287" s="18" t="s">
        <v>1407</v>
      </c>
      <c r="L287" s="15" t="s">
        <v>1281</v>
      </c>
      <c r="M287" s="15">
        <v>25</v>
      </c>
      <c r="N287" s="15">
        <v>3</v>
      </c>
      <c r="O287" s="15"/>
      <c r="P287" s="15"/>
      <c r="Q287" s="15"/>
      <c r="R287" s="15">
        <v>3</v>
      </c>
      <c r="S287" s="15"/>
      <c r="T287" s="15"/>
      <c r="U287" s="15"/>
      <c r="V287" s="15"/>
      <c r="W287" s="15"/>
      <c r="X287" s="15"/>
      <c r="Y287" s="15"/>
      <c r="Z287" s="15"/>
      <c r="AA287" s="15"/>
      <c r="AB287" s="15" t="s">
        <v>328</v>
      </c>
      <c r="AC287" s="15"/>
      <c r="AD287" s="15"/>
      <c r="AE287" s="15"/>
      <c r="AF287" s="15"/>
      <c r="AG287" s="15"/>
      <c r="AH287" s="15"/>
      <c r="AI287" s="15" t="s">
        <v>328</v>
      </c>
      <c r="AJ287" s="15"/>
      <c r="AK287" s="15"/>
      <c r="AL287" s="15" t="s">
        <v>328</v>
      </c>
      <c r="AM287" s="15"/>
      <c r="AN287" s="15"/>
      <c r="AO287" s="14" t="s">
        <v>328</v>
      </c>
      <c r="AP287" s="15" t="s">
        <v>328</v>
      </c>
      <c r="AQ287" s="15"/>
      <c r="AR287" s="15">
        <v>10</v>
      </c>
      <c r="AS287" s="15">
        <v>8</v>
      </c>
      <c r="AT287" s="15"/>
      <c r="AU287" s="15" t="s">
        <v>328</v>
      </c>
      <c r="AV287" s="15"/>
      <c r="AW287" s="15"/>
      <c r="AX287" s="15">
        <v>4</v>
      </c>
      <c r="AY287" s="15">
        <v>3</v>
      </c>
      <c r="AZ287" s="15">
        <v>2</v>
      </c>
      <c r="BA287" s="15" t="s">
        <v>346</v>
      </c>
      <c r="BB287" s="15"/>
      <c r="BC287" s="15" t="s">
        <v>328</v>
      </c>
      <c r="BD287" s="15"/>
      <c r="BE287" s="15" t="s">
        <v>328</v>
      </c>
      <c r="BF287" s="15"/>
      <c r="BG287" s="15"/>
      <c r="BH287" s="15"/>
      <c r="BI287" s="15"/>
      <c r="BJ287" s="15"/>
      <c r="BK287" s="15" t="s">
        <v>328</v>
      </c>
      <c r="BL287" s="15"/>
      <c r="BM287" s="15"/>
      <c r="BN287" s="15" t="s">
        <v>328</v>
      </c>
      <c r="BO287" s="15"/>
      <c r="BP287" s="15" t="s">
        <v>328</v>
      </c>
      <c r="BQ287" s="15"/>
      <c r="BR287" s="15"/>
      <c r="BS287" s="15"/>
      <c r="BT287" s="15"/>
      <c r="BU287" s="15"/>
      <c r="BV287" s="15" t="s">
        <v>328</v>
      </c>
      <c r="BW287" s="15" t="s">
        <v>328</v>
      </c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 t="s">
        <v>332</v>
      </c>
      <c r="CI287" s="15" t="s">
        <v>328</v>
      </c>
      <c r="CJ287" s="15"/>
      <c r="CK287" s="15"/>
      <c r="CL287" s="15"/>
      <c r="CM287" s="15" t="s">
        <v>328</v>
      </c>
      <c r="CN287" s="15">
        <v>4</v>
      </c>
      <c r="CO287" s="15">
        <v>1</v>
      </c>
      <c r="CP287" s="15">
        <v>3</v>
      </c>
      <c r="CQ287" s="15">
        <v>5</v>
      </c>
      <c r="CR287" s="15">
        <v>6</v>
      </c>
      <c r="CS287" s="15">
        <v>2</v>
      </c>
      <c r="CT287" s="15" t="s">
        <v>328</v>
      </c>
      <c r="CU287" s="15" t="s">
        <v>328</v>
      </c>
      <c r="CV287" s="15"/>
      <c r="CW287" s="15"/>
      <c r="CX287" s="15" t="s">
        <v>328</v>
      </c>
      <c r="CY287" s="15" t="s">
        <v>328</v>
      </c>
      <c r="CZ287" s="15"/>
      <c r="DA287" s="15" t="s">
        <v>328</v>
      </c>
      <c r="DB287" s="15" t="s">
        <v>404</v>
      </c>
      <c r="DC287" s="15"/>
      <c r="DD287" s="15"/>
      <c r="DE287" s="15"/>
      <c r="DF287" s="15"/>
      <c r="DG287" s="15"/>
      <c r="DH287" s="15"/>
      <c r="DI287" s="15"/>
      <c r="DJ287" s="15"/>
      <c r="DK287" s="15" t="s">
        <v>328</v>
      </c>
      <c r="DL287" s="15" t="s">
        <v>328</v>
      </c>
      <c r="DM287" s="14" t="s">
        <v>397</v>
      </c>
      <c r="DN287" s="15"/>
      <c r="DO287" s="14" t="s">
        <v>432</v>
      </c>
      <c r="DP287" s="15" t="s">
        <v>411</v>
      </c>
      <c r="DQ287" s="15"/>
      <c r="DR287" s="15" t="s">
        <v>328</v>
      </c>
      <c r="DS287" s="15" t="s">
        <v>328</v>
      </c>
      <c r="DT287" s="15" t="s">
        <v>437</v>
      </c>
      <c r="DU287" s="15"/>
      <c r="DV287" s="15"/>
      <c r="DW287" s="15" t="s">
        <v>410</v>
      </c>
      <c r="DX287" s="15" t="s">
        <v>411</v>
      </c>
      <c r="DY287" s="15"/>
      <c r="DZ287" s="15" t="s">
        <v>328</v>
      </c>
      <c r="EA287" s="15" t="s">
        <v>328</v>
      </c>
      <c r="EB287" s="15" t="s">
        <v>397</v>
      </c>
      <c r="EC287" s="15"/>
      <c r="ED287" s="15" t="s">
        <v>432</v>
      </c>
      <c r="EE287" s="102" t="s">
        <v>497</v>
      </c>
      <c r="EF287" s="99"/>
      <c r="EG287" s="17">
        <f t="shared" si="4"/>
        <v>0</v>
      </c>
    </row>
    <row r="288" spans="1:137" x14ac:dyDescent="0.25">
      <c r="A288" s="51" t="s">
        <v>1378</v>
      </c>
      <c r="B288" s="211">
        <v>41571</v>
      </c>
      <c r="C288" s="212" t="s">
        <v>2762</v>
      </c>
      <c r="D288" s="61" t="s">
        <v>1427</v>
      </c>
      <c r="E288" s="15" t="s">
        <v>328</v>
      </c>
      <c r="F288" s="15"/>
      <c r="G288" s="15">
        <v>50</v>
      </c>
      <c r="H288" s="15" t="s">
        <v>329</v>
      </c>
      <c r="I288" s="15" t="s">
        <v>330</v>
      </c>
      <c r="J288" s="18" t="s">
        <v>1410</v>
      </c>
      <c r="K288" s="18" t="s">
        <v>1411</v>
      </c>
      <c r="L288" s="15" t="s">
        <v>1281</v>
      </c>
      <c r="M288" s="15">
        <v>30</v>
      </c>
      <c r="N288" s="15">
        <v>2</v>
      </c>
      <c r="O288" s="15">
        <v>3</v>
      </c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 t="s">
        <v>328</v>
      </c>
      <c r="AC288" s="15"/>
      <c r="AD288" s="15"/>
      <c r="AE288" s="15"/>
      <c r="AF288" s="15"/>
      <c r="AG288" s="15"/>
      <c r="AH288" s="15"/>
      <c r="AI288" s="15"/>
      <c r="AJ288" s="15"/>
      <c r="AK288" s="15"/>
      <c r="AL288" s="15" t="s">
        <v>328</v>
      </c>
      <c r="AM288" s="15"/>
      <c r="AN288" s="15"/>
      <c r="AO288" s="15" t="s">
        <v>328</v>
      </c>
      <c r="AP288" s="15"/>
      <c r="AQ288" s="15" t="s">
        <v>328</v>
      </c>
      <c r="AR288" s="15">
        <v>10</v>
      </c>
      <c r="AS288" s="15">
        <v>2</v>
      </c>
      <c r="AT288" s="15"/>
      <c r="AU288" s="15"/>
      <c r="AV288" s="15"/>
      <c r="AW288" s="15" t="s">
        <v>328</v>
      </c>
      <c r="AX288" s="15">
        <v>2</v>
      </c>
      <c r="AY288" s="15">
        <v>3</v>
      </c>
      <c r="AZ288" s="15"/>
      <c r="BA288" s="15" t="s">
        <v>346</v>
      </c>
      <c r="BB288" s="15" t="s">
        <v>328</v>
      </c>
      <c r="BC288" s="15"/>
      <c r="BD288" s="15"/>
      <c r="BE288" s="15"/>
      <c r="BF288" s="15"/>
      <c r="BG288" s="15"/>
      <c r="BH288" s="15"/>
      <c r="BI288" s="15"/>
      <c r="BJ288" s="15"/>
      <c r="BK288" s="15"/>
      <c r="BL288" s="15" t="s">
        <v>328</v>
      </c>
      <c r="BM288" s="15"/>
      <c r="BN288" s="15" t="s">
        <v>328</v>
      </c>
      <c r="BO288" s="15"/>
      <c r="BP288" s="15" t="s">
        <v>328</v>
      </c>
      <c r="BQ288" s="15"/>
      <c r="BR288" s="15"/>
      <c r="BS288" s="15" t="s">
        <v>328</v>
      </c>
      <c r="BT288" s="15" t="s">
        <v>328</v>
      </c>
      <c r="BU288" s="15"/>
      <c r="BV288" s="15"/>
      <c r="BW288" s="15"/>
      <c r="BX288" s="15"/>
      <c r="BY288" s="15" t="s">
        <v>328</v>
      </c>
      <c r="BZ288" s="15"/>
      <c r="CA288" s="15"/>
      <c r="CB288" s="15"/>
      <c r="CC288" s="15"/>
      <c r="CD288" s="15"/>
      <c r="CE288" s="15"/>
      <c r="CF288" s="15" t="s">
        <v>328</v>
      </c>
      <c r="CG288" s="15"/>
      <c r="CH288" s="15"/>
      <c r="CI288" s="15" t="s">
        <v>328</v>
      </c>
      <c r="CJ288" s="15"/>
      <c r="CK288" s="15"/>
      <c r="CL288" s="15"/>
      <c r="CM288" s="15"/>
      <c r="CN288" s="15">
        <v>4</v>
      </c>
      <c r="CO288" s="15">
        <v>5</v>
      </c>
      <c r="CP288" s="15">
        <v>2</v>
      </c>
      <c r="CQ288" s="15">
        <v>1</v>
      </c>
      <c r="CR288" s="15">
        <v>3</v>
      </c>
      <c r="CS288" s="15">
        <v>6</v>
      </c>
      <c r="CT288" s="15" t="s">
        <v>328</v>
      </c>
      <c r="CU288" s="15" t="s">
        <v>328</v>
      </c>
      <c r="CV288" s="15"/>
      <c r="CW288" s="15"/>
      <c r="CX288" s="15" t="s">
        <v>328</v>
      </c>
      <c r="CY288" s="15"/>
      <c r="CZ288" s="15"/>
      <c r="DA288" s="15"/>
      <c r="DB288" s="15"/>
      <c r="DC288" s="15">
        <v>4</v>
      </c>
      <c r="DD288" s="15">
        <v>6</v>
      </c>
      <c r="DE288" s="15">
        <v>5</v>
      </c>
      <c r="DF288" s="15">
        <v>1</v>
      </c>
      <c r="DG288" s="15">
        <v>3</v>
      </c>
      <c r="DH288" s="15">
        <v>2</v>
      </c>
      <c r="DI288" s="15"/>
      <c r="DJ288" s="15" t="s">
        <v>328</v>
      </c>
      <c r="DK288" s="15"/>
      <c r="DL288" s="15"/>
      <c r="DM288" s="15"/>
      <c r="DN288" s="15"/>
      <c r="DO288" s="15"/>
      <c r="DP288" s="15"/>
      <c r="DQ288" s="15" t="s">
        <v>328</v>
      </c>
      <c r="DR288" s="15"/>
      <c r="DS288" s="15"/>
      <c r="DT288" s="15"/>
      <c r="DU288" s="15"/>
      <c r="DV288" s="15"/>
      <c r="DW288" s="15"/>
      <c r="DX288" s="15"/>
      <c r="DY288" s="15" t="s">
        <v>328</v>
      </c>
      <c r="DZ288" s="15"/>
      <c r="EA288" s="15"/>
      <c r="EB288" s="15"/>
      <c r="EC288" s="15"/>
      <c r="ED288" s="15"/>
      <c r="EE288" s="102"/>
      <c r="EF288" s="99"/>
      <c r="EG288" s="17">
        <f t="shared" si="4"/>
        <v>0</v>
      </c>
    </row>
    <row r="289" spans="1:137" x14ac:dyDescent="0.25">
      <c r="A289" s="51" t="s">
        <v>1378</v>
      </c>
      <c r="B289" s="211">
        <v>41571</v>
      </c>
      <c r="C289" s="212" t="s">
        <v>2762</v>
      </c>
      <c r="D289" s="61" t="s">
        <v>1428</v>
      </c>
      <c r="E289" s="15" t="s">
        <v>328</v>
      </c>
      <c r="F289" s="15"/>
      <c r="G289" s="15">
        <v>53</v>
      </c>
      <c r="H289" s="15" t="s">
        <v>329</v>
      </c>
      <c r="I289" s="15" t="s">
        <v>399</v>
      </c>
      <c r="J289" s="15" t="s">
        <v>1402</v>
      </c>
      <c r="K289" s="15" t="s">
        <v>1403</v>
      </c>
      <c r="L289" s="15" t="s">
        <v>1281</v>
      </c>
      <c r="M289" s="15">
        <v>22</v>
      </c>
      <c r="N289" s="15">
        <v>5</v>
      </c>
      <c r="O289" s="15">
        <v>2</v>
      </c>
      <c r="P289" s="15"/>
      <c r="Q289" s="15">
        <v>1</v>
      </c>
      <c r="R289" s="15">
        <v>2</v>
      </c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 t="s">
        <v>328</v>
      </c>
      <c r="AF289" s="15"/>
      <c r="AG289" s="15"/>
      <c r="AH289" s="15"/>
      <c r="AI289" s="15" t="s">
        <v>328</v>
      </c>
      <c r="AJ289" s="15"/>
      <c r="AK289" s="15"/>
      <c r="AL289" s="14" t="s">
        <v>328</v>
      </c>
      <c r="AM289" s="15"/>
      <c r="AN289" s="15"/>
      <c r="AO289" s="15"/>
      <c r="AP289" s="15" t="s">
        <v>328</v>
      </c>
      <c r="AQ289" s="15" t="s">
        <v>328</v>
      </c>
      <c r="AR289" s="15">
        <v>10</v>
      </c>
      <c r="AS289" s="15">
        <v>6</v>
      </c>
      <c r="AT289" s="15"/>
      <c r="AU289" s="15"/>
      <c r="AV289" s="15"/>
      <c r="AW289" s="15" t="s">
        <v>328</v>
      </c>
      <c r="AX289" s="15">
        <v>2</v>
      </c>
      <c r="AY289" s="15">
        <v>3</v>
      </c>
      <c r="AZ289" s="15">
        <v>4</v>
      </c>
      <c r="BA289" s="15" t="s">
        <v>346</v>
      </c>
      <c r="BB289" s="15"/>
      <c r="BC289" s="15" t="s">
        <v>328</v>
      </c>
      <c r="BD289" s="15" t="s">
        <v>328</v>
      </c>
      <c r="BE289" s="15"/>
      <c r="BF289" s="15"/>
      <c r="BG289" s="15"/>
      <c r="BH289" s="15"/>
      <c r="BI289" s="15"/>
      <c r="BJ289" s="15"/>
      <c r="BK289" s="15" t="s">
        <v>328</v>
      </c>
      <c r="BL289" s="15"/>
      <c r="BM289" s="15"/>
      <c r="BN289" s="15" t="s">
        <v>328</v>
      </c>
      <c r="BO289" s="15"/>
      <c r="BP289" s="15" t="s">
        <v>328</v>
      </c>
      <c r="BQ289" s="15"/>
      <c r="BR289" s="15" t="s">
        <v>328</v>
      </c>
      <c r="BS289" s="15"/>
      <c r="BT289" s="15"/>
      <c r="BU289" s="15"/>
      <c r="BV289" s="15" t="s">
        <v>328</v>
      </c>
      <c r="BW289" s="15"/>
      <c r="BX289" s="15"/>
      <c r="BY289" s="15"/>
      <c r="BZ289" s="15"/>
      <c r="CA289" s="15"/>
      <c r="CB289" s="15" t="s">
        <v>328</v>
      </c>
      <c r="CC289" s="15" t="s">
        <v>328</v>
      </c>
      <c r="CD289" s="15" t="s">
        <v>328</v>
      </c>
      <c r="CE289" s="15"/>
      <c r="CF289" s="15"/>
      <c r="CG289" s="15"/>
      <c r="CH289" s="15"/>
      <c r="CI289" s="15" t="s">
        <v>328</v>
      </c>
      <c r="CJ289" s="15"/>
      <c r="CK289" s="15" t="s">
        <v>328</v>
      </c>
      <c r="CL289" s="15"/>
      <c r="CM289" s="15"/>
      <c r="CN289" s="15">
        <v>4</v>
      </c>
      <c r="CO289" s="15">
        <v>1</v>
      </c>
      <c r="CP289" s="15">
        <v>3</v>
      </c>
      <c r="CQ289" s="15">
        <v>6</v>
      </c>
      <c r="CR289" s="15">
        <v>5</v>
      </c>
      <c r="CS289" s="15">
        <v>2</v>
      </c>
      <c r="CT289" s="15"/>
      <c r="CU289" s="15" t="s">
        <v>328</v>
      </c>
      <c r="CV289" s="15" t="s">
        <v>328</v>
      </c>
      <c r="CW289" s="15" t="s">
        <v>328</v>
      </c>
      <c r="CX289" s="15"/>
      <c r="CY289" s="15" t="s">
        <v>328</v>
      </c>
      <c r="CZ289" s="15"/>
      <c r="DA289" s="15"/>
      <c r="DB289" s="15"/>
      <c r="DC289" s="15">
        <v>1</v>
      </c>
      <c r="DD289" s="15">
        <v>3</v>
      </c>
      <c r="DE289" s="15">
        <v>4</v>
      </c>
      <c r="DF289" s="15">
        <v>5</v>
      </c>
      <c r="DG289" s="15">
        <v>2</v>
      </c>
      <c r="DH289" s="15">
        <v>6</v>
      </c>
      <c r="DI289" s="15"/>
      <c r="DJ289" s="15"/>
      <c r="DK289" s="15" t="s">
        <v>328</v>
      </c>
      <c r="DL289" s="15" t="s">
        <v>328</v>
      </c>
      <c r="DM289" s="15" t="s">
        <v>618</v>
      </c>
      <c r="DN289" s="15"/>
      <c r="DO289" s="15" t="s">
        <v>917</v>
      </c>
      <c r="DP289" s="8" t="s">
        <v>333</v>
      </c>
      <c r="DQ289" s="15"/>
      <c r="DR289" s="15" t="s">
        <v>328</v>
      </c>
      <c r="DS289" s="15" t="s">
        <v>328</v>
      </c>
      <c r="DT289" s="15" t="s">
        <v>504</v>
      </c>
      <c r="DU289" s="15"/>
      <c r="DV289" s="15"/>
      <c r="DW289" s="15" t="s">
        <v>410</v>
      </c>
      <c r="DX289" s="15" t="s">
        <v>602</v>
      </c>
      <c r="DY289" s="15"/>
      <c r="DZ289" s="15" t="s">
        <v>328</v>
      </c>
      <c r="EA289" s="15" t="s">
        <v>328</v>
      </c>
      <c r="EB289" s="15" t="s">
        <v>405</v>
      </c>
      <c r="EC289" s="15"/>
      <c r="ED289" s="15" t="s">
        <v>1158</v>
      </c>
      <c r="EE289" s="102" t="s">
        <v>497</v>
      </c>
      <c r="EF289" s="99"/>
      <c r="EG289" s="17">
        <f t="shared" si="4"/>
        <v>0</v>
      </c>
    </row>
    <row r="290" spans="1:137" x14ac:dyDescent="0.25">
      <c r="A290" s="51" t="s">
        <v>1378</v>
      </c>
      <c r="B290" s="211">
        <v>41571</v>
      </c>
      <c r="C290" s="212" t="s">
        <v>2762</v>
      </c>
      <c r="D290" s="61" t="s">
        <v>1429</v>
      </c>
      <c r="E290" s="15" t="s">
        <v>328</v>
      </c>
      <c r="F290" s="15"/>
      <c r="G290" s="15">
        <v>30</v>
      </c>
      <c r="H290" s="15" t="s">
        <v>329</v>
      </c>
      <c r="I290" s="15" t="s">
        <v>357</v>
      </c>
      <c r="J290" s="18" t="s">
        <v>1423</v>
      </c>
      <c r="K290" s="18" t="s">
        <v>1424</v>
      </c>
      <c r="L290" s="15" t="s">
        <v>1281</v>
      </c>
      <c r="M290" s="15">
        <v>10</v>
      </c>
      <c r="N290" s="15">
        <v>1</v>
      </c>
      <c r="O290" s="15">
        <v>1</v>
      </c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 t="s">
        <v>418</v>
      </c>
      <c r="AL290" s="15"/>
      <c r="AM290" s="15" t="s">
        <v>328</v>
      </c>
      <c r="AN290" s="15"/>
      <c r="AO290" s="15"/>
      <c r="AP290" s="15" t="s">
        <v>328</v>
      </c>
      <c r="AQ290" s="15" t="s">
        <v>328</v>
      </c>
      <c r="AR290" s="15">
        <v>4</v>
      </c>
      <c r="AS290" s="15">
        <v>3</v>
      </c>
      <c r="AT290" s="15"/>
      <c r="AU290" s="15" t="s">
        <v>328</v>
      </c>
      <c r="AV290" s="15" t="s">
        <v>328</v>
      </c>
      <c r="AW290" s="15"/>
      <c r="AX290" s="15">
        <v>1</v>
      </c>
      <c r="AY290" s="15">
        <v>3</v>
      </c>
      <c r="AZ290" s="15">
        <v>2</v>
      </c>
      <c r="BA290" s="15"/>
      <c r="BB290" s="15" t="s">
        <v>328</v>
      </c>
      <c r="BC290" s="15"/>
      <c r="BD290" s="15" t="s">
        <v>328</v>
      </c>
      <c r="BE290" s="15"/>
      <c r="BF290" s="15"/>
      <c r="BG290" s="15" t="s">
        <v>328</v>
      </c>
      <c r="BH290" s="15"/>
      <c r="BI290" s="15"/>
      <c r="BJ290" s="15"/>
      <c r="BK290" s="15"/>
      <c r="BL290" s="15"/>
      <c r="BM290" s="15"/>
      <c r="BN290" s="15"/>
      <c r="BO290" s="15" t="s">
        <v>328</v>
      </c>
      <c r="BP290" s="15"/>
      <c r="BQ290" s="15" t="s">
        <v>328</v>
      </c>
      <c r="BR290" s="15" t="s">
        <v>328</v>
      </c>
      <c r="BS290" s="15"/>
      <c r="BT290" s="15"/>
      <c r="BU290" s="15"/>
      <c r="BV290" s="15" t="s">
        <v>328</v>
      </c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 t="s">
        <v>332</v>
      </c>
      <c r="CI290" s="15"/>
      <c r="CJ290" s="15"/>
      <c r="CK290" s="15" t="s">
        <v>328</v>
      </c>
      <c r="CL290" s="15"/>
      <c r="CM290" s="15" t="s">
        <v>328</v>
      </c>
      <c r="CN290" s="15">
        <v>3</v>
      </c>
      <c r="CO290" s="15">
        <v>4</v>
      </c>
      <c r="CP290" s="15">
        <v>2</v>
      </c>
      <c r="CQ290" s="15">
        <v>6</v>
      </c>
      <c r="CR290" s="15">
        <v>5</v>
      </c>
      <c r="CS290" s="15">
        <v>1</v>
      </c>
      <c r="CT290" s="15" t="s">
        <v>328</v>
      </c>
      <c r="CU290" s="15" t="s">
        <v>328</v>
      </c>
      <c r="CV290" s="15"/>
      <c r="CW290" s="15"/>
      <c r="CX290" s="15" t="s">
        <v>328</v>
      </c>
      <c r="CY290" s="15"/>
      <c r="CZ290" s="15"/>
      <c r="DA290" s="15" t="s">
        <v>328</v>
      </c>
      <c r="DB290" s="15" t="s">
        <v>404</v>
      </c>
      <c r="DC290" s="15"/>
      <c r="DD290" s="15"/>
      <c r="DE290" s="15"/>
      <c r="DF290" s="15"/>
      <c r="DG290" s="15"/>
      <c r="DH290" s="15"/>
      <c r="DI290" s="15"/>
      <c r="DJ290" s="15" t="s">
        <v>328</v>
      </c>
      <c r="DK290" s="15"/>
      <c r="DL290" s="15"/>
      <c r="DM290" s="15"/>
      <c r="DN290" s="15"/>
      <c r="DO290" s="15"/>
      <c r="DP290" s="14" t="s">
        <v>333</v>
      </c>
      <c r="DQ290" s="15" t="s">
        <v>328</v>
      </c>
      <c r="DR290" s="15"/>
      <c r="DS290" s="15"/>
      <c r="DT290" s="15"/>
      <c r="DU290" s="15"/>
      <c r="DV290" s="15"/>
      <c r="DW290" s="15"/>
      <c r="DX290" s="15"/>
      <c r="DY290" s="15" t="s">
        <v>328</v>
      </c>
      <c r="DZ290" s="15"/>
      <c r="EA290" s="15"/>
      <c r="EB290" s="15"/>
      <c r="EC290" s="15"/>
      <c r="ED290" s="15"/>
      <c r="EE290" s="102" t="s">
        <v>497</v>
      </c>
      <c r="EF290" s="99"/>
      <c r="EG290" s="17">
        <f t="shared" si="4"/>
        <v>0</v>
      </c>
    </row>
    <row r="291" spans="1:137" x14ac:dyDescent="0.25">
      <c r="A291" s="51" t="s">
        <v>1378</v>
      </c>
      <c r="B291" s="211">
        <v>41571</v>
      </c>
      <c r="C291" s="212" t="s">
        <v>2762</v>
      </c>
      <c r="D291" s="61" t="s">
        <v>1430</v>
      </c>
      <c r="E291" s="14" t="s">
        <v>328</v>
      </c>
      <c r="F291" s="14"/>
      <c r="G291" s="14">
        <v>48</v>
      </c>
      <c r="H291" s="14" t="s">
        <v>329</v>
      </c>
      <c r="I291" s="14" t="s">
        <v>357</v>
      </c>
      <c r="J291" s="15" t="s">
        <v>1418</v>
      </c>
      <c r="K291" s="15" t="s">
        <v>1419</v>
      </c>
      <c r="L291" s="15" t="s">
        <v>1281</v>
      </c>
      <c r="M291" s="14">
        <v>20</v>
      </c>
      <c r="N291" s="14">
        <v>4</v>
      </c>
      <c r="O291" s="14"/>
      <c r="P291" s="14"/>
      <c r="Q291" s="14"/>
      <c r="R291" s="14">
        <v>4</v>
      </c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 t="s">
        <v>328</v>
      </c>
      <c r="AJ291" s="14"/>
      <c r="AK291" s="14"/>
      <c r="AL291" s="14" t="s">
        <v>328</v>
      </c>
      <c r="AM291" s="14"/>
      <c r="AN291" s="14"/>
      <c r="AO291" s="14"/>
      <c r="AP291" s="14"/>
      <c r="AQ291" s="14" t="s">
        <v>328</v>
      </c>
      <c r="AR291" s="14">
        <v>10</v>
      </c>
      <c r="AS291" s="14">
        <v>1</v>
      </c>
      <c r="AT291" s="14"/>
      <c r="AU291" s="14"/>
      <c r="AV291" s="14" t="s">
        <v>328</v>
      </c>
      <c r="AW291" s="14"/>
      <c r="AX291" s="14">
        <v>1</v>
      </c>
      <c r="AY291" s="14">
        <v>2</v>
      </c>
      <c r="AZ291" s="14">
        <v>3</v>
      </c>
      <c r="BA291" s="14"/>
      <c r="BB291" s="14"/>
      <c r="BC291" s="14" t="s">
        <v>328</v>
      </c>
      <c r="BD291" s="14"/>
      <c r="BE291" s="14"/>
      <c r="BF291" s="14"/>
      <c r="BG291" s="14" t="s">
        <v>328</v>
      </c>
      <c r="BH291" s="14"/>
      <c r="BI291" s="14"/>
      <c r="BJ291" s="14"/>
      <c r="BK291" s="14"/>
      <c r="BL291" s="14"/>
      <c r="BM291" s="14"/>
      <c r="BN291" s="14"/>
      <c r="BO291" s="14" t="s">
        <v>328</v>
      </c>
      <c r="BP291" s="14"/>
      <c r="BQ291" s="14" t="s">
        <v>328</v>
      </c>
      <c r="BR291" s="14"/>
      <c r="BS291" s="14"/>
      <c r="BT291" s="14"/>
      <c r="BU291" s="14"/>
      <c r="BV291" s="14"/>
      <c r="BW291" s="14" t="s">
        <v>328</v>
      </c>
      <c r="BX291" s="14"/>
      <c r="BY291" s="14" t="s">
        <v>328</v>
      </c>
      <c r="BZ291" s="14"/>
      <c r="CA291" s="14"/>
      <c r="CB291" s="14"/>
      <c r="CC291" s="14" t="s">
        <v>328</v>
      </c>
      <c r="CD291" s="14"/>
      <c r="CE291" s="14"/>
      <c r="CF291" s="14"/>
      <c r="CG291" s="14" t="s">
        <v>328</v>
      </c>
      <c r="CH291" s="14"/>
      <c r="CI291" s="14" t="s">
        <v>328</v>
      </c>
      <c r="CJ291" s="14"/>
      <c r="CK291" s="14"/>
      <c r="CL291" s="14"/>
      <c r="CM291" s="14"/>
      <c r="CN291" s="14">
        <v>2</v>
      </c>
      <c r="CO291" s="14">
        <v>3</v>
      </c>
      <c r="CP291" s="14">
        <v>4</v>
      </c>
      <c r="CQ291" s="14">
        <v>5</v>
      </c>
      <c r="CR291" s="14">
        <v>6</v>
      </c>
      <c r="CS291" s="14">
        <v>1</v>
      </c>
      <c r="CT291" s="14" t="s">
        <v>328</v>
      </c>
      <c r="CU291" s="14"/>
      <c r="CV291" s="14"/>
      <c r="CW291" s="14"/>
      <c r="CX291" s="14" t="s">
        <v>328</v>
      </c>
      <c r="CY291" s="14"/>
      <c r="CZ291" s="14"/>
      <c r="DA291" s="15" t="s">
        <v>328</v>
      </c>
      <c r="DB291" s="15" t="s">
        <v>404</v>
      </c>
      <c r="DC291" s="14"/>
      <c r="DD291" s="14"/>
      <c r="DE291" s="14"/>
      <c r="DF291" s="14"/>
      <c r="DG291" s="14"/>
      <c r="DH291" s="14"/>
      <c r="DI291" s="14"/>
      <c r="DJ291" s="14" t="s">
        <v>328</v>
      </c>
      <c r="DK291" s="14"/>
      <c r="DL291" s="14"/>
      <c r="DM291" s="14"/>
      <c r="DN291" s="14"/>
      <c r="DO291" s="14"/>
      <c r="DP291" s="14" t="s">
        <v>333</v>
      </c>
      <c r="DQ291" s="14"/>
      <c r="DR291" s="14" t="s">
        <v>328</v>
      </c>
      <c r="DS291" s="14"/>
      <c r="DT291" s="14"/>
      <c r="DU291" s="14" t="s">
        <v>328</v>
      </c>
      <c r="DV291" s="14" t="s">
        <v>680</v>
      </c>
      <c r="DW291" s="15" t="s">
        <v>428</v>
      </c>
      <c r="DX291" s="15" t="s">
        <v>411</v>
      </c>
      <c r="DY291" s="14" t="s">
        <v>328</v>
      </c>
      <c r="DZ291" s="14"/>
      <c r="EA291" s="14"/>
      <c r="EB291" s="14"/>
      <c r="EC291" s="14"/>
      <c r="ED291" s="14"/>
      <c r="EE291" s="101" t="s">
        <v>450</v>
      </c>
      <c r="EF291" s="99"/>
      <c r="EG291" s="17">
        <f t="shared" si="4"/>
        <v>0</v>
      </c>
    </row>
    <row r="292" spans="1:137" x14ac:dyDescent="0.25">
      <c r="A292" s="51" t="s">
        <v>1378</v>
      </c>
      <c r="B292" s="211">
        <v>41571</v>
      </c>
      <c r="C292" s="212" t="s">
        <v>2762</v>
      </c>
      <c r="D292" s="61" t="s">
        <v>1431</v>
      </c>
      <c r="E292" s="15" t="s">
        <v>328</v>
      </c>
      <c r="F292" s="15"/>
      <c r="G292" s="15">
        <v>57</v>
      </c>
      <c r="H292" s="15" t="s">
        <v>329</v>
      </c>
      <c r="I292" s="15" t="s">
        <v>357</v>
      </c>
      <c r="J292" s="15" t="s">
        <v>1412</v>
      </c>
      <c r="K292" s="15" t="s">
        <v>1413</v>
      </c>
      <c r="L292" s="15" t="s">
        <v>1281</v>
      </c>
      <c r="M292" s="15">
        <v>20</v>
      </c>
      <c r="N292" s="15">
        <v>2</v>
      </c>
      <c r="O292" s="15">
        <v>2</v>
      </c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>
        <v>2</v>
      </c>
      <c r="AA292" s="15"/>
      <c r="AB292" s="15"/>
      <c r="AC292" s="15"/>
      <c r="AD292" s="15"/>
      <c r="AE292" s="15"/>
      <c r="AF292" s="15"/>
      <c r="AG292" s="15" t="s">
        <v>328</v>
      </c>
      <c r="AH292" s="15"/>
      <c r="AI292" s="15"/>
      <c r="AJ292" s="15"/>
      <c r="AK292" s="15" t="s">
        <v>418</v>
      </c>
      <c r="AL292" s="15" t="s">
        <v>328</v>
      </c>
      <c r="AM292" s="15"/>
      <c r="AN292" s="15"/>
      <c r="AO292" s="15" t="s">
        <v>328</v>
      </c>
      <c r="AP292" s="15"/>
      <c r="AQ292" s="15" t="s">
        <v>328</v>
      </c>
      <c r="AR292" s="15">
        <v>10</v>
      </c>
      <c r="AS292" s="15">
        <v>4</v>
      </c>
      <c r="AT292" s="15"/>
      <c r="AU292" s="15"/>
      <c r="AV292" s="15"/>
      <c r="AW292" s="15" t="s">
        <v>328</v>
      </c>
      <c r="AX292" s="15">
        <v>3</v>
      </c>
      <c r="AY292" s="15">
        <v>2</v>
      </c>
      <c r="AZ292" s="15">
        <v>1</v>
      </c>
      <c r="BA292" s="15"/>
      <c r="BB292" s="15" t="s">
        <v>328</v>
      </c>
      <c r="BC292" s="15"/>
      <c r="BD292" s="15"/>
      <c r="BE292" s="15"/>
      <c r="BF292" s="15" t="s">
        <v>328</v>
      </c>
      <c r="BG292" s="15"/>
      <c r="BH292" s="15"/>
      <c r="BI292" s="15"/>
      <c r="BJ292" s="15"/>
      <c r="BK292" s="15" t="s">
        <v>328</v>
      </c>
      <c r="BL292" s="15"/>
      <c r="BM292" s="15"/>
      <c r="BN292" s="15"/>
      <c r="BO292" s="15" t="s">
        <v>328</v>
      </c>
      <c r="BP292" s="15" t="s">
        <v>328</v>
      </c>
      <c r="BQ292" s="15"/>
      <c r="BR292" s="15"/>
      <c r="BS292" s="15" t="s">
        <v>328</v>
      </c>
      <c r="BT292" s="15" t="s">
        <v>328</v>
      </c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 t="s">
        <v>332</v>
      </c>
      <c r="CI292" s="15" t="s">
        <v>328</v>
      </c>
      <c r="CJ292" s="15"/>
      <c r="CK292" s="15" t="s">
        <v>328</v>
      </c>
      <c r="CL292" s="15"/>
      <c r="CM292" s="15"/>
      <c r="CN292" s="15">
        <v>3</v>
      </c>
      <c r="CO292" s="15">
        <v>1</v>
      </c>
      <c r="CP292" s="15">
        <v>2</v>
      </c>
      <c r="CQ292" s="15">
        <v>5</v>
      </c>
      <c r="CR292" s="15">
        <v>6</v>
      </c>
      <c r="CS292" s="15">
        <v>4</v>
      </c>
      <c r="CT292" s="15" t="s">
        <v>328</v>
      </c>
      <c r="CU292" s="15"/>
      <c r="CV292" s="15"/>
      <c r="CW292" s="15"/>
      <c r="CX292" s="15" t="s">
        <v>328</v>
      </c>
      <c r="CY292" s="15"/>
      <c r="CZ292" s="15"/>
      <c r="DA292" s="15" t="s">
        <v>328</v>
      </c>
      <c r="DB292" s="15" t="s">
        <v>404</v>
      </c>
      <c r="DC292" s="15"/>
      <c r="DD292" s="15"/>
      <c r="DE292" s="15"/>
      <c r="DF292" s="15"/>
      <c r="DG292" s="15"/>
      <c r="DH292" s="15"/>
      <c r="DI292" s="15"/>
      <c r="DJ292" s="15" t="s">
        <v>328</v>
      </c>
      <c r="DK292" s="15"/>
      <c r="DL292" s="15"/>
      <c r="DM292" s="15"/>
      <c r="DN292" s="15"/>
      <c r="DO292" s="15"/>
      <c r="DP292" s="15"/>
      <c r="DQ292" s="15" t="s">
        <v>328</v>
      </c>
      <c r="DR292" s="15"/>
      <c r="DS292" s="15"/>
      <c r="DT292" s="15"/>
      <c r="DU292" s="15"/>
      <c r="DV292" s="15"/>
      <c r="DW292" s="15"/>
      <c r="DX292" s="15"/>
      <c r="DY292" s="15" t="s">
        <v>328</v>
      </c>
      <c r="DZ292" s="15"/>
      <c r="EA292" s="15"/>
      <c r="EB292" s="15"/>
      <c r="EC292" s="15"/>
      <c r="ED292" s="12"/>
      <c r="EE292" s="80"/>
      <c r="EF292" s="99"/>
      <c r="EG292" s="17">
        <f t="shared" si="4"/>
        <v>0</v>
      </c>
    </row>
    <row r="293" spans="1:137" x14ac:dyDescent="0.25">
      <c r="A293" s="51" t="s">
        <v>1378</v>
      </c>
      <c r="B293" s="211">
        <v>41571</v>
      </c>
      <c r="C293" s="212" t="s">
        <v>2762</v>
      </c>
      <c r="D293" s="61" t="s">
        <v>1432</v>
      </c>
      <c r="E293" s="15" t="s">
        <v>328</v>
      </c>
      <c r="F293" s="15"/>
      <c r="G293" s="15">
        <v>36</v>
      </c>
      <c r="H293" s="15" t="s">
        <v>329</v>
      </c>
      <c r="I293" s="15" t="s">
        <v>357</v>
      </c>
      <c r="J293" s="18" t="s">
        <v>1415</v>
      </c>
      <c r="K293" s="18" t="s">
        <v>1191</v>
      </c>
      <c r="L293" s="15" t="s">
        <v>1281</v>
      </c>
      <c r="M293" s="15">
        <v>7</v>
      </c>
      <c r="N293" s="15">
        <v>3</v>
      </c>
      <c r="O293" s="15"/>
      <c r="P293" s="15"/>
      <c r="Q293" s="15"/>
      <c r="R293" s="15"/>
      <c r="S293" s="15"/>
      <c r="T293" s="15"/>
      <c r="U293" s="15"/>
      <c r="V293" s="15">
        <v>6</v>
      </c>
      <c r="W293" s="15"/>
      <c r="X293" s="15"/>
      <c r="Y293" s="15"/>
      <c r="Z293" s="15"/>
      <c r="AA293" s="18"/>
      <c r="AB293" s="15"/>
      <c r="AC293" s="15"/>
      <c r="AD293" s="15"/>
      <c r="AE293" s="15"/>
      <c r="AF293" s="15" t="s">
        <v>328</v>
      </c>
      <c r="AG293" s="15"/>
      <c r="AH293" s="15" t="s">
        <v>328</v>
      </c>
      <c r="AI293" s="15"/>
      <c r="AJ293" s="15"/>
      <c r="AK293" s="15" t="s">
        <v>1165</v>
      </c>
      <c r="AL293" s="15" t="s">
        <v>328</v>
      </c>
      <c r="AM293" s="15"/>
      <c r="AN293" s="15" t="s">
        <v>328</v>
      </c>
      <c r="AO293" s="15"/>
      <c r="AP293" s="15"/>
      <c r="AQ293" s="15"/>
      <c r="AR293" s="15">
        <v>6</v>
      </c>
      <c r="AS293" s="15">
        <v>6</v>
      </c>
      <c r="AT293" s="15"/>
      <c r="AU293" s="15"/>
      <c r="AV293" s="15" t="s">
        <v>328</v>
      </c>
      <c r="AW293" s="15"/>
      <c r="AX293" s="15">
        <v>1</v>
      </c>
      <c r="AY293" s="15">
        <v>2</v>
      </c>
      <c r="AZ293" s="15">
        <v>3</v>
      </c>
      <c r="BA293" s="15"/>
      <c r="BB293" s="15" t="s">
        <v>328</v>
      </c>
      <c r="BC293" s="15"/>
      <c r="BD293" s="15"/>
      <c r="BE293" s="15"/>
      <c r="BF293" s="15"/>
      <c r="BG293" s="15" t="s">
        <v>328</v>
      </c>
      <c r="BH293" s="15"/>
      <c r="BI293" s="15"/>
      <c r="BJ293" s="15"/>
      <c r="BK293" s="15"/>
      <c r="BL293" s="15"/>
      <c r="BM293" s="15"/>
      <c r="BN293" s="15"/>
      <c r="BO293" s="15" t="s">
        <v>328</v>
      </c>
      <c r="BP293" s="15"/>
      <c r="BQ293" s="15" t="s">
        <v>328</v>
      </c>
      <c r="BR293" s="15" t="s">
        <v>328</v>
      </c>
      <c r="BS293" s="15"/>
      <c r="BT293" s="15"/>
      <c r="BU293" s="15"/>
      <c r="BV293" s="15"/>
      <c r="BW293" s="15" t="s">
        <v>328</v>
      </c>
      <c r="BX293" s="15"/>
      <c r="BY293" s="15" t="s">
        <v>328</v>
      </c>
      <c r="BZ293" s="15"/>
      <c r="CA293" s="15"/>
      <c r="CB293" s="15"/>
      <c r="CC293" s="15" t="s">
        <v>328</v>
      </c>
      <c r="CD293" s="15"/>
      <c r="CE293" s="15"/>
      <c r="CF293" s="15"/>
      <c r="CG293" s="15" t="s">
        <v>328</v>
      </c>
      <c r="CH293" s="15"/>
      <c r="CI293" s="15" t="s">
        <v>328</v>
      </c>
      <c r="CJ293" s="15"/>
      <c r="CK293" s="15"/>
      <c r="CL293" s="15"/>
      <c r="CM293" s="15"/>
      <c r="CN293" s="15">
        <v>3</v>
      </c>
      <c r="CO293" s="15">
        <v>1</v>
      </c>
      <c r="CP293" s="15">
        <v>2</v>
      </c>
      <c r="CQ293" s="15">
        <v>6</v>
      </c>
      <c r="CR293" s="15">
        <v>5</v>
      </c>
      <c r="CS293" s="15">
        <v>4</v>
      </c>
      <c r="CT293" s="15"/>
      <c r="CU293" s="15" t="s">
        <v>328</v>
      </c>
      <c r="CV293" s="15"/>
      <c r="CW293" s="15"/>
      <c r="CX293" s="15"/>
      <c r="CY293" s="15"/>
      <c r="CZ293" s="15"/>
      <c r="DA293" s="15"/>
      <c r="DB293" s="15"/>
      <c r="DC293" s="15">
        <v>1</v>
      </c>
      <c r="DD293" s="15">
        <v>5</v>
      </c>
      <c r="DE293" s="15">
        <v>3</v>
      </c>
      <c r="DF293" s="15">
        <v>4</v>
      </c>
      <c r="DG293" s="15">
        <v>2</v>
      </c>
      <c r="DH293" s="15">
        <v>6</v>
      </c>
      <c r="DI293" s="15"/>
      <c r="DJ293" s="15" t="s">
        <v>328</v>
      </c>
      <c r="DK293" s="15"/>
      <c r="DL293" s="15"/>
      <c r="DM293" s="15"/>
      <c r="DN293" s="15"/>
      <c r="DO293" s="15"/>
      <c r="DP293" s="15" t="s">
        <v>411</v>
      </c>
      <c r="DQ293" s="15"/>
      <c r="DR293" s="15" t="s">
        <v>328</v>
      </c>
      <c r="DS293" s="15"/>
      <c r="DT293" s="15"/>
      <c r="DU293" s="15" t="s">
        <v>328</v>
      </c>
      <c r="DV293" s="15" t="s">
        <v>680</v>
      </c>
      <c r="DW293" s="15" t="s">
        <v>428</v>
      </c>
      <c r="DX293" s="15" t="s">
        <v>1145</v>
      </c>
      <c r="DY293" s="15" t="s">
        <v>328</v>
      </c>
      <c r="DZ293" s="15"/>
      <c r="EA293" s="15"/>
      <c r="EB293" s="15"/>
      <c r="EC293" s="15"/>
      <c r="ED293" s="15"/>
      <c r="EE293" s="102"/>
      <c r="EF293" s="99"/>
      <c r="EG293" s="17">
        <f t="shared" si="4"/>
        <v>0</v>
      </c>
    </row>
    <row r="294" spans="1:137" x14ac:dyDescent="0.25">
      <c r="A294" s="51" t="s">
        <v>1378</v>
      </c>
      <c r="B294" s="211">
        <v>41571</v>
      </c>
      <c r="C294" s="212" t="s">
        <v>2762</v>
      </c>
      <c r="D294" s="61" t="s">
        <v>1433</v>
      </c>
      <c r="E294" s="15" t="s">
        <v>328</v>
      </c>
      <c r="F294" s="15"/>
      <c r="G294" s="15">
        <v>34</v>
      </c>
      <c r="H294" s="15" t="s">
        <v>329</v>
      </c>
      <c r="I294" s="15" t="s">
        <v>399</v>
      </c>
      <c r="J294" s="15" t="s">
        <v>1412</v>
      </c>
      <c r="K294" s="15" t="s">
        <v>1413</v>
      </c>
      <c r="L294" s="15" t="s">
        <v>1281</v>
      </c>
      <c r="M294" s="15">
        <v>0</v>
      </c>
      <c r="N294" s="15">
        <v>5</v>
      </c>
      <c r="O294" s="15">
        <v>3</v>
      </c>
      <c r="P294" s="15">
        <v>2</v>
      </c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 t="s">
        <v>328</v>
      </c>
      <c r="AC294" s="15" t="s">
        <v>328</v>
      </c>
      <c r="AD294" s="15"/>
      <c r="AE294" s="15" t="s">
        <v>328</v>
      </c>
      <c r="AF294" s="15" t="s">
        <v>328</v>
      </c>
      <c r="AG294" s="15"/>
      <c r="AH294" s="15" t="s">
        <v>328</v>
      </c>
      <c r="AI294" s="15"/>
      <c r="AJ294" s="15"/>
      <c r="AK294" s="15"/>
      <c r="AL294" s="15" t="s">
        <v>328</v>
      </c>
      <c r="AM294" s="15" t="s">
        <v>328</v>
      </c>
      <c r="AN294" s="15"/>
      <c r="AO294" s="15" t="s">
        <v>328</v>
      </c>
      <c r="AP294" s="15" t="s">
        <v>328</v>
      </c>
      <c r="AQ294" s="15" t="s">
        <v>328</v>
      </c>
      <c r="AR294" s="15">
        <v>5</v>
      </c>
      <c r="AS294" s="15">
        <v>5</v>
      </c>
      <c r="AT294" s="15"/>
      <c r="AU294" s="15"/>
      <c r="AV294" s="15"/>
      <c r="AW294" s="15" t="s">
        <v>328</v>
      </c>
      <c r="AX294" s="15">
        <v>3</v>
      </c>
      <c r="AY294" s="15">
        <v>4</v>
      </c>
      <c r="AZ294" s="15">
        <v>2</v>
      </c>
      <c r="BA294" s="15" t="s">
        <v>346</v>
      </c>
      <c r="BB294" s="15" t="s">
        <v>328</v>
      </c>
      <c r="BC294" s="15"/>
      <c r="BD294" s="15" t="s">
        <v>328</v>
      </c>
      <c r="BE294" s="15"/>
      <c r="BF294" s="15"/>
      <c r="BG294" s="15"/>
      <c r="BH294" s="15" t="s">
        <v>328</v>
      </c>
      <c r="BI294" s="15"/>
      <c r="BJ294" s="15"/>
      <c r="BK294" s="15" t="s">
        <v>328</v>
      </c>
      <c r="BL294" s="15"/>
      <c r="BM294" s="15"/>
      <c r="BN294" s="15"/>
      <c r="BO294" s="15" t="s">
        <v>328</v>
      </c>
      <c r="BP294" s="15" t="s">
        <v>328</v>
      </c>
      <c r="BQ294" s="15"/>
      <c r="BR294" s="15"/>
      <c r="BS294" s="15"/>
      <c r="BT294" s="15"/>
      <c r="BU294" s="15"/>
      <c r="BV294" s="15"/>
      <c r="BW294" s="15" t="s">
        <v>328</v>
      </c>
      <c r="BX294" s="15"/>
      <c r="BY294" s="15" t="s">
        <v>328</v>
      </c>
      <c r="BZ294" s="15"/>
      <c r="CA294" s="15"/>
      <c r="CB294" s="15" t="s">
        <v>328</v>
      </c>
      <c r="CC294" s="15" t="s">
        <v>328</v>
      </c>
      <c r="CD294" s="15"/>
      <c r="CE294" s="15"/>
      <c r="CF294" s="15"/>
      <c r="CG294" s="15"/>
      <c r="CH294" s="15"/>
      <c r="CI294" s="15" t="s">
        <v>328</v>
      </c>
      <c r="CJ294" s="15"/>
      <c r="CK294" s="15"/>
      <c r="CL294" s="15"/>
      <c r="CM294" s="15"/>
      <c r="CN294" s="15">
        <v>1</v>
      </c>
      <c r="CO294" s="15">
        <v>3</v>
      </c>
      <c r="CP294" s="15">
        <v>6</v>
      </c>
      <c r="CQ294" s="15">
        <v>4</v>
      </c>
      <c r="CR294" s="15">
        <v>5</v>
      </c>
      <c r="CS294" s="15">
        <v>2</v>
      </c>
      <c r="CT294" s="15"/>
      <c r="CU294" s="15" t="s">
        <v>328</v>
      </c>
      <c r="CV294" s="15" t="s">
        <v>328</v>
      </c>
      <c r="CW294" s="15"/>
      <c r="CX294" s="15"/>
      <c r="CY294" s="15"/>
      <c r="CZ294" s="15"/>
      <c r="DA294" s="15"/>
      <c r="DB294" s="15"/>
      <c r="DC294" s="15">
        <v>1</v>
      </c>
      <c r="DD294" s="15">
        <v>6</v>
      </c>
      <c r="DE294" s="15">
        <v>5</v>
      </c>
      <c r="DF294" s="15">
        <v>3</v>
      </c>
      <c r="DG294" s="15">
        <v>2</v>
      </c>
      <c r="DH294" s="15">
        <v>4</v>
      </c>
      <c r="DI294" s="15"/>
      <c r="DJ294" s="15" t="s">
        <v>328</v>
      </c>
      <c r="DK294" s="15"/>
      <c r="DL294" s="15"/>
      <c r="DM294" s="15"/>
      <c r="DN294" s="15"/>
      <c r="DO294" s="15"/>
      <c r="DP294" s="15"/>
      <c r="DQ294" s="15" t="s">
        <v>328</v>
      </c>
      <c r="DR294" s="15"/>
      <c r="DS294" s="15"/>
      <c r="DT294" s="15"/>
      <c r="DU294" s="15"/>
      <c r="DV294" s="15"/>
      <c r="DW294" s="15"/>
      <c r="DX294" s="15"/>
      <c r="DY294" s="15" t="s">
        <v>328</v>
      </c>
      <c r="DZ294" s="15"/>
      <c r="EA294" s="15"/>
      <c r="EB294" s="15"/>
      <c r="EC294" s="15"/>
      <c r="ED294" s="15"/>
      <c r="EE294" s="102"/>
      <c r="EF294" s="99"/>
      <c r="EG294" s="17">
        <f t="shared" si="4"/>
        <v>0</v>
      </c>
    </row>
    <row r="295" spans="1:137" x14ac:dyDescent="0.25">
      <c r="A295" s="51" t="s">
        <v>1378</v>
      </c>
      <c r="B295" s="211">
        <v>41571</v>
      </c>
      <c r="C295" s="212" t="s">
        <v>2762</v>
      </c>
      <c r="D295" s="61" t="s">
        <v>1434</v>
      </c>
      <c r="E295" s="15" t="s">
        <v>328</v>
      </c>
      <c r="F295" s="15"/>
      <c r="G295" s="15">
        <v>49</v>
      </c>
      <c r="H295" s="15" t="s">
        <v>329</v>
      </c>
      <c r="I295" s="15" t="s">
        <v>330</v>
      </c>
      <c r="J295" s="18" t="s">
        <v>1408</v>
      </c>
      <c r="K295" s="18" t="s">
        <v>1407</v>
      </c>
      <c r="L295" s="15" t="s">
        <v>1281</v>
      </c>
      <c r="M295" s="15">
        <v>25</v>
      </c>
      <c r="N295" s="15">
        <v>1</v>
      </c>
      <c r="O295" s="15">
        <v>1</v>
      </c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 t="s">
        <v>328</v>
      </c>
      <c r="AC295" s="15"/>
      <c r="AD295" s="15"/>
      <c r="AE295" s="15"/>
      <c r="AF295" s="15"/>
      <c r="AG295" s="15"/>
      <c r="AH295" s="15"/>
      <c r="AI295" s="15"/>
      <c r="AJ295" s="15"/>
      <c r="AK295" s="15"/>
      <c r="AL295" s="15" t="s">
        <v>328</v>
      </c>
      <c r="AM295" s="15"/>
      <c r="AN295" s="15" t="s">
        <v>328</v>
      </c>
      <c r="AO295" s="15" t="s">
        <v>328</v>
      </c>
      <c r="AP295" s="15"/>
      <c r="AQ295" s="15"/>
      <c r="AR295" s="15">
        <v>10</v>
      </c>
      <c r="AS295" s="15">
        <v>3</v>
      </c>
      <c r="AT295" s="15"/>
      <c r="AU295" s="15" t="s">
        <v>328</v>
      </c>
      <c r="AV295" s="15"/>
      <c r="AW295" s="15"/>
      <c r="AX295" s="15">
        <v>1</v>
      </c>
      <c r="AY295" s="15">
        <v>3</v>
      </c>
      <c r="AZ295" s="15">
        <v>2</v>
      </c>
      <c r="BA295" s="15"/>
      <c r="BB295" s="15" t="s">
        <v>328</v>
      </c>
      <c r="BC295" s="15"/>
      <c r="BD295" s="15" t="s">
        <v>328</v>
      </c>
      <c r="BE295" s="15"/>
      <c r="BF295" s="15"/>
      <c r="BG295" s="15"/>
      <c r="BH295" s="15"/>
      <c r="BI295" s="15"/>
      <c r="BJ295" s="15"/>
      <c r="BK295" s="15"/>
      <c r="BL295" s="15" t="s">
        <v>328</v>
      </c>
      <c r="BM295" s="15"/>
      <c r="BN295" s="15"/>
      <c r="BO295" s="15" t="s">
        <v>328</v>
      </c>
      <c r="BP295" s="15"/>
      <c r="BQ295" s="15" t="s">
        <v>328</v>
      </c>
      <c r="BR295" s="15"/>
      <c r="BS295" s="15"/>
      <c r="BT295" s="15" t="s">
        <v>328</v>
      </c>
      <c r="BU295" s="15"/>
      <c r="BV295" s="15"/>
      <c r="BW295" s="15"/>
      <c r="BX295" s="15"/>
      <c r="BY295" s="15"/>
      <c r="BZ295" s="15"/>
      <c r="CA295" s="15"/>
      <c r="CB295" s="15"/>
      <c r="CC295" s="15" t="s">
        <v>328</v>
      </c>
      <c r="CD295" s="15"/>
      <c r="CE295" s="15"/>
      <c r="CF295" s="15"/>
      <c r="CG295" s="15" t="s">
        <v>328</v>
      </c>
      <c r="CH295" s="15"/>
      <c r="CI295" s="15" t="s">
        <v>328</v>
      </c>
      <c r="CJ295" s="15"/>
      <c r="CK295" s="15"/>
      <c r="CL295" s="15"/>
      <c r="CM295" s="15"/>
      <c r="CN295" s="15">
        <v>2</v>
      </c>
      <c r="CO295" s="15">
        <v>1</v>
      </c>
      <c r="CP295" s="15">
        <v>5</v>
      </c>
      <c r="CQ295" s="15">
        <v>6</v>
      </c>
      <c r="CR295" s="15">
        <v>3</v>
      </c>
      <c r="CS295" s="15">
        <v>4</v>
      </c>
      <c r="CT295" s="15"/>
      <c r="CU295" s="15"/>
      <c r="CV295" s="15"/>
      <c r="CW295" s="15"/>
      <c r="CX295" s="15"/>
      <c r="CY295" s="15"/>
      <c r="CZ295" s="15" t="s">
        <v>328</v>
      </c>
      <c r="DA295" s="15"/>
      <c r="DB295" s="15"/>
      <c r="DC295" s="15">
        <v>1</v>
      </c>
      <c r="DD295" s="15">
        <v>4</v>
      </c>
      <c r="DE295" s="15">
        <v>2</v>
      </c>
      <c r="DF295" s="15">
        <v>5</v>
      </c>
      <c r="DG295" s="15">
        <v>3</v>
      </c>
      <c r="DH295" s="15">
        <v>6</v>
      </c>
      <c r="DI295" s="15"/>
      <c r="DJ295" s="15" t="s">
        <v>328</v>
      </c>
      <c r="DK295" s="15"/>
      <c r="DL295" s="15"/>
      <c r="DM295" s="15"/>
      <c r="DN295" s="15"/>
      <c r="DO295" s="15"/>
      <c r="DP295" s="15"/>
      <c r="DQ295" s="15" t="s">
        <v>328</v>
      </c>
      <c r="DR295" s="15"/>
      <c r="DS295" s="15"/>
      <c r="DT295" s="15"/>
      <c r="DU295" s="15"/>
      <c r="DV295" s="15"/>
      <c r="DW295" s="15"/>
      <c r="DX295" s="15"/>
      <c r="DY295" s="15" t="s">
        <v>328</v>
      </c>
      <c r="DZ295" s="15"/>
      <c r="EA295" s="15"/>
      <c r="EB295" s="15"/>
      <c r="EC295" s="15"/>
      <c r="ED295" s="12"/>
      <c r="EE295" s="80"/>
      <c r="EF295" s="99"/>
      <c r="EG295" s="17">
        <f t="shared" si="4"/>
        <v>0</v>
      </c>
    </row>
    <row r="296" spans="1:137" x14ac:dyDescent="0.25">
      <c r="A296" s="51" t="s">
        <v>1378</v>
      </c>
      <c r="B296" s="211">
        <v>41571</v>
      </c>
      <c r="C296" s="212" t="s">
        <v>2762</v>
      </c>
      <c r="D296" s="61" t="s">
        <v>1435</v>
      </c>
      <c r="E296" s="15" t="s">
        <v>328</v>
      </c>
      <c r="F296" s="15"/>
      <c r="G296" s="15">
        <v>38</v>
      </c>
      <c r="H296" s="15" t="s">
        <v>329</v>
      </c>
      <c r="I296" s="15" t="s">
        <v>357</v>
      </c>
      <c r="J296" s="15" t="s">
        <v>1402</v>
      </c>
      <c r="K296" s="15" t="s">
        <v>1403</v>
      </c>
      <c r="L296" s="15" t="s">
        <v>1281</v>
      </c>
      <c r="M296" s="15">
        <v>6</v>
      </c>
      <c r="N296" s="15">
        <v>3</v>
      </c>
      <c r="O296" s="15">
        <v>3</v>
      </c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 t="s">
        <v>328</v>
      </c>
      <c r="AD296" s="15"/>
      <c r="AE296" s="15"/>
      <c r="AF296" s="15"/>
      <c r="AG296" s="15"/>
      <c r="AH296" s="15" t="s">
        <v>328</v>
      </c>
      <c r="AI296" s="15"/>
      <c r="AJ296" s="15"/>
      <c r="AK296" s="15"/>
      <c r="AL296" s="15" t="s">
        <v>328</v>
      </c>
      <c r="AM296" s="15"/>
      <c r="AN296" s="15"/>
      <c r="AO296" s="15"/>
      <c r="AP296" s="15" t="s">
        <v>328</v>
      </c>
      <c r="AQ296" s="15"/>
      <c r="AR296" s="15">
        <v>5</v>
      </c>
      <c r="AS296" s="15">
        <v>1</v>
      </c>
      <c r="AT296" s="15"/>
      <c r="AU296" s="15"/>
      <c r="AV296" s="15" t="s">
        <v>328</v>
      </c>
      <c r="AW296" s="15"/>
      <c r="AX296" s="15">
        <v>1</v>
      </c>
      <c r="AY296" s="15">
        <v>2</v>
      </c>
      <c r="AZ296" s="15">
        <v>3</v>
      </c>
      <c r="BA296" s="15"/>
      <c r="BB296" s="15" t="s">
        <v>328</v>
      </c>
      <c r="BC296" s="15"/>
      <c r="BD296" s="15"/>
      <c r="BE296" s="15"/>
      <c r="BF296" s="15"/>
      <c r="BG296" s="15" t="s">
        <v>328</v>
      </c>
      <c r="BH296" s="15"/>
      <c r="BI296" s="15"/>
      <c r="BJ296" s="15"/>
      <c r="BK296" s="15"/>
      <c r="BL296" s="15"/>
      <c r="BM296" s="15"/>
      <c r="BN296" s="15"/>
      <c r="BO296" s="15" t="s">
        <v>328</v>
      </c>
      <c r="BP296" s="15" t="s">
        <v>328</v>
      </c>
      <c r="BQ296" s="15"/>
      <c r="BR296" s="15"/>
      <c r="BS296" s="15"/>
      <c r="BT296" s="15"/>
      <c r="BU296" s="15"/>
      <c r="BV296" s="15" t="s">
        <v>328</v>
      </c>
      <c r="BW296" s="15"/>
      <c r="BX296" s="15"/>
      <c r="BY296" s="15"/>
      <c r="BZ296" s="15"/>
      <c r="CA296" s="15"/>
      <c r="CB296" s="15" t="s">
        <v>328</v>
      </c>
      <c r="CC296" s="15"/>
      <c r="CD296" s="15"/>
      <c r="CE296" s="15"/>
      <c r="CF296" s="15"/>
      <c r="CG296" s="15"/>
      <c r="CH296" s="15"/>
      <c r="CI296" s="15" t="s">
        <v>328</v>
      </c>
      <c r="CJ296" s="15"/>
      <c r="CK296" s="15"/>
      <c r="CL296" s="15"/>
      <c r="CM296" s="15"/>
      <c r="CN296" s="15">
        <v>3</v>
      </c>
      <c r="CO296" s="15">
        <v>2</v>
      </c>
      <c r="CP296" s="15">
        <v>1</v>
      </c>
      <c r="CQ296" s="15">
        <v>6</v>
      </c>
      <c r="CR296" s="15">
        <v>4</v>
      </c>
      <c r="CS296" s="15">
        <v>5</v>
      </c>
      <c r="CT296" s="15"/>
      <c r="CU296" s="15"/>
      <c r="CV296" s="15"/>
      <c r="CW296" s="15"/>
      <c r="CX296" s="15"/>
      <c r="CY296" s="15"/>
      <c r="CZ296" s="15" t="s">
        <v>332</v>
      </c>
      <c r="DA296" s="15"/>
      <c r="DB296" s="15"/>
      <c r="DC296" s="15">
        <v>1</v>
      </c>
      <c r="DD296" s="15">
        <v>2</v>
      </c>
      <c r="DE296" s="15">
        <v>3</v>
      </c>
      <c r="DF296" s="15">
        <v>5</v>
      </c>
      <c r="DG296" s="15">
        <v>4</v>
      </c>
      <c r="DH296" s="15">
        <v>6</v>
      </c>
      <c r="DI296" s="15"/>
      <c r="DJ296" s="15" t="s">
        <v>328</v>
      </c>
      <c r="DK296" s="15"/>
      <c r="DL296" s="15"/>
      <c r="DM296" s="15"/>
      <c r="DN296" s="15"/>
      <c r="DO296" s="15"/>
      <c r="DP296" s="15"/>
      <c r="DQ296" s="15" t="s">
        <v>328</v>
      </c>
      <c r="DR296" s="15"/>
      <c r="DS296" s="15"/>
      <c r="DT296" s="15"/>
      <c r="DU296" s="15"/>
      <c r="DV296" s="15"/>
      <c r="DW296" s="15"/>
      <c r="DX296" s="15"/>
      <c r="DY296" s="15" t="s">
        <v>328</v>
      </c>
      <c r="DZ296" s="15"/>
      <c r="EA296" s="15"/>
      <c r="EB296" s="15"/>
      <c r="EC296" s="15"/>
      <c r="ED296" s="15"/>
      <c r="EE296" s="102"/>
      <c r="EF296" s="99"/>
      <c r="EG296" s="17">
        <f t="shared" si="4"/>
        <v>0</v>
      </c>
    </row>
    <row r="297" spans="1:137" x14ac:dyDescent="0.25">
      <c r="A297" s="51" t="s">
        <v>1378</v>
      </c>
      <c r="B297" s="211">
        <v>41571</v>
      </c>
      <c r="C297" s="212" t="s">
        <v>2762</v>
      </c>
      <c r="D297" s="61" t="s">
        <v>1436</v>
      </c>
      <c r="E297" s="15" t="s">
        <v>328</v>
      </c>
      <c r="F297" s="15"/>
      <c r="G297" s="15">
        <v>65</v>
      </c>
      <c r="H297" s="15" t="s">
        <v>329</v>
      </c>
      <c r="I297" s="15" t="s">
        <v>357</v>
      </c>
      <c r="J297" s="18" t="s">
        <v>1423</v>
      </c>
      <c r="K297" s="18" t="s">
        <v>1424</v>
      </c>
      <c r="L297" s="15" t="s">
        <v>1281</v>
      </c>
      <c r="M297" s="15">
        <v>20</v>
      </c>
      <c r="N297" s="15">
        <v>2</v>
      </c>
      <c r="O297" s="15">
        <v>1</v>
      </c>
      <c r="P297" s="15"/>
      <c r="Q297" s="15"/>
      <c r="R297" s="15">
        <v>1</v>
      </c>
      <c r="S297" s="15"/>
      <c r="T297" s="15"/>
      <c r="U297" s="15"/>
      <c r="V297" s="15"/>
      <c r="W297" s="15"/>
      <c r="X297" s="15"/>
      <c r="Y297" s="15"/>
      <c r="Z297" s="15"/>
      <c r="AA297" s="15"/>
      <c r="AB297" s="15" t="s">
        <v>328</v>
      </c>
      <c r="AC297" s="15" t="s">
        <v>328</v>
      </c>
      <c r="AD297" s="15"/>
      <c r="AE297" s="15"/>
      <c r="AF297" s="15"/>
      <c r="AG297" s="15"/>
      <c r="AH297" s="15"/>
      <c r="AI297" s="15"/>
      <c r="AJ297" s="15"/>
      <c r="AK297" s="15"/>
      <c r="AL297" s="15" t="s">
        <v>328</v>
      </c>
      <c r="AM297" s="15"/>
      <c r="AN297" s="15"/>
      <c r="AO297" s="15"/>
      <c r="AP297" s="15"/>
      <c r="AQ297" s="14" t="s">
        <v>328</v>
      </c>
      <c r="AR297" s="15">
        <v>10</v>
      </c>
      <c r="AS297" s="15">
        <v>3</v>
      </c>
      <c r="AT297" s="15"/>
      <c r="AU297" s="15"/>
      <c r="AV297" s="15" t="s">
        <v>328</v>
      </c>
      <c r="AW297" s="15"/>
      <c r="AX297" s="15">
        <v>2</v>
      </c>
      <c r="AY297" s="15">
        <v>4</v>
      </c>
      <c r="AZ297" s="15">
        <v>3</v>
      </c>
      <c r="BA297" s="15" t="s">
        <v>346</v>
      </c>
      <c r="BB297" s="15" t="s">
        <v>328</v>
      </c>
      <c r="BC297" s="15"/>
      <c r="BD297" s="15"/>
      <c r="BE297" s="15"/>
      <c r="BF297" s="15"/>
      <c r="BG297" s="15" t="s">
        <v>328</v>
      </c>
      <c r="BH297" s="15"/>
      <c r="BI297" s="15"/>
      <c r="BJ297" s="15"/>
      <c r="BK297" s="15"/>
      <c r="BL297" s="15"/>
      <c r="BM297" s="15"/>
      <c r="BN297" s="15" t="s">
        <v>328</v>
      </c>
      <c r="BO297" s="15"/>
      <c r="BP297" s="15" t="s">
        <v>328</v>
      </c>
      <c r="BQ297" s="15"/>
      <c r="BR297" s="15"/>
      <c r="BS297" s="15"/>
      <c r="BT297" s="15" t="s">
        <v>328</v>
      </c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 t="s">
        <v>328</v>
      </c>
      <c r="CH297" s="15"/>
      <c r="CI297" s="15" t="s">
        <v>328</v>
      </c>
      <c r="CJ297" s="15"/>
      <c r="CK297" s="15"/>
      <c r="CL297" s="15"/>
      <c r="CM297" s="15"/>
      <c r="CN297" s="15">
        <v>4</v>
      </c>
      <c r="CO297" s="15">
        <v>1</v>
      </c>
      <c r="CP297" s="15">
        <v>2</v>
      </c>
      <c r="CQ297" s="15">
        <v>6</v>
      </c>
      <c r="CR297" s="15">
        <v>5</v>
      </c>
      <c r="CS297" s="15">
        <v>3</v>
      </c>
      <c r="CT297" s="15"/>
      <c r="CU297" s="15"/>
      <c r="CV297" s="15"/>
      <c r="CW297" s="15"/>
      <c r="CX297" s="15"/>
      <c r="CY297" s="15"/>
      <c r="CZ297" s="15" t="s">
        <v>332</v>
      </c>
      <c r="DA297" s="15"/>
      <c r="DB297" s="15"/>
      <c r="DC297" s="15">
        <v>6</v>
      </c>
      <c r="DD297" s="15">
        <v>1</v>
      </c>
      <c r="DE297" s="15">
        <v>2</v>
      </c>
      <c r="DF297" s="15">
        <v>5</v>
      </c>
      <c r="DG297" s="15">
        <v>4</v>
      </c>
      <c r="DH297" s="15">
        <v>3</v>
      </c>
      <c r="DI297" s="15"/>
      <c r="DJ297" s="15"/>
      <c r="DK297" s="15" t="s">
        <v>328</v>
      </c>
      <c r="DL297" s="15" t="s">
        <v>328</v>
      </c>
      <c r="DM297" s="15" t="s">
        <v>618</v>
      </c>
      <c r="DN297" s="15"/>
      <c r="DO297" s="15" t="s">
        <v>604</v>
      </c>
      <c r="DP297" s="14" t="s">
        <v>333</v>
      </c>
      <c r="DQ297" s="15"/>
      <c r="DR297" s="15" t="s">
        <v>328</v>
      </c>
      <c r="DS297" s="15" t="s">
        <v>328</v>
      </c>
      <c r="DT297" s="15" t="s">
        <v>504</v>
      </c>
      <c r="DU297" s="15"/>
      <c r="DV297" s="15"/>
      <c r="DW297" s="15" t="s">
        <v>410</v>
      </c>
      <c r="DX297" s="15" t="s">
        <v>598</v>
      </c>
      <c r="DY297" s="15" t="s">
        <v>328</v>
      </c>
      <c r="DZ297" s="15"/>
      <c r="EA297" s="15"/>
      <c r="EB297" s="15"/>
      <c r="EC297" s="15"/>
      <c r="ED297" s="15"/>
      <c r="EE297" s="102" t="s">
        <v>333</v>
      </c>
      <c r="EF297" s="99"/>
      <c r="EG297" s="17">
        <f t="shared" si="4"/>
        <v>0</v>
      </c>
    </row>
    <row r="298" spans="1:137" x14ac:dyDescent="0.25">
      <c r="A298" s="51" t="s">
        <v>1378</v>
      </c>
      <c r="B298" s="211">
        <v>41571</v>
      </c>
      <c r="C298" s="212" t="s">
        <v>2762</v>
      </c>
      <c r="D298" s="61" t="s">
        <v>1437</v>
      </c>
      <c r="E298" s="15" t="s">
        <v>328</v>
      </c>
      <c r="F298" s="15"/>
      <c r="G298" s="15">
        <v>52</v>
      </c>
      <c r="H298" s="15" t="s">
        <v>329</v>
      </c>
      <c r="I298" s="15" t="s">
        <v>357</v>
      </c>
      <c r="J298" s="18" t="s">
        <v>1415</v>
      </c>
      <c r="K298" s="18" t="s">
        <v>1191</v>
      </c>
      <c r="L298" s="15" t="s">
        <v>1281</v>
      </c>
      <c r="M298" s="15">
        <v>32</v>
      </c>
      <c r="N298" s="15">
        <v>3</v>
      </c>
      <c r="O298" s="15"/>
      <c r="P298" s="15"/>
      <c r="Q298" s="15"/>
      <c r="R298" s="15"/>
      <c r="S298" s="15"/>
      <c r="T298" s="15"/>
      <c r="U298" s="15"/>
      <c r="V298" s="15">
        <v>3</v>
      </c>
      <c r="W298" s="15"/>
      <c r="X298" s="15"/>
      <c r="Y298" s="15"/>
      <c r="Z298" s="15"/>
      <c r="AA298" s="15"/>
      <c r="AB298" s="15"/>
      <c r="AC298" s="15"/>
      <c r="AD298" s="15" t="s">
        <v>328</v>
      </c>
      <c r="AE298" s="15"/>
      <c r="AF298" s="15"/>
      <c r="AG298" s="15"/>
      <c r="AH298" s="15"/>
      <c r="AI298" s="15"/>
      <c r="AJ298" s="15"/>
      <c r="AK298" s="15"/>
      <c r="AL298" s="15" t="s">
        <v>328</v>
      </c>
      <c r="AM298" s="15"/>
      <c r="AN298" s="15"/>
      <c r="AO298" s="15" t="s">
        <v>328</v>
      </c>
      <c r="AP298" s="15"/>
      <c r="AQ298" s="15"/>
      <c r="AR298" s="15">
        <v>10</v>
      </c>
      <c r="AS298" s="15">
        <v>10</v>
      </c>
      <c r="AT298" s="15"/>
      <c r="AU298" s="15"/>
      <c r="AV298" s="15" t="s">
        <v>328</v>
      </c>
      <c r="AW298" s="15"/>
      <c r="AX298" s="15">
        <v>1</v>
      </c>
      <c r="AY298" s="15">
        <v>3</v>
      </c>
      <c r="AZ298" s="15">
        <v>2</v>
      </c>
      <c r="BA298" s="15"/>
      <c r="BB298" s="15" t="s">
        <v>328</v>
      </c>
      <c r="BC298" s="15"/>
      <c r="BD298" s="15" t="s">
        <v>328</v>
      </c>
      <c r="BE298" s="15"/>
      <c r="BF298" s="15"/>
      <c r="BG298" s="15"/>
      <c r="BH298" s="15"/>
      <c r="BI298" s="15"/>
      <c r="BJ298" s="15"/>
      <c r="BK298" s="15"/>
      <c r="BL298" s="15" t="s">
        <v>328</v>
      </c>
      <c r="BM298" s="15"/>
      <c r="BN298" s="15" t="s">
        <v>328</v>
      </c>
      <c r="BO298" s="15"/>
      <c r="BP298" s="15" t="s">
        <v>328</v>
      </c>
      <c r="BQ298" s="15"/>
      <c r="BR298" s="15"/>
      <c r="BS298" s="15" t="s">
        <v>328</v>
      </c>
      <c r="BT298" s="15" t="s">
        <v>328</v>
      </c>
      <c r="BU298" s="15"/>
      <c r="BV298" s="15" t="s">
        <v>328</v>
      </c>
      <c r="BW298" s="15"/>
      <c r="BX298" s="15"/>
      <c r="BY298" s="15" t="s">
        <v>328</v>
      </c>
      <c r="BZ298" s="15" t="s">
        <v>328</v>
      </c>
      <c r="CA298" s="15"/>
      <c r="CB298" s="15"/>
      <c r="CC298" s="15"/>
      <c r="CD298" s="15"/>
      <c r="CE298" s="14"/>
      <c r="CF298" s="15" t="s">
        <v>328</v>
      </c>
      <c r="CG298" s="15"/>
      <c r="CH298" s="15"/>
      <c r="CI298" s="15" t="s">
        <v>328</v>
      </c>
      <c r="CJ298" s="15"/>
      <c r="CK298" s="15"/>
      <c r="CL298" s="15"/>
      <c r="CM298" s="15"/>
      <c r="CN298" s="15">
        <v>4</v>
      </c>
      <c r="CO298" s="15">
        <v>3</v>
      </c>
      <c r="CP298" s="15">
        <v>6</v>
      </c>
      <c r="CQ298" s="15">
        <v>1</v>
      </c>
      <c r="CR298" s="15">
        <v>2</v>
      </c>
      <c r="CS298" s="15">
        <v>5</v>
      </c>
      <c r="CT298" s="15" t="s">
        <v>328</v>
      </c>
      <c r="CU298" s="15"/>
      <c r="CV298" s="15"/>
      <c r="CW298" s="15"/>
      <c r="CX298" s="15" t="s">
        <v>328</v>
      </c>
      <c r="CY298" s="15"/>
      <c r="CZ298" s="15"/>
      <c r="DA298" s="15"/>
      <c r="DB298" s="15"/>
      <c r="DC298" s="15">
        <v>1</v>
      </c>
      <c r="DD298" s="15">
        <v>6</v>
      </c>
      <c r="DE298" s="15">
        <v>5</v>
      </c>
      <c r="DF298" s="15">
        <v>2</v>
      </c>
      <c r="DG298" s="15">
        <v>4</v>
      </c>
      <c r="DH298" s="15">
        <v>3</v>
      </c>
      <c r="DI298" s="15"/>
      <c r="DJ298" s="15" t="s">
        <v>328</v>
      </c>
      <c r="DK298" s="15"/>
      <c r="DL298" s="15"/>
      <c r="DM298" s="15"/>
      <c r="DN298" s="15"/>
      <c r="DO298" s="15"/>
      <c r="DP298" s="15"/>
      <c r="DQ298" s="15" t="s">
        <v>328</v>
      </c>
      <c r="DR298" s="15"/>
      <c r="DS298" s="15"/>
      <c r="DT298" s="15"/>
      <c r="DU298" s="15"/>
      <c r="DV298" s="15"/>
      <c r="DW298" s="15"/>
      <c r="DX298" s="15"/>
      <c r="DY298" s="15" t="s">
        <v>328</v>
      </c>
      <c r="DZ298" s="15"/>
      <c r="EA298" s="15"/>
      <c r="EB298" s="15"/>
      <c r="EC298" s="15"/>
      <c r="ED298" s="12"/>
      <c r="EE298" s="80"/>
      <c r="EF298" s="99"/>
      <c r="EG298" s="17">
        <f t="shared" si="4"/>
        <v>0</v>
      </c>
    </row>
    <row r="299" spans="1:137" x14ac:dyDescent="0.25">
      <c r="A299" s="51" t="s">
        <v>1378</v>
      </c>
      <c r="B299" s="211">
        <v>41571</v>
      </c>
      <c r="C299" s="212" t="s">
        <v>2762</v>
      </c>
      <c r="D299" s="61" t="s">
        <v>1438</v>
      </c>
      <c r="E299" s="15" t="s">
        <v>328</v>
      </c>
      <c r="F299" s="15"/>
      <c r="G299" s="15">
        <v>30</v>
      </c>
      <c r="H299" s="15" t="s">
        <v>329</v>
      </c>
      <c r="I299" s="15" t="s">
        <v>357</v>
      </c>
      <c r="J299" s="15" t="s">
        <v>1107</v>
      </c>
      <c r="K299" s="15" t="s">
        <v>1321</v>
      </c>
      <c r="L299" s="15" t="s">
        <v>1281</v>
      </c>
      <c r="M299" s="15">
        <v>7</v>
      </c>
      <c r="N299" s="15">
        <v>1</v>
      </c>
      <c r="O299" s="15"/>
      <c r="P299" s="15"/>
      <c r="Q299" s="15"/>
      <c r="R299" s="15">
        <v>1</v>
      </c>
      <c r="S299" s="15"/>
      <c r="T299" s="15"/>
      <c r="U299" s="15"/>
      <c r="V299" s="15"/>
      <c r="W299" s="15"/>
      <c r="X299" s="15"/>
      <c r="Y299" s="15"/>
      <c r="Z299" s="15"/>
      <c r="AA299" s="15"/>
      <c r="AB299" s="15" t="s">
        <v>328</v>
      </c>
      <c r="AC299" s="15"/>
      <c r="AD299" s="15"/>
      <c r="AE299" s="15"/>
      <c r="AF299" s="15"/>
      <c r="AG299" s="15"/>
      <c r="AH299" s="15"/>
      <c r="AI299" s="15" t="s">
        <v>328</v>
      </c>
      <c r="AJ299" s="15"/>
      <c r="AK299" s="15"/>
      <c r="AL299" s="15"/>
      <c r="AM299" s="15"/>
      <c r="AN299" s="15"/>
      <c r="AO299" s="15"/>
      <c r="AP299" s="15"/>
      <c r="AQ299" s="15" t="s">
        <v>328</v>
      </c>
      <c r="AR299" s="15">
        <v>10</v>
      </c>
      <c r="AS299" s="15">
        <v>8</v>
      </c>
      <c r="AT299" s="15"/>
      <c r="AU299" s="15"/>
      <c r="AV299" s="15"/>
      <c r="AW299" s="15" t="s">
        <v>328</v>
      </c>
      <c r="AX299" s="15">
        <v>4</v>
      </c>
      <c r="AY299" s="15">
        <v>3</v>
      </c>
      <c r="AZ299" s="15">
        <v>2</v>
      </c>
      <c r="BA299" s="15" t="s">
        <v>346</v>
      </c>
      <c r="BB299" s="15" t="s">
        <v>328</v>
      </c>
      <c r="BC299" s="15"/>
      <c r="BD299" s="15"/>
      <c r="BE299" s="15"/>
      <c r="BF299" s="15"/>
      <c r="BG299" s="15" t="s">
        <v>328</v>
      </c>
      <c r="BH299" s="15"/>
      <c r="BI299" s="15"/>
      <c r="BJ299" s="15"/>
      <c r="BK299" s="15" t="s">
        <v>328</v>
      </c>
      <c r="BL299" s="15"/>
      <c r="BM299" s="15"/>
      <c r="BN299" s="15"/>
      <c r="BO299" s="15" t="s">
        <v>328</v>
      </c>
      <c r="BP299" s="15"/>
      <c r="BQ299" s="15" t="s">
        <v>328</v>
      </c>
      <c r="BR299" s="15" t="s">
        <v>328</v>
      </c>
      <c r="BS299" s="15"/>
      <c r="BT299" s="15"/>
      <c r="BU299" s="15"/>
      <c r="BV299" s="15" t="s">
        <v>328</v>
      </c>
      <c r="BW299" s="15"/>
      <c r="BX299" s="15"/>
      <c r="BY299" s="15"/>
      <c r="BZ299" s="15"/>
      <c r="CA299" s="15"/>
      <c r="CB299" s="15"/>
      <c r="CC299" s="15" t="s">
        <v>328</v>
      </c>
      <c r="CD299" s="15"/>
      <c r="CE299" s="15"/>
      <c r="CF299" s="15"/>
      <c r="CG299" s="15"/>
      <c r="CH299" s="15"/>
      <c r="CI299" s="15"/>
      <c r="CJ299" s="15" t="s">
        <v>328</v>
      </c>
      <c r="CK299" s="15"/>
      <c r="CL299" s="15"/>
      <c r="CM299" s="15"/>
      <c r="CN299" s="15">
        <v>1</v>
      </c>
      <c r="CO299" s="15">
        <v>4</v>
      </c>
      <c r="CP299" s="15">
        <v>3</v>
      </c>
      <c r="CQ299" s="15">
        <v>5</v>
      </c>
      <c r="CR299" s="15">
        <v>2</v>
      </c>
      <c r="CS299" s="15">
        <v>6</v>
      </c>
      <c r="CT299" s="15"/>
      <c r="CU299" s="15"/>
      <c r="CV299" s="15"/>
      <c r="CW299" s="15"/>
      <c r="CX299" s="15" t="s">
        <v>328</v>
      </c>
      <c r="CY299" s="15"/>
      <c r="CZ299" s="15"/>
      <c r="DA299" s="15"/>
      <c r="DB299" s="15"/>
      <c r="DC299" s="15">
        <v>1</v>
      </c>
      <c r="DD299" s="15">
        <v>3</v>
      </c>
      <c r="DE299" s="15">
        <v>4</v>
      </c>
      <c r="DF299" s="15">
        <v>5</v>
      </c>
      <c r="DG299" s="15">
        <v>2</v>
      </c>
      <c r="DH299" s="15">
        <v>6</v>
      </c>
      <c r="DI299" s="15"/>
      <c r="DJ299" s="15" t="s">
        <v>328</v>
      </c>
      <c r="DK299" s="15"/>
      <c r="DL299" s="15"/>
      <c r="DM299" s="15"/>
      <c r="DN299" s="15"/>
      <c r="DO299" s="15"/>
      <c r="DP299" s="15"/>
      <c r="DQ299" s="15" t="s">
        <v>328</v>
      </c>
      <c r="DR299" s="15"/>
      <c r="DS299" s="15"/>
      <c r="DT299" s="15"/>
      <c r="DU299" s="15"/>
      <c r="DV299" s="15"/>
      <c r="DW299" s="15"/>
      <c r="DX299" s="15"/>
      <c r="DY299" s="15" t="s">
        <v>328</v>
      </c>
      <c r="DZ299" s="15"/>
      <c r="EA299" s="15"/>
      <c r="EB299" s="15"/>
      <c r="EC299" s="15"/>
      <c r="ED299" s="15"/>
      <c r="EE299" s="102"/>
      <c r="EF299" s="99"/>
      <c r="EG299" s="17">
        <f t="shared" si="4"/>
        <v>0</v>
      </c>
    </row>
    <row r="300" spans="1:137" x14ac:dyDescent="0.25">
      <c r="A300" s="51" t="s">
        <v>1442</v>
      </c>
      <c r="B300" s="211">
        <v>41568</v>
      </c>
      <c r="C300" s="212" t="s">
        <v>2753</v>
      </c>
      <c r="D300" s="103" t="s">
        <v>1443</v>
      </c>
      <c r="E300" s="15" t="s">
        <v>328</v>
      </c>
      <c r="F300" s="15"/>
      <c r="G300" s="15">
        <v>46</v>
      </c>
      <c r="H300" s="15" t="s">
        <v>329</v>
      </c>
      <c r="I300" s="15" t="s">
        <v>330</v>
      </c>
      <c r="J300" s="15" t="s">
        <v>1444</v>
      </c>
      <c r="K300" s="15" t="s">
        <v>1445</v>
      </c>
      <c r="L300" s="15" t="s">
        <v>1446</v>
      </c>
      <c r="M300" s="15">
        <v>25</v>
      </c>
      <c r="N300" s="15">
        <v>1</v>
      </c>
      <c r="O300" s="15"/>
      <c r="P300" s="15"/>
      <c r="Q300" s="15"/>
      <c r="R300" s="15"/>
      <c r="S300" s="15"/>
      <c r="T300" s="15"/>
      <c r="U300" s="15"/>
      <c r="V300" s="15"/>
      <c r="W300" s="15">
        <v>1</v>
      </c>
      <c r="X300" s="15"/>
      <c r="Y300" s="15"/>
      <c r="Z300" s="15"/>
      <c r="AA300" s="15"/>
      <c r="AB300" s="15"/>
      <c r="AC300" s="15"/>
      <c r="AD300" s="15"/>
      <c r="AE300" s="15" t="s">
        <v>328</v>
      </c>
      <c r="AF300" s="15" t="s">
        <v>328</v>
      </c>
      <c r="AG300" s="15"/>
      <c r="AH300" s="15"/>
      <c r="AI300" s="15"/>
      <c r="AJ300" s="15"/>
      <c r="AK300" s="15"/>
      <c r="AL300" s="15"/>
      <c r="AM300" s="15" t="s">
        <v>328</v>
      </c>
      <c r="AN300" s="15"/>
      <c r="AO300" s="15" t="s">
        <v>328</v>
      </c>
      <c r="AP300" s="15"/>
      <c r="AQ300" s="15"/>
      <c r="AR300" s="15">
        <v>0</v>
      </c>
      <c r="AS300" s="15">
        <v>0</v>
      </c>
      <c r="AT300" s="15"/>
      <c r="AU300" s="15"/>
      <c r="AV300" s="15" t="s">
        <v>328</v>
      </c>
      <c r="AW300" s="15"/>
      <c r="AX300" s="15">
        <v>1</v>
      </c>
      <c r="AY300" s="15">
        <v>2</v>
      </c>
      <c r="AZ300" s="15">
        <v>3</v>
      </c>
      <c r="BA300" s="15"/>
      <c r="BB300" s="15" t="s">
        <v>328</v>
      </c>
      <c r="BC300" s="15"/>
      <c r="BD300" s="15"/>
      <c r="BE300" s="15" t="s">
        <v>328</v>
      </c>
      <c r="BF300" s="15"/>
      <c r="BG300" s="15"/>
      <c r="BH300" s="15"/>
      <c r="BI300" s="15"/>
      <c r="BJ300" s="15"/>
      <c r="BK300" s="15"/>
      <c r="BL300" s="15"/>
      <c r="BM300" s="15"/>
      <c r="BN300" s="15"/>
      <c r="BO300" s="15" t="s">
        <v>328</v>
      </c>
      <c r="BP300" s="15"/>
      <c r="BQ300" s="15" t="s">
        <v>328</v>
      </c>
      <c r="BR300" s="15" t="s">
        <v>328</v>
      </c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 t="s">
        <v>328</v>
      </c>
      <c r="CE300" s="15"/>
      <c r="CF300" s="15" t="s">
        <v>328</v>
      </c>
      <c r="CG300" s="15"/>
      <c r="CH300" s="15"/>
      <c r="CI300" s="15" t="s">
        <v>328</v>
      </c>
      <c r="CJ300" s="15"/>
      <c r="CK300" s="15"/>
      <c r="CL300" s="15"/>
      <c r="CM300" s="15"/>
      <c r="CN300" s="15">
        <v>5</v>
      </c>
      <c r="CO300" s="15">
        <v>1</v>
      </c>
      <c r="CP300" s="15">
        <v>2</v>
      </c>
      <c r="CQ300" s="15">
        <v>4</v>
      </c>
      <c r="CR300" s="15">
        <v>3</v>
      </c>
      <c r="CS300" s="15">
        <v>6</v>
      </c>
      <c r="CT300" s="15"/>
      <c r="CU300" s="15"/>
      <c r="CV300" s="15"/>
      <c r="CW300" s="15"/>
      <c r="CX300" s="15"/>
      <c r="CY300" s="15"/>
      <c r="CZ300" s="15" t="s">
        <v>332</v>
      </c>
      <c r="DA300" s="15"/>
      <c r="DB300" s="15"/>
      <c r="DC300" s="15">
        <v>1</v>
      </c>
      <c r="DD300" s="15">
        <v>4</v>
      </c>
      <c r="DE300" s="15">
        <v>3</v>
      </c>
      <c r="DF300" s="15"/>
      <c r="DG300" s="15">
        <v>2</v>
      </c>
      <c r="DH300" s="15"/>
      <c r="DI300" s="15"/>
      <c r="DJ300" s="15" t="s">
        <v>328</v>
      </c>
      <c r="DK300" s="15"/>
      <c r="DL300" s="15"/>
      <c r="DM300" s="15"/>
      <c r="DN300" s="15"/>
      <c r="DO300" s="15"/>
      <c r="DP300" s="15"/>
      <c r="DQ300" s="15" t="s">
        <v>328</v>
      </c>
      <c r="DR300" s="15"/>
      <c r="DS300" s="15"/>
      <c r="DT300" s="15"/>
      <c r="DU300" s="15"/>
      <c r="DV300" s="15"/>
      <c r="DW300" s="15"/>
      <c r="DX300" s="15"/>
      <c r="DY300" s="15" t="s">
        <v>328</v>
      </c>
      <c r="DZ300" s="15"/>
      <c r="EA300" s="15"/>
      <c r="EB300" s="15"/>
      <c r="EC300" s="15"/>
      <c r="ED300" s="15"/>
      <c r="EE300" s="102"/>
      <c r="EF300" s="99"/>
      <c r="EG300" s="17">
        <f t="shared" si="4"/>
        <v>0</v>
      </c>
    </row>
    <row r="301" spans="1:137" x14ac:dyDescent="0.25">
      <c r="A301" s="51" t="s">
        <v>1442</v>
      </c>
      <c r="B301" s="211">
        <v>41568</v>
      </c>
      <c r="C301" s="212" t="s">
        <v>2753</v>
      </c>
      <c r="D301" s="103" t="s">
        <v>1447</v>
      </c>
      <c r="E301" s="15" t="s">
        <v>328</v>
      </c>
      <c r="F301" s="15"/>
      <c r="G301" s="15">
        <v>63</v>
      </c>
      <c r="H301" s="15" t="s">
        <v>329</v>
      </c>
      <c r="I301" s="15" t="s">
        <v>353</v>
      </c>
      <c r="J301" s="15" t="s">
        <v>1448</v>
      </c>
      <c r="K301" s="15" t="s">
        <v>1268</v>
      </c>
      <c r="L301" s="15" t="s">
        <v>1446</v>
      </c>
      <c r="M301" s="15">
        <v>35</v>
      </c>
      <c r="N301" s="15">
        <v>1</v>
      </c>
      <c r="O301" s="15"/>
      <c r="P301" s="15"/>
      <c r="Q301" s="15"/>
      <c r="R301" s="15"/>
      <c r="S301" s="15"/>
      <c r="T301" s="15"/>
      <c r="U301" s="15"/>
      <c r="V301" s="15">
        <v>1</v>
      </c>
      <c r="W301" s="15"/>
      <c r="X301" s="15"/>
      <c r="Y301" s="15"/>
      <c r="Z301" s="15"/>
      <c r="AA301" s="15"/>
      <c r="AB301" s="15"/>
      <c r="AC301" s="15"/>
      <c r="AD301" s="15"/>
      <c r="AE301" s="15" t="s">
        <v>328</v>
      </c>
      <c r="AF301" s="15"/>
      <c r="AG301" s="15"/>
      <c r="AH301" s="15"/>
      <c r="AI301" s="15"/>
      <c r="AJ301" s="15"/>
      <c r="AK301" s="15"/>
      <c r="AL301" s="15"/>
      <c r="AM301" s="15" t="s">
        <v>328</v>
      </c>
      <c r="AN301" s="15"/>
      <c r="AO301" s="15"/>
      <c r="AP301" s="15" t="s">
        <v>328</v>
      </c>
      <c r="AQ301" s="15"/>
      <c r="AR301" s="15">
        <v>10</v>
      </c>
      <c r="AS301" s="15">
        <v>10</v>
      </c>
      <c r="AT301" s="15"/>
      <c r="AU301" s="15"/>
      <c r="AV301" s="15" t="s">
        <v>328</v>
      </c>
      <c r="AW301" s="15"/>
      <c r="AX301" s="15">
        <v>1</v>
      </c>
      <c r="AY301" s="15">
        <v>3</v>
      </c>
      <c r="AZ301" s="15">
        <v>2</v>
      </c>
      <c r="BA301" s="15"/>
      <c r="BB301" s="15" t="s">
        <v>328</v>
      </c>
      <c r="BC301" s="15"/>
      <c r="BD301" s="15"/>
      <c r="BE301" s="15"/>
      <c r="BF301" s="15"/>
      <c r="BG301" s="15"/>
      <c r="BH301" s="15"/>
      <c r="BI301" s="15" t="s">
        <v>328</v>
      </c>
      <c r="BJ301" s="15"/>
      <c r="BK301" s="15"/>
      <c r="BL301" s="15"/>
      <c r="BM301" s="15"/>
      <c r="BN301" s="15"/>
      <c r="BO301" s="15" t="s">
        <v>328</v>
      </c>
      <c r="BP301" s="15"/>
      <c r="BQ301" s="15" t="s">
        <v>328</v>
      </c>
      <c r="BR301" s="15"/>
      <c r="BS301" s="15"/>
      <c r="BT301" s="15"/>
      <c r="BU301" s="15"/>
      <c r="BV301" s="15"/>
      <c r="BW301" s="15" t="s">
        <v>328</v>
      </c>
      <c r="BX301" s="15"/>
      <c r="BY301" s="15"/>
      <c r="BZ301" s="15"/>
      <c r="CA301" s="15"/>
      <c r="CB301" s="15"/>
      <c r="CC301" s="15"/>
      <c r="CD301" s="15"/>
      <c r="CE301" s="15"/>
      <c r="CF301" s="15"/>
      <c r="CG301" s="15" t="s">
        <v>328</v>
      </c>
      <c r="CH301" s="15"/>
      <c r="CI301" s="15"/>
      <c r="CJ301" s="15" t="s">
        <v>328</v>
      </c>
      <c r="CK301" s="15"/>
      <c r="CL301" s="15"/>
      <c r="CM301" s="15"/>
      <c r="CN301" s="15">
        <v>3</v>
      </c>
      <c r="CO301" s="15">
        <v>4</v>
      </c>
      <c r="CP301" s="15">
        <v>5</v>
      </c>
      <c r="CQ301" s="15">
        <v>1</v>
      </c>
      <c r="CR301" s="15">
        <v>2</v>
      </c>
      <c r="CS301" s="15">
        <v>6</v>
      </c>
      <c r="CT301" s="15"/>
      <c r="CU301" s="15"/>
      <c r="CV301" s="15"/>
      <c r="CW301" s="15"/>
      <c r="CX301" s="15"/>
      <c r="CY301" s="15"/>
      <c r="CZ301" s="15" t="s">
        <v>332</v>
      </c>
      <c r="DA301" s="15" t="s">
        <v>328</v>
      </c>
      <c r="DB301" s="15" t="s">
        <v>700</v>
      </c>
      <c r="DC301" s="15"/>
      <c r="DD301" s="15"/>
      <c r="DE301" s="15"/>
      <c r="DF301" s="15"/>
      <c r="DG301" s="15"/>
      <c r="DH301" s="15"/>
      <c r="DI301" s="15"/>
      <c r="DJ301" s="15" t="s">
        <v>328</v>
      </c>
      <c r="DK301" s="15"/>
      <c r="DL301" s="15"/>
      <c r="DM301" s="15"/>
      <c r="DN301" s="15"/>
      <c r="DO301" s="15"/>
      <c r="DP301" s="15"/>
      <c r="DQ301" s="15" t="s">
        <v>328</v>
      </c>
      <c r="DR301" s="15"/>
      <c r="DS301" s="15"/>
      <c r="DT301" s="15"/>
      <c r="DU301" s="15"/>
      <c r="DV301" s="15"/>
      <c r="DW301" s="15"/>
      <c r="DX301" s="15"/>
      <c r="DY301" s="15" t="s">
        <v>328</v>
      </c>
      <c r="DZ301" s="15"/>
      <c r="EA301" s="15"/>
      <c r="EB301" s="15"/>
      <c r="EC301" s="15"/>
      <c r="ED301" s="15"/>
      <c r="EE301" s="102"/>
      <c r="EF301" s="99"/>
      <c r="EG301" s="17">
        <f t="shared" si="4"/>
        <v>0</v>
      </c>
    </row>
    <row r="302" spans="1:137" x14ac:dyDescent="0.25">
      <c r="A302" s="51" t="s">
        <v>1442</v>
      </c>
      <c r="B302" s="211">
        <v>41568</v>
      </c>
      <c r="C302" s="212" t="s">
        <v>2753</v>
      </c>
      <c r="D302" s="103" t="s">
        <v>1449</v>
      </c>
      <c r="E302" s="15" t="s">
        <v>328</v>
      </c>
      <c r="F302" s="15"/>
      <c r="G302" s="15">
        <v>52</v>
      </c>
      <c r="H302" s="15" t="s">
        <v>329</v>
      </c>
      <c r="I302" s="15" t="s">
        <v>353</v>
      </c>
      <c r="J302" s="15" t="s">
        <v>1450</v>
      </c>
      <c r="K302" s="15" t="s">
        <v>1451</v>
      </c>
      <c r="L302" s="15" t="s">
        <v>1446</v>
      </c>
      <c r="M302" s="15">
        <v>0</v>
      </c>
      <c r="N302" s="15">
        <v>2</v>
      </c>
      <c r="O302" s="15"/>
      <c r="P302" s="15"/>
      <c r="Q302" s="15"/>
      <c r="R302" s="15"/>
      <c r="S302" s="15"/>
      <c r="T302" s="15"/>
      <c r="U302" s="15"/>
      <c r="V302" s="15"/>
      <c r="W302" s="15">
        <v>2</v>
      </c>
      <c r="X302" s="15"/>
      <c r="Y302" s="15"/>
      <c r="Z302" s="15"/>
      <c r="AA302" s="15"/>
      <c r="AB302" s="15"/>
      <c r="AC302" s="15"/>
      <c r="AD302" s="15"/>
      <c r="AE302" s="15"/>
      <c r="AF302" s="15" t="s">
        <v>328</v>
      </c>
      <c r="AG302" s="15"/>
      <c r="AH302" s="15"/>
      <c r="AI302" s="15"/>
      <c r="AJ302" s="15"/>
      <c r="AK302" s="15"/>
      <c r="AL302" s="15" t="s">
        <v>328</v>
      </c>
      <c r="AM302" s="15"/>
      <c r="AN302" s="15"/>
      <c r="AO302" s="15"/>
      <c r="AP302" s="15"/>
      <c r="AQ302" s="15" t="s">
        <v>328</v>
      </c>
      <c r="AR302" s="15">
        <v>10</v>
      </c>
      <c r="AS302" s="15">
        <v>10</v>
      </c>
      <c r="AT302" s="15"/>
      <c r="AU302" s="15" t="s">
        <v>328</v>
      </c>
      <c r="AV302" s="15"/>
      <c r="AW302" s="15"/>
      <c r="AX302" s="15">
        <v>1</v>
      </c>
      <c r="AY302" s="15">
        <v>2</v>
      </c>
      <c r="AZ302" s="15">
        <v>3</v>
      </c>
      <c r="BA302" s="15"/>
      <c r="BB302" s="15" t="s">
        <v>328</v>
      </c>
      <c r="BC302" s="15"/>
      <c r="BD302" s="15"/>
      <c r="BE302" s="15"/>
      <c r="BF302" s="15"/>
      <c r="BG302" s="15" t="s">
        <v>328</v>
      </c>
      <c r="BH302" s="15"/>
      <c r="BI302" s="15"/>
      <c r="BJ302" s="15"/>
      <c r="BK302" s="15"/>
      <c r="BL302" s="15"/>
      <c r="BM302" s="15"/>
      <c r="BN302" s="15"/>
      <c r="BO302" s="15" t="s">
        <v>328</v>
      </c>
      <c r="BP302" s="15"/>
      <c r="BQ302" s="15" t="s">
        <v>328</v>
      </c>
      <c r="BR302" s="15"/>
      <c r="BS302" s="15" t="s">
        <v>328</v>
      </c>
      <c r="BT302" s="15"/>
      <c r="BU302" s="15"/>
      <c r="BV302" s="15"/>
      <c r="BW302" s="15" t="s">
        <v>328</v>
      </c>
      <c r="BX302" s="15"/>
      <c r="BY302" s="15"/>
      <c r="BZ302" s="15"/>
      <c r="CA302" s="15"/>
      <c r="CB302" s="15"/>
      <c r="CC302" s="15"/>
      <c r="CD302" s="15" t="s">
        <v>328</v>
      </c>
      <c r="CE302" s="15"/>
      <c r="CF302" s="15"/>
      <c r="CG302" s="15"/>
      <c r="CH302" s="15"/>
      <c r="CI302" s="15"/>
      <c r="CJ302" s="15" t="s">
        <v>328</v>
      </c>
      <c r="CK302" s="15"/>
      <c r="CL302" s="15"/>
      <c r="CM302" s="15"/>
      <c r="CN302" s="15">
        <v>5</v>
      </c>
      <c r="CO302" s="15">
        <v>1</v>
      </c>
      <c r="CP302" s="15">
        <v>2</v>
      </c>
      <c r="CQ302" s="15">
        <v>4</v>
      </c>
      <c r="CR302" s="15">
        <v>3</v>
      </c>
      <c r="CS302" s="15">
        <v>6</v>
      </c>
      <c r="CT302" s="15"/>
      <c r="CU302" s="15"/>
      <c r="CV302" s="15"/>
      <c r="CW302" s="15"/>
      <c r="CX302" s="15"/>
      <c r="CY302" s="15"/>
      <c r="CZ302" s="15" t="s">
        <v>332</v>
      </c>
      <c r="DA302" s="15"/>
      <c r="DB302" s="15"/>
      <c r="DC302" s="15">
        <v>1</v>
      </c>
      <c r="DD302" s="15"/>
      <c r="DE302" s="15"/>
      <c r="DF302" s="15"/>
      <c r="DG302" s="15">
        <v>2</v>
      </c>
      <c r="DH302" s="15"/>
      <c r="DI302" s="15"/>
      <c r="DJ302" s="15" t="s">
        <v>328</v>
      </c>
      <c r="DK302" s="15"/>
      <c r="DL302" s="15"/>
      <c r="DM302" s="15"/>
      <c r="DN302" s="15"/>
      <c r="DO302" s="15"/>
      <c r="DP302" s="15"/>
      <c r="DQ302" s="15" t="s">
        <v>328</v>
      </c>
      <c r="DR302" s="15"/>
      <c r="DS302" s="15"/>
      <c r="DT302" s="15"/>
      <c r="DU302" s="15"/>
      <c r="DV302" s="15"/>
      <c r="DW302" s="15"/>
      <c r="DX302" s="15"/>
      <c r="DY302" s="15" t="s">
        <v>328</v>
      </c>
      <c r="DZ302" s="15"/>
      <c r="EA302" s="15"/>
      <c r="EB302" s="15"/>
      <c r="EC302" s="15"/>
      <c r="ED302" s="15"/>
      <c r="EE302" s="102"/>
      <c r="EF302" s="99"/>
      <c r="EG302" s="17">
        <f t="shared" si="4"/>
        <v>0</v>
      </c>
    </row>
    <row r="303" spans="1:137" x14ac:dyDescent="0.25">
      <c r="A303" s="51" t="s">
        <v>1442</v>
      </c>
      <c r="B303" s="211">
        <v>41568</v>
      </c>
      <c r="C303" s="212" t="s">
        <v>2753</v>
      </c>
      <c r="D303" s="103" t="s">
        <v>1452</v>
      </c>
      <c r="E303" s="15" t="s">
        <v>328</v>
      </c>
      <c r="F303" s="15"/>
      <c r="G303" s="15">
        <v>50</v>
      </c>
      <c r="H303" s="15" t="s">
        <v>329</v>
      </c>
      <c r="I303" s="15" t="s">
        <v>330</v>
      </c>
      <c r="J303" s="15" t="s">
        <v>1448</v>
      </c>
      <c r="K303" s="15" t="s">
        <v>1268</v>
      </c>
      <c r="L303" s="15" t="s">
        <v>1446</v>
      </c>
      <c r="M303" s="15">
        <v>30</v>
      </c>
      <c r="N303" s="15">
        <v>4</v>
      </c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>
        <v>4</v>
      </c>
      <c r="Z303" s="15"/>
      <c r="AA303" s="15"/>
      <c r="AB303" s="15"/>
      <c r="AC303" s="15"/>
      <c r="AD303" s="15"/>
      <c r="AE303" s="15"/>
      <c r="AF303" s="15" t="s">
        <v>328</v>
      </c>
      <c r="AG303" s="15"/>
      <c r="AH303" s="15"/>
      <c r="AI303" s="15"/>
      <c r="AJ303" s="15"/>
      <c r="AK303" s="15"/>
      <c r="AL303" s="15" t="s">
        <v>328</v>
      </c>
      <c r="AM303" s="15"/>
      <c r="AN303" s="15"/>
      <c r="AO303" s="15"/>
      <c r="AP303" s="15"/>
      <c r="AQ303" s="15" t="s">
        <v>328</v>
      </c>
      <c r="AR303" s="15">
        <v>10</v>
      </c>
      <c r="AS303" s="15">
        <v>10</v>
      </c>
      <c r="AT303" s="15"/>
      <c r="AU303" s="15" t="s">
        <v>328</v>
      </c>
      <c r="AV303" s="15"/>
      <c r="AW303" s="15"/>
      <c r="AX303" s="15">
        <v>1</v>
      </c>
      <c r="AY303" s="15">
        <v>3</v>
      </c>
      <c r="AZ303" s="15">
        <v>2</v>
      </c>
      <c r="BA303" s="15"/>
      <c r="BB303" s="15" t="s">
        <v>328</v>
      </c>
      <c r="BC303" s="15"/>
      <c r="BD303" s="15"/>
      <c r="BE303" s="15"/>
      <c r="BF303" s="15"/>
      <c r="BG303" s="15" t="s">
        <v>328</v>
      </c>
      <c r="BH303" s="15"/>
      <c r="BI303" s="15"/>
      <c r="BJ303" s="15"/>
      <c r="BK303" s="15"/>
      <c r="BL303" s="15"/>
      <c r="BM303" s="15"/>
      <c r="BN303" s="15"/>
      <c r="BO303" s="15" t="s">
        <v>328</v>
      </c>
      <c r="BP303" s="15"/>
      <c r="BQ303" s="15" t="s">
        <v>328</v>
      </c>
      <c r="BR303" s="15"/>
      <c r="BS303" s="15" t="s">
        <v>328</v>
      </c>
      <c r="BT303" s="15"/>
      <c r="BU303" s="15"/>
      <c r="BV303" s="15" t="s">
        <v>328</v>
      </c>
      <c r="BW303" s="15"/>
      <c r="BX303" s="15"/>
      <c r="BY303" s="15"/>
      <c r="BZ303" s="15"/>
      <c r="CA303" s="15"/>
      <c r="CB303" s="15"/>
      <c r="CC303" s="15" t="s">
        <v>328</v>
      </c>
      <c r="CD303" s="15" t="s">
        <v>328</v>
      </c>
      <c r="CE303" s="15"/>
      <c r="CF303" s="15"/>
      <c r="CG303" s="15"/>
      <c r="CH303" s="15"/>
      <c r="CI303" s="15" t="s">
        <v>328</v>
      </c>
      <c r="CJ303" s="15"/>
      <c r="CK303" s="15"/>
      <c r="CL303" s="15"/>
      <c r="CM303" s="15"/>
      <c r="CN303" s="15">
        <v>6</v>
      </c>
      <c r="CO303" s="15">
        <v>3</v>
      </c>
      <c r="CP303" s="15">
        <v>4</v>
      </c>
      <c r="CQ303" s="15">
        <v>1</v>
      </c>
      <c r="CR303" s="15">
        <v>2</v>
      </c>
      <c r="CS303" s="15">
        <v>5</v>
      </c>
      <c r="CT303" s="15"/>
      <c r="CU303" s="15"/>
      <c r="CV303" s="15"/>
      <c r="CW303" s="15"/>
      <c r="CX303" s="15"/>
      <c r="CY303" s="15"/>
      <c r="CZ303" s="15" t="s">
        <v>332</v>
      </c>
      <c r="DA303" s="15"/>
      <c r="DB303" s="15"/>
      <c r="DC303" s="15">
        <v>1</v>
      </c>
      <c r="DD303" s="15">
        <v>3</v>
      </c>
      <c r="DE303" s="15">
        <v>4</v>
      </c>
      <c r="DF303" s="15">
        <v>5</v>
      </c>
      <c r="DG303" s="15">
        <v>2</v>
      </c>
      <c r="DH303" s="15"/>
      <c r="DI303" s="15"/>
      <c r="DJ303" s="15" t="s">
        <v>328</v>
      </c>
      <c r="DK303" s="15"/>
      <c r="DL303" s="15"/>
      <c r="DM303" s="15"/>
      <c r="DN303" s="15"/>
      <c r="DO303" s="15"/>
      <c r="DP303" s="15"/>
      <c r="DQ303" s="15" t="s">
        <v>328</v>
      </c>
      <c r="DR303" s="15"/>
      <c r="DS303" s="15"/>
      <c r="DT303" s="15"/>
      <c r="DU303" s="15"/>
      <c r="DV303" s="15"/>
      <c r="DW303" s="15"/>
      <c r="DX303" s="15"/>
      <c r="DY303" s="15" t="s">
        <v>328</v>
      </c>
      <c r="DZ303" s="15"/>
      <c r="EA303" s="15"/>
      <c r="EB303" s="15"/>
      <c r="EC303" s="15"/>
      <c r="ED303" s="15"/>
      <c r="EE303" s="102"/>
      <c r="EF303" s="99"/>
      <c r="EG303" s="17">
        <f t="shared" si="4"/>
        <v>0</v>
      </c>
    </row>
    <row r="304" spans="1:137" x14ac:dyDescent="0.25">
      <c r="A304" s="51" t="s">
        <v>1442</v>
      </c>
      <c r="B304" s="211">
        <v>41568</v>
      </c>
      <c r="C304" s="212" t="s">
        <v>2753</v>
      </c>
      <c r="D304" s="103" t="s">
        <v>1453</v>
      </c>
      <c r="E304" s="15" t="s">
        <v>328</v>
      </c>
      <c r="F304" s="15"/>
      <c r="G304" s="15">
        <v>49</v>
      </c>
      <c r="H304" s="15" t="s">
        <v>329</v>
      </c>
      <c r="I304" s="15" t="s">
        <v>330</v>
      </c>
      <c r="J304" s="15" t="s">
        <v>1454</v>
      </c>
      <c r="K304" s="15" t="s">
        <v>1455</v>
      </c>
      <c r="L304" s="15" t="s">
        <v>1446</v>
      </c>
      <c r="M304" s="15">
        <v>0</v>
      </c>
      <c r="N304" s="15">
        <v>2</v>
      </c>
      <c r="O304" s="15">
        <v>2</v>
      </c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 t="s">
        <v>328</v>
      </c>
      <c r="AG304" s="15"/>
      <c r="AH304" s="15" t="s">
        <v>328</v>
      </c>
      <c r="AI304" s="15"/>
      <c r="AJ304" s="15"/>
      <c r="AK304" s="15"/>
      <c r="AL304" s="15" t="s">
        <v>328</v>
      </c>
      <c r="AM304" s="15"/>
      <c r="AN304" s="15"/>
      <c r="AO304" s="15"/>
      <c r="AP304" s="15"/>
      <c r="AQ304" s="15" t="s">
        <v>328</v>
      </c>
      <c r="AR304" s="15">
        <v>10</v>
      </c>
      <c r="AS304" s="15">
        <v>10</v>
      </c>
      <c r="AT304" s="15"/>
      <c r="AU304" s="15"/>
      <c r="AV304" s="15" t="s">
        <v>328</v>
      </c>
      <c r="AW304" s="15"/>
      <c r="AX304" s="15">
        <v>1</v>
      </c>
      <c r="AY304" s="15">
        <v>2</v>
      </c>
      <c r="AZ304" s="15">
        <v>3</v>
      </c>
      <c r="BA304" s="15"/>
      <c r="BB304" s="15" t="s">
        <v>328</v>
      </c>
      <c r="BC304" s="15"/>
      <c r="BD304" s="15"/>
      <c r="BE304" s="15"/>
      <c r="BF304" s="15"/>
      <c r="BG304" s="15"/>
      <c r="BH304" s="15"/>
      <c r="BI304" s="15"/>
      <c r="BJ304" s="15"/>
      <c r="BK304" s="15" t="s">
        <v>328</v>
      </c>
      <c r="BL304" s="15"/>
      <c r="BM304" s="15"/>
      <c r="BN304" s="15"/>
      <c r="BO304" s="15" t="s">
        <v>328</v>
      </c>
      <c r="BP304" s="15"/>
      <c r="BQ304" s="15" t="s">
        <v>328</v>
      </c>
      <c r="BR304" s="15"/>
      <c r="BS304" s="15"/>
      <c r="BT304" s="15"/>
      <c r="BU304" s="15"/>
      <c r="BV304" s="15" t="s">
        <v>328</v>
      </c>
      <c r="BW304" s="15"/>
      <c r="BX304" s="15"/>
      <c r="BY304" s="15"/>
      <c r="BZ304" s="15"/>
      <c r="CA304" s="15"/>
      <c r="CB304" s="15" t="s">
        <v>328</v>
      </c>
      <c r="CC304" s="15"/>
      <c r="CD304" s="15" t="s">
        <v>328</v>
      </c>
      <c r="CE304" s="15"/>
      <c r="CF304" s="15"/>
      <c r="CG304" s="15"/>
      <c r="CH304" s="15"/>
      <c r="CI304" s="15"/>
      <c r="CJ304" s="15" t="s">
        <v>328</v>
      </c>
      <c r="CK304" s="15"/>
      <c r="CL304" s="15"/>
      <c r="CM304" s="15"/>
      <c r="CN304" s="15">
        <v>2</v>
      </c>
      <c r="CO304" s="15">
        <v>3</v>
      </c>
      <c r="CP304" s="15">
        <v>6</v>
      </c>
      <c r="CQ304" s="15">
        <v>4</v>
      </c>
      <c r="CR304" s="15">
        <v>5</v>
      </c>
      <c r="CS304" s="15">
        <v>1</v>
      </c>
      <c r="CT304" s="15"/>
      <c r="CU304" s="15" t="s">
        <v>328</v>
      </c>
      <c r="CV304" s="15"/>
      <c r="CW304" s="15"/>
      <c r="CX304" s="15"/>
      <c r="CY304" s="15"/>
      <c r="CZ304" s="15"/>
      <c r="DA304" s="15"/>
      <c r="DB304" s="15"/>
      <c r="DC304" s="15">
        <v>1</v>
      </c>
      <c r="DD304" s="15"/>
      <c r="DE304" s="15">
        <v>2</v>
      </c>
      <c r="DF304" s="15">
        <v>4</v>
      </c>
      <c r="DG304" s="15">
        <v>3</v>
      </c>
      <c r="DH304" s="15"/>
      <c r="DI304" s="15"/>
      <c r="DJ304" s="15" t="s">
        <v>328</v>
      </c>
      <c r="DK304" s="15"/>
      <c r="DL304" s="15"/>
      <c r="DM304" s="15"/>
      <c r="DN304" s="15"/>
      <c r="DO304" s="15"/>
      <c r="DP304" s="15"/>
      <c r="DQ304" s="15"/>
      <c r="DR304" s="15" t="s">
        <v>328</v>
      </c>
      <c r="DS304" s="15" t="s">
        <v>328</v>
      </c>
      <c r="DT304" s="15" t="s">
        <v>1456</v>
      </c>
      <c r="DU304" s="15"/>
      <c r="DV304" s="15"/>
      <c r="DW304" s="15"/>
      <c r="DX304" s="15"/>
      <c r="DY304" s="15" t="s">
        <v>328</v>
      </c>
      <c r="DZ304" s="15"/>
      <c r="EA304" s="15"/>
      <c r="EB304" s="15"/>
      <c r="EC304" s="15"/>
      <c r="ED304" s="15"/>
      <c r="EE304" s="102"/>
      <c r="EF304" s="99"/>
      <c r="EG304" s="17">
        <f t="shared" si="4"/>
        <v>0</v>
      </c>
    </row>
    <row r="305" spans="1:137" x14ac:dyDescent="0.25">
      <c r="A305" s="51" t="s">
        <v>1442</v>
      </c>
      <c r="B305" s="211">
        <v>41568</v>
      </c>
      <c r="C305" s="212" t="s">
        <v>2753</v>
      </c>
      <c r="D305" s="103" t="s">
        <v>1457</v>
      </c>
      <c r="E305" s="15" t="s">
        <v>328</v>
      </c>
      <c r="F305" s="15"/>
      <c r="G305" s="15">
        <v>54</v>
      </c>
      <c r="H305" s="15" t="s">
        <v>329</v>
      </c>
      <c r="I305" s="15" t="s">
        <v>330</v>
      </c>
      <c r="J305" s="15" t="s">
        <v>1458</v>
      </c>
      <c r="K305" s="15" t="s">
        <v>1459</v>
      </c>
      <c r="L305" s="15" t="s">
        <v>1292</v>
      </c>
      <c r="M305" s="15">
        <v>30</v>
      </c>
      <c r="N305" s="15">
        <v>2</v>
      </c>
      <c r="O305" s="15"/>
      <c r="P305" s="15"/>
      <c r="Q305" s="15"/>
      <c r="R305" s="15"/>
      <c r="S305" s="15"/>
      <c r="T305" s="15"/>
      <c r="U305" s="15"/>
      <c r="V305" s="15"/>
      <c r="W305" s="15">
        <v>2</v>
      </c>
      <c r="X305" s="15"/>
      <c r="Y305" s="15"/>
      <c r="Z305" s="15"/>
      <c r="AA305" s="15"/>
      <c r="AB305" s="15"/>
      <c r="AC305" s="15"/>
      <c r="AD305" s="15"/>
      <c r="AE305" s="15"/>
      <c r="AF305" s="15" t="s">
        <v>328</v>
      </c>
      <c r="AG305" s="15"/>
      <c r="AH305" s="15"/>
      <c r="AI305" s="15"/>
      <c r="AJ305" s="15"/>
      <c r="AK305" s="15"/>
      <c r="AL305" s="15" t="s">
        <v>328</v>
      </c>
      <c r="AM305" s="15"/>
      <c r="AN305" s="15"/>
      <c r="AO305" s="15"/>
      <c r="AP305" s="15"/>
      <c r="AQ305" s="15" t="s">
        <v>328</v>
      </c>
      <c r="AR305" s="15">
        <v>10</v>
      </c>
      <c r="AS305" s="15">
        <v>10</v>
      </c>
      <c r="AT305" s="15"/>
      <c r="AU305" s="15"/>
      <c r="AV305" s="15" t="s">
        <v>328</v>
      </c>
      <c r="AW305" s="15"/>
      <c r="AX305" s="15">
        <v>1</v>
      </c>
      <c r="AY305" s="15">
        <v>2</v>
      </c>
      <c r="AZ305" s="15">
        <v>3</v>
      </c>
      <c r="BA305" s="15"/>
      <c r="BB305" s="15" t="s">
        <v>328</v>
      </c>
      <c r="BC305" s="15"/>
      <c r="BD305" s="15"/>
      <c r="BE305" s="15"/>
      <c r="BF305" s="15"/>
      <c r="BG305" s="15"/>
      <c r="BH305" s="15"/>
      <c r="BI305" s="15"/>
      <c r="BJ305" s="15"/>
      <c r="BK305" s="15" t="s">
        <v>328</v>
      </c>
      <c r="BL305" s="15"/>
      <c r="BM305" s="15"/>
      <c r="BN305" s="15"/>
      <c r="BO305" s="15" t="s">
        <v>328</v>
      </c>
      <c r="BP305" s="15"/>
      <c r="BQ305" s="15" t="s">
        <v>328</v>
      </c>
      <c r="BR305" s="15"/>
      <c r="BS305" s="15"/>
      <c r="BT305" s="15"/>
      <c r="BU305" s="15"/>
      <c r="BV305" s="15" t="s">
        <v>328</v>
      </c>
      <c r="BW305" s="15"/>
      <c r="BX305" s="15"/>
      <c r="BY305" s="15"/>
      <c r="BZ305" s="15"/>
      <c r="CA305" s="15"/>
      <c r="CB305" s="15"/>
      <c r="CC305" s="15"/>
      <c r="CD305" s="15" t="s">
        <v>328</v>
      </c>
      <c r="CE305" s="15"/>
      <c r="CF305" s="15"/>
      <c r="CG305" s="15" t="s">
        <v>328</v>
      </c>
      <c r="CH305" s="15"/>
      <c r="CI305" s="15"/>
      <c r="CJ305" s="15" t="s">
        <v>328</v>
      </c>
      <c r="CK305" s="15"/>
      <c r="CL305" s="15"/>
      <c r="CM305" s="15"/>
      <c r="CN305" s="15">
        <v>4</v>
      </c>
      <c r="CO305" s="15">
        <v>1</v>
      </c>
      <c r="CP305" s="15">
        <v>2</v>
      </c>
      <c r="CQ305" s="15">
        <v>5</v>
      </c>
      <c r="CR305" s="15">
        <v>6</v>
      </c>
      <c r="CS305" s="15">
        <v>3</v>
      </c>
      <c r="CT305" s="15"/>
      <c r="CU305" s="15"/>
      <c r="CV305" s="15"/>
      <c r="CW305" s="15"/>
      <c r="CX305" s="15"/>
      <c r="CY305" s="15"/>
      <c r="CZ305" s="15" t="s">
        <v>332</v>
      </c>
      <c r="DA305" s="15"/>
      <c r="DB305" s="15"/>
      <c r="DC305" s="15">
        <v>2</v>
      </c>
      <c r="DD305" s="15"/>
      <c r="DE305" s="15"/>
      <c r="DF305" s="15"/>
      <c r="DG305" s="15">
        <v>1</v>
      </c>
      <c r="DH305" s="15"/>
      <c r="DI305" s="15"/>
      <c r="DJ305" s="15" t="s">
        <v>328</v>
      </c>
      <c r="DK305" s="15"/>
      <c r="DL305" s="15"/>
      <c r="DM305" s="15"/>
      <c r="DN305" s="15"/>
      <c r="DO305" s="15"/>
      <c r="DP305" s="15"/>
      <c r="DQ305" s="15" t="s">
        <v>328</v>
      </c>
      <c r="DR305" s="15"/>
      <c r="DS305" s="15"/>
      <c r="DT305" s="15"/>
      <c r="DU305" s="15"/>
      <c r="DV305" s="15"/>
      <c r="DW305" s="15"/>
      <c r="DX305" s="15"/>
      <c r="DY305" s="15" t="s">
        <v>328</v>
      </c>
      <c r="DZ305" s="15"/>
      <c r="EA305" s="15"/>
      <c r="EB305" s="15"/>
      <c r="EC305" s="15"/>
      <c r="ED305" s="15"/>
      <c r="EE305" s="102"/>
      <c r="EF305" s="99"/>
      <c r="EG305" s="17">
        <f t="shared" si="4"/>
        <v>0</v>
      </c>
    </row>
    <row r="306" spans="1:137" x14ac:dyDescent="0.25">
      <c r="A306" s="51" t="s">
        <v>1442</v>
      </c>
      <c r="B306" s="211">
        <v>41568</v>
      </c>
      <c r="C306" s="212" t="s">
        <v>2753</v>
      </c>
      <c r="D306" s="103" t="s">
        <v>1460</v>
      </c>
      <c r="E306" s="15" t="s">
        <v>328</v>
      </c>
      <c r="F306" s="15"/>
      <c r="G306" s="15">
        <v>51</v>
      </c>
      <c r="H306" s="15" t="s">
        <v>329</v>
      </c>
      <c r="I306" s="15" t="s">
        <v>353</v>
      </c>
      <c r="J306" s="15" t="s">
        <v>1448</v>
      </c>
      <c r="K306" s="15" t="s">
        <v>1268</v>
      </c>
      <c r="L306" s="15" t="s">
        <v>1446</v>
      </c>
      <c r="M306" s="15">
        <v>30</v>
      </c>
      <c r="N306" s="15">
        <v>1</v>
      </c>
      <c r="O306" s="15"/>
      <c r="P306" s="15"/>
      <c r="Q306" s="15"/>
      <c r="R306" s="15"/>
      <c r="S306" s="15"/>
      <c r="T306" s="15"/>
      <c r="U306" s="15"/>
      <c r="V306" s="15">
        <v>1</v>
      </c>
      <c r="W306" s="15"/>
      <c r="X306" s="15"/>
      <c r="Y306" s="15"/>
      <c r="Z306" s="15"/>
      <c r="AA306" s="15"/>
      <c r="AB306" s="15"/>
      <c r="AC306" s="15"/>
      <c r="AD306" s="15"/>
      <c r="AE306" s="15"/>
      <c r="AF306" s="15" t="s">
        <v>328</v>
      </c>
      <c r="AG306" s="15"/>
      <c r="AH306" s="15"/>
      <c r="AI306" s="15"/>
      <c r="AJ306" s="15"/>
      <c r="AK306" s="15"/>
      <c r="AL306" s="15"/>
      <c r="AM306" s="15" t="s">
        <v>328</v>
      </c>
      <c r="AN306" s="15"/>
      <c r="AO306" s="15" t="s">
        <v>328</v>
      </c>
      <c r="AP306" s="15"/>
      <c r="AQ306" s="15"/>
      <c r="AR306" s="15">
        <v>10</v>
      </c>
      <c r="AS306" s="15">
        <v>4</v>
      </c>
      <c r="AT306" s="15"/>
      <c r="AU306" s="15" t="s">
        <v>328</v>
      </c>
      <c r="AV306" s="15"/>
      <c r="AW306" s="15"/>
      <c r="AX306" s="15">
        <v>1</v>
      </c>
      <c r="AY306" s="15">
        <v>2</v>
      </c>
      <c r="AZ306" s="15">
        <v>3</v>
      </c>
      <c r="BA306" s="15"/>
      <c r="BB306" s="15" t="s">
        <v>328</v>
      </c>
      <c r="BC306" s="15"/>
      <c r="BD306" s="15" t="s">
        <v>328</v>
      </c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 t="s">
        <v>328</v>
      </c>
      <c r="BP306" s="15"/>
      <c r="BQ306" s="15" t="s">
        <v>328</v>
      </c>
      <c r="BR306" s="15"/>
      <c r="BS306" s="15"/>
      <c r="BT306" s="15"/>
      <c r="BU306" s="15"/>
      <c r="BV306" s="15"/>
      <c r="BW306" s="15" t="s">
        <v>328</v>
      </c>
      <c r="BX306" s="15"/>
      <c r="BY306" s="15"/>
      <c r="BZ306" s="15"/>
      <c r="CA306" s="15"/>
      <c r="CB306" s="15"/>
      <c r="CC306" s="15"/>
      <c r="CD306" s="15" t="s">
        <v>328</v>
      </c>
      <c r="CE306" s="15"/>
      <c r="CF306" s="15" t="s">
        <v>328</v>
      </c>
      <c r="CG306" s="15" t="s">
        <v>328</v>
      </c>
      <c r="CH306" s="15"/>
      <c r="CI306" s="15"/>
      <c r="CJ306" s="15" t="s">
        <v>328</v>
      </c>
      <c r="CK306" s="15"/>
      <c r="CL306" s="15"/>
      <c r="CM306" s="15"/>
      <c r="CN306" s="15">
        <v>1</v>
      </c>
      <c r="CO306" s="15">
        <v>3</v>
      </c>
      <c r="CP306" s="15">
        <v>4</v>
      </c>
      <c r="CQ306" s="15">
        <v>5</v>
      </c>
      <c r="CR306" s="15">
        <v>6</v>
      </c>
      <c r="CS306" s="15">
        <v>2</v>
      </c>
      <c r="CT306" s="15"/>
      <c r="CU306" s="15"/>
      <c r="CV306" s="15"/>
      <c r="CW306" s="15"/>
      <c r="CX306" s="15" t="s">
        <v>328</v>
      </c>
      <c r="CY306" s="15"/>
      <c r="CZ306" s="15"/>
      <c r="DA306" s="15"/>
      <c r="DB306" s="15"/>
      <c r="DC306" s="15">
        <v>1</v>
      </c>
      <c r="DD306" s="15">
        <v>2</v>
      </c>
      <c r="DE306" s="15">
        <v>3</v>
      </c>
      <c r="DF306" s="15"/>
      <c r="DG306" s="15"/>
      <c r="DH306" s="15"/>
      <c r="DI306" s="15"/>
      <c r="DJ306" s="15" t="s">
        <v>328</v>
      </c>
      <c r="DK306" s="15"/>
      <c r="DL306" s="15"/>
      <c r="DM306" s="15"/>
      <c r="DN306" s="15"/>
      <c r="DO306" s="15"/>
      <c r="DP306" s="15"/>
      <c r="DQ306" s="15" t="s">
        <v>328</v>
      </c>
      <c r="DR306" s="15"/>
      <c r="DS306" s="15"/>
      <c r="DT306" s="15"/>
      <c r="DU306" s="15"/>
      <c r="DV306" s="15"/>
      <c r="DW306" s="15"/>
      <c r="DX306" s="15"/>
      <c r="DY306" s="15" t="s">
        <v>328</v>
      </c>
      <c r="DZ306" s="15"/>
      <c r="EA306" s="15"/>
      <c r="EB306" s="15"/>
      <c r="EC306" s="15"/>
      <c r="ED306" s="15"/>
      <c r="EE306" s="102"/>
      <c r="EF306" s="99"/>
      <c r="EG306" s="17">
        <f t="shared" si="4"/>
        <v>0</v>
      </c>
    </row>
    <row r="307" spans="1:137" x14ac:dyDescent="0.25">
      <c r="A307" s="51" t="s">
        <v>1442</v>
      </c>
      <c r="B307" s="211">
        <v>41568</v>
      </c>
      <c r="C307" s="212" t="s">
        <v>2753</v>
      </c>
      <c r="D307" s="103" t="s">
        <v>1461</v>
      </c>
      <c r="E307" s="15" t="s">
        <v>328</v>
      </c>
      <c r="F307" s="15"/>
      <c r="G307" s="15">
        <v>49</v>
      </c>
      <c r="H307" s="15" t="s">
        <v>329</v>
      </c>
      <c r="I307" s="15" t="s">
        <v>353</v>
      </c>
      <c r="J307" s="15" t="s">
        <v>1454</v>
      </c>
      <c r="K307" s="15" t="s">
        <v>1455</v>
      </c>
      <c r="L307" s="15" t="s">
        <v>1446</v>
      </c>
      <c r="M307" s="15">
        <v>30</v>
      </c>
      <c r="N307" s="15">
        <v>1</v>
      </c>
      <c r="O307" s="15">
        <v>1</v>
      </c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 t="s">
        <v>328</v>
      </c>
      <c r="AG307" s="15"/>
      <c r="AH307" s="15" t="s">
        <v>328</v>
      </c>
      <c r="AI307" s="15"/>
      <c r="AJ307" s="15"/>
      <c r="AK307" s="15"/>
      <c r="AL307" s="15"/>
      <c r="AM307" s="15" t="s">
        <v>328</v>
      </c>
      <c r="AN307" s="15"/>
      <c r="AO307" s="15" t="s">
        <v>328</v>
      </c>
      <c r="AP307" s="15"/>
      <c r="AQ307" s="15"/>
      <c r="AR307" s="15">
        <v>10</v>
      </c>
      <c r="AS307" s="15">
        <v>10</v>
      </c>
      <c r="AT307" s="15"/>
      <c r="AU307" s="15"/>
      <c r="AV307" s="15" t="s">
        <v>328</v>
      </c>
      <c r="AW307" s="15"/>
      <c r="AX307" s="15">
        <v>1</v>
      </c>
      <c r="AY307" s="15">
        <v>2</v>
      </c>
      <c r="AZ307" s="15">
        <v>3</v>
      </c>
      <c r="BA307" s="15"/>
      <c r="BB307" s="15" t="s">
        <v>328</v>
      </c>
      <c r="BC307" s="15"/>
      <c r="BD307" s="15" t="s">
        <v>328</v>
      </c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 t="s">
        <v>328</v>
      </c>
      <c r="BP307" s="15"/>
      <c r="BQ307" s="15" t="s">
        <v>328</v>
      </c>
      <c r="BR307" s="15" t="s">
        <v>328</v>
      </c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 t="s">
        <v>328</v>
      </c>
      <c r="CF307" s="15" t="s">
        <v>328</v>
      </c>
      <c r="CG307" s="15"/>
      <c r="CH307" s="15"/>
      <c r="CI307" s="15"/>
      <c r="CJ307" s="15" t="s">
        <v>328</v>
      </c>
      <c r="CK307" s="15"/>
      <c r="CL307" s="15"/>
      <c r="CM307" s="15"/>
      <c r="CN307" s="15">
        <v>3</v>
      </c>
      <c r="CO307" s="15">
        <v>1</v>
      </c>
      <c r="CP307" s="15">
        <v>2</v>
      </c>
      <c r="CQ307" s="15">
        <v>5</v>
      </c>
      <c r="CR307" s="15">
        <v>6</v>
      </c>
      <c r="CS307" s="15">
        <v>4</v>
      </c>
      <c r="CT307" s="15"/>
      <c r="CU307" s="15"/>
      <c r="CV307" s="15"/>
      <c r="CW307" s="15"/>
      <c r="CX307" s="15"/>
      <c r="CY307" s="15"/>
      <c r="CZ307" s="15" t="s">
        <v>332</v>
      </c>
      <c r="DA307" s="15"/>
      <c r="DB307" s="15"/>
      <c r="DC307" s="15">
        <v>1</v>
      </c>
      <c r="DD307" s="15"/>
      <c r="DE307" s="15"/>
      <c r="DF307" s="15"/>
      <c r="DG307" s="15">
        <v>2</v>
      </c>
      <c r="DH307" s="15"/>
      <c r="DI307" s="15"/>
      <c r="DJ307" s="15" t="s">
        <v>328</v>
      </c>
      <c r="DK307" s="15"/>
      <c r="DL307" s="15"/>
      <c r="DM307" s="15"/>
      <c r="DN307" s="15"/>
      <c r="DO307" s="15"/>
      <c r="DP307" s="15"/>
      <c r="DQ307" s="15" t="s">
        <v>328</v>
      </c>
      <c r="DR307" s="15"/>
      <c r="DS307" s="15"/>
      <c r="DT307" s="15"/>
      <c r="DU307" s="15"/>
      <c r="DV307" s="15"/>
      <c r="DW307" s="15"/>
      <c r="DX307" s="15"/>
      <c r="DY307" s="15" t="s">
        <v>328</v>
      </c>
      <c r="DZ307" s="15"/>
      <c r="EA307" s="15"/>
      <c r="EB307" s="15"/>
      <c r="EC307" s="15"/>
      <c r="ED307" s="15"/>
      <c r="EE307" s="102"/>
      <c r="EF307" s="99"/>
      <c r="EG307" s="17">
        <f t="shared" si="4"/>
        <v>0</v>
      </c>
    </row>
    <row r="308" spans="1:137" x14ac:dyDescent="0.25">
      <c r="A308" s="51" t="s">
        <v>1442</v>
      </c>
      <c r="B308" s="211">
        <v>41568</v>
      </c>
      <c r="C308" s="212" t="s">
        <v>2753</v>
      </c>
      <c r="D308" s="103" t="s">
        <v>1462</v>
      </c>
      <c r="E308" s="15" t="s">
        <v>328</v>
      </c>
      <c r="F308" s="15"/>
      <c r="G308" s="15">
        <v>53</v>
      </c>
      <c r="H308" s="15" t="s">
        <v>329</v>
      </c>
      <c r="I308" s="15" t="s">
        <v>330</v>
      </c>
      <c r="J308" s="15" t="s">
        <v>1463</v>
      </c>
      <c r="K308" s="15" t="s">
        <v>1464</v>
      </c>
      <c r="L308" s="15" t="s">
        <v>1339</v>
      </c>
      <c r="M308" s="15">
        <v>30</v>
      </c>
      <c r="N308" s="15">
        <v>2</v>
      </c>
      <c r="O308" s="15">
        <v>2</v>
      </c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 t="s">
        <v>328</v>
      </c>
      <c r="AG308" s="15"/>
      <c r="AH308" s="15" t="s">
        <v>328</v>
      </c>
      <c r="AI308" s="15"/>
      <c r="AJ308" s="15"/>
      <c r="AK308" s="15"/>
      <c r="AL308" s="15"/>
      <c r="AM308" s="15" t="s">
        <v>328</v>
      </c>
      <c r="AN308" s="15"/>
      <c r="AO308" s="15" t="s">
        <v>328</v>
      </c>
      <c r="AP308" s="15"/>
      <c r="AQ308" s="15"/>
      <c r="AR308" s="15">
        <v>10</v>
      </c>
      <c r="AS308" s="15">
        <v>10</v>
      </c>
      <c r="AT308" s="15"/>
      <c r="AU308" s="15" t="s">
        <v>328</v>
      </c>
      <c r="AV308" s="15"/>
      <c r="AW308" s="15"/>
      <c r="AX308" s="15">
        <v>1</v>
      </c>
      <c r="AY308" s="15">
        <v>3</v>
      </c>
      <c r="AZ308" s="15">
        <v>2</v>
      </c>
      <c r="BA308" s="15"/>
      <c r="BB308" s="15" t="s">
        <v>328</v>
      </c>
      <c r="BC308" s="15"/>
      <c r="BD308" s="15" t="s">
        <v>328</v>
      </c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 t="s">
        <v>328</v>
      </c>
      <c r="BP308" s="15" t="s">
        <v>328</v>
      </c>
      <c r="BQ308" s="15"/>
      <c r="BR308" s="15" t="s">
        <v>328</v>
      </c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 t="s">
        <v>328</v>
      </c>
      <c r="CE308" s="15"/>
      <c r="CF308" s="15"/>
      <c r="CG308" s="15"/>
      <c r="CH308" s="14" t="s">
        <v>579</v>
      </c>
      <c r="CI308" s="15"/>
      <c r="CJ308" s="15" t="s">
        <v>328</v>
      </c>
      <c r="CK308" s="15"/>
      <c r="CL308" s="15"/>
      <c r="CM308" s="15"/>
      <c r="CN308" s="15">
        <v>6</v>
      </c>
      <c r="CO308" s="15">
        <v>1</v>
      </c>
      <c r="CP308" s="15">
        <v>2</v>
      </c>
      <c r="CQ308" s="15">
        <v>4</v>
      </c>
      <c r="CR308" s="15">
        <v>5</v>
      </c>
      <c r="CS308" s="15">
        <v>3</v>
      </c>
      <c r="CT308" s="15"/>
      <c r="CU308" s="15"/>
      <c r="CV308" s="15"/>
      <c r="CW308" s="15"/>
      <c r="CX308" s="15"/>
      <c r="CY308" s="15"/>
      <c r="CZ308" s="15" t="s">
        <v>332</v>
      </c>
      <c r="DA308" s="15"/>
      <c r="DB308" s="15"/>
      <c r="DC308" s="15">
        <v>1</v>
      </c>
      <c r="DD308" s="15">
        <v>3</v>
      </c>
      <c r="DE308" s="15">
        <v>4</v>
      </c>
      <c r="DF308" s="15">
        <v>5</v>
      </c>
      <c r="DG308" s="15">
        <v>2</v>
      </c>
      <c r="DH308" s="15">
        <v>6</v>
      </c>
      <c r="DI308" s="15"/>
      <c r="DJ308" s="15" t="s">
        <v>328</v>
      </c>
      <c r="DK308" s="15"/>
      <c r="DL308" s="15"/>
      <c r="DM308" s="15"/>
      <c r="DN308" s="15"/>
      <c r="DO308" s="15"/>
      <c r="DP308" s="15"/>
      <c r="DQ308" s="15" t="s">
        <v>328</v>
      </c>
      <c r="DR308" s="15"/>
      <c r="DS308" s="15"/>
      <c r="DT308" s="15"/>
      <c r="DU308" s="15"/>
      <c r="DV308" s="15"/>
      <c r="DW308" s="15"/>
      <c r="DX308" s="15"/>
      <c r="DY308" s="15" t="s">
        <v>328</v>
      </c>
      <c r="DZ308" s="15"/>
      <c r="EA308" s="15"/>
      <c r="EB308" s="15"/>
      <c r="EC308" s="15"/>
      <c r="ED308" s="15"/>
      <c r="EE308" s="102"/>
      <c r="EF308" s="99"/>
      <c r="EG308" s="17">
        <f t="shared" si="4"/>
        <v>0</v>
      </c>
    </row>
    <row r="309" spans="1:137" x14ac:dyDescent="0.25">
      <c r="A309" s="51" t="s">
        <v>1442</v>
      </c>
      <c r="B309" s="211">
        <v>41568</v>
      </c>
      <c r="C309" s="212" t="s">
        <v>2753</v>
      </c>
      <c r="D309" s="103" t="s">
        <v>1465</v>
      </c>
      <c r="E309" s="15" t="s">
        <v>328</v>
      </c>
      <c r="F309" s="15"/>
      <c r="G309" s="15">
        <v>49</v>
      </c>
      <c r="H309" s="15" t="s">
        <v>329</v>
      </c>
      <c r="I309" s="15" t="s">
        <v>353</v>
      </c>
      <c r="J309" s="15" t="s">
        <v>1450</v>
      </c>
      <c r="K309" s="15" t="s">
        <v>1451</v>
      </c>
      <c r="L309" s="15" t="s">
        <v>1446</v>
      </c>
      <c r="M309" s="15">
        <v>0</v>
      </c>
      <c r="N309" s="15">
        <v>3</v>
      </c>
      <c r="O309" s="15">
        <v>3</v>
      </c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 t="s">
        <v>328</v>
      </c>
      <c r="AG309" s="15"/>
      <c r="AH309" s="15" t="s">
        <v>328</v>
      </c>
      <c r="AI309" s="15"/>
      <c r="AJ309" s="15"/>
      <c r="AK309" s="15"/>
      <c r="AL309" s="15"/>
      <c r="AM309" s="15" t="s">
        <v>328</v>
      </c>
      <c r="AN309" s="15"/>
      <c r="AO309" s="15" t="s">
        <v>328</v>
      </c>
      <c r="AP309" s="15" t="s">
        <v>328</v>
      </c>
      <c r="AQ309" s="15"/>
      <c r="AR309" s="15">
        <v>10</v>
      </c>
      <c r="AS309" s="15">
        <v>3</v>
      </c>
      <c r="AT309" s="15"/>
      <c r="AU309" s="15"/>
      <c r="AV309" s="15" t="s">
        <v>328</v>
      </c>
      <c r="AW309" s="15"/>
      <c r="AX309" s="15">
        <v>2</v>
      </c>
      <c r="AY309" s="15">
        <v>3</v>
      </c>
      <c r="AZ309" s="15">
        <v>1</v>
      </c>
      <c r="BA309" s="15"/>
      <c r="BB309" s="15" t="s">
        <v>328</v>
      </c>
      <c r="BC309" s="15"/>
      <c r="BD309" s="15" t="s">
        <v>328</v>
      </c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 t="s">
        <v>328</v>
      </c>
      <c r="BP309" s="15"/>
      <c r="BQ309" s="15" t="s">
        <v>328</v>
      </c>
      <c r="BR309" s="15" t="s">
        <v>328</v>
      </c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 t="s">
        <v>328</v>
      </c>
      <c r="CD309" s="15" t="s">
        <v>328</v>
      </c>
      <c r="CE309" s="15"/>
      <c r="CF309" s="15"/>
      <c r="CG309" s="15"/>
      <c r="CH309" s="15"/>
      <c r="CI309" s="15" t="s">
        <v>328</v>
      </c>
      <c r="CJ309" s="15"/>
      <c r="CK309" s="15"/>
      <c r="CL309" s="15"/>
      <c r="CM309" s="15"/>
      <c r="CN309" s="15">
        <v>5</v>
      </c>
      <c r="CO309" s="15">
        <v>3</v>
      </c>
      <c r="CP309" s="15">
        <v>4</v>
      </c>
      <c r="CQ309" s="15">
        <v>1</v>
      </c>
      <c r="CR309" s="15">
        <v>2</v>
      </c>
      <c r="CS309" s="15">
        <v>6</v>
      </c>
      <c r="CT309" s="15"/>
      <c r="CU309" s="15"/>
      <c r="CV309" s="15"/>
      <c r="CW309" s="15"/>
      <c r="CX309" s="15"/>
      <c r="CY309" s="15"/>
      <c r="CZ309" s="15" t="s">
        <v>332</v>
      </c>
      <c r="DA309" s="15"/>
      <c r="DB309" s="15"/>
      <c r="DC309" s="15">
        <v>1</v>
      </c>
      <c r="DD309" s="15">
        <v>2</v>
      </c>
      <c r="DE309" s="15">
        <v>3</v>
      </c>
      <c r="DF309" s="15">
        <v>4</v>
      </c>
      <c r="DG309" s="15">
        <v>5</v>
      </c>
      <c r="DH309" s="15"/>
      <c r="DI309" s="15"/>
      <c r="DJ309" s="15" t="s">
        <v>328</v>
      </c>
      <c r="DK309" s="15"/>
      <c r="DL309" s="15"/>
      <c r="DM309" s="15"/>
      <c r="DN309" s="15"/>
      <c r="DO309" s="15"/>
      <c r="DP309" s="15"/>
      <c r="DQ309" s="15" t="s">
        <v>328</v>
      </c>
      <c r="DR309" s="15"/>
      <c r="DS309" s="15"/>
      <c r="DT309" s="15"/>
      <c r="DU309" s="15"/>
      <c r="DV309" s="15"/>
      <c r="DW309" s="15"/>
      <c r="DX309" s="15"/>
      <c r="DY309" s="15" t="s">
        <v>328</v>
      </c>
      <c r="DZ309" s="15"/>
      <c r="EA309" s="15"/>
      <c r="EB309" s="15"/>
      <c r="EC309" s="15"/>
      <c r="ED309" s="15"/>
      <c r="EE309" s="102"/>
      <c r="EF309" s="99"/>
      <c r="EG309" s="17">
        <f t="shared" si="4"/>
        <v>0</v>
      </c>
    </row>
    <row r="310" spans="1:137" x14ac:dyDescent="0.25">
      <c r="A310" s="51" t="s">
        <v>1442</v>
      </c>
      <c r="B310" s="211">
        <v>41568</v>
      </c>
      <c r="C310" s="212" t="s">
        <v>2753</v>
      </c>
      <c r="D310" s="103" t="s">
        <v>1466</v>
      </c>
      <c r="E310" s="15" t="s">
        <v>328</v>
      </c>
      <c r="F310" s="15"/>
      <c r="G310" s="15">
        <v>54</v>
      </c>
      <c r="H310" s="15" t="s">
        <v>329</v>
      </c>
      <c r="I310" s="15" t="s">
        <v>1346</v>
      </c>
      <c r="J310" s="15" t="s">
        <v>1467</v>
      </c>
      <c r="K310" s="15" t="s">
        <v>1468</v>
      </c>
      <c r="L310" s="15" t="s">
        <v>1446</v>
      </c>
      <c r="M310" s="15">
        <v>0</v>
      </c>
      <c r="N310" s="15">
        <v>3</v>
      </c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 t="s">
        <v>1469</v>
      </c>
      <c r="AB310" s="15"/>
      <c r="AC310" s="15"/>
      <c r="AD310" s="15"/>
      <c r="AE310" s="15"/>
      <c r="AF310" s="15"/>
      <c r="AG310" s="15"/>
      <c r="AH310" s="15"/>
      <c r="AI310" s="15"/>
      <c r="AJ310" s="15"/>
      <c r="AK310" s="15" t="s">
        <v>423</v>
      </c>
      <c r="AL310" s="15" t="s">
        <v>328</v>
      </c>
      <c r="AM310" s="15"/>
      <c r="AN310" s="15"/>
      <c r="AO310" s="15"/>
      <c r="AP310" s="15"/>
      <c r="AQ310" s="15" t="s">
        <v>328</v>
      </c>
      <c r="AR310" s="15">
        <v>0</v>
      </c>
      <c r="AS310" s="15">
        <v>0</v>
      </c>
      <c r="AT310" s="15"/>
      <c r="AU310" s="15" t="s">
        <v>328</v>
      </c>
      <c r="AV310" s="15"/>
      <c r="AW310" s="15"/>
      <c r="AX310" s="15">
        <v>3</v>
      </c>
      <c r="AY310" s="15">
        <v>2</v>
      </c>
      <c r="AZ310" s="15">
        <v>1</v>
      </c>
      <c r="BA310" s="15"/>
      <c r="BB310" s="15"/>
      <c r="BC310" s="15" t="s">
        <v>328</v>
      </c>
      <c r="BD310" s="15" t="s">
        <v>328</v>
      </c>
      <c r="BE310" s="15"/>
      <c r="BF310" s="15"/>
      <c r="BG310" s="15"/>
      <c r="BH310" s="15"/>
      <c r="BI310" s="15"/>
      <c r="BJ310" s="15"/>
      <c r="BK310" s="15"/>
      <c r="BL310" s="15"/>
      <c r="BM310" s="15"/>
      <c r="BN310" s="15" t="s">
        <v>328</v>
      </c>
      <c r="BO310" s="15"/>
      <c r="BP310" s="15" t="s">
        <v>328</v>
      </c>
      <c r="BQ310" s="15"/>
      <c r="BR310" s="15" t="s">
        <v>328</v>
      </c>
      <c r="BS310" s="15" t="s">
        <v>328</v>
      </c>
      <c r="BT310" s="15"/>
      <c r="BU310" s="15"/>
      <c r="BV310" s="15"/>
      <c r="BW310" s="15" t="s">
        <v>328</v>
      </c>
      <c r="BX310" s="15"/>
      <c r="BY310" s="15" t="s">
        <v>328</v>
      </c>
      <c r="BZ310" s="15"/>
      <c r="CA310" s="15"/>
      <c r="CB310" s="15" t="s">
        <v>328</v>
      </c>
      <c r="CC310" s="15" t="s">
        <v>328</v>
      </c>
      <c r="CD310" s="15"/>
      <c r="CE310" s="15"/>
      <c r="CF310" s="15"/>
      <c r="CG310" s="15"/>
      <c r="CH310" s="15" t="s">
        <v>579</v>
      </c>
      <c r="CI310" s="15" t="s">
        <v>328</v>
      </c>
      <c r="CJ310" s="15"/>
      <c r="CK310" s="15"/>
      <c r="CL310" s="15"/>
      <c r="CM310" s="15"/>
      <c r="CN310" s="15">
        <v>2</v>
      </c>
      <c r="CO310" s="15">
        <v>3</v>
      </c>
      <c r="CP310" s="15">
        <v>5</v>
      </c>
      <c r="CQ310" s="15">
        <v>4</v>
      </c>
      <c r="CR310" s="15">
        <v>6</v>
      </c>
      <c r="CS310" s="15">
        <v>1</v>
      </c>
      <c r="CT310" s="15"/>
      <c r="CU310" s="15" t="s">
        <v>328</v>
      </c>
      <c r="CV310" s="15"/>
      <c r="CW310" s="15" t="s">
        <v>328</v>
      </c>
      <c r="CX310" s="15"/>
      <c r="CY310" s="15" t="s">
        <v>328</v>
      </c>
      <c r="CZ310" s="15"/>
      <c r="DA310" s="15"/>
      <c r="DB310" s="15"/>
      <c r="DC310" s="15">
        <v>1</v>
      </c>
      <c r="DD310" s="15"/>
      <c r="DE310" s="15"/>
      <c r="DF310" s="15"/>
      <c r="DG310" s="15">
        <v>2</v>
      </c>
      <c r="DH310" s="15"/>
      <c r="DI310" s="15"/>
      <c r="DJ310" s="15" t="s">
        <v>328</v>
      </c>
      <c r="DK310" s="15"/>
      <c r="DL310" s="15"/>
      <c r="DM310" s="15"/>
      <c r="DN310" s="15"/>
      <c r="DO310" s="15"/>
      <c r="DP310" s="15"/>
      <c r="DQ310" s="15" t="s">
        <v>328</v>
      </c>
      <c r="DR310" s="15"/>
      <c r="DS310" s="15"/>
      <c r="DT310" s="15"/>
      <c r="DU310" s="15"/>
      <c r="DV310" s="15"/>
      <c r="DW310" s="15"/>
      <c r="DX310" s="15"/>
      <c r="DY310" s="15" t="s">
        <v>328</v>
      </c>
      <c r="DZ310" s="15"/>
      <c r="EA310" s="15"/>
      <c r="EB310" s="15"/>
      <c r="EC310" s="15"/>
      <c r="ED310" s="15"/>
      <c r="EE310" s="102"/>
      <c r="EF310" s="99"/>
      <c r="EG310" s="17">
        <f t="shared" si="4"/>
        <v>0</v>
      </c>
    </row>
    <row r="311" spans="1:137" x14ac:dyDescent="0.25">
      <c r="A311" s="51" t="s">
        <v>1442</v>
      </c>
      <c r="B311" s="211">
        <v>41568</v>
      </c>
      <c r="C311" s="212" t="s">
        <v>2753</v>
      </c>
      <c r="D311" s="103" t="s">
        <v>1470</v>
      </c>
      <c r="E311" s="15" t="s">
        <v>328</v>
      </c>
      <c r="F311" s="15"/>
      <c r="G311" s="15">
        <v>45</v>
      </c>
      <c r="H311" s="15" t="s">
        <v>329</v>
      </c>
      <c r="I311" s="15" t="s">
        <v>330</v>
      </c>
      <c r="J311" s="15" t="s">
        <v>1454</v>
      </c>
      <c r="K311" s="15" t="s">
        <v>1455</v>
      </c>
      <c r="L311" s="15" t="s">
        <v>1446</v>
      </c>
      <c r="M311" s="15">
        <v>20</v>
      </c>
      <c r="N311" s="15">
        <v>2</v>
      </c>
      <c r="O311" s="15"/>
      <c r="P311" s="15"/>
      <c r="Q311" s="15"/>
      <c r="R311" s="15"/>
      <c r="S311" s="15"/>
      <c r="T311" s="15"/>
      <c r="U311" s="15"/>
      <c r="V311" s="15">
        <v>2</v>
      </c>
      <c r="W311" s="15"/>
      <c r="X311" s="15"/>
      <c r="Y311" s="15"/>
      <c r="Z311" s="15"/>
      <c r="AA311" s="15"/>
      <c r="AB311" s="15"/>
      <c r="AC311" s="15"/>
      <c r="AD311" s="15"/>
      <c r="AE311" s="15" t="s">
        <v>328</v>
      </c>
      <c r="AF311" s="15"/>
      <c r="AG311" s="15"/>
      <c r="AH311" s="15"/>
      <c r="AI311" s="15"/>
      <c r="AJ311" s="15"/>
      <c r="AK311" s="15"/>
      <c r="AL311" s="15"/>
      <c r="AM311" s="15" t="s">
        <v>328</v>
      </c>
      <c r="AN311" s="15"/>
      <c r="AO311" s="15"/>
      <c r="AP311" s="15"/>
      <c r="AQ311" s="15" t="s">
        <v>328</v>
      </c>
      <c r="AR311" s="15">
        <v>10</v>
      </c>
      <c r="AS311" s="15">
        <v>10</v>
      </c>
      <c r="AT311" s="15"/>
      <c r="AU311" s="15"/>
      <c r="AV311" s="15" t="s">
        <v>328</v>
      </c>
      <c r="AW311" s="15"/>
      <c r="AX311" s="15">
        <v>1</v>
      </c>
      <c r="AY311" s="15">
        <v>3</v>
      </c>
      <c r="AZ311" s="15">
        <v>2</v>
      </c>
      <c r="BA311" s="15"/>
      <c r="BB311" s="15" t="s">
        <v>328</v>
      </c>
      <c r="BC311" s="15"/>
      <c r="BD311" s="15" t="s">
        <v>328</v>
      </c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 t="s">
        <v>328</v>
      </c>
      <c r="BP311" s="15" t="s">
        <v>328</v>
      </c>
      <c r="BQ311" s="15"/>
      <c r="BR311" s="15" t="s">
        <v>328</v>
      </c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 t="s">
        <v>328</v>
      </c>
      <c r="CD311" s="15" t="s">
        <v>328</v>
      </c>
      <c r="CE311" s="15"/>
      <c r="CF311" s="15"/>
      <c r="CG311" s="15"/>
      <c r="CH311" s="15"/>
      <c r="CI311" s="15"/>
      <c r="CJ311" s="15" t="s">
        <v>328</v>
      </c>
      <c r="CK311" s="15"/>
      <c r="CL311" s="15"/>
      <c r="CM311" s="15"/>
      <c r="CN311" s="15">
        <v>5</v>
      </c>
      <c r="CO311" s="15">
        <v>1</v>
      </c>
      <c r="CP311" s="15">
        <v>4</v>
      </c>
      <c r="CQ311" s="15">
        <v>2</v>
      </c>
      <c r="CR311" s="15">
        <v>3</v>
      </c>
      <c r="CS311" s="15">
        <v>6</v>
      </c>
      <c r="CT311" s="15"/>
      <c r="CU311" s="15"/>
      <c r="CV311" s="15"/>
      <c r="CW311" s="15"/>
      <c r="CX311" s="15" t="s">
        <v>328</v>
      </c>
      <c r="CY311" s="15"/>
      <c r="CZ311" s="15"/>
      <c r="DA311" s="15"/>
      <c r="DB311" s="15"/>
      <c r="DC311" s="15">
        <v>1</v>
      </c>
      <c r="DD311" s="15">
        <v>2</v>
      </c>
      <c r="DE311" s="15">
        <v>3</v>
      </c>
      <c r="DF311" s="15">
        <v>4</v>
      </c>
      <c r="DG311" s="15"/>
      <c r="DH311" s="15">
        <v>5</v>
      </c>
      <c r="DI311" s="15"/>
      <c r="DJ311" s="15" t="s">
        <v>328</v>
      </c>
      <c r="DK311" s="15"/>
      <c r="DL311" s="15"/>
      <c r="DM311" s="15"/>
      <c r="DN311" s="15"/>
      <c r="DO311" s="15"/>
      <c r="DP311" s="15"/>
      <c r="DQ311" s="15" t="s">
        <v>328</v>
      </c>
      <c r="DR311" s="15"/>
      <c r="DS311" s="15"/>
      <c r="DT311" s="15"/>
      <c r="DU311" s="15"/>
      <c r="DV311" s="15"/>
      <c r="DW311" s="15"/>
      <c r="DX311" s="15"/>
      <c r="DY311" s="15" t="s">
        <v>328</v>
      </c>
      <c r="DZ311" s="15"/>
      <c r="EA311" s="15"/>
      <c r="EB311" s="15"/>
      <c r="EC311" s="15"/>
      <c r="ED311" s="15"/>
      <c r="EE311" s="102"/>
      <c r="EF311" s="99"/>
      <c r="EG311" s="17">
        <f t="shared" si="4"/>
        <v>0</v>
      </c>
    </row>
    <row r="312" spans="1:137" x14ac:dyDescent="0.25">
      <c r="A312" s="51" t="s">
        <v>1442</v>
      </c>
      <c r="B312" s="211">
        <v>41568</v>
      </c>
      <c r="C312" s="212" t="s">
        <v>2753</v>
      </c>
      <c r="D312" s="103" t="s">
        <v>1471</v>
      </c>
      <c r="E312" s="15" t="s">
        <v>328</v>
      </c>
      <c r="F312" s="15"/>
      <c r="G312" s="15">
        <v>63</v>
      </c>
      <c r="H312" s="15" t="s">
        <v>329</v>
      </c>
      <c r="I312" s="15" t="s">
        <v>353</v>
      </c>
      <c r="J312" s="15" t="s">
        <v>1448</v>
      </c>
      <c r="K312" s="15" t="s">
        <v>1268</v>
      </c>
      <c r="L312" s="15" t="s">
        <v>1446</v>
      </c>
      <c r="M312" s="15">
        <v>40</v>
      </c>
      <c r="N312" s="15">
        <v>2</v>
      </c>
      <c r="O312" s="15"/>
      <c r="P312" s="15"/>
      <c r="Q312" s="15"/>
      <c r="R312" s="15"/>
      <c r="S312" s="15"/>
      <c r="T312" s="15"/>
      <c r="U312" s="15"/>
      <c r="V312" s="15">
        <v>2</v>
      </c>
      <c r="W312" s="15"/>
      <c r="X312" s="15"/>
      <c r="Y312" s="15"/>
      <c r="Z312" s="15"/>
      <c r="AA312" s="15"/>
      <c r="AB312" s="15"/>
      <c r="AC312" s="15"/>
      <c r="AD312" s="15"/>
      <c r="AE312" s="15" t="s">
        <v>328</v>
      </c>
      <c r="AF312" s="15"/>
      <c r="AG312" s="15"/>
      <c r="AH312" s="15"/>
      <c r="AI312" s="15"/>
      <c r="AJ312" s="15"/>
      <c r="AK312" s="15"/>
      <c r="AL312" s="15"/>
      <c r="AM312" s="15" t="s">
        <v>328</v>
      </c>
      <c r="AN312" s="15"/>
      <c r="AO312" s="15"/>
      <c r="AP312" s="15"/>
      <c r="AQ312" s="15" t="s">
        <v>328</v>
      </c>
      <c r="AR312" s="15">
        <v>10</v>
      </c>
      <c r="AS312" s="15">
        <v>10</v>
      </c>
      <c r="AT312" s="15"/>
      <c r="AU312" s="15"/>
      <c r="AV312" s="15" t="s">
        <v>328</v>
      </c>
      <c r="AW312" s="15"/>
      <c r="AX312" s="15">
        <v>1</v>
      </c>
      <c r="AY312" s="15">
        <v>2</v>
      </c>
      <c r="AZ312" s="15">
        <v>3</v>
      </c>
      <c r="BA312" s="15"/>
      <c r="BB312" s="15" t="s">
        <v>328</v>
      </c>
      <c r="BC312" s="15"/>
      <c r="BD312" s="15"/>
      <c r="BE312" s="15" t="s">
        <v>328</v>
      </c>
      <c r="BF312" s="15"/>
      <c r="BG312" s="15"/>
      <c r="BH312" s="15"/>
      <c r="BI312" s="15"/>
      <c r="BJ312" s="15"/>
      <c r="BK312" s="15"/>
      <c r="BL312" s="15"/>
      <c r="BM312" s="15"/>
      <c r="BN312" s="15"/>
      <c r="BO312" s="15" t="s">
        <v>328</v>
      </c>
      <c r="BP312" s="15"/>
      <c r="BQ312" s="15" t="s">
        <v>328</v>
      </c>
      <c r="BR312" s="15" t="s">
        <v>328</v>
      </c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 t="s">
        <v>328</v>
      </c>
      <c r="CE312" s="15"/>
      <c r="CF312" s="15"/>
      <c r="CG312" s="15" t="s">
        <v>328</v>
      </c>
      <c r="CH312" s="15"/>
      <c r="CI312" s="15"/>
      <c r="CJ312" s="15" t="s">
        <v>328</v>
      </c>
      <c r="CK312" s="15"/>
      <c r="CL312" s="15"/>
      <c r="CM312" s="15"/>
      <c r="CN312" s="15">
        <v>5</v>
      </c>
      <c r="CO312" s="15">
        <v>1</v>
      </c>
      <c r="CP312" s="15">
        <v>2</v>
      </c>
      <c r="CQ312" s="15">
        <v>4</v>
      </c>
      <c r="CR312" s="15">
        <v>3</v>
      </c>
      <c r="CS312" s="15">
        <v>6</v>
      </c>
      <c r="CT312" s="15"/>
      <c r="CU312" s="15"/>
      <c r="CV312" s="15"/>
      <c r="CW312" s="15"/>
      <c r="CX312" s="15"/>
      <c r="CY312" s="15"/>
      <c r="CZ312" s="15" t="s">
        <v>332</v>
      </c>
      <c r="DA312" s="15"/>
      <c r="DB312" s="15"/>
      <c r="DC312" s="15">
        <v>2</v>
      </c>
      <c r="DD312" s="15"/>
      <c r="DE312" s="15"/>
      <c r="DF312" s="15"/>
      <c r="DG312" s="15">
        <v>1</v>
      </c>
      <c r="DH312" s="15"/>
      <c r="DI312" s="15"/>
      <c r="DJ312" s="15" t="s">
        <v>328</v>
      </c>
      <c r="DK312" s="15"/>
      <c r="DL312" s="15"/>
      <c r="DM312" s="15"/>
      <c r="DN312" s="15"/>
      <c r="DO312" s="15"/>
      <c r="DP312" s="15"/>
      <c r="DQ312" s="15" t="s">
        <v>328</v>
      </c>
      <c r="DR312" s="15"/>
      <c r="DS312" s="15"/>
      <c r="DT312" s="15"/>
      <c r="DU312" s="15"/>
      <c r="DV312" s="15"/>
      <c r="DW312" s="15"/>
      <c r="DX312" s="15"/>
      <c r="DY312" s="15" t="s">
        <v>328</v>
      </c>
      <c r="DZ312" s="15"/>
      <c r="EA312" s="15"/>
      <c r="EB312" s="15"/>
      <c r="EC312" s="15"/>
      <c r="ED312" s="15"/>
      <c r="EE312" s="102"/>
      <c r="EF312" s="99"/>
      <c r="EG312" s="17">
        <f t="shared" si="4"/>
        <v>0</v>
      </c>
    </row>
    <row r="313" spans="1:137" x14ac:dyDescent="0.25">
      <c r="A313" s="51" t="s">
        <v>1442</v>
      </c>
      <c r="B313" s="211">
        <v>41568</v>
      </c>
      <c r="C313" s="212" t="s">
        <v>2753</v>
      </c>
      <c r="D313" s="103" t="s">
        <v>1472</v>
      </c>
      <c r="E313" s="15" t="s">
        <v>328</v>
      </c>
      <c r="F313" s="15"/>
      <c r="G313" s="15">
        <v>57</v>
      </c>
      <c r="H313" s="15" t="s">
        <v>329</v>
      </c>
      <c r="I313" s="15" t="s">
        <v>330</v>
      </c>
      <c r="J313" s="15" t="s">
        <v>1473</v>
      </c>
      <c r="K313" s="15" t="s">
        <v>1474</v>
      </c>
      <c r="L313" s="15" t="s">
        <v>1292</v>
      </c>
      <c r="M313" s="15">
        <v>35</v>
      </c>
      <c r="N313" s="15">
        <v>1</v>
      </c>
      <c r="O313" s="15"/>
      <c r="P313" s="15"/>
      <c r="Q313" s="15"/>
      <c r="R313" s="15"/>
      <c r="S313" s="15"/>
      <c r="T313" s="15"/>
      <c r="U313" s="15"/>
      <c r="V313" s="15">
        <v>1</v>
      </c>
      <c r="W313" s="15"/>
      <c r="X313" s="15"/>
      <c r="Y313" s="15"/>
      <c r="Z313" s="15"/>
      <c r="AA313" s="15"/>
      <c r="AB313" s="15"/>
      <c r="AC313" s="15"/>
      <c r="AD313" s="15"/>
      <c r="AE313" s="15" t="s">
        <v>328</v>
      </c>
      <c r="AF313" s="15"/>
      <c r="AG313" s="15"/>
      <c r="AH313" s="15"/>
      <c r="AI313" s="15"/>
      <c r="AJ313" s="15"/>
      <c r="AK313" s="15"/>
      <c r="AL313" s="15"/>
      <c r="AM313" s="15" t="s">
        <v>328</v>
      </c>
      <c r="AN313" s="15"/>
      <c r="AO313" s="15"/>
      <c r="AP313" s="15"/>
      <c r="AQ313" s="15" t="s">
        <v>328</v>
      </c>
      <c r="AR313" s="15">
        <v>10</v>
      </c>
      <c r="AS313" s="15">
        <v>10</v>
      </c>
      <c r="AT313" s="15"/>
      <c r="AU313" s="15" t="s">
        <v>328</v>
      </c>
      <c r="AV313" s="15"/>
      <c r="AW313" s="15"/>
      <c r="AX313" s="15">
        <v>3</v>
      </c>
      <c r="AY313" s="15">
        <v>1</v>
      </c>
      <c r="AZ313" s="15">
        <v>2</v>
      </c>
      <c r="BA313" s="15"/>
      <c r="BB313" s="15" t="s">
        <v>328</v>
      </c>
      <c r="BC313" s="15"/>
      <c r="BD313" s="15" t="s">
        <v>328</v>
      </c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 t="s">
        <v>328</v>
      </c>
      <c r="BP313" s="15"/>
      <c r="BQ313" s="15" t="s">
        <v>328</v>
      </c>
      <c r="BR313" s="15" t="s">
        <v>328</v>
      </c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 t="s">
        <v>328</v>
      </c>
      <c r="CE313" s="15"/>
      <c r="CF313" s="15" t="s">
        <v>328</v>
      </c>
      <c r="CG313" s="15"/>
      <c r="CH313" s="15"/>
      <c r="CI313" s="15"/>
      <c r="CJ313" s="15" t="s">
        <v>328</v>
      </c>
      <c r="CK313" s="15"/>
      <c r="CL313" s="15"/>
      <c r="CM313" s="15"/>
      <c r="CN313" s="15">
        <v>3</v>
      </c>
      <c r="CO313" s="15">
        <v>1</v>
      </c>
      <c r="CP313" s="15">
        <v>2</v>
      </c>
      <c r="CQ313" s="15">
        <v>5</v>
      </c>
      <c r="CR313" s="15">
        <v>6</v>
      </c>
      <c r="CS313" s="15">
        <v>4</v>
      </c>
      <c r="CT313" s="15"/>
      <c r="CU313" s="15"/>
      <c r="CV313" s="15"/>
      <c r="CW313" s="15"/>
      <c r="CX313" s="15"/>
      <c r="CY313" s="15"/>
      <c r="CZ313" s="15" t="s">
        <v>332</v>
      </c>
      <c r="DA313" s="15" t="s">
        <v>328</v>
      </c>
      <c r="DB313" s="15" t="s">
        <v>1475</v>
      </c>
      <c r="DC313" s="15"/>
      <c r="DD313" s="15"/>
      <c r="DE313" s="15"/>
      <c r="DF313" s="15"/>
      <c r="DG313" s="15"/>
      <c r="DH313" s="15"/>
      <c r="DI313" s="15"/>
      <c r="DJ313" s="15" t="s">
        <v>328</v>
      </c>
      <c r="DK313" s="15"/>
      <c r="DL313" s="15"/>
      <c r="DM313" s="15"/>
      <c r="DN313" s="15"/>
      <c r="DO313" s="15"/>
      <c r="DP313" s="15"/>
      <c r="DQ313" s="15" t="s">
        <v>328</v>
      </c>
      <c r="DR313" s="15"/>
      <c r="DS313" s="15"/>
      <c r="DT313" s="15"/>
      <c r="DU313" s="15"/>
      <c r="DV313" s="15"/>
      <c r="DW313" s="15"/>
      <c r="DX313" s="15"/>
      <c r="DY313" s="15" t="s">
        <v>328</v>
      </c>
      <c r="DZ313" s="15"/>
      <c r="EA313" s="15"/>
      <c r="EB313" s="15"/>
      <c r="EC313" s="15"/>
      <c r="ED313" s="15"/>
      <c r="EE313" s="102"/>
      <c r="EF313" s="99"/>
      <c r="EG313" s="17">
        <f t="shared" si="4"/>
        <v>0</v>
      </c>
    </row>
    <row r="314" spans="1:137" x14ac:dyDescent="0.25">
      <c r="A314" s="51" t="s">
        <v>1442</v>
      </c>
      <c r="B314" s="211">
        <v>41568</v>
      </c>
      <c r="C314" s="212" t="s">
        <v>2753</v>
      </c>
      <c r="D314" s="103" t="s">
        <v>1476</v>
      </c>
      <c r="E314" s="15" t="s">
        <v>328</v>
      </c>
      <c r="F314" s="15"/>
      <c r="G314" s="15">
        <v>57</v>
      </c>
      <c r="H314" s="15" t="s">
        <v>329</v>
      </c>
      <c r="I314" s="15" t="s">
        <v>353</v>
      </c>
      <c r="J314" s="15" t="s">
        <v>1450</v>
      </c>
      <c r="K314" s="15" t="s">
        <v>1451</v>
      </c>
      <c r="L314" s="15" t="s">
        <v>1446</v>
      </c>
      <c r="M314" s="15">
        <v>30</v>
      </c>
      <c r="N314" s="15">
        <v>1</v>
      </c>
      <c r="O314" s="15"/>
      <c r="P314" s="15"/>
      <c r="Q314" s="15"/>
      <c r="R314" s="15"/>
      <c r="S314" s="15"/>
      <c r="T314" s="15"/>
      <c r="U314" s="15">
        <v>1</v>
      </c>
      <c r="V314" s="15"/>
      <c r="W314" s="15"/>
      <c r="X314" s="15"/>
      <c r="Y314" s="15"/>
      <c r="Z314" s="15"/>
      <c r="AA314" s="15"/>
      <c r="AB314" s="15"/>
      <c r="AC314" s="15"/>
      <c r="AD314" s="15"/>
      <c r="AE314" s="15" t="s">
        <v>328</v>
      </c>
      <c r="AF314" s="15"/>
      <c r="AG314" s="15"/>
      <c r="AH314" s="15"/>
      <c r="AI314" s="15"/>
      <c r="AJ314" s="15"/>
      <c r="AK314" s="15"/>
      <c r="AL314" s="15"/>
      <c r="AM314" s="15" t="s">
        <v>328</v>
      </c>
      <c r="AN314" s="15"/>
      <c r="AO314" s="15"/>
      <c r="AP314" s="15"/>
      <c r="AQ314" s="15" t="s">
        <v>328</v>
      </c>
      <c r="AR314" s="15">
        <v>10</v>
      </c>
      <c r="AS314" s="15">
        <v>10</v>
      </c>
      <c r="AT314" s="15"/>
      <c r="AU314" s="15"/>
      <c r="AV314" s="15" t="s">
        <v>328</v>
      </c>
      <c r="AW314" s="15"/>
      <c r="AX314" s="15">
        <v>3</v>
      </c>
      <c r="AY314" s="15">
        <v>2</v>
      </c>
      <c r="AZ314" s="15">
        <v>1</v>
      </c>
      <c r="BA314" s="15"/>
      <c r="BB314" s="15" t="s">
        <v>328</v>
      </c>
      <c r="BC314" s="15"/>
      <c r="BD314" s="15"/>
      <c r="BE314" s="15" t="s">
        <v>328</v>
      </c>
      <c r="BF314" s="15"/>
      <c r="BG314" s="15"/>
      <c r="BH314" s="15"/>
      <c r="BI314" s="15"/>
      <c r="BJ314" s="15"/>
      <c r="BK314" s="15"/>
      <c r="BL314" s="15"/>
      <c r="BM314" s="15"/>
      <c r="BN314" s="15"/>
      <c r="BO314" s="15" t="s">
        <v>328</v>
      </c>
      <c r="BP314" s="15"/>
      <c r="BQ314" s="15" t="s">
        <v>328</v>
      </c>
      <c r="BR314" s="15"/>
      <c r="BS314" s="15"/>
      <c r="BT314" s="15"/>
      <c r="BU314" s="15"/>
      <c r="BV314" s="15"/>
      <c r="BW314" s="15" t="s">
        <v>328</v>
      </c>
      <c r="BX314" s="15"/>
      <c r="BY314" s="15"/>
      <c r="BZ314" s="15"/>
      <c r="CA314" s="15"/>
      <c r="CB314" s="15"/>
      <c r="CC314" s="15"/>
      <c r="CD314" s="15" t="s">
        <v>328</v>
      </c>
      <c r="CE314" s="15"/>
      <c r="CF314" s="15"/>
      <c r="CG314" s="15"/>
      <c r="CH314" s="15"/>
      <c r="CI314" s="15"/>
      <c r="CJ314" s="15" t="s">
        <v>328</v>
      </c>
      <c r="CK314" s="15"/>
      <c r="CL314" s="15"/>
      <c r="CM314" s="15"/>
      <c r="CN314" s="15">
        <v>4</v>
      </c>
      <c r="CO314" s="15">
        <v>1</v>
      </c>
      <c r="CP314" s="15">
        <v>6</v>
      </c>
      <c r="CQ314" s="15">
        <v>2</v>
      </c>
      <c r="CR314" s="15">
        <v>3</v>
      </c>
      <c r="CS314" s="15">
        <v>5</v>
      </c>
      <c r="CT314" s="15"/>
      <c r="CU314" s="15"/>
      <c r="CV314" s="15"/>
      <c r="CW314" s="15"/>
      <c r="CX314" s="15" t="s">
        <v>328</v>
      </c>
      <c r="CY314" s="15"/>
      <c r="CZ314" s="15"/>
      <c r="DA314" s="15"/>
      <c r="DB314" s="15"/>
      <c r="DC314" s="15">
        <v>1</v>
      </c>
      <c r="DD314" s="15">
        <v>2</v>
      </c>
      <c r="DE314" s="15">
        <v>3</v>
      </c>
      <c r="DF314" s="15"/>
      <c r="DG314" s="15"/>
      <c r="DH314" s="15"/>
      <c r="DI314" s="15"/>
      <c r="DJ314" s="15" t="s">
        <v>328</v>
      </c>
      <c r="DK314" s="15"/>
      <c r="DL314" s="15"/>
      <c r="DM314" s="15"/>
      <c r="DN314" s="15"/>
      <c r="DO314" s="15"/>
      <c r="DP314" s="15"/>
      <c r="DQ314" s="15" t="s">
        <v>328</v>
      </c>
      <c r="DR314" s="15"/>
      <c r="DS314" s="15"/>
      <c r="DT314" s="15"/>
      <c r="DU314" s="15"/>
      <c r="DV314" s="15"/>
      <c r="DW314" s="15"/>
      <c r="DX314" s="15"/>
      <c r="DY314" s="15" t="s">
        <v>328</v>
      </c>
      <c r="DZ314" s="15"/>
      <c r="EA314" s="15"/>
      <c r="EB314" s="15"/>
      <c r="EC314" s="15"/>
      <c r="ED314" s="15"/>
      <c r="EE314" s="102"/>
      <c r="EF314" s="99"/>
      <c r="EG314" s="17">
        <f t="shared" si="4"/>
        <v>0</v>
      </c>
    </row>
    <row r="315" spans="1:137" x14ac:dyDescent="0.25">
      <c r="A315" s="51" t="s">
        <v>1442</v>
      </c>
      <c r="B315" s="211">
        <v>41549</v>
      </c>
      <c r="C315" s="212" t="s">
        <v>2754</v>
      </c>
      <c r="D315" s="103" t="s">
        <v>1477</v>
      </c>
      <c r="E315" s="15" t="s">
        <v>328</v>
      </c>
      <c r="F315" s="15"/>
      <c r="G315" s="15">
        <v>60</v>
      </c>
      <c r="H315" s="15" t="s">
        <v>329</v>
      </c>
      <c r="I315" s="15" t="s">
        <v>584</v>
      </c>
      <c r="J315" s="15" t="s">
        <v>1478</v>
      </c>
      <c r="K315" s="15" t="s">
        <v>1479</v>
      </c>
      <c r="L315" s="15" t="s">
        <v>1301</v>
      </c>
      <c r="M315" s="15">
        <v>42</v>
      </c>
      <c r="N315" s="15">
        <v>1</v>
      </c>
      <c r="O315" s="15">
        <v>1</v>
      </c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 t="s">
        <v>328</v>
      </c>
      <c r="AC315" s="15" t="s">
        <v>328</v>
      </c>
      <c r="AD315" s="15"/>
      <c r="AE315" s="15"/>
      <c r="AF315" s="15"/>
      <c r="AG315" s="15" t="s">
        <v>328</v>
      </c>
      <c r="AH315" s="15"/>
      <c r="AI315" s="15"/>
      <c r="AJ315" s="15"/>
      <c r="AK315" s="15"/>
      <c r="AL315" s="15"/>
      <c r="AM315" s="15" t="s">
        <v>328</v>
      </c>
      <c r="AN315" s="15"/>
      <c r="AO315" s="15" t="s">
        <v>328</v>
      </c>
      <c r="AP315" s="15"/>
      <c r="AQ315" s="15"/>
      <c r="AR315" s="15">
        <v>0</v>
      </c>
      <c r="AS315" s="15">
        <v>0</v>
      </c>
      <c r="AT315" s="15"/>
      <c r="AU315" s="15" t="s">
        <v>328</v>
      </c>
      <c r="AV315" s="15"/>
      <c r="AW315" s="15"/>
      <c r="AX315" s="15">
        <v>3</v>
      </c>
      <c r="AY315" s="15">
        <v>1</v>
      </c>
      <c r="AZ315" s="15">
        <v>2</v>
      </c>
      <c r="BA315" s="15"/>
      <c r="BB315" s="15" t="s">
        <v>328</v>
      </c>
      <c r="BC315" s="15"/>
      <c r="BD315" s="15" t="s">
        <v>328</v>
      </c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 t="s">
        <v>328</v>
      </c>
      <c r="BP315" s="15"/>
      <c r="BQ315" s="15" t="s">
        <v>328</v>
      </c>
      <c r="BR315" s="15"/>
      <c r="BS315" s="15"/>
      <c r="BT315" s="15"/>
      <c r="BU315" s="15"/>
      <c r="BV315" s="15"/>
      <c r="BW315" s="15"/>
      <c r="BX315" s="15" t="s">
        <v>409</v>
      </c>
      <c r="BY315" s="15"/>
      <c r="BZ315" s="15"/>
      <c r="CA315" s="15"/>
      <c r="CB315" s="15"/>
      <c r="CC315" s="15"/>
      <c r="CD315" s="15"/>
      <c r="CE315" s="15"/>
      <c r="CF315" s="15"/>
      <c r="CG315" s="15" t="s">
        <v>328</v>
      </c>
      <c r="CH315" s="15"/>
      <c r="CI315" s="15"/>
      <c r="CJ315" s="15" t="s">
        <v>328</v>
      </c>
      <c r="CK315" s="15"/>
      <c r="CL315" s="15"/>
      <c r="CM315" s="15"/>
      <c r="CN315" s="15">
        <v>3</v>
      </c>
      <c r="CO315" s="15">
        <v>2</v>
      </c>
      <c r="CP315" s="15">
        <v>1</v>
      </c>
      <c r="CQ315" s="15">
        <v>4</v>
      </c>
      <c r="CR315" s="15">
        <v>5</v>
      </c>
      <c r="CS315" s="15">
        <v>6</v>
      </c>
      <c r="CT315" s="15"/>
      <c r="CU315" s="15"/>
      <c r="CV315" s="15"/>
      <c r="CW315" s="15"/>
      <c r="CX315" s="15"/>
      <c r="CY315" s="15"/>
      <c r="CZ315" s="15" t="s">
        <v>332</v>
      </c>
      <c r="DA315" s="15"/>
      <c r="DB315" s="15"/>
      <c r="DC315" s="15"/>
      <c r="DD315" s="15"/>
      <c r="DE315" s="15"/>
      <c r="DF315" s="15"/>
      <c r="DG315" s="15">
        <v>1</v>
      </c>
      <c r="DH315" s="15"/>
      <c r="DI315" s="15"/>
      <c r="DJ315" s="15" t="s">
        <v>328</v>
      </c>
      <c r="DK315" s="15"/>
      <c r="DL315" s="15"/>
      <c r="DM315" s="15"/>
      <c r="DN315" s="15"/>
      <c r="DO315" s="15"/>
      <c r="DP315" s="15"/>
      <c r="DQ315" s="15" t="s">
        <v>328</v>
      </c>
      <c r="DR315" s="15"/>
      <c r="DS315" s="15"/>
      <c r="DT315" s="15"/>
      <c r="DU315" s="15"/>
      <c r="DV315" s="15"/>
      <c r="DW315" s="15"/>
      <c r="DX315" s="15"/>
      <c r="DY315" s="15" t="s">
        <v>328</v>
      </c>
      <c r="DZ315" s="15"/>
      <c r="EA315" s="15"/>
      <c r="EB315" s="15"/>
      <c r="EC315" s="15"/>
      <c r="ED315" s="15"/>
      <c r="EE315" s="102"/>
      <c r="EF315" s="99"/>
      <c r="EG315" s="17">
        <f t="shared" si="4"/>
        <v>0</v>
      </c>
    </row>
    <row r="316" spans="1:137" x14ac:dyDescent="0.25">
      <c r="A316" s="51" t="s">
        <v>1442</v>
      </c>
      <c r="B316" s="211">
        <v>41549</v>
      </c>
      <c r="C316" s="212" t="s">
        <v>2754</v>
      </c>
      <c r="D316" s="103" t="s">
        <v>1480</v>
      </c>
      <c r="E316" s="15" t="s">
        <v>328</v>
      </c>
      <c r="F316" s="15"/>
      <c r="G316" s="15">
        <v>57</v>
      </c>
      <c r="H316" s="15" t="s">
        <v>329</v>
      </c>
      <c r="I316" s="15" t="s">
        <v>353</v>
      </c>
      <c r="J316" s="15" t="s">
        <v>1481</v>
      </c>
      <c r="K316" s="15" t="s">
        <v>1482</v>
      </c>
      <c r="L316" s="15" t="s">
        <v>1290</v>
      </c>
      <c r="M316" s="15">
        <v>35</v>
      </c>
      <c r="N316" s="15">
        <v>1</v>
      </c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>
        <v>1</v>
      </c>
      <c r="AA316" s="15"/>
      <c r="AB316" s="15" t="s">
        <v>328</v>
      </c>
      <c r="AC316" s="15" t="s">
        <v>328</v>
      </c>
      <c r="AD316" s="15"/>
      <c r="AE316" s="15"/>
      <c r="AF316" s="15"/>
      <c r="AG316" s="15" t="s">
        <v>328</v>
      </c>
      <c r="AH316" s="15"/>
      <c r="AI316" s="15"/>
      <c r="AJ316" s="15"/>
      <c r="AK316" s="15"/>
      <c r="AL316" s="15"/>
      <c r="AM316" s="15" t="s">
        <v>328</v>
      </c>
      <c r="AN316" s="15"/>
      <c r="AO316" s="15" t="s">
        <v>328</v>
      </c>
      <c r="AP316" s="15"/>
      <c r="AQ316" s="15"/>
      <c r="AR316" s="15">
        <v>0</v>
      </c>
      <c r="AS316" s="15">
        <v>0</v>
      </c>
      <c r="AT316" s="15"/>
      <c r="AU316" s="15" t="s">
        <v>328</v>
      </c>
      <c r="AV316" s="15"/>
      <c r="AW316" s="15"/>
      <c r="AX316" s="15">
        <v>2</v>
      </c>
      <c r="AY316" s="15">
        <v>1</v>
      </c>
      <c r="AZ316" s="15">
        <v>3</v>
      </c>
      <c r="BA316" s="15"/>
      <c r="BB316" s="15" t="s">
        <v>328</v>
      </c>
      <c r="BC316" s="15"/>
      <c r="BD316" s="15" t="s">
        <v>328</v>
      </c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 t="s">
        <v>328</v>
      </c>
      <c r="BP316" s="15"/>
      <c r="BQ316" s="15" t="s">
        <v>328</v>
      </c>
      <c r="BR316" s="15"/>
      <c r="BS316" s="15"/>
      <c r="BT316" s="15"/>
      <c r="BU316" s="15"/>
      <c r="BV316" s="15"/>
      <c r="BW316" s="15" t="s">
        <v>328</v>
      </c>
      <c r="BX316" s="15"/>
      <c r="BY316" s="15"/>
      <c r="BZ316" s="15"/>
      <c r="CA316" s="15"/>
      <c r="CB316" s="15"/>
      <c r="CC316" s="15"/>
      <c r="CD316" s="15" t="s">
        <v>328</v>
      </c>
      <c r="CE316" s="15"/>
      <c r="CF316" s="15" t="s">
        <v>328</v>
      </c>
      <c r="CG316" s="15"/>
      <c r="CH316" s="15"/>
      <c r="CI316" s="15"/>
      <c r="CJ316" s="15" t="s">
        <v>328</v>
      </c>
      <c r="CK316" s="15"/>
      <c r="CL316" s="15"/>
      <c r="CM316" s="15"/>
      <c r="CN316" s="15">
        <v>1</v>
      </c>
      <c r="CO316" s="15">
        <v>2</v>
      </c>
      <c r="CP316" s="15">
        <v>3</v>
      </c>
      <c r="CQ316" s="15">
        <v>4</v>
      </c>
      <c r="CR316" s="15">
        <v>5</v>
      </c>
      <c r="CS316" s="15">
        <v>6</v>
      </c>
      <c r="CT316" s="15"/>
      <c r="CU316" s="15"/>
      <c r="CV316" s="15"/>
      <c r="CW316" s="15"/>
      <c r="CX316" s="15"/>
      <c r="CY316" s="15"/>
      <c r="CZ316" s="15" t="s">
        <v>332</v>
      </c>
      <c r="DA316" s="15"/>
      <c r="DB316" s="15"/>
      <c r="DC316" s="15">
        <v>1</v>
      </c>
      <c r="DD316" s="15"/>
      <c r="DE316" s="15"/>
      <c r="DF316" s="15"/>
      <c r="DG316" s="15">
        <v>2</v>
      </c>
      <c r="DH316" s="15"/>
      <c r="DI316" s="15"/>
      <c r="DJ316" s="15" t="s">
        <v>328</v>
      </c>
      <c r="DK316" s="15"/>
      <c r="DL316" s="15"/>
      <c r="DM316" s="15"/>
      <c r="DN316" s="15"/>
      <c r="DO316" s="15"/>
      <c r="DP316" s="15"/>
      <c r="DQ316" s="15" t="s">
        <v>328</v>
      </c>
      <c r="DR316" s="15"/>
      <c r="DS316" s="15"/>
      <c r="DT316" s="15"/>
      <c r="DU316" s="15"/>
      <c r="DV316" s="15"/>
      <c r="DW316" s="15"/>
      <c r="DX316" s="15"/>
      <c r="DY316" s="15" t="s">
        <v>328</v>
      </c>
      <c r="DZ316" s="15"/>
      <c r="EA316" s="15"/>
      <c r="EB316" s="15"/>
      <c r="EC316" s="15"/>
      <c r="ED316" s="15"/>
      <c r="EE316" s="102"/>
      <c r="EF316" s="99"/>
      <c r="EG316" s="17">
        <f t="shared" si="4"/>
        <v>0</v>
      </c>
    </row>
    <row r="317" spans="1:137" x14ac:dyDescent="0.25">
      <c r="A317" s="51" t="s">
        <v>1442</v>
      </c>
      <c r="B317" s="211">
        <v>41549</v>
      </c>
      <c r="C317" s="212" t="s">
        <v>2754</v>
      </c>
      <c r="D317" s="103" t="s">
        <v>1483</v>
      </c>
      <c r="E317" s="15" t="s">
        <v>328</v>
      </c>
      <c r="F317" s="15"/>
      <c r="G317" s="15">
        <v>49</v>
      </c>
      <c r="H317" s="15" t="s">
        <v>329</v>
      </c>
      <c r="I317" s="15" t="s">
        <v>330</v>
      </c>
      <c r="J317" s="15" t="s">
        <v>1484</v>
      </c>
      <c r="K317" s="15" t="s">
        <v>1485</v>
      </c>
      <c r="L317" s="15" t="s">
        <v>1280</v>
      </c>
      <c r="M317" s="15">
        <v>20</v>
      </c>
      <c r="N317" s="15">
        <v>1</v>
      </c>
      <c r="O317" s="15">
        <v>1</v>
      </c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 t="s">
        <v>328</v>
      </c>
      <c r="AD317" s="15"/>
      <c r="AE317" s="15"/>
      <c r="AF317" s="15"/>
      <c r="AG317" s="15"/>
      <c r="AH317" s="15"/>
      <c r="AI317" s="15"/>
      <c r="AJ317" s="15"/>
      <c r="AK317" s="15"/>
      <c r="AL317" s="15" t="s">
        <v>328</v>
      </c>
      <c r="AM317" s="15"/>
      <c r="AN317" s="15"/>
      <c r="AO317" s="15"/>
      <c r="AP317" s="15" t="s">
        <v>328</v>
      </c>
      <c r="AQ317" s="15"/>
      <c r="AR317" s="15">
        <v>10</v>
      </c>
      <c r="AS317" s="15">
        <v>10</v>
      </c>
      <c r="AT317" s="15"/>
      <c r="AU317" s="15"/>
      <c r="AV317" s="15" t="s">
        <v>328</v>
      </c>
      <c r="AW317" s="15"/>
      <c r="AX317" s="15">
        <v>1</v>
      </c>
      <c r="AY317" s="15">
        <v>2</v>
      </c>
      <c r="AZ317" s="15">
        <v>3</v>
      </c>
      <c r="BA317" s="15"/>
      <c r="BB317" s="15" t="s">
        <v>328</v>
      </c>
      <c r="BC317" s="15"/>
      <c r="BD317" s="15"/>
      <c r="BE317" s="15"/>
      <c r="BF317" s="15"/>
      <c r="BG317" s="15"/>
      <c r="BH317" s="15"/>
      <c r="BI317" s="15"/>
      <c r="BJ317" s="15"/>
      <c r="BK317" s="15" t="s">
        <v>328</v>
      </c>
      <c r="BL317" s="15"/>
      <c r="BM317" s="15"/>
      <c r="BN317" s="15"/>
      <c r="BO317" s="15" t="s">
        <v>328</v>
      </c>
      <c r="BP317" s="15"/>
      <c r="BQ317" s="15" t="s">
        <v>328</v>
      </c>
      <c r="BR317" s="15"/>
      <c r="BS317" s="15" t="s">
        <v>328</v>
      </c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 t="s">
        <v>332</v>
      </c>
      <c r="CI317" s="15"/>
      <c r="CJ317" s="15"/>
      <c r="CK317" s="15"/>
      <c r="CL317" s="15" t="s">
        <v>328</v>
      </c>
      <c r="CM317" s="15"/>
      <c r="CN317" s="15">
        <v>6</v>
      </c>
      <c r="CO317" s="15">
        <v>1</v>
      </c>
      <c r="CP317" s="15">
        <v>2</v>
      </c>
      <c r="CQ317" s="15">
        <v>3</v>
      </c>
      <c r="CR317" s="15">
        <v>4</v>
      </c>
      <c r="CS317" s="15">
        <v>5</v>
      </c>
      <c r="CT317" s="15"/>
      <c r="CU317" s="15"/>
      <c r="CV317" s="15"/>
      <c r="CW317" s="15"/>
      <c r="CX317" s="15" t="s">
        <v>328</v>
      </c>
      <c r="CY317" s="15"/>
      <c r="CZ317" s="15"/>
      <c r="DA317" s="15"/>
      <c r="DB317" s="15"/>
      <c r="DC317" s="15">
        <v>1</v>
      </c>
      <c r="DD317" s="15"/>
      <c r="DE317" s="15"/>
      <c r="DF317" s="15"/>
      <c r="DG317" s="15"/>
      <c r="DH317" s="15"/>
      <c r="DI317" s="15"/>
      <c r="DJ317" s="15" t="s">
        <v>328</v>
      </c>
      <c r="DK317" s="15"/>
      <c r="DL317" s="15"/>
      <c r="DM317" s="15"/>
      <c r="DN317" s="15"/>
      <c r="DO317" s="15"/>
      <c r="DP317" s="15"/>
      <c r="DQ317" s="15" t="s">
        <v>328</v>
      </c>
      <c r="DR317" s="15"/>
      <c r="DS317" s="15"/>
      <c r="DT317" s="15"/>
      <c r="DU317" s="15"/>
      <c r="DV317" s="15"/>
      <c r="DW317" s="15"/>
      <c r="DX317" s="15"/>
      <c r="DY317" s="15" t="s">
        <v>328</v>
      </c>
      <c r="DZ317" s="15"/>
      <c r="EA317" s="15"/>
      <c r="EB317" s="15"/>
      <c r="EC317" s="15"/>
      <c r="ED317" s="15"/>
      <c r="EE317" s="102"/>
      <c r="EF317" s="99"/>
      <c r="EG317" s="17">
        <f t="shared" si="4"/>
        <v>0</v>
      </c>
    </row>
    <row r="318" spans="1:137" x14ac:dyDescent="0.25">
      <c r="A318" s="51" t="s">
        <v>1442</v>
      </c>
      <c r="B318" s="211">
        <v>41549</v>
      </c>
      <c r="C318" s="212" t="s">
        <v>2754</v>
      </c>
      <c r="D318" s="103" t="s">
        <v>1486</v>
      </c>
      <c r="E318" s="15" t="s">
        <v>328</v>
      </c>
      <c r="F318" s="15"/>
      <c r="G318" s="15">
        <v>53</v>
      </c>
      <c r="H318" s="15" t="s">
        <v>329</v>
      </c>
      <c r="I318" s="15" t="s">
        <v>330</v>
      </c>
      <c r="J318" s="15" t="s">
        <v>1448</v>
      </c>
      <c r="K318" s="15" t="s">
        <v>1268</v>
      </c>
      <c r="L318" s="15" t="s">
        <v>1446</v>
      </c>
      <c r="M318" s="15">
        <v>0</v>
      </c>
      <c r="N318" s="15">
        <v>2</v>
      </c>
      <c r="O318" s="15">
        <v>2</v>
      </c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 t="s">
        <v>328</v>
      </c>
      <c r="AD318" s="15"/>
      <c r="AE318" s="15"/>
      <c r="AF318" s="15"/>
      <c r="AG318" s="15"/>
      <c r="AH318" s="15"/>
      <c r="AI318" s="15"/>
      <c r="AJ318" s="15"/>
      <c r="AK318" s="15"/>
      <c r="AL318" s="15" t="s">
        <v>328</v>
      </c>
      <c r="AM318" s="15"/>
      <c r="AN318" s="15"/>
      <c r="AO318" s="15"/>
      <c r="AP318" s="15"/>
      <c r="AQ318" s="15" t="s">
        <v>328</v>
      </c>
      <c r="AR318" s="15">
        <v>10</v>
      </c>
      <c r="AS318" s="15">
        <v>10</v>
      </c>
      <c r="AT318" s="15"/>
      <c r="AU318" s="15"/>
      <c r="AV318" s="15" t="s">
        <v>328</v>
      </c>
      <c r="AW318" s="15"/>
      <c r="AX318" s="15"/>
      <c r="AY318" s="15"/>
      <c r="AZ318" s="15"/>
      <c r="BA318" s="15"/>
      <c r="BB318" s="15" t="s">
        <v>328</v>
      </c>
      <c r="BC318" s="15"/>
      <c r="BD318" s="15"/>
      <c r="BE318" s="15"/>
      <c r="BF318" s="15"/>
      <c r="BG318" s="15" t="s">
        <v>328</v>
      </c>
      <c r="BH318" s="15"/>
      <c r="BI318" s="15"/>
      <c r="BJ318" s="15"/>
      <c r="BK318" s="15"/>
      <c r="BL318" s="15"/>
      <c r="BM318" s="15"/>
      <c r="BN318" s="15"/>
      <c r="BO318" s="15" t="s">
        <v>328</v>
      </c>
      <c r="BP318" s="15"/>
      <c r="BQ318" s="15" t="s">
        <v>328</v>
      </c>
      <c r="BR318" s="15"/>
      <c r="BS318" s="15"/>
      <c r="BT318" s="15"/>
      <c r="BU318" s="15"/>
      <c r="BV318" s="15" t="s">
        <v>328</v>
      </c>
      <c r="BW318" s="15" t="s">
        <v>328</v>
      </c>
      <c r="BX318" s="15"/>
      <c r="BY318" s="15"/>
      <c r="BZ318" s="15"/>
      <c r="CA318" s="15"/>
      <c r="CB318" s="15"/>
      <c r="CC318" s="15"/>
      <c r="CD318" s="15" t="s">
        <v>328</v>
      </c>
      <c r="CE318" s="15"/>
      <c r="CF318" s="15" t="s">
        <v>328</v>
      </c>
      <c r="CG318" s="15"/>
      <c r="CH318" s="15"/>
      <c r="CI318" s="15" t="s">
        <v>328</v>
      </c>
      <c r="CJ318" s="15"/>
      <c r="CK318" s="15"/>
      <c r="CL318" s="15"/>
      <c r="CM318" s="15"/>
      <c r="CN318" s="15">
        <v>1</v>
      </c>
      <c r="CO318" s="15">
        <v>3</v>
      </c>
      <c r="CP318" s="15">
        <v>6</v>
      </c>
      <c r="CQ318" s="15">
        <v>4</v>
      </c>
      <c r="CR318" s="15">
        <v>5</v>
      </c>
      <c r="CS318" s="15">
        <v>2</v>
      </c>
      <c r="CT318" s="15"/>
      <c r="CU318" s="15" t="s">
        <v>328</v>
      </c>
      <c r="CV318" s="15"/>
      <c r="CW318" s="15"/>
      <c r="CX318" s="15"/>
      <c r="CY318" s="15"/>
      <c r="CZ318" s="15"/>
      <c r="DA318" s="15"/>
      <c r="DB318" s="15"/>
      <c r="DC318" s="15">
        <v>1</v>
      </c>
      <c r="DD318" s="15"/>
      <c r="DE318" s="15">
        <v>2</v>
      </c>
      <c r="DF318" s="15">
        <v>3</v>
      </c>
      <c r="DG318" s="15">
        <v>4</v>
      </c>
      <c r="DH318" s="15">
        <v>5</v>
      </c>
      <c r="DI318" s="15"/>
      <c r="DJ318" s="15" t="s">
        <v>328</v>
      </c>
      <c r="DK318" s="15"/>
      <c r="DL318" s="15"/>
      <c r="DM318" s="15"/>
      <c r="DN318" s="15"/>
      <c r="DO318" s="15"/>
      <c r="DP318" s="15"/>
      <c r="DQ318" s="15" t="s">
        <v>328</v>
      </c>
      <c r="DR318" s="15"/>
      <c r="DS318" s="15"/>
      <c r="DT318" s="15"/>
      <c r="DU318" s="15"/>
      <c r="DV318" s="15"/>
      <c r="DW318" s="15"/>
      <c r="DX318" s="15"/>
      <c r="DY318" s="15" t="s">
        <v>328</v>
      </c>
      <c r="DZ318" s="15"/>
      <c r="EA318" s="15"/>
      <c r="EB318" s="15"/>
      <c r="EC318" s="15"/>
      <c r="ED318" s="15"/>
      <c r="EE318" s="102"/>
      <c r="EF318" s="99"/>
      <c r="EG318" s="17">
        <f t="shared" si="4"/>
        <v>0</v>
      </c>
    </row>
    <row r="319" spans="1:137" x14ac:dyDescent="0.25">
      <c r="A319" s="51" t="s">
        <v>1442</v>
      </c>
      <c r="B319" s="211">
        <v>41549</v>
      </c>
      <c r="C319" s="212" t="s">
        <v>2754</v>
      </c>
      <c r="D319" s="103" t="s">
        <v>1487</v>
      </c>
      <c r="E319" s="15" t="s">
        <v>328</v>
      </c>
      <c r="F319" s="15"/>
      <c r="G319" s="15">
        <v>50</v>
      </c>
      <c r="H319" s="15" t="s">
        <v>329</v>
      </c>
      <c r="I319" s="15" t="s">
        <v>353</v>
      </c>
      <c r="J319" s="15" t="s">
        <v>1488</v>
      </c>
      <c r="K319" s="15" t="s">
        <v>1489</v>
      </c>
      <c r="L319" s="15" t="s">
        <v>1188</v>
      </c>
      <c r="M319" s="15">
        <v>28</v>
      </c>
      <c r="N319" s="15">
        <v>1</v>
      </c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>
        <v>1</v>
      </c>
      <c r="AA319" s="15"/>
      <c r="AB319" s="15" t="s">
        <v>328</v>
      </c>
      <c r="AC319" s="15"/>
      <c r="AD319" s="15"/>
      <c r="AE319" s="15"/>
      <c r="AF319" s="15"/>
      <c r="AG319" s="15" t="s">
        <v>328</v>
      </c>
      <c r="AH319" s="15"/>
      <c r="AI319" s="15"/>
      <c r="AJ319" s="15"/>
      <c r="AK319" s="15"/>
      <c r="AL319" s="15"/>
      <c r="AM319" s="15" t="s">
        <v>328</v>
      </c>
      <c r="AN319" s="15"/>
      <c r="AO319" s="15" t="s">
        <v>328</v>
      </c>
      <c r="AP319" s="15"/>
      <c r="AQ319" s="15"/>
      <c r="AR319" s="15">
        <v>0</v>
      </c>
      <c r="AS319" s="15">
        <v>0</v>
      </c>
      <c r="AT319" s="15"/>
      <c r="AU319" s="15" t="s">
        <v>328</v>
      </c>
      <c r="AV319" s="15"/>
      <c r="AW319" s="15"/>
      <c r="AX319" s="15">
        <v>1</v>
      </c>
      <c r="AY319" s="15">
        <v>2</v>
      </c>
      <c r="AZ319" s="15">
        <v>3</v>
      </c>
      <c r="BA319" s="15"/>
      <c r="BB319" s="15" t="s">
        <v>328</v>
      </c>
      <c r="BC319" s="15"/>
      <c r="BD319" s="15" t="s">
        <v>328</v>
      </c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 t="s">
        <v>328</v>
      </c>
      <c r="BP319" s="15"/>
      <c r="BQ319" s="15" t="s">
        <v>328</v>
      </c>
      <c r="BR319" s="15" t="s">
        <v>328</v>
      </c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 t="s">
        <v>328</v>
      </c>
      <c r="CH319" s="15"/>
      <c r="CI319" s="15"/>
      <c r="CJ319" s="15" t="s">
        <v>328</v>
      </c>
      <c r="CK319" s="15"/>
      <c r="CL319" s="15"/>
      <c r="CM319" s="15"/>
      <c r="CN319" s="15">
        <v>4</v>
      </c>
      <c r="CO319" s="15">
        <v>1</v>
      </c>
      <c r="CP319" s="15">
        <v>6</v>
      </c>
      <c r="CQ319" s="15">
        <v>2</v>
      </c>
      <c r="CR319" s="15">
        <v>3</v>
      </c>
      <c r="CS319" s="15">
        <v>5</v>
      </c>
      <c r="CT319" s="15"/>
      <c r="CU319" s="15"/>
      <c r="CV319" s="15"/>
      <c r="CW319" s="15"/>
      <c r="CX319" s="15" t="s">
        <v>328</v>
      </c>
      <c r="CY319" s="15"/>
      <c r="CZ319" s="15"/>
      <c r="DA319" s="15"/>
      <c r="DB319" s="15"/>
      <c r="DC319" s="15">
        <v>1</v>
      </c>
      <c r="DD319" s="15"/>
      <c r="DE319" s="15"/>
      <c r="DF319" s="15"/>
      <c r="DG319" s="15"/>
      <c r="DH319" s="15"/>
      <c r="DI319" s="15"/>
      <c r="DJ319" s="15" t="s">
        <v>328</v>
      </c>
      <c r="DK319" s="15"/>
      <c r="DL319" s="15"/>
      <c r="DM319" s="15"/>
      <c r="DN319" s="15"/>
      <c r="DO319" s="15"/>
      <c r="DP319" s="15"/>
      <c r="DQ319" s="15" t="s">
        <v>328</v>
      </c>
      <c r="DR319" s="15"/>
      <c r="DS319" s="15"/>
      <c r="DT319" s="15"/>
      <c r="DU319" s="15"/>
      <c r="DV319" s="15"/>
      <c r="DW319" s="15"/>
      <c r="DX319" s="15"/>
      <c r="DY319" s="15" t="s">
        <v>328</v>
      </c>
      <c r="DZ319" s="15"/>
      <c r="EA319" s="15"/>
      <c r="EB319" s="15"/>
      <c r="EC319" s="15"/>
      <c r="ED319" s="15"/>
      <c r="EE319" s="102"/>
      <c r="EF319" s="99"/>
      <c r="EG319" s="17">
        <f t="shared" si="4"/>
        <v>0</v>
      </c>
    </row>
    <row r="320" spans="1:137" x14ac:dyDescent="0.25">
      <c r="A320" s="51" t="s">
        <v>1442</v>
      </c>
      <c r="B320" s="211">
        <v>41549</v>
      </c>
      <c r="C320" s="212" t="s">
        <v>2754</v>
      </c>
      <c r="D320" s="103" t="s">
        <v>1490</v>
      </c>
      <c r="E320" s="15" t="s">
        <v>328</v>
      </c>
      <c r="F320" s="15"/>
      <c r="G320" s="15">
        <v>61</v>
      </c>
      <c r="H320" s="15" t="s">
        <v>329</v>
      </c>
      <c r="I320" s="15" t="s">
        <v>584</v>
      </c>
      <c r="J320" s="15" t="s">
        <v>1087</v>
      </c>
      <c r="K320" s="15" t="s">
        <v>1279</v>
      </c>
      <c r="L320" s="15" t="s">
        <v>1290</v>
      </c>
      <c r="M320" s="15">
        <v>40</v>
      </c>
      <c r="N320" s="15">
        <v>1</v>
      </c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>
        <v>1</v>
      </c>
      <c r="AA320" s="15"/>
      <c r="AB320" s="15"/>
      <c r="AC320" s="15" t="s">
        <v>328</v>
      </c>
      <c r="AD320" s="15"/>
      <c r="AE320" s="15"/>
      <c r="AF320" s="15"/>
      <c r="AG320" s="15" t="s">
        <v>328</v>
      </c>
      <c r="AH320" s="15"/>
      <c r="AI320" s="15"/>
      <c r="AJ320" s="15"/>
      <c r="AK320" s="15"/>
      <c r="AL320" s="15"/>
      <c r="AM320" s="15" t="s">
        <v>328</v>
      </c>
      <c r="AN320" s="15"/>
      <c r="AO320" s="15" t="s">
        <v>328</v>
      </c>
      <c r="AP320" s="15"/>
      <c r="AQ320" s="15"/>
      <c r="AR320" s="15">
        <v>10</v>
      </c>
      <c r="AS320" s="15">
        <v>10</v>
      </c>
      <c r="AT320" s="15"/>
      <c r="AU320" s="15" t="s">
        <v>328</v>
      </c>
      <c r="AV320" s="15"/>
      <c r="AW320" s="15"/>
      <c r="AX320" s="15">
        <v>3</v>
      </c>
      <c r="AY320" s="15">
        <v>1</v>
      </c>
      <c r="AZ320" s="15">
        <v>2</v>
      </c>
      <c r="BA320" s="15"/>
      <c r="BB320" s="15" t="s">
        <v>328</v>
      </c>
      <c r="BC320" s="15"/>
      <c r="BD320" s="15" t="s">
        <v>328</v>
      </c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 t="s">
        <v>328</v>
      </c>
      <c r="BP320" s="15"/>
      <c r="BQ320" s="15" t="s">
        <v>328</v>
      </c>
      <c r="BR320" s="15"/>
      <c r="BS320" s="15"/>
      <c r="BT320" s="15"/>
      <c r="BU320" s="15"/>
      <c r="BV320" s="15"/>
      <c r="BW320" s="15" t="s">
        <v>328</v>
      </c>
      <c r="BX320" s="15"/>
      <c r="BY320" s="15"/>
      <c r="BZ320" s="15"/>
      <c r="CA320" s="15"/>
      <c r="CB320" s="15"/>
      <c r="CC320" s="15"/>
      <c r="CD320" s="15" t="s">
        <v>328</v>
      </c>
      <c r="CE320" s="15" t="s">
        <v>328</v>
      </c>
      <c r="CF320" s="15"/>
      <c r="CG320" s="15"/>
      <c r="CH320" s="15"/>
      <c r="CI320" s="15"/>
      <c r="CJ320" s="15" t="s">
        <v>328</v>
      </c>
      <c r="CK320" s="15"/>
      <c r="CL320" s="15"/>
      <c r="CM320" s="15"/>
      <c r="CN320" s="15">
        <v>5</v>
      </c>
      <c r="CO320" s="15">
        <v>1</v>
      </c>
      <c r="CP320" s="15">
        <v>4</v>
      </c>
      <c r="CQ320" s="15">
        <v>3</v>
      </c>
      <c r="CR320" s="15">
        <v>2</v>
      </c>
      <c r="CS320" s="15">
        <v>6</v>
      </c>
      <c r="CT320" s="15"/>
      <c r="CU320" s="15"/>
      <c r="CV320" s="15"/>
      <c r="CW320" s="15"/>
      <c r="CX320" s="15"/>
      <c r="CY320" s="15"/>
      <c r="CZ320" s="15" t="s">
        <v>332</v>
      </c>
      <c r="DA320" s="15" t="s">
        <v>328</v>
      </c>
      <c r="DB320" s="15" t="s">
        <v>397</v>
      </c>
      <c r="DC320" s="15"/>
      <c r="DD320" s="15"/>
      <c r="DE320" s="15"/>
      <c r="DF320" s="15"/>
      <c r="DG320" s="15"/>
      <c r="DH320" s="15"/>
      <c r="DI320" s="15"/>
      <c r="DJ320" s="15" t="s">
        <v>328</v>
      </c>
      <c r="DK320" s="15"/>
      <c r="DL320" s="15"/>
      <c r="DM320" s="15"/>
      <c r="DN320" s="15"/>
      <c r="DO320" s="15"/>
      <c r="DP320" s="15"/>
      <c r="DQ320" s="15" t="s">
        <v>328</v>
      </c>
      <c r="DR320" s="15"/>
      <c r="DS320" s="15"/>
      <c r="DT320" s="15"/>
      <c r="DU320" s="15"/>
      <c r="DV320" s="15"/>
      <c r="DW320" s="15"/>
      <c r="DX320" s="15"/>
      <c r="DY320" s="15" t="s">
        <v>328</v>
      </c>
      <c r="DZ320" s="15"/>
      <c r="EA320" s="15"/>
      <c r="EB320" s="15"/>
      <c r="EC320" s="15"/>
      <c r="ED320" s="15"/>
      <c r="EE320" s="102"/>
      <c r="EF320" s="99"/>
      <c r="EG320" s="17">
        <f t="shared" si="4"/>
        <v>0</v>
      </c>
    </row>
    <row r="321" spans="1:137" x14ac:dyDescent="0.25">
      <c r="A321" s="51" t="s">
        <v>1442</v>
      </c>
      <c r="B321" s="211">
        <v>41549</v>
      </c>
      <c r="C321" s="212" t="s">
        <v>2754</v>
      </c>
      <c r="D321" s="103" t="s">
        <v>1491</v>
      </c>
      <c r="E321" s="15" t="s">
        <v>328</v>
      </c>
      <c r="F321" s="15"/>
      <c r="G321" s="15">
        <v>45</v>
      </c>
      <c r="H321" s="15" t="s">
        <v>329</v>
      </c>
      <c r="I321" s="15" t="s">
        <v>330</v>
      </c>
      <c r="J321" s="15" t="s">
        <v>1492</v>
      </c>
      <c r="K321" s="15" t="s">
        <v>1493</v>
      </c>
      <c r="L321" s="15" t="s">
        <v>1446</v>
      </c>
      <c r="M321" s="15">
        <v>20</v>
      </c>
      <c r="N321" s="15">
        <v>3</v>
      </c>
      <c r="O321" s="15">
        <v>3</v>
      </c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 t="s">
        <v>328</v>
      </c>
      <c r="AD321" s="15"/>
      <c r="AE321" s="15"/>
      <c r="AF321" s="15"/>
      <c r="AG321" s="15"/>
      <c r="AH321" s="15"/>
      <c r="AI321" s="15"/>
      <c r="AJ321" s="15"/>
      <c r="AK321" s="15"/>
      <c r="AL321" s="15"/>
      <c r="AM321" s="15" t="s">
        <v>328</v>
      </c>
      <c r="AN321" s="15"/>
      <c r="AO321" s="15" t="s">
        <v>328</v>
      </c>
      <c r="AP321" s="15"/>
      <c r="AQ321" s="15" t="s">
        <v>328</v>
      </c>
      <c r="AR321" s="15">
        <v>10</v>
      </c>
      <c r="AS321" s="15">
        <v>10</v>
      </c>
      <c r="AT321" s="15"/>
      <c r="AU321" s="15" t="s">
        <v>328</v>
      </c>
      <c r="AV321" s="15"/>
      <c r="AW321" s="15"/>
      <c r="AX321" s="15">
        <v>3</v>
      </c>
      <c r="AY321" s="15">
        <v>1</v>
      </c>
      <c r="AZ321" s="15">
        <v>2</v>
      </c>
      <c r="BA321" s="15"/>
      <c r="BB321" s="15" t="s">
        <v>328</v>
      </c>
      <c r="BC321" s="15"/>
      <c r="BD321" s="15" t="s">
        <v>328</v>
      </c>
      <c r="BE321" s="15" t="s">
        <v>328</v>
      </c>
      <c r="BF321" s="15"/>
      <c r="BG321" s="15"/>
      <c r="BH321" s="15"/>
      <c r="BI321" s="15"/>
      <c r="BJ321" s="15"/>
      <c r="BK321" s="15"/>
      <c r="BL321" s="15"/>
      <c r="BM321" s="15"/>
      <c r="BN321" s="15"/>
      <c r="BO321" s="15" t="s">
        <v>328</v>
      </c>
      <c r="BP321" s="15" t="s">
        <v>328</v>
      </c>
      <c r="BQ321" s="15"/>
      <c r="BR321" s="15"/>
      <c r="BS321" s="15" t="s">
        <v>328</v>
      </c>
      <c r="BT321" s="15"/>
      <c r="BU321" s="15"/>
      <c r="BV321" s="15"/>
      <c r="BW321" s="15" t="s">
        <v>328</v>
      </c>
      <c r="BX321" s="15"/>
      <c r="BY321" s="15"/>
      <c r="BZ321" s="15"/>
      <c r="CA321" s="15"/>
      <c r="CB321" s="15"/>
      <c r="CC321" s="15"/>
      <c r="CD321" s="15" t="s">
        <v>328</v>
      </c>
      <c r="CE321" s="15"/>
      <c r="CF321" s="15"/>
      <c r="CG321" s="15" t="s">
        <v>328</v>
      </c>
      <c r="CH321" s="15"/>
      <c r="CI321" s="15" t="s">
        <v>328</v>
      </c>
      <c r="CJ321" s="15"/>
      <c r="CK321" s="15"/>
      <c r="CL321" s="15"/>
      <c r="CM321" s="15"/>
      <c r="CN321" s="15">
        <v>3</v>
      </c>
      <c r="CO321" s="15">
        <v>5</v>
      </c>
      <c r="CP321" s="15">
        <v>6</v>
      </c>
      <c r="CQ321" s="15">
        <v>1</v>
      </c>
      <c r="CR321" s="15">
        <v>2</v>
      </c>
      <c r="CS321" s="15">
        <v>4</v>
      </c>
      <c r="CT321" s="15"/>
      <c r="CU321" s="15"/>
      <c r="CV321" s="15"/>
      <c r="CW321" s="15"/>
      <c r="CX321" s="15" t="s">
        <v>328</v>
      </c>
      <c r="CY321" s="15"/>
      <c r="CZ321" s="15"/>
      <c r="DA321" s="15"/>
      <c r="DB321" s="15"/>
      <c r="DC321" s="15">
        <v>1</v>
      </c>
      <c r="DD321" s="15">
        <v>2</v>
      </c>
      <c r="DE321" s="15">
        <v>3</v>
      </c>
      <c r="DF321" s="15">
        <v>4</v>
      </c>
      <c r="DG321" s="15"/>
      <c r="DH321" s="15"/>
      <c r="DI321" s="15"/>
      <c r="DJ321" s="15" t="s">
        <v>328</v>
      </c>
      <c r="DK321" s="15"/>
      <c r="DL321" s="15"/>
      <c r="DM321" s="15"/>
      <c r="DN321" s="15"/>
      <c r="DO321" s="15"/>
      <c r="DP321" s="15"/>
      <c r="DQ321" s="15" t="s">
        <v>328</v>
      </c>
      <c r="DR321" s="15"/>
      <c r="DS321" s="15"/>
      <c r="DT321" s="15"/>
      <c r="DU321" s="15"/>
      <c r="DV321" s="15"/>
      <c r="DW321" s="15"/>
      <c r="DX321" s="15"/>
      <c r="DY321" s="15" t="s">
        <v>328</v>
      </c>
      <c r="DZ321" s="15"/>
      <c r="EA321" s="15"/>
      <c r="EB321" s="15"/>
      <c r="EC321" s="15"/>
      <c r="ED321" s="15"/>
      <c r="EE321" s="102"/>
      <c r="EF321" s="99"/>
      <c r="EG321" s="17">
        <f t="shared" si="4"/>
        <v>0</v>
      </c>
    </row>
    <row r="322" spans="1:137" x14ac:dyDescent="0.25">
      <c r="A322" s="51" t="s">
        <v>1442</v>
      </c>
      <c r="B322" s="211">
        <v>41549</v>
      </c>
      <c r="C322" s="212" t="s">
        <v>2754</v>
      </c>
      <c r="D322" s="103" t="s">
        <v>1494</v>
      </c>
      <c r="E322" s="15" t="s">
        <v>328</v>
      </c>
      <c r="F322" s="15"/>
      <c r="G322" s="15">
        <v>53</v>
      </c>
      <c r="H322" s="15" t="s">
        <v>329</v>
      </c>
      <c r="I322" s="15" t="s">
        <v>353</v>
      </c>
      <c r="J322" s="15" t="s">
        <v>1049</v>
      </c>
      <c r="K322" s="15" t="s">
        <v>1299</v>
      </c>
      <c r="L322" s="15" t="s">
        <v>1293</v>
      </c>
      <c r="M322" s="15">
        <v>27</v>
      </c>
      <c r="N322" s="15">
        <v>1</v>
      </c>
      <c r="O322" s="15"/>
      <c r="P322" s="15">
        <v>1</v>
      </c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 t="s">
        <v>328</v>
      </c>
      <c r="AC322" s="15"/>
      <c r="AD322" s="15"/>
      <c r="AE322" s="15"/>
      <c r="AF322" s="15"/>
      <c r="AG322" s="15"/>
      <c r="AH322" s="15"/>
      <c r="AI322" s="15" t="s">
        <v>328</v>
      </c>
      <c r="AJ322" s="15"/>
      <c r="AK322" s="15"/>
      <c r="AL322" s="15" t="s">
        <v>328</v>
      </c>
      <c r="AM322" s="15"/>
      <c r="AN322" s="15"/>
      <c r="AO322" s="15"/>
      <c r="AP322" s="15" t="s">
        <v>328</v>
      </c>
      <c r="AQ322" s="15"/>
      <c r="AR322" s="15">
        <v>10</v>
      </c>
      <c r="AS322" s="15">
        <v>10</v>
      </c>
      <c r="AT322" s="15"/>
      <c r="AU322" s="15"/>
      <c r="AV322" s="15" t="s">
        <v>328</v>
      </c>
      <c r="AW322" s="15"/>
      <c r="AX322" s="15">
        <v>1</v>
      </c>
      <c r="AY322" s="15">
        <v>2</v>
      </c>
      <c r="AZ322" s="15">
        <v>3</v>
      </c>
      <c r="BA322" s="15"/>
      <c r="BB322" s="15" t="s">
        <v>328</v>
      </c>
      <c r="BC322" s="15"/>
      <c r="BD322" s="15"/>
      <c r="BE322" s="15" t="s">
        <v>328</v>
      </c>
      <c r="BF322" s="15"/>
      <c r="BG322" s="15"/>
      <c r="BH322" s="15"/>
      <c r="BI322" s="15"/>
      <c r="BJ322" s="15"/>
      <c r="BK322" s="15"/>
      <c r="BL322" s="15"/>
      <c r="BM322" s="15"/>
      <c r="BN322" s="15"/>
      <c r="BO322" s="15" t="s">
        <v>328</v>
      </c>
      <c r="BP322" s="15"/>
      <c r="BQ322" s="15" t="s">
        <v>328</v>
      </c>
      <c r="BR322" s="15"/>
      <c r="BS322" s="15"/>
      <c r="BT322" s="15"/>
      <c r="BU322" s="15"/>
      <c r="BV322" s="15" t="s">
        <v>328</v>
      </c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 t="s">
        <v>332</v>
      </c>
      <c r="CI322" s="15" t="s">
        <v>328</v>
      </c>
      <c r="CJ322" s="15"/>
      <c r="CK322" s="15"/>
      <c r="CL322" s="15"/>
      <c r="CM322" s="15"/>
      <c r="CN322" s="15">
        <v>3</v>
      </c>
      <c r="CO322" s="15">
        <v>1</v>
      </c>
      <c r="CP322" s="15">
        <v>2</v>
      </c>
      <c r="CQ322" s="15">
        <v>5</v>
      </c>
      <c r="CR322" s="15">
        <v>6</v>
      </c>
      <c r="CS322" s="15">
        <v>4</v>
      </c>
      <c r="CT322" s="15"/>
      <c r="CU322" s="15"/>
      <c r="CV322" s="15"/>
      <c r="CW322" s="15"/>
      <c r="CX322" s="15"/>
      <c r="CY322" s="15"/>
      <c r="CZ322" s="15" t="s">
        <v>332</v>
      </c>
      <c r="DA322" s="15" t="s">
        <v>328</v>
      </c>
      <c r="DB322" s="15" t="s">
        <v>397</v>
      </c>
      <c r="DC322" s="15"/>
      <c r="DD322" s="15"/>
      <c r="DE322" s="15"/>
      <c r="DF322" s="15"/>
      <c r="DG322" s="15"/>
      <c r="DH322" s="15"/>
      <c r="DI322" s="15"/>
      <c r="DJ322" s="15" t="s">
        <v>328</v>
      </c>
      <c r="DK322" s="15"/>
      <c r="DL322" s="15"/>
      <c r="DM322" s="15"/>
      <c r="DN322" s="15"/>
      <c r="DO322" s="15"/>
      <c r="DP322" s="15"/>
      <c r="DQ322" s="15" t="s">
        <v>328</v>
      </c>
      <c r="DR322" s="15"/>
      <c r="DS322" s="15"/>
      <c r="DT322" s="15"/>
      <c r="DU322" s="15"/>
      <c r="DV322" s="15"/>
      <c r="DW322" s="15"/>
      <c r="DX322" s="15"/>
      <c r="DY322" s="15" t="s">
        <v>328</v>
      </c>
      <c r="DZ322" s="15"/>
      <c r="EA322" s="15"/>
      <c r="EB322" s="15"/>
      <c r="EC322" s="15"/>
      <c r="ED322" s="15"/>
      <c r="EE322" s="102"/>
      <c r="EF322" s="99"/>
      <c r="EG322" s="17">
        <f t="shared" si="4"/>
        <v>0</v>
      </c>
    </row>
    <row r="323" spans="1:137" x14ac:dyDescent="0.25">
      <c r="A323" s="51" t="s">
        <v>1442</v>
      </c>
      <c r="B323" s="211">
        <v>41549</v>
      </c>
      <c r="C323" s="212" t="s">
        <v>2754</v>
      </c>
      <c r="D323" s="103" t="s">
        <v>1495</v>
      </c>
      <c r="E323" s="15" t="s">
        <v>328</v>
      </c>
      <c r="F323" s="15"/>
      <c r="G323" s="15">
        <v>60</v>
      </c>
      <c r="H323" s="15" t="s">
        <v>329</v>
      </c>
      <c r="I323" s="15" t="s">
        <v>353</v>
      </c>
      <c r="J323" s="15" t="s">
        <v>1496</v>
      </c>
      <c r="K323" s="15" t="s">
        <v>1497</v>
      </c>
      <c r="L323" s="15" t="s">
        <v>1339</v>
      </c>
      <c r="M323" s="15">
        <v>35</v>
      </c>
      <c r="N323" s="15">
        <v>1</v>
      </c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>
        <v>1</v>
      </c>
      <c r="AA323" s="15"/>
      <c r="AB323" s="15" t="s">
        <v>328</v>
      </c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 t="s">
        <v>328</v>
      </c>
      <c r="AN323" s="15"/>
      <c r="AO323" s="15"/>
      <c r="AP323" s="15" t="s">
        <v>328</v>
      </c>
      <c r="AQ323" s="15"/>
      <c r="AR323" s="15">
        <v>0</v>
      </c>
      <c r="AS323" s="15">
        <v>0</v>
      </c>
      <c r="AT323" s="15"/>
      <c r="AU323" s="15" t="s">
        <v>328</v>
      </c>
      <c r="AV323" s="15"/>
      <c r="AW323" s="15"/>
      <c r="AX323" s="15">
        <v>3</v>
      </c>
      <c r="AY323" s="15">
        <v>1</v>
      </c>
      <c r="AZ323" s="15">
        <v>2</v>
      </c>
      <c r="BA323" s="15"/>
      <c r="BB323" s="15" t="s">
        <v>328</v>
      </c>
      <c r="BC323" s="15"/>
      <c r="BD323" s="15" t="s">
        <v>328</v>
      </c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 t="s">
        <v>328</v>
      </c>
      <c r="BP323" s="15"/>
      <c r="BQ323" s="15" t="s">
        <v>328</v>
      </c>
      <c r="BR323" s="15"/>
      <c r="BS323" s="15"/>
      <c r="BT323" s="15"/>
      <c r="BU323" s="15"/>
      <c r="BV323" s="15"/>
      <c r="BW323" s="15" t="s">
        <v>328</v>
      </c>
      <c r="BX323" s="15"/>
      <c r="BY323" s="15"/>
      <c r="BZ323" s="15"/>
      <c r="CA323" s="15"/>
      <c r="CB323" s="15"/>
      <c r="CC323" s="15"/>
      <c r="CD323" s="15" t="s">
        <v>328</v>
      </c>
      <c r="CE323" s="15"/>
      <c r="CF323" s="15"/>
      <c r="CG323" s="15"/>
      <c r="CH323" s="15"/>
      <c r="CI323" s="15"/>
      <c r="CJ323" s="15" t="s">
        <v>328</v>
      </c>
      <c r="CK323" s="15"/>
      <c r="CL323" s="15"/>
      <c r="CM323" s="15"/>
      <c r="CN323" s="15">
        <v>1</v>
      </c>
      <c r="CO323" s="15">
        <v>2</v>
      </c>
      <c r="CP323" s="15">
        <v>6</v>
      </c>
      <c r="CQ323" s="15">
        <v>4</v>
      </c>
      <c r="CR323" s="15">
        <v>5</v>
      </c>
      <c r="CS323" s="15">
        <v>3</v>
      </c>
      <c r="CT323" s="15"/>
      <c r="CU323" s="15"/>
      <c r="CV323" s="15"/>
      <c r="CW323" s="15"/>
      <c r="CX323" s="15"/>
      <c r="CY323" s="15"/>
      <c r="CZ323" s="15" t="s">
        <v>332</v>
      </c>
      <c r="DA323" s="15"/>
      <c r="DB323" s="15"/>
      <c r="DC323" s="15">
        <v>1</v>
      </c>
      <c r="DD323" s="15">
        <v>3</v>
      </c>
      <c r="DE323" s="15">
        <v>4</v>
      </c>
      <c r="DF323" s="15"/>
      <c r="DG323" s="15">
        <v>2</v>
      </c>
      <c r="DH323" s="15"/>
      <c r="DI323" s="15"/>
      <c r="DJ323" s="15" t="s">
        <v>328</v>
      </c>
      <c r="DK323" s="15"/>
      <c r="DL323" s="15"/>
      <c r="DM323" s="15"/>
      <c r="DN323" s="15"/>
      <c r="DO323" s="15"/>
      <c r="DP323" s="15"/>
      <c r="DQ323" s="15" t="s">
        <v>328</v>
      </c>
      <c r="DR323" s="15"/>
      <c r="DS323" s="15"/>
      <c r="DT323" s="15"/>
      <c r="DU323" s="15"/>
      <c r="DV323" s="15"/>
      <c r="DW323" s="15"/>
      <c r="DX323" s="15"/>
      <c r="DY323" s="15" t="s">
        <v>328</v>
      </c>
      <c r="DZ323" s="15"/>
      <c r="EA323" s="15"/>
      <c r="EB323" s="15"/>
      <c r="EC323" s="15"/>
      <c r="ED323" s="15"/>
      <c r="EE323" s="102"/>
      <c r="EF323" s="99"/>
      <c r="EG323" s="17">
        <f t="shared" si="4"/>
        <v>0</v>
      </c>
    </row>
    <row r="324" spans="1:137" x14ac:dyDescent="0.25">
      <c r="A324" s="51" t="s">
        <v>1442</v>
      </c>
      <c r="B324" s="211">
        <v>41549</v>
      </c>
      <c r="C324" s="212" t="s">
        <v>2754</v>
      </c>
      <c r="D324" s="103" t="s">
        <v>1498</v>
      </c>
      <c r="E324" s="15" t="s">
        <v>328</v>
      </c>
      <c r="F324" s="15"/>
      <c r="G324" s="15">
        <v>37</v>
      </c>
      <c r="H324" s="15" t="s">
        <v>329</v>
      </c>
      <c r="I324" s="15" t="s">
        <v>357</v>
      </c>
      <c r="J324" s="15" t="s">
        <v>1499</v>
      </c>
      <c r="K324" s="15" t="s">
        <v>1500</v>
      </c>
      <c r="L324" s="15" t="s">
        <v>1446</v>
      </c>
      <c r="M324" s="15">
        <v>15</v>
      </c>
      <c r="N324" s="15">
        <v>1</v>
      </c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>
        <v>1</v>
      </c>
      <c r="AA324" s="15"/>
      <c r="AB324" s="15" t="s">
        <v>328</v>
      </c>
      <c r="AC324" s="15"/>
      <c r="AD324" s="15"/>
      <c r="AE324" s="15"/>
      <c r="AF324" s="15"/>
      <c r="AG324" s="15" t="s">
        <v>328</v>
      </c>
      <c r="AH324" s="15"/>
      <c r="AI324" s="15"/>
      <c r="AJ324" s="15"/>
      <c r="AK324" s="15"/>
      <c r="AL324" s="15"/>
      <c r="AM324" s="15" t="s">
        <v>328</v>
      </c>
      <c r="AN324" s="15"/>
      <c r="AO324" s="15" t="s">
        <v>328</v>
      </c>
      <c r="AP324" s="15"/>
      <c r="AQ324" s="15"/>
      <c r="AR324" s="15">
        <v>0</v>
      </c>
      <c r="AS324" s="15">
        <v>0</v>
      </c>
      <c r="AT324" s="15"/>
      <c r="AU324" s="15" t="s">
        <v>328</v>
      </c>
      <c r="AV324" s="15"/>
      <c r="AW324" s="15"/>
      <c r="AX324" s="15">
        <v>2</v>
      </c>
      <c r="AY324" s="15">
        <v>1</v>
      </c>
      <c r="AZ324" s="15">
        <v>3</v>
      </c>
      <c r="BA324" s="15"/>
      <c r="BB324" s="15" t="s">
        <v>328</v>
      </c>
      <c r="BC324" s="15"/>
      <c r="BD324" s="15" t="s">
        <v>328</v>
      </c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 t="s">
        <v>328</v>
      </c>
      <c r="BP324" s="15"/>
      <c r="BQ324" s="15" t="s">
        <v>328</v>
      </c>
      <c r="BR324" s="15"/>
      <c r="BS324" s="15" t="s">
        <v>328</v>
      </c>
      <c r="BT324" s="15"/>
      <c r="BU324" s="15"/>
      <c r="BV324" s="15"/>
      <c r="BW324" s="15" t="s">
        <v>328</v>
      </c>
      <c r="BX324" s="15"/>
      <c r="BY324" s="15"/>
      <c r="BZ324" s="15"/>
      <c r="CA324" s="15"/>
      <c r="CB324" s="15"/>
      <c r="CC324" s="15" t="s">
        <v>328</v>
      </c>
      <c r="CD324" s="15" t="s">
        <v>328</v>
      </c>
      <c r="CE324" s="15"/>
      <c r="CF324" s="15"/>
      <c r="CG324" s="15" t="s">
        <v>328</v>
      </c>
      <c r="CH324" s="15"/>
      <c r="CI324" s="15" t="s">
        <v>328</v>
      </c>
      <c r="CJ324" s="15"/>
      <c r="CK324" s="15"/>
      <c r="CL324" s="15"/>
      <c r="CM324" s="15"/>
      <c r="CN324" s="15">
        <v>5</v>
      </c>
      <c r="CO324" s="15">
        <v>3</v>
      </c>
      <c r="CP324" s="15">
        <v>4</v>
      </c>
      <c r="CQ324" s="15">
        <v>1</v>
      </c>
      <c r="CR324" s="15">
        <v>2</v>
      </c>
      <c r="CS324" s="15">
        <v>6</v>
      </c>
      <c r="CT324" s="15"/>
      <c r="CU324" s="15"/>
      <c r="CV324" s="15"/>
      <c r="CW324" s="15"/>
      <c r="CX324" s="15"/>
      <c r="CY324" s="15"/>
      <c r="CZ324" s="15" t="s">
        <v>332</v>
      </c>
      <c r="DA324" s="15"/>
      <c r="DB324" s="15"/>
      <c r="DC324" s="15">
        <v>5</v>
      </c>
      <c r="DD324" s="15">
        <v>1</v>
      </c>
      <c r="DE324" s="15">
        <v>2</v>
      </c>
      <c r="DF324" s="15">
        <v>3</v>
      </c>
      <c r="DG324" s="15">
        <v>6</v>
      </c>
      <c r="DH324" s="15">
        <v>4</v>
      </c>
      <c r="DI324" s="15"/>
      <c r="DJ324" s="15" t="s">
        <v>328</v>
      </c>
      <c r="DK324" s="15"/>
      <c r="DL324" s="15"/>
      <c r="DM324" s="15"/>
      <c r="DN324" s="15"/>
      <c r="DO324" s="15"/>
      <c r="DP324" s="15"/>
      <c r="DQ324" s="15" t="s">
        <v>328</v>
      </c>
      <c r="DR324" s="15"/>
      <c r="DS324" s="15"/>
      <c r="DT324" s="15"/>
      <c r="DU324" s="15"/>
      <c r="DV324" s="15"/>
      <c r="DW324" s="15"/>
      <c r="DX324" s="15"/>
      <c r="DY324" s="15" t="s">
        <v>328</v>
      </c>
      <c r="DZ324" s="15"/>
      <c r="EA324" s="15"/>
      <c r="EB324" s="15"/>
      <c r="EC324" s="15"/>
      <c r="ED324" s="15"/>
      <c r="EE324" s="102"/>
      <c r="EF324" s="99"/>
      <c r="EG324" s="17">
        <f t="shared" si="4"/>
        <v>0</v>
      </c>
    </row>
    <row r="325" spans="1:137" x14ac:dyDescent="0.25">
      <c r="A325" s="51" t="s">
        <v>1442</v>
      </c>
      <c r="B325" s="211">
        <v>41549</v>
      </c>
      <c r="C325" s="212" t="s">
        <v>2754</v>
      </c>
      <c r="D325" s="103" t="s">
        <v>1501</v>
      </c>
      <c r="E325" s="15" t="s">
        <v>328</v>
      </c>
      <c r="F325" s="15"/>
      <c r="G325" s="15">
        <v>59</v>
      </c>
      <c r="H325" s="15" t="s">
        <v>329</v>
      </c>
      <c r="I325" s="15" t="s">
        <v>584</v>
      </c>
      <c r="J325" s="15" t="s">
        <v>1502</v>
      </c>
      <c r="K325" s="15" t="s">
        <v>1503</v>
      </c>
      <c r="L325" s="15" t="s">
        <v>1290</v>
      </c>
      <c r="M325" s="15">
        <v>30</v>
      </c>
      <c r="N325" s="15">
        <v>1</v>
      </c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>
        <v>1</v>
      </c>
      <c r="AA325" s="15"/>
      <c r="AB325" s="15" t="s">
        <v>328</v>
      </c>
      <c r="AC325" s="15" t="s">
        <v>328</v>
      </c>
      <c r="AD325" s="15"/>
      <c r="AE325" s="15"/>
      <c r="AF325" s="15"/>
      <c r="AG325" s="15" t="s">
        <v>328</v>
      </c>
      <c r="AH325" s="15"/>
      <c r="AI325" s="15"/>
      <c r="AJ325" s="15"/>
      <c r="AK325" s="15"/>
      <c r="AL325" s="15"/>
      <c r="AM325" s="15" t="s">
        <v>328</v>
      </c>
      <c r="AN325" s="15"/>
      <c r="AO325" s="15" t="s">
        <v>328</v>
      </c>
      <c r="AP325" s="15"/>
      <c r="AQ325" s="15"/>
      <c r="AR325" s="15">
        <v>10</v>
      </c>
      <c r="AS325" s="15">
        <v>10</v>
      </c>
      <c r="AT325" s="15"/>
      <c r="AU325" s="15" t="s">
        <v>328</v>
      </c>
      <c r="AV325" s="15"/>
      <c r="AW325" s="15"/>
      <c r="AX325" s="15">
        <v>3</v>
      </c>
      <c r="AY325" s="15">
        <v>1</v>
      </c>
      <c r="AZ325" s="15">
        <v>2</v>
      </c>
      <c r="BA325" s="15"/>
      <c r="BB325" s="15" t="s">
        <v>328</v>
      </c>
      <c r="BC325" s="15"/>
      <c r="BD325" s="15" t="s">
        <v>328</v>
      </c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 t="s">
        <v>328</v>
      </c>
      <c r="BP325" s="15"/>
      <c r="BQ325" s="15" t="s">
        <v>328</v>
      </c>
      <c r="BR325" s="15" t="s">
        <v>328</v>
      </c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 t="s">
        <v>328</v>
      </c>
      <c r="CH325" s="15"/>
      <c r="CI325" s="15"/>
      <c r="CJ325" s="15" t="s">
        <v>328</v>
      </c>
      <c r="CK325" s="15"/>
      <c r="CL325" s="15"/>
      <c r="CM325" s="15"/>
      <c r="CN325" s="15">
        <v>3</v>
      </c>
      <c r="CO325" s="15">
        <v>1</v>
      </c>
      <c r="CP325" s="15">
        <v>2</v>
      </c>
      <c r="CQ325" s="15">
        <v>5</v>
      </c>
      <c r="CR325" s="15">
        <v>6</v>
      </c>
      <c r="CS325" s="15">
        <v>4</v>
      </c>
      <c r="CT325" s="15"/>
      <c r="CU325" s="15"/>
      <c r="CV325" s="15"/>
      <c r="CW325" s="15"/>
      <c r="CX325" s="15" t="s">
        <v>328</v>
      </c>
      <c r="CY325" s="15"/>
      <c r="CZ325" s="15"/>
      <c r="DA325" s="15"/>
      <c r="DB325" s="15"/>
      <c r="DC325" s="15">
        <v>1</v>
      </c>
      <c r="DD325" s="15"/>
      <c r="DE325" s="15"/>
      <c r="DF325" s="15"/>
      <c r="DG325" s="15"/>
      <c r="DH325" s="15"/>
      <c r="DI325" s="15"/>
      <c r="DJ325" s="15" t="s">
        <v>328</v>
      </c>
      <c r="DK325" s="15"/>
      <c r="DL325" s="15"/>
      <c r="DM325" s="15"/>
      <c r="DN325" s="15"/>
      <c r="DO325" s="15"/>
      <c r="DP325" s="15"/>
      <c r="DQ325" s="15" t="s">
        <v>328</v>
      </c>
      <c r="DR325" s="15"/>
      <c r="DS325" s="15"/>
      <c r="DT325" s="15"/>
      <c r="DU325" s="15"/>
      <c r="DV325" s="15"/>
      <c r="DW325" s="15"/>
      <c r="DX325" s="15"/>
      <c r="DY325" s="15" t="s">
        <v>328</v>
      </c>
      <c r="DZ325" s="15"/>
      <c r="EA325" s="15"/>
      <c r="EB325" s="15"/>
      <c r="EC325" s="15"/>
      <c r="ED325" s="15"/>
      <c r="EE325" s="102"/>
      <c r="EF325" s="99"/>
      <c r="EG325" s="17">
        <f t="shared" si="4"/>
        <v>0</v>
      </c>
    </row>
    <row r="326" spans="1:137" x14ac:dyDescent="0.25">
      <c r="A326" s="51" t="s">
        <v>1442</v>
      </c>
      <c r="B326" s="211">
        <v>41549</v>
      </c>
      <c r="C326" s="212" t="s">
        <v>2754</v>
      </c>
      <c r="D326" s="103" t="s">
        <v>1504</v>
      </c>
      <c r="E326" s="15" t="s">
        <v>328</v>
      </c>
      <c r="F326" s="15"/>
      <c r="G326" s="15">
        <v>42</v>
      </c>
      <c r="H326" s="15" t="s">
        <v>329</v>
      </c>
      <c r="I326" s="15" t="s">
        <v>330</v>
      </c>
      <c r="J326" s="15" t="s">
        <v>1448</v>
      </c>
      <c r="K326" s="15" t="s">
        <v>1268</v>
      </c>
      <c r="L326" s="15" t="s">
        <v>1446</v>
      </c>
      <c r="M326" s="15">
        <v>12</v>
      </c>
      <c r="N326" s="15">
        <v>1</v>
      </c>
      <c r="O326" s="15">
        <v>1</v>
      </c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 t="s">
        <v>328</v>
      </c>
      <c r="AD326" s="15"/>
      <c r="AE326" s="15"/>
      <c r="AF326" s="15"/>
      <c r="AG326" s="15"/>
      <c r="AH326" s="15"/>
      <c r="AI326" s="15"/>
      <c r="AJ326" s="15"/>
      <c r="AK326" s="15"/>
      <c r="AL326" s="15" t="s">
        <v>328</v>
      </c>
      <c r="AM326" s="15"/>
      <c r="AN326" s="15"/>
      <c r="AO326" s="15"/>
      <c r="AP326" s="15"/>
      <c r="AQ326" s="15" t="s">
        <v>328</v>
      </c>
      <c r="AR326" s="15">
        <v>10</v>
      </c>
      <c r="AS326" s="15">
        <v>10</v>
      </c>
      <c r="AT326" s="15"/>
      <c r="AU326" s="15"/>
      <c r="AV326" s="15" t="s">
        <v>328</v>
      </c>
      <c r="AW326" s="15"/>
      <c r="AX326" s="15">
        <v>1</v>
      </c>
      <c r="AY326" s="15">
        <v>3</v>
      </c>
      <c r="AZ326" s="15">
        <v>2</v>
      </c>
      <c r="BA326" s="15"/>
      <c r="BB326" s="15" t="s">
        <v>328</v>
      </c>
      <c r="BC326" s="15"/>
      <c r="BD326" s="15"/>
      <c r="BE326" s="15"/>
      <c r="BF326" s="15"/>
      <c r="BG326" s="15"/>
      <c r="BH326" s="15"/>
      <c r="BI326" s="15"/>
      <c r="BJ326" s="15"/>
      <c r="BK326" s="15" t="s">
        <v>328</v>
      </c>
      <c r="BL326" s="15"/>
      <c r="BM326" s="15"/>
      <c r="BN326" s="15"/>
      <c r="BO326" s="15" t="s">
        <v>328</v>
      </c>
      <c r="BP326" s="15" t="s">
        <v>328</v>
      </c>
      <c r="BQ326" s="15"/>
      <c r="BR326" s="15"/>
      <c r="BS326" s="15" t="s">
        <v>328</v>
      </c>
      <c r="BT326" s="15"/>
      <c r="BU326" s="15"/>
      <c r="BV326" s="15" t="s">
        <v>328</v>
      </c>
      <c r="BW326" s="15" t="s">
        <v>328</v>
      </c>
      <c r="BX326" s="15"/>
      <c r="BY326" s="15"/>
      <c r="BZ326" s="15"/>
      <c r="CA326" s="15"/>
      <c r="CB326" s="15"/>
      <c r="CC326" s="15" t="s">
        <v>328</v>
      </c>
      <c r="CD326" s="15" t="s">
        <v>328</v>
      </c>
      <c r="CE326" s="15"/>
      <c r="CF326" s="15"/>
      <c r="CG326" s="15"/>
      <c r="CH326" s="15"/>
      <c r="CI326" s="15" t="s">
        <v>328</v>
      </c>
      <c r="CJ326" s="15"/>
      <c r="CK326" s="15"/>
      <c r="CL326" s="15"/>
      <c r="CM326" s="15"/>
      <c r="CN326" s="15">
        <v>3</v>
      </c>
      <c r="CO326" s="15">
        <v>1</v>
      </c>
      <c r="CP326" s="15">
        <v>2</v>
      </c>
      <c r="CQ326" s="15">
        <v>5</v>
      </c>
      <c r="CR326" s="15">
        <v>6</v>
      </c>
      <c r="CS326" s="15">
        <v>4</v>
      </c>
      <c r="CT326" s="15"/>
      <c r="CU326" s="15"/>
      <c r="CV326" s="15"/>
      <c r="CW326" s="15"/>
      <c r="CX326" s="15"/>
      <c r="CY326" s="15"/>
      <c r="CZ326" s="15" t="s">
        <v>332</v>
      </c>
      <c r="DA326" s="15"/>
      <c r="DB326" s="15"/>
      <c r="DC326" s="15">
        <v>1</v>
      </c>
      <c r="DD326" s="15">
        <v>3</v>
      </c>
      <c r="DE326" s="15">
        <v>4</v>
      </c>
      <c r="DF326" s="15">
        <v>5</v>
      </c>
      <c r="DG326" s="15">
        <v>2</v>
      </c>
      <c r="DH326" s="15"/>
      <c r="DI326" s="15"/>
      <c r="DJ326" s="15" t="s">
        <v>328</v>
      </c>
      <c r="DK326" s="15"/>
      <c r="DL326" s="15"/>
      <c r="DM326" s="15"/>
      <c r="DN326" s="15"/>
      <c r="DO326" s="15"/>
      <c r="DP326" s="15"/>
      <c r="DQ326" s="15" t="s">
        <v>328</v>
      </c>
      <c r="DR326" s="15"/>
      <c r="DS326" s="15"/>
      <c r="DT326" s="15"/>
      <c r="DU326" s="15"/>
      <c r="DV326" s="15"/>
      <c r="DW326" s="15"/>
      <c r="DX326" s="15"/>
      <c r="DY326" s="15" t="s">
        <v>328</v>
      </c>
      <c r="DZ326" s="15"/>
      <c r="EA326" s="15"/>
      <c r="EB326" s="15"/>
      <c r="EC326" s="15"/>
      <c r="ED326" s="15"/>
      <c r="EE326" s="102"/>
      <c r="EF326" s="99"/>
      <c r="EG326" s="17">
        <f t="shared" si="4"/>
        <v>0</v>
      </c>
    </row>
    <row r="327" spans="1:137" x14ac:dyDescent="0.25">
      <c r="A327" s="51" t="s">
        <v>1442</v>
      </c>
      <c r="B327" s="211">
        <v>41549</v>
      </c>
      <c r="C327" s="212" t="s">
        <v>2754</v>
      </c>
      <c r="D327" s="103" t="s">
        <v>1505</v>
      </c>
      <c r="E327" s="15" t="s">
        <v>328</v>
      </c>
      <c r="F327" s="15"/>
      <c r="G327" s="15">
        <v>29</v>
      </c>
      <c r="H327" s="15" t="s">
        <v>329</v>
      </c>
      <c r="I327" s="15" t="s">
        <v>330</v>
      </c>
      <c r="J327" s="15" t="s">
        <v>1506</v>
      </c>
      <c r="K327" s="15" t="s">
        <v>1507</v>
      </c>
      <c r="L327" s="15" t="s">
        <v>1339</v>
      </c>
      <c r="M327" s="15">
        <v>5</v>
      </c>
      <c r="N327" s="15">
        <v>1</v>
      </c>
      <c r="O327" s="15">
        <v>1</v>
      </c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 t="s">
        <v>328</v>
      </c>
      <c r="AD327" s="15"/>
      <c r="AE327" s="15"/>
      <c r="AF327" s="15"/>
      <c r="AG327" s="15"/>
      <c r="AH327" s="15"/>
      <c r="AI327" s="15"/>
      <c r="AJ327" s="15"/>
      <c r="AK327" s="15"/>
      <c r="AL327" s="15" t="s">
        <v>328</v>
      </c>
      <c r="AM327" s="15"/>
      <c r="AN327" s="15" t="s">
        <v>328</v>
      </c>
      <c r="AO327" s="15"/>
      <c r="AP327" s="15"/>
      <c r="AQ327" s="15"/>
      <c r="AR327" s="15">
        <v>10</v>
      </c>
      <c r="AS327" s="15">
        <v>10</v>
      </c>
      <c r="AT327" s="15"/>
      <c r="AU327" s="15"/>
      <c r="AV327" s="15" t="s">
        <v>328</v>
      </c>
      <c r="AW327" s="15"/>
      <c r="AX327" s="15">
        <v>1</v>
      </c>
      <c r="AY327" s="15">
        <v>2</v>
      </c>
      <c r="AZ327" s="15">
        <v>3</v>
      </c>
      <c r="BA327" s="15"/>
      <c r="BB327" s="15" t="s">
        <v>328</v>
      </c>
      <c r="BC327" s="15"/>
      <c r="BD327" s="15"/>
      <c r="BE327" s="15" t="s">
        <v>328</v>
      </c>
      <c r="BF327" s="15"/>
      <c r="BG327" s="15"/>
      <c r="BH327" s="15"/>
      <c r="BI327" s="15"/>
      <c r="BJ327" s="15"/>
      <c r="BK327" s="15"/>
      <c r="BL327" s="15"/>
      <c r="BM327" s="15"/>
      <c r="BN327" s="15"/>
      <c r="BO327" s="15" t="s">
        <v>328</v>
      </c>
      <c r="BP327" s="15"/>
      <c r="BQ327" s="15" t="s">
        <v>328</v>
      </c>
      <c r="BR327" s="15"/>
      <c r="BS327" s="15"/>
      <c r="BT327" s="15"/>
      <c r="BU327" s="15"/>
      <c r="BV327" s="15" t="s">
        <v>328</v>
      </c>
      <c r="BW327" s="15"/>
      <c r="BX327" s="15"/>
      <c r="BY327" s="15"/>
      <c r="BZ327" s="15"/>
      <c r="CA327" s="15"/>
      <c r="CB327" s="15"/>
      <c r="CC327" s="15" t="s">
        <v>328</v>
      </c>
      <c r="CD327" s="15" t="s">
        <v>328</v>
      </c>
      <c r="CE327" s="15"/>
      <c r="CF327" s="15"/>
      <c r="CG327" s="15"/>
      <c r="CH327" s="15"/>
      <c r="CI327" s="15" t="s">
        <v>328</v>
      </c>
      <c r="CJ327" s="15"/>
      <c r="CK327" s="15"/>
      <c r="CL327" s="15"/>
      <c r="CM327" s="15"/>
      <c r="CN327" s="15">
        <v>5</v>
      </c>
      <c r="CO327" s="15">
        <v>3</v>
      </c>
      <c r="CP327" s="15">
        <v>4</v>
      </c>
      <c r="CQ327" s="15">
        <v>1</v>
      </c>
      <c r="CR327" s="15">
        <v>2</v>
      </c>
      <c r="CS327" s="15">
        <v>6</v>
      </c>
      <c r="CT327" s="15"/>
      <c r="CU327" s="15" t="s">
        <v>328</v>
      </c>
      <c r="CV327" s="15" t="s">
        <v>328</v>
      </c>
      <c r="CW327" s="15"/>
      <c r="CX327" s="15"/>
      <c r="CY327" s="15"/>
      <c r="CZ327" s="15"/>
      <c r="DA327" s="15"/>
      <c r="DB327" s="15"/>
      <c r="DC327" s="15">
        <v>1</v>
      </c>
      <c r="DD327" s="15"/>
      <c r="DE327" s="15"/>
      <c r="DF327" s="15"/>
      <c r="DG327" s="15">
        <v>2</v>
      </c>
      <c r="DH327" s="15"/>
      <c r="DI327" s="15"/>
      <c r="DJ327" s="15" t="s">
        <v>328</v>
      </c>
      <c r="DK327" s="15"/>
      <c r="DL327" s="15"/>
      <c r="DM327" s="15"/>
      <c r="DN327" s="15"/>
      <c r="DO327" s="15"/>
      <c r="DP327" s="15"/>
      <c r="DQ327" s="15" t="s">
        <v>328</v>
      </c>
      <c r="DR327" s="15"/>
      <c r="DS327" s="15"/>
      <c r="DT327" s="15"/>
      <c r="DU327" s="15"/>
      <c r="DV327" s="15"/>
      <c r="DW327" s="15"/>
      <c r="DX327" s="15"/>
      <c r="DY327" s="15" t="s">
        <v>328</v>
      </c>
      <c r="DZ327" s="15"/>
      <c r="EA327" s="15"/>
      <c r="EB327" s="15"/>
      <c r="EC327" s="15"/>
      <c r="ED327" s="15"/>
      <c r="EE327" s="102"/>
      <c r="EF327" s="99"/>
      <c r="EG327" s="17">
        <f t="shared" si="4"/>
        <v>0</v>
      </c>
    </row>
    <row r="328" spans="1:137" x14ac:dyDescent="0.25">
      <c r="A328" s="51" t="s">
        <v>1508</v>
      </c>
      <c r="B328" s="211">
        <v>41576</v>
      </c>
      <c r="C328" s="212" t="s">
        <v>2755</v>
      </c>
      <c r="D328" s="103" t="s">
        <v>1509</v>
      </c>
      <c r="E328" s="15" t="s">
        <v>328</v>
      </c>
      <c r="F328" s="15"/>
      <c r="G328" s="15">
        <v>52</v>
      </c>
      <c r="H328" s="15" t="s">
        <v>329</v>
      </c>
      <c r="I328" s="15" t="s">
        <v>357</v>
      </c>
      <c r="J328" s="15" t="s">
        <v>1510</v>
      </c>
      <c r="K328" s="15" t="s">
        <v>1511</v>
      </c>
      <c r="L328" s="15" t="s">
        <v>1339</v>
      </c>
      <c r="M328" s="15">
        <v>0</v>
      </c>
      <c r="N328" s="15">
        <v>3</v>
      </c>
      <c r="O328" s="15"/>
      <c r="P328" s="15"/>
      <c r="Q328" s="15"/>
      <c r="R328" s="15">
        <v>3</v>
      </c>
      <c r="S328" s="15"/>
      <c r="T328" s="15"/>
      <c r="U328" s="15"/>
      <c r="V328" s="15"/>
      <c r="W328" s="15"/>
      <c r="X328" s="15"/>
      <c r="Y328" s="15"/>
      <c r="Z328" s="15"/>
      <c r="AA328" s="15"/>
      <c r="AB328" s="15" t="s">
        <v>328</v>
      </c>
      <c r="AC328" s="15"/>
      <c r="AD328" s="15"/>
      <c r="AE328" s="15"/>
      <c r="AF328" s="15"/>
      <c r="AG328" s="15"/>
      <c r="AH328" s="15"/>
      <c r="AI328" s="15" t="s">
        <v>328</v>
      </c>
      <c r="AJ328" s="15"/>
      <c r="AK328" s="15"/>
      <c r="AL328" s="15"/>
      <c r="AM328" s="15" t="s">
        <v>328</v>
      </c>
      <c r="AN328" s="15" t="s">
        <v>328</v>
      </c>
      <c r="AO328" s="15"/>
      <c r="AP328" s="15"/>
      <c r="AQ328" s="15"/>
      <c r="AR328" s="15">
        <v>10</v>
      </c>
      <c r="AS328" s="15">
        <v>5</v>
      </c>
      <c r="AT328" s="15"/>
      <c r="AU328" s="15"/>
      <c r="AV328" s="15"/>
      <c r="AW328" s="15" t="s">
        <v>328</v>
      </c>
      <c r="AX328" s="15">
        <v>1</v>
      </c>
      <c r="AY328" s="15">
        <v>2</v>
      </c>
      <c r="AZ328" s="15">
        <v>3</v>
      </c>
      <c r="BA328" s="15"/>
      <c r="BB328" s="15" t="s">
        <v>328</v>
      </c>
      <c r="BC328" s="15"/>
      <c r="BD328" s="15" t="s">
        <v>328</v>
      </c>
      <c r="BE328" s="15" t="s">
        <v>328</v>
      </c>
      <c r="BF328" s="15"/>
      <c r="BG328" s="15"/>
      <c r="BH328" s="15"/>
      <c r="BI328" s="15"/>
      <c r="BJ328" s="15"/>
      <c r="BK328" s="15"/>
      <c r="BL328" s="15"/>
      <c r="BM328" s="15"/>
      <c r="BN328" s="15"/>
      <c r="BO328" s="15" t="s">
        <v>328</v>
      </c>
      <c r="BP328" s="15" t="s">
        <v>328</v>
      </c>
      <c r="BQ328" s="15"/>
      <c r="BR328" s="15"/>
      <c r="BS328" s="15" t="s">
        <v>328</v>
      </c>
      <c r="BT328" s="15"/>
      <c r="BU328" s="15"/>
      <c r="BV328" s="15" t="s">
        <v>328</v>
      </c>
      <c r="BW328" s="15" t="s">
        <v>328</v>
      </c>
      <c r="BX328" s="15"/>
      <c r="BY328" s="15"/>
      <c r="BZ328" s="15"/>
      <c r="CA328" s="15"/>
      <c r="CB328" s="15" t="s">
        <v>328</v>
      </c>
      <c r="CC328" s="15" t="s">
        <v>328</v>
      </c>
      <c r="CD328" s="15" t="s">
        <v>328</v>
      </c>
      <c r="CE328" s="15"/>
      <c r="CF328" s="15"/>
      <c r="CG328" s="15"/>
      <c r="CH328" s="15"/>
      <c r="CI328" s="15"/>
      <c r="CJ328" s="15" t="s">
        <v>328</v>
      </c>
      <c r="CK328" s="15"/>
      <c r="CL328" s="15"/>
      <c r="CM328" s="15"/>
      <c r="CN328" s="15">
        <v>2</v>
      </c>
      <c r="CO328" s="15">
        <v>4</v>
      </c>
      <c r="CP328" s="15">
        <v>1</v>
      </c>
      <c r="CQ328" s="15">
        <v>5</v>
      </c>
      <c r="CR328" s="15">
        <v>6</v>
      </c>
      <c r="CS328" s="15">
        <v>3</v>
      </c>
      <c r="CT328" s="15"/>
      <c r="CU328" s="15"/>
      <c r="CV328" s="15"/>
      <c r="CW328" s="15"/>
      <c r="CX328" s="15"/>
      <c r="CY328" s="15"/>
      <c r="CZ328" s="15" t="s">
        <v>332</v>
      </c>
      <c r="DA328" s="15"/>
      <c r="DB328" s="15"/>
      <c r="DC328" s="15">
        <v>1</v>
      </c>
      <c r="DD328" s="15"/>
      <c r="DE328" s="15"/>
      <c r="DF328" s="15"/>
      <c r="DG328" s="15">
        <v>2</v>
      </c>
      <c r="DH328" s="15"/>
      <c r="DI328" s="15"/>
      <c r="DJ328" s="15" t="s">
        <v>328</v>
      </c>
      <c r="DK328" s="15"/>
      <c r="DL328" s="15"/>
      <c r="DM328" s="15"/>
      <c r="DN328" s="15"/>
      <c r="DO328" s="15"/>
      <c r="DP328" s="15"/>
      <c r="DQ328" s="15" t="s">
        <v>328</v>
      </c>
      <c r="DR328" s="15"/>
      <c r="DS328" s="15"/>
      <c r="DT328" s="15"/>
      <c r="DU328" s="15"/>
      <c r="DV328" s="15"/>
      <c r="DW328" s="15"/>
      <c r="DX328" s="15"/>
      <c r="DY328" s="15" t="s">
        <v>328</v>
      </c>
      <c r="DZ328" s="15"/>
      <c r="EA328" s="15"/>
      <c r="EB328" s="15"/>
      <c r="EC328" s="15"/>
      <c r="ED328" s="15"/>
      <c r="EE328" s="102"/>
      <c r="EF328" s="99"/>
      <c r="EG328" s="17">
        <f t="shared" ref="EG328:EG391" si="5">IF(AS328=0,IF(AR328&gt;0,"ERR",0),0)</f>
        <v>0</v>
      </c>
    </row>
    <row r="329" spans="1:137" x14ac:dyDescent="0.25">
      <c r="A329" s="51" t="s">
        <v>1508</v>
      </c>
      <c r="B329" s="211">
        <v>41576</v>
      </c>
      <c r="C329" s="212" t="s">
        <v>2755</v>
      </c>
      <c r="D329" s="103" t="s">
        <v>1512</v>
      </c>
      <c r="E329" s="15" t="s">
        <v>328</v>
      </c>
      <c r="F329" s="15"/>
      <c r="G329" s="15">
        <v>36</v>
      </c>
      <c r="H329" s="15" t="s">
        <v>329</v>
      </c>
      <c r="I329" s="15" t="s">
        <v>399</v>
      </c>
      <c r="J329" s="15" t="s">
        <v>1510</v>
      </c>
      <c r="K329" s="15" t="s">
        <v>1511</v>
      </c>
      <c r="L329" s="15" t="s">
        <v>1339</v>
      </c>
      <c r="M329" s="15">
        <v>0</v>
      </c>
      <c r="N329" s="15">
        <v>2</v>
      </c>
      <c r="O329" s="15"/>
      <c r="P329" s="15"/>
      <c r="Q329" s="15"/>
      <c r="R329" s="15">
        <v>2</v>
      </c>
      <c r="S329" s="15"/>
      <c r="T329" s="15"/>
      <c r="U329" s="15"/>
      <c r="V329" s="15"/>
      <c r="W329" s="15"/>
      <c r="X329" s="15"/>
      <c r="Y329" s="15"/>
      <c r="Z329" s="15"/>
      <c r="AA329" s="15"/>
      <c r="AB329" s="15" t="s">
        <v>328</v>
      </c>
      <c r="AC329" s="15"/>
      <c r="AD329" s="15"/>
      <c r="AE329" s="15"/>
      <c r="AF329" s="15"/>
      <c r="AG329" s="15"/>
      <c r="AH329" s="15"/>
      <c r="AI329" s="15" t="s">
        <v>328</v>
      </c>
      <c r="AJ329" s="15"/>
      <c r="AK329" s="15"/>
      <c r="AL329" s="15" t="s">
        <v>328</v>
      </c>
      <c r="AM329" s="15"/>
      <c r="AN329" s="15"/>
      <c r="AO329" s="15"/>
      <c r="AP329" s="15"/>
      <c r="AQ329" s="15" t="s">
        <v>328</v>
      </c>
      <c r="AR329" s="15">
        <v>10</v>
      </c>
      <c r="AS329" s="15">
        <v>6</v>
      </c>
      <c r="AT329" s="15" t="s">
        <v>328</v>
      </c>
      <c r="AU329" s="15"/>
      <c r="AV329" s="15"/>
      <c r="AW329" s="15"/>
      <c r="AX329" s="15">
        <v>1</v>
      </c>
      <c r="AY329" s="15">
        <v>2</v>
      </c>
      <c r="AZ329" s="15">
        <v>3</v>
      </c>
      <c r="BA329" s="15"/>
      <c r="BB329" s="15"/>
      <c r="BC329" s="15" t="s">
        <v>328</v>
      </c>
      <c r="BD329" s="15" t="s">
        <v>328</v>
      </c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 t="s">
        <v>328</v>
      </c>
      <c r="BP329" s="15" t="s">
        <v>328</v>
      </c>
      <c r="BQ329" s="15"/>
      <c r="BR329" s="15" t="s">
        <v>328</v>
      </c>
      <c r="BS329" s="15" t="s">
        <v>328</v>
      </c>
      <c r="BT329" s="15"/>
      <c r="BU329" s="15"/>
      <c r="BV329" s="15" t="s">
        <v>328</v>
      </c>
      <c r="BW329" s="15" t="s">
        <v>328</v>
      </c>
      <c r="BX329" s="15"/>
      <c r="BY329" s="15" t="s">
        <v>328</v>
      </c>
      <c r="BZ329" s="15"/>
      <c r="CA329" s="15"/>
      <c r="CB329" s="15" t="s">
        <v>328</v>
      </c>
      <c r="CC329" s="15" t="s">
        <v>328</v>
      </c>
      <c r="CD329" s="15" t="s">
        <v>328</v>
      </c>
      <c r="CE329" s="15"/>
      <c r="CF329" s="15"/>
      <c r="CG329" s="15"/>
      <c r="CH329" s="15"/>
      <c r="CI329" s="15" t="s">
        <v>328</v>
      </c>
      <c r="CJ329" s="15"/>
      <c r="CK329" s="15"/>
      <c r="CL329" s="15"/>
      <c r="CM329" s="15"/>
      <c r="CN329" s="15">
        <v>3</v>
      </c>
      <c r="CO329" s="15">
        <v>5</v>
      </c>
      <c r="CP329" s="15">
        <v>6</v>
      </c>
      <c r="CQ329" s="15">
        <v>1</v>
      </c>
      <c r="CR329" s="15">
        <v>2</v>
      </c>
      <c r="CS329" s="15">
        <v>4</v>
      </c>
      <c r="CT329" s="15"/>
      <c r="CU329" s="15" t="s">
        <v>328</v>
      </c>
      <c r="CV329" s="15" t="s">
        <v>328</v>
      </c>
      <c r="CW329" s="15" t="s">
        <v>328</v>
      </c>
      <c r="CX329" s="15"/>
      <c r="CY329" s="15"/>
      <c r="CZ329" s="15"/>
      <c r="DA329" s="15"/>
      <c r="DB329" s="15"/>
      <c r="DC329" s="15"/>
      <c r="DD329" s="15"/>
      <c r="DE329" s="15"/>
      <c r="DF329" s="15"/>
      <c r="DG329" s="15">
        <v>1</v>
      </c>
      <c r="DH329" s="15"/>
      <c r="DI329" s="15"/>
      <c r="DJ329" s="15" t="s">
        <v>328</v>
      </c>
      <c r="DK329" s="15"/>
      <c r="DL329" s="15"/>
      <c r="DM329" s="15"/>
      <c r="DN329" s="15"/>
      <c r="DO329" s="15"/>
      <c r="DP329" s="15"/>
      <c r="DQ329" s="15" t="s">
        <v>328</v>
      </c>
      <c r="DR329" s="15"/>
      <c r="DS329" s="15"/>
      <c r="DT329" s="15"/>
      <c r="DU329" s="15"/>
      <c r="DV329" s="15"/>
      <c r="DW329" s="15"/>
      <c r="DX329" s="15"/>
      <c r="DY329" s="15" t="s">
        <v>328</v>
      </c>
      <c r="DZ329" s="15"/>
      <c r="EA329" s="15"/>
      <c r="EB329" s="15"/>
      <c r="EC329" s="15"/>
      <c r="ED329" s="15"/>
      <c r="EE329" s="102"/>
      <c r="EF329" s="99"/>
      <c r="EG329" s="17">
        <f t="shared" si="5"/>
        <v>0</v>
      </c>
    </row>
    <row r="330" spans="1:137" x14ac:dyDescent="0.25">
      <c r="A330" s="51" t="s">
        <v>1508</v>
      </c>
      <c r="B330" s="211">
        <v>41576</v>
      </c>
      <c r="C330" s="212" t="s">
        <v>2756</v>
      </c>
      <c r="D330" s="103" t="s">
        <v>1513</v>
      </c>
      <c r="E330" s="15" t="s">
        <v>328</v>
      </c>
      <c r="F330" s="15"/>
      <c r="G330" s="15">
        <v>32</v>
      </c>
      <c r="H330" s="15" t="s">
        <v>376</v>
      </c>
      <c r="I330" s="15" t="s">
        <v>399</v>
      </c>
      <c r="J330" s="15" t="s">
        <v>1510</v>
      </c>
      <c r="K330" s="15" t="s">
        <v>1511</v>
      </c>
      <c r="L330" s="15" t="s">
        <v>1339</v>
      </c>
      <c r="M330" s="15">
        <v>0</v>
      </c>
      <c r="N330" s="15">
        <v>4</v>
      </c>
      <c r="O330" s="15">
        <v>1</v>
      </c>
      <c r="P330" s="15"/>
      <c r="Q330" s="15"/>
      <c r="R330" s="15">
        <v>3</v>
      </c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 t="s">
        <v>328</v>
      </c>
      <c r="AD330" s="15" t="s">
        <v>328</v>
      </c>
      <c r="AE330" s="15"/>
      <c r="AF330" s="15" t="s">
        <v>328</v>
      </c>
      <c r="AG330" s="15"/>
      <c r="AH330" s="15" t="s">
        <v>328</v>
      </c>
      <c r="AI330" s="15" t="s">
        <v>328</v>
      </c>
      <c r="AJ330" s="15" t="s">
        <v>328</v>
      </c>
      <c r="AK330" s="15"/>
      <c r="AL330" s="15" t="s">
        <v>328</v>
      </c>
      <c r="AM330" s="15"/>
      <c r="AN330" s="15"/>
      <c r="AO330" s="15"/>
      <c r="AP330" s="15"/>
      <c r="AQ330" s="15" t="s">
        <v>328</v>
      </c>
      <c r="AR330" s="15">
        <v>10</v>
      </c>
      <c r="AS330" s="15">
        <v>10</v>
      </c>
      <c r="AT330" s="15"/>
      <c r="AU330" s="15" t="s">
        <v>328</v>
      </c>
      <c r="AV330" s="15"/>
      <c r="AW330" s="15"/>
      <c r="AX330" s="15">
        <v>3</v>
      </c>
      <c r="AY330" s="15">
        <v>1</v>
      </c>
      <c r="AZ330" s="15">
        <v>2</v>
      </c>
      <c r="BA330" s="15"/>
      <c r="BB330" s="15"/>
      <c r="BC330" s="15" t="s">
        <v>328</v>
      </c>
      <c r="BD330" s="15" t="s">
        <v>328</v>
      </c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 t="s">
        <v>328</v>
      </c>
      <c r="BP330" s="15" t="s">
        <v>328</v>
      </c>
      <c r="BQ330" s="15"/>
      <c r="BR330" s="15"/>
      <c r="BS330" s="15"/>
      <c r="BT330" s="15"/>
      <c r="BU330" s="15"/>
      <c r="BV330" s="15" t="s">
        <v>328</v>
      </c>
      <c r="BW330" s="15"/>
      <c r="BX330" s="15"/>
      <c r="BY330" s="15" t="s">
        <v>328</v>
      </c>
      <c r="BZ330" s="15"/>
      <c r="CA330" s="15"/>
      <c r="CB330" s="15"/>
      <c r="CC330" s="15" t="s">
        <v>328</v>
      </c>
      <c r="CD330" s="15"/>
      <c r="CE330" s="15"/>
      <c r="CF330" s="15"/>
      <c r="CG330" s="15"/>
      <c r="CH330" s="15"/>
      <c r="CI330" s="15" t="s">
        <v>328</v>
      </c>
      <c r="CJ330" s="15"/>
      <c r="CK330" s="15"/>
      <c r="CL330" s="15"/>
      <c r="CM330" s="15"/>
      <c r="CN330" s="15">
        <v>4</v>
      </c>
      <c r="CO330" s="15">
        <v>1</v>
      </c>
      <c r="CP330" s="15">
        <v>2</v>
      </c>
      <c r="CQ330" s="15">
        <v>5</v>
      </c>
      <c r="CR330" s="15">
        <v>6</v>
      </c>
      <c r="CS330" s="15">
        <v>3</v>
      </c>
      <c r="CT330" s="15"/>
      <c r="CU330" s="15" t="s">
        <v>328</v>
      </c>
      <c r="CV330" s="15" t="s">
        <v>328</v>
      </c>
      <c r="CW330" s="15"/>
      <c r="CX330" s="15"/>
      <c r="CY330" s="15"/>
      <c r="CZ330" s="15"/>
      <c r="DA330" s="15"/>
      <c r="DB330" s="15"/>
      <c r="DC330" s="15">
        <v>1</v>
      </c>
      <c r="DD330" s="15"/>
      <c r="DE330" s="15"/>
      <c r="DF330" s="15"/>
      <c r="DG330" s="15">
        <v>2</v>
      </c>
      <c r="DH330" s="15"/>
      <c r="DI330" s="15"/>
      <c r="DJ330" s="15" t="s">
        <v>328</v>
      </c>
      <c r="DK330" s="15"/>
      <c r="DL330" s="15"/>
      <c r="DM330" s="15"/>
      <c r="DN330" s="15"/>
      <c r="DO330" s="15"/>
      <c r="DP330" s="15"/>
      <c r="DQ330" s="15" t="s">
        <v>328</v>
      </c>
      <c r="DR330" s="15"/>
      <c r="DS330" s="15"/>
      <c r="DT330" s="15"/>
      <c r="DU330" s="15"/>
      <c r="DV330" s="15"/>
      <c r="DW330" s="15"/>
      <c r="DX330" s="15"/>
      <c r="DY330" s="15" t="s">
        <v>328</v>
      </c>
      <c r="DZ330" s="15"/>
      <c r="EA330" s="15"/>
      <c r="EB330" s="15"/>
      <c r="EC330" s="15"/>
      <c r="ED330" s="15"/>
      <c r="EE330" s="102"/>
      <c r="EF330" s="99"/>
      <c r="EG330" s="17">
        <f t="shared" si="5"/>
        <v>0</v>
      </c>
    </row>
    <row r="331" spans="1:137" x14ac:dyDescent="0.25">
      <c r="A331" s="51" t="s">
        <v>1508</v>
      </c>
      <c r="B331" s="211">
        <v>41576</v>
      </c>
      <c r="C331" s="212" t="s">
        <v>2757</v>
      </c>
      <c r="D331" s="103" t="s">
        <v>1514</v>
      </c>
      <c r="E331" s="15" t="s">
        <v>328</v>
      </c>
      <c r="F331" s="15"/>
      <c r="G331" s="15">
        <v>47</v>
      </c>
      <c r="H331" s="15" t="s">
        <v>329</v>
      </c>
      <c r="I331" s="15" t="s">
        <v>1346</v>
      </c>
      <c r="J331" s="15" t="s">
        <v>1515</v>
      </c>
      <c r="K331" s="15" t="s">
        <v>1516</v>
      </c>
      <c r="L331" s="15" t="s">
        <v>1339</v>
      </c>
      <c r="M331" s="15">
        <v>0</v>
      </c>
      <c r="N331" s="15">
        <v>3</v>
      </c>
      <c r="O331" s="15"/>
      <c r="P331" s="15"/>
      <c r="Q331" s="15"/>
      <c r="R331" s="15"/>
      <c r="S331" s="15"/>
      <c r="T331" s="15"/>
      <c r="U331" s="15"/>
      <c r="V331" s="15">
        <v>6</v>
      </c>
      <c r="W331" s="15"/>
      <c r="X331" s="15"/>
      <c r="Y331" s="15"/>
      <c r="Z331" s="15"/>
      <c r="AA331" s="15"/>
      <c r="AB331" s="15"/>
      <c r="AC331" s="15"/>
      <c r="AD331" s="15"/>
      <c r="AE331" s="15" t="s">
        <v>328</v>
      </c>
      <c r="AF331" s="15"/>
      <c r="AG331" s="15"/>
      <c r="AH331" s="15" t="s">
        <v>328</v>
      </c>
      <c r="AI331" s="15"/>
      <c r="AJ331" s="15"/>
      <c r="AK331" s="15"/>
      <c r="AL331" s="15" t="s">
        <v>328</v>
      </c>
      <c r="AM331" s="15"/>
      <c r="AN331" s="15"/>
      <c r="AO331" s="15"/>
      <c r="AP331" s="15" t="s">
        <v>328</v>
      </c>
      <c r="AQ331" s="15"/>
      <c r="AR331" s="15">
        <v>10</v>
      </c>
      <c r="AS331" s="15">
        <v>10</v>
      </c>
      <c r="AT331" s="15"/>
      <c r="AU331" s="15"/>
      <c r="AV331" s="15" t="s">
        <v>328</v>
      </c>
      <c r="AW331" s="15"/>
      <c r="AX331" s="15">
        <v>3</v>
      </c>
      <c r="AY331" s="15">
        <v>1</v>
      </c>
      <c r="AZ331" s="15">
        <v>2</v>
      </c>
      <c r="BA331" s="15"/>
      <c r="BB331" s="15"/>
      <c r="BC331" s="15" t="s">
        <v>328</v>
      </c>
      <c r="BD331" s="15"/>
      <c r="BE331" s="15"/>
      <c r="BF331" s="15" t="s">
        <v>328</v>
      </c>
      <c r="BG331" s="15"/>
      <c r="BH331" s="15"/>
      <c r="BI331" s="15"/>
      <c r="BJ331" s="15"/>
      <c r="BK331" s="15"/>
      <c r="BL331" s="15"/>
      <c r="BM331" s="15"/>
      <c r="BN331" s="15"/>
      <c r="BO331" s="15" t="s">
        <v>328</v>
      </c>
      <c r="BP331" s="15" t="s">
        <v>328</v>
      </c>
      <c r="BQ331" s="15"/>
      <c r="BR331" s="15"/>
      <c r="BS331" s="15"/>
      <c r="BT331" s="15"/>
      <c r="BU331" s="15"/>
      <c r="BV331" s="15" t="s">
        <v>328</v>
      </c>
      <c r="BW331" s="15" t="s">
        <v>328</v>
      </c>
      <c r="BX331" s="15"/>
      <c r="BY331" s="15"/>
      <c r="BZ331" s="15"/>
      <c r="CA331" s="15"/>
      <c r="CB331" s="15" t="s">
        <v>328</v>
      </c>
      <c r="CC331" s="15" t="s">
        <v>328</v>
      </c>
      <c r="CD331" s="15"/>
      <c r="CE331" s="15"/>
      <c r="CF331" s="15"/>
      <c r="CG331" s="15"/>
      <c r="CH331" s="15"/>
      <c r="CI331" s="15" t="s">
        <v>328</v>
      </c>
      <c r="CJ331" s="15"/>
      <c r="CK331" s="15"/>
      <c r="CL331" s="15"/>
      <c r="CM331" s="15"/>
      <c r="CN331" s="15">
        <v>1</v>
      </c>
      <c r="CO331" s="15">
        <v>6</v>
      </c>
      <c r="CP331" s="15">
        <v>3</v>
      </c>
      <c r="CQ331" s="15">
        <v>4</v>
      </c>
      <c r="CR331" s="15">
        <v>5</v>
      </c>
      <c r="CS331" s="15">
        <v>2</v>
      </c>
      <c r="CT331" s="15"/>
      <c r="CU331" s="15" t="s">
        <v>328</v>
      </c>
      <c r="CV331" s="15" t="s">
        <v>328</v>
      </c>
      <c r="CW331" s="15" t="s">
        <v>328</v>
      </c>
      <c r="CX331" s="15"/>
      <c r="CY331" s="15" t="s">
        <v>328</v>
      </c>
      <c r="CZ331" s="15"/>
      <c r="DA331" s="15"/>
      <c r="DB331" s="15"/>
      <c r="DC331" s="15">
        <v>1</v>
      </c>
      <c r="DD331" s="15"/>
      <c r="DE331" s="15"/>
      <c r="DF331" s="15"/>
      <c r="DG331" s="15">
        <v>2</v>
      </c>
      <c r="DH331" s="15"/>
      <c r="DI331" s="15"/>
      <c r="DJ331" s="15" t="s">
        <v>328</v>
      </c>
      <c r="DK331" s="15"/>
      <c r="DL331" s="15"/>
      <c r="DM331" s="15"/>
      <c r="DN331" s="15"/>
      <c r="DO331" s="15"/>
      <c r="DP331" s="15"/>
      <c r="DQ331" s="15" t="s">
        <v>328</v>
      </c>
      <c r="DR331" s="15"/>
      <c r="DS331" s="15"/>
      <c r="DT331" s="15"/>
      <c r="DU331" s="15"/>
      <c r="DV331" s="15"/>
      <c r="DW331" s="15"/>
      <c r="DX331" s="15"/>
      <c r="DY331" s="15" t="s">
        <v>328</v>
      </c>
      <c r="DZ331" s="15"/>
      <c r="EA331" s="15"/>
      <c r="EB331" s="15"/>
      <c r="EC331" s="15"/>
      <c r="ED331" s="15"/>
      <c r="EE331" s="102"/>
      <c r="EF331" s="99"/>
      <c r="EG331" s="17">
        <f t="shared" si="5"/>
        <v>0</v>
      </c>
    </row>
    <row r="332" spans="1:137" x14ac:dyDescent="0.25">
      <c r="A332" s="51" t="s">
        <v>1508</v>
      </c>
      <c r="B332" s="211">
        <v>41576</v>
      </c>
      <c r="C332" s="212" t="s">
        <v>2757</v>
      </c>
      <c r="D332" s="103" t="s">
        <v>1517</v>
      </c>
      <c r="E332" s="15" t="s">
        <v>328</v>
      </c>
      <c r="F332" s="15"/>
      <c r="G332" s="15">
        <v>53</v>
      </c>
      <c r="H332" s="15" t="s">
        <v>329</v>
      </c>
      <c r="I332" s="15" t="s">
        <v>357</v>
      </c>
      <c r="J332" s="15" t="s">
        <v>1515</v>
      </c>
      <c r="K332" s="15" t="s">
        <v>1516</v>
      </c>
      <c r="L332" s="15" t="s">
        <v>1339</v>
      </c>
      <c r="M332" s="15">
        <v>0</v>
      </c>
      <c r="N332" s="15">
        <v>2</v>
      </c>
      <c r="O332" s="15">
        <v>2</v>
      </c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 t="s">
        <v>328</v>
      </c>
      <c r="AG332" s="15"/>
      <c r="AH332" s="15"/>
      <c r="AI332" s="15"/>
      <c r="AJ332" s="15"/>
      <c r="AK332" s="15"/>
      <c r="AL332" s="15" t="s">
        <v>328</v>
      </c>
      <c r="AM332" s="15"/>
      <c r="AN332" s="15"/>
      <c r="AO332" s="15"/>
      <c r="AP332" s="15" t="s">
        <v>328</v>
      </c>
      <c r="AQ332" s="15"/>
      <c r="AR332" s="15">
        <v>10</v>
      </c>
      <c r="AS332" s="15">
        <v>10</v>
      </c>
      <c r="AT332" s="15"/>
      <c r="AU332" s="15"/>
      <c r="AV332" s="15" t="s">
        <v>328</v>
      </c>
      <c r="AW332" s="15"/>
      <c r="AX332" s="15">
        <v>1</v>
      </c>
      <c r="AY332" s="15">
        <v>2</v>
      </c>
      <c r="AZ332" s="15">
        <v>3</v>
      </c>
      <c r="BA332" s="15"/>
      <c r="BB332" s="15" t="s">
        <v>328</v>
      </c>
      <c r="BC332" s="15"/>
      <c r="BD332" s="15"/>
      <c r="BE332" s="15" t="s">
        <v>328</v>
      </c>
      <c r="BF332" s="15"/>
      <c r="BG332" s="15"/>
      <c r="BH332" s="15"/>
      <c r="BI332" s="15"/>
      <c r="BJ332" s="15"/>
      <c r="BK332" s="15"/>
      <c r="BL332" s="15"/>
      <c r="BM332" s="15"/>
      <c r="BN332" s="15"/>
      <c r="BO332" s="15" t="s">
        <v>328</v>
      </c>
      <c r="BP332" s="15" t="s">
        <v>328</v>
      </c>
      <c r="BQ332" s="15"/>
      <c r="BR332" s="15"/>
      <c r="BS332" s="15"/>
      <c r="BT332" s="15"/>
      <c r="BU332" s="15"/>
      <c r="BV332" s="15" t="s">
        <v>328</v>
      </c>
      <c r="BW332" s="15"/>
      <c r="BX332" s="15"/>
      <c r="BY332" s="15"/>
      <c r="BZ332" s="15"/>
      <c r="CA332" s="15"/>
      <c r="CB332" s="15" t="s">
        <v>328</v>
      </c>
      <c r="CC332" s="15" t="s">
        <v>328</v>
      </c>
      <c r="CD332" s="15"/>
      <c r="CE332" s="15"/>
      <c r="CF332" s="15"/>
      <c r="CG332" s="15"/>
      <c r="CH332" s="15"/>
      <c r="CI332" s="15" t="s">
        <v>328</v>
      </c>
      <c r="CJ332" s="15"/>
      <c r="CK332" s="15"/>
      <c r="CL332" s="15"/>
      <c r="CM332" s="15"/>
      <c r="CN332" s="15">
        <v>3</v>
      </c>
      <c r="CO332" s="15">
        <v>1</v>
      </c>
      <c r="CP332" s="15">
        <v>2</v>
      </c>
      <c r="CQ332" s="15">
        <v>5</v>
      </c>
      <c r="CR332" s="15">
        <v>6</v>
      </c>
      <c r="CS332" s="15">
        <v>4</v>
      </c>
      <c r="CT332" s="15"/>
      <c r="CU332" s="15" t="s">
        <v>328</v>
      </c>
      <c r="CV332" s="15" t="s">
        <v>328</v>
      </c>
      <c r="CW332" s="15"/>
      <c r="CX332" s="15"/>
      <c r="CY332" s="15"/>
      <c r="CZ332" s="15"/>
      <c r="DA332" s="15"/>
      <c r="DB332" s="15"/>
      <c r="DC332" s="15">
        <v>1</v>
      </c>
      <c r="DD332" s="15"/>
      <c r="DE332" s="15"/>
      <c r="DF332" s="15"/>
      <c r="DG332" s="15">
        <v>2</v>
      </c>
      <c r="DH332" s="15"/>
      <c r="DI332" s="15"/>
      <c r="DJ332" s="15" t="s">
        <v>328</v>
      </c>
      <c r="DK332" s="15"/>
      <c r="DL332" s="15"/>
      <c r="DM332" s="15"/>
      <c r="DN332" s="15"/>
      <c r="DO332" s="15"/>
      <c r="DP332" s="15"/>
      <c r="DQ332" s="15" t="s">
        <v>328</v>
      </c>
      <c r="DR332" s="15"/>
      <c r="DS332" s="15"/>
      <c r="DT332" s="15"/>
      <c r="DU332" s="15"/>
      <c r="DV332" s="15"/>
      <c r="DW332" s="15"/>
      <c r="DX332" s="15"/>
      <c r="DY332" s="15" t="s">
        <v>328</v>
      </c>
      <c r="DZ332" s="15"/>
      <c r="EA332" s="15"/>
      <c r="EB332" s="15"/>
      <c r="EC332" s="15"/>
      <c r="ED332" s="15"/>
      <c r="EE332" s="102"/>
      <c r="EF332" s="99"/>
      <c r="EG332" s="17">
        <f t="shared" si="5"/>
        <v>0</v>
      </c>
    </row>
    <row r="333" spans="1:137" x14ac:dyDescent="0.25">
      <c r="A333" s="51" t="s">
        <v>1508</v>
      </c>
      <c r="B333" s="211">
        <v>41576</v>
      </c>
      <c r="C333" s="212" t="s">
        <v>2758</v>
      </c>
      <c r="D333" s="103" t="s">
        <v>1518</v>
      </c>
      <c r="E333" s="15" t="s">
        <v>328</v>
      </c>
      <c r="F333" s="15"/>
      <c r="G333" s="15">
        <v>43</v>
      </c>
      <c r="H333" s="15" t="s">
        <v>329</v>
      </c>
      <c r="I333" s="15" t="s">
        <v>357</v>
      </c>
      <c r="J333" s="15" t="s">
        <v>1519</v>
      </c>
      <c r="K333" s="15" t="s">
        <v>1520</v>
      </c>
      <c r="L333" s="15" t="s">
        <v>1339</v>
      </c>
      <c r="M333" s="15">
        <v>0</v>
      </c>
      <c r="N333" s="15">
        <v>2</v>
      </c>
      <c r="O333" s="15">
        <v>2</v>
      </c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 t="s">
        <v>418</v>
      </c>
      <c r="AL333" s="15" t="s">
        <v>328</v>
      </c>
      <c r="AM333" s="15"/>
      <c r="AN333" s="15"/>
      <c r="AO333" s="15"/>
      <c r="AP333" s="15"/>
      <c r="AQ333" s="15" t="s">
        <v>328</v>
      </c>
      <c r="AR333" s="15">
        <v>10</v>
      </c>
      <c r="AS333" s="15">
        <v>10</v>
      </c>
      <c r="AT333" s="15"/>
      <c r="AU333" s="15" t="s">
        <v>328</v>
      </c>
      <c r="AV333" s="15"/>
      <c r="AW333" s="15"/>
      <c r="AX333" s="15">
        <v>1</v>
      </c>
      <c r="AY333" s="15">
        <v>2</v>
      </c>
      <c r="AZ333" s="15">
        <v>3</v>
      </c>
      <c r="BA333" s="15"/>
      <c r="BB333" s="15"/>
      <c r="BC333" s="15" t="s">
        <v>328</v>
      </c>
      <c r="BD333" s="15" t="s">
        <v>328</v>
      </c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 t="s">
        <v>328</v>
      </c>
      <c r="BP333" s="15" t="s">
        <v>328</v>
      </c>
      <c r="BQ333" s="15"/>
      <c r="BR333" s="15"/>
      <c r="BS333" s="15"/>
      <c r="BT333" s="15"/>
      <c r="BU333" s="15"/>
      <c r="BV333" s="15" t="s">
        <v>328</v>
      </c>
      <c r="BW333" s="15"/>
      <c r="BX333" s="15"/>
      <c r="BY333" s="15"/>
      <c r="BZ333" s="15"/>
      <c r="CA333" s="15"/>
      <c r="CB333" s="15"/>
      <c r="CC333" s="15" t="s">
        <v>328</v>
      </c>
      <c r="CD333" s="15"/>
      <c r="CE333" s="15"/>
      <c r="CF333" s="15"/>
      <c r="CG333" s="15"/>
      <c r="CH333" s="15"/>
      <c r="CI333" s="15"/>
      <c r="CJ333" s="15"/>
      <c r="CK333" s="15"/>
      <c r="CL333" s="15" t="s">
        <v>328</v>
      </c>
      <c r="CM333" s="15"/>
      <c r="CN333" s="15">
        <v>5</v>
      </c>
      <c r="CO333" s="15">
        <v>3</v>
      </c>
      <c r="CP333" s="15">
        <v>4</v>
      </c>
      <c r="CQ333" s="15">
        <v>1</v>
      </c>
      <c r="CR333" s="15">
        <v>2</v>
      </c>
      <c r="CS333" s="15">
        <v>6</v>
      </c>
      <c r="CT333" s="15"/>
      <c r="CU333" s="15"/>
      <c r="CV333" s="15"/>
      <c r="CW333" s="15"/>
      <c r="CX333" s="15"/>
      <c r="CY333" s="15"/>
      <c r="CZ333" s="15" t="s">
        <v>332</v>
      </c>
      <c r="DA333" s="15"/>
      <c r="DB333" s="15"/>
      <c r="DC333" s="15">
        <v>1</v>
      </c>
      <c r="DD333" s="15">
        <v>2</v>
      </c>
      <c r="DE333" s="15">
        <v>3</v>
      </c>
      <c r="DF333" s="15">
        <v>4</v>
      </c>
      <c r="DG333" s="15">
        <v>6</v>
      </c>
      <c r="DH333" s="15">
        <v>5</v>
      </c>
      <c r="DI333" s="15"/>
      <c r="DJ333" s="15" t="s">
        <v>328</v>
      </c>
      <c r="DK333" s="15"/>
      <c r="DL333" s="15"/>
      <c r="DM333" s="15"/>
      <c r="DN333" s="15"/>
      <c r="DO333" s="15"/>
      <c r="DP333" s="15"/>
      <c r="DQ333" s="15" t="s">
        <v>328</v>
      </c>
      <c r="DR333" s="15"/>
      <c r="DS333" s="15"/>
      <c r="DT333" s="15"/>
      <c r="DU333" s="15"/>
      <c r="DV333" s="15"/>
      <c r="DW333" s="15"/>
      <c r="DX333" s="15"/>
      <c r="DY333" s="15" t="s">
        <v>328</v>
      </c>
      <c r="DZ333" s="15"/>
      <c r="EA333" s="15"/>
      <c r="EB333" s="15"/>
      <c r="EC333" s="15"/>
      <c r="ED333" s="15"/>
      <c r="EE333" s="102"/>
      <c r="EF333" s="99"/>
      <c r="EG333" s="17">
        <f t="shared" si="5"/>
        <v>0</v>
      </c>
    </row>
    <row r="334" spans="1:137" x14ac:dyDescent="0.25">
      <c r="A334" s="51" t="s">
        <v>1508</v>
      </c>
      <c r="B334" s="211">
        <v>41576</v>
      </c>
      <c r="C334" s="212" t="s">
        <v>2759</v>
      </c>
      <c r="D334" s="103" t="s">
        <v>1521</v>
      </c>
      <c r="E334" s="15" t="s">
        <v>328</v>
      </c>
      <c r="F334" s="15"/>
      <c r="G334" s="15">
        <v>38</v>
      </c>
      <c r="H334" s="15" t="s">
        <v>329</v>
      </c>
      <c r="I334" s="15" t="s">
        <v>399</v>
      </c>
      <c r="J334" s="15" t="s">
        <v>1522</v>
      </c>
      <c r="K334" s="15" t="s">
        <v>1523</v>
      </c>
      <c r="L334" s="15" t="s">
        <v>1339</v>
      </c>
      <c r="M334" s="15">
        <v>0</v>
      </c>
      <c r="N334" s="15">
        <v>2</v>
      </c>
      <c r="O334" s="15"/>
      <c r="P334" s="15"/>
      <c r="Q334" s="15"/>
      <c r="R334" s="15"/>
      <c r="S334" s="15"/>
      <c r="T334" s="15"/>
      <c r="U334" s="15"/>
      <c r="V334" s="15">
        <v>4</v>
      </c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 t="s">
        <v>1165</v>
      </c>
      <c r="AL334" s="15"/>
      <c r="AM334" s="15" t="s">
        <v>328</v>
      </c>
      <c r="AN334" s="15" t="s">
        <v>328</v>
      </c>
      <c r="AO334" s="15"/>
      <c r="AP334" s="15"/>
      <c r="AQ334" s="15"/>
      <c r="AR334" s="15">
        <v>0</v>
      </c>
      <c r="AS334" s="15">
        <v>0</v>
      </c>
      <c r="AT334" s="15"/>
      <c r="AU334" s="15"/>
      <c r="AV334" s="15" t="s">
        <v>328</v>
      </c>
      <c r="AW334" s="15"/>
      <c r="AX334" s="15">
        <v>1</v>
      </c>
      <c r="AY334" s="15">
        <v>2</v>
      </c>
      <c r="AZ334" s="15">
        <v>3</v>
      </c>
      <c r="BA334" s="15"/>
      <c r="BB334" s="15" t="s">
        <v>328</v>
      </c>
      <c r="BC334" s="15"/>
      <c r="BD334" s="15"/>
      <c r="BE334" s="15"/>
      <c r="BF334" s="15"/>
      <c r="BG334" s="15" t="s">
        <v>328</v>
      </c>
      <c r="BH334" s="15"/>
      <c r="BI334" s="15"/>
      <c r="BJ334" s="15"/>
      <c r="BK334" s="15"/>
      <c r="BL334" s="15"/>
      <c r="BM334" s="15"/>
      <c r="BN334" s="15"/>
      <c r="BO334" s="15" t="s">
        <v>328</v>
      </c>
      <c r="BP334" s="15"/>
      <c r="BQ334" s="15" t="s">
        <v>328</v>
      </c>
      <c r="BR334" s="15"/>
      <c r="BS334" s="15" t="s">
        <v>328</v>
      </c>
      <c r="BT334" s="15"/>
      <c r="BU334" s="15"/>
      <c r="BV334" s="15"/>
      <c r="BW334" s="15" t="s">
        <v>328</v>
      </c>
      <c r="BX334" s="15"/>
      <c r="BY334" s="15"/>
      <c r="BZ334" s="15"/>
      <c r="CA334" s="15"/>
      <c r="CB334" s="15"/>
      <c r="CC334" s="15" t="s">
        <v>328</v>
      </c>
      <c r="CD334" s="15" t="s">
        <v>328</v>
      </c>
      <c r="CE334" s="15"/>
      <c r="CF334" s="15"/>
      <c r="CG334" s="15"/>
      <c r="CH334" s="15"/>
      <c r="CI334" s="15" t="s">
        <v>328</v>
      </c>
      <c r="CJ334" s="15"/>
      <c r="CK334" s="15"/>
      <c r="CL334" s="15"/>
      <c r="CM334" s="15"/>
      <c r="CN334" s="15">
        <v>3</v>
      </c>
      <c r="CO334" s="15">
        <v>1</v>
      </c>
      <c r="CP334" s="15">
        <v>2</v>
      </c>
      <c r="CQ334" s="15">
        <v>6</v>
      </c>
      <c r="CR334" s="15">
        <v>5</v>
      </c>
      <c r="CS334" s="15">
        <v>4</v>
      </c>
      <c r="CT334" s="15"/>
      <c r="CU334" s="15" t="s">
        <v>328</v>
      </c>
      <c r="CV334" s="15" t="s">
        <v>328</v>
      </c>
      <c r="CW334" s="15"/>
      <c r="CX334" s="15"/>
      <c r="CY334" s="15"/>
      <c r="CZ334" s="15"/>
      <c r="DA334" s="15"/>
      <c r="DB334" s="15"/>
      <c r="DC334" s="15">
        <v>1</v>
      </c>
      <c r="DD334" s="15"/>
      <c r="DE334" s="15"/>
      <c r="DF334" s="15">
        <v>3</v>
      </c>
      <c r="DG334" s="15">
        <v>2</v>
      </c>
      <c r="DH334" s="15">
        <v>4</v>
      </c>
      <c r="DI334" s="15"/>
      <c r="DJ334" s="15" t="s">
        <v>328</v>
      </c>
      <c r="DK334" s="15"/>
      <c r="DL334" s="15"/>
      <c r="DM334" s="15"/>
      <c r="DN334" s="15"/>
      <c r="DO334" s="15"/>
      <c r="DP334" s="15"/>
      <c r="DQ334" s="15" t="s">
        <v>328</v>
      </c>
      <c r="DR334" s="15"/>
      <c r="DS334" s="15"/>
      <c r="DT334" s="15"/>
      <c r="DU334" s="15"/>
      <c r="DV334" s="15"/>
      <c r="DW334" s="15"/>
      <c r="DX334" s="15"/>
      <c r="DY334" s="15" t="s">
        <v>328</v>
      </c>
      <c r="DZ334" s="15"/>
      <c r="EA334" s="15"/>
      <c r="EB334" s="15"/>
      <c r="EC334" s="15"/>
      <c r="ED334" s="15"/>
      <c r="EE334" s="102"/>
      <c r="EF334" s="99"/>
      <c r="EG334" s="17">
        <f t="shared" si="5"/>
        <v>0</v>
      </c>
    </row>
    <row r="335" spans="1:137" x14ac:dyDescent="0.25">
      <c r="A335" s="51" t="s">
        <v>1508</v>
      </c>
      <c r="B335" s="211">
        <v>41576</v>
      </c>
      <c r="C335" s="212" t="s">
        <v>2759</v>
      </c>
      <c r="D335" s="103" t="s">
        <v>1524</v>
      </c>
      <c r="E335" s="15" t="s">
        <v>328</v>
      </c>
      <c r="F335" s="15"/>
      <c r="G335" s="15">
        <v>50</v>
      </c>
      <c r="H335" s="15" t="s">
        <v>329</v>
      </c>
      <c r="I335" s="15" t="s">
        <v>399</v>
      </c>
      <c r="J335" s="15" t="s">
        <v>1519</v>
      </c>
      <c r="K335" s="15" t="s">
        <v>1520</v>
      </c>
      <c r="L335" s="15" t="s">
        <v>1339</v>
      </c>
      <c r="M335" s="15">
        <v>0</v>
      </c>
      <c r="N335" s="15">
        <v>1</v>
      </c>
      <c r="O335" s="15">
        <v>1</v>
      </c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 t="s">
        <v>328</v>
      </c>
      <c r="AE335" s="15"/>
      <c r="AF335" s="15"/>
      <c r="AG335" s="15"/>
      <c r="AH335" s="15"/>
      <c r="AI335" s="15"/>
      <c r="AJ335" s="15" t="s">
        <v>328</v>
      </c>
      <c r="AK335" s="15"/>
      <c r="AL335" s="15"/>
      <c r="AM335" s="15" t="s">
        <v>328</v>
      </c>
      <c r="AN335" s="15" t="s">
        <v>328</v>
      </c>
      <c r="AO335" s="15"/>
      <c r="AP335" s="15"/>
      <c r="AQ335" s="15"/>
      <c r="AR335" s="15">
        <v>10</v>
      </c>
      <c r="AS335" s="15">
        <v>10</v>
      </c>
      <c r="AT335" s="15"/>
      <c r="AU335" s="15"/>
      <c r="AV335" s="15"/>
      <c r="AW335" s="15" t="s">
        <v>328</v>
      </c>
      <c r="AX335" s="15">
        <v>2</v>
      </c>
      <c r="AY335" s="15">
        <v>1</v>
      </c>
      <c r="AZ335" s="15">
        <v>3</v>
      </c>
      <c r="BA335" s="15"/>
      <c r="BB335" s="15" t="s">
        <v>328</v>
      </c>
      <c r="BC335" s="15"/>
      <c r="BD335" s="15"/>
      <c r="BE335" s="15" t="s">
        <v>328</v>
      </c>
      <c r="BF335" s="15"/>
      <c r="BG335" s="15"/>
      <c r="BH335" s="15"/>
      <c r="BI335" s="15"/>
      <c r="BJ335" s="15"/>
      <c r="BK335" s="15"/>
      <c r="BL335" s="15"/>
      <c r="BM335" s="15"/>
      <c r="BN335" s="15"/>
      <c r="BO335" s="15" t="s">
        <v>328</v>
      </c>
      <c r="BP335" s="15" t="s">
        <v>328</v>
      </c>
      <c r="BQ335" s="15"/>
      <c r="BR335" s="15"/>
      <c r="BS335" s="15" t="s">
        <v>328</v>
      </c>
      <c r="BT335" s="15"/>
      <c r="BU335" s="15"/>
      <c r="BV335" s="15"/>
      <c r="BW335" s="15" t="s">
        <v>328</v>
      </c>
      <c r="BX335" s="15"/>
      <c r="BY335" s="15"/>
      <c r="BZ335" s="15"/>
      <c r="CA335" s="15"/>
      <c r="CB335" s="15" t="s">
        <v>328</v>
      </c>
      <c r="CC335" s="15" t="s">
        <v>328</v>
      </c>
      <c r="CD335" s="15"/>
      <c r="CE335" s="15"/>
      <c r="CF335" s="15"/>
      <c r="CG335" s="15"/>
      <c r="CH335" s="15"/>
      <c r="CI335" s="15" t="s">
        <v>328</v>
      </c>
      <c r="CJ335" s="15"/>
      <c r="CK335" s="15"/>
      <c r="CL335" s="15"/>
      <c r="CM335" s="15"/>
      <c r="CN335" s="15">
        <v>6</v>
      </c>
      <c r="CO335" s="15">
        <v>1</v>
      </c>
      <c r="CP335" s="15">
        <v>2</v>
      </c>
      <c r="CQ335" s="15">
        <v>4</v>
      </c>
      <c r="CR335" s="15">
        <v>3</v>
      </c>
      <c r="CS335" s="15">
        <v>5</v>
      </c>
      <c r="CT335" s="15"/>
      <c r="CU335" s="15"/>
      <c r="CV335" s="15"/>
      <c r="CW335" s="15"/>
      <c r="CX335" s="15"/>
      <c r="CY335" s="15"/>
      <c r="CZ335" s="15" t="s">
        <v>332</v>
      </c>
      <c r="DA335" s="15"/>
      <c r="DB335" s="15"/>
      <c r="DC335" s="15">
        <v>1</v>
      </c>
      <c r="DD335" s="15"/>
      <c r="DE335" s="15"/>
      <c r="DF335" s="15"/>
      <c r="DG335" s="15">
        <v>2</v>
      </c>
      <c r="DH335" s="15"/>
      <c r="DI335" s="15"/>
      <c r="DJ335" s="15" t="s">
        <v>328</v>
      </c>
      <c r="DK335" s="15"/>
      <c r="DL335" s="15"/>
      <c r="DM335" s="15"/>
      <c r="DN335" s="15"/>
      <c r="DO335" s="15"/>
      <c r="DP335" s="15"/>
      <c r="DQ335" s="15" t="s">
        <v>328</v>
      </c>
      <c r="DR335" s="15"/>
      <c r="DS335" s="15"/>
      <c r="DT335" s="15"/>
      <c r="DU335" s="15"/>
      <c r="DV335" s="15"/>
      <c r="DW335" s="15"/>
      <c r="DX335" s="15"/>
      <c r="DY335" s="15" t="s">
        <v>328</v>
      </c>
      <c r="DZ335" s="15"/>
      <c r="EA335" s="15"/>
      <c r="EB335" s="15"/>
      <c r="EC335" s="15"/>
      <c r="ED335" s="15"/>
      <c r="EE335" s="102"/>
      <c r="EF335" s="99"/>
      <c r="EG335" s="17">
        <f t="shared" si="5"/>
        <v>0</v>
      </c>
    </row>
    <row r="336" spans="1:137" x14ac:dyDescent="0.25">
      <c r="A336" s="51" t="s">
        <v>1508</v>
      </c>
      <c r="B336" s="211">
        <v>41576</v>
      </c>
      <c r="C336" s="212" t="s">
        <v>2759</v>
      </c>
      <c r="D336" s="103" t="s">
        <v>1525</v>
      </c>
      <c r="E336" s="15" t="s">
        <v>328</v>
      </c>
      <c r="F336" s="15"/>
      <c r="G336" s="15">
        <v>42</v>
      </c>
      <c r="H336" s="15" t="s">
        <v>329</v>
      </c>
      <c r="I336" s="15" t="s">
        <v>399</v>
      </c>
      <c r="J336" s="15" t="s">
        <v>1526</v>
      </c>
      <c r="K336" s="15" t="s">
        <v>1527</v>
      </c>
      <c r="L336" s="15" t="s">
        <v>1339</v>
      </c>
      <c r="M336" s="15">
        <v>0</v>
      </c>
      <c r="N336" s="15">
        <v>2</v>
      </c>
      <c r="O336" s="15"/>
      <c r="P336" s="15"/>
      <c r="Q336" s="15"/>
      <c r="R336" s="15"/>
      <c r="S336" s="15"/>
      <c r="T336" s="15"/>
      <c r="U336" s="15"/>
      <c r="V336" s="15">
        <v>2</v>
      </c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 t="s">
        <v>1165</v>
      </c>
      <c r="AL336" s="15" t="s">
        <v>328</v>
      </c>
      <c r="AM336" s="15"/>
      <c r="AN336" s="15" t="s">
        <v>328</v>
      </c>
      <c r="AO336" s="15"/>
      <c r="AP336" s="15"/>
      <c r="AQ336" s="15"/>
      <c r="AR336" s="15">
        <v>10</v>
      </c>
      <c r="AS336" s="15">
        <v>10</v>
      </c>
      <c r="AT336" s="15"/>
      <c r="AU336" s="15"/>
      <c r="AV336" s="15" t="s">
        <v>328</v>
      </c>
      <c r="AW336" s="15"/>
      <c r="AX336" s="15">
        <v>1</v>
      </c>
      <c r="AY336" s="15">
        <v>2</v>
      </c>
      <c r="AZ336" s="15">
        <v>3</v>
      </c>
      <c r="BA336" s="15"/>
      <c r="BB336" s="15" t="s">
        <v>328</v>
      </c>
      <c r="BC336" s="15"/>
      <c r="BD336" s="15"/>
      <c r="BE336" s="15"/>
      <c r="BF336" s="15"/>
      <c r="BG336" s="15"/>
      <c r="BH336" s="15"/>
      <c r="BI336" s="15"/>
      <c r="BJ336" s="15"/>
      <c r="BK336" s="15" t="s">
        <v>328</v>
      </c>
      <c r="BL336" s="15"/>
      <c r="BM336" s="15"/>
      <c r="BN336" s="15"/>
      <c r="BO336" s="15" t="s">
        <v>328</v>
      </c>
      <c r="BP336" s="15"/>
      <c r="BQ336" s="15" t="s">
        <v>328</v>
      </c>
      <c r="BR336" s="15"/>
      <c r="BS336" s="15"/>
      <c r="BT336" s="15"/>
      <c r="BU336" s="15"/>
      <c r="BV336" s="15" t="s">
        <v>328</v>
      </c>
      <c r="BW336" s="15"/>
      <c r="BX336" s="15"/>
      <c r="BY336" s="15"/>
      <c r="BZ336" s="15"/>
      <c r="CA336" s="15"/>
      <c r="CB336" s="15" t="s">
        <v>328</v>
      </c>
      <c r="CC336" s="15" t="s">
        <v>328</v>
      </c>
      <c r="CD336" s="15"/>
      <c r="CE336" s="15"/>
      <c r="CF336" s="15"/>
      <c r="CG336" s="15"/>
      <c r="CH336" s="15"/>
      <c r="CI336" s="15"/>
      <c r="CJ336" s="15" t="s">
        <v>328</v>
      </c>
      <c r="CK336" s="15"/>
      <c r="CL336" s="15"/>
      <c r="CM336" s="15"/>
      <c r="CN336" s="15">
        <v>3</v>
      </c>
      <c r="CO336" s="15">
        <v>2</v>
      </c>
      <c r="CP336" s="15">
        <v>1</v>
      </c>
      <c r="CQ336" s="15">
        <v>5</v>
      </c>
      <c r="CR336" s="15">
        <v>6</v>
      </c>
      <c r="CS336" s="15">
        <v>4</v>
      </c>
      <c r="CT336" s="15"/>
      <c r="CU336" s="15" t="s">
        <v>328</v>
      </c>
      <c r="CV336" s="15" t="s">
        <v>328</v>
      </c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>
        <v>1</v>
      </c>
      <c r="DH336" s="15"/>
      <c r="DI336" s="15"/>
      <c r="DJ336" s="15" t="s">
        <v>328</v>
      </c>
      <c r="DK336" s="15"/>
      <c r="DL336" s="15"/>
      <c r="DM336" s="15"/>
      <c r="DN336" s="15"/>
      <c r="DO336" s="15"/>
      <c r="DP336" s="15"/>
      <c r="DQ336" s="15" t="s">
        <v>328</v>
      </c>
      <c r="DR336" s="15"/>
      <c r="DS336" s="15"/>
      <c r="DT336" s="15"/>
      <c r="DU336" s="15"/>
      <c r="DV336" s="15"/>
      <c r="DW336" s="15"/>
      <c r="DX336" s="15"/>
      <c r="DY336" s="15" t="s">
        <v>328</v>
      </c>
      <c r="DZ336" s="15"/>
      <c r="EA336" s="15"/>
      <c r="EB336" s="15"/>
      <c r="EC336" s="15"/>
      <c r="ED336" s="15"/>
      <c r="EE336" s="102"/>
      <c r="EF336" s="99"/>
      <c r="EG336" s="17">
        <f t="shared" si="5"/>
        <v>0</v>
      </c>
    </row>
    <row r="337" spans="1:137" x14ac:dyDescent="0.25">
      <c r="A337" s="51" t="s">
        <v>1508</v>
      </c>
      <c r="B337" s="211">
        <v>41576</v>
      </c>
      <c r="C337" s="212" t="s">
        <v>2759</v>
      </c>
      <c r="D337" s="103" t="s">
        <v>1528</v>
      </c>
      <c r="E337" s="15" t="s">
        <v>328</v>
      </c>
      <c r="F337" s="15"/>
      <c r="G337" s="15">
        <v>63</v>
      </c>
      <c r="H337" s="15" t="s">
        <v>329</v>
      </c>
      <c r="I337" s="15" t="s">
        <v>330</v>
      </c>
      <c r="J337" s="15" t="s">
        <v>1526</v>
      </c>
      <c r="K337" s="15" t="s">
        <v>1527</v>
      </c>
      <c r="L337" s="15" t="s">
        <v>1339</v>
      </c>
      <c r="M337" s="15">
        <v>35</v>
      </c>
      <c r="N337" s="15">
        <v>1</v>
      </c>
      <c r="O337" s="15"/>
      <c r="P337" s="15"/>
      <c r="Q337" s="15"/>
      <c r="R337" s="15"/>
      <c r="S337" s="15"/>
      <c r="T337" s="15"/>
      <c r="U337" s="15"/>
      <c r="V337" s="15">
        <v>1</v>
      </c>
      <c r="W337" s="15"/>
      <c r="X337" s="15"/>
      <c r="Y337" s="15"/>
      <c r="Z337" s="15"/>
      <c r="AA337" s="15"/>
      <c r="AB337" s="15"/>
      <c r="AC337" s="15"/>
      <c r="AD337" s="15"/>
      <c r="AE337" s="15" t="s">
        <v>328</v>
      </c>
      <c r="AF337" s="15"/>
      <c r="AG337" s="15"/>
      <c r="AH337" s="15"/>
      <c r="AI337" s="15"/>
      <c r="AJ337" s="15"/>
      <c r="AK337" s="15" t="s">
        <v>1165</v>
      </c>
      <c r="AL337" s="15" t="s">
        <v>328</v>
      </c>
      <c r="AM337" s="15"/>
      <c r="AN337" s="15" t="s">
        <v>328</v>
      </c>
      <c r="AO337" s="15"/>
      <c r="AP337" s="15"/>
      <c r="AQ337" s="15"/>
      <c r="AR337" s="15">
        <v>0</v>
      </c>
      <c r="AS337" s="15">
        <v>0</v>
      </c>
      <c r="AT337" s="15"/>
      <c r="AU337" s="15"/>
      <c r="AV337" s="15" t="s">
        <v>328</v>
      </c>
      <c r="AW337" s="15"/>
      <c r="AX337" s="15">
        <v>1</v>
      </c>
      <c r="AY337" s="15">
        <v>3</v>
      </c>
      <c r="AZ337" s="15">
        <v>2</v>
      </c>
      <c r="BA337" s="15"/>
      <c r="BB337" s="15" t="s">
        <v>328</v>
      </c>
      <c r="BC337" s="15"/>
      <c r="BD337" s="15"/>
      <c r="BE337" s="15" t="s">
        <v>328</v>
      </c>
      <c r="BF337" s="15"/>
      <c r="BG337" s="15"/>
      <c r="BH337" s="15"/>
      <c r="BI337" s="15"/>
      <c r="BJ337" s="15"/>
      <c r="BK337" s="15"/>
      <c r="BL337" s="15"/>
      <c r="BM337" s="15"/>
      <c r="BN337" s="15"/>
      <c r="BO337" s="15" t="s">
        <v>328</v>
      </c>
      <c r="BP337" s="15" t="s">
        <v>328</v>
      </c>
      <c r="BQ337" s="15"/>
      <c r="BR337" s="15" t="s">
        <v>328</v>
      </c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 t="s">
        <v>328</v>
      </c>
      <c r="CE337" s="15"/>
      <c r="CF337" s="15"/>
      <c r="CG337" s="15"/>
      <c r="CH337" s="15"/>
      <c r="CI337" s="15"/>
      <c r="CJ337" s="15" t="s">
        <v>328</v>
      </c>
      <c r="CK337" s="15"/>
      <c r="CL337" s="15"/>
      <c r="CM337" s="15"/>
      <c r="CN337" s="15">
        <v>4</v>
      </c>
      <c r="CO337" s="15">
        <v>1</v>
      </c>
      <c r="CP337" s="15">
        <v>3</v>
      </c>
      <c r="CQ337" s="15">
        <v>6</v>
      </c>
      <c r="CR337" s="15">
        <v>2</v>
      </c>
      <c r="CS337" s="15">
        <v>5</v>
      </c>
      <c r="CT337" s="15"/>
      <c r="CU337" s="15"/>
      <c r="CV337" s="15"/>
      <c r="CW337" s="15"/>
      <c r="CX337" s="15" t="s">
        <v>328</v>
      </c>
      <c r="CY337" s="15"/>
      <c r="CZ337" s="15"/>
      <c r="DA337" s="15"/>
      <c r="DB337" s="15"/>
      <c r="DC337" s="15">
        <v>1</v>
      </c>
      <c r="DD337" s="15"/>
      <c r="DE337" s="15"/>
      <c r="DF337" s="15"/>
      <c r="DG337" s="15"/>
      <c r="DH337" s="15"/>
      <c r="DI337" s="15"/>
      <c r="DJ337" s="15" t="s">
        <v>328</v>
      </c>
      <c r="DK337" s="15"/>
      <c r="DL337" s="15"/>
      <c r="DM337" s="15"/>
      <c r="DN337" s="15"/>
      <c r="DO337" s="15"/>
      <c r="DP337" s="15"/>
      <c r="DQ337" s="15" t="s">
        <v>328</v>
      </c>
      <c r="DR337" s="15"/>
      <c r="DS337" s="15"/>
      <c r="DT337" s="15"/>
      <c r="DU337" s="15"/>
      <c r="DV337" s="15"/>
      <c r="DW337" s="15"/>
      <c r="DX337" s="15"/>
      <c r="DY337" s="15" t="s">
        <v>328</v>
      </c>
      <c r="DZ337" s="15"/>
      <c r="EA337" s="15"/>
      <c r="EB337" s="15"/>
      <c r="EC337" s="15"/>
      <c r="ED337" s="15"/>
      <c r="EE337" s="102"/>
      <c r="EF337" s="99"/>
      <c r="EG337" s="17">
        <f t="shared" si="5"/>
        <v>0</v>
      </c>
    </row>
    <row r="338" spans="1:137" x14ac:dyDescent="0.25">
      <c r="A338" s="51" t="s">
        <v>1508</v>
      </c>
      <c r="B338" s="211">
        <v>41576</v>
      </c>
      <c r="C338" s="212" t="s">
        <v>2759</v>
      </c>
      <c r="D338" s="103" t="s">
        <v>1529</v>
      </c>
      <c r="E338" s="15" t="s">
        <v>328</v>
      </c>
      <c r="F338" s="15"/>
      <c r="G338" s="15">
        <v>43</v>
      </c>
      <c r="H338" s="15" t="s">
        <v>329</v>
      </c>
      <c r="I338" s="15" t="s">
        <v>357</v>
      </c>
      <c r="J338" s="15" t="s">
        <v>1519</v>
      </c>
      <c r="K338" s="15" t="s">
        <v>1520</v>
      </c>
      <c r="L338" s="15" t="s">
        <v>1339</v>
      </c>
      <c r="M338" s="15">
        <v>0</v>
      </c>
      <c r="N338" s="15">
        <v>1</v>
      </c>
      <c r="O338" s="15">
        <v>1</v>
      </c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 t="s">
        <v>328</v>
      </c>
      <c r="AG338" s="15"/>
      <c r="AH338" s="15"/>
      <c r="AI338" s="15"/>
      <c r="AJ338" s="15"/>
      <c r="AK338" s="15"/>
      <c r="AL338" s="15" t="s">
        <v>328</v>
      </c>
      <c r="AM338" s="15"/>
      <c r="AN338" s="15"/>
      <c r="AO338" s="15"/>
      <c r="AP338" s="15"/>
      <c r="AQ338" s="15" t="s">
        <v>328</v>
      </c>
      <c r="AR338" s="15">
        <v>10</v>
      </c>
      <c r="AS338" s="15">
        <v>10</v>
      </c>
      <c r="AT338" s="15" t="s">
        <v>328</v>
      </c>
      <c r="AU338" s="15"/>
      <c r="AV338" s="15"/>
      <c r="AW338" s="15"/>
      <c r="AX338" s="15">
        <v>2</v>
      </c>
      <c r="AY338" s="15">
        <v>1</v>
      </c>
      <c r="AZ338" s="15">
        <v>3</v>
      </c>
      <c r="BA338" s="15"/>
      <c r="BB338" s="15" t="s">
        <v>328</v>
      </c>
      <c r="BC338" s="15"/>
      <c r="BD338" s="15"/>
      <c r="BE338" s="15"/>
      <c r="BF338" s="15"/>
      <c r="BG338" s="15"/>
      <c r="BH338" s="15"/>
      <c r="BI338" s="15" t="s">
        <v>328</v>
      </c>
      <c r="BJ338" s="15"/>
      <c r="BK338" s="15"/>
      <c r="BL338" s="15"/>
      <c r="BM338" s="15"/>
      <c r="BN338" s="15"/>
      <c r="BO338" s="15" t="s">
        <v>328</v>
      </c>
      <c r="BP338" s="15"/>
      <c r="BQ338" s="15" t="s">
        <v>328</v>
      </c>
      <c r="BR338" s="15"/>
      <c r="BS338" s="15"/>
      <c r="BT338" s="15"/>
      <c r="BU338" s="15"/>
      <c r="BV338" s="15" t="s">
        <v>328</v>
      </c>
      <c r="BW338" s="15"/>
      <c r="BX338" s="15"/>
      <c r="BY338" s="15"/>
      <c r="BZ338" s="15"/>
      <c r="CA338" s="15"/>
      <c r="CB338" s="15"/>
      <c r="CC338" s="15" t="s">
        <v>328</v>
      </c>
      <c r="CD338" s="15"/>
      <c r="CE338" s="15"/>
      <c r="CF338" s="15"/>
      <c r="CG338" s="15"/>
      <c r="CH338" s="15"/>
      <c r="CI338" s="15"/>
      <c r="CJ338" s="15" t="s">
        <v>328</v>
      </c>
      <c r="CK338" s="15"/>
      <c r="CL338" s="15"/>
      <c r="CM338" s="15"/>
      <c r="CN338" s="15">
        <v>1</v>
      </c>
      <c r="CO338" s="15">
        <v>4</v>
      </c>
      <c r="CP338" s="15">
        <v>3</v>
      </c>
      <c r="CQ338" s="15">
        <v>5</v>
      </c>
      <c r="CR338" s="15">
        <v>6</v>
      </c>
      <c r="CS338" s="15">
        <v>2</v>
      </c>
      <c r="CT338" s="15"/>
      <c r="CU338" s="15" t="s">
        <v>328</v>
      </c>
      <c r="CV338" s="15" t="s">
        <v>328</v>
      </c>
      <c r="CW338" s="15"/>
      <c r="CX338" s="15"/>
      <c r="CY338" s="15"/>
      <c r="CZ338" s="15"/>
      <c r="DA338" s="15"/>
      <c r="DB338" s="15"/>
      <c r="DC338" s="15">
        <v>1</v>
      </c>
      <c r="DD338" s="15"/>
      <c r="DE338" s="15"/>
      <c r="DF338" s="15"/>
      <c r="DG338" s="15">
        <v>2</v>
      </c>
      <c r="DH338" s="15"/>
      <c r="DI338" s="15"/>
      <c r="DJ338" s="15" t="s">
        <v>328</v>
      </c>
      <c r="DK338" s="15"/>
      <c r="DL338" s="15"/>
      <c r="DM338" s="15"/>
      <c r="DN338" s="15"/>
      <c r="DO338" s="15"/>
      <c r="DP338" s="15"/>
      <c r="DQ338" s="15" t="s">
        <v>328</v>
      </c>
      <c r="DR338" s="15"/>
      <c r="DS338" s="15"/>
      <c r="DT338" s="15"/>
      <c r="DU338" s="15"/>
      <c r="DV338" s="15"/>
      <c r="DW338" s="15"/>
      <c r="DX338" s="15"/>
      <c r="DY338" s="15" t="s">
        <v>328</v>
      </c>
      <c r="DZ338" s="15"/>
      <c r="EA338" s="15"/>
      <c r="EB338" s="15"/>
      <c r="EC338" s="15"/>
      <c r="ED338" s="15"/>
      <c r="EE338" s="102"/>
      <c r="EF338" s="99"/>
      <c r="EG338" s="17">
        <f t="shared" si="5"/>
        <v>0</v>
      </c>
    </row>
    <row r="339" spans="1:137" x14ac:dyDescent="0.25">
      <c r="A339" s="51" t="s">
        <v>1508</v>
      </c>
      <c r="B339" s="211">
        <v>41576</v>
      </c>
      <c r="C339" s="212" t="s">
        <v>2759</v>
      </c>
      <c r="D339" s="103" t="s">
        <v>1530</v>
      </c>
      <c r="E339" s="15" t="s">
        <v>328</v>
      </c>
      <c r="F339" s="15"/>
      <c r="G339" s="15">
        <v>52</v>
      </c>
      <c r="H339" s="15" t="s">
        <v>329</v>
      </c>
      <c r="I339" s="15" t="s">
        <v>1346</v>
      </c>
      <c r="J339" s="15" t="s">
        <v>1526</v>
      </c>
      <c r="K339" s="15" t="s">
        <v>1527</v>
      </c>
      <c r="L339" s="15" t="s">
        <v>1339</v>
      </c>
      <c r="M339" s="15">
        <v>0</v>
      </c>
      <c r="N339" s="15">
        <v>2</v>
      </c>
      <c r="O339" s="15"/>
      <c r="P339" s="15"/>
      <c r="Q339" s="15"/>
      <c r="R339" s="15"/>
      <c r="S339" s="15"/>
      <c r="T339" s="15"/>
      <c r="U339" s="15"/>
      <c r="V339" s="15">
        <v>4</v>
      </c>
      <c r="W339" s="15"/>
      <c r="X339" s="15"/>
      <c r="Y339" s="15"/>
      <c r="Z339" s="15"/>
      <c r="AA339" s="15"/>
      <c r="AB339" s="15"/>
      <c r="AC339" s="15"/>
      <c r="AD339" s="15"/>
      <c r="AE339" s="15" t="s">
        <v>328</v>
      </c>
      <c r="AF339" s="15"/>
      <c r="AG339" s="15"/>
      <c r="AH339" s="15"/>
      <c r="AI339" s="15"/>
      <c r="AJ339" s="15"/>
      <c r="AK339" s="15" t="s">
        <v>1165</v>
      </c>
      <c r="AL339" s="15"/>
      <c r="AM339" s="15" t="s">
        <v>328</v>
      </c>
      <c r="AN339" s="15" t="s">
        <v>328</v>
      </c>
      <c r="AO339" s="15"/>
      <c r="AP339" s="15"/>
      <c r="AQ339" s="15"/>
      <c r="AR339" s="15">
        <v>10</v>
      </c>
      <c r="AS339" s="15">
        <v>5</v>
      </c>
      <c r="AT339" s="15"/>
      <c r="AU339" s="15" t="s">
        <v>328</v>
      </c>
      <c r="AV339" s="15"/>
      <c r="AW339" s="15"/>
      <c r="AX339" s="15">
        <v>3</v>
      </c>
      <c r="AY339" s="15">
        <v>1</v>
      </c>
      <c r="AZ339" s="15">
        <v>2</v>
      </c>
      <c r="BA339" s="15"/>
      <c r="BB339" s="15" t="s">
        <v>328</v>
      </c>
      <c r="BC339" s="15"/>
      <c r="BD339" s="15"/>
      <c r="BE339" s="15" t="s">
        <v>328</v>
      </c>
      <c r="BF339" s="15"/>
      <c r="BG339" s="15"/>
      <c r="BH339" s="15"/>
      <c r="BI339" s="15"/>
      <c r="BJ339" s="15"/>
      <c r="BK339" s="15"/>
      <c r="BL339" s="15"/>
      <c r="BM339" s="15"/>
      <c r="BN339" s="15"/>
      <c r="BO339" s="15" t="s">
        <v>328</v>
      </c>
      <c r="BP339" s="15" t="s">
        <v>328</v>
      </c>
      <c r="BQ339" s="15"/>
      <c r="BR339" s="15"/>
      <c r="BS339" s="15"/>
      <c r="BT339" s="15"/>
      <c r="BU339" s="15"/>
      <c r="BV339" s="15" t="s">
        <v>328</v>
      </c>
      <c r="BW339" s="15" t="s">
        <v>328</v>
      </c>
      <c r="BX339" s="15"/>
      <c r="BY339" s="15"/>
      <c r="BZ339" s="15"/>
      <c r="CA339" s="15"/>
      <c r="CB339" s="15"/>
      <c r="CC339" s="15" t="s">
        <v>328</v>
      </c>
      <c r="CD339" s="15"/>
      <c r="CE339" s="15"/>
      <c r="CF339" s="15"/>
      <c r="CG339" s="15"/>
      <c r="CH339" s="15"/>
      <c r="CI339" s="15" t="s">
        <v>328</v>
      </c>
      <c r="CJ339" s="15"/>
      <c r="CK339" s="15"/>
      <c r="CL339" s="15"/>
      <c r="CM339" s="15"/>
      <c r="CN339" s="15">
        <v>6</v>
      </c>
      <c r="CO339" s="15">
        <v>1</v>
      </c>
      <c r="CP339" s="15">
        <v>2</v>
      </c>
      <c r="CQ339" s="15">
        <v>3</v>
      </c>
      <c r="CR339" s="15">
        <v>4</v>
      </c>
      <c r="CS339" s="15">
        <v>5</v>
      </c>
      <c r="CT339" s="15"/>
      <c r="CU339" s="15" t="s">
        <v>328</v>
      </c>
      <c r="CV339" s="15"/>
      <c r="CW339" s="15"/>
      <c r="CX339" s="15"/>
      <c r="CY339" s="15"/>
      <c r="CZ339" s="15"/>
      <c r="DA339" s="15"/>
      <c r="DB339" s="15"/>
      <c r="DC339" s="15">
        <v>2</v>
      </c>
      <c r="DD339" s="15"/>
      <c r="DE339" s="15">
        <v>3</v>
      </c>
      <c r="DF339" s="15"/>
      <c r="DG339" s="15">
        <v>1</v>
      </c>
      <c r="DH339" s="15"/>
      <c r="DI339" s="15"/>
      <c r="DJ339" s="15" t="s">
        <v>328</v>
      </c>
      <c r="DK339" s="15"/>
      <c r="DL339" s="15"/>
      <c r="DM339" s="15"/>
      <c r="DN339" s="15"/>
      <c r="DO339" s="15"/>
      <c r="DP339" s="15"/>
      <c r="DQ339" s="15" t="s">
        <v>328</v>
      </c>
      <c r="DR339" s="15"/>
      <c r="DS339" s="15"/>
      <c r="DT339" s="15"/>
      <c r="DU339" s="15"/>
      <c r="DV339" s="15"/>
      <c r="DW339" s="15"/>
      <c r="DX339" s="15"/>
      <c r="DY339" s="15" t="s">
        <v>328</v>
      </c>
      <c r="DZ339" s="15"/>
      <c r="EA339" s="15"/>
      <c r="EB339" s="15"/>
      <c r="EC339" s="15"/>
      <c r="ED339" s="15"/>
      <c r="EE339" s="102"/>
      <c r="EF339" s="99"/>
      <c r="EG339" s="17">
        <f t="shared" si="5"/>
        <v>0</v>
      </c>
    </row>
    <row r="340" spans="1:137" x14ac:dyDescent="0.25">
      <c r="A340" s="51" t="s">
        <v>1572</v>
      </c>
      <c r="B340" s="211">
        <v>41549</v>
      </c>
      <c r="C340" s="213" t="s">
        <v>2761</v>
      </c>
      <c r="D340" s="103" t="s">
        <v>1573</v>
      </c>
      <c r="E340" s="15"/>
      <c r="F340" s="15" t="s">
        <v>328</v>
      </c>
      <c r="G340" s="15">
        <v>46</v>
      </c>
      <c r="H340" s="15" t="s">
        <v>329</v>
      </c>
      <c r="I340" s="15" t="s">
        <v>357</v>
      </c>
      <c r="J340" s="15" t="s">
        <v>1574</v>
      </c>
      <c r="K340" s="15" t="s">
        <v>1575</v>
      </c>
      <c r="L340" s="15" t="s">
        <v>1315</v>
      </c>
      <c r="M340" s="15">
        <v>27</v>
      </c>
      <c r="N340" s="15">
        <v>12</v>
      </c>
      <c r="O340" s="15">
        <v>15</v>
      </c>
      <c r="P340" s="15"/>
      <c r="Q340" s="15"/>
      <c r="R340" s="15"/>
      <c r="S340" s="15"/>
      <c r="T340" s="15">
        <v>1</v>
      </c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 t="s">
        <v>328</v>
      </c>
      <c r="AK340" s="15"/>
      <c r="AL340" s="15"/>
      <c r="AM340" s="15"/>
      <c r="AN340" s="15"/>
      <c r="AO340" s="15"/>
      <c r="AP340" s="15" t="s">
        <v>328</v>
      </c>
      <c r="AQ340" s="15"/>
      <c r="AR340" s="15">
        <v>8</v>
      </c>
      <c r="AS340" s="15">
        <v>4</v>
      </c>
      <c r="AT340" s="15"/>
      <c r="AU340" s="15"/>
      <c r="AV340" s="15"/>
      <c r="AW340" s="15" t="s">
        <v>328</v>
      </c>
      <c r="AX340" s="15">
        <v>2</v>
      </c>
      <c r="AY340" s="15">
        <v>3</v>
      </c>
      <c r="AZ340" s="15">
        <v>1</v>
      </c>
      <c r="BA340" s="15"/>
      <c r="BB340" s="15" t="s">
        <v>328</v>
      </c>
      <c r="BC340" s="15"/>
      <c r="BD340" s="15"/>
      <c r="BE340" s="15"/>
      <c r="BF340" s="15"/>
      <c r="BG340" s="15" t="s">
        <v>328</v>
      </c>
      <c r="BH340" s="15"/>
      <c r="BI340" s="15"/>
      <c r="BJ340" s="15"/>
      <c r="BK340" s="15"/>
      <c r="BL340" s="15"/>
      <c r="BM340" s="15"/>
      <c r="BN340" s="15"/>
      <c r="BO340" s="15" t="s">
        <v>328</v>
      </c>
      <c r="BP340" s="15"/>
      <c r="BQ340" s="15" t="s">
        <v>328</v>
      </c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 t="s">
        <v>328</v>
      </c>
      <c r="CE340" s="15"/>
      <c r="CF340" s="15" t="s">
        <v>328</v>
      </c>
      <c r="CG340" s="15" t="s">
        <v>328</v>
      </c>
      <c r="CH340" s="15"/>
      <c r="CI340" s="15"/>
      <c r="CJ340" s="15"/>
      <c r="CK340" s="15" t="s">
        <v>328</v>
      </c>
      <c r="CL340" s="15"/>
      <c r="CM340" s="15"/>
      <c r="CN340" s="15">
        <v>4</v>
      </c>
      <c r="CO340" s="15">
        <v>1</v>
      </c>
      <c r="CP340" s="15">
        <v>5</v>
      </c>
      <c r="CQ340" s="15">
        <v>2</v>
      </c>
      <c r="CR340" s="15">
        <v>6</v>
      </c>
      <c r="CS340" s="15">
        <v>3</v>
      </c>
      <c r="CT340" s="15" t="s">
        <v>328</v>
      </c>
      <c r="CU340" s="15"/>
      <c r="CV340" s="15"/>
      <c r="CW340" s="15"/>
      <c r="CX340" s="15" t="s">
        <v>328</v>
      </c>
      <c r="CY340" s="15"/>
      <c r="CZ340" s="15"/>
      <c r="DA340" s="15"/>
      <c r="DB340" s="15"/>
      <c r="DC340" s="15">
        <v>1</v>
      </c>
      <c r="DD340" s="15"/>
      <c r="DE340" s="15"/>
      <c r="DF340" s="15"/>
      <c r="DG340" s="15">
        <v>2</v>
      </c>
      <c r="DH340" s="15"/>
      <c r="DI340" s="15"/>
      <c r="DJ340" s="15"/>
      <c r="DK340" s="15" t="s">
        <v>328</v>
      </c>
      <c r="DL340" s="15"/>
      <c r="DM340" s="15"/>
      <c r="DN340" s="15" t="s">
        <v>328</v>
      </c>
      <c r="DO340" s="14" t="s">
        <v>432</v>
      </c>
      <c r="DP340" s="15" t="s">
        <v>411</v>
      </c>
      <c r="DQ340" s="15"/>
      <c r="DR340" s="15" t="s">
        <v>328</v>
      </c>
      <c r="DS340" s="15" t="s">
        <v>328</v>
      </c>
      <c r="DT340" s="15" t="s">
        <v>405</v>
      </c>
      <c r="DU340" s="15"/>
      <c r="DV340" s="15"/>
      <c r="DW340" s="15" t="s">
        <v>410</v>
      </c>
      <c r="DX340" s="15" t="s">
        <v>411</v>
      </c>
      <c r="DY340" s="15" t="s">
        <v>328</v>
      </c>
      <c r="DZ340" s="15"/>
      <c r="EA340" s="15"/>
      <c r="EB340" s="15"/>
      <c r="EC340" s="15"/>
      <c r="ED340" s="15"/>
      <c r="EE340" s="102"/>
      <c r="EF340" s="99"/>
      <c r="EG340" s="17">
        <f t="shared" si="5"/>
        <v>0</v>
      </c>
    </row>
    <row r="341" spans="1:137" x14ac:dyDescent="0.25">
      <c r="A341" s="51" t="s">
        <v>1572</v>
      </c>
      <c r="B341" s="211">
        <v>41547</v>
      </c>
      <c r="C341" s="213" t="s">
        <v>2761</v>
      </c>
      <c r="D341" s="103" t="s">
        <v>1576</v>
      </c>
      <c r="E341" s="15" t="s">
        <v>328</v>
      </c>
      <c r="F341" s="15"/>
      <c r="G341" s="15">
        <v>46</v>
      </c>
      <c r="H341" s="15" t="s">
        <v>376</v>
      </c>
      <c r="I341" s="15" t="s">
        <v>399</v>
      </c>
      <c r="J341" s="15" t="s">
        <v>1574</v>
      </c>
      <c r="K341" s="15" t="s">
        <v>1575</v>
      </c>
      <c r="L341" s="15" t="s">
        <v>1315</v>
      </c>
      <c r="M341" s="15">
        <v>4</v>
      </c>
      <c r="N341" s="15">
        <v>4</v>
      </c>
      <c r="O341" s="15">
        <v>4</v>
      </c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 t="s">
        <v>328</v>
      </c>
      <c r="AA341" s="15"/>
      <c r="AB341" s="15"/>
      <c r="AC341" s="15"/>
      <c r="AD341" s="15"/>
      <c r="AE341" s="15" t="s">
        <v>328</v>
      </c>
      <c r="AF341" s="15" t="s">
        <v>328</v>
      </c>
      <c r="AG341" s="15"/>
      <c r="AH341" s="15" t="s">
        <v>328</v>
      </c>
      <c r="AI341" s="15"/>
      <c r="AJ341" s="15"/>
      <c r="AK341" s="15"/>
      <c r="AL341" s="15"/>
      <c r="AM341" s="15"/>
      <c r="AN341" s="15" t="s">
        <v>328</v>
      </c>
      <c r="AO341" s="15"/>
      <c r="AP341" s="15"/>
      <c r="AQ341" s="15" t="s">
        <v>328</v>
      </c>
      <c r="AR341" s="15">
        <v>10</v>
      </c>
      <c r="AS341" s="15">
        <v>10</v>
      </c>
      <c r="AT341" s="15"/>
      <c r="AU341" s="15"/>
      <c r="AV341" s="15"/>
      <c r="AW341" s="15" t="s">
        <v>328</v>
      </c>
      <c r="AX341" s="15">
        <v>3</v>
      </c>
      <c r="AY341" s="15">
        <v>4</v>
      </c>
      <c r="AZ341" s="15">
        <v>2</v>
      </c>
      <c r="BA341" s="15" t="s">
        <v>346</v>
      </c>
      <c r="BB341" s="15"/>
      <c r="BC341" s="15" t="s">
        <v>328</v>
      </c>
      <c r="BD341" s="15"/>
      <c r="BE341" s="15"/>
      <c r="BF341" s="15"/>
      <c r="BG341" s="15" t="s">
        <v>328</v>
      </c>
      <c r="BH341" s="15"/>
      <c r="BI341" s="15"/>
      <c r="BJ341" s="15"/>
      <c r="BK341" s="15"/>
      <c r="BL341" s="15"/>
      <c r="BM341" s="15"/>
      <c r="BN341" s="15"/>
      <c r="BO341" s="15" t="s">
        <v>328</v>
      </c>
      <c r="BP341" s="15" t="s">
        <v>328</v>
      </c>
      <c r="BQ341" s="15"/>
      <c r="BR341" s="15"/>
      <c r="BS341" s="15"/>
      <c r="BT341" s="15"/>
      <c r="BU341" s="15"/>
      <c r="BV341" s="15"/>
      <c r="BW341" s="15" t="s">
        <v>328</v>
      </c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 t="s">
        <v>332</v>
      </c>
      <c r="CI341" s="15" t="s">
        <v>328</v>
      </c>
      <c r="CJ341" s="15"/>
      <c r="CK341" s="15"/>
      <c r="CL341" s="15"/>
      <c r="CM341" s="15"/>
      <c r="CN341" s="15">
        <v>4</v>
      </c>
      <c r="CO341" s="15">
        <v>3</v>
      </c>
      <c r="CP341" s="15">
        <v>2</v>
      </c>
      <c r="CQ341" s="15">
        <v>6</v>
      </c>
      <c r="CR341" s="15">
        <v>5</v>
      </c>
      <c r="CS341" s="15">
        <v>1</v>
      </c>
      <c r="CT341" s="15" t="s">
        <v>328</v>
      </c>
      <c r="CU341" s="15" t="s">
        <v>328</v>
      </c>
      <c r="CV341" s="15" t="s">
        <v>328</v>
      </c>
      <c r="CW341" s="15" t="s">
        <v>328</v>
      </c>
      <c r="CX341" s="15" t="s">
        <v>328</v>
      </c>
      <c r="CY341" s="15" t="s">
        <v>328</v>
      </c>
      <c r="CZ341" s="15"/>
      <c r="DA341" s="15"/>
      <c r="DB341" s="15"/>
      <c r="DC341" s="15">
        <v>2</v>
      </c>
      <c r="DD341" s="15">
        <v>5</v>
      </c>
      <c r="DE341" s="15">
        <v>6</v>
      </c>
      <c r="DF341" s="15">
        <v>4</v>
      </c>
      <c r="DG341" s="15">
        <v>1</v>
      </c>
      <c r="DH341" s="15">
        <v>3</v>
      </c>
      <c r="DI341" s="15"/>
      <c r="DJ341" s="15"/>
      <c r="DK341" s="15" t="s">
        <v>328</v>
      </c>
      <c r="DL341" s="15" t="s">
        <v>328</v>
      </c>
      <c r="DM341" s="15" t="s">
        <v>497</v>
      </c>
      <c r="DN341" s="15"/>
      <c r="DO341" s="15" t="s">
        <v>1577</v>
      </c>
      <c r="DP341" s="15" t="s">
        <v>411</v>
      </c>
      <c r="DQ341" s="15" t="s">
        <v>328</v>
      </c>
      <c r="DR341" s="15"/>
      <c r="DS341" s="15"/>
      <c r="DT341" s="15"/>
      <c r="DU341" s="15"/>
      <c r="DV341" s="15"/>
      <c r="DW341" s="15"/>
      <c r="DX341" s="15" t="s">
        <v>1145</v>
      </c>
      <c r="DY341" s="15"/>
      <c r="DZ341" s="15" t="s">
        <v>328</v>
      </c>
      <c r="EA341" s="15" t="s">
        <v>328</v>
      </c>
      <c r="EB341" s="15" t="s">
        <v>405</v>
      </c>
      <c r="EC341" s="15"/>
      <c r="ED341" s="15" t="s">
        <v>473</v>
      </c>
      <c r="EE341" s="102" t="s">
        <v>497</v>
      </c>
      <c r="EF341" s="99"/>
      <c r="EG341" s="17">
        <f t="shared" si="5"/>
        <v>0</v>
      </c>
    </row>
    <row r="342" spans="1:137" x14ac:dyDescent="0.25">
      <c r="A342" s="51" t="s">
        <v>1572</v>
      </c>
      <c r="B342" s="211">
        <v>41554</v>
      </c>
      <c r="C342" s="213" t="s">
        <v>2761</v>
      </c>
      <c r="D342" s="103" t="s">
        <v>1578</v>
      </c>
      <c r="E342" s="15"/>
      <c r="F342" s="15" t="s">
        <v>328</v>
      </c>
      <c r="G342" s="15">
        <v>56</v>
      </c>
      <c r="H342" s="15" t="s">
        <v>329</v>
      </c>
      <c r="I342" s="15" t="s">
        <v>353</v>
      </c>
      <c r="J342" s="15" t="s">
        <v>1574</v>
      </c>
      <c r="K342" s="15" t="s">
        <v>1575</v>
      </c>
      <c r="L342" s="15" t="s">
        <v>1315</v>
      </c>
      <c r="M342" s="15">
        <v>25</v>
      </c>
      <c r="N342" s="15">
        <v>6</v>
      </c>
      <c r="O342" s="15">
        <v>6</v>
      </c>
      <c r="P342" s="15"/>
      <c r="Q342" s="15"/>
      <c r="R342" s="15"/>
      <c r="S342" s="15"/>
      <c r="T342" s="15"/>
      <c r="U342" s="15"/>
      <c r="V342" s="15">
        <v>1</v>
      </c>
      <c r="W342" s="15"/>
      <c r="X342" s="15"/>
      <c r="Y342" s="15"/>
      <c r="Z342" s="15"/>
      <c r="AA342" s="15"/>
      <c r="AB342" s="15"/>
      <c r="AC342" s="15"/>
      <c r="AD342" s="15"/>
      <c r="AE342" s="15"/>
      <c r="AF342" s="15" t="s">
        <v>328</v>
      </c>
      <c r="AG342" s="15"/>
      <c r="AH342" s="15" t="s">
        <v>328</v>
      </c>
      <c r="AI342" s="15"/>
      <c r="AJ342" s="15"/>
      <c r="AK342" s="15"/>
      <c r="AL342" s="15"/>
      <c r="AM342" s="15" t="s">
        <v>328</v>
      </c>
      <c r="AN342" s="15"/>
      <c r="AO342" s="15"/>
      <c r="AP342" s="15"/>
      <c r="AQ342" s="15" t="s">
        <v>328</v>
      </c>
      <c r="AR342" s="15">
        <v>10</v>
      </c>
      <c r="AS342" s="15">
        <v>3</v>
      </c>
      <c r="AT342" s="15"/>
      <c r="AU342" s="15" t="s">
        <v>328</v>
      </c>
      <c r="AV342" s="15"/>
      <c r="AW342" s="15"/>
      <c r="AX342" s="15">
        <v>3</v>
      </c>
      <c r="AY342" s="15">
        <v>1</v>
      </c>
      <c r="AZ342" s="15">
        <v>2</v>
      </c>
      <c r="BA342" s="15"/>
      <c r="BB342" s="15" t="s">
        <v>328</v>
      </c>
      <c r="BC342" s="15"/>
      <c r="BD342" s="15"/>
      <c r="BE342" s="15"/>
      <c r="BF342" s="15"/>
      <c r="BG342" s="15"/>
      <c r="BH342" s="15"/>
      <c r="BI342" s="15"/>
      <c r="BJ342" s="15"/>
      <c r="BK342" s="15" t="s">
        <v>328</v>
      </c>
      <c r="BL342" s="15"/>
      <c r="BM342" s="15"/>
      <c r="BN342" s="15"/>
      <c r="BO342" s="15" t="s">
        <v>328</v>
      </c>
      <c r="BP342" s="15" t="s">
        <v>328</v>
      </c>
      <c r="BQ342" s="15"/>
      <c r="BR342" s="15" t="s">
        <v>328</v>
      </c>
      <c r="BS342" s="15"/>
      <c r="BT342" s="15"/>
      <c r="BU342" s="15"/>
      <c r="BV342" s="15" t="s">
        <v>328</v>
      </c>
      <c r="BW342" s="15"/>
      <c r="BX342" s="15"/>
      <c r="BY342" s="15"/>
      <c r="BZ342" s="15"/>
      <c r="CA342" s="15"/>
      <c r="CB342" s="15"/>
      <c r="CC342" s="15" t="s">
        <v>328</v>
      </c>
      <c r="CD342" s="15"/>
      <c r="CE342" s="15"/>
      <c r="CF342" s="15"/>
      <c r="CG342" s="15"/>
      <c r="CH342" s="15"/>
      <c r="CI342" s="15"/>
      <c r="CJ342" s="15" t="s">
        <v>328</v>
      </c>
      <c r="CK342" s="15"/>
      <c r="CL342" s="15"/>
      <c r="CM342" s="15"/>
      <c r="CN342" s="15">
        <v>3</v>
      </c>
      <c r="CO342" s="15">
        <v>1</v>
      </c>
      <c r="CP342" s="15">
        <v>2</v>
      </c>
      <c r="CQ342" s="15">
        <v>6</v>
      </c>
      <c r="CR342" s="15">
        <v>5</v>
      </c>
      <c r="CS342" s="15">
        <v>4</v>
      </c>
      <c r="CT342" s="15" t="s">
        <v>328</v>
      </c>
      <c r="CU342" s="15"/>
      <c r="CV342" s="15"/>
      <c r="CW342" s="15"/>
      <c r="CX342" s="15"/>
      <c r="CY342" s="15" t="s">
        <v>328</v>
      </c>
      <c r="CZ342" s="15"/>
      <c r="DA342" s="15"/>
      <c r="DB342" s="15"/>
      <c r="DC342" s="15">
        <v>3</v>
      </c>
      <c r="DD342" s="15">
        <v>2</v>
      </c>
      <c r="DE342" s="15">
        <v>6</v>
      </c>
      <c r="DF342" s="15">
        <v>5</v>
      </c>
      <c r="DG342" s="15">
        <v>4</v>
      </c>
      <c r="DH342" s="15">
        <v>1</v>
      </c>
      <c r="DI342" s="15"/>
      <c r="DJ342" s="15"/>
      <c r="DK342" s="15" t="s">
        <v>328</v>
      </c>
      <c r="DL342" s="15" t="s">
        <v>328</v>
      </c>
      <c r="DM342" s="15"/>
      <c r="DN342" s="15"/>
      <c r="DO342" s="15"/>
      <c r="DP342" s="15"/>
      <c r="DQ342" s="15"/>
      <c r="DR342" s="15" t="s">
        <v>328</v>
      </c>
      <c r="DS342" s="15" t="s">
        <v>328</v>
      </c>
      <c r="DT342" s="15" t="s">
        <v>437</v>
      </c>
      <c r="DU342" s="15"/>
      <c r="DV342" s="15"/>
      <c r="DW342" s="15" t="s">
        <v>492</v>
      </c>
      <c r="DX342" s="15" t="s">
        <v>411</v>
      </c>
      <c r="DY342" s="15" t="s">
        <v>328</v>
      </c>
      <c r="DZ342" s="15"/>
      <c r="EA342" s="15"/>
      <c r="EB342" s="15"/>
      <c r="EC342" s="15"/>
      <c r="ED342" s="15"/>
      <c r="EE342" s="102"/>
      <c r="EF342" s="99"/>
      <c r="EG342" s="17">
        <f t="shared" si="5"/>
        <v>0</v>
      </c>
    </row>
    <row r="343" spans="1:137" x14ac:dyDescent="0.25">
      <c r="A343" s="51" t="s">
        <v>1572</v>
      </c>
      <c r="B343" s="211">
        <v>41548</v>
      </c>
      <c r="C343" s="213" t="s">
        <v>2761</v>
      </c>
      <c r="D343" s="103" t="s">
        <v>1579</v>
      </c>
      <c r="E343" s="15" t="s">
        <v>328</v>
      </c>
      <c r="F343" s="15"/>
      <c r="G343" s="15">
        <v>43</v>
      </c>
      <c r="H343" s="15" t="s">
        <v>376</v>
      </c>
      <c r="I343" s="15" t="s">
        <v>399</v>
      </c>
      <c r="J343" s="15" t="s">
        <v>1574</v>
      </c>
      <c r="K343" s="15" t="s">
        <v>1575</v>
      </c>
      <c r="L343" s="15" t="s">
        <v>1315</v>
      </c>
      <c r="M343" s="15">
        <v>30</v>
      </c>
      <c r="N343" s="15">
        <v>5</v>
      </c>
      <c r="O343" s="15">
        <v>6</v>
      </c>
      <c r="P343" s="15"/>
      <c r="Q343" s="15"/>
      <c r="R343" s="15"/>
      <c r="S343" s="15"/>
      <c r="T343" s="15"/>
      <c r="U343" s="15"/>
      <c r="V343" s="15">
        <v>1</v>
      </c>
      <c r="W343" s="15"/>
      <c r="X343" s="15"/>
      <c r="Y343" s="15"/>
      <c r="Z343" s="15"/>
      <c r="AA343" s="15"/>
      <c r="AB343" s="15"/>
      <c r="AC343" s="15"/>
      <c r="AD343" s="15"/>
      <c r="AE343" s="15"/>
      <c r="AF343" s="15" t="s">
        <v>328</v>
      </c>
      <c r="AG343" s="15"/>
      <c r="AH343" s="15" t="s">
        <v>328</v>
      </c>
      <c r="AI343" s="15"/>
      <c r="AJ343" s="15"/>
      <c r="AK343" s="15"/>
      <c r="AL343" s="15" t="s">
        <v>328</v>
      </c>
      <c r="AM343" s="15" t="s">
        <v>328</v>
      </c>
      <c r="AN343" s="15" t="s">
        <v>328</v>
      </c>
      <c r="AO343" s="15"/>
      <c r="AP343" s="15"/>
      <c r="AQ343" s="15"/>
      <c r="AR343" s="15">
        <v>7</v>
      </c>
      <c r="AS343" s="15">
        <v>5</v>
      </c>
      <c r="AT343" s="15"/>
      <c r="AU343" s="15" t="s">
        <v>328</v>
      </c>
      <c r="AV343" s="15"/>
      <c r="AW343" s="15"/>
      <c r="AX343" s="15">
        <v>2</v>
      </c>
      <c r="AY343" s="15">
        <v>3</v>
      </c>
      <c r="AZ343" s="15">
        <v>1</v>
      </c>
      <c r="BA343" s="15"/>
      <c r="BB343" s="15"/>
      <c r="BC343" s="15" t="s">
        <v>328</v>
      </c>
      <c r="BD343" s="15"/>
      <c r="BE343" s="15"/>
      <c r="BF343" s="15" t="s">
        <v>328</v>
      </c>
      <c r="BG343" s="15" t="s">
        <v>328</v>
      </c>
      <c r="BH343" s="15" t="s">
        <v>328</v>
      </c>
      <c r="BI343" s="15"/>
      <c r="BJ343" s="15"/>
      <c r="BK343" s="15"/>
      <c r="BL343" s="15"/>
      <c r="BM343" s="15"/>
      <c r="BN343" s="15"/>
      <c r="BO343" s="15" t="s">
        <v>328</v>
      </c>
      <c r="BP343" s="15" t="s">
        <v>328</v>
      </c>
      <c r="BQ343" s="15"/>
      <c r="BR343" s="15"/>
      <c r="BS343" s="15"/>
      <c r="BT343" s="15"/>
      <c r="BU343" s="15"/>
      <c r="BV343" s="15" t="s">
        <v>328</v>
      </c>
      <c r="BW343" s="15" t="s">
        <v>328</v>
      </c>
      <c r="BX343" s="15"/>
      <c r="BY343" s="15"/>
      <c r="BZ343" s="15"/>
      <c r="CA343" s="15"/>
      <c r="CB343" s="15"/>
      <c r="CC343" s="15"/>
      <c r="CD343" s="15"/>
      <c r="CE343" s="15"/>
      <c r="CF343" s="15"/>
      <c r="CG343" s="15" t="s">
        <v>328</v>
      </c>
      <c r="CH343" s="15"/>
      <c r="CI343" s="15" t="s">
        <v>328</v>
      </c>
      <c r="CJ343" s="15" t="s">
        <v>328</v>
      </c>
      <c r="CK343" s="15"/>
      <c r="CL343" s="15"/>
      <c r="CM343" s="15"/>
      <c r="CN343" s="15">
        <v>5</v>
      </c>
      <c r="CO343" s="15">
        <v>4</v>
      </c>
      <c r="CP343" s="15">
        <v>6</v>
      </c>
      <c r="CQ343" s="15">
        <v>1</v>
      </c>
      <c r="CR343" s="15">
        <v>3</v>
      </c>
      <c r="CS343" s="15">
        <v>2</v>
      </c>
      <c r="CT343" s="15" t="s">
        <v>328</v>
      </c>
      <c r="CU343" s="15" t="s">
        <v>328</v>
      </c>
      <c r="CV343" s="15" t="s">
        <v>328</v>
      </c>
      <c r="CW343" s="15"/>
      <c r="CX343" s="15" t="s">
        <v>328</v>
      </c>
      <c r="CY343" s="15"/>
      <c r="CZ343" s="15"/>
      <c r="DA343" s="15"/>
      <c r="DB343" s="15"/>
      <c r="DC343" s="15">
        <v>1</v>
      </c>
      <c r="DD343" s="15">
        <v>2</v>
      </c>
      <c r="DE343" s="15"/>
      <c r="DF343" s="15"/>
      <c r="DG343" s="15">
        <v>3</v>
      </c>
      <c r="DH343" s="15"/>
      <c r="DI343" s="15"/>
      <c r="DJ343" s="15" t="s">
        <v>328</v>
      </c>
      <c r="DK343" s="15"/>
      <c r="DL343" s="15"/>
      <c r="DM343" s="15"/>
      <c r="DN343" s="15"/>
      <c r="DO343" s="15"/>
      <c r="DP343" s="15"/>
      <c r="DQ343" s="15" t="s">
        <v>328</v>
      </c>
      <c r="DR343" s="15"/>
      <c r="DS343" s="15"/>
      <c r="DT343" s="15"/>
      <c r="DU343" s="15"/>
      <c r="DV343" s="15"/>
      <c r="DW343" s="15"/>
      <c r="DX343" s="15"/>
      <c r="DY343" s="15" t="s">
        <v>328</v>
      </c>
      <c r="DZ343" s="15"/>
      <c r="EA343" s="15"/>
      <c r="EB343" s="15"/>
      <c r="EC343" s="15"/>
      <c r="ED343" s="15"/>
      <c r="EE343" s="102"/>
      <c r="EF343" s="99"/>
      <c r="EG343" s="17">
        <f t="shared" si="5"/>
        <v>0</v>
      </c>
    </row>
    <row r="344" spans="1:137" x14ac:dyDescent="0.25">
      <c r="A344" s="51" t="s">
        <v>1572</v>
      </c>
      <c r="B344" s="211">
        <v>41548</v>
      </c>
      <c r="C344" s="213" t="s">
        <v>2761</v>
      </c>
      <c r="D344" s="103" t="s">
        <v>1580</v>
      </c>
      <c r="E344" s="15"/>
      <c r="F344" s="15" t="s">
        <v>328</v>
      </c>
      <c r="G344" s="15">
        <v>61</v>
      </c>
      <c r="H344" s="15" t="s">
        <v>329</v>
      </c>
      <c r="I344" s="15" t="s">
        <v>399</v>
      </c>
      <c r="J344" s="15" t="s">
        <v>1574</v>
      </c>
      <c r="K344" s="15" t="s">
        <v>1575</v>
      </c>
      <c r="L344" s="15" t="s">
        <v>1315</v>
      </c>
      <c r="M344" s="15">
        <v>0</v>
      </c>
      <c r="N344" s="15">
        <v>14</v>
      </c>
      <c r="O344" s="15">
        <v>5</v>
      </c>
      <c r="P344" s="15">
        <v>4</v>
      </c>
      <c r="Q344" s="15">
        <v>2</v>
      </c>
      <c r="R344" s="15"/>
      <c r="S344" s="15"/>
      <c r="T344" s="15"/>
      <c r="U344" s="15"/>
      <c r="V344" s="15">
        <v>4</v>
      </c>
      <c r="W344" s="15"/>
      <c r="X344" s="15"/>
      <c r="Y344" s="15"/>
      <c r="Z344" s="15">
        <v>4</v>
      </c>
      <c r="AA344" s="15"/>
      <c r="AB344" s="15" t="s">
        <v>328</v>
      </c>
      <c r="AC344" s="15"/>
      <c r="AD344" s="15"/>
      <c r="AE344" s="15"/>
      <c r="AF344" s="15" t="s">
        <v>328</v>
      </c>
      <c r="AG344" s="15" t="s">
        <v>328</v>
      </c>
      <c r="AH344" s="15" t="s">
        <v>328</v>
      </c>
      <c r="AI344" s="15" t="s">
        <v>328</v>
      </c>
      <c r="AJ344" s="15"/>
      <c r="AK344" s="15"/>
      <c r="AL344" s="15"/>
      <c r="AM344" s="15" t="s">
        <v>328</v>
      </c>
      <c r="AN344" s="15"/>
      <c r="AO344" s="15"/>
      <c r="AP344" s="15" t="s">
        <v>328</v>
      </c>
      <c r="AQ344" s="15" t="s">
        <v>328</v>
      </c>
      <c r="AR344" s="15">
        <v>10</v>
      </c>
      <c r="AS344" s="15">
        <v>4</v>
      </c>
      <c r="AT344" s="15"/>
      <c r="AU344" s="15"/>
      <c r="AV344" s="15"/>
      <c r="AW344" s="15" t="s">
        <v>328</v>
      </c>
      <c r="AX344" s="15">
        <v>2</v>
      </c>
      <c r="AY344" s="15">
        <v>1</v>
      </c>
      <c r="AZ344" s="15">
        <v>3</v>
      </c>
      <c r="BA344" s="15"/>
      <c r="BB344" s="15"/>
      <c r="BC344" s="15" t="s">
        <v>328</v>
      </c>
      <c r="BD344" s="15"/>
      <c r="BE344" s="15"/>
      <c r="BF344" s="15"/>
      <c r="BG344" s="15" t="s">
        <v>328</v>
      </c>
      <c r="BH344" s="15" t="s">
        <v>328</v>
      </c>
      <c r="BI344" s="15"/>
      <c r="BJ344" s="15"/>
      <c r="BK344" s="15" t="s">
        <v>328</v>
      </c>
      <c r="BL344" s="15"/>
      <c r="BM344" s="15"/>
      <c r="BN344" s="15"/>
      <c r="BO344" s="15" t="s">
        <v>328</v>
      </c>
      <c r="BP344" s="15" t="s">
        <v>328</v>
      </c>
      <c r="BQ344" s="15"/>
      <c r="BR344" s="15"/>
      <c r="BS344" s="15"/>
      <c r="BT344" s="15"/>
      <c r="BU344" s="15"/>
      <c r="BV344" s="15"/>
      <c r="BW344" s="15" t="s">
        <v>328</v>
      </c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 t="s">
        <v>332</v>
      </c>
      <c r="CI344" s="15" t="s">
        <v>328</v>
      </c>
      <c r="CJ344" s="15"/>
      <c r="CK344" s="15"/>
      <c r="CL344" s="15"/>
      <c r="CM344" s="15"/>
      <c r="CN344" s="15">
        <v>3</v>
      </c>
      <c r="CO344" s="15">
        <v>1</v>
      </c>
      <c r="CP344" s="15">
        <v>2</v>
      </c>
      <c r="CQ344" s="15">
        <v>6</v>
      </c>
      <c r="CR344" s="15">
        <v>4</v>
      </c>
      <c r="CS344" s="15">
        <v>5</v>
      </c>
      <c r="CT344" s="15" t="s">
        <v>328</v>
      </c>
      <c r="CU344" s="15" t="s">
        <v>328</v>
      </c>
      <c r="CV344" s="15"/>
      <c r="CW344" s="15"/>
      <c r="CX344" s="15" t="s">
        <v>328</v>
      </c>
      <c r="CY344" s="15"/>
      <c r="CZ344" s="15"/>
      <c r="DA344" s="15"/>
      <c r="DB344" s="15"/>
      <c r="DC344" s="15">
        <v>1</v>
      </c>
      <c r="DD344" s="15">
        <v>4</v>
      </c>
      <c r="DE344" s="15">
        <v>6</v>
      </c>
      <c r="DF344" s="15">
        <v>3</v>
      </c>
      <c r="DG344" s="15">
        <v>5</v>
      </c>
      <c r="DH344" s="15">
        <v>2</v>
      </c>
      <c r="DI344" s="15"/>
      <c r="DJ344" s="15" t="s">
        <v>328</v>
      </c>
      <c r="DK344" s="15"/>
      <c r="DL344" s="15"/>
      <c r="DM344" s="15"/>
      <c r="DN344" s="15"/>
      <c r="DO344" s="15"/>
      <c r="DP344" s="15"/>
      <c r="DQ344" s="15" t="s">
        <v>328</v>
      </c>
      <c r="DR344" s="15"/>
      <c r="DS344" s="15"/>
      <c r="DT344" s="15"/>
      <c r="DU344" s="15"/>
      <c r="DV344" s="15"/>
      <c r="DW344" s="15"/>
      <c r="DX344" s="15"/>
      <c r="DY344" s="15" t="s">
        <v>328</v>
      </c>
      <c r="DZ344" s="15"/>
      <c r="EA344" s="15"/>
      <c r="EB344" s="15"/>
      <c r="EC344" s="15"/>
      <c r="ED344" s="15"/>
      <c r="EE344" s="102"/>
      <c r="EF344" s="99"/>
      <c r="EG344" s="17">
        <f t="shared" si="5"/>
        <v>0</v>
      </c>
    </row>
    <row r="345" spans="1:137" x14ac:dyDescent="0.25">
      <c r="A345" s="51" t="s">
        <v>1378</v>
      </c>
      <c r="B345" s="211">
        <v>41575</v>
      </c>
      <c r="C345" s="212" t="s">
        <v>2762</v>
      </c>
      <c r="D345" s="103" t="s">
        <v>1581</v>
      </c>
      <c r="E345" s="15" t="s">
        <v>328</v>
      </c>
      <c r="F345" s="15"/>
      <c r="G345" s="15">
        <v>48</v>
      </c>
      <c r="H345" s="15" t="s">
        <v>329</v>
      </c>
      <c r="I345" s="15" t="s">
        <v>399</v>
      </c>
      <c r="J345" s="15" t="s">
        <v>1394</v>
      </c>
      <c r="K345" s="15" t="s">
        <v>1395</v>
      </c>
      <c r="L345" s="15" t="s">
        <v>1281</v>
      </c>
      <c r="M345" s="15">
        <v>20</v>
      </c>
      <c r="N345" s="15">
        <v>4</v>
      </c>
      <c r="O345" s="15">
        <v>4</v>
      </c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 t="s">
        <v>328</v>
      </c>
      <c r="AF345" s="15"/>
      <c r="AG345" s="15"/>
      <c r="AH345" s="15"/>
      <c r="AI345" s="15"/>
      <c r="AJ345" s="15"/>
      <c r="AK345" s="15"/>
      <c r="AL345" s="15"/>
      <c r="AM345" s="15" t="s">
        <v>328</v>
      </c>
      <c r="AN345" s="15" t="s">
        <v>328</v>
      </c>
      <c r="AO345" s="15"/>
      <c r="AP345" s="15"/>
      <c r="AQ345" s="15"/>
      <c r="AR345" s="15">
        <v>6</v>
      </c>
      <c r="AS345" s="15">
        <v>10</v>
      </c>
      <c r="AT345" s="15"/>
      <c r="AU345" s="15"/>
      <c r="AV345" s="15"/>
      <c r="AW345" s="15" t="s">
        <v>328</v>
      </c>
      <c r="AX345" s="15">
        <v>3</v>
      </c>
      <c r="AY345" s="15">
        <v>2</v>
      </c>
      <c r="AZ345" s="15">
        <v>1</v>
      </c>
      <c r="BA345" s="15"/>
      <c r="BB345" s="15" t="s">
        <v>328</v>
      </c>
      <c r="BC345" s="15"/>
      <c r="BD345" s="15" t="s">
        <v>328</v>
      </c>
      <c r="BE345" s="15"/>
      <c r="BF345" s="15"/>
      <c r="BG345" s="15"/>
      <c r="BH345" s="15" t="s">
        <v>328</v>
      </c>
      <c r="BI345" s="15"/>
      <c r="BJ345" s="15"/>
      <c r="BK345" s="15" t="s">
        <v>328</v>
      </c>
      <c r="BL345" s="15"/>
      <c r="BM345" s="15"/>
      <c r="BN345" s="15" t="s">
        <v>328</v>
      </c>
      <c r="BO345" s="15"/>
      <c r="BP345" s="15" t="s">
        <v>328</v>
      </c>
      <c r="BQ345" s="15"/>
      <c r="BR345" s="15" t="s">
        <v>328</v>
      </c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 t="s">
        <v>328</v>
      </c>
      <c r="CD345" s="15"/>
      <c r="CE345" s="15"/>
      <c r="CF345" s="15" t="s">
        <v>328</v>
      </c>
      <c r="CG345" s="15"/>
      <c r="CH345" s="15"/>
      <c r="CI345" s="15"/>
      <c r="CJ345" s="15" t="s">
        <v>328</v>
      </c>
      <c r="CK345" s="15" t="s">
        <v>328</v>
      </c>
      <c r="CL345" s="15"/>
      <c r="CM345" s="15"/>
      <c r="CN345" s="15">
        <v>3</v>
      </c>
      <c r="CO345" s="15">
        <v>2</v>
      </c>
      <c r="CP345" s="15">
        <v>1</v>
      </c>
      <c r="CQ345" s="15">
        <v>4</v>
      </c>
      <c r="CR345" s="15">
        <v>5</v>
      </c>
      <c r="CS345" s="15">
        <v>6</v>
      </c>
      <c r="CT345" s="15"/>
      <c r="CU345" s="15"/>
      <c r="CV345" s="15"/>
      <c r="CW345" s="15"/>
      <c r="CX345" s="15"/>
      <c r="CY345" s="15"/>
      <c r="CZ345" s="15" t="s">
        <v>332</v>
      </c>
      <c r="DA345" s="15"/>
      <c r="DB345" s="15"/>
      <c r="DC345" s="15">
        <v>3</v>
      </c>
      <c r="DD345" s="15"/>
      <c r="DE345" s="15">
        <v>2</v>
      </c>
      <c r="DF345" s="15"/>
      <c r="DG345" s="15">
        <v>1</v>
      </c>
      <c r="DH345" s="15"/>
      <c r="DI345" s="15"/>
      <c r="DJ345" s="15" t="s">
        <v>328</v>
      </c>
      <c r="DK345" s="15"/>
      <c r="DL345" s="15"/>
      <c r="DM345" s="15"/>
      <c r="DN345" s="15"/>
      <c r="DO345" s="15"/>
      <c r="DP345" s="15"/>
      <c r="DQ345" s="15" t="s">
        <v>328</v>
      </c>
      <c r="DR345" s="15"/>
      <c r="DS345" s="15"/>
      <c r="DT345" s="15"/>
      <c r="DU345" s="15"/>
      <c r="DV345" s="15"/>
      <c r="DW345" s="15"/>
      <c r="DX345" s="15"/>
      <c r="DY345" s="15" t="s">
        <v>328</v>
      </c>
      <c r="DZ345" s="15"/>
      <c r="EA345" s="15"/>
      <c r="EB345" s="15"/>
      <c r="EC345" s="15"/>
      <c r="ED345" s="15"/>
      <c r="EE345" s="102"/>
      <c r="EF345" s="99"/>
      <c r="EG345" s="17">
        <f t="shared" si="5"/>
        <v>0</v>
      </c>
    </row>
    <row r="346" spans="1:137" x14ac:dyDescent="0.25">
      <c r="A346" s="51" t="s">
        <v>1378</v>
      </c>
      <c r="B346" s="211">
        <v>41578</v>
      </c>
      <c r="C346" s="212" t="s">
        <v>2762</v>
      </c>
      <c r="D346" s="103" t="s">
        <v>1582</v>
      </c>
      <c r="E346" s="15" t="s">
        <v>328</v>
      </c>
      <c r="F346" s="15"/>
      <c r="G346" s="15">
        <v>59</v>
      </c>
      <c r="H346" s="15" t="s">
        <v>329</v>
      </c>
      <c r="I346" s="15" t="s">
        <v>330</v>
      </c>
      <c r="J346" s="15" t="s">
        <v>1394</v>
      </c>
      <c r="K346" s="15" t="s">
        <v>1395</v>
      </c>
      <c r="L346" s="15" t="s">
        <v>1281</v>
      </c>
      <c r="M346" s="15">
        <v>20</v>
      </c>
      <c r="N346" s="15">
        <v>1</v>
      </c>
      <c r="O346" s="15">
        <v>1</v>
      </c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 t="s">
        <v>328</v>
      </c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 t="s">
        <v>328</v>
      </c>
      <c r="AR346" s="15">
        <v>6</v>
      </c>
      <c r="AS346" s="15">
        <v>10</v>
      </c>
      <c r="AT346" s="15"/>
      <c r="AU346" s="15" t="s">
        <v>328</v>
      </c>
      <c r="AV346" s="15"/>
      <c r="AW346" s="15"/>
      <c r="AX346" s="15">
        <v>3</v>
      </c>
      <c r="AY346" s="15">
        <v>2</v>
      </c>
      <c r="AZ346" s="15">
        <v>1</v>
      </c>
      <c r="BA346" s="15"/>
      <c r="BB346" s="15" t="s">
        <v>328</v>
      </c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 t="s">
        <v>480</v>
      </c>
      <c r="BN346" s="15" t="s">
        <v>328</v>
      </c>
      <c r="BO346" s="15"/>
      <c r="BP346" s="15" t="s">
        <v>328</v>
      </c>
      <c r="BQ346" s="15"/>
      <c r="BR346" s="15" t="s">
        <v>328</v>
      </c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 t="s">
        <v>328</v>
      </c>
      <c r="CD346" s="15"/>
      <c r="CE346" s="15"/>
      <c r="CF346" s="15"/>
      <c r="CG346" s="15"/>
      <c r="CH346" s="15"/>
      <c r="CI346" s="15"/>
      <c r="CJ346" s="15" t="s">
        <v>328</v>
      </c>
      <c r="CK346" s="15"/>
      <c r="CL346" s="15"/>
      <c r="CM346" s="15"/>
      <c r="CN346" s="15">
        <v>3</v>
      </c>
      <c r="CO346" s="15">
        <v>2</v>
      </c>
      <c r="CP346" s="15">
        <v>1</v>
      </c>
      <c r="CQ346" s="15">
        <v>4</v>
      </c>
      <c r="CR346" s="15">
        <v>5</v>
      </c>
      <c r="CS346" s="15">
        <v>6</v>
      </c>
      <c r="CT346" s="15"/>
      <c r="CU346" s="15"/>
      <c r="CV346" s="15"/>
      <c r="CW346" s="15"/>
      <c r="CX346" s="15"/>
      <c r="CY346" s="15"/>
      <c r="CZ346" s="15" t="s">
        <v>332</v>
      </c>
      <c r="DA346" s="15"/>
      <c r="DB346" s="15"/>
      <c r="DC346" s="15"/>
      <c r="DD346" s="15"/>
      <c r="DE346" s="15">
        <v>2</v>
      </c>
      <c r="DF346" s="15"/>
      <c r="DG346" s="15">
        <v>1</v>
      </c>
      <c r="DH346" s="15"/>
      <c r="DI346" s="15"/>
      <c r="DJ346" s="15" t="s">
        <v>328</v>
      </c>
      <c r="DK346" s="15"/>
      <c r="DL346" s="15"/>
      <c r="DM346" s="15"/>
      <c r="DN346" s="15"/>
      <c r="DO346" s="15"/>
      <c r="DP346" s="15"/>
      <c r="DQ346" s="15" t="s">
        <v>328</v>
      </c>
      <c r="DR346" s="15"/>
      <c r="DS346" s="15"/>
      <c r="DT346" s="15"/>
      <c r="DU346" s="15"/>
      <c r="DV346" s="15"/>
      <c r="DW346" s="15"/>
      <c r="DX346" s="15"/>
      <c r="DY346" s="15" t="s">
        <v>328</v>
      </c>
      <c r="DZ346" s="15"/>
      <c r="EA346" s="15"/>
      <c r="EB346" s="15"/>
      <c r="EC346" s="15"/>
      <c r="ED346" s="15"/>
      <c r="EE346" s="102"/>
      <c r="EF346" s="99"/>
      <c r="EG346" s="17">
        <f t="shared" si="5"/>
        <v>0</v>
      </c>
    </row>
    <row r="347" spans="1:137" x14ac:dyDescent="0.25">
      <c r="A347" s="51" t="s">
        <v>1378</v>
      </c>
      <c r="B347" s="211">
        <v>41571</v>
      </c>
      <c r="C347" s="212" t="s">
        <v>2762</v>
      </c>
      <c r="D347" s="103" t="s">
        <v>1583</v>
      </c>
      <c r="E347" s="15" t="s">
        <v>328</v>
      </c>
      <c r="F347" s="15"/>
      <c r="G347" s="15">
        <v>66</v>
      </c>
      <c r="H347" s="15" t="s">
        <v>329</v>
      </c>
      <c r="I347" s="15" t="s">
        <v>353</v>
      </c>
      <c r="J347" s="15" t="s">
        <v>1394</v>
      </c>
      <c r="K347" s="15" t="s">
        <v>1395</v>
      </c>
      <c r="L347" s="15" t="s">
        <v>1281</v>
      </c>
      <c r="M347" s="15">
        <v>28</v>
      </c>
      <c r="N347" s="15">
        <v>3</v>
      </c>
      <c r="O347" s="15">
        <v>3</v>
      </c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 t="s">
        <v>328</v>
      </c>
      <c r="AF347" s="15"/>
      <c r="AG347" s="15"/>
      <c r="AH347" s="15"/>
      <c r="AI347" s="15"/>
      <c r="AJ347" s="15"/>
      <c r="AK347" s="15"/>
      <c r="AL347" s="15"/>
      <c r="AM347" s="15" t="s">
        <v>328</v>
      </c>
      <c r="AN347" s="15" t="s">
        <v>328</v>
      </c>
      <c r="AO347" s="15"/>
      <c r="AP347" s="15"/>
      <c r="AQ347" s="15"/>
      <c r="AR347" s="15">
        <v>10</v>
      </c>
      <c r="AS347" s="15">
        <v>6</v>
      </c>
      <c r="AT347" s="15"/>
      <c r="AU347" s="15"/>
      <c r="AV347" s="15"/>
      <c r="AW347" s="15" t="s">
        <v>328</v>
      </c>
      <c r="AX347" s="15">
        <v>2</v>
      </c>
      <c r="AY347" s="15">
        <v>1</v>
      </c>
      <c r="AZ347" s="15">
        <v>3</v>
      </c>
      <c r="BA347" s="15"/>
      <c r="BB347" s="15" t="s">
        <v>328</v>
      </c>
      <c r="BC347" s="15"/>
      <c r="BD347" s="15" t="s">
        <v>328</v>
      </c>
      <c r="BE347" s="15" t="s">
        <v>328</v>
      </c>
      <c r="BF347" s="15"/>
      <c r="BG347" s="15" t="s">
        <v>328</v>
      </c>
      <c r="BH347" s="15"/>
      <c r="BI347" s="15"/>
      <c r="BJ347" s="15"/>
      <c r="BK347" s="15" t="s">
        <v>328</v>
      </c>
      <c r="BL347" s="15"/>
      <c r="BM347" s="15"/>
      <c r="BN347" s="15" t="s">
        <v>328</v>
      </c>
      <c r="BO347" s="15"/>
      <c r="BP347" s="15" t="s">
        <v>328</v>
      </c>
      <c r="BQ347" s="15"/>
      <c r="BR347" s="15"/>
      <c r="BS347" s="15"/>
      <c r="BT347" s="15" t="s">
        <v>328</v>
      </c>
      <c r="BU347" s="15"/>
      <c r="BV347" s="15"/>
      <c r="BW347" s="15"/>
      <c r="BX347" s="15"/>
      <c r="BY347" s="15" t="s">
        <v>328</v>
      </c>
      <c r="BZ347" s="15"/>
      <c r="CA347" s="15"/>
      <c r="CB347" s="15"/>
      <c r="CC347" s="15"/>
      <c r="CD347" s="15"/>
      <c r="CE347" s="15"/>
      <c r="CF347" s="15"/>
      <c r="CG347" s="15"/>
      <c r="CH347" s="15"/>
      <c r="CI347" s="15" t="s">
        <v>328</v>
      </c>
      <c r="CJ347" s="15"/>
      <c r="CK347" s="15"/>
      <c r="CL347" s="15"/>
      <c r="CM347" s="15"/>
      <c r="CN347" s="15">
        <v>2</v>
      </c>
      <c r="CO347" s="15">
        <v>4</v>
      </c>
      <c r="CP347" s="15">
        <v>3</v>
      </c>
      <c r="CQ347" s="15">
        <v>5</v>
      </c>
      <c r="CR347" s="15">
        <v>6</v>
      </c>
      <c r="CS347" s="15">
        <v>1</v>
      </c>
      <c r="CT347" s="15"/>
      <c r="CU347" s="15"/>
      <c r="CV347" s="15"/>
      <c r="CW347" s="15"/>
      <c r="CX347" s="15"/>
      <c r="CY347" s="15"/>
      <c r="CZ347" s="15" t="s">
        <v>332</v>
      </c>
      <c r="DA347" s="15"/>
      <c r="DB347" s="15"/>
      <c r="DC347" s="15">
        <v>2</v>
      </c>
      <c r="DD347" s="15">
        <v>3</v>
      </c>
      <c r="DE347" s="15">
        <v>5</v>
      </c>
      <c r="DF347" s="15"/>
      <c r="DG347" s="15">
        <v>1</v>
      </c>
      <c r="DH347" s="15">
        <v>4</v>
      </c>
      <c r="DI347" s="15"/>
      <c r="DJ347" s="15" t="s">
        <v>328</v>
      </c>
      <c r="DK347" s="15"/>
      <c r="DL347" s="15"/>
      <c r="DM347" s="15"/>
      <c r="DN347" s="15"/>
      <c r="DO347" s="15"/>
      <c r="DP347" s="15"/>
      <c r="DQ347" s="15" t="s">
        <v>328</v>
      </c>
      <c r="DR347" s="15"/>
      <c r="DS347" s="15"/>
      <c r="DT347" s="15"/>
      <c r="DU347" s="15"/>
      <c r="DV347" s="15"/>
      <c r="DW347" s="15"/>
      <c r="DX347" s="15"/>
      <c r="DY347" s="15" t="s">
        <v>328</v>
      </c>
      <c r="DZ347" s="15"/>
      <c r="EA347" s="15"/>
      <c r="EB347" s="15"/>
      <c r="EC347" s="15"/>
      <c r="ED347" s="15"/>
      <c r="EE347" s="102"/>
      <c r="EF347" s="99"/>
      <c r="EG347" s="17">
        <f t="shared" si="5"/>
        <v>0</v>
      </c>
    </row>
    <row r="348" spans="1:137" x14ac:dyDescent="0.25">
      <c r="A348" s="51" t="s">
        <v>1378</v>
      </c>
      <c r="B348" s="211">
        <v>41572</v>
      </c>
      <c r="C348" s="212" t="s">
        <v>2762</v>
      </c>
      <c r="D348" s="103" t="s">
        <v>1584</v>
      </c>
      <c r="E348" s="15" t="s">
        <v>328</v>
      </c>
      <c r="F348" s="15"/>
      <c r="G348" s="15">
        <v>51</v>
      </c>
      <c r="H348" s="15" t="s">
        <v>329</v>
      </c>
      <c r="I348" s="15" t="s">
        <v>330</v>
      </c>
      <c r="J348" s="15" t="s">
        <v>1394</v>
      </c>
      <c r="K348" s="15" t="s">
        <v>1395</v>
      </c>
      <c r="L348" s="15" t="s">
        <v>1281</v>
      </c>
      <c r="M348" s="15">
        <v>22</v>
      </c>
      <c r="N348" s="15">
        <v>3</v>
      </c>
      <c r="O348" s="15">
        <v>3</v>
      </c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 t="s">
        <v>328</v>
      </c>
      <c r="AF348" s="15"/>
      <c r="AG348" s="15"/>
      <c r="AH348" s="15"/>
      <c r="AI348" s="15"/>
      <c r="AJ348" s="15"/>
      <c r="AK348" s="15"/>
      <c r="AL348" s="15"/>
      <c r="AM348" s="15" t="s">
        <v>328</v>
      </c>
      <c r="AN348" s="15" t="s">
        <v>328</v>
      </c>
      <c r="AO348" s="15"/>
      <c r="AP348" s="15"/>
      <c r="AQ348" s="15" t="s">
        <v>328</v>
      </c>
      <c r="AR348" s="15">
        <v>8</v>
      </c>
      <c r="AS348" s="15">
        <v>4</v>
      </c>
      <c r="AT348" s="15"/>
      <c r="AU348" s="15"/>
      <c r="AV348" s="15"/>
      <c r="AW348" s="15" t="s">
        <v>328</v>
      </c>
      <c r="AX348" s="15">
        <v>2</v>
      </c>
      <c r="AY348" s="15">
        <v>3</v>
      </c>
      <c r="AZ348" s="15">
        <v>1</v>
      </c>
      <c r="BA348" s="15"/>
      <c r="BB348" s="15" t="s">
        <v>328</v>
      </c>
      <c r="BC348" s="15"/>
      <c r="BD348" s="15" t="s">
        <v>328</v>
      </c>
      <c r="BE348" s="15"/>
      <c r="BF348" s="15" t="s">
        <v>328</v>
      </c>
      <c r="BG348" s="15"/>
      <c r="BH348" s="15"/>
      <c r="BI348" s="15"/>
      <c r="BJ348" s="15"/>
      <c r="BK348" s="15" t="s">
        <v>328</v>
      </c>
      <c r="BL348" s="15" t="s">
        <v>328</v>
      </c>
      <c r="BM348" s="15"/>
      <c r="BN348" s="15" t="s">
        <v>328</v>
      </c>
      <c r="BO348" s="15"/>
      <c r="BP348" s="15" t="s">
        <v>328</v>
      </c>
      <c r="BQ348" s="15"/>
      <c r="BR348" s="15" t="s">
        <v>328</v>
      </c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 t="s">
        <v>328</v>
      </c>
      <c r="CD348" s="15"/>
      <c r="CE348" s="15"/>
      <c r="CF348" s="15" t="s">
        <v>328</v>
      </c>
      <c r="CG348" s="15" t="s">
        <v>328</v>
      </c>
      <c r="CH348" s="15"/>
      <c r="CI348" s="15"/>
      <c r="CJ348" s="15" t="s">
        <v>328</v>
      </c>
      <c r="CK348" s="15"/>
      <c r="CL348" s="15"/>
      <c r="CM348" s="15"/>
      <c r="CN348" s="15">
        <v>2</v>
      </c>
      <c r="CO348" s="15">
        <v>3</v>
      </c>
      <c r="CP348" s="15">
        <v>6</v>
      </c>
      <c r="CQ348" s="15">
        <v>4</v>
      </c>
      <c r="CR348" s="15">
        <v>5</v>
      </c>
      <c r="CS348" s="15">
        <v>1</v>
      </c>
      <c r="CT348" s="15"/>
      <c r="CU348" s="15"/>
      <c r="CV348" s="15"/>
      <c r="CW348" s="15"/>
      <c r="CX348" s="15"/>
      <c r="CY348" s="15"/>
      <c r="CZ348" s="15" t="s">
        <v>332</v>
      </c>
      <c r="DA348" s="15"/>
      <c r="DB348" s="15"/>
      <c r="DC348" s="15">
        <v>2</v>
      </c>
      <c r="DD348" s="15">
        <v>5</v>
      </c>
      <c r="DE348" s="15">
        <v>6</v>
      </c>
      <c r="DF348" s="15">
        <v>4</v>
      </c>
      <c r="DG348" s="15">
        <v>1</v>
      </c>
      <c r="DH348" s="15">
        <v>3</v>
      </c>
      <c r="DI348" s="15"/>
      <c r="DJ348" s="15" t="s">
        <v>328</v>
      </c>
      <c r="DK348" s="15"/>
      <c r="DL348" s="15"/>
      <c r="DM348" s="15"/>
      <c r="DN348" s="15"/>
      <c r="DO348" s="15"/>
      <c r="DP348" s="15"/>
      <c r="DQ348" s="15" t="s">
        <v>328</v>
      </c>
      <c r="DR348" s="15"/>
      <c r="DS348" s="15"/>
      <c r="DT348" s="15"/>
      <c r="DU348" s="15"/>
      <c r="DV348" s="15"/>
      <c r="DW348" s="15"/>
      <c r="DX348" s="15"/>
      <c r="DY348" s="15" t="s">
        <v>328</v>
      </c>
      <c r="DZ348" s="15"/>
      <c r="EA348" s="15"/>
      <c r="EB348" s="15"/>
      <c r="EC348" s="15"/>
      <c r="ED348" s="15"/>
      <c r="EE348" s="102"/>
      <c r="EF348" s="99"/>
      <c r="EG348" s="17">
        <f t="shared" si="5"/>
        <v>0</v>
      </c>
    </row>
    <row r="349" spans="1:137" x14ac:dyDescent="0.25">
      <c r="A349" s="51" t="s">
        <v>1378</v>
      </c>
      <c r="B349" s="211">
        <v>41573</v>
      </c>
      <c r="C349" s="212" t="s">
        <v>2762</v>
      </c>
      <c r="D349" s="103" t="s">
        <v>1585</v>
      </c>
      <c r="E349" s="15" t="s">
        <v>328</v>
      </c>
      <c r="F349" s="15"/>
      <c r="G349" s="15">
        <v>45</v>
      </c>
      <c r="H349" s="15" t="s">
        <v>329</v>
      </c>
      <c r="I349" s="15" t="s">
        <v>330</v>
      </c>
      <c r="J349" s="15" t="s">
        <v>1394</v>
      </c>
      <c r="K349" s="15" t="s">
        <v>1395</v>
      </c>
      <c r="L349" s="15" t="s">
        <v>1281</v>
      </c>
      <c r="M349" s="15">
        <v>10</v>
      </c>
      <c r="N349" s="15">
        <v>3</v>
      </c>
      <c r="O349" s="15">
        <v>3</v>
      </c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 t="s">
        <v>328</v>
      </c>
      <c r="AF349" s="15"/>
      <c r="AG349" s="15"/>
      <c r="AH349" s="15"/>
      <c r="AI349" s="15"/>
      <c r="AJ349" s="15"/>
      <c r="AK349" s="15"/>
      <c r="AL349" s="15"/>
      <c r="AM349" s="15" t="s">
        <v>328</v>
      </c>
      <c r="AN349" s="15"/>
      <c r="AO349" s="15"/>
      <c r="AP349" s="15"/>
      <c r="AQ349" s="15"/>
      <c r="AR349" s="15">
        <v>6</v>
      </c>
      <c r="AS349" s="15">
        <v>5</v>
      </c>
      <c r="AT349" s="15"/>
      <c r="AU349" s="15"/>
      <c r="AV349" s="15"/>
      <c r="AW349" s="15"/>
      <c r="AX349" s="15">
        <v>3</v>
      </c>
      <c r="AY349" s="15">
        <v>4</v>
      </c>
      <c r="AZ349" s="15">
        <v>2</v>
      </c>
      <c r="BA349" s="15" t="s">
        <v>346</v>
      </c>
      <c r="BB349" s="15" t="s">
        <v>328</v>
      </c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 t="s">
        <v>480</v>
      </c>
      <c r="BN349" s="15" t="s">
        <v>328</v>
      </c>
      <c r="BO349" s="15"/>
      <c r="BP349" s="15" t="s">
        <v>328</v>
      </c>
      <c r="BQ349" s="15"/>
      <c r="BR349" s="15" t="s">
        <v>328</v>
      </c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 t="s">
        <v>328</v>
      </c>
      <c r="CG349" s="15"/>
      <c r="CH349" s="15"/>
      <c r="CI349" s="15"/>
      <c r="CJ349" s="15" t="s">
        <v>328</v>
      </c>
      <c r="CK349" s="15"/>
      <c r="CL349" s="15"/>
      <c r="CM349" s="15"/>
      <c r="CN349" s="15">
        <v>3</v>
      </c>
      <c r="CO349" s="15">
        <v>2</v>
      </c>
      <c r="CP349" s="15">
        <v>1</v>
      </c>
      <c r="CQ349" s="15">
        <v>4</v>
      </c>
      <c r="CR349" s="15">
        <v>5</v>
      </c>
      <c r="CS349" s="15">
        <v>6</v>
      </c>
      <c r="CT349" s="15"/>
      <c r="CU349" s="15"/>
      <c r="CV349" s="15"/>
      <c r="CW349" s="15"/>
      <c r="CX349" s="15"/>
      <c r="CY349" s="15"/>
      <c r="CZ349" s="15" t="s">
        <v>332</v>
      </c>
      <c r="DA349" s="15"/>
      <c r="DB349" s="15"/>
      <c r="DC349" s="15">
        <v>3</v>
      </c>
      <c r="DD349" s="15"/>
      <c r="DE349" s="15">
        <v>1</v>
      </c>
      <c r="DF349" s="15"/>
      <c r="DG349" s="15">
        <v>2</v>
      </c>
      <c r="DH349" s="15"/>
      <c r="DI349" s="15"/>
      <c r="DJ349" s="15" t="s">
        <v>328</v>
      </c>
      <c r="DK349" s="15"/>
      <c r="DL349" s="15"/>
      <c r="DM349" s="15"/>
      <c r="DN349" s="15"/>
      <c r="DO349" s="15"/>
      <c r="DP349" s="15"/>
      <c r="DQ349" s="15" t="s">
        <v>328</v>
      </c>
      <c r="DR349" s="15"/>
      <c r="DS349" s="15"/>
      <c r="DT349" s="15"/>
      <c r="DU349" s="15"/>
      <c r="DV349" s="15"/>
      <c r="DW349" s="15"/>
      <c r="DX349" s="15"/>
      <c r="DY349" s="15" t="s">
        <v>328</v>
      </c>
      <c r="DZ349" s="15"/>
      <c r="EA349" s="15"/>
      <c r="EB349" s="15"/>
      <c r="EC349" s="15"/>
      <c r="ED349" s="15"/>
      <c r="EE349" s="102"/>
      <c r="EF349" s="99"/>
      <c r="EG349" s="17">
        <f t="shared" si="5"/>
        <v>0</v>
      </c>
    </row>
    <row r="350" spans="1:137" x14ac:dyDescent="0.25">
      <c r="A350" s="51" t="s">
        <v>1378</v>
      </c>
      <c r="B350" s="211">
        <v>41578</v>
      </c>
      <c r="C350" s="212" t="s">
        <v>2762</v>
      </c>
      <c r="D350" s="103" t="s">
        <v>1586</v>
      </c>
      <c r="E350" s="15" t="s">
        <v>328</v>
      </c>
      <c r="F350" s="15"/>
      <c r="G350" s="15">
        <v>52</v>
      </c>
      <c r="H350" s="15" t="s">
        <v>329</v>
      </c>
      <c r="I350" s="15" t="s">
        <v>330</v>
      </c>
      <c r="J350" s="15" t="s">
        <v>1394</v>
      </c>
      <c r="K350" s="15" t="s">
        <v>1395</v>
      </c>
      <c r="L350" s="15" t="s">
        <v>1281</v>
      </c>
      <c r="M350" s="15">
        <v>12</v>
      </c>
      <c r="N350" s="15">
        <v>1</v>
      </c>
      <c r="O350" s="15">
        <v>1</v>
      </c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 t="s">
        <v>328</v>
      </c>
      <c r="AF350" s="15"/>
      <c r="AG350" s="15"/>
      <c r="AH350" s="15"/>
      <c r="AI350" s="15"/>
      <c r="AJ350" s="15"/>
      <c r="AK350" s="15"/>
      <c r="AL350" s="15"/>
      <c r="AM350" s="15"/>
      <c r="AN350" s="15" t="s">
        <v>328</v>
      </c>
      <c r="AO350" s="15"/>
      <c r="AP350" s="15"/>
      <c r="AQ350" s="15"/>
      <c r="AR350" s="15">
        <v>10</v>
      </c>
      <c r="AS350" s="15">
        <v>2</v>
      </c>
      <c r="AT350" s="15"/>
      <c r="AU350" s="15"/>
      <c r="AV350" s="15"/>
      <c r="AW350" s="15" t="s">
        <v>328</v>
      </c>
      <c r="AX350" s="15">
        <v>2</v>
      </c>
      <c r="AY350" s="15">
        <v>3</v>
      </c>
      <c r="AZ350" s="15">
        <v>1</v>
      </c>
      <c r="BA350" s="15"/>
      <c r="BB350" s="15" t="s">
        <v>328</v>
      </c>
      <c r="BC350" s="15"/>
      <c r="BD350" s="15"/>
      <c r="BE350" s="15"/>
      <c r="BF350" s="15" t="s">
        <v>328</v>
      </c>
      <c r="BG350" s="15"/>
      <c r="BH350" s="15"/>
      <c r="BI350" s="15"/>
      <c r="BJ350" s="15"/>
      <c r="BK350" s="15" t="s">
        <v>328</v>
      </c>
      <c r="BL350" s="15"/>
      <c r="BM350" s="15"/>
      <c r="BN350" s="15" t="s">
        <v>328</v>
      </c>
      <c r="BO350" s="15"/>
      <c r="BP350" s="15" t="s">
        <v>328</v>
      </c>
      <c r="BQ350" s="15"/>
      <c r="BR350" s="15" t="s">
        <v>328</v>
      </c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 t="s">
        <v>328</v>
      </c>
      <c r="CD350" s="15"/>
      <c r="CE350" s="15"/>
      <c r="CF350" s="15"/>
      <c r="CG350" s="15"/>
      <c r="CH350" s="15"/>
      <c r="CI350" s="15"/>
      <c r="CJ350" s="15" t="s">
        <v>328</v>
      </c>
      <c r="CK350" s="15"/>
      <c r="CL350" s="15"/>
      <c r="CM350" s="15"/>
      <c r="CN350" s="15">
        <v>3</v>
      </c>
      <c r="CO350" s="15">
        <v>2</v>
      </c>
      <c r="CP350" s="15">
        <v>1</v>
      </c>
      <c r="CQ350" s="15">
        <v>4</v>
      </c>
      <c r="CR350" s="15">
        <v>5</v>
      </c>
      <c r="CS350" s="15">
        <v>6</v>
      </c>
      <c r="CT350" s="15"/>
      <c r="CU350" s="15"/>
      <c r="CV350" s="15"/>
      <c r="CW350" s="15"/>
      <c r="CX350" s="15" t="s">
        <v>328</v>
      </c>
      <c r="CY350" s="15"/>
      <c r="CZ350" s="15"/>
      <c r="DA350" s="15"/>
      <c r="DB350" s="15"/>
      <c r="DC350" s="15"/>
      <c r="DD350" s="15"/>
      <c r="DE350" s="15">
        <v>1</v>
      </c>
      <c r="DF350" s="15"/>
      <c r="DG350" s="15">
        <v>2</v>
      </c>
      <c r="DH350" s="15"/>
      <c r="DI350" s="15"/>
      <c r="DJ350" s="15" t="s">
        <v>328</v>
      </c>
      <c r="DK350" s="15"/>
      <c r="DL350" s="15"/>
      <c r="DM350" s="15"/>
      <c r="DN350" s="15"/>
      <c r="DO350" s="15"/>
      <c r="DP350" s="15"/>
      <c r="DQ350" s="15" t="s">
        <v>328</v>
      </c>
      <c r="DR350" s="15"/>
      <c r="DS350" s="15"/>
      <c r="DT350" s="15"/>
      <c r="DU350" s="15"/>
      <c r="DV350" s="15"/>
      <c r="DW350" s="15"/>
      <c r="DX350" s="15"/>
      <c r="DY350" s="15" t="s">
        <v>328</v>
      </c>
      <c r="DZ350" s="15"/>
      <c r="EA350" s="15"/>
      <c r="EB350" s="15"/>
      <c r="EC350" s="15"/>
      <c r="ED350" s="15"/>
      <c r="EE350" s="102"/>
      <c r="EF350" s="99"/>
      <c r="EG350" s="17">
        <f t="shared" si="5"/>
        <v>0</v>
      </c>
    </row>
    <row r="351" spans="1:137" x14ac:dyDescent="0.25">
      <c r="A351" s="51" t="s">
        <v>1378</v>
      </c>
      <c r="B351" s="211">
        <v>41578</v>
      </c>
      <c r="C351" s="212" t="s">
        <v>2762</v>
      </c>
      <c r="D351" s="103" t="s">
        <v>1587</v>
      </c>
      <c r="E351" s="15" t="s">
        <v>328</v>
      </c>
      <c r="F351" s="15"/>
      <c r="G351" s="15">
        <v>55</v>
      </c>
      <c r="H351" s="15" t="s">
        <v>329</v>
      </c>
      <c r="I351" s="15" t="s">
        <v>353</v>
      </c>
      <c r="J351" s="15" t="s">
        <v>1394</v>
      </c>
      <c r="K351" s="15" t="s">
        <v>1395</v>
      </c>
      <c r="L351" s="15" t="s">
        <v>1281</v>
      </c>
      <c r="M351" s="15">
        <v>20</v>
      </c>
      <c r="N351" s="15">
        <v>2</v>
      </c>
      <c r="O351" s="15">
        <v>2</v>
      </c>
      <c r="P351" s="15">
        <v>2</v>
      </c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 t="s">
        <v>328</v>
      </c>
      <c r="AC351" s="15"/>
      <c r="AD351" s="15"/>
      <c r="AE351" s="15"/>
      <c r="AF351" s="15"/>
      <c r="AG351" s="15"/>
      <c r="AH351" s="15"/>
      <c r="AI351" s="15" t="s">
        <v>328</v>
      </c>
      <c r="AJ351" s="15"/>
      <c r="AK351" s="15"/>
      <c r="AL351" s="15" t="s">
        <v>328</v>
      </c>
      <c r="AM351" s="15"/>
      <c r="AN351" s="15"/>
      <c r="AO351" s="15"/>
      <c r="AP351" s="15" t="s">
        <v>328</v>
      </c>
      <c r="AQ351" s="15" t="s">
        <v>328</v>
      </c>
      <c r="AR351" s="15">
        <v>10</v>
      </c>
      <c r="AS351" s="15">
        <v>5</v>
      </c>
      <c r="AT351" s="15"/>
      <c r="AU351" s="15"/>
      <c r="AV351" s="15"/>
      <c r="AW351" s="15" t="s">
        <v>328</v>
      </c>
      <c r="AX351" s="15">
        <v>3</v>
      </c>
      <c r="AY351" s="15">
        <v>4</v>
      </c>
      <c r="AZ351" s="15">
        <v>2</v>
      </c>
      <c r="BA351" s="15" t="s">
        <v>346</v>
      </c>
      <c r="BB351" s="15" t="s">
        <v>328</v>
      </c>
      <c r="BC351" s="15"/>
      <c r="BD351" s="15" t="s">
        <v>328</v>
      </c>
      <c r="BE351" s="15" t="s">
        <v>328</v>
      </c>
      <c r="BF351" s="15"/>
      <c r="BG351" s="15"/>
      <c r="BH351" s="15"/>
      <c r="BI351" s="15"/>
      <c r="BJ351" s="15" t="s">
        <v>328</v>
      </c>
      <c r="BK351" s="15" t="s">
        <v>328</v>
      </c>
      <c r="BL351" s="15"/>
      <c r="BM351" s="15"/>
      <c r="BN351" s="15" t="s">
        <v>328</v>
      </c>
      <c r="BO351" s="15"/>
      <c r="BP351" s="15" t="s">
        <v>328</v>
      </c>
      <c r="BQ351" s="15"/>
      <c r="BR351" s="15" t="s">
        <v>328</v>
      </c>
      <c r="BS351" s="15"/>
      <c r="BT351" s="15" t="s">
        <v>328</v>
      </c>
      <c r="BU351" s="15"/>
      <c r="BV351" s="15"/>
      <c r="BW351" s="15" t="s">
        <v>328</v>
      </c>
      <c r="BX351" s="15"/>
      <c r="BY351" s="15"/>
      <c r="BZ351" s="15"/>
      <c r="CA351" s="15"/>
      <c r="CB351" s="15"/>
      <c r="CC351" s="15" t="s">
        <v>328</v>
      </c>
      <c r="CD351" s="15"/>
      <c r="CE351" s="15"/>
      <c r="CF351" s="15"/>
      <c r="CG351" s="15" t="s">
        <v>328</v>
      </c>
      <c r="CH351" s="15"/>
      <c r="CI351" s="15"/>
      <c r="CJ351" s="15" t="s">
        <v>328</v>
      </c>
      <c r="CK351" s="15"/>
      <c r="CL351" s="15"/>
      <c r="CM351" s="15"/>
      <c r="CN351" s="15">
        <v>3</v>
      </c>
      <c r="CO351" s="15">
        <v>2</v>
      </c>
      <c r="CP351" s="15">
        <v>1</v>
      </c>
      <c r="CQ351" s="15">
        <v>4</v>
      </c>
      <c r="CR351" s="15">
        <v>5</v>
      </c>
      <c r="CS351" s="15">
        <v>6</v>
      </c>
      <c r="CT351" s="15" t="s">
        <v>328</v>
      </c>
      <c r="CU351" s="15"/>
      <c r="CV351" s="15"/>
      <c r="CW351" s="15"/>
      <c r="CX351" s="15" t="s">
        <v>328</v>
      </c>
      <c r="CY351" s="15"/>
      <c r="CZ351" s="15"/>
      <c r="DA351" s="15"/>
      <c r="DB351" s="15"/>
      <c r="DC351" s="15"/>
      <c r="DD351" s="15"/>
      <c r="DE351" s="15"/>
      <c r="DF351" s="15"/>
      <c r="DG351" s="15">
        <v>1</v>
      </c>
      <c r="DH351" s="15"/>
      <c r="DI351" s="15"/>
      <c r="DJ351" s="15" t="s">
        <v>328</v>
      </c>
      <c r="DK351" s="15"/>
      <c r="DL351" s="15"/>
      <c r="DM351" s="15"/>
      <c r="DN351" s="15"/>
      <c r="DO351" s="15"/>
      <c r="DP351" s="15"/>
      <c r="DQ351" s="15" t="s">
        <v>328</v>
      </c>
      <c r="DR351" s="15"/>
      <c r="DS351" s="15"/>
      <c r="DT351" s="15"/>
      <c r="DU351" s="15"/>
      <c r="DV351" s="15"/>
      <c r="DW351" s="15"/>
      <c r="DX351" s="15"/>
      <c r="DY351" s="15" t="s">
        <v>328</v>
      </c>
      <c r="DZ351" s="15"/>
      <c r="EA351" s="15"/>
      <c r="EB351" s="15"/>
      <c r="EC351" s="15"/>
      <c r="ED351" s="15"/>
      <c r="EE351" s="102"/>
      <c r="EF351" s="99"/>
      <c r="EG351" s="17">
        <f t="shared" si="5"/>
        <v>0</v>
      </c>
    </row>
    <row r="352" spans="1:137" x14ac:dyDescent="0.25">
      <c r="A352" s="51" t="s">
        <v>1378</v>
      </c>
      <c r="B352" s="211">
        <v>41574</v>
      </c>
      <c r="C352" s="212" t="s">
        <v>2762</v>
      </c>
      <c r="D352" s="103" t="s">
        <v>1588</v>
      </c>
      <c r="E352" s="15" t="s">
        <v>328</v>
      </c>
      <c r="F352" s="15"/>
      <c r="G352" s="15">
        <v>47</v>
      </c>
      <c r="H352" s="15" t="s">
        <v>329</v>
      </c>
      <c r="I352" s="15" t="s">
        <v>353</v>
      </c>
      <c r="J352" s="15" t="s">
        <v>1394</v>
      </c>
      <c r="K352" s="15" t="s">
        <v>1395</v>
      </c>
      <c r="L352" s="15" t="s">
        <v>1281</v>
      </c>
      <c r="M352" s="15">
        <v>15</v>
      </c>
      <c r="N352" s="15">
        <v>1</v>
      </c>
      <c r="O352" s="15">
        <v>1</v>
      </c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 t="s">
        <v>328</v>
      </c>
      <c r="AD352" s="15"/>
      <c r="AE352" s="15"/>
      <c r="AF352" s="15"/>
      <c r="AG352" s="15"/>
      <c r="AH352" s="15" t="s">
        <v>328</v>
      </c>
      <c r="AI352" s="15"/>
      <c r="AJ352" s="15"/>
      <c r="AK352" s="15"/>
      <c r="AL352" s="15"/>
      <c r="AM352" s="15"/>
      <c r="AN352" s="15"/>
      <c r="AO352" s="15" t="s">
        <v>328</v>
      </c>
      <c r="AP352" s="15"/>
      <c r="AQ352" s="15" t="s">
        <v>328</v>
      </c>
      <c r="AR352" s="15">
        <v>10</v>
      </c>
      <c r="AS352" s="15">
        <v>6</v>
      </c>
      <c r="AT352" s="15"/>
      <c r="AU352" s="15" t="s">
        <v>328</v>
      </c>
      <c r="AV352" s="15"/>
      <c r="AW352" s="15"/>
      <c r="AX352" s="15">
        <v>3</v>
      </c>
      <c r="AY352" s="15">
        <v>2</v>
      </c>
      <c r="AZ352" s="15">
        <v>1</v>
      </c>
      <c r="BA352" s="15"/>
      <c r="BB352" s="15" t="s">
        <v>328</v>
      </c>
      <c r="BC352" s="15"/>
      <c r="BD352" s="15" t="s">
        <v>328</v>
      </c>
      <c r="BE352" s="15"/>
      <c r="BF352" s="15"/>
      <c r="BG352" s="15"/>
      <c r="BH352" s="15" t="s">
        <v>328</v>
      </c>
      <c r="BI352" s="15"/>
      <c r="BJ352" s="15"/>
      <c r="BK352" s="15" t="s">
        <v>328</v>
      </c>
      <c r="BL352" s="15"/>
      <c r="BM352" s="15"/>
      <c r="BN352" s="15" t="s">
        <v>328</v>
      </c>
      <c r="BO352" s="15"/>
      <c r="BP352" s="15" t="s">
        <v>328</v>
      </c>
      <c r="BQ352" s="15"/>
      <c r="BR352" s="15" t="s">
        <v>328</v>
      </c>
      <c r="BS352" s="15"/>
      <c r="BT352" s="15"/>
      <c r="BU352" s="15"/>
      <c r="BV352" s="15" t="s">
        <v>328</v>
      </c>
      <c r="BW352" s="15"/>
      <c r="BX352" s="15"/>
      <c r="BY352" s="15"/>
      <c r="BZ352" s="15"/>
      <c r="CA352" s="15"/>
      <c r="CB352" s="15"/>
      <c r="CC352" s="15" t="s">
        <v>328</v>
      </c>
      <c r="CD352" s="15"/>
      <c r="CE352" s="15" t="s">
        <v>328</v>
      </c>
      <c r="CF352" s="15"/>
      <c r="CG352" s="15"/>
      <c r="CH352" s="15"/>
      <c r="CI352" s="15"/>
      <c r="CJ352" s="15" t="s">
        <v>328</v>
      </c>
      <c r="CK352" s="15"/>
      <c r="CL352" s="15"/>
      <c r="CM352" s="15"/>
      <c r="CN352" s="15">
        <v>3</v>
      </c>
      <c r="CO352" s="15">
        <v>2</v>
      </c>
      <c r="CP352" s="15">
        <v>1</v>
      </c>
      <c r="CQ352" s="15">
        <v>4</v>
      </c>
      <c r="CR352" s="15">
        <v>5</v>
      </c>
      <c r="CS352" s="15">
        <v>6</v>
      </c>
      <c r="CT352" s="15" t="s">
        <v>328</v>
      </c>
      <c r="CU352" s="15"/>
      <c r="CV352" s="15"/>
      <c r="CW352" s="15"/>
      <c r="CX352" s="15" t="s">
        <v>328</v>
      </c>
      <c r="CY352" s="15"/>
      <c r="CZ352" s="15"/>
      <c r="DA352" s="15"/>
      <c r="DB352" s="15"/>
      <c r="DC352" s="15"/>
      <c r="DD352" s="15">
        <v>2</v>
      </c>
      <c r="DE352" s="15">
        <v>3</v>
      </c>
      <c r="DF352" s="15"/>
      <c r="DG352" s="15">
        <v>1</v>
      </c>
      <c r="DH352" s="15"/>
      <c r="DI352" s="15"/>
      <c r="DJ352" s="15" t="s">
        <v>328</v>
      </c>
      <c r="DK352" s="15"/>
      <c r="DL352" s="15"/>
      <c r="DM352" s="15"/>
      <c r="DN352" s="15"/>
      <c r="DO352" s="15"/>
      <c r="DP352" s="15"/>
      <c r="DQ352" s="15" t="s">
        <v>328</v>
      </c>
      <c r="DR352" s="15"/>
      <c r="DS352" s="15"/>
      <c r="DT352" s="15"/>
      <c r="DU352" s="15"/>
      <c r="DV352" s="15"/>
      <c r="DW352" s="15"/>
      <c r="DX352" s="15"/>
      <c r="DY352" s="15" t="s">
        <v>328</v>
      </c>
      <c r="DZ352" s="15"/>
      <c r="EA352" s="15"/>
      <c r="EB352" s="15"/>
      <c r="EC352" s="15"/>
      <c r="ED352" s="15"/>
      <c r="EE352" s="102"/>
      <c r="EF352" s="99"/>
      <c r="EG352" s="17">
        <f t="shared" si="5"/>
        <v>0</v>
      </c>
    </row>
    <row r="353" spans="1:137" x14ac:dyDescent="0.25">
      <c r="A353" s="51" t="s">
        <v>1378</v>
      </c>
      <c r="B353" s="211">
        <v>41577</v>
      </c>
      <c r="C353" s="212" t="s">
        <v>2762</v>
      </c>
      <c r="D353" s="103" t="s">
        <v>1589</v>
      </c>
      <c r="E353" s="15" t="s">
        <v>328</v>
      </c>
      <c r="F353" s="15"/>
      <c r="G353" s="15">
        <v>62</v>
      </c>
      <c r="H353" s="15" t="s">
        <v>329</v>
      </c>
      <c r="I353" s="15" t="s">
        <v>353</v>
      </c>
      <c r="J353" s="15" t="s">
        <v>1394</v>
      </c>
      <c r="K353" s="15" t="s">
        <v>1395</v>
      </c>
      <c r="L353" s="15" t="s">
        <v>1281</v>
      </c>
      <c r="M353" s="15">
        <v>28</v>
      </c>
      <c r="N353" s="15">
        <v>2</v>
      </c>
      <c r="O353" s="15"/>
      <c r="P353" s="15"/>
      <c r="Q353" s="15"/>
      <c r="R353" s="15"/>
      <c r="S353" s="15"/>
      <c r="T353" s="15"/>
      <c r="U353" s="15"/>
      <c r="V353" s="15">
        <v>2</v>
      </c>
      <c r="W353" s="15"/>
      <c r="X353" s="15"/>
      <c r="Y353" s="15">
        <v>2</v>
      </c>
      <c r="Z353" s="15"/>
      <c r="AA353" s="15"/>
      <c r="AB353" s="15"/>
      <c r="AC353" s="15"/>
      <c r="AD353" s="15"/>
      <c r="AE353" s="15" t="s">
        <v>328</v>
      </c>
      <c r="AF353" s="15"/>
      <c r="AG353" s="15"/>
      <c r="AH353" s="15" t="s">
        <v>328</v>
      </c>
      <c r="AI353" s="15"/>
      <c r="AJ353" s="15"/>
      <c r="AK353" s="15"/>
      <c r="AL353" s="15" t="s">
        <v>328</v>
      </c>
      <c r="AM353" s="15"/>
      <c r="AN353" s="15"/>
      <c r="AO353" s="15" t="s">
        <v>328</v>
      </c>
      <c r="AP353" s="15"/>
      <c r="AQ353" s="15" t="s">
        <v>328</v>
      </c>
      <c r="AR353" s="15">
        <v>10</v>
      </c>
      <c r="AS353" s="15">
        <v>3</v>
      </c>
      <c r="AT353" s="15"/>
      <c r="AU353" s="15"/>
      <c r="AV353" s="15"/>
      <c r="AW353" s="15" t="s">
        <v>328</v>
      </c>
      <c r="AX353" s="15">
        <v>1</v>
      </c>
      <c r="AY353" s="15">
        <v>2</v>
      </c>
      <c r="AZ353" s="15">
        <v>3</v>
      </c>
      <c r="BA353" s="15"/>
      <c r="BB353" s="15" t="s">
        <v>328</v>
      </c>
      <c r="BC353" s="15"/>
      <c r="BD353" s="15" t="s">
        <v>328</v>
      </c>
      <c r="BE353" s="15"/>
      <c r="BF353" s="15" t="s">
        <v>328</v>
      </c>
      <c r="BG353" s="15"/>
      <c r="BH353" s="15"/>
      <c r="BI353" s="15"/>
      <c r="BJ353" s="15"/>
      <c r="BK353" s="15" t="s">
        <v>328</v>
      </c>
      <c r="BL353" s="15"/>
      <c r="BM353" s="15"/>
      <c r="BN353" s="15" t="s">
        <v>328</v>
      </c>
      <c r="BO353" s="15"/>
      <c r="BP353" s="15" t="s">
        <v>328</v>
      </c>
      <c r="BQ353" s="15"/>
      <c r="BR353" s="15" t="s">
        <v>328</v>
      </c>
      <c r="BS353" s="15"/>
      <c r="BT353" s="15"/>
      <c r="BU353" s="15"/>
      <c r="BV353" s="15" t="s">
        <v>328</v>
      </c>
      <c r="BW353" s="15"/>
      <c r="BX353" s="15"/>
      <c r="BY353" s="15"/>
      <c r="BZ353" s="15"/>
      <c r="CA353" s="15"/>
      <c r="CB353" s="15"/>
      <c r="CC353" s="15"/>
      <c r="CD353" s="15"/>
      <c r="CE353" s="15"/>
      <c r="CF353" s="15" t="s">
        <v>328</v>
      </c>
      <c r="CG353" s="15" t="s">
        <v>328</v>
      </c>
      <c r="CH353" s="15"/>
      <c r="CI353" s="15" t="s">
        <v>328</v>
      </c>
      <c r="CJ353" s="15" t="s">
        <v>328</v>
      </c>
      <c r="CK353" s="15"/>
      <c r="CL353" s="15"/>
      <c r="CM353" s="15"/>
      <c r="CN353" s="15">
        <v>3</v>
      </c>
      <c r="CO353" s="15">
        <v>2</v>
      </c>
      <c r="CP353" s="15">
        <v>1</v>
      </c>
      <c r="CQ353" s="15">
        <v>4</v>
      </c>
      <c r="CR353" s="15">
        <v>5</v>
      </c>
      <c r="CS353" s="15">
        <v>6</v>
      </c>
      <c r="CT353" s="15"/>
      <c r="CU353" s="15"/>
      <c r="CV353" s="15"/>
      <c r="CW353" s="15"/>
      <c r="CX353" s="15" t="s">
        <v>328</v>
      </c>
      <c r="CY353" s="15"/>
      <c r="CZ353" s="15"/>
      <c r="DA353" s="15"/>
      <c r="DB353" s="15"/>
      <c r="DC353" s="15">
        <v>1</v>
      </c>
      <c r="DD353" s="15"/>
      <c r="DE353" s="15">
        <v>2</v>
      </c>
      <c r="DF353" s="15"/>
      <c r="DG353" s="15">
        <v>3</v>
      </c>
      <c r="DH353" s="15"/>
      <c r="DI353" s="15"/>
      <c r="DJ353" s="15" t="s">
        <v>328</v>
      </c>
      <c r="DK353" s="15"/>
      <c r="DL353" s="15"/>
      <c r="DM353" s="15"/>
      <c r="DN353" s="15"/>
      <c r="DO353" s="15"/>
      <c r="DP353" s="15"/>
      <c r="DQ353" s="15" t="s">
        <v>328</v>
      </c>
      <c r="DR353" s="15"/>
      <c r="DS353" s="15"/>
      <c r="DT353" s="15"/>
      <c r="DU353" s="15"/>
      <c r="DV353" s="15"/>
      <c r="DW353" s="15"/>
      <c r="DX353" s="15"/>
      <c r="DY353" s="15" t="s">
        <v>328</v>
      </c>
      <c r="DZ353" s="15"/>
      <c r="EA353" s="15"/>
      <c r="EB353" s="15"/>
      <c r="EC353" s="15"/>
      <c r="ED353" s="15"/>
      <c r="EE353" s="102"/>
      <c r="EF353" s="99"/>
      <c r="EG353" s="17">
        <f t="shared" si="5"/>
        <v>0</v>
      </c>
    </row>
    <row r="354" spans="1:137" x14ac:dyDescent="0.25">
      <c r="A354" s="51" t="s">
        <v>1378</v>
      </c>
      <c r="B354" s="211">
        <v>41573</v>
      </c>
      <c r="C354" s="212" t="s">
        <v>2762</v>
      </c>
      <c r="D354" s="103" t="s">
        <v>1590</v>
      </c>
      <c r="E354" s="15" t="s">
        <v>328</v>
      </c>
      <c r="F354" s="15"/>
      <c r="G354" s="15">
        <v>61</v>
      </c>
      <c r="H354" s="15" t="s">
        <v>329</v>
      </c>
      <c r="I354" s="15" t="s">
        <v>353</v>
      </c>
      <c r="J354" s="15" t="s">
        <v>1410</v>
      </c>
      <c r="K354" s="15" t="s">
        <v>1411</v>
      </c>
      <c r="L354" s="15" t="s">
        <v>1281</v>
      </c>
      <c r="M354" s="15">
        <v>30</v>
      </c>
      <c r="N354" s="15">
        <v>1</v>
      </c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>
        <v>1</v>
      </c>
      <c r="AA354" s="15"/>
      <c r="AB354" s="15"/>
      <c r="AC354" s="15"/>
      <c r="AD354" s="15"/>
      <c r="AE354" s="15"/>
      <c r="AF354" s="15"/>
      <c r="AG354" s="15" t="s">
        <v>328</v>
      </c>
      <c r="AH354" s="15"/>
      <c r="AI354" s="15"/>
      <c r="AJ354" s="15"/>
      <c r="AK354" s="15" t="s">
        <v>692</v>
      </c>
      <c r="AL354" s="15"/>
      <c r="AM354" s="15" t="s">
        <v>328</v>
      </c>
      <c r="AN354" s="15"/>
      <c r="AO354" s="15"/>
      <c r="AP354" s="15"/>
      <c r="AQ354" s="15" t="s">
        <v>328</v>
      </c>
      <c r="AR354" s="15">
        <v>5</v>
      </c>
      <c r="AS354" s="15">
        <v>5</v>
      </c>
      <c r="AT354" s="15"/>
      <c r="AU354" s="15"/>
      <c r="AV354" s="15"/>
      <c r="AW354" s="15" t="s">
        <v>328</v>
      </c>
      <c r="AX354" s="15">
        <v>2</v>
      </c>
      <c r="AY354" s="15">
        <v>3</v>
      </c>
      <c r="AZ354" s="15">
        <v>1</v>
      </c>
      <c r="BA354" s="15"/>
      <c r="BB354" s="15" t="s">
        <v>328</v>
      </c>
      <c r="BC354" s="15"/>
      <c r="BD354" s="15" t="s">
        <v>328</v>
      </c>
      <c r="BE354" s="15"/>
      <c r="BF354" s="15" t="s">
        <v>328</v>
      </c>
      <c r="BG354" s="15"/>
      <c r="BH354" s="15"/>
      <c r="BI354" s="15"/>
      <c r="BJ354" s="15"/>
      <c r="BK354" s="15"/>
      <c r="BL354" s="15"/>
      <c r="BM354" s="15"/>
      <c r="BN354" s="15"/>
      <c r="BO354" s="15" t="s">
        <v>328</v>
      </c>
      <c r="BP354" s="15" t="s">
        <v>328</v>
      </c>
      <c r="BQ354" s="15"/>
      <c r="BR354" s="15" t="s">
        <v>328</v>
      </c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 t="s">
        <v>328</v>
      </c>
      <c r="CG354" s="15" t="s">
        <v>328</v>
      </c>
      <c r="CH354" s="15"/>
      <c r="CI354" s="15"/>
      <c r="CJ354" s="15" t="s">
        <v>328</v>
      </c>
      <c r="CK354" s="15" t="s">
        <v>328</v>
      </c>
      <c r="CL354" s="15"/>
      <c r="CM354" s="15"/>
      <c r="CN354" s="15">
        <v>2</v>
      </c>
      <c r="CO354" s="15">
        <v>3</v>
      </c>
      <c r="CP354" s="15">
        <v>5</v>
      </c>
      <c r="CQ354" s="15">
        <v>4</v>
      </c>
      <c r="CR354" s="15">
        <v>6</v>
      </c>
      <c r="CS354" s="15">
        <v>1</v>
      </c>
      <c r="CT354" s="15"/>
      <c r="CU354" s="15"/>
      <c r="CV354" s="15"/>
      <c r="CW354" s="15"/>
      <c r="CX354" s="15"/>
      <c r="CY354" s="15"/>
      <c r="CZ354" s="15" t="s">
        <v>332</v>
      </c>
      <c r="DA354" s="15"/>
      <c r="DB354" s="15"/>
      <c r="DC354" s="15">
        <v>2</v>
      </c>
      <c r="DD354" s="15">
        <v>5</v>
      </c>
      <c r="DE354" s="15">
        <v>6</v>
      </c>
      <c r="DF354" s="15">
        <v>3</v>
      </c>
      <c r="DG354" s="15">
        <v>1</v>
      </c>
      <c r="DH354" s="15">
        <v>4</v>
      </c>
      <c r="DI354" s="15"/>
      <c r="DJ354" s="15" t="s">
        <v>328</v>
      </c>
      <c r="DK354" s="15"/>
      <c r="DL354" s="15"/>
      <c r="DM354" s="15"/>
      <c r="DN354" s="15"/>
      <c r="DO354" s="15"/>
      <c r="DP354" s="15"/>
      <c r="DQ354" s="15" t="s">
        <v>328</v>
      </c>
      <c r="DR354" s="15"/>
      <c r="DS354" s="15"/>
      <c r="DT354" s="15"/>
      <c r="DU354" s="15"/>
      <c r="DV354" s="15"/>
      <c r="DW354" s="15"/>
      <c r="DX354" s="15"/>
      <c r="DY354" s="15" t="s">
        <v>328</v>
      </c>
      <c r="DZ354" s="15"/>
      <c r="EA354" s="15"/>
      <c r="EB354" s="15"/>
      <c r="EC354" s="15"/>
      <c r="ED354" s="15"/>
      <c r="EE354" s="102"/>
      <c r="EF354" s="99"/>
      <c r="EG354" s="17">
        <f t="shared" si="5"/>
        <v>0</v>
      </c>
    </row>
    <row r="355" spans="1:137" x14ac:dyDescent="0.25">
      <c r="A355" s="51" t="s">
        <v>1378</v>
      </c>
      <c r="B355" s="211">
        <v>41571</v>
      </c>
      <c r="C355" s="212" t="s">
        <v>2762</v>
      </c>
      <c r="D355" s="103" t="s">
        <v>1591</v>
      </c>
      <c r="E355" s="15" t="s">
        <v>328</v>
      </c>
      <c r="F355" s="15"/>
      <c r="G355" s="15">
        <v>78</v>
      </c>
      <c r="H355" s="15" t="s">
        <v>329</v>
      </c>
      <c r="I355" s="15" t="s">
        <v>353</v>
      </c>
      <c r="J355" s="15" t="s">
        <v>1394</v>
      </c>
      <c r="K355" s="15" t="s">
        <v>1395</v>
      </c>
      <c r="L355" s="15" t="s">
        <v>1281</v>
      </c>
      <c r="M355" s="15">
        <v>44</v>
      </c>
      <c r="N355" s="15">
        <v>1</v>
      </c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>
        <v>1</v>
      </c>
      <c r="AA355" s="15"/>
      <c r="AB355" s="15"/>
      <c r="AC355" s="15"/>
      <c r="AD355" s="15"/>
      <c r="AE355" s="15"/>
      <c r="AF355" s="15"/>
      <c r="AG355" s="15" t="s">
        <v>328</v>
      </c>
      <c r="AH355" s="15"/>
      <c r="AI355" s="15"/>
      <c r="AJ355" s="15"/>
      <c r="AK355" s="15"/>
      <c r="AL355" s="15"/>
      <c r="AM355" s="15" t="s">
        <v>328</v>
      </c>
      <c r="AN355" s="15"/>
      <c r="AO355" s="15"/>
      <c r="AP355" s="15"/>
      <c r="AQ355" s="15" t="s">
        <v>328</v>
      </c>
      <c r="AR355" s="15">
        <v>10</v>
      </c>
      <c r="AS355" s="15">
        <v>9</v>
      </c>
      <c r="AT355" s="15"/>
      <c r="AU355" s="15"/>
      <c r="AV355" s="15"/>
      <c r="AW355" s="15" t="s">
        <v>328</v>
      </c>
      <c r="AX355" s="15">
        <v>3</v>
      </c>
      <c r="AY355" s="15">
        <v>2</v>
      </c>
      <c r="AZ355" s="15">
        <v>1</v>
      </c>
      <c r="BA355" s="15"/>
      <c r="BB355" s="15" t="s">
        <v>328</v>
      </c>
      <c r="BC355" s="15"/>
      <c r="BD355" s="15" t="s">
        <v>328</v>
      </c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 t="s">
        <v>328</v>
      </c>
      <c r="BP355" s="15" t="s">
        <v>328</v>
      </c>
      <c r="BQ355" s="15"/>
      <c r="BR355" s="15"/>
      <c r="BS355" s="15"/>
      <c r="BT355" s="15"/>
      <c r="BU355" s="15"/>
      <c r="BV355" s="15"/>
      <c r="BW355" s="15" t="s">
        <v>328</v>
      </c>
      <c r="BX355" s="15"/>
      <c r="BY355" s="15"/>
      <c r="BZ355" s="15"/>
      <c r="CA355" s="15"/>
      <c r="CB355" s="15"/>
      <c r="CC355" s="15"/>
      <c r="CD355" s="15"/>
      <c r="CE355" s="15"/>
      <c r="CF355" s="15"/>
      <c r="CG355" s="15" t="s">
        <v>328</v>
      </c>
      <c r="CH355" s="15"/>
      <c r="CI355" s="15"/>
      <c r="CJ355" s="15"/>
      <c r="CK355" s="15" t="s">
        <v>328</v>
      </c>
      <c r="CL355" s="15"/>
      <c r="CM355" s="15"/>
      <c r="CN355" s="15">
        <v>4</v>
      </c>
      <c r="CO355" s="15">
        <v>5</v>
      </c>
      <c r="CP355" s="15">
        <v>3</v>
      </c>
      <c r="CQ355" s="15">
        <v>2</v>
      </c>
      <c r="CR355" s="15">
        <v>6</v>
      </c>
      <c r="CS355" s="15">
        <v>1</v>
      </c>
      <c r="CT355" s="15"/>
      <c r="CU355" s="15"/>
      <c r="CV355" s="15"/>
      <c r="CW355" s="15"/>
      <c r="CX355" s="15"/>
      <c r="CY355" s="15"/>
      <c r="CZ355" s="15" t="s">
        <v>332</v>
      </c>
      <c r="DA355" s="15"/>
      <c r="DB355" s="15"/>
      <c r="DC355" s="15">
        <v>3</v>
      </c>
      <c r="DD355" s="15">
        <v>2</v>
      </c>
      <c r="DE355" s="15">
        <v>6</v>
      </c>
      <c r="DF355" s="15">
        <v>4</v>
      </c>
      <c r="DG355" s="15">
        <v>1</v>
      </c>
      <c r="DH355" s="15">
        <v>5</v>
      </c>
      <c r="DI355" s="15"/>
      <c r="DJ355" s="15" t="s">
        <v>328</v>
      </c>
      <c r="DK355" s="15"/>
      <c r="DL355" s="15"/>
      <c r="DM355" s="15"/>
      <c r="DN355" s="15"/>
      <c r="DO355" s="15"/>
      <c r="DP355" s="15"/>
      <c r="DQ355" s="15" t="s">
        <v>328</v>
      </c>
      <c r="DR355" s="15"/>
      <c r="DS355" s="15"/>
      <c r="DT355" s="15"/>
      <c r="DU355" s="15"/>
      <c r="DV355" s="15"/>
      <c r="DW355" s="15"/>
      <c r="DX355" s="15"/>
      <c r="DY355" s="15" t="s">
        <v>328</v>
      </c>
      <c r="DZ355" s="15"/>
      <c r="EA355" s="15"/>
      <c r="EB355" s="15"/>
      <c r="EC355" s="15"/>
      <c r="ED355" s="15"/>
      <c r="EE355" s="102"/>
      <c r="EF355" s="99"/>
      <c r="EG355" s="17">
        <f t="shared" si="5"/>
        <v>0</v>
      </c>
    </row>
    <row r="356" spans="1:137" x14ac:dyDescent="0.25">
      <c r="A356" s="51" t="s">
        <v>1378</v>
      </c>
      <c r="B356" s="211">
        <v>41571</v>
      </c>
      <c r="C356" s="212" t="s">
        <v>2762</v>
      </c>
      <c r="D356" s="103" t="s">
        <v>1592</v>
      </c>
      <c r="E356" s="15" t="s">
        <v>328</v>
      </c>
      <c r="F356" s="15"/>
      <c r="G356" s="15">
        <v>62</v>
      </c>
      <c r="H356" s="15" t="s">
        <v>329</v>
      </c>
      <c r="I356" s="15" t="s">
        <v>353</v>
      </c>
      <c r="J356" s="15" t="s">
        <v>1394</v>
      </c>
      <c r="K356" s="15" t="s">
        <v>1395</v>
      </c>
      <c r="L356" s="15" t="s">
        <v>1281</v>
      </c>
      <c r="M356" s="15">
        <v>35</v>
      </c>
      <c r="N356" s="15">
        <v>1</v>
      </c>
      <c r="O356" s="15"/>
      <c r="P356" s="15"/>
      <c r="Q356" s="15"/>
      <c r="R356" s="15"/>
      <c r="S356" s="15"/>
      <c r="T356" s="15"/>
      <c r="U356" s="15"/>
      <c r="V356" s="15"/>
      <c r="W356" s="15"/>
      <c r="X356" s="15">
        <v>2</v>
      </c>
      <c r="Y356" s="15"/>
      <c r="Z356" s="15"/>
      <c r="AA356" s="15"/>
      <c r="AB356" s="15"/>
      <c r="AC356" s="15"/>
      <c r="AD356" s="15"/>
      <c r="AE356" s="15"/>
      <c r="AF356" s="15"/>
      <c r="AG356" s="15" t="s">
        <v>328</v>
      </c>
      <c r="AH356" s="15"/>
      <c r="AI356" s="15"/>
      <c r="AJ356" s="15"/>
      <c r="AK356" s="15" t="s">
        <v>692</v>
      </c>
      <c r="AL356" s="15"/>
      <c r="AM356" s="15" t="s">
        <v>328</v>
      </c>
      <c r="AN356" s="15"/>
      <c r="AO356" s="15"/>
      <c r="AP356" s="15"/>
      <c r="AQ356" s="15" t="s">
        <v>328</v>
      </c>
      <c r="AR356" s="15">
        <v>4</v>
      </c>
      <c r="AS356" s="15">
        <v>7</v>
      </c>
      <c r="AT356" s="15"/>
      <c r="AU356" s="15"/>
      <c r="AV356" s="15"/>
      <c r="AW356" s="15" t="s">
        <v>328</v>
      </c>
      <c r="AX356" s="15">
        <v>1</v>
      </c>
      <c r="AY356" s="15">
        <v>3</v>
      </c>
      <c r="AZ356" s="15">
        <v>2</v>
      </c>
      <c r="BA356" s="15"/>
      <c r="BB356" s="15" t="s">
        <v>328</v>
      </c>
      <c r="BC356" s="15"/>
      <c r="BD356" s="15"/>
      <c r="BE356" s="15"/>
      <c r="BF356" s="15" t="s">
        <v>328</v>
      </c>
      <c r="BG356" s="15"/>
      <c r="BH356" s="15"/>
      <c r="BI356" s="15"/>
      <c r="BJ356" s="15"/>
      <c r="BK356" s="15"/>
      <c r="BL356" s="15"/>
      <c r="BM356" s="15"/>
      <c r="BN356" s="15"/>
      <c r="BO356" s="15" t="s">
        <v>328</v>
      </c>
      <c r="BP356" s="15" t="s">
        <v>328</v>
      </c>
      <c r="BQ356" s="15"/>
      <c r="BR356" s="15" t="s">
        <v>328</v>
      </c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 t="s">
        <v>328</v>
      </c>
      <c r="CG356" s="15" t="s">
        <v>328</v>
      </c>
      <c r="CH356" s="15"/>
      <c r="CI356" s="15"/>
      <c r="CJ356" s="15"/>
      <c r="CK356" s="15" t="s">
        <v>328</v>
      </c>
      <c r="CL356" s="15"/>
      <c r="CM356" s="15"/>
      <c r="CN356" s="15">
        <v>2</v>
      </c>
      <c r="CO356" s="15">
        <v>3</v>
      </c>
      <c r="CP356" s="15">
        <v>5</v>
      </c>
      <c r="CQ356" s="15">
        <v>4</v>
      </c>
      <c r="CR356" s="15">
        <v>6</v>
      </c>
      <c r="CS356" s="15">
        <v>1</v>
      </c>
      <c r="CT356" s="15"/>
      <c r="CU356" s="15"/>
      <c r="CV356" s="15"/>
      <c r="CW356" s="15"/>
      <c r="CX356" s="15"/>
      <c r="CY356" s="15"/>
      <c r="CZ356" s="15" t="s">
        <v>332</v>
      </c>
      <c r="DA356" s="15"/>
      <c r="DB356" s="15"/>
      <c r="DC356" s="15">
        <v>2</v>
      </c>
      <c r="DD356" s="15">
        <v>5</v>
      </c>
      <c r="DE356" s="15">
        <v>6</v>
      </c>
      <c r="DF356" s="15">
        <v>3</v>
      </c>
      <c r="DG356" s="15">
        <v>1</v>
      </c>
      <c r="DH356" s="15">
        <v>4</v>
      </c>
      <c r="DI356" s="15"/>
      <c r="DJ356" s="15" t="s">
        <v>328</v>
      </c>
      <c r="DK356" s="15"/>
      <c r="DL356" s="15"/>
      <c r="DM356" s="15"/>
      <c r="DN356" s="15"/>
      <c r="DO356" s="15"/>
      <c r="DP356" s="15"/>
      <c r="DQ356" s="15" t="s">
        <v>328</v>
      </c>
      <c r="DR356" s="15"/>
      <c r="DS356" s="15"/>
      <c r="DT356" s="15"/>
      <c r="DU356" s="15"/>
      <c r="DV356" s="15"/>
      <c r="DW356" s="15"/>
      <c r="DX356" s="15"/>
      <c r="DY356" s="15" t="s">
        <v>328</v>
      </c>
      <c r="DZ356" s="15"/>
      <c r="EA356" s="15"/>
      <c r="EB356" s="15"/>
      <c r="EC356" s="15"/>
      <c r="ED356" s="15"/>
      <c r="EE356" s="102"/>
      <c r="EF356" s="99"/>
      <c r="EG356" s="17">
        <f t="shared" si="5"/>
        <v>0</v>
      </c>
    </row>
    <row r="357" spans="1:137" x14ac:dyDescent="0.25">
      <c r="A357" s="51" t="s">
        <v>1378</v>
      </c>
      <c r="B357" s="211">
        <v>41571</v>
      </c>
      <c r="C357" s="212" t="s">
        <v>2762</v>
      </c>
      <c r="D357" s="103" t="s">
        <v>1593</v>
      </c>
      <c r="E357" s="15" t="s">
        <v>328</v>
      </c>
      <c r="F357" s="15"/>
      <c r="G357" s="15">
        <v>64</v>
      </c>
      <c r="H357" s="15" t="s">
        <v>329</v>
      </c>
      <c r="I357" s="15" t="s">
        <v>353</v>
      </c>
      <c r="J357" s="15" t="s">
        <v>1394</v>
      </c>
      <c r="K357" s="15" t="s">
        <v>1395</v>
      </c>
      <c r="L357" s="15" t="s">
        <v>1281</v>
      </c>
      <c r="M357" s="15">
        <v>44</v>
      </c>
      <c r="N357" s="15">
        <v>1</v>
      </c>
      <c r="O357" s="15"/>
      <c r="P357" s="15"/>
      <c r="Q357" s="15"/>
      <c r="R357" s="15"/>
      <c r="S357" s="15"/>
      <c r="T357" s="15"/>
      <c r="U357" s="15"/>
      <c r="V357" s="15"/>
      <c r="W357" s="15"/>
      <c r="X357" s="15">
        <v>1</v>
      </c>
      <c r="Y357" s="15"/>
      <c r="Z357" s="15"/>
      <c r="AA357" s="15"/>
      <c r="AB357" s="15"/>
      <c r="AC357" s="15"/>
      <c r="AD357" s="15"/>
      <c r="AE357" s="15"/>
      <c r="AF357" s="15"/>
      <c r="AG357" s="15" t="s">
        <v>328</v>
      </c>
      <c r="AH357" s="15"/>
      <c r="AI357" s="15"/>
      <c r="AJ357" s="15"/>
      <c r="AK357" s="15" t="s">
        <v>692</v>
      </c>
      <c r="AL357" s="15"/>
      <c r="AM357" s="15" t="s">
        <v>328</v>
      </c>
      <c r="AN357" s="15"/>
      <c r="AO357" s="15" t="s">
        <v>328</v>
      </c>
      <c r="AP357" s="15"/>
      <c r="AQ357" s="15" t="s">
        <v>328</v>
      </c>
      <c r="AR357" s="15">
        <v>8</v>
      </c>
      <c r="AS357" s="15">
        <v>5</v>
      </c>
      <c r="AT357" s="15"/>
      <c r="AU357" s="15" t="s">
        <v>328</v>
      </c>
      <c r="AV357" s="15"/>
      <c r="AW357" s="15"/>
      <c r="AX357" s="15">
        <v>3</v>
      </c>
      <c r="AY357" s="15">
        <v>2</v>
      </c>
      <c r="AZ357" s="15">
        <v>1</v>
      </c>
      <c r="BA357" s="15"/>
      <c r="BB357" s="15" t="s">
        <v>328</v>
      </c>
      <c r="BC357" s="15"/>
      <c r="BD357" s="15"/>
      <c r="BE357" s="15" t="s">
        <v>328</v>
      </c>
      <c r="BF357" s="15"/>
      <c r="BG357" s="15"/>
      <c r="BH357" s="15"/>
      <c r="BI357" s="15"/>
      <c r="BJ357" s="15"/>
      <c r="BK357" s="15"/>
      <c r="BL357" s="15"/>
      <c r="BM357" s="15"/>
      <c r="BN357" s="15"/>
      <c r="BO357" s="15" t="s">
        <v>328</v>
      </c>
      <c r="BP357" s="15" t="s">
        <v>328</v>
      </c>
      <c r="BQ357" s="15"/>
      <c r="BR357" s="15" t="s">
        <v>328</v>
      </c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 t="s">
        <v>328</v>
      </c>
      <c r="CG357" s="15" t="s">
        <v>328</v>
      </c>
      <c r="CH357" s="15"/>
      <c r="CI357" s="15"/>
      <c r="CJ357" s="15"/>
      <c r="CK357" s="15" t="s">
        <v>328</v>
      </c>
      <c r="CL357" s="15"/>
      <c r="CM357" s="15"/>
      <c r="CN357" s="15">
        <v>2</v>
      </c>
      <c r="CO357" s="15">
        <v>3</v>
      </c>
      <c r="CP357" s="15">
        <v>5</v>
      </c>
      <c r="CQ357" s="15">
        <v>4</v>
      </c>
      <c r="CR357" s="15">
        <v>6</v>
      </c>
      <c r="CS357" s="15">
        <v>1</v>
      </c>
      <c r="CT357" s="15"/>
      <c r="CU357" s="15"/>
      <c r="CV357" s="15"/>
      <c r="CW357" s="15"/>
      <c r="CX357" s="15"/>
      <c r="CY357" s="15"/>
      <c r="CZ357" s="15" t="s">
        <v>332</v>
      </c>
      <c r="DA357" s="15"/>
      <c r="DB357" s="15"/>
      <c r="DC357" s="15">
        <v>2</v>
      </c>
      <c r="DD357" s="15">
        <v>4</v>
      </c>
      <c r="DE357" s="15">
        <v>5</v>
      </c>
      <c r="DF357" s="15">
        <v>3</v>
      </c>
      <c r="DG357" s="15">
        <v>1</v>
      </c>
      <c r="DH357" s="15"/>
      <c r="DI357" s="15"/>
      <c r="DJ357" s="15" t="s">
        <v>328</v>
      </c>
      <c r="DK357" s="15"/>
      <c r="DL357" s="15"/>
      <c r="DM357" s="15"/>
      <c r="DN357" s="15"/>
      <c r="DO357" s="15"/>
      <c r="DP357" s="15"/>
      <c r="DQ357" s="15" t="s">
        <v>328</v>
      </c>
      <c r="DR357" s="15"/>
      <c r="DS357" s="15"/>
      <c r="DT357" s="15"/>
      <c r="DU357" s="15"/>
      <c r="DV357" s="15"/>
      <c r="DW357" s="15"/>
      <c r="DX357" s="15"/>
      <c r="DY357" s="15" t="s">
        <v>328</v>
      </c>
      <c r="DZ357" s="15"/>
      <c r="EA357" s="15"/>
      <c r="EB357" s="15"/>
      <c r="EC357" s="15"/>
      <c r="ED357" s="15"/>
      <c r="EE357" s="102"/>
      <c r="EF357" s="99"/>
      <c r="EG357" s="17">
        <f t="shared" si="5"/>
        <v>0</v>
      </c>
    </row>
    <row r="358" spans="1:137" x14ac:dyDescent="0.25">
      <c r="A358" s="51" t="s">
        <v>1378</v>
      </c>
      <c r="B358" s="211">
        <v>41572</v>
      </c>
      <c r="C358" s="212" t="s">
        <v>2762</v>
      </c>
      <c r="D358" s="103" t="s">
        <v>1594</v>
      </c>
      <c r="E358" s="15" t="s">
        <v>328</v>
      </c>
      <c r="F358" s="15"/>
      <c r="G358" s="15">
        <v>38</v>
      </c>
      <c r="H358" s="15" t="s">
        <v>329</v>
      </c>
      <c r="I358" s="15" t="s">
        <v>357</v>
      </c>
      <c r="J358" s="15" t="s">
        <v>1394</v>
      </c>
      <c r="K358" s="15" t="s">
        <v>1395</v>
      </c>
      <c r="L358" s="15" t="s">
        <v>1281</v>
      </c>
      <c r="M358" s="15">
        <v>18</v>
      </c>
      <c r="N358" s="15">
        <v>3</v>
      </c>
      <c r="O358" s="15">
        <v>3</v>
      </c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 t="s">
        <v>328</v>
      </c>
      <c r="AH358" s="15"/>
      <c r="AI358" s="15"/>
      <c r="AJ358" s="15"/>
      <c r="AK358" s="15"/>
      <c r="AL358" s="15"/>
      <c r="AM358" s="15" t="s">
        <v>328</v>
      </c>
      <c r="AN358" s="15"/>
      <c r="AO358" s="15"/>
      <c r="AP358" s="15"/>
      <c r="AQ358" s="15" t="s">
        <v>328</v>
      </c>
      <c r="AR358" s="15">
        <v>4</v>
      </c>
      <c r="AS358" s="15">
        <v>6</v>
      </c>
      <c r="AT358" s="15"/>
      <c r="AU358" s="15"/>
      <c r="AV358" s="15"/>
      <c r="AW358" s="15" t="s">
        <v>328</v>
      </c>
      <c r="AX358" s="15">
        <v>2</v>
      </c>
      <c r="AY358" s="15">
        <v>1</v>
      </c>
      <c r="AZ358" s="15">
        <v>3</v>
      </c>
      <c r="BA358" s="15"/>
      <c r="BB358" s="15" t="s">
        <v>328</v>
      </c>
      <c r="BC358" s="15"/>
      <c r="BD358" s="15"/>
      <c r="BE358" s="15" t="s">
        <v>328</v>
      </c>
      <c r="BF358" s="15"/>
      <c r="BG358" s="15"/>
      <c r="BH358" s="15"/>
      <c r="BI358" s="15"/>
      <c r="BJ358" s="15"/>
      <c r="BK358" s="15"/>
      <c r="BL358" s="15"/>
      <c r="BM358" s="15"/>
      <c r="BN358" s="15"/>
      <c r="BO358" s="15" t="s">
        <v>328</v>
      </c>
      <c r="BP358" s="15"/>
      <c r="BQ358" s="15" t="s">
        <v>328</v>
      </c>
      <c r="BR358" s="15" t="s">
        <v>328</v>
      </c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 t="s">
        <v>328</v>
      </c>
      <c r="CD358" s="15"/>
      <c r="CE358" s="15"/>
      <c r="CF358" s="15" t="s">
        <v>328</v>
      </c>
      <c r="CG358" s="15" t="s">
        <v>328</v>
      </c>
      <c r="CH358" s="15"/>
      <c r="CI358" s="15"/>
      <c r="CJ358" s="15"/>
      <c r="CK358" s="15" t="s">
        <v>328</v>
      </c>
      <c r="CL358" s="15"/>
      <c r="CM358" s="15"/>
      <c r="CN358" s="15">
        <v>1</v>
      </c>
      <c r="CO358" s="15">
        <v>2</v>
      </c>
      <c r="CP358" s="15">
        <v>5</v>
      </c>
      <c r="CQ358" s="15">
        <v>4</v>
      </c>
      <c r="CR358" s="15">
        <v>6</v>
      </c>
      <c r="CS358" s="15">
        <v>3</v>
      </c>
      <c r="CT358" s="15" t="s">
        <v>328</v>
      </c>
      <c r="CU358" s="15"/>
      <c r="CV358" s="15"/>
      <c r="CW358" s="15"/>
      <c r="CX358" s="15"/>
      <c r="CY358" s="15"/>
      <c r="CZ358" s="15"/>
      <c r="DA358" s="15"/>
      <c r="DB358" s="15"/>
      <c r="DC358" s="15">
        <v>2</v>
      </c>
      <c r="DD358" s="15">
        <v>5</v>
      </c>
      <c r="DE358" s="15">
        <v>6</v>
      </c>
      <c r="DF358" s="15">
        <v>3</v>
      </c>
      <c r="DG358" s="15">
        <v>1</v>
      </c>
      <c r="DH358" s="15">
        <v>4</v>
      </c>
      <c r="DI358" s="15"/>
      <c r="DJ358" s="15" t="s">
        <v>328</v>
      </c>
      <c r="DK358" s="15"/>
      <c r="DL358" s="15"/>
      <c r="DM358" s="15"/>
      <c r="DN358" s="15"/>
      <c r="DO358" s="15"/>
      <c r="DP358" s="15"/>
      <c r="DQ358" s="15" t="s">
        <v>328</v>
      </c>
      <c r="DR358" s="15"/>
      <c r="DS358" s="15"/>
      <c r="DT358" s="15"/>
      <c r="DU358" s="15"/>
      <c r="DV358" s="15"/>
      <c r="DW358" s="15"/>
      <c r="DX358" s="15"/>
      <c r="DY358" s="15" t="s">
        <v>328</v>
      </c>
      <c r="DZ358" s="15"/>
      <c r="EA358" s="15"/>
      <c r="EB358" s="15"/>
      <c r="EC358" s="15"/>
      <c r="ED358" s="15"/>
      <c r="EE358" s="102"/>
      <c r="EF358" s="99"/>
      <c r="EG358" s="17">
        <f t="shared" si="5"/>
        <v>0</v>
      </c>
    </row>
    <row r="359" spans="1:137" x14ac:dyDescent="0.25">
      <c r="A359" s="51" t="s">
        <v>1378</v>
      </c>
      <c r="B359" s="211">
        <v>41572</v>
      </c>
      <c r="C359" s="212" t="s">
        <v>2762</v>
      </c>
      <c r="D359" s="103" t="s">
        <v>1595</v>
      </c>
      <c r="E359" s="15" t="s">
        <v>328</v>
      </c>
      <c r="F359" s="15"/>
      <c r="G359" s="15">
        <v>35</v>
      </c>
      <c r="H359" s="15" t="s">
        <v>329</v>
      </c>
      <c r="I359" s="15" t="s">
        <v>357</v>
      </c>
      <c r="J359" s="15" t="s">
        <v>1596</v>
      </c>
      <c r="K359" s="15" t="s">
        <v>1597</v>
      </c>
      <c r="L359" s="15" t="s">
        <v>1281</v>
      </c>
      <c r="M359" s="15">
        <v>12</v>
      </c>
      <c r="N359" s="15">
        <v>2</v>
      </c>
      <c r="O359" s="15"/>
      <c r="P359" s="15"/>
      <c r="Q359" s="15"/>
      <c r="R359" s="15"/>
      <c r="S359" s="15"/>
      <c r="T359" s="15"/>
      <c r="U359" s="15"/>
      <c r="V359" s="15"/>
      <c r="W359" s="15"/>
      <c r="X359" s="15">
        <v>2</v>
      </c>
      <c r="Y359" s="15"/>
      <c r="Z359" s="15"/>
      <c r="AA359" s="15"/>
      <c r="AB359" s="15"/>
      <c r="AC359" s="15"/>
      <c r="AD359" s="15"/>
      <c r="AE359" s="15"/>
      <c r="AF359" s="15"/>
      <c r="AG359" s="15" t="s">
        <v>328</v>
      </c>
      <c r="AH359" s="15"/>
      <c r="AI359" s="15"/>
      <c r="AJ359" s="15"/>
      <c r="AK359" s="15" t="s">
        <v>692</v>
      </c>
      <c r="AL359" s="15"/>
      <c r="AM359" s="15" t="s">
        <v>328</v>
      </c>
      <c r="AN359" s="15"/>
      <c r="AO359" s="15"/>
      <c r="AP359" s="15"/>
      <c r="AQ359" s="15" t="s">
        <v>328</v>
      </c>
      <c r="AR359" s="15">
        <v>5</v>
      </c>
      <c r="AS359" s="15">
        <v>3</v>
      </c>
      <c r="AT359" s="15"/>
      <c r="AU359" s="15"/>
      <c r="AV359" s="15"/>
      <c r="AW359" s="15" t="s">
        <v>328</v>
      </c>
      <c r="AX359" s="15">
        <v>2</v>
      </c>
      <c r="AY359" s="15">
        <v>1</v>
      </c>
      <c r="AZ359" s="15">
        <v>3</v>
      </c>
      <c r="BA359" s="15"/>
      <c r="BB359" s="15" t="s">
        <v>328</v>
      </c>
      <c r="BC359" s="15"/>
      <c r="BD359" s="15"/>
      <c r="BE359" s="15" t="s">
        <v>328</v>
      </c>
      <c r="BF359" s="15"/>
      <c r="BG359" s="15"/>
      <c r="BH359" s="15"/>
      <c r="BI359" s="15"/>
      <c r="BJ359" s="15"/>
      <c r="BK359" s="15"/>
      <c r="BL359" s="15"/>
      <c r="BM359" s="15"/>
      <c r="BN359" s="15"/>
      <c r="BO359" s="15" t="s">
        <v>328</v>
      </c>
      <c r="BP359" s="15"/>
      <c r="BQ359" s="15" t="s">
        <v>328</v>
      </c>
      <c r="BR359" s="15" t="s">
        <v>328</v>
      </c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 t="s">
        <v>328</v>
      </c>
      <c r="CH359" s="15"/>
      <c r="CI359" s="15"/>
      <c r="CJ359" s="15"/>
      <c r="CK359" s="15" t="s">
        <v>328</v>
      </c>
      <c r="CL359" s="15"/>
      <c r="CM359" s="15"/>
      <c r="CN359" s="15">
        <v>1</v>
      </c>
      <c r="CO359" s="15">
        <v>3</v>
      </c>
      <c r="CP359" s="15">
        <v>5</v>
      </c>
      <c r="CQ359" s="15">
        <v>4</v>
      </c>
      <c r="CR359" s="15">
        <v>6</v>
      </c>
      <c r="CS359" s="15">
        <v>2</v>
      </c>
      <c r="CT359" s="15"/>
      <c r="CU359" s="15"/>
      <c r="CV359" s="15"/>
      <c r="CW359" s="15"/>
      <c r="CX359" s="15" t="s">
        <v>328</v>
      </c>
      <c r="CY359" s="15"/>
      <c r="CZ359" s="15"/>
      <c r="DA359" s="15"/>
      <c r="DB359" s="15"/>
      <c r="DC359" s="15">
        <v>2</v>
      </c>
      <c r="DD359" s="15">
        <v>4</v>
      </c>
      <c r="DE359" s="15">
        <v>6</v>
      </c>
      <c r="DF359" s="15">
        <v>3</v>
      </c>
      <c r="DG359" s="15">
        <v>1</v>
      </c>
      <c r="DH359" s="15"/>
      <c r="DI359" s="15"/>
      <c r="DJ359" s="15" t="s">
        <v>328</v>
      </c>
      <c r="DK359" s="15"/>
      <c r="DL359" s="15"/>
      <c r="DM359" s="15"/>
      <c r="DN359" s="15"/>
      <c r="DO359" s="15"/>
      <c r="DP359" s="15"/>
      <c r="DQ359" s="15" t="s">
        <v>328</v>
      </c>
      <c r="DR359" s="15"/>
      <c r="DS359" s="15"/>
      <c r="DT359" s="15"/>
      <c r="DU359" s="15"/>
      <c r="DV359" s="15"/>
      <c r="DW359" s="15"/>
      <c r="DX359" s="15"/>
      <c r="DY359" s="15" t="s">
        <v>328</v>
      </c>
      <c r="DZ359" s="15"/>
      <c r="EA359" s="15"/>
      <c r="EB359" s="15"/>
      <c r="EC359" s="15"/>
      <c r="ED359" s="15"/>
      <c r="EE359" s="102"/>
      <c r="EF359" s="99"/>
      <c r="EG359" s="17">
        <f t="shared" si="5"/>
        <v>0</v>
      </c>
    </row>
    <row r="360" spans="1:137" x14ac:dyDescent="0.25">
      <c r="A360" s="51" t="s">
        <v>1378</v>
      </c>
      <c r="B360" s="211">
        <v>41571</v>
      </c>
      <c r="C360" s="212" t="s">
        <v>2762</v>
      </c>
      <c r="D360" s="103" t="s">
        <v>1598</v>
      </c>
      <c r="E360" s="15" t="s">
        <v>328</v>
      </c>
      <c r="F360" s="15"/>
      <c r="G360" s="15">
        <v>55</v>
      </c>
      <c r="H360" s="15" t="s">
        <v>329</v>
      </c>
      <c r="I360" s="15" t="s">
        <v>353</v>
      </c>
      <c r="J360" s="15" t="s">
        <v>1394</v>
      </c>
      <c r="K360" s="15" t="s">
        <v>1395</v>
      </c>
      <c r="L360" s="15" t="s">
        <v>1281</v>
      </c>
      <c r="M360" s="15">
        <v>10</v>
      </c>
      <c r="N360" s="15">
        <v>1</v>
      </c>
      <c r="O360" s="15"/>
      <c r="P360" s="15"/>
      <c r="Q360" s="15"/>
      <c r="R360" s="15"/>
      <c r="S360" s="15"/>
      <c r="T360" s="15"/>
      <c r="U360" s="15"/>
      <c r="V360" s="15"/>
      <c r="W360" s="15"/>
      <c r="X360" s="15">
        <v>1</v>
      </c>
      <c r="Y360" s="15"/>
      <c r="Z360" s="15"/>
      <c r="AA360" s="15"/>
      <c r="AB360" s="15"/>
      <c r="AC360" s="15"/>
      <c r="AD360" s="15"/>
      <c r="AE360" s="15"/>
      <c r="AF360" s="15"/>
      <c r="AG360" s="15" t="s">
        <v>328</v>
      </c>
      <c r="AH360" s="15"/>
      <c r="AI360" s="15"/>
      <c r="AJ360" s="15"/>
      <c r="AK360" s="15"/>
      <c r="AL360" s="15"/>
      <c r="AM360" s="15" t="s">
        <v>328</v>
      </c>
      <c r="AN360" s="15"/>
      <c r="AO360" s="15"/>
      <c r="AP360" s="15"/>
      <c r="AQ360" s="15" t="s">
        <v>328</v>
      </c>
      <c r="AR360" s="15">
        <v>8</v>
      </c>
      <c r="AS360" s="15">
        <v>3</v>
      </c>
      <c r="AT360" s="15"/>
      <c r="AU360" s="15"/>
      <c r="AV360" s="15" t="s">
        <v>328</v>
      </c>
      <c r="AW360" s="15"/>
      <c r="AX360" s="15">
        <v>2</v>
      </c>
      <c r="AY360" s="15">
        <v>3</v>
      </c>
      <c r="AZ360" s="15">
        <v>1</v>
      </c>
      <c r="BA360" s="15"/>
      <c r="BB360" s="15" t="s">
        <v>328</v>
      </c>
      <c r="BC360" s="15"/>
      <c r="BD360" s="15" t="s">
        <v>328</v>
      </c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 t="s">
        <v>328</v>
      </c>
      <c r="BP360" s="15"/>
      <c r="BQ360" s="15" t="s">
        <v>328</v>
      </c>
      <c r="BR360" s="15" t="s">
        <v>328</v>
      </c>
      <c r="BS360" s="15"/>
      <c r="BT360" s="15"/>
      <c r="BU360" s="15"/>
      <c r="BV360" s="15" t="s">
        <v>328</v>
      </c>
      <c r="BW360" s="15"/>
      <c r="BX360" s="15"/>
      <c r="BY360" s="15"/>
      <c r="BZ360" s="15"/>
      <c r="CA360" s="15"/>
      <c r="CB360" s="15"/>
      <c r="CC360" s="15"/>
      <c r="CD360" s="15"/>
      <c r="CE360" s="15"/>
      <c r="CF360" s="15" t="s">
        <v>328</v>
      </c>
      <c r="CG360" s="15"/>
      <c r="CH360" s="15"/>
      <c r="CI360" s="15"/>
      <c r="CJ360" s="15"/>
      <c r="CK360" s="15" t="s">
        <v>328</v>
      </c>
      <c r="CL360" s="15"/>
      <c r="CM360" s="15"/>
      <c r="CN360" s="15">
        <v>1</v>
      </c>
      <c r="CO360" s="15">
        <v>5</v>
      </c>
      <c r="CP360" s="15">
        <v>4</v>
      </c>
      <c r="CQ360" s="15">
        <v>3</v>
      </c>
      <c r="CR360" s="15">
        <v>6</v>
      </c>
      <c r="CS360" s="15">
        <v>2</v>
      </c>
      <c r="CT360" s="15"/>
      <c r="CU360" s="15"/>
      <c r="CV360" s="15"/>
      <c r="CW360" s="15"/>
      <c r="CX360" s="15"/>
      <c r="CY360" s="15"/>
      <c r="CZ360" s="15" t="s">
        <v>332</v>
      </c>
      <c r="DA360" s="15"/>
      <c r="DB360" s="15"/>
      <c r="DC360" s="15">
        <v>2</v>
      </c>
      <c r="DD360" s="15">
        <v>5</v>
      </c>
      <c r="DE360" s="15">
        <v>6</v>
      </c>
      <c r="DF360" s="15">
        <v>3</v>
      </c>
      <c r="DG360" s="15">
        <v>1</v>
      </c>
      <c r="DH360" s="15">
        <v>4</v>
      </c>
      <c r="DI360" s="15"/>
      <c r="DJ360" s="15"/>
      <c r="DK360" s="15" t="s">
        <v>328</v>
      </c>
      <c r="DL360" s="15" t="s">
        <v>328</v>
      </c>
      <c r="DM360" s="15" t="s">
        <v>497</v>
      </c>
      <c r="DN360" s="15"/>
      <c r="DO360" s="15" t="s">
        <v>492</v>
      </c>
      <c r="DP360" s="15" t="s">
        <v>411</v>
      </c>
      <c r="DQ360" s="15" t="s">
        <v>328</v>
      </c>
      <c r="DR360" s="15"/>
      <c r="DS360" s="15"/>
      <c r="DT360" s="15"/>
      <c r="DU360" s="15"/>
      <c r="DV360" s="15"/>
      <c r="DW360" s="15"/>
      <c r="DX360" s="15"/>
      <c r="DY360" s="15" t="s">
        <v>328</v>
      </c>
      <c r="DZ360" s="15"/>
      <c r="EA360" s="15"/>
      <c r="EB360" s="15"/>
      <c r="EC360" s="15"/>
      <c r="ED360" s="15"/>
      <c r="EE360" s="102"/>
      <c r="EF360" s="99"/>
      <c r="EG360" s="17">
        <f t="shared" si="5"/>
        <v>0</v>
      </c>
    </row>
    <row r="361" spans="1:137" x14ac:dyDescent="0.25">
      <c r="A361" s="51" t="s">
        <v>1378</v>
      </c>
      <c r="B361" s="211">
        <v>41576</v>
      </c>
      <c r="C361" s="212" t="s">
        <v>2762</v>
      </c>
      <c r="D361" s="103" t="s">
        <v>1599</v>
      </c>
      <c r="E361" s="15" t="s">
        <v>328</v>
      </c>
      <c r="F361" s="15"/>
      <c r="G361" s="15">
        <v>63</v>
      </c>
      <c r="H361" s="15" t="s">
        <v>329</v>
      </c>
      <c r="I361" s="15" t="s">
        <v>330</v>
      </c>
      <c r="J361" s="15" t="s">
        <v>1394</v>
      </c>
      <c r="K361" s="15" t="s">
        <v>1395</v>
      </c>
      <c r="L361" s="15" t="s">
        <v>1281</v>
      </c>
      <c r="M361" s="15">
        <v>40</v>
      </c>
      <c r="N361" s="15">
        <v>1</v>
      </c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>
        <v>1</v>
      </c>
      <c r="AA361" s="15"/>
      <c r="AB361" s="15"/>
      <c r="AC361" s="15"/>
      <c r="AD361" s="15"/>
      <c r="AE361" s="15"/>
      <c r="AF361" s="15"/>
      <c r="AG361" s="15" t="s">
        <v>328</v>
      </c>
      <c r="AH361" s="15"/>
      <c r="AI361" s="15"/>
      <c r="AJ361" s="15"/>
      <c r="AK361" s="15" t="s">
        <v>692</v>
      </c>
      <c r="AL361" s="15"/>
      <c r="AM361" s="15" t="s">
        <v>328</v>
      </c>
      <c r="AN361" s="15"/>
      <c r="AO361" s="15"/>
      <c r="AP361" s="15"/>
      <c r="AQ361" s="15" t="s">
        <v>328</v>
      </c>
      <c r="AR361" s="15">
        <v>6</v>
      </c>
      <c r="AS361" s="15">
        <v>4</v>
      </c>
      <c r="AT361" s="15"/>
      <c r="AU361" s="15"/>
      <c r="AV361" s="15"/>
      <c r="AW361" s="15" t="s">
        <v>328</v>
      </c>
      <c r="AX361" s="15">
        <v>2</v>
      </c>
      <c r="AY361" s="15">
        <v>1</v>
      </c>
      <c r="AZ361" s="15">
        <v>3</v>
      </c>
      <c r="BA361" s="15"/>
      <c r="BB361" s="15" t="s">
        <v>328</v>
      </c>
      <c r="BC361" s="15"/>
      <c r="BD361" s="15" t="s">
        <v>328</v>
      </c>
      <c r="BE361" s="15"/>
      <c r="BF361" s="15" t="s">
        <v>328</v>
      </c>
      <c r="BG361" s="15"/>
      <c r="BH361" s="15"/>
      <c r="BI361" s="15"/>
      <c r="BJ361" s="15"/>
      <c r="BK361" s="15"/>
      <c r="BL361" s="15"/>
      <c r="BM361" s="15"/>
      <c r="BN361" s="15"/>
      <c r="BO361" s="15" t="s">
        <v>328</v>
      </c>
      <c r="BP361" s="15" t="s">
        <v>328</v>
      </c>
      <c r="BQ361" s="15"/>
      <c r="BR361" s="15" t="s">
        <v>328</v>
      </c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 t="s">
        <v>328</v>
      </c>
      <c r="CH361" s="15"/>
      <c r="CI361" s="15"/>
      <c r="CJ361" s="15" t="s">
        <v>328</v>
      </c>
      <c r="CK361" s="15"/>
      <c r="CL361" s="15"/>
      <c r="CM361" s="15"/>
      <c r="CN361" s="15">
        <v>1</v>
      </c>
      <c r="CO361" s="15">
        <v>4</v>
      </c>
      <c r="CP361" s="15">
        <v>2</v>
      </c>
      <c r="CQ361" s="15">
        <v>6</v>
      </c>
      <c r="CR361" s="15">
        <v>5</v>
      </c>
      <c r="CS361" s="15">
        <v>3</v>
      </c>
      <c r="CT361" s="15"/>
      <c r="CU361" s="15"/>
      <c r="CV361" s="15"/>
      <c r="CW361" s="15"/>
      <c r="CX361" s="15"/>
      <c r="CY361" s="15"/>
      <c r="CZ361" s="15" t="s">
        <v>332</v>
      </c>
      <c r="DA361" s="15"/>
      <c r="DB361" s="15"/>
      <c r="DC361" s="15">
        <v>2</v>
      </c>
      <c r="DD361" s="15">
        <v>5</v>
      </c>
      <c r="DE361" s="15"/>
      <c r="DF361" s="15">
        <v>3</v>
      </c>
      <c r="DG361" s="15">
        <v>1</v>
      </c>
      <c r="DH361" s="15">
        <v>4</v>
      </c>
      <c r="DI361" s="15"/>
      <c r="DJ361" s="15" t="s">
        <v>328</v>
      </c>
      <c r="DK361" s="15"/>
      <c r="DL361" s="15"/>
      <c r="DM361" s="15"/>
      <c r="DN361" s="15"/>
      <c r="DO361" s="15"/>
      <c r="DP361" s="15"/>
      <c r="DQ361" s="15" t="s">
        <v>328</v>
      </c>
      <c r="DR361" s="15"/>
      <c r="DS361" s="15"/>
      <c r="DT361" s="15"/>
      <c r="DU361" s="15"/>
      <c r="DV361" s="15"/>
      <c r="DW361" s="15"/>
      <c r="DX361" s="15"/>
      <c r="DY361" s="15" t="s">
        <v>328</v>
      </c>
      <c r="DZ361" s="15"/>
      <c r="EA361" s="15"/>
      <c r="EB361" s="15"/>
      <c r="EC361" s="15"/>
      <c r="ED361" s="15"/>
      <c r="EE361" s="102"/>
      <c r="EF361" s="99"/>
      <c r="EG361" s="17">
        <f t="shared" si="5"/>
        <v>0</v>
      </c>
    </row>
    <row r="362" spans="1:137" x14ac:dyDescent="0.25">
      <c r="A362" s="51" t="s">
        <v>1378</v>
      </c>
      <c r="B362" s="211">
        <v>41576</v>
      </c>
      <c r="C362" s="212" t="s">
        <v>2762</v>
      </c>
      <c r="D362" s="103" t="s">
        <v>1600</v>
      </c>
      <c r="E362" s="15" t="s">
        <v>328</v>
      </c>
      <c r="F362" s="15"/>
      <c r="G362" s="15">
        <v>55</v>
      </c>
      <c r="H362" s="15" t="s">
        <v>329</v>
      </c>
      <c r="I362" s="15" t="s">
        <v>330</v>
      </c>
      <c r="J362" s="15" t="s">
        <v>1394</v>
      </c>
      <c r="K362" s="15" t="s">
        <v>1395</v>
      </c>
      <c r="L362" s="15" t="s">
        <v>1281</v>
      </c>
      <c r="M362" s="15">
        <v>37</v>
      </c>
      <c r="N362" s="15">
        <v>1</v>
      </c>
      <c r="O362" s="15"/>
      <c r="P362" s="15">
        <v>1</v>
      </c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 t="s">
        <v>328</v>
      </c>
      <c r="AC362" s="15"/>
      <c r="AD362" s="15"/>
      <c r="AE362" s="15"/>
      <c r="AF362" s="15"/>
      <c r="AG362" s="15"/>
      <c r="AH362" s="15"/>
      <c r="AI362" s="15" t="s">
        <v>328</v>
      </c>
      <c r="AJ362" s="15"/>
      <c r="AK362" s="15"/>
      <c r="AL362" s="15" t="s">
        <v>328</v>
      </c>
      <c r="AM362" s="15" t="s">
        <v>328</v>
      </c>
      <c r="AN362" s="15"/>
      <c r="AO362" s="15"/>
      <c r="AP362" s="15" t="s">
        <v>328</v>
      </c>
      <c r="AQ362" s="15" t="s">
        <v>328</v>
      </c>
      <c r="AR362" s="15">
        <v>6</v>
      </c>
      <c r="AS362" s="15">
        <v>4</v>
      </c>
      <c r="AT362" s="15"/>
      <c r="AU362" s="15"/>
      <c r="AV362" s="15"/>
      <c r="AW362" s="15" t="s">
        <v>328</v>
      </c>
      <c r="AX362" s="15">
        <v>2</v>
      </c>
      <c r="AY362" s="15">
        <v>3</v>
      </c>
      <c r="AZ362" s="15">
        <v>1</v>
      </c>
      <c r="BA362" s="15"/>
      <c r="BB362" s="15" t="s">
        <v>328</v>
      </c>
      <c r="BC362" s="15"/>
      <c r="BD362" s="15" t="s">
        <v>328</v>
      </c>
      <c r="BE362" s="15"/>
      <c r="BF362" s="15" t="s">
        <v>328</v>
      </c>
      <c r="BG362" s="15"/>
      <c r="BH362" s="15"/>
      <c r="BI362" s="15"/>
      <c r="BJ362" s="15"/>
      <c r="BK362" s="15"/>
      <c r="BL362" s="15"/>
      <c r="BM362" s="15"/>
      <c r="BN362" s="15"/>
      <c r="BO362" s="15" t="s">
        <v>328</v>
      </c>
      <c r="BP362" s="15" t="s">
        <v>328</v>
      </c>
      <c r="BQ362" s="15"/>
      <c r="BR362" s="15" t="s">
        <v>328</v>
      </c>
      <c r="BS362" s="15"/>
      <c r="BT362" s="15"/>
      <c r="BU362" s="15"/>
      <c r="BV362" s="15" t="s">
        <v>328</v>
      </c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 t="s">
        <v>328</v>
      </c>
      <c r="CH362" s="15"/>
      <c r="CI362" s="15" t="s">
        <v>328</v>
      </c>
      <c r="CJ362" s="15"/>
      <c r="CK362" s="15"/>
      <c r="CL362" s="15"/>
      <c r="CM362" s="15"/>
      <c r="CN362" s="15">
        <v>1</v>
      </c>
      <c r="CO362" s="15">
        <v>3</v>
      </c>
      <c r="CP362" s="15">
        <v>5</v>
      </c>
      <c r="CQ362" s="15">
        <v>4</v>
      </c>
      <c r="CR362" s="15">
        <v>6</v>
      </c>
      <c r="CS362" s="15">
        <v>2</v>
      </c>
      <c r="CT362" s="15"/>
      <c r="CU362" s="15"/>
      <c r="CV362" s="15"/>
      <c r="CW362" s="15"/>
      <c r="CX362" s="15" t="s">
        <v>328</v>
      </c>
      <c r="CY362" s="15"/>
      <c r="CZ362" s="15"/>
      <c r="DA362" s="15"/>
      <c r="DB362" s="15"/>
      <c r="DC362" s="15">
        <v>2</v>
      </c>
      <c r="DD362" s="15">
        <v>5</v>
      </c>
      <c r="DE362" s="15">
        <v>6</v>
      </c>
      <c r="DF362" s="15">
        <v>3</v>
      </c>
      <c r="DG362" s="15">
        <v>1</v>
      </c>
      <c r="DH362" s="15">
        <v>4</v>
      </c>
      <c r="DI362" s="15"/>
      <c r="DJ362" s="15" t="s">
        <v>328</v>
      </c>
      <c r="DK362" s="15"/>
      <c r="DL362" s="15"/>
      <c r="DM362" s="15"/>
      <c r="DN362" s="15"/>
      <c r="DO362" s="15"/>
      <c r="DP362" s="15"/>
      <c r="DQ362" s="15" t="s">
        <v>328</v>
      </c>
      <c r="DR362" s="15"/>
      <c r="DS362" s="15"/>
      <c r="DT362" s="15"/>
      <c r="DU362" s="15"/>
      <c r="DV362" s="15"/>
      <c r="DW362" s="15"/>
      <c r="DX362" s="15"/>
      <c r="DY362" s="15" t="s">
        <v>328</v>
      </c>
      <c r="DZ362" s="15"/>
      <c r="EA362" s="15"/>
      <c r="EB362" s="15"/>
      <c r="EC362" s="15"/>
      <c r="ED362" s="15"/>
      <c r="EE362" s="102"/>
      <c r="EF362" s="99"/>
      <c r="EG362" s="17">
        <f t="shared" si="5"/>
        <v>0</v>
      </c>
    </row>
    <row r="363" spans="1:137" x14ac:dyDescent="0.25">
      <c r="A363" s="51" t="s">
        <v>1378</v>
      </c>
      <c r="B363" s="211">
        <v>41575</v>
      </c>
      <c r="C363" s="212" t="s">
        <v>2762</v>
      </c>
      <c r="D363" s="103" t="s">
        <v>1601</v>
      </c>
      <c r="E363" s="15" t="s">
        <v>328</v>
      </c>
      <c r="F363" s="15"/>
      <c r="G363" s="15">
        <v>74</v>
      </c>
      <c r="H363" s="15" t="s">
        <v>329</v>
      </c>
      <c r="I363" s="15" t="s">
        <v>353</v>
      </c>
      <c r="J363" s="15" t="s">
        <v>1394</v>
      </c>
      <c r="K363" s="15" t="s">
        <v>1395</v>
      </c>
      <c r="L363" s="15" t="s">
        <v>1281</v>
      </c>
      <c r="M363" s="15">
        <v>50</v>
      </c>
      <c r="N363" s="15">
        <v>1</v>
      </c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>
        <v>1</v>
      </c>
      <c r="AA363" s="15"/>
      <c r="AB363" s="15"/>
      <c r="AC363" s="15"/>
      <c r="AD363" s="15"/>
      <c r="AE363" s="15"/>
      <c r="AF363" s="15"/>
      <c r="AG363" s="15" t="s">
        <v>328</v>
      </c>
      <c r="AH363" s="15"/>
      <c r="AI363" s="15"/>
      <c r="AJ363" s="15"/>
      <c r="AK363" s="15" t="s">
        <v>692</v>
      </c>
      <c r="AL363" s="15"/>
      <c r="AM363" s="15" t="s">
        <v>328</v>
      </c>
      <c r="AN363" s="15"/>
      <c r="AO363" s="15"/>
      <c r="AP363" s="15"/>
      <c r="AQ363" s="15" t="s">
        <v>328</v>
      </c>
      <c r="AR363" s="15">
        <v>8</v>
      </c>
      <c r="AS363" s="15">
        <v>3</v>
      </c>
      <c r="AT363" s="15"/>
      <c r="AU363" s="15"/>
      <c r="AV363" s="15"/>
      <c r="AW363" s="15" t="s">
        <v>328</v>
      </c>
      <c r="AX363" s="15">
        <v>1</v>
      </c>
      <c r="AY363" s="15">
        <v>2</v>
      </c>
      <c r="AZ363" s="15">
        <v>3</v>
      </c>
      <c r="BA363" s="15"/>
      <c r="BB363" s="15" t="s">
        <v>328</v>
      </c>
      <c r="BC363" s="15"/>
      <c r="BD363" s="15" t="s">
        <v>328</v>
      </c>
      <c r="BE363" s="15" t="s">
        <v>328</v>
      </c>
      <c r="BF363" s="15" t="s">
        <v>328</v>
      </c>
      <c r="BG363" s="15"/>
      <c r="BH363" s="15"/>
      <c r="BI363" s="15"/>
      <c r="BJ363" s="15"/>
      <c r="BK363" s="15"/>
      <c r="BL363" s="15"/>
      <c r="BM363" s="15"/>
      <c r="BN363" s="15"/>
      <c r="BO363" s="15" t="s">
        <v>328</v>
      </c>
      <c r="BP363" s="15" t="s">
        <v>328</v>
      </c>
      <c r="BQ363" s="15"/>
      <c r="BR363" s="15" t="s">
        <v>328</v>
      </c>
      <c r="BS363" s="15"/>
      <c r="BT363" s="15" t="s">
        <v>328</v>
      </c>
      <c r="BU363" s="15"/>
      <c r="BV363" s="15"/>
      <c r="BW363" s="15"/>
      <c r="BX363" s="15"/>
      <c r="BY363" s="15"/>
      <c r="BZ363" s="15"/>
      <c r="CA363" s="15"/>
      <c r="CB363" s="15"/>
      <c r="CC363" s="15" t="s">
        <v>328</v>
      </c>
      <c r="CD363" s="15"/>
      <c r="CE363" s="15"/>
      <c r="CF363" s="15"/>
      <c r="CG363" s="15" t="s">
        <v>328</v>
      </c>
      <c r="CH363" s="15"/>
      <c r="CI363" s="15" t="s">
        <v>328</v>
      </c>
      <c r="CJ363" s="15"/>
      <c r="CK363" s="15"/>
      <c r="CL363" s="15"/>
      <c r="CM363" s="15"/>
      <c r="CN363" s="15">
        <v>2</v>
      </c>
      <c r="CO363" s="15">
        <v>3</v>
      </c>
      <c r="CP363" s="15">
        <v>6</v>
      </c>
      <c r="CQ363" s="15">
        <v>4</v>
      </c>
      <c r="CR363" s="15">
        <v>5</v>
      </c>
      <c r="CS363" s="15">
        <v>1</v>
      </c>
      <c r="CT363" s="15"/>
      <c r="CU363" s="15"/>
      <c r="CV363" s="15"/>
      <c r="CW363" s="15"/>
      <c r="CX363" s="15"/>
      <c r="CY363" s="15"/>
      <c r="CZ363" s="15" t="s">
        <v>332</v>
      </c>
      <c r="DA363" s="15"/>
      <c r="DB363" s="15"/>
      <c r="DC363" s="15">
        <v>1</v>
      </c>
      <c r="DD363" s="15"/>
      <c r="DE363" s="15"/>
      <c r="DF363" s="15">
        <v>3</v>
      </c>
      <c r="DG363" s="15">
        <v>2</v>
      </c>
      <c r="DH363" s="15"/>
      <c r="DI363" s="15"/>
      <c r="DJ363" s="15" t="s">
        <v>328</v>
      </c>
      <c r="DK363" s="15"/>
      <c r="DL363" s="15"/>
      <c r="DM363" s="15"/>
      <c r="DN363" s="15"/>
      <c r="DO363" s="15"/>
      <c r="DP363" s="15"/>
      <c r="DQ363" s="15" t="s">
        <v>328</v>
      </c>
      <c r="DR363" s="15"/>
      <c r="DS363" s="15"/>
      <c r="DT363" s="15"/>
      <c r="DU363" s="15"/>
      <c r="DV363" s="15"/>
      <c r="DW363" s="15"/>
      <c r="DX363" s="15"/>
      <c r="DY363" s="15" t="s">
        <v>328</v>
      </c>
      <c r="DZ363" s="15"/>
      <c r="EA363" s="15"/>
      <c r="EB363" s="15"/>
      <c r="EC363" s="15"/>
      <c r="ED363" s="15"/>
      <c r="EE363" s="102"/>
      <c r="EF363" s="99"/>
      <c r="EG363" s="17">
        <f t="shared" si="5"/>
        <v>0</v>
      </c>
    </row>
    <row r="364" spans="1:137" x14ac:dyDescent="0.25">
      <c r="A364" s="51" t="s">
        <v>1378</v>
      </c>
      <c r="B364" s="211">
        <v>41575</v>
      </c>
      <c r="C364" s="212" t="s">
        <v>2762</v>
      </c>
      <c r="D364" s="103" t="s">
        <v>1602</v>
      </c>
      <c r="E364" s="15" t="s">
        <v>328</v>
      </c>
      <c r="F364" s="15"/>
      <c r="G364" s="15">
        <v>51</v>
      </c>
      <c r="H364" s="15" t="s">
        <v>329</v>
      </c>
      <c r="I364" s="15" t="s">
        <v>357</v>
      </c>
      <c r="J364" s="15" t="s">
        <v>1394</v>
      </c>
      <c r="K364" s="15" t="s">
        <v>1395</v>
      </c>
      <c r="L364" s="15" t="s">
        <v>1281</v>
      </c>
      <c r="M364" s="15">
        <v>20</v>
      </c>
      <c r="N364" s="15">
        <v>1</v>
      </c>
      <c r="O364" s="15">
        <v>1</v>
      </c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 t="s">
        <v>328</v>
      </c>
      <c r="AD364" s="15"/>
      <c r="AE364" s="15"/>
      <c r="AF364" s="15" t="s">
        <v>328</v>
      </c>
      <c r="AG364" s="15"/>
      <c r="AH364" s="15"/>
      <c r="AI364" s="15"/>
      <c r="AJ364" s="15"/>
      <c r="AK364" s="15"/>
      <c r="AL364" s="15"/>
      <c r="AM364" s="15" t="s">
        <v>328</v>
      </c>
      <c r="AN364" s="15"/>
      <c r="AO364" s="15" t="s">
        <v>328</v>
      </c>
      <c r="AP364" s="15"/>
      <c r="AQ364" s="15" t="s">
        <v>328</v>
      </c>
      <c r="AR364" s="15">
        <v>6</v>
      </c>
      <c r="AS364" s="15">
        <v>3</v>
      </c>
      <c r="AT364" s="15"/>
      <c r="AU364" s="15"/>
      <c r="AV364" s="15"/>
      <c r="AW364" s="15" t="s">
        <v>328</v>
      </c>
      <c r="AX364" s="15">
        <v>2</v>
      </c>
      <c r="AY364" s="15">
        <v>3</v>
      </c>
      <c r="AZ364" s="15">
        <v>4</v>
      </c>
      <c r="BA364" s="15" t="s">
        <v>346</v>
      </c>
      <c r="BB364" s="15" t="s">
        <v>328</v>
      </c>
      <c r="BC364" s="15"/>
      <c r="BD364" s="15"/>
      <c r="BE364" s="15"/>
      <c r="BF364" s="15" t="s">
        <v>328</v>
      </c>
      <c r="BG364" s="15"/>
      <c r="BH364" s="15"/>
      <c r="BI364" s="15"/>
      <c r="BJ364" s="15"/>
      <c r="BK364" s="15"/>
      <c r="BL364" s="15" t="s">
        <v>328</v>
      </c>
      <c r="BM364" s="15"/>
      <c r="BN364" s="15"/>
      <c r="BO364" s="15" t="s">
        <v>328</v>
      </c>
      <c r="BP364" s="15" t="s">
        <v>328</v>
      </c>
      <c r="BQ364" s="15"/>
      <c r="BR364" s="15" t="s">
        <v>328</v>
      </c>
      <c r="BS364" s="15" t="s">
        <v>328</v>
      </c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 t="s">
        <v>328</v>
      </c>
      <c r="CG364" s="15"/>
      <c r="CH364" s="15"/>
      <c r="CI364" s="15"/>
      <c r="CJ364" s="15" t="s">
        <v>328</v>
      </c>
      <c r="CK364" s="15" t="s">
        <v>328</v>
      </c>
      <c r="CL364" s="15"/>
      <c r="CM364" s="15"/>
      <c r="CN364" s="15">
        <v>2</v>
      </c>
      <c r="CO364" s="15">
        <v>3</v>
      </c>
      <c r="CP364" s="15">
        <v>6</v>
      </c>
      <c r="CQ364" s="15">
        <v>5</v>
      </c>
      <c r="CR364" s="15">
        <v>4</v>
      </c>
      <c r="CS364" s="15">
        <v>1</v>
      </c>
      <c r="CT364" s="15"/>
      <c r="CU364" s="15"/>
      <c r="CV364" s="15"/>
      <c r="CW364" s="15"/>
      <c r="CX364" s="15"/>
      <c r="CY364" s="15"/>
      <c r="CZ364" s="15" t="s">
        <v>332</v>
      </c>
      <c r="DA364" s="15"/>
      <c r="DB364" s="15"/>
      <c r="DC364" s="15">
        <v>2</v>
      </c>
      <c r="DD364" s="15">
        <v>5</v>
      </c>
      <c r="DE364" s="15"/>
      <c r="DF364" s="15"/>
      <c r="DG364" s="15">
        <v>1</v>
      </c>
      <c r="DH364" s="15">
        <v>3</v>
      </c>
      <c r="DI364" s="15"/>
      <c r="DJ364" s="15" t="s">
        <v>328</v>
      </c>
      <c r="DK364" s="15"/>
      <c r="DL364" s="15"/>
      <c r="DM364" s="15"/>
      <c r="DN364" s="15"/>
      <c r="DO364" s="15"/>
      <c r="DP364" s="15"/>
      <c r="DQ364" s="15" t="s">
        <v>328</v>
      </c>
      <c r="DR364" s="15"/>
      <c r="DS364" s="15"/>
      <c r="DT364" s="15"/>
      <c r="DU364" s="15"/>
      <c r="DV364" s="15"/>
      <c r="DW364" s="15"/>
      <c r="DX364" s="15"/>
      <c r="DY364" s="15" t="s">
        <v>328</v>
      </c>
      <c r="DZ364" s="15"/>
      <c r="EA364" s="15"/>
      <c r="EB364" s="15"/>
      <c r="EC364" s="15"/>
      <c r="ED364" s="15"/>
      <c r="EE364" s="102"/>
      <c r="EF364" s="99"/>
      <c r="EG364" s="17">
        <f t="shared" si="5"/>
        <v>0</v>
      </c>
    </row>
    <row r="365" spans="1:137" x14ac:dyDescent="0.25">
      <c r="A365" s="51" t="s">
        <v>1378</v>
      </c>
      <c r="B365" s="211">
        <v>41573</v>
      </c>
      <c r="C365" s="212" t="s">
        <v>2762</v>
      </c>
      <c r="D365" s="103" t="s">
        <v>1603</v>
      </c>
      <c r="E365" s="15" t="s">
        <v>328</v>
      </c>
      <c r="F365" s="15"/>
      <c r="G365" s="15">
        <v>60</v>
      </c>
      <c r="H365" s="15" t="s">
        <v>329</v>
      </c>
      <c r="I365" s="15" t="s">
        <v>353</v>
      </c>
      <c r="J365" s="15" t="s">
        <v>1410</v>
      </c>
      <c r="K365" s="15" t="s">
        <v>1411</v>
      </c>
      <c r="L365" s="15" t="s">
        <v>1281</v>
      </c>
      <c r="M365" s="15">
        <v>40</v>
      </c>
      <c r="N365" s="15">
        <v>1</v>
      </c>
      <c r="O365" s="15"/>
      <c r="P365" s="15"/>
      <c r="Q365" s="15"/>
      <c r="R365" s="15"/>
      <c r="S365" s="15"/>
      <c r="T365" s="15"/>
      <c r="U365" s="15" t="s">
        <v>328</v>
      </c>
      <c r="V365" s="15"/>
      <c r="W365" s="15"/>
      <c r="X365" s="15"/>
      <c r="Y365" s="15"/>
      <c r="Z365" s="15"/>
      <c r="AA365" s="15"/>
      <c r="AB365" s="15"/>
      <c r="AC365" s="15"/>
      <c r="AD365" s="15"/>
      <c r="AE365" s="15" t="s">
        <v>328</v>
      </c>
      <c r="AF365" s="15" t="s">
        <v>328</v>
      </c>
      <c r="AG365" s="15"/>
      <c r="AH365" s="15"/>
      <c r="AI365" s="15"/>
      <c r="AJ365" s="15"/>
      <c r="AK365" s="15"/>
      <c r="AL365" s="15"/>
      <c r="AM365" s="15" t="s">
        <v>328</v>
      </c>
      <c r="AN365" s="15"/>
      <c r="AO365" s="15"/>
      <c r="AP365" s="15"/>
      <c r="AQ365" s="15" t="s">
        <v>328</v>
      </c>
      <c r="AR365" s="15">
        <v>6</v>
      </c>
      <c r="AS365" s="15">
        <v>2</v>
      </c>
      <c r="AT365" s="15"/>
      <c r="AU365" s="15" t="s">
        <v>328</v>
      </c>
      <c r="AV365" s="15"/>
      <c r="AW365" s="15"/>
      <c r="AX365" s="15">
        <v>2</v>
      </c>
      <c r="AY365" s="15">
        <v>3</v>
      </c>
      <c r="AZ365" s="15">
        <v>1</v>
      </c>
      <c r="BA365" s="15"/>
      <c r="BB365" s="15" t="s">
        <v>328</v>
      </c>
      <c r="BC365" s="15"/>
      <c r="BD365" s="15" t="s">
        <v>328</v>
      </c>
      <c r="BE365" s="15"/>
      <c r="BF365" s="15" t="s">
        <v>328</v>
      </c>
      <c r="BG365" s="15"/>
      <c r="BH365" s="15"/>
      <c r="BI365" s="15"/>
      <c r="BJ365" s="15"/>
      <c r="BK365" s="15" t="s">
        <v>328</v>
      </c>
      <c r="BL365" s="15"/>
      <c r="BM365" s="15"/>
      <c r="BN365" s="15"/>
      <c r="BO365" s="15" t="s">
        <v>328</v>
      </c>
      <c r="BP365" s="15" t="s">
        <v>328</v>
      </c>
      <c r="BQ365" s="15"/>
      <c r="BR365" s="15" t="s">
        <v>328</v>
      </c>
      <c r="BS365" s="15"/>
      <c r="BT365" s="15" t="s">
        <v>328</v>
      </c>
      <c r="BU365" s="15"/>
      <c r="BV365" s="15"/>
      <c r="BW365" s="15"/>
      <c r="BX365" s="15"/>
      <c r="BY365" s="15"/>
      <c r="BZ365" s="15"/>
      <c r="CA365" s="15"/>
      <c r="CB365" s="15"/>
      <c r="CC365" s="15" t="s">
        <v>328</v>
      </c>
      <c r="CD365" s="15"/>
      <c r="CE365" s="15"/>
      <c r="CF365" s="15"/>
      <c r="CG365" s="15"/>
      <c r="CH365" s="15"/>
      <c r="CI365" s="15"/>
      <c r="CJ365" s="15"/>
      <c r="CK365" s="15" t="s">
        <v>328</v>
      </c>
      <c r="CL365" s="15"/>
      <c r="CM365" s="15"/>
      <c r="CN365" s="15">
        <v>2</v>
      </c>
      <c r="CO365" s="15">
        <v>3</v>
      </c>
      <c r="CP365" s="15">
        <v>5</v>
      </c>
      <c r="CQ365" s="15">
        <v>4</v>
      </c>
      <c r="CR365" s="15">
        <v>6</v>
      </c>
      <c r="CS365" s="15">
        <v>1</v>
      </c>
      <c r="CT365" s="15"/>
      <c r="CU365" s="15"/>
      <c r="CV365" s="15"/>
      <c r="CW365" s="15"/>
      <c r="CX365" s="15"/>
      <c r="CY365" s="15"/>
      <c r="CZ365" s="15" t="s">
        <v>332</v>
      </c>
      <c r="DA365" s="15"/>
      <c r="DB365" s="15"/>
      <c r="DC365" s="15">
        <v>2</v>
      </c>
      <c r="DD365" s="15">
        <v>3</v>
      </c>
      <c r="DE365" s="15"/>
      <c r="DF365" s="15"/>
      <c r="DG365" s="15">
        <v>1</v>
      </c>
      <c r="DH365" s="15"/>
      <c r="DI365" s="15"/>
      <c r="DJ365" s="15" t="s">
        <v>328</v>
      </c>
      <c r="DK365" s="15"/>
      <c r="DL365" s="15"/>
      <c r="DM365" s="15"/>
      <c r="DN365" s="15"/>
      <c r="DO365" s="15"/>
      <c r="DP365" s="15"/>
      <c r="DQ365" s="15" t="s">
        <v>328</v>
      </c>
      <c r="DR365" s="15"/>
      <c r="DS365" s="15"/>
      <c r="DT365" s="15"/>
      <c r="DU365" s="15"/>
      <c r="DV365" s="15"/>
      <c r="DW365" s="15"/>
      <c r="DX365" s="15"/>
      <c r="DY365" s="15" t="s">
        <v>328</v>
      </c>
      <c r="DZ365" s="15"/>
      <c r="EA365" s="15"/>
      <c r="EB365" s="15"/>
      <c r="EC365" s="15"/>
      <c r="ED365" s="15"/>
      <c r="EE365" s="102"/>
      <c r="EF365" s="99"/>
      <c r="EG365" s="17">
        <f t="shared" si="5"/>
        <v>0</v>
      </c>
    </row>
    <row r="366" spans="1:137" x14ac:dyDescent="0.25">
      <c r="A366" s="51" t="s">
        <v>1378</v>
      </c>
      <c r="B366" s="211">
        <v>41571</v>
      </c>
      <c r="C366" s="212" t="s">
        <v>2762</v>
      </c>
      <c r="D366" s="103" t="s">
        <v>1604</v>
      </c>
      <c r="E366" s="15" t="s">
        <v>328</v>
      </c>
      <c r="F366" s="15"/>
      <c r="G366" s="15">
        <v>63</v>
      </c>
      <c r="H366" s="15" t="s">
        <v>329</v>
      </c>
      <c r="I366" s="15" t="s">
        <v>357</v>
      </c>
      <c r="J366" s="15" t="s">
        <v>1596</v>
      </c>
      <c r="K366" s="15" t="s">
        <v>1597</v>
      </c>
      <c r="L366" s="15" t="s">
        <v>1281</v>
      </c>
      <c r="M366" s="15">
        <v>29</v>
      </c>
      <c r="N366" s="15">
        <v>1</v>
      </c>
      <c r="O366" s="15"/>
      <c r="P366" s="15"/>
      <c r="Q366" s="15"/>
      <c r="R366" s="15"/>
      <c r="S366" s="15"/>
      <c r="T366" s="15"/>
      <c r="U366" s="15"/>
      <c r="V366" s="15"/>
      <c r="W366" s="15"/>
      <c r="X366" s="15">
        <v>1</v>
      </c>
      <c r="Y366" s="15"/>
      <c r="Z366" s="15"/>
      <c r="AA366" s="15"/>
      <c r="AB366" s="15"/>
      <c r="AC366" s="15"/>
      <c r="AD366" s="15"/>
      <c r="AE366" s="15"/>
      <c r="AF366" s="15"/>
      <c r="AG366" s="15" t="s">
        <v>328</v>
      </c>
      <c r="AH366" s="15"/>
      <c r="AI366" s="15"/>
      <c r="AJ366" s="15"/>
      <c r="AK366" s="15" t="s">
        <v>692</v>
      </c>
      <c r="AL366" s="15"/>
      <c r="AM366" s="15" t="s">
        <v>328</v>
      </c>
      <c r="AN366" s="15"/>
      <c r="AO366" s="15" t="s">
        <v>328</v>
      </c>
      <c r="AP366" s="15"/>
      <c r="AQ366" s="15" t="s">
        <v>328</v>
      </c>
      <c r="AR366" s="15">
        <v>10</v>
      </c>
      <c r="AS366" s="15">
        <v>8</v>
      </c>
      <c r="AT366" s="15"/>
      <c r="AU366" s="15"/>
      <c r="AV366" s="15"/>
      <c r="AW366" s="15" t="s">
        <v>328</v>
      </c>
      <c r="AX366" s="15">
        <v>2</v>
      </c>
      <c r="AY366" s="15">
        <v>1</v>
      </c>
      <c r="AZ366" s="15">
        <v>3</v>
      </c>
      <c r="BA366" s="15"/>
      <c r="BB366" s="15" t="s">
        <v>328</v>
      </c>
      <c r="BC366" s="15"/>
      <c r="BD366" s="15" t="s">
        <v>328</v>
      </c>
      <c r="BE366" s="15"/>
      <c r="BF366" s="15"/>
      <c r="BG366" s="15"/>
      <c r="BH366" s="15"/>
      <c r="BI366" s="15"/>
      <c r="BJ366" s="15"/>
      <c r="BK366" s="15"/>
      <c r="BL366" s="15" t="s">
        <v>328</v>
      </c>
      <c r="BM366" s="15"/>
      <c r="BN366" s="15"/>
      <c r="BO366" s="15" t="s">
        <v>328</v>
      </c>
      <c r="BP366" s="15" t="s">
        <v>328</v>
      </c>
      <c r="BQ366" s="15"/>
      <c r="BR366" s="15"/>
      <c r="BS366" s="15"/>
      <c r="BT366" s="15"/>
      <c r="BU366" s="15"/>
      <c r="BV366" s="15"/>
      <c r="BW366" s="15" t="s">
        <v>328</v>
      </c>
      <c r="BX366" s="15"/>
      <c r="BY366" s="15"/>
      <c r="BZ366" s="15"/>
      <c r="CA366" s="15"/>
      <c r="CB366" s="15"/>
      <c r="CC366" s="15"/>
      <c r="CD366" s="15"/>
      <c r="CE366" s="15"/>
      <c r="CF366" s="15"/>
      <c r="CG366" s="15" t="s">
        <v>328</v>
      </c>
      <c r="CH366" s="15"/>
      <c r="CI366" s="15"/>
      <c r="CJ366" s="15"/>
      <c r="CK366" s="15" t="s">
        <v>328</v>
      </c>
      <c r="CL366" s="15"/>
      <c r="CM366" s="15"/>
      <c r="CN366" s="15">
        <v>4</v>
      </c>
      <c r="CO366" s="15">
        <v>5</v>
      </c>
      <c r="CP366" s="15">
        <v>3</v>
      </c>
      <c r="CQ366" s="15">
        <v>2</v>
      </c>
      <c r="CR366" s="15">
        <v>6</v>
      </c>
      <c r="CS366" s="15">
        <v>1</v>
      </c>
      <c r="CT366" s="15" t="s">
        <v>328</v>
      </c>
      <c r="CU366" s="15"/>
      <c r="CV366" s="15"/>
      <c r="CW366" s="15"/>
      <c r="CX366" s="15"/>
      <c r="CY366" s="15"/>
      <c r="CZ366" s="15"/>
      <c r="DA366" s="15"/>
      <c r="DB366" s="15"/>
      <c r="DC366" s="15">
        <v>2</v>
      </c>
      <c r="DD366" s="15"/>
      <c r="DE366" s="15"/>
      <c r="DF366" s="15">
        <v>4</v>
      </c>
      <c r="DG366" s="15">
        <v>1</v>
      </c>
      <c r="DH366" s="15">
        <v>3</v>
      </c>
      <c r="DI366" s="15"/>
      <c r="DJ366" s="15" t="s">
        <v>328</v>
      </c>
      <c r="DK366" s="15"/>
      <c r="DL366" s="15"/>
      <c r="DM366" s="15"/>
      <c r="DN366" s="15"/>
      <c r="DO366" s="15"/>
      <c r="DP366" s="15"/>
      <c r="DQ366" s="15" t="s">
        <v>328</v>
      </c>
      <c r="DR366" s="15"/>
      <c r="DS366" s="15"/>
      <c r="DT366" s="15"/>
      <c r="DU366" s="15"/>
      <c r="DV366" s="15"/>
      <c r="DW366" s="15"/>
      <c r="DX366" s="15"/>
      <c r="DY366" s="15" t="s">
        <v>328</v>
      </c>
      <c r="DZ366" s="15"/>
      <c r="EA366" s="15"/>
      <c r="EB366" s="15"/>
      <c r="EC366" s="15"/>
      <c r="ED366" s="15"/>
      <c r="EE366" s="102"/>
      <c r="EF366" s="99"/>
      <c r="EG366" s="17">
        <f t="shared" si="5"/>
        <v>0</v>
      </c>
    </row>
    <row r="367" spans="1:137" x14ac:dyDescent="0.25">
      <c r="A367" s="52" t="s">
        <v>1857</v>
      </c>
      <c r="B367" s="211">
        <v>41572</v>
      </c>
      <c r="C367" s="212" t="s">
        <v>2760</v>
      </c>
      <c r="D367" s="103" t="s">
        <v>1605</v>
      </c>
      <c r="E367" s="14" t="s">
        <v>328</v>
      </c>
      <c r="F367" s="14"/>
      <c r="G367" s="14">
        <v>38</v>
      </c>
      <c r="H367" s="14" t="s">
        <v>329</v>
      </c>
      <c r="I367" s="14" t="s">
        <v>355</v>
      </c>
      <c r="J367" s="8" t="s">
        <v>1606</v>
      </c>
      <c r="K367" s="14" t="s">
        <v>1607</v>
      </c>
      <c r="L367" s="14" t="s">
        <v>1256</v>
      </c>
      <c r="M367" s="14">
        <v>15</v>
      </c>
      <c r="N367" s="14">
        <v>3</v>
      </c>
      <c r="O367" s="14"/>
      <c r="P367" s="14"/>
      <c r="Q367" s="14"/>
      <c r="R367" s="14"/>
      <c r="S367" s="14"/>
      <c r="T367" s="14"/>
      <c r="U367" s="14"/>
      <c r="V367" s="14">
        <v>6</v>
      </c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5" t="s">
        <v>1165</v>
      </c>
      <c r="AL367" s="14" t="s">
        <v>328</v>
      </c>
      <c r="AM367" s="14"/>
      <c r="AN367" s="14" t="s">
        <v>328</v>
      </c>
      <c r="AO367" s="14" t="s">
        <v>328</v>
      </c>
      <c r="AP367" s="14"/>
      <c r="AQ367" s="14" t="s">
        <v>328</v>
      </c>
      <c r="AR367" s="14">
        <v>10</v>
      </c>
      <c r="AS367" s="14">
        <v>7</v>
      </c>
      <c r="AT367" s="14"/>
      <c r="AU367" s="14"/>
      <c r="AV367" s="14"/>
      <c r="AW367" s="14" t="s">
        <v>328</v>
      </c>
      <c r="AX367" s="14">
        <v>4</v>
      </c>
      <c r="AY367" s="14">
        <v>3</v>
      </c>
      <c r="AZ367" s="14">
        <v>2</v>
      </c>
      <c r="BA367" s="14" t="s">
        <v>346</v>
      </c>
      <c r="BB367" s="14"/>
      <c r="BC367" s="14" t="s">
        <v>328</v>
      </c>
      <c r="BD367" s="14"/>
      <c r="BE367" s="14"/>
      <c r="BF367" s="14"/>
      <c r="BG367" s="14" t="s">
        <v>328</v>
      </c>
      <c r="BH367" s="14"/>
      <c r="BI367" s="14"/>
      <c r="BJ367" s="14"/>
      <c r="BK367" s="14"/>
      <c r="BL367" s="14"/>
      <c r="BM367" s="14"/>
      <c r="BN367" s="14" t="s">
        <v>328</v>
      </c>
      <c r="BO367" s="14"/>
      <c r="BP367" s="14" t="s">
        <v>328</v>
      </c>
      <c r="BQ367" s="14"/>
      <c r="BR367" s="14" t="s">
        <v>328</v>
      </c>
      <c r="BS367" s="14"/>
      <c r="BT367" s="14"/>
      <c r="BU367" s="14"/>
      <c r="BV367" s="14" t="s">
        <v>328</v>
      </c>
      <c r="BW367" s="14" t="s">
        <v>328</v>
      </c>
      <c r="BX367" s="14"/>
      <c r="BY367" s="14"/>
      <c r="BZ367" s="14" t="s">
        <v>328</v>
      </c>
      <c r="CA367" s="14"/>
      <c r="CB367" s="14"/>
      <c r="CC367" s="14" t="s">
        <v>328</v>
      </c>
      <c r="CD367" s="14"/>
      <c r="CE367" s="14"/>
      <c r="CF367" s="14"/>
      <c r="CG367" s="14"/>
      <c r="CH367" s="14"/>
      <c r="CI367" s="14" t="s">
        <v>328</v>
      </c>
      <c r="CJ367" s="14"/>
      <c r="CK367" s="14"/>
      <c r="CL367" s="14"/>
      <c r="CM367" s="14"/>
      <c r="CN367" s="14">
        <v>1</v>
      </c>
      <c r="CO367" s="14">
        <v>4</v>
      </c>
      <c r="CP367" s="14">
        <v>2</v>
      </c>
      <c r="CQ367" s="14">
        <v>3</v>
      </c>
      <c r="CR367" s="14">
        <v>5</v>
      </c>
      <c r="CS367" s="14">
        <v>6</v>
      </c>
      <c r="CT367" s="14"/>
      <c r="CU367" s="14"/>
      <c r="CV367" s="14"/>
      <c r="CW367" s="14"/>
      <c r="CX367" s="14"/>
      <c r="CY367" s="14"/>
      <c r="CZ367" s="14" t="s">
        <v>332</v>
      </c>
      <c r="DA367" s="14"/>
      <c r="DB367" s="14"/>
      <c r="DC367" s="14">
        <v>1</v>
      </c>
      <c r="DD367" s="14">
        <v>6</v>
      </c>
      <c r="DE367" s="14">
        <v>4</v>
      </c>
      <c r="DF367" s="14">
        <v>5</v>
      </c>
      <c r="DG367" s="14">
        <v>2</v>
      </c>
      <c r="DH367" s="14">
        <v>3</v>
      </c>
      <c r="DI367" s="14"/>
      <c r="DJ367" s="14" t="s">
        <v>328</v>
      </c>
      <c r="DK367" s="14"/>
      <c r="DL367" s="14"/>
      <c r="DM367" s="14"/>
      <c r="DN367" s="14"/>
      <c r="DO367" s="14"/>
      <c r="DP367" s="14" t="s">
        <v>333</v>
      </c>
      <c r="DQ367" s="14"/>
      <c r="DR367" s="14" t="s">
        <v>328</v>
      </c>
      <c r="DS367" s="14" t="s">
        <v>328</v>
      </c>
      <c r="DT367" s="14" t="s">
        <v>354</v>
      </c>
      <c r="DU367" s="14"/>
      <c r="DV367" s="14"/>
      <c r="DW367" s="14" t="s">
        <v>335</v>
      </c>
      <c r="DX367" s="14" t="s">
        <v>336</v>
      </c>
      <c r="DY367" s="14" t="s">
        <v>328</v>
      </c>
      <c r="DZ367" s="14"/>
      <c r="EA367" s="14"/>
      <c r="EB367" s="14"/>
      <c r="EC367" s="14"/>
      <c r="ED367" s="14"/>
      <c r="EE367" s="101" t="s">
        <v>333</v>
      </c>
      <c r="EF367" s="48"/>
      <c r="EG367" s="17">
        <f t="shared" si="5"/>
        <v>0</v>
      </c>
    </row>
    <row r="368" spans="1:137" x14ac:dyDescent="0.25">
      <c r="A368" s="52" t="s">
        <v>1857</v>
      </c>
      <c r="B368" s="211">
        <v>41572</v>
      </c>
      <c r="C368" s="212" t="s">
        <v>2760</v>
      </c>
      <c r="D368" s="103" t="s">
        <v>1608</v>
      </c>
      <c r="E368" s="15" t="s">
        <v>328</v>
      </c>
      <c r="F368" s="15"/>
      <c r="G368" s="15">
        <v>33</v>
      </c>
      <c r="H368" s="15" t="s">
        <v>329</v>
      </c>
      <c r="I368" s="15" t="s">
        <v>357</v>
      </c>
      <c r="J368" s="15" t="s">
        <v>1609</v>
      </c>
      <c r="K368" s="15" t="s">
        <v>1610</v>
      </c>
      <c r="L368" s="15" t="s">
        <v>1256</v>
      </c>
      <c r="M368" s="15">
        <v>16</v>
      </c>
      <c r="N368" s="15">
        <v>2</v>
      </c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>
        <v>1</v>
      </c>
      <c r="AA368" s="15"/>
      <c r="AB368" s="15" t="s">
        <v>328</v>
      </c>
      <c r="AC368" s="15"/>
      <c r="AD368" s="15"/>
      <c r="AE368" s="15"/>
      <c r="AF368" s="15"/>
      <c r="AG368" s="15" t="s">
        <v>328</v>
      </c>
      <c r="AH368" s="15"/>
      <c r="AI368" s="15"/>
      <c r="AJ368" s="15"/>
      <c r="AK368" s="15"/>
      <c r="AL368" s="15"/>
      <c r="AM368" s="15" t="s">
        <v>328</v>
      </c>
      <c r="AN368" s="15"/>
      <c r="AO368" s="15"/>
      <c r="AP368" s="15"/>
      <c r="AQ368" s="15" t="s">
        <v>328</v>
      </c>
      <c r="AR368" s="15">
        <v>10</v>
      </c>
      <c r="AS368" s="15">
        <v>4</v>
      </c>
      <c r="AT368" s="15"/>
      <c r="AU368" s="15" t="s">
        <v>328</v>
      </c>
      <c r="AV368" s="15"/>
      <c r="AW368" s="15"/>
      <c r="AX368" s="15">
        <v>3</v>
      </c>
      <c r="AY368" s="15">
        <v>2</v>
      </c>
      <c r="AZ368" s="15">
        <v>1</v>
      </c>
      <c r="BA368" s="15"/>
      <c r="BB368" s="15" t="s">
        <v>328</v>
      </c>
      <c r="BC368" s="15"/>
      <c r="BD368" s="15" t="s">
        <v>328</v>
      </c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 t="s">
        <v>328</v>
      </c>
      <c r="BP368" s="15"/>
      <c r="BQ368" s="15" t="s">
        <v>328</v>
      </c>
      <c r="BR368" s="15"/>
      <c r="BS368" s="15"/>
      <c r="BT368" s="15"/>
      <c r="BU368" s="15"/>
      <c r="BV368" s="15"/>
      <c r="BW368" s="15" t="s">
        <v>328</v>
      </c>
      <c r="BX368" s="15"/>
      <c r="BY368" s="15"/>
      <c r="BZ368" s="15"/>
      <c r="CA368" s="15"/>
      <c r="CB368" s="15"/>
      <c r="CC368" s="15"/>
      <c r="CD368" s="15" t="s">
        <v>328</v>
      </c>
      <c r="CE368" s="15"/>
      <c r="CF368" s="15"/>
      <c r="CG368" s="15" t="s">
        <v>328</v>
      </c>
      <c r="CH368" s="15"/>
      <c r="CI368" s="15"/>
      <c r="CJ368" s="15" t="s">
        <v>328</v>
      </c>
      <c r="CK368" s="15"/>
      <c r="CL368" s="15"/>
      <c r="CM368" s="15"/>
      <c r="CN368" s="15">
        <v>6</v>
      </c>
      <c r="CO368" s="15">
        <v>2</v>
      </c>
      <c r="CP368" s="15">
        <v>1</v>
      </c>
      <c r="CQ368" s="15">
        <v>3</v>
      </c>
      <c r="CR368" s="15">
        <v>4</v>
      </c>
      <c r="CS368" s="15">
        <v>5</v>
      </c>
      <c r="CT368" s="15"/>
      <c r="CU368" s="15"/>
      <c r="CV368" s="15"/>
      <c r="CW368" s="15"/>
      <c r="CX368" s="15"/>
      <c r="CY368" s="15"/>
      <c r="CZ368" s="15" t="s">
        <v>332</v>
      </c>
      <c r="DA368" s="15"/>
      <c r="DB368" s="15"/>
      <c r="DC368" s="15">
        <v>1</v>
      </c>
      <c r="DD368" s="15">
        <v>3</v>
      </c>
      <c r="DE368" s="15">
        <v>2</v>
      </c>
      <c r="DF368" s="15">
        <v>4</v>
      </c>
      <c r="DG368" s="15">
        <v>6</v>
      </c>
      <c r="DH368" s="15">
        <v>5</v>
      </c>
      <c r="DI368" s="15"/>
      <c r="DJ368" s="15" t="s">
        <v>328</v>
      </c>
      <c r="DK368" s="15"/>
      <c r="DL368" s="15"/>
      <c r="DM368" s="15"/>
      <c r="DN368" s="15"/>
      <c r="DO368" s="15"/>
      <c r="DP368" s="14"/>
      <c r="DQ368" s="15" t="s">
        <v>328</v>
      </c>
      <c r="DR368" s="15"/>
      <c r="DS368" s="15"/>
      <c r="DT368" s="15"/>
      <c r="DU368" s="15"/>
      <c r="DV368" s="15"/>
      <c r="DW368" s="15"/>
      <c r="DX368" s="15"/>
      <c r="DY368" s="15" t="s">
        <v>328</v>
      </c>
      <c r="DZ368" s="15"/>
      <c r="EA368" s="15"/>
      <c r="EB368" s="15"/>
      <c r="EC368" s="15"/>
      <c r="ED368" s="15"/>
      <c r="EE368" s="102"/>
      <c r="EF368" s="99"/>
      <c r="EG368" s="17">
        <f t="shared" si="5"/>
        <v>0</v>
      </c>
    </row>
    <row r="369" spans="1:137" x14ac:dyDescent="0.25">
      <c r="A369" s="52" t="s">
        <v>1857</v>
      </c>
      <c r="B369" s="211">
        <v>41572</v>
      </c>
      <c r="C369" s="212" t="s">
        <v>2760</v>
      </c>
      <c r="D369" s="103" t="s">
        <v>1611</v>
      </c>
      <c r="E369" s="15" t="s">
        <v>328</v>
      </c>
      <c r="F369" s="15"/>
      <c r="G369" s="15">
        <v>30</v>
      </c>
      <c r="H369" s="15" t="s">
        <v>329</v>
      </c>
      <c r="I369" s="15" t="s">
        <v>399</v>
      </c>
      <c r="J369" s="8" t="s">
        <v>1612</v>
      </c>
      <c r="K369" s="14" t="s">
        <v>1632</v>
      </c>
      <c r="L369" s="14" t="s">
        <v>1256</v>
      </c>
      <c r="M369" s="15">
        <v>8</v>
      </c>
      <c r="N369" s="15">
        <v>1</v>
      </c>
      <c r="O369" s="15">
        <v>1</v>
      </c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 t="s">
        <v>328</v>
      </c>
      <c r="AC369" s="15" t="s">
        <v>328</v>
      </c>
      <c r="AD369" s="15"/>
      <c r="AE369" s="15"/>
      <c r="AF369" s="15"/>
      <c r="AG369" s="15" t="s">
        <v>328</v>
      </c>
      <c r="AH369" s="15"/>
      <c r="AI369" s="15"/>
      <c r="AJ369" s="15"/>
      <c r="AK369" s="15"/>
      <c r="AL369" s="15"/>
      <c r="AM369" s="15" t="s">
        <v>328</v>
      </c>
      <c r="AN369" s="14" t="s">
        <v>328</v>
      </c>
      <c r="AO369" s="15"/>
      <c r="AP369" s="15"/>
      <c r="AQ369" s="15"/>
      <c r="AR369" s="15">
        <v>10</v>
      </c>
      <c r="AS369" s="15">
        <v>3</v>
      </c>
      <c r="AT369" s="15"/>
      <c r="AU369" s="15"/>
      <c r="AV369" s="15" t="s">
        <v>328</v>
      </c>
      <c r="AW369" s="15"/>
      <c r="AX369" s="15">
        <v>4</v>
      </c>
      <c r="AY369" s="15">
        <v>3</v>
      </c>
      <c r="AZ369" s="15">
        <v>2</v>
      </c>
      <c r="BA369" s="15" t="s">
        <v>346</v>
      </c>
      <c r="BB369" s="15" t="s">
        <v>328</v>
      </c>
      <c r="BC369" s="15"/>
      <c r="BD369" s="15" t="s">
        <v>328</v>
      </c>
      <c r="BE369" s="15"/>
      <c r="BF369" s="15"/>
      <c r="BG369" s="15"/>
      <c r="BH369" s="15"/>
      <c r="BI369" s="15"/>
      <c r="BJ369" s="15"/>
      <c r="BK369" s="15" t="s">
        <v>328</v>
      </c>
      <c r="BL369" s="15"/>
      <c r="BM369" s="15"/>
      <c r="BN369" s="15"/>
      <c r="BO369" s="15" t="s">
        <v>328</v>
      </c>
      <c r="BP369" s="15" t="s">
        <v>328</v>
      </c>
      <c r="BQ369" s="15"/>
      <c r="BR369" s="15" t="s">
        <v>328</v>
      </c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 t="s">
        <v>332</v>
      </c>
      <c r="CI369" s="15" t="s">
        <v>328</v>
      </c>
      <c r="CJ369" s="15"/>
      <c r="CK369" s="15"/>
      <c r="CL369" s="15"/>
      <c r="CM369" s="15"/>
      <c r="CN369" s="15">
        <v>1</v>
      </c>
      <c r="CO369" s="15">
        <v>5</v>
      </c>
      <c r="CP369" s="15">
        <v>2</v>
      </c>
      <c r="CQ369" s="15">
        <v>4</v>
      </c>
      <c r="CR369" s="15">
        <v>6</v>
      </c>
      <c r="CS369" s="15">
        <v>3</v>
      </c>
      <c r="CT369" s="15"/>
      <c r="CU369" s="15"/>
      <c r="CV369" s="15"/>
      <c r="CW369" s="15"/>
      <c r="CX369" s="15" t="s">
        <v>328</v>
      </c>
      <c r="CY369" s="15"/>
      <c r="CZ369" s="15"/>
      <c r="DA369" s="15" t="s">
        <v>328</v>
      </c>
      <c r="DB369" s="15" t="s">
        <v>404</v>
      </c>
      <c r="DC369" s="15"/>
      <c r="DD369" s="15"/>
      <c r="DE369" s="15"/>
      <c r="DF369" s="15"/>
      <c r="DG369" s="15"/>
      <c r="DH369" s="15"/>
      <c r="DI369" s="15"/>
      <c r="DJ369" s="15" t="s">
        <v>328</v>
      </c>
      <c r="DK369" s="15"/>
      <c r="DL369" s="15"/>
      <c r="DM369" s="15"/>
      <c r="DN369" s="15"/>
      <c r="DO369" s="15"/>
      <c r="DP369" s="14" t="s">
        <v>333</v>
      </c>
      <c r="DQ369" s="15"/>
      <c r="DR369" s="15" t="s">
        <v>328</v>
      </c>
      <c r="DS369" s="15" t="s">
        <v>328</v>
      </c>
      <c r="DT369" s="15" t="s">
        <v>437</v>
      </c>
      <c r="DU369" s="15"/>
      <c r="DV369" s="15"/>
      <c r="DW369" s="15" t="s">
        <v>410</v>
      </c>
      <c r="DX369" s="14" t="s">
        <v>625</v>
      </c>
      <c r="DY369" s="15" t="s">
        <v>328</v>
      </c>
      <c r="DZ369" s="15"/>
      <c r="EA369" s="15"/>
      <c r="EB369" s="15"/>
      <c r="EC369" s="15"/>
      <c r="ED369" s="15"/>
      <c r="EE369" s="102" t="s">
        <v>1155</v>
      </c>
      <c r="EF369" s="99"/>
      <c r="EG369" s="17">
        <f t="shared" si="5"/>
        <v>0</v>
      </c>
    </row>
    <row r="370" spans="1:137" x14ac:dyDescent="0.25">
      <c r="A370" s="52" t="s">
        <v>1857</v>
      </c>
      <c r="B370" s="211">
        <v>41572</v>
      </c>
      <c r="C370" s="212" t="s">
        <v>2760</v>
      </c>
      <c r="D370" s="103" t="s">
        <v>1613</v>
      </c>
      <c r="E370" s="14" t="s">
        <v>328</v>
      </c>
      <c r="F370" s="14"/>
      <c r="G370" s="14">
        <v>50</v>
      </c>
      <c r="H370" s="14" t="s">
        <v>329</v>
      </c>
      <c r="I370" s="14" t="s">
        <v>399</v>
      </c>
      <c r="J370" s="14" t="s">
        <v>1614</v>
      </c>
      <c r="K370" s="14" t="s">
        <v>1615</v>
      </c>
      <c r="L370" s="14" t="s">
        <v>1256</v>
      </c>
      <c r="M370" s="14">
        <v>30</v>
      </c>
      <c r="N370" s="14">
        <v>5</v>
      </c>
      <c r="O370" s="14"/>
      <c r="P370" s="14"/>
      <c r="Q370" s="14"/>
      <c r="R370" s="14"/>
      <c r="S370" s="14">
        <v>5</v>
      </c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 t="s">
        <v>328</v>
      </c>
      <c r="AK370" s="14"/>
      <c r="AL370" s="14" t="s">
        <v>328</v>
      </c>
      <c r="AM370" s="14"/>
      <c r="AN370" s="14"/>
      <c r="AO370" s="14"/>
      <c r="AP370" s="14"/>
      <c r="AQ370" s="14" t="s">
        <v>328</v>
      </c>
      <c r="AR370" s="14">
        <v>10</v>
      </c>
      <c r="AS370" s="14">
        <v>4</v>
      </c>
      <c r="AT370" s="14"/>
      <c r="AU370" s="14" t="s">
        <v>328</v>
      </c>
      <c r="AV370" s="14"/>
      <c r="AW370" s="14"/>
      <c r="AX370" s="14">
        <v>1</v>
      </c>
      <c r="AY370" s="14">
        <v>3</v>
      </c>
      <c r="AZ370" s="14">
        <v>2</v>
      </c>
      <c r="BA370" s="14"/>
      <c r="BB370" s="14"/>
      <c r="BC370" s="14" t="s">
        <v>328</v>
      </c>
      <c r="BD370" s="14" t="s">
        <v>328</v>
      </c>
      <c r="BE370" s="14"/>
      <c r="BF370" s="14"/>
      <c r="BG370" s="14" t="s">
        <v>328</v>
      </c>
      <c r="BH370" s="14"/>
      <c r="BI370" s="14"/>
      <c r="BJ370" s="14"/>
      <c r="BK370" s="14"/>
      <c r="BL370" s="14"/>
      <c r="BM370" s="14"/>
      <c r="BN370" s="14" t="s">
        <v>328</v>
      </c>
      <c r="BO370" s="14"/>
      <c r="BP370" s="14" t="s">
        <v>328</v>
      </c>
      <c r="BQ370" s="14"/>
      <c r="BR370" s="14" t="s">
        <v>328</v>
      </c>
      <c r="BS370" s="14"/>
      <c r="BT370" s="14"/>
      <c r="BU370" s="14"/>
      <c r="BV370" s="14" t="s">
        <v>328</v>
      </c>
      <c r="BW370" s="14"/>
      <c r="BX370" s="14"/>
      <c r="BY370" s="14"/>
      <c r="BZ370" s="14" t="s">
        <v>328</v>
      </c>
      <c r="CA370" s="14"/>
      <c r="CB370" s="14" t="s">
        <v>328</v>
      </c>
      <c r="CC370" s="14" t="s">
        <v>328</v>
      </c>
      <c r="CD370" s="14"/>
      <c r="CE370" s="14"/>
      <c r="CF370" s="14"/>
      <c r="CG370" s="14"/>
      <c r="CH370" s="14"/>
      <c r="CI370" s="14" t="s">
        <v>328</v>
      </c>
      <c r="CJ370" s="14"/>
      <c r="CK370" s="14"/>
      <c r="CL370" s="14"/>
      <c r="CM370" s="14"/>
      <c r="CN370" s="14">
        <v>3</v>
      </c>
      <c r="CO370" s="14">
        <v>2</v>
      </c>
      <c r="CP370" s="14">
        <v>4</v>
      </c>
      <c r="CQ370" s="14">
        <v>5</v>
      </c>
      <c r="CR370" s="14">
        <v>6</v>
      </c>
      <c r="CS370" s="14">
        <v>1</v>
      </c>
      <c r="CT370" s="14"/>
      <c r="CU370" s="14" t="s">
        <v>328</v>
      </c>
      <c r="CV370" s="14" t="s">
        <v>328</v>
      </c>
      <c r="CW370" s="14"/>
      <c r="CX370" s="14" t="s">
        <v>328</v>
      </c>
      <c r="CY370" s="14"/>
      <c r="CZ370" s="14"/>
      <c r="DA370" s="14"/>
      <c r="DB370" s="14"/>
      <c r="DC370" s="14">
        <v>2</v>
      </c>
      <c r="DD370" s="14">
        <v>6</v>
      </c>
      <c r="DE370" s="14">
        <v>5</v>
      </c>
      <c r="DF370" s="14">
        <v>3</v>
      </c>
      <c r="DG370" s="14">
        <v>1</v>
      </c>
      <c r="DH370" s="14">
        <v>4</v>
      </c>
      <c r="DI370" s="14"/>
      <c r="DJ370" s="14"/>
      <c r="DK370" s="14" t="s">
        <v>328</v>
      </c>
      <c r="DL370" s="14" t="s">
        <v>328</v>
      </c>
      <c r="DM370" s="14" t="s">
        <v>387</v>
      </c>
      <c r="DN370" s="14"/>
      <c r="DO370" s="14" t="s">
        <v>396</v>
      </c>
      <c r="DP370" s="14" t="s">
        <v>389</v>
      </c>
      <c r="DQ370" s="14"/>
      <c r="DR370" s="14" t="s">
        <v>328</v>
      </c>
      <c r="DS370" s="14" t="s">
        <v>328</v>
      </c>
      <c r="DT370" s="14" t="s">
        <v>397</v>
      </c>
      <c r="DU370" s="14"/>
      <c r="DV370" s="14"/>
      <c r="DW370" s="14" t="s">
        <v>335</v>
      </c>
      <c r="DX370" s="14" t="s">
        <v>336</v>
      </c>
      <c r="DY370" s="14"/>
      <c r="DZ370" s="14" t="s">
        <v>328</v>
      </c>
      <c r="EA370" s="14" t="s">
        <v>328</v>
      </c>
      <c r="EB370" s="14" t="s">
        <v>397</v>
      </c>
      <c r="EC370" s="14"/>
      <c r="ED370" s="14" t="s">
        <v>398</v>
      </c>
      <c r="EE370" s="102" t="s">
        <v>1145</v>
      </c>
      <c r="EF370" s="48" t="s">
        <v>395</v>
      </c>
      <c r="EG370" s="17">
        <f t="shared" si="5"/>
        <v>0</v>
      </c>
    </row>
    <row r="371" spans="1:137" x14ac:dyDescent="0.25">
      <c r="A371" s="52" t="s">
        <v>1857</v>
      </c>
      <c r="B371" s="211">
        <v>41572</v>
      </c>
      <c r="C371" s="212" t="s">
        <v>2760</v>
      </c>
      <c r="D371" s="103" t="s">
        <v>1616</v>
      </c>
      <c r="E371" s="15" t="s">
        <v>328</v>
      </c>
      <c r="F371" s="15"/>
      <c r="G371" s="15">
        <v>53</v>
      </c>
      <c r="H371" s="15" t="s">
        <v>329</v>
      </c>
      <c r="I371" s="15" t="s">
        <v>357</v>
      </c>
      <c r="J371" s="14" t="s">
        <v>1617</v>
      </c>
      <c r="K371" s="14" t="s">
        <v>1264</v>
      </c>
      <c r="L371" s="14" t="s">
        <v>1256</v>
      </c>
      <c r="M371" s="15">
        <v>23</v>
      </c>
      <c r="N371" s="15">
        <v>5</v>
      </c>
      <c r="O371" s="15">
        <v>2</v>
      </c>
      <c r="P371" s="15"/>
      <c r="Q371" s="15">
        <v>6</v>
      </c>
      <c r="R371" s="15">
        <v>2</v>
      </c>
      <c r="S371" s="15">
        <v>1</v>
      </c>
      <c r="T371" s="15"/>
      <c r="U371" s="15"/>
      <c r="V371" s="15"/>
      <c r="W371" s="15"/>
      <c r="X371" s="15"/>
      <c r="Y371" s="15"/>
      <c r="Z371" s="15"/>
      <c r="AA371" s="15"/>
      <c r="AB371" s="15" t="s">
        <v>328</v>
      </c>
      <c r="AC371" s="15"/>
      <c r="AD371" s="15" t="s">
        <v>328</v>
      </c>
      <c r="AE371" s="15"/>
      <c r="AF371" s="15"/>
      <c r="AG371" s="15" t="s">
        <v>328</v>
      </c>
      <c r="AH371" s="15"/>
      <c r="AI371" s="15" t="s">
        <v>328</v>
      </c>
      <c r="AJ371" s="15"/>
      <c r="AK371" s="15"/>
      <c r="AL371" s="15" t="s">
        <v>328</v>
      </c>
      <c r="AM371" s="15"/>
      <c r="AN371" s="15"/>
      <c r="AO371" s="14" t="s">
        <v>328</v>
      </c>
      <c r="AP371" s="15"/>
      <c r="AQ371" s="15" t="s">
        <v>328</v>
      </c>
      <c r="AR371" s="15">
        <v>8</v>
      </c>
      <c r="AS371" s="15">
        <v>6</v>
      </c>
      <c r="AT371" s="15"/>
      <c r="AU371" s="15"/>
      <c r="AV371" s="15"/>
      <c r="AW371" s="15" t="s">
        <v>328</v>
      </c>
      <c r="AX371" s="15">
        <v>2</v>
      </c>
      <c r="AY371" s="15">
        <v>3</v>
      </c>
      <c r="AZ371" s="15">
        <v>4</v>
      </c>
      <c r="BA371" s="15" t="s">
        <v>346</v>
      </c>
      <c r="BB371" s="15"/>
      <c r="BC371" s="15" t="s">
        <v>328</v>
      </c>
      <c r="BD371" s="15" t="s">
        <v>328</v>
      </c>
      <c r="BE371" s="15"/>
      <c r="BF371" s="15" t="s">
        <v>328</v>
      </c>
      <c r="BG371" s="15"/>
      <c r="BH371" s="15"/>
      <c r="BI371" s="15"/>
      <c r="BJ371" s="15"/>
      <c r="BK371" s="15" t="s">
        <v>328</v>
      </c>
      <c r="BL371" s="15"/>
      <c r="BM371" s="15"/>
      <c r="BN371" s="15" t="s">
        <v>328</v>
      </c>
      <c r="BO371" s="15"/>
      <c r="BP371" s="15" t="s">
        <v>328</v>
      </c>
      <c r="BQ371" s="15"/>
      <c r="BR371" s="15" t="s">
        <v>328</v>
      </c>
      <c r="BS371" s="15"/>
      <c r="BT371" s="15"/>
      <c r="BU371" s="15"/>
      <c r="BV371" s="15" t="s">
        <v>328</v>
      </c>
      <c r="BW371" s="15" t="s">
        <v>328</v>
      </c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 t="s">
        <v>332</v>
      </c>
      <c r="CI371" s="15" t="s">
        <v>328</v>
      </c>
      <c r="CJ371" s="15"/>
      <c r="CK371" s="15" t="s">
        <v>328</v>
      </c>
      <c r="CL371" s="15"/>
      <c r="CM371" s="15"/>
      <c r="CN371" s="15">
        <v>3</v>
      </c>
      <c r="CO371" s="15">
        <v>2</v>
      </c>
      <c r="CP371" s="15">
        <v>5</v>
      </c>
      <c r="CQ371" s="15">
        <v>4</v>
      </c>
      <c r="CR371" s="15">
        <v>6</v>
      </c>
      <c r="CS371" s="15">
        <v>1</v>
      </c>
      <c r="CT371" s="15" t="s">
        <v>328</v>
      </c>
      <c r="CU371" s="15" t="s">
        <v>328</v>
      </c>
      <c r="CV371" s="15"/>
      <c r="CW371" s="15"/>
      <c r="CX371" s="15" t="s">
        <v>328</v>
      </c>
      <c r="CY371" s="15"/>
      <c r="CZ371" s="15"/>
      <c r="DA371" s="15" t="s">
        <v>328</v>
      </c>
      <c r="DB371" s="15" t="s">
        <v>404</v>
      </c>
      <c r="DC371" s="15"/>
      <c r="DD371" s="15"/>
      <c r="DE371" s="15"/>
      <c r="DF371" s="15"/>
      <c r="DG371" s="15"/>
      <c r="DH371" s="15"/>
      <c r="DI371" s="15"/>
      <c r="DJ371" s="15"/>
      <c r="DK371" s="15" t="s">
        <v>328</v>
      </c>
      <c r="DL371" s="15" t="s">
        <v>328</v>
      </c>
      <c r="DM371" s="14" t="s">
        <v>397</v>
      </c>
      <c r="DN371" s="15"/>
      <c r="DO371" s="14" t="s">
        <v>432</v>
      </c>
      <c r="DP371" s="15" t="s">
        <v>411</v>
      </c>
      <c r="DQ371" s="15"/>
      <c r="DR371" s="15" t="s">
        <v>328</v>
      </c>
      <c r="DS371" s="15" t="s">
        <v>328</v>
      </c>
      <c r="DT371" s="15" t="s">
        <v>489</v>
      </c>
      <c r="DU371" s="15"/>
      <c r="DV371" s="15"/>
      <c r="DW371" s="15" t="s">
        <v>410</v>
      </c>
      <c r="DX371" s="15" t="s">
        <v>411</v>
      </c>
      <c r="DY371" s="15"/>
      <c r="DZ371" s="15" t="s">
        <v>328</v>
      </c>
      <c r="EA371" s="15" t="s">
        <v>328</v>
      </c>
      <c r="EB371" s="15" t="s">
        <v>397</v>
      </c>
      <c r="EC371" s="15"/>
      <c r="ED371" s="15" t="s">
        <v>432</v>
      </c>
      <c r="EE371" s="102" t="s">
        <v>333</v>
      </c>
      <c r="EF371" s="99"/>
      <c r="EG371" s="17">
        <f t="shared" si="5"/>
        <v>0</v>
      </c>
    </row>
    <row r="372" spans="1:137" x14ac:dyDescent="0.25">
      <c r="A372" s="52" t="s">
        <v>1857</v>
      </c>
      <c r="B372" s="211">
        <v>41572</v>
      </c>
      <c r="C372" s="212" t="s">
        <v>2760</v>
      </c>
      <c r="D372" s="103" t="s">
        <v>1618</v>
      </c>
      <c r="E372" s="14" t="s">
        <v>328</v>
      </c>
      <c r="F372" s="14"/>
      <c r="G372" s="14">
        <v>41</v>
      </c>
      <c r="H372" s="14" t="s">
        <v>329</v>
      </c>
      <c r="I372" s="14" t="s">
        <v>399</v>
      </c>
      <c r="J372" s="14" t="s">
        <v>1619</v>
      </c>
      <c r="K372" s="14" t="s">
        <v>1620</v>
      </c>
      <c r="L372" s="14" t="s">
        <v>1256</v>
      </c>
      <c r="M372" s="14">
        <v>15</v>
      </c>
      <c r="N372" s="14">
        <v>3</v>
      </c>
      <c r="O372" s="14"/>
      <c r="P372" s="14"/>
      <c r="Q372" s="14"/>
      <c r="R372" s="14"/>
      <c r="S372" s="14">
        <v>3</v>
      </c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 t="s">
        <v>328</v>
      </c>
      <c r="AK372" s="14"/>
      <c r="AL372" s="14" t="s">
        <v>328</v>
      </c>
      <c r="AM372" s="14"/>
      <c r="AN372" s="14"/>
      <c r="AO372" s="14"/>
      <c r="AP372" s="14"/>
      <c r="AQ372" s="14" t="s">
        <v>328</v>
      </c>
      <c r="AR372" s="14">
        <v>10</v>
      </c>
      <c r="AS372" s="14">
        <v>2</v>
      </c>
      <c r="AT372" s="14"/>
      <c r="AU372" s="14"/>
      <c r="AV372" s="14"/>
      <c r="AW372" s="14" t="s">
        <v>328</v>
      </c>
      <c r="AX372" s="14">
        <v>3</v>
      </c>
      <c r="AY372" s="14">
        <v>2</v>
      </c>
      <c r="AZ372" s="14">
        <v>1</v>
      </c>
      <c r="BA372" s="14"/>
      <c r="BB372" s="14"/>
      <c r="BC372" s="14" t="s">
        <v>328</v>
      </c>
      <c r="BD372" s="14"/>
      <c r="BE372" s="14" t="s">
        <v>328</v>
      </c>
      <c r="BF372" s="14"/>
      <c r="BG372" s="14" t="s">
        <v>328</v>
      </c>
      <c r="BH372" s="14"/>
      <c r="BI372" s="14"/>
      <c r="BJ372" s="14"/>
      <c r="BK372" s="14"/>
      <c r="BL372" s="14"/>
      <c r="BM372" s="14"/>
      <c r="BN372" s="14"/>
      <c r="BO372" s="14" t="s">
        <v>328</v>
      </c>
      <c r="BP372" s="14" t="s">
        <v>328</v>
      </c>
      <c r="BQ372" s="14"/>
      <c r="BR372" s="14"/>
      <c r="BS372" s="14"/>
      <c r="BT372" s="14"/>
      <c r="BU372" s="14"/>
      <c r="BV372" s="14" t="s">
        <v>328</v>
      </c>
      <c r="BW372" s="14" t="s">
        <v>328</v>
      </c>
      <c r="BX372" s="14"/>
      <c r="BY372" s="14"/>
      <c r="BZ372" s="14"/>
      <c r="CA372" s="14"/>
      <c r="CB372" s="14" t="s">
        <v>328</v>
      </c>
      <c r="CC372" s="14" t="s">
        <v>328</v>
      </c>
      <c r="CD372" s="14" t="s">
        <v>328</v>
      </c>
      <c r="CE372" s="14"/>
      <c r="CF372" s="14"/>
      <c r="CG372" s="14"/>
      <c r="CH372" s="14"/>
      <c r="CI372" s="14" t="s">
        <v>328</v>
      </c>
      <c r="CJ372" s="14"/>
      <c r="CK372" s="14"/>
      <c r="CL372" s="14"/>
      <c r="CM372" s="14" t="s">
        <v>328</v>
      </c>
      <c r="CN372" s="14">
        <v>1</v>
      </c>
      <c r="CO372" s="14">
        <v>5</v>
      </c>
      <c r="CP372" s="14">
        <v>6</v>
      </c>
      <c r="CQ372" s="14">
        <v>3</v>
      </c>
      <c r="CR372" s="14">
        <v>4</v>
      </c>
      <c r="CS372" s="14">
        <v>2</v>
      </c>
      <c r="CT372" s="14"/>
      <c r="CU372" s="14"/>
      <c r="CV372" s="14"/>
      <c r="CW372" s="14"/>
      <c r="CX372" s="14"/>
      <c r="CY372" s="14"/>
      <c r="CZ372" s="14" t="s">
        <v>332</v>
      </c>
      <c r="DA372" s="14"/>
      <c r="DB372" s="14"/>
      <c r="DC372" s="14">
        <v>1</v>
      </c>
      <c r="DD372" s="14">
        <v>2</v>
      </c>
      <c r="DE372" s="14">
        <v>6</v>
      </c>
      <c r="DF372" s="14">
        <v>3</v>
      </c>
      <c r="DG372" s="14">
        <v>5</v>
      </c>
      <c r="DH372" s="14">
        <v>4</v>
      </c>
      <c r="DI372" s="14"/>
      <c r="DJ372" s="14" t="s">
        <v>328</v>
      </c>
      <c r="DK372" s="14"/>
      <c r="DL372" s="14"/>
      <c r="DM372" s="14"/>
      <c r="DN372" s="14"/>
      <c r="DO372" s="14"/>
      <c r="DP372" s="14"/>
      <c r="DQ372" s="14" t="s">
        <v>328</v>
      </c>
      <c r="DR372" s="14"/>
      <c r="DS372" s="14"/>
      <c r="DT372" s="14"/>
      <c r="DU372" s="14"/>
      <c r="DV372" s="14"/>
      <c r="DW372" s="14"/>
      <c r="DX372" s="14"/>
      <c r="DY372" s="14" t="s">
        <v>328</v>
      </c>
      <c r="DZ372" s="14"/>
      <c r="EA372" s="14"/>
      <c r="EB372" s="14"/>
      <c r="EC372" s="14"/>
      <c r="ED372" s="14"/>
      <c r="EE372" s="101"/>
      <c r="EF372" s="99"/>
      <c r="EG372" s="17">
        <f t="shared" si="5"/>
        <v>0</v>
      </c>
    </row>
    <row r="373" spans="1:137" x14ac:dyDescent="0.25">
      <c r="A373" s="52" t="s">
        <v>1857</v>
      </c>
      <c r="B373" s="211">
        <v>41572</v>
      </c>
      <c r="C373" s="212" t="s">
        <v>2760</v>
      </c>
      <c r="D373" s="103" t="s">
        <v>1621</v>
      </c>
      <c r="E373" s="15" t="s">
        <v>328</v>
      </c>
      <c r="F373" s="15"/>
      <c r="G373" s="15">
        <v>35</v>
      </c>
      <c r="H373" s="15" t="s">
        <v>329</v>
      </c>
      <c r="I373" s="15" t="s">
        <v>357</v>
      </c>
      <c r="J373" s="15" t="s">
        <v>1622</v>
      </c>
      <c r="K373" s="15" t="s">
        <v>1623</v>
      </c>
      <c r="L373" s="15" t="s">
        <v>1256</v>
      </c>
      <c r="M373" s="15">
        <v>10</v>
      </c>
      <c r="N373" s="15">
        <v>3</v>
      </c>
      <c r="O373" s="15">
        <v>2</v>
      </c>
      <c r="P373" s="15">
        <v>3</v>
      </c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 t="s">
        <v>328</v>
      </c>
      <c r="AC373" s="15" t="s">
        <v>328</v>
      </c>
      <c r="AD373" s="15"/>
      <c r="AE373" s="15"/>
      <c r="AF373" s="15"/>
      <c r="AG373" s="15"/>
      <c r="AH373" s="15"/>
      <c r="AI373" s="15"/>
      <c r="AJ373" s="15"/>
      <c r="AK373" s="15"/>
      <c r="AL373" s="15" t="s">
        <v>328</v>
      </c>
      <c r="AM373" s="15"/>
      <c r="AN373" s="15"/>
      <c r="AO373" s="15"/>
      <c r="AP373" s="15"/>
      <c r="AQ373" s="15" t="s">
        <v>328</v>
      </c>
      <c r="AR373" s="15">
        <v>10</v>
      </c>
      <c r="AS373" s="15">
        <v>4</v>
      </c>
      <c r="AT373" s="15"/>
      <c r="AU373" s="15"/>
      <c r="AV373" s="15"/>
      <c r="AW373" s="15" t="s">
        <v>328</v>
      </c>
      <c r="AX373" s="15">
        <v>2</v>
      </c>
      <c r="AY373" s="15">
        <v>1</v>
      </c>
      <c r="AZ373" s="15">
        <v>3</v>
      </c>
      <c r="BA373" s="15"/>
      <c r="BB373" s="15" t="s">
        <v>328</v>
      </c>
      <c r="BC373" s="15"/>
      <c r="BD373" s="15" t="s">
        <v>328</v>
      </c>
      <c r="BE373" s="15"/>
      <c r="BF373" s="15" t="s">
        <v>328</v>
      </c>
      <c r="BG373" s="15"/>
      <c r="BH373" s="15"/>
      <c r="BI373" s="15"/>
      <c r="BJ373" s="15"/>
      <c r="BK373" s="15"/>
      <c r="BL373" s="15"/>
      <c r="BM373" s="15"/>
      <c r="BN373" s="15"/>
      <c r="BO373" s="15" t="s">
        <v>328</v>
      </c>
      <c r="BP373" s="15" t="s">
        <v>328</v>
      </c>
      <c r="BQ373" s="15"/>
      <c r="BR373" s="15" t="s">
        <v>328</v>
      </c>
      <c r="BS373" s="15"/>
      <c r="BT373" s="15"/>
      <c r="BU373" s="15"/>
      <c r="BV373" s="15"/>
      <c r="BW373" s="15" t="s">
        <v>328</v>
      </c>
      <c r="BX373" s="15"/>
      <c r="BY373" s="15"/>
      <c r="BZ373" s="15"/>
      <c r="CA373" s="15"/>
      <c r="CB373" s="15" t="s">
        <v>328</v>
      </c>
      <c r="CC373" s="15" t="s">
        <v>328</v>
      </c>
      <c r="CD373" s="15"/>
      <c r="CE373" s="15"/>
      <c r="CF373" s="15"/>
      <c r="CG373" s="15"/>
      <c r="CH373" s="15"/>
      <c r="CI373" s="15" t="s">
        <v>328</v>
      </c>
      <c r="CJ373" s="15"/>
      <c r="CK373" s="15" t="s">
        <v>328</v>
      </c>
      <c r="CL373" s="15"/>
      <c r="CM373" s="15"/>
      <c r="CN373" s="15">
        <v>5</v>
      </c>
      <c r="CO373" s="15">
        <v>3</v>
      </c>
      <c r="CP373" s="15">
        <v>4</v>
      </c>
      <c r="CQ373" s="15">
        <v>6</v>
      </c>
      <c r="CR373" s="15">
        <v>2</v>
      </c>
      <c r="CS373" s="15">
        <v>1</v>
      </c>
      <c r="CT373" s="15" t="s">
        <v>328</v>
      </c>
      <c r="CU373" s="15"/>
      <c r="CV373" s="15"/>
      <c r="CW373" s="15"/>
      <c r="CX373" s="15" t="s">
        <v>328</v>
      </c>
      <c r="CY373" s="15"/>
      <c r="CZ373" s="15"/>
      <c r="DA373" s="15"/>
      <c r="DB373" s="15"/>
      <c r="DC373" s="15">
        <v>2</v>
      </c>
      <c r="DD373" s="15">
        <v>4</v>
      </c>
      <c r="DE373" s="15"/>
      <c r="DF373" s="15"/>
      <c r="DG373" s="15">
        <v>3</v>
      </c>
      <c r="DH373" s="15"/>
      <c r="DI373" s="15" t="s">
        <v>346</v>
      </c>
      <c r="DJ373" s="15" t="s">
        <v>328</v>
      </c>
      <c r="DK373" s="15"/>
      <c r="DL373" s="15"/>
      <c r="DM373" s="15"/>
      <c r="DN373" s="15"/>
      <c r="DO373" s="15"/>
      <c r="DP373" s="15"/>
      <c r="DQ373" s="15" t="s">
        <v>328</v>
      </c>
      <c r="DR373" s="15"/>
      <c r="DS373" s="15"/>
      <c r="DT373" s="15"/>
      <c r="DU373" s="15"/>
      <c r="DV373" s="15"/>
      <c r="DW373" s="15"/>
      <c r="DX373" s="15"/>
      <c r="DY373" s="15" t="s">
        <v>328</v>
      </c>
      <c r="DZ373" s="15"/>
      <c r="EA373" s="15"/>
      <c r="EB373" s="15"/>
      <c r="EC373" s="15"/>
      <c r="ED373" s="15"/>
      <c r="EE373" s="102"/>
      <c r="EF373" s="99"/>
      <c r="EG373" s="17">
        <f t="shared" si="5"/>
        <v>0</v>
      </c>
    </row>
    <row r="374" spans="1:137" x14ac:dyDescent="0.25">
      <c r="A374" s="52" t="s">
        <v>1857</v>
      </c>
      <c r="B374" s="211">
        <v>41572</v>
      </c>
      <c r="C374" s="212" t="s">
        <v>2760</v>
      </c>
      <c r="D374" s="103" t="s">
        <v>1624</v>
      </c>
      <c r="E374" s="14"/>
      <c r="F374" s="14" t="s">
        <v>328</v>
      </c>
      <c r="G374" s="14">
        <v>50</v>
      </c>
      <c r="H374" s="14" t="s">
        <v>329</v>
      </c>
      <c r="I374" s="14" t="s">
        <v>330</v>
      </c>
      <c r="J374" s="14" t="s">
        <v>1625</v>
      </c>
      <c r="K374" s="14" t="s">
        <v>1626</v>
      </c>
      <c r="L374" s="14" t="s">
        <v>1256</v>
      </c>
      <c r="M374" s="14">
        <v>26</v>
      </c>
      <c r="N374" s="14">
        <v>6</v>
      </c>
      <c r="O374" s="14">
        <v>3</v>
      </c>
      <c r="P374" s="14"/>
      <c r="Q374" s="14"/>
      <c r="R374" s="14"/>
      <c r="S374" s="14"/>
      <c r="T374" s="14"/>
      <c r="U374" s="14"/>
      <c r="V374" s="14"/>
      <c r="W374" s="14"/>
      <c r="X374" s="14">
        <v>2</v>
      </c>
      <c r="Y374" s="14"/>
      <c r="Z374" s="14">
        <v>3</v>
      </c>
      <c r="AA374" s="14"/>
      <c r="AB374" s="14"/>
      <c r="AC374" s="14" t="s">
        <v>328</v>
      </c>
      <c r="AD374" s="14"/>
      <c r="AE374" s="14"/>
      <c r="AF374" s="14" t="s">
        <v>328</v>
      </c>
      <c r="AG374" s="14" t="s">
        <v>328</v>
      </c>
      <c r="AH374" s="14"/>
      <c r="AI374" s="14"/>
      <c r="AJ374" s="14"/>
      <c r="AK374" s="14"/>
      <c r="AL374" s="14"/>
      <c r="AM374" s="14" t="s">
        <v>328</v>
      </c>
      <c r="AN374" s="14"/>
      <c r="AO374" s="14"/>
      <c r="AP374" s="14" t="s">
        <v>328</v>
      </c>
      <c r="AQ374" s="14" t="s">
        <v>328</v>
      </c>
      <c r="AR374" s="14">
        <v>10</v>
      </c>
      <c r="AS374" s="14">
        <v>7</v>
      </c>
      <c r="AT374" s="14"/>
      <c r="AU374" s="14"/>
      <c r="AV374" s="14" t="s">
        <v>328</v>
      </c>
      <c r="AW374" s="14"/>
      <c r="AX374" s="14">
        <v>3</v>
      </c>
      <c r="AY374" s="14">
        <v>1</v>
      </c>
      <c r="AZ374" s="14">
        <v>2</v>
      </c>
      <c r="BA374" s="14"/>
      <c r="BB374" s="14"/>
      <c r="BC374" s="14" t="s">
        <v>328</v>
      </c>
      <c r="BD374" s="14" t="s">
        <v>328</v>
      </c>
      <c r="BE374" s="14"/>
      <c r="BF374" s="14"/>
      <c r="BG374" s="14" t="s">
        <v>328</v>
      </c>
      <c r="BH374" s="14"/>
      <c r="BI374" s="14"/>
      <c r="BJ374" s="14"/>
      <c r="BK374" s="14" t="s">
        <v>328</v>
      </c>
      <c r="BL374" s="14"/>
      <c r="BM374" s="14"/>
      <c r="BN374" s="14" t="s">
        <v>328</v>
      </c>
      <c r="BO374" s="14"/>
      <c r="BP374" s="14" t="s">
        <v>328</v>
      </c>
      <c r="BQ374" s="14"/>
      <c r="BR374" s="14"/>
      <c r="BS374" s="14" t="s">
        <v>328</v>
      </c>
      <c r="BT374" s="14"/>
      <c r="BU374" s="14"/>
      <c r="BV374" s="14"/>
      <c r="BW374" s="14" t="s">
        <v>328</v>
      </c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 t="s">
        <v>332</v>
      </c>
      <c r="CI374" s="14" t="s">
        <v>328</v>
      </c>
      <c r="CJ374" s="14"/>
      <c r="CK374" s="14" t="s">
        <v>328</v>
      </c>
      <c r="CL374" s="14"/>
      <c r="CM374" s="14"/>
      <c r="CN374" s="14">
        <v>1</v>
      </c>
      <c r="CO374" s="14">
        <v>3</v>
      </c>
      <c r="CP374" s="14">
        <v>6</v>
      </c>
      <c r="CQ374" s="14">
        <v>4</v>
      </c>
      <c r="CR374" s="14">
        <v>5</v>
      </c>
      <c r="CS374" s="14">
        <v>2</v>
      </c>
      <c r="CT374" s="14" t="s">
        <v>328</v>
      </c>
      <c r="CU374" s="14" t="s">
        <v>328</v>
      </c>
      <c r="CV374" s="14"/>
      <c r="CW374" s="14"/>
      <c r="CX374" s="14" t="s">
        <v>328</v>
      </c>
      <c r="CY374" s="14" t="s">
        <v>328</v>
      </c>
      <c r="CZ374" s="14"/>
      <c r="DA374" s="14" t="s">
        <v>328</v>
      </c>
      <c r="DB374" s="14" t="s">
        <v>404</v>
      </c>
      <c r="DC374" s="14"/>
      <c r="DD374" s="14"/>
      <c r="DE374" s="14"/>
      <c r="DF374" s="14"/>
      <c r="DG374" s="14"/>
      <c r="DH374" s="14"/>
      <c r="DI374" s="14"/>
      <c r="DJ374" s="14" t="s">
        <v>328</v>
      </c>
      <c r="DK374" s="14"/>
      <c r="DL374" s="14"/>
      <c r="DM374" s="14"/>
      <c r="DN374" s="14"/>
      <c r="DO374" s="14"/>
      <c r="DP374" s="14" t="s">
        <v>1146</v>
      </c>
      <c r="DQ374" s="14"/>
      <c r="DR374" s="14" t="s">
        <v>328</v>
      </c>
      <c r="DS374" s="14" t="s">
        <v>328</v>
      </c>
      <c r="DT374" s="14" t="s">
        <v>397</v>
      </c>
      <c r="DU374" s="14"/>
      <c r="DV374" s="14"/>
      <c r="DW374" s="15" t="s">
        <v>428</v>
      </c>
      <c r="DX374" s="14" t="s">
        <v>497</v>
      </c>
      <c r="DY374" s="14" t="s">
        <v>328</v>
      </c>
      <c r="DZ374" s="14"/>
      <c r="EA374" s="14"/>
      <c r="EB374" s="15"/>
      <c r="EC374" s="14"/>
      <c r="ED374" s="14"/>
      <c r="EE374" s="101" t="s">
        <v>497</v>
      </c>
      <c r="EF374" s="99"/>
      <c r="EG374" s="17">
        <f t="shared" si="5"/>
        <v>0</v>
      </c>
    </row>
    <row r="375" spans="1:137" x14ac:dyDescent="0.25">
      <c r="A375" s="52" t="s">
        <v>1857</v>
      </c>
      <c r="B375" s="211">
        <v>41572</v>
      </c>
      <c r="C375" s="212" t="s">
        <v>2760</v>
      </c>
      <c r="D375" s="103" t="s">
        <v>1627</v>
      </c>
      <c r="E375" s="15" t="s">
        <v>328</v>
      </c>
      <c r="F375" s="15"/>
      <c r="G375" s="15">
        <v>60</v>
      </c>
      <c r="H375" s="15" t="s">
        <v>329</v>
      </c>
      <c r="I375" s="15" t="s">
        <v>353</v>
      </c>
      <c r="J375" s="14" t="s">
        <v>1617</v>
      </c>
      <c r="K375" s="14" t="s">
        <v>1264</v>
      </c>
      <c r="L375" s="14" t="s">
        <v>1256</v>
      </c>
      <c r="M375" s="15">
        <v>40</v>
      </c>
      <c r="N375" s="15">
        <v>2</v>
      </c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>
        <v>2</v>
      </c>
      <c r="AA375" s="14"/>
      <c r="AB375" s="15" t="s">
        <v>328</v>
      </c>
      <c r="AC375" s="15"/>
      <c r="AD375" s="15"/>
      <c r="AE375" s="15"/>
      <c r="AF375" s="15"/>
      <c r="AG375" s="15" t="s">
        <v>328</v>
      </c>
      <c r="AH375" s="15"/>
      <c r="AI375" s="15"/>
      <c r="AJ375" s="15"/>
      <c r="AK375" s="15"/>
      <c r="AL375" s="15"/>
      <c r="AM375" s="15" t="s">
        <v>328</v>
      </c>
      <c r="AN375" s="15"/>
      <c r="AO375" s="15"/>
      <c r="AP375" s="15"/>
      <c r="AQ375" s="15" t="s">
        <v>328</v>
      </c>
      <c r="AR375" s="15">
        <v>10</v>
      </c>
      <c r="AS375" s="15">
        <v>4</v>
      </c>
      <c r="AT375" s="15"/>
      <c r="AU375" s="15"/>
      <c r="AV375" s="15"/>
      <c r="AW375" s="15" t="s">
        <v>328</v>
      </c>
      <c r="AX375" s="15">
        <v>1</v>
      </c>
      <c r="AY375" s="15">
        <v>3</v>
      </c>
      <c r="AZ375" s="15">
        <v>2</v>
      </c>
      <c r="BA375" s="15"/>
      <c r="BB375" s="15" t="s">
        <v>328</v>
      </c>
      <c r="BC375" s="15"/>
      <c r="BD375" s="15" t="s">
        <v>328</v>
      </c>
      <c r="BE375" s="15" t="s">
        <v>328</v>
      </c>
      <c r="BF375" s="15"/>
      <c r="BG375" s="15"/>
      <c r="BH375" s="15"/>
      <c r="BI375" s="15"/>
      <c r="BJ375" s="15"/>
      <c r="BK375" s="15"/>
      <c r="BL375" s="15"/>
      <c r="BM375" s="15"/>
      <c r="BN375" s="15" t="s">
        <v>328</v>
      </c>
      <c r="BO375" s="15"/>
      <c r="BP375" s="15" t="s">
        <v>328</v>
      </c>
      <c r="BQ375" s="15"/>
      <c r="BR375" s="15" t="s">
        <v>328</v>
      </c>
      <c r="BS375" s="15"/>
      <c r="BT375" s="15" t="s">
        <v>328</v>
      </c>
      <c r="BU375" s="15"/>
      <c r="BV375" s="15"/>
      <c r="BW375" s="15" t="s">
        <v>328</v>
      </c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 t="s">
        <v>332</v>
      </c>
      <c r="CI375" s="15" t="s">
        <v>328</v>
      </c>
      <c r="CJ375" s="15" t="s">
        <v>328</v>
      </c>
      <c r="CK375" s="15"/>
      <c r="CL375" s="15"/>
      <c r="CM375" s="15"/>
      <c r="CN375" s="15">
        <v>3</v>
      </c>
      <c r="CO375" s="15">
        <v>5</v>
      </c>
      <c r="CP375" s="15">
        <v>4</v>
      </c>
      <c r="CQ375" s="15">
        <v>6</v>
      </c>
      <c r="CR375" s="15">
        <v>2</v>
      </c>
      <c r="CS375" s="15">
        <v>1</v>
      </c>
      <c r="CT375" s="15" t="s">
        <v>328</v>
      </c>
      <c r="CU375" s="15"/>
      <c r="CV375" s="15"/>
      <c r="CW375" s="15"/>
      <c r="CX375" s="15" t="s">
        <v>328</v>
      </c>
      <c r="CY375" s="15"/>
      <c r="CZ375" s="15"/>
      <c r="DA375" s="15"/>
      <c r="DB375" s="15"/>
      <c r="DC375" s="15">
        <v>1</v>
      </c>
      <c r="DD375" s="15">
        <v>3</v>
      </c>
      <c r="DE375" s="15">
        <v>6</v>
      </c>
      <c r="DF375" s="15">
        <v>5</v>
      </c>
      <c r="DG375" s="15">
        <v>2</v>
      </c>
      <c r="DH375" s="15">
        <v>4</v>
      </c>
      <c r="DI375" s="15"/>
      <c r="DJ375" s="15" t="s">
        <v>328</v>
      </c>
      <c r="DK375" s="15"/>
      <c r="DL375" s="15"/>
      <c r="DM375" s="15"/>
      <c r="DN375" s="15"/>
      <c r="DO375" s="15"/>
      <c r="DP375" s="14" t="s">
        <v>333</v>
      </c>
      <c r="DQ375" s="15" t="s">
        <v>328</v>
      </c>
      <c r="DR375" s="15"/>
      <c r="DS375" s="15"/>
      <c r="DT375" s="15"/>
      <c r="DU375" s="15"/>
      <c r="DV375" s="15"/>
      <c r="DW375" s="15"/>
      <c r="DX375" s="15" t="s">
        <v>1155</v>
      </c>
      <c r="DY375" s="15" t="s">
        <v>328</v>
      </c>
      <c r="DZ375" s="15"/>
      <c r="EA375" s="15"/>
      <c r="EB375" s="15"/>
      <c r="EC375" s="15"/>
      <c r="ED375" s="15"/>
      <c r="EE375" s="102" t="s">
        <v>1155</v>
      </c>
      <c r="EF375" s="48"/>
      <c r="EG375" s="17">
        <f t="shared" si="5"/>
        <v>0</v>
      </c>
    </row>
    <row r="376" spans="1:137" x14ac:dyDescent="0.25">
      <c r="A376" s="52" t="s">
        <v>1857</v>
      </c>
      <c r="B376" s="211">
        <v>41572</v>
      </c>
      <c r="C376" s="212" t="s">
        <v>2760</v>
      </c>
      <c r="D376" s="103" t="s">
        <v>1628</v>
      </c>
      <c r="E376" s="15" t="s">
        <v>328</v>
      </c>
      <c r="F376" s="15"/>
      <c r="G376" s="15">
        <v>28</v>
      </c>
      <c r="H376" s="15" t="s">
        <v>329</v>
      </c>
      <c r="I376" s="15" t="s">
        <v>357</v>
      </c>
      <c r="J376" s="15" t="s">
        <v>1629</v>
      </c>
      <c r="K376" s="18" t="s">
        <v>1630</v>
      </c>
      <c r="L376" s="15" t="s">
        <v>1256</v>
      </c>
      <c r="M376" s="15">
        <v>3</v>
      </c>
      <c r="N376" s="15">
        <v>3</v>
      </c>
      <c r="O376" s="15">
        <v>2</v>
      </c>
      <c r="P376" s="15">
        <v>3</v>
      </c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 t="s">
        <v>328</v>
      </c>
      <c r="AC376" s="15" t="s">
        <v>328</v>
      </c>
      <c r="AD376" s="15"/>
      <c r="AE376" s="15"/>
      <c r="AF376" s="15"/>
      <c r="AG376" s="15"/>
      <c r="AH376" s="15"/>
      <c r="AI376" s="15"/>
      <c r="AJ376" s="15"/>
      <c r="AK376" s="15"/>
      <c r="AL376" s="15" t="s">
        <v>328</v>
      </c>
      <c r="AM376" s="15"/>
      <c r="AN376" s="15"/>
      <c r="AO376" s="15"/>
      <c r="AP376" s="15"/>
      <c r="AQ376" s="15"/>
      <c r="AR376" s="15">
        <v>8</v>
      </c>
      <c r="AS376" s="15">
        <v>4</v>
      </c>
      <c r="AT376" s="15"/>
      <c r="AU376" s="15"/>
      <c r="AV376" s="15"/>
      <c r="AW376" s="15" t="s">
        <v>328</v>
      </c>
      <c r="AX376" s="15">
        <v>2</v>
      </c>
      <c r="AY376" s="15">
        <v>1</v>
      </c>
      <c r="AZ376" s="15">
        <v>3</v>
      </c>
      <c r="BA376" s="15"/>
      <c r="BB376" s="15" t="s">
        <v>328</v>
      </c>
      <c r="BC376" s="15"/>
      <c r="BD376" s="15" t="s">
        <v>328</v>
      </c>
      <c r="BE376" s="15"/>
      <c r="BF376" s="15" t="s">
        <v>328</v>
      </c>
      <c r="BG376" s="15"/>
      <c r="BH376" s="15"/>
      <c r="BI376" s="15"/>
      <c r="BJ376" s="15"/>
      <c r="BK376" s="15"/>
      <c r="BL376" s="15"/>
      <c r="BM376" s="15"/>
      <c r="BN376" s="15"/>
      <c r="BO376" s="15" t="s">
        <v>328</v>
      </c>
      <c r="BP376" s="15" t="s">
        <v>328</v>
      </c>
      <c r="BQ376" s="15"/>
      <c r="BR376" s="15" t="s">
        <v>328</v>
      </c>
      <c r="BS376" s="15"/>
      <c r="BT376" s="15"/>
      <c r="BU376" s="15"/>
      <c r="BV376" s="15"/>
      <c r="BW376" s="15" t="s">
        <v>328</v>
      </c>
      <c r="BX376" s="15"/>
      <c r="BY376" s="15"/>
      <c r="BZ376" s="15"/>
      <c r="CA376" s="15"/>
      <c r="CB376" s="15"/>
      <c r="CC376" s="15" t="s">
        <v>328</v>
      </c>
      <c r="CD376" s="15"/>
      <c r="CE376" s="15"/>
      <c r="CF376" s="15"/>
      <c r="CG376" s="15"/>
      <c r="CH376" s="15"/>
      <c r="CI376" s="15" t="s">
        <v>328</v>
      </c>
      <c r="CJ376" s="15"/>
      <c r="CK376" s="15" t="s">
        <v>328</v>
      </c>
      <c r="CL376" s="15"/>
      <c r="CM376" s="15"/>
      <c r="CN376" s="15">
        <v>5</v>
      </c>
      <c r="CO376" s="15">
        <v>3</v>
      </c>
      <c r="CP376" s="15">
        <v>4</v>
      </c>
      <c r="CQ376" s="15">
        <v>6</v>
      </c>
      <c r="CR376" s="15">
        <v>2</v>
      </c>
      <c r="CS376" s="15">
        <v>1</v>
      </c>
      <c r="CT376" s="15"/>
      <c r="CU376" s="15"/>
      <c r="CV376" s="15"/>
      <c r="CW376" s="15"/>
      <c r="CX376" s="15"/>
      <c r="CY376" s="15"/>
      <c r="CZ376" s="15" t="s">
        <v>332</v>
      </c>
      <c r="DA376" s="15"/>
      <c r="DB376" s="15"/>
      <c r="DC376" s="15">
        <v>2</v>
      </c>
      <c r="DD376" s="15">
        <v>4</v>
      </c>
      <c r="DE376" s="15"/>
      <c r="DF376" s="15"/>
      <c r="DG376" s="15">
        <v>3</v>
      </c>
      <c r="DH376" s="15"/>
      <c r="DI376" s="15" t="s">
        <v>346</v>
      </c>
      <c r="DJ376" s="15" t="s">
        <v>328</v>
      </c>
      <c r="DK376" s="15"/>
      <c r="DL376" s="15"/>
      <c r="DM376" s="15"/>
      <c r="DN376" s="15"/>
      <c r="DO376" s="15"/>
      <c r="DP376" s="15"/>
      <c r="DQ376" s="15" t="s">
        <v>328</v>
      </c>
      <c r="DR376" s="15"/>
      <c r="DS376" s="15"/>
      <c r="DT376" s="15"/>
      <c r="DU376" s="15"/>
      <c r="DV376" s="15"/>
      <c r="DW376" s="15"/>
      <c r="DX376" s="15"/>
      <c r="DY376" s="15" t="s">
        <v>328</v>
      </c>
      <c r="DZ376" s="15"/>
      <c r="EA376" s="15"/>
      <c r="EB376" s="15"/>
      <c r="EC376" s="15"/>
      <c r="ED376" s="15"/>
      <c r="EE376" s="102"/>
      <c r="EF376" s="99"/>
      <c r="EG376" s="17">
        <f t="shared" si="5"/>
        <v>0</v>
      </c>
    </row>
    <row r="377" spans="1:137" x14ac:dyDescent="0.25">
      <c r="A377" s="52" t="s">
        <v>1857</v>
      </c>
      <c r="B377" s="211">
        <v>41572</v>
      </c>
      <c r="C377" s="212" t="s">
        <v>2760</v>
      </c>
      <c r="D377" s="103" t="s">
        <v>1633</v>
      </c>
      <c r="E377" s="14"/>
      <c r="F377" s="14" t="s">
        <v>328</v>
      </c>
      <c r="G377" s="14">
        <v>38</v>
      </c>
      <c r="H377" s="14" t="s">
        <v>329</v>
      </c>
      <c r="I377" s="14" t="s">
        <v>355</v>
      </c>
      <c r="J377" s="8" t="s">
        <v>1631</v>
      </c>
      <c r="K377" s="14" t="s">
        <v>1632</v>
      </c>
      <c r="L377" s="14" t="s">
        <v>1256</v>
      </c>
      <c r="M377" s="14">
        <v>12</v>
      </c>
      <c r="N377" s="14">
        <v>6</v>
      </c>
      <c r="O377" s="14"/>
      <c r="P377" s="14"/>
      <c r="Q377" s="14"/>
      <c r="R377" s="14"/>
      <c r="S377" s="14">
        <v>6</v>
      </c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 t="s">
        <v>328</v>
      </c>
      <c r="AK377" s="14"/>
      <c r="AL377" s="14" t="s">
        <v>328</v>
      </c>
      <c r="AM377" s="14"/>
      <c r="AN377" s="14"/>
      <c r="AO377" s="14"/>
      <c r="AP377" s="14"/>
      <c r="AQ377" s="14" t="s">
        <v>328</v>
      </c>
      <c r="AR377" s="14">
        <v>10</v>
      </c>
      <c r="AS377" s="14">
        <v>7</v>
      </c>
      <c r="AT377" s="14"/>
      <c r="AU377" s="14"/>
      <c r="AV377" s="14"/>
      <c r="AW377" s="14" t="s">
        <v>328</v>
      </c>
      <c r="AX377" s="14">
        <v>2</v>
      </c>
      <c r="AY377" s="14">
        <v>3</v>
      </c>
      <c r="AZ377" s="14">
        <v>1</v>
      </c>
      <c r="BA377" s="14"/>
      <c r="BB377" s="14"/>
      <c r="BC377" s="14" t="s">
        <v>328</v>
      </c>
      <c r="BD377" s="14"/>
      <c r="BE377" s="14"/>
      <c r="BF377" s="14"/>
      <c r="BG377" s="14" t="s">
        <v>328</v>
      </c>
      <c r="BH377" s="14"/>
      <c r="BI377" s="14"/>
      <c r="BJ377" s="14"/>
      <c r="BK377" s="14"/>
      <c r="BL377" s="14"/>
      <c r="BM377" s="14"/>
      <c r="BN377" s="14" t="s">
        <v>328</v>
      </c>
      <c r="BO377" s="14"/>
      <c r="BP377" s="14" t="s">
        <v>328</v>
      </c>
      <c r="BQ377" s="14"/>
      <c r="BR377" s="14" t="s">
        <v>328</v>
      </c>
      <c r="BS377" s="14"/>
      <c r="BT377" s="14"/>
      <c r="BU377" s="14"/>
      <c r="BV377" s="14" t="s">
        <v>328</v>
      </c>
      <c r="BW377" s="14" t="s">
        <v>328</v>
      </c>
      <c r="BX377" s="14"/>
      <c r="BY377" s="14"/>
      <c r="BZ377" s="14" t="s">
        <v>328</v>
      </c>
      <c r="CA377" s="14"/>
      <c r="CB377" s="14"/>
      <c r="CC377" s="14" t="s">
        <v>328</v>
      </c>
      <c r="CD377" s="14"/>
      <c r="CE377" s="14"/>
      <c r="CF377" s="14"/>
      <c r="CG377" s="14"/>
      <c r="CH377" s="14"/>
      <c r="CI377" s="14" t="s">
        <v>328</v>
      </c>
      <c r="CJ377" s="14"/>
      <c r="CK377" s="14"/>
      <c r="CL377" s="14"/>
      <c r="CM377" s="14"/>
      <c r="CN377" s="14">
        <v>3</v>
      </c>
      <c r="CO377" s="14">
        <v>4</v>
      </c>
      <c r="CP377" s="14">
        <v>1</v>
      </c>
      <c r="CQ377" s="14">
        <v>2</v>
      </c>
      <c r="CR377" s="14">
        <v>5</v>
      </c>
      <c r="CS377" s="14">
        <v>6</v>
      </c>
      <c r="CT377" s="14" t="s">
        <v>328</v>
      </c>
      <c r="CU377" s="14"/>
      <c r="CV377" s="14"/>
      <c r="CW377" s="14"/>
      <c r="CX377" s="14" t="s">
        <v>328</v>
      </c>
      <c r="CY377" s="14"/>
      <c r="CZ377" s="14"/>
      <c r="DA377" s="14"/>
      <c r="DB377" s="14"/>
      <c r="DC377" s="14">
        <v>1</v>
      </c>
      <c r="DD377" s="14">
        <v>6</v>
      </c>
      <c r="DE377" s="14">
        <v>4</v>
      </c>
      <c r="DF377" s="14">
        <v>5</v>
      </c>
      <c r="DG377" s="14">
        <v>2</v>
      </c>
      <c r="DH377" s="14">
        <v>3</v>
      </c>
      <c r="DI377" s="14"/>
      <c r="DJ377" s="14" t="s">
        <v>328</v>
      </c>
      <c r="DK377" s="14"/>
      <c r="DL377" s="14"/>
      <c r="DM377" s="14"/>
      <c r="DN377" s="14"/>
      <c r="DO377" s="14"/>
      <c r="DP377" s="14" t="s">
        <v>333</v>
      </c>
      <c r="DQ377" s="14"/>
      <c r="DR377" s="14" t="s">
        <v>328</v>
      </c>
      <c r="DS377" s="14" t="s">
        <v>328</v>
      </c>
      <c r="DT377" s="14" t="s">
        <v>354</v>
      </c>
      <c r="DU377" s="14"/>
      <c r="DV377" s="14"/>
      <c r="DW377" s="14" t="s">
        <v>335</v>
      </c>
      <c r="DX377" s="14" t="s">
        <v>497</v>
      </c>
      <c r="DY377" s="14" t="s">
        <v>328</v>
      </c>
      <c r="DZ377" s="14"/>
      <c r="EA377" s="14"/>
      <c r="EB377" s="14"/>
      <c r="EC377" s="14"/>
      <c r="ED377" s="14"/>
      <c r="EE377" s="101" t="s">
        <v>333</v>
      </c>
      <c r="EF377" s="48"/>
      <c r="EG377" s="17">
        <f t="shared" si="5"/>
        <v>0</v>
      </c>
    </row>
    <row r="378" spans="1:137" x14ac:dyDescent="0.25">
      <c r="A378" s="52" t="s">
        <v>1857</v>
      </c>
      <c r="B378" s="211">
        <v>41572</v>
      </c>
      <c r="C378" s="212" t="s">
        <v>2760</v>
      </c>
      <c r="D378" s="103" t="s">
        <v>1634</v>
      </c>
      <c r="E378" s="15" t="s">
        <v>328</v>
      </c>
      <c r="F378" s="15"/>
      <c r="G378" s="15">
        <v>40</v>
      </c>
      <c r="H378" s="15" t="s">
        <v>329</v>
      </c>
      <c r="I378" s="15" t="s">
        <v>330</v>
      </c>
      <c r="J378" s="15" t="s">
        <v>1635</v>
      </c>
      <c r="K378" s="15" t="s">
        <v>1636</v>
      </c>
      <c r="L378" s="15" t="s">
        <v>1256</v>
      </c>
      <c r="M378" s="15">
        <v>20</v>
      </c>
      <c r="N378" s="15">
        <v>1</v>
      </c>
      <c r="O378" s="15">
        <v>1</v>
      </c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 t="s">
        <v>418</v>
      </c>
      <c r="AL378" s="15"/>
      <c r="AM378" s="15" t="s">
        <v>328</v>
      </c>
      <c r="AN378" s="15"/>
      <c r="AO378" s="15" t="s">
        <v>328</v>
      </c>
      <c r="AP378" s="15"/>
      <c r="AQ378" s="15" t="s">
        <v>328</v>
      </c>
      <c r="AR378" s="15">
        <v>10</v>
      </c>
      <c r="AS378" s="15">
        <v>3</v>
      </c>
      <c r="AT378" s="15"/>
      <c r="AU378" s="15"/>
      <c r="AV378" s="15" t="s">
        <v>328</v>
      </c>
      <c r="AW378" s="15"/>
      <c r="AX378" s="15">
        <v>2</v>
      </c>
      <c r="AY378" s="15">
        <v>3</v>
      </c>
      <c r="AZ378" s="15">
        <v>1</v>
      </c>
      <c r="BA378" s="15"/>
      <c r="BB378" s="15" t="s">
        <v>328</v>
      </c>
      <c r="BC378" s="15"/>
      <c r="BD378" s="15" t="s">
        <v>328</v>
      </c>
      <c r="BE378" s="15"/>
      <c r="BF378" s="15"/>
      <c r="BG378" s="15"/>
      <c r="BH378" s="15"/>
      <c r="BI378" s="15"/>
      <c r="BJ378" s="15"/>
      <c r="BK378" s="15" t="s">
        <v>328</v>
      </c>
      <c r="BL378" s="15"/>
      <c r="BM378" s="15"/>
      <c r="BN378" s="15"/>
      <c r="BO378" s="15" t="s">
        <v>328</v>
      </c>
      <c r="BP378" s="15"/>
      <c r="BQ378" s="15" t="s">
        <v>328</v>
      </c>
      <c r="BR378" s="15" t="s">
        <v>328</v>
      </c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 t="s">
        <v>332</v>
      </c>
      <c r="CI378" s="15"/>
      <c r="CJ378" s="15"/>
      <c r="CK378" s="15"/>
      <c r="CL378" s="15" t="s">
        <v>328</v>
      </c>
      <c r="CM378" s="15"/>
      <c r="CN378" s="15">
        <v>4</v>
      </c>
      <c r="CO378" s="15">
        <v>2</v>
      </c>
      <c r="CP378" s="15">
        <v>1</v>
      </c>
      <c r="CQ378" s="15">
        <v>5</v>
      </c>
      <c r="CR378" s="15">
        <v>6</v>
      </c>
      <c r="CS378" s="15">
        <v>3</v>
      </c>
      <c r="CT378" s="15"/>
      <c r="CU378" s="15"/>
      <c r="CV378" s="15"/>
      <c r="CW378" s="15"/>
      <c r="CX378" s="15"/>
      <c r="CY378" s="15"/>
      <c r="CZ378" s="15" t="s">
        <v>332</v>
      </c>
      <c r="DA378" s="15" t="s">
        <v>328</v>
      </c>
      <c r="DB378" s="15" t="s">
        <v>404</v>
      </c>
      <c r="DC378" s="15"/>
      <c r="DD378" s="15"/>
      <c r="DE378" s="15"/>
      <c r="DF378" s="15"/>
      <c r="DG378" s="15"/>
      <c r="DH378" s="15"/>
      <c r="DI378" s="15"/>
      <c r="DJ378" s="15" t="s">
        <v>328</v>
      </c>
      <c r="DK378" s="15"/>
      <c r="DL378" s="15"/>
      <c r="DM378" s="15"/>
      <c r="DN378" s="15"/>
      <c r="DO378" s="15"/>
      <c r="DP378" s="14" t="s">
        <v>333</v>
      </c>
      <c r="DQ378" s="15" t="s">
        <v>328</v>
      </c>
      <c r="DR378" s="15"/>
      <c r="DS378" s="15"/>
      <c r="DT378" s="15"/>
      <c r="DU378" s="15"/>
      <c r="DV378" s="15"/>
      <c r="DW378" s="15"/>
      <c r="DX378" s="15" t="s">
        <v>1144</v>
      </c>
      <c r="DY378" s="15" t="s">
        <v>328</v>
      </c>
      <c r="DZ378" s="15"/>
      <c r="EA378" s="15"/>
      <c r="EB378" s="15"/>
      <c r="EC378" s="15"/>
      <c r="ED378" s="15"/>
      <c r="EE378" s="101" t="s">
        <v>333</v>
      </c>
      <c r="EF378" s="48"/>
      <c r="EG378" s="17">
        <f t="shared" si="5"/>
        <v>0</v>
      </c>
    </row>
    <row r="379" spans="1:137" x14ac:dyDescent="0.25">
      <c r="A379" s="52" t="s">
        <v>1857</v>
      </c>
      <c r="B379" s="211">
        <v>41572</v>
      </c>
      <c r="C379" s="212" t="s">
        <v>2760</v>
      </c>
      <c r="D379" s="103" t="s">
        <v>1637</v>
      </c>
      <c r="E379" s="15" t="s">
        <v>328</v>
      </c>
      <c r="F379" s="15"/>
      <c r="G379" s="15">
        <v>42</v>
      </c>
      <c r="H379" s="15" t="s">
        <v>329</v>
      </c>
      <c r="I379" s="15" t="s">
        <v>357</v>
      </c>
      <c r="J379" s="8" t="s">
        <v>1612</v>
      </c>
      <c r="K379" s="14" t="s">
        <v>1632</v>
      </c>
      <c r="L379" s="14" t="s">
        <v>1256</v>
      </c>
      <c r="M379" s="15">
        <v>15</v>
      </c>
      <c r="N379" s="15">
        <v>2</v>
      </c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>
        <v>2</v>
      </c>
      <c r="AA379" s="14"/>
      <c r="AB379" s="15" t="s">
        <v>328</v>
      </c>
      <c r="AC379" s="15" t="s">
        <v>328</v>
      </c>
      <c r="AD379" s="15"/>
      <c r="AE379" s="15"/>
      <c r="AF379" s="15"/>
      <c r="AG379" s="15" t="s">
        <v>328</v>
      </c>
      <c r="AH379" s="15"/>
      <c r="AI379" s="15"/>
      <c r="AJ379" s="15"/>
      <c r="AK379" s="15" t="s">
        <v>692</v>
      </c>
      <c r="AL379" s="15"/>
      <c r="AM379" s="15" t="s">
        <v>328</v>
      </c>
      <c r="AN379" s="15"/>
      <c r="AO379" s="15" t="s">
        <v>328</v>
      </c>
      <c r="AP379" s="15" t="s">
        <v>328</v>
      </c>
      <c r="AQ379" s="15" t="s">
        <v>328</v>
      </c>
      <c r="AR379" s="15">
        <v>8</v>
      </c>
      <c r="AS379" s="15">
        <v>5</v>
      </c>
      <c r="AT379" s="15"/>
      <c r="AU379" s="15" t="s">
        <v>328</v>
      </c>
      <c r="AV379" s="15"/>
      <c r="AW379" s="15"/>
      <c r="AX379" s="15">
        <v>2</v>
      </c>
      <c r="AY379" s="15">
        <v>3</v>
      </c>
      <c r="AZ379" s="15">
        <v>4</v>
      </c>
      <c r="BA379" s="15" t="s">
        <v>346</v>
      </c>
      <c r="BB379" s="15" t="s">
        <v>328</v>
      </c>
      <c r="BC379" s="15"/>
      <c r="BD379" s="15" t="s">
        <v>328</v>
      </c>
      <c r="BE379" s="15" t="s">
        <v>328</v>
      </c>
      <c r="BF379" s="15"/>
      <c r="BG379" s="15"/>
      <c r="BH379" s="15"/>
      <c r="BI379" s="15"/>
      <c r="BJ379" s="15"/>
      <c r="BK379" s="15"/>
      <c r="BL379" s="15"/>
      <c r="BM379" s="15"/>
      <c r="BN379" s="15"/>
      <c r="BO379" s="15" t="s">
        <v>328</v>
      </c>
      <c r="BP379" s="15" t="s">
        <v>328</v>
      </c>
      <c r="BQ379" s="15"/>
      <c r="BR379" s="15"/>
      <c r="BS379" s="15"/>
      <c r="BT379" s="15"/>
      <c r="BU379" s="15"/>
      <c r="BV379" s="15" t="s">
        <v>328</v>
      </c>
      <c r="BW379" s="15"/>
      <c r="BX379" s="15"/>
      <c r="BY379" s="15" t="s">
        <v>328</v>
      </c>
      <c r="BZ379" s="15"/>
      <c r="CA379" s="15"/>
      <c r="CB379" s="15" t="s">
        <v>328</v>
      </c>
      <c r="CC379" s="15" t="s">
        <v>328</v>
      </c>
      <c r="CD379" s="15"/>
      <c r="CE379" s="15"/>
      <c r="CF379" s="15"/>
      <c r="CG379" s="15"/>
      <c r="CH379" s="15"/>
      <c r="CI379" s="15" t="s">
        <v>328</v>
      </c>
      <c r="CJ379" s="15"/>
      <c r="CK379" s="15"/>
      <c r="CL379" s="15"/>
      <c r="CM379" s="15"/>
      <c r="CN379" s="15">
        <v>2</v>
      </c>
      <c r="CO379" s="15">
        <v>4</v>
      </c>
      <c r="CP379" s="15">
        <v>1</v>
      </c>
      <c r="CQ379" s="15">
        <v>5</v>
      </c>
      <c r="CR379" s="15">
        <v>6</v>
      </c>
      <c r="CS379" s="15">
        <v>3</v>
      </c>
      <c r="CT379" s="15"/>
      <c r="CU379" s="15"/>
      <c r="CV379" s="15"/>
      <c r="CW379" s="15"/>
      <c r="CX379" s="15" t="s">
        <v>328</v>
      </c>
      <c r="CY379" s="15"/>
      <c r="CZ379" s="15"/>
      <c r="DA379" s="15"/>
      <c r="DB379" s="15"/>
      <c r="DC379" s="15">
        <v>1</v>
      </c>
      <c r="DD379" s="15">
        <v>2</v>
      </c>
      <c r="DE379" s="15">
        <v>4</v>
      </c>
      <c r="DF379" s="15">
        <v>5</v>
      </c>
      <c r="DG379" s="15">
        <v>3</v>
      </c>
      <c r="DH379" s="15">
        <v>6</v>
      </c>
      <c r="DI379" s="15"/>
      <c r="DJ379" s="15" t="s">
        <v>328</v>
      </c>
      <c r="DK379" s="15"/>
      <c r="DL379" s="15"/>
      <c r="DM379" s="15"/>
      <c r="DN379" s="15"/>
      <c r="DO379" s="15"/>
      <c r="DP379" s="14" t="s">
        <v>333</v>
      </c>
      <c r="DQ379" s="15" t="s">
        <v>328</v>
      </c>
      <c r="DR379" s="15"/>
      <c r="DS379" s="15"/>
      <c r="DT379" s="15"/>
      <c r="DU379" s="15"/>
      <c r="DV379" s="15"/>
      <c r="DW379" s="15"/>
      <c r="DX379" s="15" t="s">
        <v>1144</v>
      </c>
      <c r="DY379" s="15" t="s">
        <v>328</v>
      </c>
      <c r="DZ379" s="15"/>
      <c r="EA379" s="15"/>
      <c r="EB379" s="15"/>
      <c r="EC379" s="15"/>
      <c r="ED379" s="15"/>
      <c r="EE379" s="101" t="s">
        <v>333</v>
      </c>
      <c r="EF379" s="48"/>
      <c r="EG379" s="17">
        <f t="shared" si="5"/>
        <v>0</v>
      </c>
    </row>
    <row r="380" spans="1:137" x14ac:dyDescent="0.25">
      <c r="A380" s="52" t="s">
        <v>1857</v>
      </c>
      <c r="B380" s="211">
        <v>41572</v>
      </c>
      <c r="C380" s="212" t="s">
        <v>2760</v>
      </c>
      <c r="D380" s="103" t="s">
        <v>1638</v>
      </c>
      <c r="E380" s="15" t="s">
        <v>328</v>
      </c>
      <c r="F380" s="15"/>
      <c r="G380" s="15">
        <v>60</v>
      </c>
      <c r="H380" s="15" t="s">
        <v>329</v>
      </c>
      <c r="I380" s="15" t="s">
        <v>353</v>
      </c>
      <c r="J380" s="14" t="s">
        <v>1614</v>
      </c>
      <c r="K380" s="14" t="s">
        <v>1615</v>
      </c>
      <c r="L380" s="14" t="s">
        <v>1256</v>
      </c>
      <c r="M380" s="15">
        <v>35</v>
      </c>
      <c r="N380" s="15">
        <v>2</v>
      </c>
      <c r="O380" s="15"/>
      <c r="P380" s="15">
        <v>4</v>
      </c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 t="s">
        <v>328</v>
      </c>
      <c r="AC380" s="15"/>
      <c r="AD380" s="15"/>
      <c r="AE380" s="15"/>
      <c r="AF380" s="15"/>
      <c r="AG380" s="15"/>
      <c r="AH380" s="15"/>
      <c r="AI380" s="15" t="s">
        <v>328</v>
      </c>
      <c r="AJ380" s="15"/>
      <c r="AK380" s="15"/>
      <c r="AL380" s="15" t="s">
        <v>328</v>
      </c>
      <c r="AM380" s="15"/>
      <c r="AN380" s="15" t="s">
        <v>328</v>
      </c>
      <c r="AO380" s="15" t="s">
        <v>328</v>
      </c>
      <c r="AP380" s="15"/>
      <c r="AQ380" s="12"/>
      <c r="AR380" s="15">
        <v>10</v>
      </c>
      <c r="AS380" s="15">
        <v>5</v>
      </c>
      <c r="AT380" s="15" t="s">
        <v>328</v>
      </c>
      <c r="AU380" s="15"/>
      <c r="AV380" s="15" t="s">
        <v>328</v>
      </c>
      <c r="AW380" s="15"/>
      <c r="AX380" s="15">
        <v>3</v>
      </c>
      <c r="AY380" s="15">
        <v>2</v>
      </c>
      <c r="AZ380" s="15">
        <v>4</v>
      </c>
      <c r="BA380" s="15" t="s">
        <v>346</v>
      </c>
      <c r="BB380" s="15" t="s">
        <v>328</v>
      </c>
      <c r="BC380" s="15"/>
      <c r="BD380" s="15"/>
      <c r="BE380" s="15"/>
      <c r="BF380" s="15" t="s">
        <v>328</v>
      </c>
      <c r="BG380" s="15"/>
      <c r="BH380" s="15"/>
      <c r="BI380" s="15"/>
      <c r="BJ380" s="15"/>
      <c r="BK380" s="15" t="s">
        <v>328</v>
      </c>
      <c r="BL380" s="15"/>
      <c r="BM380" s="15"/>
      <c r="BN380" s="15"/>
      <c r="BO380" s="15" t="s">
        <v>328</v>
      </c>
      <c r="BP380" s="15" t="s">
        <v>328</v>
      </c>
      <c r="BQ380" s="15"/>
      <c r="BR380" s="15" t="s">
        <v>328</v>
      </c>
      <c r="BS380" s="15"/>
      <c r="BT380" s="15" t="s">
        <v>328</v>
      </c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 t="s">
        <v>328</v>
      </c>
      <c r="CG380" s="15"/>
      <c r="CH380" s="15"/>
      <c r="CI380" s="15" t="s">
        <v>328</v>
      </c>
      <c r="CJ380" s="15"/>
      <c r="CK380" s="15"/>
      <c r="CL380" s="15"/>
      <c r="CM380" s="15" t="s">
        <v>328</v>
      </c>
      <c r="CN380" s="15">
        <v>2</v>
      </c>
      <c r="CO380" s="15">
        <v>1</v>
      </c>
      <c r="CP380" s="15">
        <v>3</v>
      </c>
      <c r="CQ380" s="15">
        <v>5</v>
      </c>
      <c r="CR380" s="15">
        <v>4</v>
      </c>
      <c r="CS380" s="15">
        <v>6</v>
      </c>
      <c r="CT380" s="15" t="s">
        <v>328</v>
      </c>
      <c r="CU380" s="15"/>
      <c r="CV380" s="15"/>
      <c r="CW380" s="15"/>
      <c r="CX380" s="15" t="s">
        <v>328</v>
      </c>
      <c r="CY380" s="15"/>
      <c r="CZ380" s="15"/>
      <c r="DA380" s="15"/>
      <c r="DB380" s="15"/>
      <c r="DC380" s="15">
        <v>3</v>
      </c>
      <c r="DD380" s="15">
        <v>6</v>
      </c>
      <c r="DE380" s="15">
        <v>5</v>
      </c>
      <c r="DF380" s="15">
        <v>2</v>
      </c>
      <c r="DG380" s="15">
        <v>4</v>
      </c>
      <c r="DH380" s="15">
        <v>1</v>
      </c>
      <c r="DI380" s="15"/>
      <c r="DJ380" s="15" t="s">
        <v>328</v>
      </c>
      <c r="DK380" s="15"/>
      <c r="DL380" s="15"/>
      <c r="DM380" s="15"/>
      <c r="DN380" s="15"/>
      <c r="DO380" s="15"/>
      <c r="DP380" s="15"/>
      <c r="DQ380" s="15" t="s">
        <v>328</v>
      </c>
      <c r="DR380" s="15"/>
      <c r="DS380" s="15"/>
      <c r="DT380" s="15"/>
      <c r="DU380" s="15"/>
      <c r="DV380" s="15"/>
      <c r="DW380" s="15"/>
      <c r="DX380" s="15"/>
      <c r="DY380" s="15" t="s">
        <v>328</v>
      </c>
      <c r="DZ380" s="15"/>
      <c r="EA380" s="15"/>
      <c r="EB380" s="15"/>
      <c r="EC380" s="15"/>
      <c r="ED380" s="12"/>
      <c r="EE380" s="80"/>
      <c r="EG380" s="17">
        <f t="shared" si="5"/>
        <v>0</v>
      </c>
    </row>
    <row r="381" spans="1:137" x14ac:dyDescent="0.25">
      <c r="A381" s="52" t="s">
        <v>1857</v>
      </c>
      <c r="B381" s="211">
        <v>41572</v>
      </c>
      <c r="C381" s="212" t="s">
        <v>2760</v>
      </c>
      <c r="D381" s="103" t="s">
        <v>1639</v>
      </c>
      <c r="E381" s="15" t="s">
        <v>328</v>
      </c>
      <c r="F381" s="15"/>
      <c r="G381" s="15">
        <v>35</v>
      </c>
      <c r="H381" s="15" t="s">
        <v>329</v>
      </c>
      <c r="I381" s="15" t="s">
        <v>399</v>
      </c>
      <c r="J381" s="8" t="s">
        <v>1606</v>
      </c>
      <c r="K381" s="14" t="s">
        <v>1607</v>
      </c>
      <c r="L381" s="14" t="s">
        <v>1256</v>
      </c>
      <c r="M381" s="15">
        <v>10</v>
      </c>
      <c r="N381" s="15">
        <v>4</v>
      </c>
      <c r="O381" s="15">
        <v>3</v>
      </c>
      <c r="P381" s="15"/>
      <c r="Q381" s="15"/>
      <c r="R381" s="15">
        <v>3</v>
      </c>
      <c r="S381" s="15"/>
      <c r="T381" s="15"/>
      <c r="U381" s="15"/>
      <c r="V381" s="15"/>
      <c r="W381" s="15"/>
      <c r="X381" s="15"/>
      <c r="Y381" s="15"/>
      <c r="Z381" s="15"/>
      <c r="AA381" s="15"/>
      <c r="AB381" s="15" t="s">
        <v>328</v>
      </c>
      <c r="AC381" s="15" t="s">
        <v>328</v>
      </c>
      <c r="AD381" s="15"/>
      <c r="AE381" s="15"/>
      <c r="AF381" s="15"/>
      <c r="AG381" s="15"/>
      <c r="AH381" s="15"/>
      <c r="AI381" s="15" t="s">
        <v>328</v>
      </c>
      <c r="AJ381" s="15"/>
      <c r="AK381" s="15"/>
      <c r="AL381" s="15" t="s">
        <v>328</v>
      </c>
      <c r="AM381" s="15"/>
      <c r="AN381" s="15"/>
      <c r="AO381" s="15"/>
      <c r="AP381" s="15"/>
      <c r="AQ381" s="15" t="s">
        <v>328</v>
      </c>
      <c r="AR381" s="15">
        <v>10</v>
      </c>
      <c r="AS381" s="15">
        <v>5</v>
      </c>
      <c r="AT381" s="15"/>
      <c r="AU381" s="15" t="s">
        <v>328</v>
      </c>
      <c r="AV381" s="15"/>
      <c r="AW381" s="15"/>
      <c r="AX381" s="15">
        <v>3</v>
      </c>
      <c r="AY381" s="15">
        <v>1</v>
      </c>
      <c r="AZ381" s="15">
        <v>2</v>
      </c>
      <c r="BA381" s="15"/>
      <c r="BB381" s="15"/>
      <c r="BC381" s="15" t="s">
        <v>328</v>
      </c>
      <c r="BD381" s="15" t="s">
        <v>328</v>
      </c>
      <c r="BE381" s="15"/>
      <c r="BF381" s="15"/>
      <c r="BG381" s="15"/>
      <c r="BH381" s="15"/>
      <c r="BI381" s="15"/>
      <c r="BJ381" s="15"/>
      <c r="BK381" s="15" t="s">
        <v>328</v>
      </c>
      <c r="BL381" s="15"/>
      <c r="BM381" s="15"/>
      <c r="BN381" s="15"/>
      <c r="BO381" s="15" t="s">
        <v>328</v>
      </c>
      <c r="BP381" s="15" t="s">
        <v>328</v>
      </c>
      <c r="BQ381" s="15"/>
      <c r="BR381" s="15" t="s">
        <v>328</v>
      </c>
      <c r="BS381" s="15"/>
      <c r="BT381" s="15"/>
      <c r="BU381" s="15"/>
      <c r="BV381" s="15" t="s">
        <v>328</v>
      </c>
      <c r="BW381" s="15"/>
      <c r="BX381" s="15"/>
      <c r="BY381" s="15" t="s">
        <v>328</v>
      </c>
      <c r="BZ381" s="15"/>
      <c r="CA381" s="15"/>
      <c r="CB381" s="15"/>
      <c r="CC381" s="15" t="s">
        <v>328</v>
      </c>
      <c r="CD381" s="15"/>
      <c r="CE381" s="15"/>
      <c r="CF381" s="15"/>
      <c r="CG381" s="15"/>
      <c r="CH381" s="15"/>
      <c r="CI381" s="15" t="s">
        <v>328</v>
      </c>
      <c r="CJ381" s="15"/>
      <c r="CK381" s="15"/>
      <c r="CL381" s="15"/>
      <c r="CM381" s="15"/>
      <c r="CN381" s="15">
        <v>1</v>
      </c>
      <c r="CO381" s="15">
        <v>4</v>
      </c>
      <c r="CP381" s="15">
        <v>2</v>
      </c>
      <c r="CQ381" s="15">
        <v>6</v>
      </c>
      <c r="CR381" s="15">
        <v>5</v>
      </c>
      <c r="CS381" s="15">
        <v>3</v>
      </c>
      <c r="CT381" s="15"/>
      <c r="CU381" s="15" t="s">
        <v>328</v>
      </c>
      <c r="CV381" s="15" t="s">
        <v>328</v>
      </c>
      <c r="CW381" s="15"/>
      <c r="CX381" s="15"/>
      <c r="CY381" s="15" t="s">
        <v>328</v>
      </c>
      <c r="CZ381" s="15"/>
      <c r="DA381" s="15"/>
      <c r="DB381" s="15"/>
      <c r="DC381" s="15">
        <v>1</v>
      </c>
      <c r="DD381" s="15"/>
      <c r="DE381" s="15"/>
      <c r="DF381" s="15"/>
      <c r="DG381" s="15">
        <v>2</v>
      </c>
      <c r="DH381" s="15">
        <v>3</v>
      </c>
      <c r="DI381" s="15"/>
      <c r="DJ381" s="15" t="s">
        <v>328</v>
      </c>
      <c r="DK381" s="15"/>
      <c r="DL381" s="15"/>
      <c r="DM381" s="15"/>
      <c r="DN381" s="15"/>
      <c r="DO381" s="15"/>
      <c r="DP381" s="15"/>
      <c r="DQ381" s="15" t="s">
        <v>328</v>
      </c>
      <c r="DR381" s="15"/>
      <c r="DS381" s="15"/>
      <c r="DT381" s="15"/>
      <c r="DU381" s="15"/>
      <c r="DV381" s="15"/>
      <c r="DW381" s="15"/>
      <c r="DX381" s="15"/>
      <c r="DY381" s="15" t="s">
        <v>328</v>
      </c>
      <c r="DZ381" s="15"/>
      <c r="EA381" s="15"/>
      <c r="EB381" s="15"/>
      <c r="EC381" s="15"/>
      <c r="ED381" s="15"/>
      <c r="EE381" s="102"/>
      <c r="EF381" s="99"/>
      <c r="EG381" s="17">
        <f t="shared" si="5"/>
        <v>0</v>
      </c>
    </row>
    <row r="382" spans="1:137" x14ac:dyDescent="0.25">
      <c r="A382" s="52" t="s">
        <v>1857</v>
      </c>
      <c r="B382" s="211">
        <v>41572</v>
      </c>
      <c r="C382" s="212" t="s">
        <v>2760</v>
      </c>
      <c r="D382" s="103" t="s">
        <v>1640</v>
      </c>
      <c r="E382" s="14" t="s">
        <v>328</v>
      </c>
      <c r="F382" s="14"/>
      <c r="G382" s="14">
        <v>52</v>
      </c>
      <c r="H382" s="14" t="s">
        <v>329</v>
      </c>
      <c r="I382" s="14" t="s">
        <v>357</v>
      </c>
      <c r="J382" s="14" t="s">
        <v>1641</v>
      </c>
      <c r="K382" s="8" t="s">
        <v>1642</v>
      </c>
      <c r="L382" s="14" t="s">
        <v>1256</v>
      </c>
      <c r="M382" s="14">
        <v>37</v>
      </c>
      <c r="N382" s="14">
        <v>1</v>
      </c>
      <c r="O382" s="14"/>
      <c r="P382" s="14"/>
      <c r="Q382" s="14"/>
      <c r="R382" s="14">
        <v>1</v>
      </c>
      <c r="S382" s="14"/>
      <c r="T382" s="14"/>
      <c r="U382" s="14"/>
      <c r="V382" s="14"/>
      <c r="W382" s="14"/>
      <c r="X382" s="14"/>
      <c r="Y382" s="14"/>
      <c r="Z382" s="14"/>
      <c r="AA382" s="14"/>
      <c r="AB382" s="14" t="s">
        <v>328</v>
      </c>
      <c r="AC382" s="14"/>
      <c r="AD382" s="14"/>
      <c r="AE382" s="14"/>
      <c r="AF382" s="14"/>
      <c r="AG382" s="14"/>
      <c r="AH382" s="14"/>
      <c r="AI382" s="14" t="s">
        <v>328</v>
      </c>
      <c r="AJ382" s="14"/>
      <c r="AK382" s="14"/>
      <c r="AL382" s="14"/>
      <c r="AM382" s="14" t="s">
        <v>328</v>
      </c>
      <c r="AN382" s="14"/>
      <c r="AO382" s="14" t="s">
        <v>328</v>
      </c>
      <c r="AP382" s="14"/>
      <c r="AQ382" s="14" t="s">
        <v>328</v>
      </c>
      <c r="AR382" s="14">
        <v>7</v>
      </c>
      <c r="AS382" s="14">
        <v>3</v>
      </c>
      <c r="AT382" s="14"/>
      <c r="AU382" s="14" t="s">
        <v>328</v>
      </c>
      <c r="AV382" s="14"/>
      <c r="AW382" s="14"/>
      <c r="AX382" s="14">
        <v>3</v>
      </c>
      <c r="AY382" s="14">
        <v>4</v>
      </c>
      <c r="AZ382" s="14">
        <v>2</v>
      </c>
      <c r="BA382" s="14" t="s">
        <v>346</v>
      </c>
      <c r="BB382" s="14" t="s">
        <v>328</v>
      </c>
      <c r="BC382" s="14"/>
      <c r="BD382" s="14" t="s">
        <v>328</v>
      </c>
      <c r="BE382" s="14" t="s">
        <v>328</v>
      </c>
      <c r="BF382" s="14"/>
      <c r="BG382" s="14"/>
      <c r="BH382" s="14"/>
      <c r="BI382" s="14"/>
      <c r="BJ382" s="14"/>
      <c r="BK382" s="14"/>
      <c r="BL382" s="14"/>
      <c r="BM382" s="14"/>
      <c r="BN382" s="14"/>
      <c r="BO382" s="14" t="s">
        <v>328</v>
      </c>
      <c r="BP382" s="14"/>
      <c r="BQ382" s="14" t="s">
        <v>328</v>
      </c>
      <c r="BR382" s="14"/>
      <c r="BS382" s="14"/>
      <c r="BT382" s="14" t="s">
        <v>328</v>
      </c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 t="s">
        <v>328</v>
      </c>
      <c r="CG382" s="14"/>
      <c r="CH382" s="14"/>
      <c r="CI382" s="14"/>
      <c r="CJ382" s="14"/>
      <c r="CK382" s="14" t="s">
        <v>328</v>
      </c>
      <c r="CL382" s="14"/>
      <c r="CM382" s="14"/>
      <c r="CN382" s="14">
        <v>6</v>
      </c>
      <c r="CO382" s="14">
        <v>1</v>
      </c>
      <c r="CP382" s="14">
        <v>2</v>
      </c>
      <c r="CQ382" s="14">
        <v>3</v>
      </c>
      <c r="CR382" s="14">
        <v>4</v>
      </c>
      <c r="CS382" s="14">
        <v>5</v>
      </c>
      <c r="CT382" s="14"/>
      <c r="CU382" s="14"/>
      <c r="CV382" s="14"/>
      <c r="CW382" s="14"/>
      <c r="CX382" s="14"/>
      <c r="CY382" s="14"/>
      <c r="CZ382" s="14" t="s">
        <v>332</v>
      </c>
      <c r="DA382" s="14"/>
      <c r="DB382" s="14"/>
      <c r="DC382" s="14">
        <v>1</v>
      </c>
      <c r="DD382" s="14">
        <v>3</v>
      </c>
      <c r="DE382" s="14">
        <v>5</v>
      </c>
      <c r="DF382" s="14">
        <v>2</v>
      </c>
      <c r="DG382" s="14">
        <v>4</v>
      </c>
      <c r="DH382" s="14">
        <v>6</v>
      </c>
      <c r="DI382" s="14"/>
      <c r="DJ382" s="14" t="s">
        <v>328</v>
      </c>
      <c r="DK382" s="14"/>
      <c r="DL382" s="14"/>
      <c r="DM382" s="14"/>
      <c r="DN382" s="14"/>
      <c r="DO382" s="14"/>
      <c r="DP382" s="14" t="s">
        <v>333</v>
      </c>
      <c r="DQ382" s="14" t="s">
        <v>328</v>
      </c>
      <c r="DR382" s="14"/>
      <c r="DS382" s="14"/>
      <c r="DT382" s="14"/>
      <c r="DU382" s="14"/>
      <c r="DV382" s="14"/>
      <c r="DW382" s="14"/>
      <c r="DX382" s="15" t="s">
        <v>1144</v>
      </c>
      <c r="DY382" s="14" t="s">
        <v>328</v>
      </c>
      <c r="DZ382" s="14"/>
      <c r="EA382" s="14"/>
      <c r="EB382" s="14"/>
      <c r="EC382" s="14"/>
      <c r="ED382" s="14"/>
      <c r="EE382" s="101" t="s">
        <v>333</v>
      </c>
      <c r="EF382" s="99"/>
      <c r="EG382" s="17">
        <f t="shared" si="5"/>
        <v>0</v>
      </c>
    </row>
    <row r="383" spans="1:137" x14ac:dyDescent="0.25">
      <c r="A383" s="52" t="s">
        <v>1857</v>
      </c>
      <c r="B383" s="211">
        <v>41572</v>
      </c>
      <c r="C383" s="212" t="s">
        <v>2760</v>
      </c>
      <c r="D383" s="103" t="s">
        <v>1643</v>
      </c>
      <c r="E383" s="14" t="s">
        <v>328</v>
      </c>
      <c r="F383" s="14"/>
      <c r="G383" s="14">
        <v>51</v>
      </c>
      <c r="H383" s="14" t="s">
        <v>329</v>
      </c>
      <c r="I383" s="14" t="s">
        <v>355</v>
      </c>
      <c r="J383" s="14" t="s">
        <v>386</v>
      </c>
      <c r="K383" s="14" t="s">
        <v>1189</v>
      </c>
      <c r="L383" s="14" t="s">
        <v>1256</v>
      </c>
      <c r="M383" s="14">
        <v>20</v>
      </c>
      <c r="N383" s="14">
        <v>2</v>
      </c>
      <c r="O383" s="14">
        <v>2</v>
      </c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 t="s">
        <v>328</v>
      </c>
      <c r="AD383" s="14"/>
      <c r="AE383" s="14"/>
      <c r="AF383" s="14"/>
      <c r="AG383" s="14" t="s">
        <v>328</v>
      </c>
      <c r="AH383" s="14"/>
      <c r="AI383" s="14"/>
      <c r="AJ383" s="14"/>
      <c r="AK383" s="14"/>
      <c r="AL383" s="14" t="s">
        <v>328</v>
      </c>
      <c r="AM383" s="14"/>
      <c r="AN383" s="14"/>
      <c r="AO383" s="14" t="s">
        <v>328</v>
      </c>
      <c r="AP383" s="14"/>
      <c r="AQ383" s="14"/>
      <c r="AR383" s="14">
        <v>10</v>
      </c>
      <c r="AS383" s="14">
        <v>10</v>
      </c>
      <c r="AT383" s="14"/>
      <c r="AU383" s="14" t="s">
        <v>328</v>
      </c>
      <c r="AV383" s="14"/>
      <c r="AW383" s="14" t="s">
        <v>328</v>
      </c>
      <c r="AX383" s="14">
        <v>3</v>
      </c>
      <c r="AY383" s="14">
        <v>4</v>
      </c>
      <c r="AZ383" s="14">
        <v>2</v>
      </c>
      <c r="BA383" s="14" t="s">
        <v>346</v>
      </c>
      <c r="BB383" s="14"/>
      <c r="BC383" s="14" t="s">
        <v>328</v>
      </c>
      <c r="BD383" s="14" t="s">
        <v>328</v>
      </c>
      <c r="BE383" s="14"/>
      <c r="BF383" s="14" t="s">
        <v>328</v>
      </c>
      <c r="BG383" s="14"/>
      <c r="BH383" s="14"/>
      <c r="BI383" s="14"/>
      <c r="BJ383" s="14"/>
      <c r="BK383" s="14"/>
      <c r="BL383" s="14"/>
      <c r="BM383" s="14"/>
      <c r="BN383" s="14" t="s">
        <v>328</v>
      </c>
      <c r="BO383" s="14"/>
      <c r="BP383" s="14"/>
      <c r="BQ383" s="14" t="s">
        <v>328</v>
      </c>
      <c r="BR383" s="14"/>
      <c r="BS383" s="14"/>
      <c r="BT383" s="14" t="s">
        <v>328</v>
      </c>
      <c r="BU383" s="14"/>
      <c r="BV383" s="14"/>
      <c r="BW383" s="14" t="s">
        <v>328</v>
      </c>
      <c r="BX383" s="14"/>
      <c r="BY383" s="14" t="s">
        <v>328</v>
      </c>
      <c r="BZ383" s="14"/>
      <c r="CA383" s="14"/>
      <c r="CB383" s="14"/>
      <c r="CC383" s="14"/>
      <c r="CD383" s="14"/>
      <c r="CE383" s="14"/>
      <c r="CF383" s="14"/>
      <c r="CG383" s="14" t="s">
        <v>328</v>
      </c>
      <c r="CH383" s="14"/>
      <c r="CI383" s="14" t="s">
        <v>328</v>
      </c>
      <c r="CJ383" s="14"/>
      <c r="CK383" s="14" t="s">
        <v>328</v>
      </c>
      <c r="CL383" s="14"/>
      <c r="CM383" s="14"/>
      <c r="CN383" s="14">
        <v>2</v>
      </c>
      <c r="CO383" s="14">
        <v>3</v>
      </c>
      <c r="CP383" s="14">
        <v>1</v>
      </c>
      <c r="CQ383" s="14">
        <v>6</v>
      </c>
      <c r="CR383" s="14">
        <v>5</v>
      </c>
      <c r="CS383" s="14">
        <v>4</v>
      </c>
      <c r="CT383" s="14"/>
      <c r="CU383" s="14"/>
      <c r="CV383" s="14"/>
      <c r="CW383" s="14"/>
      <c r="CX383" s="14"/>
      <c r="CY383" s="14"/>
      <c r="CZ383" s="14" t="s">
        <v>332</v>
      </c>
      <c r="DA383" s="14"/>
      <c r="DB383" s="14"/>
      <c r="DC383" s="14">
        <v>2</v>
      </c>
      <c r="DD383" s="14">
        <v>4</v>
      </c>
      <c r="DE383" s="14">
        <v>3</v>
      </c>
      <c r="DF383" s="14">
        <v>6</v>
      </c>
      <c r="DG383" s="14">
        <v>1</v>
      </c>
      <c r="DH383" s="14">
        <v>5</v>
      </c>
      <c r="DI383" s="14"/>
      <c r="DJ383" s="14"/>
      <c r="DK383" s="14" t="s">
        <v>328</v>
      </c>
      <c r="DL383" s="14" t="s">
        <v>328</v>
      </c>
      <c r="DM383" s="14" t="s">
        <v>387</v>
      </c>
      <c r="DN383" s="14"/>
      <c r="DO383" s="14" t="s">
        <v>388</v>
      </c>
      <c r="DP383" s="14" t="s">
        <v>389</v>
      </c>
      <c r="DQ383" s="14"/>
      <c r="DR383" s="14" t="s">
        <v>328</v>
      </c>
      <c r="DS383" s="14" t="s">
        <v>328</v>
      </c>
      <c r="DT383" s="14" t="s">
        <v>354</v>
      </c>
      <c r="DU383" s="14"/>
      <c r="DV383" s="14"/>
      <c r="DW383" s="14" t="s">
        <v>335</v>
      </c>
      <c r="DX383" s="14" t="s">
        <v>336</v>
      </c>
      <c r="DY383" s="14" t="s">
        <v>328</v>
      </c>
      <c r="DZ383" s="14"/>
      <c r="EA383" s="14"/>
      <c r="EB383" s="14"/>
      <c r="EC383" s="14"/>
      <c r="ED383" s="14"/>
      <c r="EE383" s="101" t="s">
        <v>333</v>
      </c>
      <c r="EF383" s="48"/>
      <c r="EG383" s="17">
        <f t="shared" si="5"/>
        <v>0</v>
      </c>
    </row>
    <row r="384" spans="1:137" x14ac:dyDescent="0.25">
      <c r="A384" s="52" t="s">
        <v>1857</v>
      </c>
      <c r="B384" s="211">
        <v>41573</v>
      </c>
      <c r="C384" s="212" t="s">
        <v>2760</v>
      </c>
      <c r="D384" s="103" t="s">
        <v>1644</v>
      </c>
      <c r="E384" s="15" t="s">
        <v>328</v>
      </c>
      <c r="F384" s="15"/>
      <c r="G384" s="15">
        <v>45</v>
      </c>
      <c r="H384" s="15" t="s">
        <v>329</v>
      </c>
      <c r="I384" s="15" t="s">
        <v>353</v>
      </c>
      <c r="J384" s="15" t="s">
        <v>1629</v>
      </c>
      <c r="K384" s="18" t="s">
        <v>1630</v>
      </c>
      <c r="L384" s="15" t="s">
        <v>1256</v>
      </c>
      <c r="M384" s="15">
        <v>27</v>
      </c>
      <c r="N384" s="15">
        <v>1</v>
      </c>
      <c r="O384" s="15"/>
      <c r="P384" s="15"/>
      <c r="Q384" s="15"/>
      <c r="R384" s="15"/>
      <c r="S384" s="15"/>
      <c r="T384" s="15"/>
      <c r="U384" s="15"/>
      <c r="V384" s="15">
        <v>1</v>
      </c>
      <c r="W384" s="15"/>
      <c r="X384" s="15"/>
      <c r="Y384" s="15"/>
      <c r="Z384" s="15"/>
      <c r="AA384" s="15"/>
      <c r="AB384" s="15"/>
      <c r="AC384" s="15"/>
      <c r="AD384" s="15"/>
      <c r="AE384" s="15"/>
      <c r="AF384" s="15" t="s">
        <v>328</v>
      </c>
      <c r="AG384" s="15"/>
      <c r="AH384" s="15"/>
      <c r="AI384" s="15"/>
      <c r="AJ384" s="15"/>
      <c r="AK384" s="15"/>
      <c r="AL384" s="15"/>
      <c r="AM384" s="15" t="s">
        <v>328</v>
      </c>
      <c r="AN384" s="15"/>
      <c r="AO384" s="15" t="s">
        <v>328</v>
      </c>
      <c r="AP384" s="15"/>
      <c r="AQ384" s="15"/>
      <c r="AR384" s="15">
        <v>8</v>
      </c>
      <c r="AS384" s="15">
        <v>4</v>
      </c>
      <c r="AT384" s="15"/>
      <c r="AU384" s="15" t="s">
        <v>328</v>
      </c>
      <c r="AV384" s="15"/>
      <c r="AW384" s="15"/>
      <c r="AX384" s="15">
        <v>1</v>
      </c>
      <c r="AY384" s="15">
        <v>2</v>
      </c>
      <c r="AZ384" s="15">
        <v>3</v>
      </c>
      <c r="BA384" s="15"/>
      <c r="BB384" s="15" t="s">
        <v>328</v>
      </c>
      <c r="BC384" s="15"/>
      <c r="BD384" s="15" t="s">
        <v>328</v>
      </c>
      <c r="BE384" s="15"/>
      <c r="BF384" s="15"/>
      <c r="BG384" s="15"/>
      <c r="BH384" s="15"/>
      <c r="BI384" s="15"/>
      <c r="BJ384" s="15"/>
      <c r="BK384" s="15" t="s">
        <v>328</v>
      </c>
      <c r="BL384" s="15"/>
      <c r="BM384" s="15"/>
      <c r="BN384" s="15"/>
      <c r="BO384" s="15" t="s">
        <v>328</v>
      </c>
      <c r="BP384" s="15"/>
      <c r="BQ384" s="15" t="s">
        <v>328</v>
      </c>
      <c r="BR384" s="15"/>
      <c r="BS384" s="15"/>
      <c r="BT384" s="15"/>
      <c r="BU384" s="15"/>
      <c r="BV384" s="15"/>
      <c r="BW384" s="15" t="s">
        <v>328</v>
      </c>
      <c r="BX384" s="15"/>
      <c r="BY384" s="15"/>
      <c r="BZ384" s="15"/>
      <c r="CA384" s="15"/>
      <c r="CB384" s="15"/>
      <c r="CC384" s="15"/>
      <c r="CD384" s="15" t="s">
        <v>328</v>
      </c>
      <c r="CE384" s="15"/>
      <c r="CF384" s="15" t="s">
        <v>328</v>
      </c>
      <c r="CG384" s="15" t="s">
        <v>328</v>
      </c>
      <c r="CH384" s="15"/>
      <c r="CI384" s="15"/>
      <c r="CJ384" s="15" t="s">
        <v>328</v>
      </c>
      <c r="CK384" s="15"/>
      <c r="CL384" s="15"/>
      <c r="CM384" s="15"/>
      <c r="CN384" s="15">
        <v>1</v>
      </c>
      <c r="CO384" s="15">
        <v>3</v>
      </c>
      <c r="CP384" s="15">
        <v>4</v>
      </c>
      <c r="CQ384" s="15">
        <v>5</v>
      </c>
      <c r="CR384" s="15">
        <v>6</v>
      </c>
      <c r="CS384" s="15">
        <v>2</v>
      </c>
      <c r="CT384" s="15"/>
      <c r="CU384" s="15"/>
      <c r="CV384" s="15"/>
      <c r="CW384" s="15"/>
      <c r="CX384" s="15" t="s">
        <v>328</v>
      </c>
      <c r="CY384" s="15"/>
      <c r="CZ384" s="15"/>
      <c r="DA384" s="15" t="s">
        <v>328</v>
      </c>
      <c r="DB384" s="15" t="s">
        <v>404</v>
      </c>
      <c r="DC384" s="15"/>
      <c r="DD384" s="15"/>
      <c r="DE384" s="15"/>
      <c r="DF384" s="15"/>
      <c r="DG384" s="15"/>
      <c r="DH384" s="15"/>
      <c r="DI384" s="15"/>
      <c r="DJ384" s="15" t="s">
        <v>328</v>
      </c>
      <c r="DK384" s="15"/>
      <c r="DL384" s="15"/>
      <c r="DM384" s="15"/>
      <c r="DN384" s="15"/>
      <c r="DO384" s="15"/>
      <c r="DP384" s="15"/>
      <c r="DQ384" s="15" t="s">
        <v>328</v>
      </c>
      <c r="DR384" s="15"/>
      <c r="DS384" s="15"/>
      <c r="DT384" s="15"/>
      <c r="DU384" s="15"/>
      <c r="DV384" s="15"/>
      <c r="DW384" s="15"/>
      <c r="DX384" s="15"/>
      <c r="DY384" s="15" t="s">
        <v>328</v>
      </c>
      <c r="DZ384" s="15"/>
      <c r="EA384" s="15"/>
      <c r="EB384" s="15"/>
      <c r="EC384" s="15"/>
      <c r="ED384" s="15"/>
      <c r="EE384" s="102"/>
      <c r="EF384" s="99"/>
      <c r="EG384" s="17">
        <f t="shared" si="5"/>
        <v>0</v>
      </c>
    </row>
    <row r="385" spans="1:137" x14ac:dyDescent="0.25">
      <c r="A385" s="52" t="s">
        <v>1857</v>
      </c>
      <c r="B385" s="211">
        <v>41573</v>
      </c>
      <c r="C385" s="212" t="s">
        <v>2760</v>
      </c>
      <c r="D385" s="103" t="s">
        <v>1645</v>
      </c>
      <c r="E385" s="15"/>
      <c r="F385" s="15" t="s">
        <v>328</v>
      </c>
      <c r="G385" s="15">
        <v>28</v>
      </c>
      <c r="H385" s="15" t="s">
        <v>376</v>
      </c>
      <c r="I385" s="15" t="s">
        <v>399</v>
      </c>
      <c r="J385" s="15" t="s">
        <v>1629</v>
      </c>
      <c r="K385" s="18" t="s">
        <v>1630</v>
      </c>
      <c r="L385" s="15" t="s">
        <v>1256</v>
      </c>
      <c r="M385" s="15">
        <v>5</v>
      </c>
      <c r="N385" s="15">
        <v>6</v>
      </c>
      <c r="O385" s="15"/>
      <c r="P385" s="15">
        <v>8</v>
      </c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 t="s">
        <v>328</v>
      </c>
      <c r="AC385" s="15"/>
      <c r="AD385" s="15"/>
      <c r="AE385" s="15"/>
      <c r="AF385" s="15"/>
      <c r="AG385" s="15"/>
      <c r="AH385" s="15"/>
      <c r="AI385" s="15" t="s">
        <v>328</v>
      </c>
      <c r="AJ385" s="15"/>
      <c r="AK385" s="15"/>
      <c r="AL385" s="15" t="s">
        <v>328</v>
      </c>
      <c r="AM385" s="15" t="s">
        <v>328</v>
      </c>
      <c r="AN385" s="15" t="s">
        <v>328</v>
      </c>
      <c r="AO385" s="15" t="s">
        <v>328</v>
      </c>
      <c r="AP385" s="15"/>
      <c r="AQ385" s="15" t="s">
        <v>328</v>
      </c>
      <c r="AR385" s="15">
        <v>8</v>
      </c>
      <c r="AS385" s="15">
        <v>6</v>
      </c>
      <c r="AT385" s="15"/>
      <c r="AU385" s="15"/>
      <c r="AV385" s="15"/>
      <c r="AW385" s="15" t="s">
        <v>328</v>
      </c>
      <c r="AX385" s="15">
        <v>2</v>
      </c>
      <c r="AY385" s="15">
        <v>4</v>
      </c>
      <c r="AZ385" s="15">
        <v>3</v>
      </c>
      <c r="BA385" s="15" t="s">
        <v>346</v>
      </c>
      <c r="BB385" s="15"/>
      <c r="BC385" s="15" t="s">
        <v>328</v>
      </c>
      <c r="BD385" s="15"/>
      <c r="BE385" s="15"/>
      <c r="BF385" s="15"/>
      <c r="BG385" s="15" t="s">
        <v>328</v>
      </c>
      <c r="BH385" s="15" t="s">
        <v>328</v>
      </c>
      <c r="BI385" s="15"/>
      <c r="BJ385" s="15"/>
      <c r="BK385" s="15"/>
      <c r="BL385" s="15"/>
      <c r="BM385" s="15"/>
      <c r="BN385" s="15"/>
      <c r="BO385" s="15" t="s">
        <v>328</v>
      </c>
      <c r="BP385" s="15"/>
      <c r="BQ385" s="15" t="s">
        <v>328</v>
      </c>
      <c r="BR385" s="15" t="s">
        <v>328</v>
      </c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 t="s">
        <v>328</v>
      </c>
      <c r="CD385" s="15"/>
      <c r="CE385" s="15"/>
      <c r="CF385" s="15"/>
      <c r="CG385" s="15"/>
      <c r="CH385" s="15"/>
      <c r="CI385" s="15" t="s">
        <v>328</v>
      </c>
      <c r="CJ385" s="15"/>
      <c r="CK385" s="15"/>
      <c r="CL385" s="15"/>
      <c r="CM385" s="15" t="s">
        <v>328</v>
      </c>
      <c r="CN385" s="15">
        <v>4</v>
      </c>
      <c r="CO385" s="15">
        <v>3</v>
      </c>
      <c r="CP385" s="15">
        <v>2</v>
      </c>
      <c r="CQ385" s="15">
        <v>6</v>
      </c>
      <c r="CR385" s="15">
        <v>5</v>
      </c>
      <c r="CS385" s="15">
        <v>1</v>
      </c>
      <c r="CT385" s="15"/>
      <c r="CU385" s="15" t="s">
        <v>328</v>
      </c>
      <c r="CV385" s="15"/>
      <c r="CW385" s="15"/>
      <c r="CX385" s="15"/>
      <c r="CY385" s="15"/>
      <c r="CZ385" s="15"/>
      <c r="DA385" s="15"/>
      <c r="DB385" s="15"/>
      <c r="DC385" s="15">
        <v>4</v>
      </c>
      <c r="DD385" s="15">
        <v>1</v>
      </c>
      <c r="DE385" s="15">
        <v>2</v>
      </c>
      <c r="DF385" s="15">
        <v>3</v>
      </c>
      <c r="DG385" s="15">
        <v>6</v>
      </c>
      <c r="DH385" s="15">
        <v>5</v>
      </c>
      <c r="DI385" s="15"/>
      <c r="DJ385" s="15" t="s">
        <v>328</v>
      </c>
      <c r="DK385" s="15"/>
      <c r="DL385" s="15"/>
      <c r="DM385" s="15"/>
      <c r="DN385" s="15"/>
      <c r="DO385" s="15"/>
      <c r="DP385" s="15"/>
      <c r="DQ385" s="15"/>
      <c r="DR385" s="15" t="s">
        <v>328</v>
      </c>
      <c r="DS385" s="15"/>
      <c r="DT385" s="15"/>
      <c r="DU385" s="15" t="s">
        <v>328</v>
      </c>
      <c r="DV385" s="15" t="s">
        <v>680</v>
      </c>
      <c r="DW385" s="15" t="s">
        <v>492</v>
      </c>
      <c r="DX385" s="14" t="s">
        <v>497</v>
      </c>
      <c r="DY385" s="15" t="s">
        <v>328</v>
      </c>
      <c r="DZ385" s="15"/>
      <c r="EA385" s="15"/>
      <c r="EB385" s="15"/>
      <c r="EC385" s="15"/>
      <c r="ED385" s="15"/>
      <c r="EE385" s="102"/>
      <c r="EF385" s="99"/>
      <c r="EG385" s="17">
        <f t="shared" si="5"/>
        <v>0</v>
      </c>
    </row>
    <row r="386" spans="1:137" x14ac:dyDescent="0.25">
      <c r="A386" s="52" t="s">
        <v>1857</v>
      </c>
      <c r="B386" s="211">
        <v>41573</v>
      </c>
      <c r="C386" s="212" t="s">
        <v>2760</v>
      </c>
      <c r="D386" s="103" t="s">
        <v>1646</v>
      </c>
      <c r="E386" s="15" t="s">
        <v>328</v>
      </c>
      <c r="F386" s="15"/>
      <c r="G386" s="15">
        <v>40</v>
      </c>
      <c r="H386" s="15" t="s">
        <v>329</v>
      </c>
      <c r="I386" s="15" t="s">
        <v>353</v>
      </c>
      <c r="J386" s="15" t="s">
        <v>1629</v>
      </c>
      <c r="K386" s="18" t="s">
        <v>1630</v>
      </c>
      <c r="L386" s="15" t="s">
        <v>1256</v>
      </c>
      <c r="M386" s="15">
        <v>20</v>
      </c>
      <c r="N386" s="15">
        <v>1</v>
      </c>
      <c r="O386" s="15">
        <v>1</v>
      </c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 t="s">
        <v>328</v>
      </c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4" t="s">
        <v>328</v>
      </c>
      <c r="AN386" s="15"/>
      <c r="AO386" s="15"/>
      <c r="AP386" s="15"/>
      <c r="AQ386" s="15" t="s">
        <v>328</v>
      </c>
      <c r="AR386" s="15">
        <v>10</v>
      </c>
      <c r="AS386" s="15">
        <v>5</v>
      </c>
      <c r="AT386" s="15"/>
      <c r="AU386" s="15" t="s">
        <v>328</v>
      </c>
      <c r="AV386" s="15"/>
      <c r="AW386" s="15"/>
      <c r="AX386" s="15">
        <v>1</v>
      </c>
      <c r="AY386" s="15">
        <v>2</v>
      </c>
      <c r="AZ386" s="15">
        <v>3</v>
      </c>
      <c r="BA386" s="15"/>
      <c r="BB386" s="15" t="s">
        <v>328</v>
      </c>
      <c r="BC386" s="15"/>
      <c r="BD386" s="15"/>
      <c r="BE386" s="15" t="s">
        <v>328</v>
      </c>
      <c r="BF386" s="15"/>
      <c r="BG386" s="15"/>
      <c r="BH386" s="15"/>
      <c r="BI386" s="15"/>
      <c r="BJ386" s="15"/>
      <c r="BK386" s="15" t="s">
        <v>328</v>
      </c>
      <c r="BL386" s="15"/>
      <c r="BM386" s="15"/>
      <c r="BN386" s="15"/>
      <c r="BO386" s="15" t="s">
        <v>328</v>
      </c>
      <c r="BP386" s="15"/>
      <c r="BQ386" s="15" t="s">
        <v>328</v>
      </c>
      <c r="BR386" s="15"/>
      <c r="BS386" s="15"/>
      <c r="BT386" s="15"/>
      <c r="BU386" s="15"/>
      <c r="BV386" s="15" t="s">
        <v>328</v>
      </c>
      <c r="BW386" s="15" t="s">
        <v>328</v>
      </c>
      <c r="BX386" s="15"/>
      <c r="BY386" s="15"/>
      <c r="BZ386" s="15"/>
      <c r="CA386" s="15"/>
      <c r="CB386" s="15"/>
      <c r="CC386" s="15" t="s">
        <v>328</v>
      </c>
      <c r="CD386" s="15"/>
      <c r="CE386" s="15"/>
      <c r="CF386" s="15"/>
      <c r="CG386" s="15"/>
      <c r="CH386" s="15"/>
      <c r="CI386" s="15" t="s">
        <v>328</v>
      </c>
      <c r="CJ386" s="15"/>
      <c r="CK386" s="15"/>
      <c r="CL386" s="15"/>
      <c r="CM386" s="15"/>
      <c r="CN386" s="15">
        <v>2</v>
      </c>
      <c r="CO386" s="15">
        <v>6</v>
      </c>
      <c r="CP386" s="15">
        <v>3</v>
      </c>
      <c r="CQ386" s="15">
        <v>5</v>
      </c>
      <c r="CR386" s="15">
        <v>4</v>
      </c>
      <c r="CS386" s="15">
        <v>1</v>
      </c>
      <c r="CT386" s="15" t="s">
        <v>328</v>
      </c>
      <c r="CU386" s="15" t="s">
        <v>328</v>
      </c>
      <c r="CV386" s="15"/>
      <c r="CW386" s="15"/>
      <c r="CX386" s="15" t="s">
        <v>328</v>
      </c>
      <c r="CY386" s="15"/>
      <c r="CZ386" s="15"/>
      <c r="DA386" s="15"/>
      <c r="DB386" s="15"/>
      <c r="DC386" s="15">
        <v>1</v>
      </c>
      <c r="DD386" s="15">
        <v>2</v>
      </c>
      <c r="DE386" s="15">
        <v>4</v>
      </c>
      <c r="DF386" s="15">
        <v>5</v>
      </c>
      <c r="DG386" s="15">
        <v>3</v>
      </c>
      <c r="DH386" s="15">
        <v>6</v>
      </c>
      <c r="DI386" s="15"/>
      <c r="DJ386" s="15" t="s">
        <v>328</v>
      </c>
      <c r="DK386" s="15"/>
      <c r="DL386" s="15"/>
      <c r="DM386" s="15"/>
      <c r="DN386" s="15"/>
      <c r="DO386" s="15"/>
      <c r="DP386" s="14" t="s">
        <v>333</v>
      </c>
      <c r="DQ386" s="15" t="s">
        <v>328</v>
      </c>
      <c r="DR386" s="15"/>
      <c r="DS386" s="15"/>
      <c r="DT386" s="15"/>
      <c r="DU386" s="15"/>
      <c r="DV386" s="15"/>
      <c r="DW386" s="15"/>
      <c r="DX386" s="14" t="s">
        <v>333</v>
      </c>
      <c r="DY386" s="15" t="s">
        <v>328</v>
      </c>
      <c r="DZ386" s="15"/>
      <c r="EA386" s="15"/>
      <c r="EB386" s="15"/>
      <c r="EC386" s="15"/>
      <c r="ED386" s="15"/>
      <c r="EE386" s="101" t="s">
        <v>333</v>
      </c>
      <c r="EF386" s="99"/>
      <c r="EG386" s="17">
        <f t="shared" si="5"/>
        <v>0</v>
      </c>
    </row>
    <row r="387" spans="1:137" x14ac:dyDescent="0.25">
      <c r="A387" s="52" t="s">
        <v>1857</v>
      </c>
      <c r="B387" s="211">
        <v>41573</v>
      </c>
      <c r="C387" s="212" t="s">
        <v>2760</v>
      </c>
      <c r="D387" s="103" t="s">
        <v>1647</v>
      </c>
      <c r="E387" s="15" t="s">
        <v>328</v>
      </c>
      <c r="F387" s="15"/>
      <c r="G387" s="15">
        <v>53</v>
      </c>
      <c r="H387" s="15" t="s">
        <v>329</v>
      </c>
      <c r="I387" s="15" t="s">
        <v>357</v>
      </c>
      <c r="J387" s="14" t="s">
        <v>386</v>
      </c>
      <c r="K387" s="14" t="s">
        <v>1189</v>
      </c>
      <c r="L387" s="14" t="s">
        <v>1256</v>
      </c>
      <c r="M387" s="15">
        <v>20</v>
      </c>
      <c r="N387" s="15">
        <v>2</v>
      </c>
      <c r="O387" s="15">
        <v>2</v>
      </c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>
        <v>2</v>
      </c>
      <c r="AA387" s="15"/>
      <c r="AB387" s="15"/>
      <c r="AC387" s="15"/>
      <c r="AD387" s="15"/>
      <c r="AE387" s="15"/>
      <c r="AF387" s="15"/>
      <c r="AG387" s="15" t="s">
        <v>328</v>
      </c>
      <c r="AH387" s="15"/>
      <c r="AI387" s="15"/>
      <c r="AJ387" s="15"/>
      <c r="AK387" s="15" t="s">
        <v>692</v>
      </c>
      <c r="AL387" s="15" t="s">
        <v>328</v>
      </c>
      <c r="AM387" s="15"/>
      <c r="AN387" s="15" t="s">
        <v>328</v>
      </c>
      <c r="AO387" s="15" t="s">
        <v>328</v>
      </c>
      <c r="AP387" s="15"/>
      <c r="AQ387" s="15" t="s">
        <v>328</v>
      </c>
      <c r="AR387" s="15">
        <v>10</v>
      </c>
      <c r="AS387" s="15">
        <v>5</v>
      </c>
      <c r="AT387" s="15"/>
      <c r="AU387" s="15"/>
      <c r="AV387" s="15"/>
      <c r="AW387" s="15" t="s">
        <v>328</v>
      </c>
      <c r="AX387" s="15">
        <v>2</v>
      </c>
      <c r="AY387" s="15">
        <v>3</v>
      </c>
      <c r="AZ387" s="15">
        <v>1</v>
      </c>
      <c r="BA387" s="15"/>
      <c r="BB387" s="15" t="s">
        <v>328</v>
      </c>
      <c r="BC387" s="15"/>
      <c r="BD387" s="15"/>
      <c r="BE387" s="15"/>
      <c r="BF387" s="15" t="s">
        <v>328</v>
      </c>
      <c r="BG387" s="15"/>
      <c r="BH387" s="15"/>
      <c r="BI387" s="15"/>
      <c r="BJ387" s="15"/>
      <c r="BK387" s="15" t="s">
        <v>328</v>
      </c>
      <c r="BL387" s="15" t="s">
        <v>328</v>
      </c>
      <c r="BM387" s="15"/>
      <c r="BN387" s="15"/>
      <c r="BO387" s="15" t="s">
        <v>328</v>
      </c>
      <c r="BP387" s="15" t="s">
        <v>328</v>
      </c>
      <c r="BQ387" s="15"/>
      <c r="BR387" s="15" t="s">
        <v>328</v>
      </c>
      <c r="BS387" s="15" t="s">
        <v>328</v>
      </c>
      <c r="BT387" s="15" t="s">
        <v>328</v>
      </c>
      <c r="BU387" s="15" t="s">
        <v>328</v>
      </c>
      <c r="BV387" s="15"/>
      <c r="BW387" s="15"/>
      <c r="BX387" s="15"/>
      <c r="BY387" s="15"/>
      <c r="BZ387" s="15"/>
      <c r="CA387" s="15"/>
      <c r="CB387" s="15"/>
      <c r="CC387" s="15" t="s">
        <v>328</v>
      </c>
      <c r="CD387" s="15"/>
      <c r="CE387" s="15"/>
      <c r="CF387" s="15"/>
      <c r="CG387" s="15"/>
      <c r="CH387" s="15"/>
      <c r="CI387" s="15" t="s">
        <v>328</v>
      </c>
      <c r="CJ387" s="15"/>
      <c r="CK387" s="15"/>
      <c r="CL387" s="15"/>
      <c r="CM387" s="15"/>
      <c r="CN387" s="15">
        <v>3</v>
      </c>
      <c r="CO387" s="15">
        <v>2</v>
      </c>
      <c r="CP387" s="15">
        <v>1</v>
      </c>
      <c r="CQ387" s="15">
        <v>6</v>
      </c>
      <c r="CR387" s="15">
        <v>5</v>
      </c>
      <c r="CS387" s="15">
        <v>4</v>
      </c>
      <c r="CT387" s="15" t="s">
        <v>328</v>
      </c>
      <c r="CU387" s="15"/>
      <c r="CV387" s="15"/>
      <c r="CW387" s="15"/>
      <c r="CX387" s="15" t="s">
        <v>328</v>
      </c>
      <c r="CY387" s="15"/>
      <c r="CZ387" s="15"/>
      <c r="DA387" s="15" t="s">
        <v>328</v>
      </c>
      <c r="DB387" s="15" t="s">
        <v>404</v>
      </c>
      <c r="DC387" s="15"/>
      <c r="DD387" s="15"/>
      <c r="DE387" s="15"/>
      <c r="DF387" s="15"/>
      <c r="DG387" s="15"/>
      <c r="DH387" s="15"/>
      <c r="DI387" s="15"/>
      <c r="DJ387" s="15" t="s">
        <v>328</v>
      </c>
      <c r="DK387" s="15"/>
      <c r="DL387" s="15"/>
      <c r="DM387" s="15"/>
      <c r="DN387" s="15"/>
      <c r="DO387" s="15"/>
      <c r="DP387" s="15"/>
      <c r="DQ387" s="15" t="s">
        <v>328</v>
      </c>
      <c r="DR387" s="15"/>
      <c r="DS387" s="15"/>
      <c r="DT387" s="15"/>
      <c r="DU387" s="15"/>
      <c r="DV387" s="15"/>
      <c r="DW387" s="15"/>
      <c r="DX387" s="15"/>
      <c r="DY387" s="15" t="s">
        <v>328</v>
      </c>
      <c r="DZ387" s="15"/>
      <c r="EA387" s="15"/>
      <c r="EB387" s="15"/>
      <c r="EC387" s="15"/>
      <c r="ED387" s="12"/>
      <c r="EE387" s="80"/>
      <c r="EF387" s="99"/>
      <c r="EG387" s="17">
        <f t="shared" si="5"/>
        <v>0</v>
      </c>
    </row>
    <row r="388" spans="1:137" x14ac:dyDescent="0.25">
      <c r="A388" s="52" t="s">
        <v>1857</v>
      </c>
      <c r="B388" s="211">
        <v>41573</v>
      </c>
      <c r="C388" s="212" t="s">
        <v>2760</v>
      </c>
      <c r="D388" s="103" t="s">
        <v>1648</v>
      </c>
      <c r="E388" s="15" t="s">
        <v>328</v>
      </c>
      <c r="F388" s="15"/>
      <c r="G388" s="15">
        <v>32</v>
      </c>
      <c r="H388" s="15" t="s">
        <v>329</v>
      </c>
      <c r="I388" s="15" t="s">
        <v>357</v>
      </c>
      <c r="J388" s="14" t="s">
        <v>1617</v>
      </c>
      <c r="K388" s="14" t="s">
        <v>1264</v>
      </c>
      <c r="L388" s="14" t="s">
        <v>1256</v>
      </c>
      <c r="M388" s="15">
        <v>8</v>
      </c>
      <c r="N388" s="15">
        <v>4</v>
      </c>
      <c r="O388" s="15">
        <v>1</v>
      </c>
      <c r="P388" s="15"/>
      <c r="Q388" s="15"/>
      <c r="R388" s="15">
        <v>3</v>
      </c>
      <c r="S388" s="15"/>
      <c r="T388" s="15"/>
      <c r="U388" s="15"/>
      <c r="V388" s="15"/>
      <c r="W388" s="15"/>
      <c r="X388" s="15"/>
      <c r="Y388" s="15"/>
      <c r="Z388" s="15"/>
      <c r="AA388" s="15"/>
      <c r="AB388" s="15" t="s">
        <v>328</v>
      </c>
      <c r="AC388" s="15" t="s">
        <v>328</v>
      </c>
      <c r="AD388" s="15"/>
      <c r="AE388" s="15"/>
      <c r="AF388" s="15" t="s">
        <v>328</v>
      </c>
      <c r="AG388" s="15"/>
      <c r="AH388" s="15"/>
      <c r="AI388" s="15" t="s">
        <v>328</v>
      </c>
      <c r="AJ388" s="15"/>
      <c r="AK388" s="15"/>
      <c r="AL388" s="15" t="s">
        <v>328</v>
      </c>
      <c r="AM388" s="15"/>
      <c r="AN388" s="15"/>
      <c r="AO388" s="15"/>
      <c r="AP388" s="15"/>
      <c r="AQ388" s="15" t="s">
        <v>328</v>
      </c>
      <c r="AR388" s="15">
        <v>10</v>
      </c>
      <c r="AS388" s="15">
        <v>3</v>
      </c>
      <c r="AT388" s="15"/>
      <c r="AU388" s="15" t="s">
        <v>328</v>
      </c>
      <c r="AV388" s="15"/>
      <c r="AW388" s="15"/>
      <c r="AX388" s="15">
        <v>3</v>
      </c>
      <c r="AY388" s="15">
        <v>1</v>
      </c>
      <c r="AZ388" s="15">
        <v>2</v>
      </c>
      <c r="BA388" s="15"/>
      <c r="BB388" s="15" t="s">
        <v>328</v>
      </c>
      <c r="BC388" s="15"/>
      <c r="BD388" s="15" t="s">
        <v>328</v>
      </c>
      <c r="BE388" s="15"/>
      <c r="BF388" s="15"/>
      <c r="BG388" s="15" t="s">
        <v>328</v>
      </c>
      <c r="BH388" s="15"/>
      <c r="BI388" s="15"/>
      <c r="BJ388" s="15"/>
      <c r="BK388" s="15"/>
      <c r="BL388" s="15"/>
      <c r="BM388" s="15"/>
      <c r="BN388" s="15"/>
      <c r="BO388" s="15" t="s">
        <v>328</v>
      </c>
      <c r="BP388" s="15" t="s">
        <v>328</v>
      </c>
      <c r="BQ388" s="15"/>
      <c r="BR388" s="15" t="s">
        <v>328</v>
      </c>
      <c r="BS388" s="15"/>
      <c r="BT388" s="15"/>
      <c r="BU388" s="15"/>
      <c r="BV388" s="15" t="s">
        <v>328</v>
      </c>
      <c r="BW388" s="15"/>
      <c r="BX388" s="15"/>
      <c r="BY388" s="15"/>
      <c r="BZ388" s="15"/>
      <c r="CA388" s="15"/>
      <c r="CB388" s="15" t="s">
        <v>328</v>
      </c>
      <c r="CC388" s="15" t="s">
        <v>328</v>
      </c>
      <c r="CD388" s="15"/>
      <c r="CE388" s="15"/>
      <c r="CF388" s="15"/>
      <c r="CG388" s="15"/>
      <c r="CH388" s="15"/>
      <c r="CI388" s="15" t="s">
        <v>328</v>
      </c>
      <c r="CJ388" s="15"/>
      <c r="CK388" s="15"/>
      <c r="CL388" s="15"/>
      <c r="CM388" s="15"/>
      <c r="CN388" s="15">
        <v>6</v>
      </c>
      <c r="CO388" s="15">
        <v>5</v>
      </c>
      <c r="CP388" s="15">
        <v>4</v>
      </c>
      <c r="CQ388" s="15">
        <v>2</v>
      </c>
      <c r="CR388" s="15">
        <v>1</v>
      </c>
      <c r="CS388" s="15">
        <v>3</v>
      </c>
      <c r="CT388" s="15"/>
      <c r="CU388" s="15"/>
      <c r="CV388" s="15" t="s">
        <v>328</v>
      </c>
      <c r="CW388" s="15"/>
      <c r="CX388" s="15" t="s">
        <v>328</v>
      </c>
      <c r="CY388" s="15"/>
      <c r="CZ388" s="15"/>
      <c r="DA388" s="15"/>
      <c r="DB388" s="15"/>
      <c r="DC388" s="15">
        <v>1</v>
      </c>
      <c r="DD388" s="15">
        <v>4</v>
      </c>
      <c r="DE388" s="15"/>
      <c r="DF388" s="15">
        <v>3</v>
      </c>
      <c r="DG388" s="15">
        <v>2</v>
      </c>
      <c r="DH388" s="15"/>
      <c r="DI388" s="15"/>
      <c r="DJ388" s="15" t="s">
        <v>328</v>
      </c>
      <c r="DK388" s="15"/>
      <c r="DL388" s="15"/>
      <c r="DM388" s="15"/>
      <c r="DN388" s="15"/>
      <c r="DO388" s="15"/>
      <c r="DP388" s="15"/>
      <c r="DQ388" s="15" t="s">
        <v>328</v>
      </c>
      <c r="DR388" s="15"/>
      <c r="DS388" s="15"/>
      <c r="DT388" s="15"/>
      <c r="DU388" s="15"/>
      <c r="DV388" s="15"/>
      <c r="DW388" s="15"/>
      <c r="DX388" s="15"/>
      <c r="DY388" s="15" t="s">
        <v>328</v>
      </c>
      <c r="DZ388" s="15"/>
      <c r="EA388" s="15"/>
      <c r="EB388" s="15"/>
      <c r="EC388" s="15"/>
      <c r="ED388" s="15"/>
      <c r="EE388" s="102"/>
      <c r="EF388" s="99"/>
      <c r="EG388" s="17">
        <f t="shared" si="5"/>
        <v>0</v>
      </c>
    </row>
    <row r="389" spans="1:137" x14ac:dyDescent="0.25">
      <c r="A389" s="52" t="s">
        <v>1857</v>
      </c>
      <c r="B389" s="211">
        <v>41573</v>
      </c>
      <c r="C389" s="212" t="s">
        <v>2760</v>
      </c>
      <c r="D389" s="103" t="s">
        <v>1649</v>
      </c>
      <c r="E389" s="15" t="s">
        <v>328</v>
      </c>
      <c r="F389" s="15"/>
      <c r="G389" s="15">
        <v>40</v>
      </c>
      <c r="H389" s="15" t="s">
        <v>329</v>
      </c>
      <c r="I389" s="15" t="s">
        <v>330</v>
      </c>
      <c r="J389" s="14" t="s">
        <v>1619</v>
      </c>
      <c r="K389" s="14" t="s">
        <v>1620</v>
      </c>
      <c r="L389" s="14" t="s">
        <v>1256</v>
      </c>
      <c r="M389" s="15">
        <v>15</v>
      </c>
      <c r="N389" s="15">
        <v>2</v>
      </c>
      <c r="O389" s="15"/>
      <c r="P389" s="15"/>
      <c r="Q389" s="15"/>
      <c r="R389" s="15"/>
      <c r="S389" s="15"/>
      <c r="T389" s="15"/>
      <c r="U389" s="15"/>
      <c r="V389" s="15"/>
      <c r="W389" s="15">
        <v>2</v>
      </c>
      <c r="X389" s="15"/>
      <c r="Y389" s="15"/>
      <c r="Z389" s="15"/>
      <c r="AA389" s="15"/>
      <c r="AB389" s="15"/>
      <c r="AC389" s="15"/>
      <c r="AD389" s="15"/>
      <c r="AE389" s="15"/>
      <c r="AF389" s="15" t="s">
        <v>328</v>
      </c>
      <c r="AG389" s="15"/>
      <c r="AH389" s="15"/>
      <c r="AI389" s="15"/>
      <c r="AJ389" s="15"/>
      <c r="AK389" s="15"/>
      <c r="AL389" s="15" t="s">
        <v>328</v>
      </c>
      <c r="AM389" s="15"/>
      <c r="AN389" s="15"/>
      <c r="AO389" s="15"/>
      <c r="AP389" s="15"/>
      <c r="AQ389" s="15" t="s">
        <v>328</v>
      </c>
      <c r="AR389" s="15">
        <v>10</v>
      </c>
      <c r="AS389" s="15">
        <v>10</v>
      </c>
      <c r="AT389" s="15"/>
      <c r="AU389" s="15"/>
      <c r="AV389" s="15" t="s">
        <v>328</v>
      </c>
      <c r="AW389" s="15"/>
      <c r="AX389" s="15">
        <v>1</v>
      </c>
      <c r="AY389" s="15">
        <v>2</v>
      </c>
      <c r="AZ389" s="15">
        <v>3</v>
      </c>
      <c r="BA389" s="15"/>
      <c r="BB389" s="15" t="s">
        <v>328</v>
      </c>
      <c r="BC389" s="15"/>
      <c r="BD389" s="15"/>
      <c r="BE389" s="15"/>
      <c r="BF389" s="15"/>
      <c r="BG389" s="15"/>
      <c r="BH389" s="15"/>
      <c r="BI389" s="15"/>
      <c r="BJ389" s="15"/>
      <c r="BK389" s="15" t="s">
        <v>328</v>
      </c>
      <c r="BL389" s="15"/>
      <c r="BM389" s="15"/>
      <c r="BN389" s="15"/>
      <c r="BO389" s="15" t="s">
        <v>328</v>
      </c>
      <c r="BP389" s="15"/>
      <c r="BQ389" s="15" t="s">
        <v>328</v>
      </c>
      <c r="BR389" s="15"/>
      <c r="BS389" s="15"/>
      <c r="BT389" s="15"/>
      <c r="BU389" s="15"/>
      <c r="BV389" s="15" t="s">
        <v>328</v>
      </c>
      <c r="BW389" s="15"/>
      <c r="BX389" s="15"/>
      <c r="BY389" s="15"/>
      <c r="BZ389" s="15"/>
      <c r="CA389" s="15"/>
      <c r="CB389" s="15"/>
      <c r="CC389" s="15"/>
      <c r="CD389" s="15" t="s">
        <v>328</v>
      </c>
      <c r="CE389" s="15"/>
      <c r="CF389" s="15"/>
      <c r="CG389" s="15" t="s">
        <v>328</v>
      </c>
      <c r="CH389" s="15"/>
      <c r="CI389" s="15" t="s">
        <v>328</v>
      </c>
      <c r="CJ389" s="15"/>
      <c r="CK389" s="15"/>
      <c r="CL389" s="15"/>
      <c r="CM389" s="15"/>
      <c r="CN389" s="15">
        <v>4</v>
      </c>
      <c r="CO389" s="15">
        <v>1</v>
      </c>
      <c r="CP389" s="15">
        <v>2</v>
      </c>
      <c r="CQ389" s="15">
        <v>5</v>
      </c>
      <c r="CR389" s="15">
        <v>6</v>
      </c>
      <c r="CS389" s="15">
        <v>3</v>
      </c>
      <c r="CT389" s="15" t="s">
        <v>328</v>
      </c>
      <c r="CU389" s="15"/>
      <c r="CV389" s="15"/>
      <c r="CW389" s="15"/>
      <c r="CX389" s="15" t="s">
        <v>328</v>
      </c>
      <c r="CY389" s="15"/>
      <c r="CZ389" s="15"/>
      <c r="DA389" s="15"/>
      <c r="DB389" s="15"/>
      <c r="DC389" s="15">
        <v>2</v>
      </c>
      <c r="DD389" s="15">
        <v>3</v>
      </c>
      <c r="DE389" s="15"/>
      <c r="DF389" s="15">
        <v>4</v>
      </c>
      <c r="DG389" s="15">
        <v>1</v>
      </c>
      <c r="DH389" s="15"/>
      <c r="DI389" s="15"/>
      <c r="DJ389" s="15" t="s">
        <v>328</v>
      </c>
      <c r="DK389" s="15"/>
      <c r="DL389" s="15"/>
      <c r="DM389" s="15"/>
      <c r="DN389" s="15"/>
      <c r="DO389" s="15"/>
      <c r="DP389" s="15"/>
      <c r="DQ389" s="15" t="s">
        <v>328</v>
      </c>
      <c r="DR389" s="15"/>
      <c r="DS389" s="15"/>
      <c r="DT389" s="15"/>
      <c r="DU389" s="15"/>
      <c r="DV389" s="15"/>
      <c r="DW389" s="15"/>
      <c r="DX389" s="15"/>
      <c r="DY389" s="15" t="s">
        <v>328</v>
      </c>
      <c r="DZ389" s="15"/>
      <c r="EA389" s="15"/>
      <c r="EB389" s="15"/>
      <c r="EC389" s="15"/>
      <c r="ED389" s="15"/>
      <c r="EE389" s="102"/>
      <c r="EF389" s="99"/>
      <c r="EG389" s="17">
        <f t="shared" si="5"/>
        <v>0</v>
      </c>
    </row>
    <row r="390" spans="1:137" x14ac:dyDescent="0.25">
      <c r="A390" s="52" t="s">
        <v>1857</v>
      </c>
      <c r="B390" s="211">
        <v>41573</v>
      </c>
      <c r="C390" s="212" t="s">
        <v>2760</v>
      </c>
      <c r="D390" s="103" t="s">
        <v>1650</v>
      </c>
      <c r="E390" s="15" t="s">
        <v>328</v>
      </c>
      <c r="F390" s="15"/>
      <c r="G390" s="15">
        <v>50</v>
      </c>
      <c r="H390" s="15" t="s">
        <v>329</v>
      </c>
      <c r="I390" s="15" t="s">
        <v>357</v>
      </c>
      <c r="J390" s="15" t="s">
        <v>1629</v>
      </c>
      <c r="K390" s="18" t="s">
        <v>1630</v>
      </c>
      <c r="L390" s="15" t="s">
        <v>1256</v>
      </c>
      <c r="M390" s="15">
        <v>20</v>
      </c>
      <c r="N390" s="15">
        <v>1</v>
      </c>
      <c r="O390" s="15">
        <v>1</v>
      </c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 t="s">
        <v>418</v>
      </c>
      <c r="AL390" s="15"/>
      <c r="AM390" s="15"/>
      <c r="AN390" s="15" t="s">
        <v>328</v>
      </c>
      <c r="AO390" s="15" t="s">
        <v>328</v>
      </c>
      <c r="AP390" s="15"/>
      <c r="AQ390" s="12"/>
      <c r="AR390" s="15">
        <v>10</v>
      </c>
      <c r="AS390" s="15">
        <v>8</v>
      </c>
      <c r="AT390" s="15"/>
      <c r="AU390" s="15" t="s">
        <v>328</v>
      </c>
      <c r="AV390" s="15"/>
      <c r="AW390" s="12"/>
      <c r="AX390" s="15">
        <v>2</v>
      </c>
      <c r="AY390" s="15">
        <v>4</v>
      </c>
      <c r="AZ390" s="15">
        <v>3</v>
      </c>
      <c r="BA390" s="15" t="s">
        <v>346</v>
      </c>
      <c r="BB390" s="15" t="s">
        <v>328</v>
      </c>
      <c r="BC390" s="15"/>
      <c r="BD390" s="15"/>
      <c r="BE390" s="15" t="s">
        <v>328</v>
      </c>
      <c r="BF390" s="15"/>
      <c r="BG390" s="15"/>
      <c r="BH390" s="15"/>
      <c r="BI390" s="15"/>
      <c r="BJ390" s="15"/>
      <c r="BK390" s="15" t="s">
        <v>328</v>
      </c>
      <c r="BL390" s="15"/>
      <c r="BM390" s="15"/>
      <c r="BN390" s="15"/>
      <c r="BO390" s="15" t="s">
        <v>328</v>
      </c>
      <c r="BP390" s="15" t="s">
        <v>328</v>
      </c>
      <c r="BQ390" s="15"/>
      <c r="BR390" s="15" t="s">
        <v>328</v>
      </c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 t="s">
        <v>328</v>
      </c>
      <c r="CE390" s="15"/>
      <c r="CF390" s="15"/>
      <c r="CG390" s="15"/>
      <c r="CH390" s="15"/>
      <c r="CI390" s="15"/>
      <c r="CJ390" s="15" t="s">
        <v>328</v>
      </c>
      <c r="CK390" s="15"/>
      <c r="CL390" s="15"/>
      <c r="CM390" s="15"/>
      <c r="CN390" s="15">
        <v>2</v>
      </c>
      <c r="CO390" s="15">
        <v>1</v>
      </c>
      <c r="CP390" s="15">
        <v>3</v>
      </c>
      <c r="CQ390" s="15">
        <v>5</v>
      </c>
      <c r="CR390" s="15">
        <v>4</v>
      </c>
      <c r="CS390" s="15">
        <v>6</v>
      </c>
      <c r="CT390" s="15" t="s">
        <v>328</v>
      </c>
      <c r="CU390" s="15" t="s">
        <v>328</v>
      </c>
      <c r="CV390" s="15"/>
      <c r="CW390" s="15"/>
      <c r="CX390" s="15" t="s">
        <v>328</v>
      </c>
      <c r="CY390" s="15"/>
      <c r="CZ390" s="15"/>
      <c r="DA390" s="15" t="s">
        <v>328</v>
      </c>
      <c r="DB390" s="15" t="s">
        <v>404</v>
      </c>
      <c r="DC390" s="15"/>
      <c r="DD390" s="15"/>
      <c r="DE390" s="15"/>
      <c r="DF390" s="15"/>
      <c r="DG390" s="15"/>
      <c r="DH390" s="15"/>
      <c r="DI390" s="15"/>
      <c r="DJ390" s="15" t="s">
        <v>328</v>
      </c>
      <c r="DK390" s="15"/>
      <c r="DL390" s="15"/>
      <c r="DM390" s="15"/>
      <c r="DN390" s="15"/>
      <c r="DO390" s="15"/>
      <c r="DP390" s="15" t="s">
        <v>497</v>
      </c>
      <c r="DQ390" s="15" t="s">
        <v>328</v>
      </c>
      <c r="DR390" s="15"/>
      <c r="DS390" s="15"/>
      <c r="DT390" s="15"/>
      <c r="DU390" s="15"/>
      <c r="DV390" s="15"/>
      <c r="DW390" s="15"/>
      <c r="DX390" s="15" t="s">
        <v>497</v>
      </c>
      <c r="DY390" s="15" t="s">
        <v>328</v>
      </c>
      <c r="DZ390" s="15"/>
      <c r="EA390" s="15"/>
      <c r="EB390" s="15"/>
      <c r="EC390" s="15"/>
      <c r="ED390" s="15"/>
      <c r="EE390" s="102" t="s">
        <v>497</v>
      </c>
      <c r="EF390" s="99"/>
      <c r="EG390" s="17">
        <f t="shared" si="5"/>
        <v>0</v>
      </c>
    </row>
    <row r="391" spans="1:137" x14ac:dyDescent="0.25">
      <c r="A391" s="52" t="s">
        <v>1857</v>
      </c>
      <c r="B391" s="211">
        <v>41573</v>
      </c>
      <c r="C391" s="212" t="s">
        <v>2760</v>
      </c>
      <c r="D391" s="103" t="s">
        <v>1651</v>
      </c>
      <c r="E391" s="15" t="s">
        <v>328</v>
      </c>
      <c r="F391" s="15"/>
      <c r="G391" s="15">
        <v>43</v>
      </c>
      <c r="H391" s="15" t="s">
        <v>329</v>
      </c>
      <c r="I391" s="15" t="s">
        <v>353</v>
      </c>
      <c r="J391" s="14" t="s">
        <v>386</v>
      </c>
      <c r="K391" s="14" t="s">
        <v>1189</v>
      </c>
      <c r="L391" s="14" t="s">
        <v>1256</v>
      </c>
      <c r="M391" s="15">
        <v>15</v>
      </c>
      <c r="N391" s="15">
        <v>2</v>
      </c>
      <c r="O391" s="15">
        <v>2</v>
      </c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 t="s">
        <v>418</v>
      </c>
      <c r="AL391" s="15" t="s">
        <v>328</v>
      </c>
      <c r="AM391" s="15"/>
      <c r="AN391" s="15"/>
      <c r="AO391" s="15"/>
      <c r="AP391" s="15"/>
      <c r="AQ391" s="15" t="s">
        <v>328</v>
      </c>
      <c r="AR391" s="15">
        <v>10</v>
      </c>
      <c r="AS391" s="15">
        <v>7</v>
      </c>
      <c r="AT391" s="15"/>
      <c r="AU391" s="15" t="s">
        <v>328</v>
      </c>
      <c r="AV391" s="15"/>
      <c r="AW391" s="15"/>
      <c r="AX391" s="15">
        <v>1</v>
      </c>
      <c r="AY391" s="15">
        <v>2</v>
      </c>
      <c r="AZ391" s="15">
        <v>3</v>
      </c>
      <c r="BA391" s="15"/>
      <c r="BB391" s="15" t="s">
        <v>328</v>
      </c>
      <c r="BC391" s="15"/>
      <c r="BD391" s="15" t="s">
        <v>328</v>
      </c>
      <c r="BE391" s="15"/>
      <c r="BF391" s="15"/>
      <c r="BG391" s="15"/>
      <c r="BH391" s="15"/>
      <c r="BI391" s="15"/>
      <c r="BJ391" s="15"/>
      <c r="BK391" s="15" t="s">
        <v>328</v>
      </c>
      <c r="BL391" s="15"/>
      <c r="BM391" s="15"/>
      <c r="BN391" s="15"/>
      <c r="BO391" s="15" t="s">
        <v>328</v>
      </c>
      <c r="BP391" s="15" t="s">
        <v>328</v>
      </c>
      <c r="BQ391" s="15"/>
      <c r="BR391" s="15"/>
      <c r="BS391" s="15"/>
      <c r="BT391" s="15"/>
      <c r="BU391" s="15"/>
      <c r="BV391" s="15" t="s">
        <v>328</v>
      </c>
      <c r="BW391" s="15"/>
      <c r="BX391" s="15"/>
      <c r="BY391" s="15"/>
      <c r="BZ391" s="15"/>
      <c r="CA391" s="15"/>
      <c r="CB391" s="15"/>
      <c r="CC391" s="15" t="s">
        <v>328</v>
      </c>
      <c r="CD391" s="15"/>
      <c r="CE391" s="15"/>
      <c r="CF391" s="15"/>
      <c r="CG391" s="15"/>
      <c r="CH391" s="15"/>
      <c r="CI391" s="15" t="s">
        <v>328</v>
      </c>
      <c r="CJ391" s="15"/>
      <c r="CK391" s="15"/>
      <c r="CL391" s="15"/>
      <c r="CM391" s="15"/>
      <c r="CN391" s="15">
        <v>5</v>
      </c>
      <c r="CO391" s="15">
        <v>3</v>
      </c>
      <c r="CP391" s="15">
        <v>4</v>
      </c>
      <c r="CQ391" s="15">
        <v>1</v>
      </c>
      <c r="CR391" s="15">
        <v>2</v>
      </c>
      <c r="CS391" s="15">
        <v>6</v>
      </c>
      <c r="CT391" s="15"/>
      <c r="CU391" s="15"/>
      <c r="CV391" s="15"/>
      <c r="CW391" s="15"/>
      <c r="CX391" s="15"/>
      <c r="CY391" s="15"/>
      <c r="CZ391" s="15" t="s">
        <v>332</v>
      </c>
      <c r="DA391" s="15"/>
      <c r="DB391" s="15"/>
      <c r="DC391" s="15">
        <v>1</v>
      </c>
      <c r="DD391" s="15">
        <v>2</v>
      </c>
      <c r="DE391" s="15">
        <v>3</v>
      </c>
      <c r="DF391" s="15">
        <v>4</v>
      </c>
      <c r="DG391" s="15">
        <v>6</v>
      </c>
      <c r="DH391" s="15">
        <v>5</v>
      </c>
      <c r="DI391" s="15"/>
      <c r="DJ391" s="15" t="s">
        <v>328</v>
      </c>
      <c r="DK391" s="15"/>
      <c r="DL391" s="15"/>
      <c r="DM391" s="15"/>
      <c r="DN391" s="15"/>
      <c r="DO391" s="15"/>
      <c r="DP391" s="15"/>
      <c r="DQ391" s="15" t="s">
        <v>328</v>
      </c>
      <c r="DR391" s="15"/>
      <c r="DS391" s="15"/>
      <c r="DT391" s="15"/>
      <c r="DU391" s="15"/>
      <c r="DV391" s="15"/>
      <c r="DW391" s="15"/>
      <c r="DX391" s="15"/>
      <c r="DY391" s="15" t="s">
        <v>328</v>
      </c>
      <c r="DZ391" s="15"/>
      <c r="EA391" s="15"/>
      <c r="EB391" s="15"/>
      <c r="EC391" s="15"/>
      <c r="ED391" s="15"/>
      <c r="EE391" s="102"/>
      <c r="EF391" s="99"/>
      <c r="EG391" s="17">
        <f t="shared" si="5"/>
        <v>0</v>
      </c>
    </row>
    <row r="392" spans="1:137" x14ac:dyDescent="0.25">
      <c r="A392" s="52" t="s">
        <v>1857</v>
      </c>
      <c r="B392" s="211">
        <v>41573</v>
      </c>
      <c r="C392" s="212" t="s">
        <v>2760</v>
      </c>
      <c r="D392" s="103" t="s">
        <v>1652</v>
      </c>
      <c r="E392" s="15" t="s">
        <v>328</v>
      </c>
      <c r="F392" s="15"/>
      <c r="G392" s="15">
        <v>54</v>
      </c>
      <c r="H392" s="15" t="s">
        <v>329</v>
      </c>
      <c r="I392" s="15" t="s">
        <v>330</v>
      </c>
      <c r="J392" s="14" t="s">
        <v>1641</v>
      </c>
      <c r="K392" s="8" t="s">
        <v>1642</v>
      </c>
      <c r="L392" s="14" t="s">
        <v>1256</v>
      </c>
      <c r="M392" s="15">
        <v>30</v>
      </c>
      <c r="N392" s="15">
        <v>1</v>
      </c>
      <c r="O392" s="15">
        <v>1</v>
      </c>
      <c r="P392" s="15"/>
      <c r="Q392" s="15"/>
      <c r="R392" s="15"/>
      <c r="S392" s="15"/>
      <c r="T392" s="15"/>
      <c r="U392" s="15"/>
      <c r="V392" s="15">
        <v>1</v>
      </c>
      <c r="W392" s="15"/>
      <c r="X392" s="15"/>
      <c r="Y392" s="15"/>
      <c r="Z392" s="15"/>
      <c r="AA392" s="15"/>
      <c r="AB392" s="15"/>
      <c r="AC392" s="15" t="s">
        <v>328</v>
      </c>
      <c r="AD392" s="15"/>
      <c r="AE392" s="15"/>
      <c r="AF392" s="15"/>
      <c r="AG392" s="15"/>
      <c r="AH392" s="15" t="s">
        <v>328</v>
      </c>
      <c r="AI392" s="15"/>
      <c r="AJ392" s="15"/>
      <c r="AK392" s="15" t="s">
        <v>1165</v>
      </c>
      <c r="AL392" s="15" t="s">
        <v>328</v>
      </c>
      <c r="AM392" s="15"/>
      <c r="AN392" s="15" t="s">
        <v>328</v>
      </c>
      <c r="AO392" s="15"/>
      <c r="AP392" s="15"/>
      <c r="AQ392" s="15" t="s">
        <v>328</v>
      </c>
      <c r="AR392" s="15">
        <v>10</v>
      </c>
      <c r="AS392" s="15">
        <v>3</v>
      </c>
      <c r="AT392" s="15"/>
      <c r="AU392" s="15"/>
      <c r="AV392" s="15" t="s">
        <v>328</v>
      </c>
      <c r="AW392" s="15"/>
      <c r="AX392" s="15">
        <v>2</v>
      </c>
      <c r="AY392" s="15">
        <v>3</v>
      </c>
      <c r="AZ392" s="15">
        <v>1</v>
      </c>
      <c r="BA392" s="15"/>
      <c r="BB392" s="15" t="s">
        <v>328</v>
      </c>
      <c r="BC392" s="15"/>
      <c r="BD392" s="15"/>
      <c r="BE392" s="15"/>
      <c r="BF392" s="15"/>
      <c r="BG392" s="15" t="s">
        <v>328</v>
      </c>
      <c r="BH392" s="15"/>
      <c r="BI392" s="15"/>
      <c r="BJ392" s="15"/>
      <c r="BK392" s="15" t="s">
        <v>328</v>
      </c>
      <c r="BL392" s="15"/>
      <c r="BM392" s="15"/>
      <c r="BN392" s="15"/>
      <c r="BO392" s="15" t="s">
        <v>328</v>
      </c>
      <c r="BP392" s="15"/>
      <c r="BQ392" s="15" t="s">
        <v>328</v>
      </c>
      <c r="BR392" s="15" t="s">
        <v>328</v>
      </c>
      <c r="BS392" s="15"/>
      <c r="BT392" s="15"/>
      <c r="BU392" s="15"/>
      <c r="BV392" s="15"/>
      <c r="BW392" s="15"/>
      <c r="BX392" s="15"/>
      <c r="BY392" s="15"/>
      <c r="BZ392" s="15"/>
      <c r="CA392" s="15"/>
      <c r="CB392" s="15" t="s">
        <v>328</v>
      </c>
      <c r="CC392" s="15" t="s">
        <v>328</v>
      </c>
      <c r="CD392" s="15"/>
      <c r="CE392" s="15"/>
      <c r="CF392" s="15"/>
      <c r="CG392" s="15"/>
      <c r="CH392" s="15"/>
      <c r="CI392" s="15" t="s">
        <v>328</v>
      </c>
      <c r="CJ392" s="15"/>
      <c r="CK392" s="15"/>
      <c r="CL392" s="15"/>
      <c r="CM392" s="15"/>
      <c r="CN392" s="15">
        <v>4</v>
      </c>
      <c r="CO392" s="15">
        <v>1</v>
      </c>
      <c r="CP392" s="15">
        <v>2</v>
      </c>
      <c r="CQ392" s="15">
        <v>6</v>
      </c>
      <c r="CR392" s="15">
        <v>3</v>
      </c>
      <c r="CS392" s="15">
        <v>5</v>
      </c>
      <c r="CT392" s="15" t="s">
        <v>328</v>
      </c>
      <c r="CU392" s="15"/>
      <c r="CV392" s="15"/>
      <c r="CW392" s="15"/>
      <c r="CX392" s="15" t="s">
        <v>328</v>
      </c>
      <c r="CY392" s="15"/>
      <c r="CZ392" s="15"/>
      <c r="DA392" s="15"/>
      <c r="DB392" s="15"/>
      <c r="DC392" s="15">
        <v>5</v>
      </c>
      <c r="DD392" s="15">
        <v>1</v>
      </c>
      <c r="DE392" s="15">
        <v>2</v>
      </c>
      <c r="DF392" s="15">
        <v>3</v>
      </c>
      <c r="DG392" s="15">
        <v>6</v>
      </c>
      <c r="DH392" s="15">
        <v>4</v>
      </c>
      <c r="DI392" s="15"/>
      <c r="DJ392" s="15" t="s">
        <v>328</v>
      </c>
      <c r="DK392" s="15"/>
      <c r="DL392" s="15"/>
      <c r="DM392" s="15"/>
      <c r="DN392" s="15"/>
      <c r="DO392" s="15"/>
      <c r="DP392" s="14" t="s">
        <v>333</v>
      </c>
      <c r="DQ392" s="15" t="s">
        <v>328</v>
      </c>
      <c r="DR392" s="15"/>
      <c r="DS392" s="15"/>
      <c r="DT392" s="15"/>
      <c r="DU392" s="15"/>
      <c r="DV392" s="15"/>
      <c r="DW392" s="15"/>
      <c r="DX392" s="15" t="s">
        <v>333</v>
      </c>
      <c r="DY392" s="15" t="s">
        <v>328</v>
      </c>
      <c r="DZ392" s="15"/>
      <c r="EA392" s="15"/>
      <c r="EB392" s="15"/>
      <c r="EC392" s="15"/>
      <c r="ED392" s="15"/>
      <c r="EE392" s="102" t="s">
        <v>333</v>
      </c>
      <c r="EF392" s="99"/>
      <c r="EG392" s="17">
        <f t="shared" ref="EG392:EG417" si="6">IF(AS392=0,IF(AR392&gt;0,"ERR",0),0)</f>
        <v>0</v>
      </c>
    </row>
    <row r="393" spans="1:137" x14ac:dyDescent="0.25">
      <c r="A393" s="52" t="s">
        <v>1857</v>
      </c>
      <c r="B393" s="211">
        <v>41573</v>
      </c>
      <c r="C393" s="212" t="s">
        <v>2760</v>
      </c>
      <c r="D393" s="103" t="s">
        <v>1653</v>
      </c>
      <c r="E393" s="15" t="s">
        <v>328</v>
      </c>
      <c r="F393" s="15"/>
      <c r="G393" s="15">
        <v>42</v>
      </c>
      <c r="H393" s="15" t="s">
        <v>329</v>
      </c>
      <c r="I393" s="15" t="s">
        <v>399</v>
      </c>
      <c r="J393" s="14" t="s">
        <v>1614</v>
      </c>
      <c r="K393" s="14" t="s">
        <v>1615</v>
      </c>
      <c r="L393" s="14" t="s">
        <v>1256</v>
      </c>
      <c r="M393" s="15">
        <v>15</v>
      </c>
      <c r="N393" s="15">
        <v>4</v>
      </c>
      <c r="O393" s="15">
        <v>1</v>
      </c>
      <c r="P393" s="15"/>
      <c r="Q393" s="15"/>
      <c r="R393" s="15"/>
      <c r="S393" s="15"/>
      <c r="T393" s="15"/>
      <c r="U393" s="15"/>
      <c r="V393" s="15">
        <v>5</v>
      </c>
      <c r="W393" s="15"/>
      <c r="X393" s="15"/>
      <c r="Y393" s="15"/>
      <c r="Z393" s="15"/>
      <c r="AA393" s="15"/>
      <c r="AB393" s="15"/>
      <c r="AC393" s="15"/>
      <c r="AD393" s="15"/>
      <c r="AE393" s="15"/>
      <c r="AF393" s="15" t="s">
        <v>328</v>
      </c>
      <c r="AG393" s="15"/>
      <c r="AH393" s="15"/>
      <c r="AI393" s="15"/>
      <c r="AJ393" s="15"/>
      <c r="AK393" s="15" t="s">
        <v>1165</v>
      </c>
      <c r="AL393" s="15" t="s">
        <v>328</v>
      </c>
      <c r="AM393" s="15"/>
      <c r="AN393" s="15" t="s">
        <v>328</v>
      </c>
      <c r="AO393" s="15"/>
      <c r="AP393" s="15"/>
      <c r="AQ393" s="15" t="s">
        <v>328</v>
      </c>
      <c r="AR393" s="15">
        <v>10</v>
      </c>
      <c r="AS393" s="15">
        <v>2</v>
      </c>
      <c r="AT393" s="15"/>
      <c r="AU393" s="15"/>
      <c r="AV393" s="15"/>
      <c r="AW393" s="15" t="s">
        <v>328</v>
      </c>
      <c r="AX393" s="15">
        <v>3</v>
      </c>
      <c r="AY393" s="15">
        <v>1</v>
      </c>
      <c r="AZ393" s="15">
        <v>2</v>
      </c>
      <c r="BA393" s="15"/>
      <c r="BB393" s="15"/>
      <c r="BC393" s="15" t="s">
        <v>328</v>
      </c>
      <c r="BD393" s="15" t="s">
        <v>328</v>
      </c>
      <c r="BE393" s="15" t="s">
        <v>328</v>
      </c>
      <c r="BF393" s="15"/>
      <c r="BG393" s="15" t="s">
        <v>328</v>
      </c>
      <c r="BH393" s="15"/>
      <c r="BI393" s="15"/>
      <c r="BJ393" s="15"/>
      <c r="BK393" s="15"/>
      <c r="BL393" s="15"/>
      <c r="BM393" s="15"/>
      <c r="BN393" s="15"/>
      <c r="BO393" s="15" t="s">
        <v>328</v>
      </c>
      <c r="BP393" s="15" t="s">
        <v>328</v>
      </c>
      <c r="BQ393" s="15"/>
      <c r="BR393" s="15" t="s">
        <v>328</v>
      </c>
      <c r="BS393" s="15"/>
      <c r="BT393" s="15"/>
      <c r="BU393" s="15"/>
      <c r="BV393" s="15" t="s">
        <v>328</v>
      </c>
      <c r="BW393" s="15"/>
      <c r="BX393" s="15"/>
      <c r="BY393" s="15"/>
      <c r="BZ393" s="15"/>
      <c r="CA393" s="15"/>
      <c r="CB393" s="15"/>
      <c r="CC393" s="15" t="s">
        <v>328</v>
      </c>
      <c r="CD393" s="15"/>
      <c r="CE393" s="15"/>
      <c r="CF393" s="15"/>
      <c r="CG393" s="15"/>
      <c r="CH393" s="15"/>
      <c r="CI393" s="15" t="s">
        <v>328</v>
      </c>
      <c r="CJ393" s="15"/>
      <c r="CK393" s="15"/>
      <c r="CL393" s="15"/>
      <c r="CM393" s="15"/>
      <c r="CN393" s="15">
        <v>4</v>
      </c>
      <c r="CO393" s="15">
        <v>1</v>
      </c>
      <c r="CP393" s="15">
        <v>2</v>
      </c>
      <c r="CQ393" s="15">
        <v>5</v>
      </c>
      <c r="CR393" s="15">
        <v>6</v>
      </c>
      <c r="CS393" s="15">
        <v>3</v>
      </c>
      <c r="CT393" s="15"/>
      <c r="CU393" s="15" t="s">
        <v>328</v>
      </c>
      <c r="CV393" s="15" t="s">
        <v>328</v>
      </c>
      <c r="CW393" s="15"/>
      <c r="CX393" s="15"/>
      <c r="CY393" s="15"/>
      <c r="CZ393" s="15"/>
      <c r="DA393" s="15"/>
      <c r="DB393" s="15"/>
      <c r="DC393" s="15">
        <v>1</v>
      </c>
      <c r="DD393" s="15">
        <v>4</v>
      </c>
      <c r="DE393" s="15">
        <v>5</v>
      </c>
      <c r="DF393" s="15">
        <v>3</v>
      </c>
      <c r="DG393" s="15">
        <v>2</v>
      </c>
      <c r="DH393" s="15">
        <v>6</v>
      </c>
      <c r="DI393" s="15"/>
      <c r="DJ393" s="15" t="s">
        <v>328</v>
      </c>
      <c r="DK393" s="15"/>
      <c r="DL393" s="15"/>
      <c r="DM393" s="15"/>
      <c r="DN393" s="15"/>
      <c r="DO393" s="15"/>
      <c r="DP393" s="15"/>
      <c r="DQ393" s="15" t="s">
        <v>328</v>
      </c>
      <c r="DR393" s="15"/>
      <c r="DS393" s="15"/>
      <c r="DT393" s="15"/>
      <c r="DU393" s="15"/>
      <c r="DV393" s="15"/>
      <c r="DW393" s="15"/>
      <c r="DX393" s="15"/>
      <c r="DY393" s="15" t="s">
        <v>328</v>
      </c>
      <c r="DZ393" s="15"/>
      <c r="EA393" s="15"/>
      <c r="EB393" s="15"/>
      <c r="EC393" s="15"/>
      <c r="ED393" s="15"/>
      <c r="EE393" s="102"/>
      <c r="EF393" s="99"/>
      <c r="EG393" s="17">
        <f t="shared" si="6"/>
        <v>0</v>
      </c>
    </row>
    <row r="394" spans="1:137" x14ac:dyDescent="0.25">
      <c r="A394" s="52" t="s">
        <v>1857</v>
      </c>
      <c r="B394" s="211">
        <v>41573</v>
      </c>
      <c r="C394" s="212" t="s">
        <v>2760</v>
      </c>
      <c r="D394" s="103" t="s">
        <v>1654</v>
      </c>
      <c r="E394" s="15" t="s">
        <v>328</v>
      </c>
      <c r="F394" s="15"/>
      <c r="G394" s="15">
        <v>45</v>
      </c>
      <c r="H394" s="15" t="s">
        <v>329</v>
      </c>
      <c r="I394" s="15" t="s">
        <v>330</v>
      </c>
      <c r="J394" s="14" t="s">
        <v>1619</v>
      </c>
      <c r="K394" s="14" t="s">
        <v>1620</v>
      </c>
      <c r="L394" s="14" t="s">
        <v>1256</v>
      </c>
      <c r="M394" s="15">
        <v>18</v>
      </c>
      <c r="N394" s="15">
        <v>1</v>
      </c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>
        <v>1</v>
      </c>
      <c r="AA394" s="15"/>
      <c r="AB394" s="15" t="s">
        <v>328</v>
      </c>
      <c r="AC394" s="15"/>
      <c r="AD394" s="15"/>
      <c r="AE394" s="15"/>
      <c r="AF394" s="15"/>
      <c r="AG394" s="15" t="s">
        <v>328</v>
      </c>
      <c r="AH394" s="15"/>
      <c r="AI394" s="15"/>
      <c r="AJ394" s="15"/>
      <c r="AK394" s="15" t="s">
        <v>692</v>
      </c>
      <c r="AL394" s="15"/>
      <c r="AM394" s="15" t="s">
        <v>328</v>
      </c>
      <c r="AN394" s="15"/>
      <c r="AO394" s="15" t="s">
        <v>328</v>
      </c>
      <c r="AP394" s="15"/>
      <c r="AQ394" s="15" t="s">
        <v>328</v>
      </c>
      <c r="AR394" s="15">
        <v>6</v>
      </c>
      <c r="AS394" s="15">
        <v>3</v>
      </c>
      <c r="AT394" s="15"/>
      <c r="AU394" s="15" t="s">
        <v>328</v>
      </c>
      <c r="AV394" s="15"/>
      <c r="AW394" s="15"/>
      <c r="AX394" s="15">
        <v>3</v>
      </c>
      <c r="AY394" s="15">
        <v>2</v>
      </c>
      <c r="AZ394" s="15">
        <v>1</v>
      </c>
      <c r="BA394" s="15"/>
      <c r="BB394" s="15" t="s">
        <v>328</v>
      </c>
      <c r="BC394" s="15"/>
      <c r="BD394" s="15" t="s">
        <v>328</v>
      </c>
      <c r="BE394" s="15"/>
      <c r="BF394" s="15"/>
      <c r="BG394" s="15"/>
      <c r="BH394" s="15"/>
      <c r="BI394" s="15"/>
      <c r="BJ394" s="15"/>
      <c r="BK394" s="15" t="s">
        <v>328</v>
      </c>
      <c r="BL394" s="15"/>
      <c r="BM394" s="15"/>
      <c r="BN394" s="15"/>
      <c r="BO394" s="15" t="s">
        <v>328</v>
      </c>
      <c r="BP394" s="15" t="s">
        <v>328</v>
      </c>
      <c r="BQ394" s="15"/>
      <c r="BR394" s="15"/>
      <c r="BS394" s="15" t="s">
        <v>328</v>
      </c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 t="s">
        <v>332</v>
      </c>
      <c r="CI394" s="15" t="s">
        <v>328</v>
      </c>
      <c r="CJ394" s="15"/>
      <c r="CK394" s="15"/>
      <c r="CL394" s="15"/>
      <c r="CM394" s="15"/>
      <c r="CN394" s="15">
        <v>1</v>
      </c>
      <c r="CO394" s="15">
        <v>2</v>
      </c>
      <c r="CP394" s="15">
        <v>3</v>
      </c>
      <c r="CQ394" s="15">
        <v>4</v>
      </c>
      <c r="CR394" s="15">
        <v>5</v>
      </c>
      <c r="CS394" s="15">
        <v>6</v>
      </c>
      <c r="CT394" s="15"/>
      <c r="CU394" s="15"/>
      <c r="CV394" s="15"/>
      <c r="CW394" s="15"/>
      <c r="CX394" s="15"/>
      <c r="CY394" s="15"/>
      <c r="CZ394" s="15" t="s">
        <v>332</v>
      </c>
      <c r="DA394" s="15" t="s">
        <v>328</v>
      </c>
      <c r="DB394" s="15" t="s">
        <v>700</v>
      </c>
      <c r="DC394" s="15"/>
      <c r="DD394" s="15"/>
      <c r="DE394" s="15"/>
      <c r="DF394" s="15"/>
      <c r="DG394" s="15"/>
      <c r="DH394" s="15"/>
      <c r="DI394" s="15"/>
      <c r="DJ394" s="15" t="s">
        <v>328</v>
      </c>
      <c r="DK394" s="15"/>
      <c r="DL394" s="15"/>
      <c r="DM394" s="15"/>
      <c r="DN394" s="15"/>
      <c r="DO394" s="15"/>
      <c r="DP394" s="14" t="s">
        <v>333</v>
      </c>
      <c r="DQ394" s="15" t="s">
        <v>328</v>
      </c>
      <c r="DR394" s="15"/>
      <c r="DS394" s="15"/>
      <c r="DT394" s="15"/>
      <c r="DU394" s="15"/>
      <c r="DV394" s="15"/>
      <c r="DW394" s="15"/>
      <c r="DX394" s="15" t="s">
        <v>333</v>
      </c>
      <c r="DY394" s="15" t="s">
        <v>328</v>
      </c>
      <c r="DZ394" s="15"/>
      <c r="EA394" s="15"/>
      <c r="EB394" s="15"/>
      <c r="EC394" s="15"/>
      <c r="ED394" s="15"/>
      <c r="EE394" s="102" t="s">
        <v>333</v>
      </c>
      <c r="EF394" s="99"/>
      <c r="EG394" s="17">
        <f t="shared" si="6"/>
        <v>0</v>
      </c>
    </row>
    <row r="395" spans="1:137" x14ac:dyDescent="0.25">
      <c r="A395" s="52" t="s">
        <v>1857</v>
      </c>
      <c r="B395" s="211">
        <v>41573</v>
      </c>
      <c r="C395" s="212" t="s">
        <v>2760</v>
      </c>
      <c r="D395" s="103" t="s">
        <v>1655</v>
      </c>
      <c r="E395" s="15" t="s">
        <v>328</v>
      </c>
      <c r="F395" s="15"/>
      <c r="G395" s="15">
        <v>52</v>
      </c>
      <c r="H395" s="15" t="s">
        <v>329</v>
      </c>
      <c r="I395" s="15" t="s">
        <v>353</v>
      </c>
      <c r="J395" s="15" t="s">
        <v>1635</v>
      </c>
      <c r="K395" s="15" t="s">
        <v>1636</v>
      </c>
      <c r="L395" s="15" t="s">
        <v>1256</v>
      </c>
      <c r="M395" s="15">
        <v>8</v>
      </c>
      <c r="N395" s="15">
        <v>2</v>
      </c>
      <c r="O395" s="15"/>
      <c r="P395" s="15"/>
      <c r="Q395" s="15"/>
      <c r="R395" s="15"/>
      <c r="S395" s="15"/>
      <c r="T395" s="15"/>
      <c r="U395" s="15"/>
      <c r="V395" s="15"/>
      <c r="W395" s="15">
        <v>2</v>
      </c>
      <c r="X395" s="15"/>
      <c r="Y395" s="15"/>
      <c r="Z395" s="15"/>
      <c r="AA395" s="15"/>
      <c r="AB395" s="15"/>
      <c r="AC395" s="15"/>
      <c r="AD395" s="15"/>
      <c r="AE395" s="15" t="s">
        <v>328</v>
      </c>
      <c r="AF395" s="15" t="s">
        <v>328</v>
      </c>
      <c r="AG395" s="15"/>
      <c r="AH395" s="15"/>
      <c r="AI395" s="15"/>
      <c r="AJ395" s="15"/>
      <c r="AK395" s="15"/>
      <c r="AL395" s="15" t="s">
        <v>328</v>
      </c>
      <c r="AM395" s="15"/>
      <c r="AN395" s="15"/>
      <c r="AO395" s="15"/>
      <c r="AP395" s="15"/>
      <c r="AQ395" s="15" t="s">
        <v>328</v>
      </c>
      <c r="AR395" s="15">
        <v>10</v>
      </c>
      <c r="AS395" s="15">
        <v>2</v>
      </c>
      <c r="AT395" s="15"/>
      <c r="AU395" s="15" t="s">
        <v>328</v>
      </c>
      <c r="AV395" s="15"/>
      <c r="AW395" s="15"/>
      <c r="AX395" s="15">
        <v>2</v>
      </c>
      <c r="AY395" s="15">
        <v>1</v>
      </c>
      <c r="AZ395" s="15">
        <v>3</v>
      </c>
      <c r="BA395" s="15"/>
      <c r="BB395" s="15" t="s">
        <v>328</v>
      </c>
      <c r="BC395" s="15"/>
      <c r="BD395" s="15"/>
      <c r="BE395" s="15"/>
      <c r="BF395" s="15"/>
      <c r="BG395" s="15" t="s">
        <v>328</v>
      </c>
      <c r="BH395" s="15"/>
      <c r="BI395" s="15"/>
      <c r="BJ395" s="15"/>
      <c r="BK395" s="15" t="s">
        <v>328</v>
      </c>
      <c r="BL395" s="15"/>
      <c r="BM395" s="15"/>
      <c r="BN395" s="15"/>
      <c r="BO395" s="15" t="s">
        <v>328</v>
      </c>
      <c r="BP395" s="15"/>
      <c r="BQ395" s="15" t="s">
        <v>328</v>
      </c>
      <c r="BR395" s="15"/>
      <c r="BS395" s="15" t="s">
        <v>328</v>
      </c>
      <c r="BT395" s="15"/>
      <c r="BU395" s="15"/>
      <c r="BV395" s="15"/>
      <c r="BW395" s="15" t="s">
        <v>328</v>
      </c>
      <c r="BX395" s="15"/>
      <c r="BY395" s="15"/>
      <c r="BZ395" s="15"/>
      <c r="CA395" s="15"/>
      <c r="CB395" s="15"/>
      <c r="CC395" s="15"/>
      <c r="CD395" s="15" t="s">
        <v>328</v>
      </c>
      <c r="CE395" s="15"/>
      <c r="CF395" s="15"/>
      <c r="CG395" s="15"/>
      <c r="CH395" s="15"/>
      <c r="CI395" s="15"/>
      <c r="CJ395" s="15" t="s">
        <v>328</v>
      </c>
      <c r="CK395" s="15"/>
      <c r="CL395" s="15"/>
      <c r="CM395" s="15"/>
      <c r="CN395" s="15">
        <v>6</v>
      </c>
      <c r="CO395" s="15">
        <v>2</v>
      </c>
      <c r="CP395" s="15">
        <v>1</v>
      </c>
      <c r="CQ395" s="15">
        <v>4</v>
      </c>
      <c r="CR395" s="15">
        <v>3</v>
      </c>
      <c r="CS395" s="15">
        <v>5</v>
      </c>
      <c r="CT395" s="15"/>
      <c r="CU395" s="15"/>
      <c r="CV395" s="15"/>
      <c r="CW395" s="15"/>
      <c r="CX395" s="15"/>
      <c r="CY395" s="15"/>
      <c r="CZ395" s="15" t="s">
        <v>332</v>
      </c>
      <c r="DA395" s="15" t="s">
        <v>328</v>
      </c>
      <c r="DB395" s="15" t="s">
        <v>404</v>
      </c>
      <c r="DC395" s="15"/>
      <c r="DD395" s="15"/>
      <c r="DE395" s="15"/>
      <c r="DF395" s="15"/>
      <c r="DG395" s="15"/>
      <c r="DH395" s="15"/>
      <c r="DI395" s="15"/>
      <c r="DJ395" s="15" t="s">
        <v>328</v>
      </c>
      <c r="DK395" s="15"/>
      <c r="DL395" s="15"/>
      <c r="DM395" s="15"/>
      <c r="DN395" s="15"/>
      <c r="DO395" s="15"/>
      <c r="DP395" s="15"/>
      <c r="DQ395" s="15" t="s">
        <v>328</v>
      </c>
      <c r="DR395" s="15"/>
      <c r="DS395" s="15"/>
      <c r="DT395" s="15"/>
      <c r="DU395" s="15"/>
      <c r="DV395" s="15"/>
      <c r="DW395" s="15"/>
      <c r="DX395" s="15"/>
      <c r="DY395" s="15" t="s">
        <v>328</v>
      </c>
      <c r="DZ395" s="15"/>
      <c r="EA395" s="15"/>
      <c r="EB395" s="15"/>
      <c r="EC395" s="15"/>
      <c r="ED395" s="15"/>
      <c r="EE395" s="102"/>
      <c r="EF395" s="99"/>
      <c r="EG395" s="17">
        <f t="shared" si="6"/>
        <v>0</v>
      </c>
    </row>
    <row r="396" spans="1:137" x14ac:dyDescent="0.25">
      <c r="A396" s="52" t="s">
        <v>1857</v>
      </c>
      <c r="B396" s="211">
        <v>41573</v>
      </c>
      <c r="C396" s="212" t="s">
        <v>2760</v>
      </c>
      <c r="D396" s="103" t="s">
        <v>1809</v>
      </c>
      <c r="E396" s="15"/>
      <c r="F396" s="15" t="s">
        <v>328</v>
      </c>
      <c r="G396" s="15">
        <v>28</v>
      </c>
      <c r="H396" s="15" t="s">
        <v>329</v>
      </c>
      <c r="I396" s="15" t="s">
        <v>399</v>
      </c>
      <c r="J396" s="15" t="s">
        <v>1629</v>
      </c>
      <c r="K396" s="18" t="s">
        <v>1630</v>
      </c>
      <c r="L396" s="15" t="s">
        <v>1256</v>
      </c>
      <c r="M396" s="15">
        <v>0</v>
      </c>
      <c r="N396" s="15">
        <v>6</v>
      </c>
      <c r="O396" s="15"/>
      <c r="P396" s="15">
        <v>6</v>
      </c>
      <c r="Q396" s="15"/>
      <c r="R396" s="15"/>
      <c r="S396" s="15"/>
      <c r="T396" s="15"/>
      <c r="U396" s="15"/>
      <c r="V396" s="15">
        <v>6</v>
      </c>
      <c r="W396" s="15"/>
      <c r="X396" s="15"/>
      <c r="Y396" s="15"/>
      <c r="Z396" s="15"/>
      <c r="AA396" s="15"/>
      <c r="AB396" s="15"/>
      <c r="AC396" s="15" t="s">
        <v>328</v>
      </c>
      <c r="AD396" s="15"/>
      <c r="AE396" s="15"/>
      <c r="AF396" s="15" t="s">
        <v>328</v>
      </c>
      <c r="AG396" s="15"/>
      <c r="AH396" s="15"/>
      <c r="AI396" s="15"/>
      <c r="AJ396" s="15"/>
      <c r="AK396" s="15" t="s">
        <v>1165</v>
      </c>
      <c r="AL396" s="15" t="s">
        <v>328</v>
      </c>
      <c r="AM396" s="15" t="s">
        <v>328</v>
      </c>
      <c r="AN396" s="15" t="s">
        <v>328</v>
      </c>
      <c r="AO396" s="15"/>
      <c r="AP396" s="15"/>
      <c r="AQ396" s="15" t="s">
        <v>328</v>
      </c>
      <c r="AR396" s="15">
        <v>8</v>
      </c>
      <c r="AS396" s="15">
        <v>4</v>
      </c>
      <c r="AT396" s="15"/>
      <c r="AU396" s="15"/>
      <c r="AV396" s="15"/>
      <c r="AW396" s="15" t="s">
        <v>328</v>
      </c>
      <c r="AX396" s="15">
        <v>3</v>
      </c>
      <c r="AY396" s="15">
        <v>2</v>
      </c>
      <c r="AZ396" s="15">
        <v>4</v>
      </c>
      <c r="BA396" s="15" t="s">
        <v>346</v>
      </c>
      <c r="BB396" s="15"/>
      <c r="BC396" s="15" t="s">
        <v>328</v>
      </c>
      <c r="BD396" s="15" t="s">
        <v>328</v>
      </c>
      <c r="BE396" s="15"/>
      <c r="BF396" s="15"/>
      <c r="BG396" s="15"/>
      <c r="BH396" s="15" t="s">
        <v>328</v>
      </c>
      <c r="BI396" s="15"/>
      <c r="BJ396" s="15"/>
      <c r="BK396" s="15" t="s">
        <v>328</v>
      </c>
      <c r="BL396" s="15"/>
      <c r="BM396" s="15"/>
      <c r="BN396" s="15"/>
      <c r="BO396" s="15" t="s">
        <v>328</v>
      </c>
      <c r="BP396" s="15"/>
      <c r="BQ396" s="15" t="s">
        <v>328</v>
      </c>
      <c r="BR396" s="15" t="s">
        <v>328</v>
      </c>
      <c r="BS396" s="15"/>
      <c r="BT396" s="15"/>
      <c r="BU396" s="15"/>
      <c r="BV396" s="15"/>
      <c r="BW396" s="15"/>
      <c r="BX396" s="15"/>
      <c r="BY396" s="15"/>
      <c r="BZ396" s="15"/>
      <c r="CA396" s="15"/>
      <c r="CB396" s="15" t="s">
        <v>328</v>
      </c>
      <c r="CC396" s="15" t="s">
        <v>328</v>
      </c>
      <c r="CD396" s="15"/>
      <c r="CE396" s="15"/>
      <c r="CF396" s="15"/>
      <c r="CG396" s="15"/>
      <c r="CH396" s="15"/>
      <c r="CI396" s="15" t="s">
        <v>328</v>
      </c>
      <c r="CJ396" s="15"/>
      <c r="CK396" s="15"/>
      <c r="CL396" s="15"/>
      <c r="CM396" s="15" t="s">
        <v>328</v>
      </c>
      <c r="CN396" s="15">
        <v>4</v>
      </c>
      <c r="CO396" s="15">
        <v>3</v>
      </c>
      <c r="CP396" s="15">
        <v>2</v>
      </c>
      <c r="CQ396" s="15">
        <v>5</v>
      </c>
      <c r="CR396" s="15">
        <v>6</v>
      </c>
      <c r="CS396" s="15">
        <v>1</v>
      </c>
      <c r="CT396" s="15" t="s">
        <v>328</v>
      </c>
      <c r="CU396" s="15" t="s">
        <v>328</v>
      </c>
      <c r="CV396" s="15"/>
      <c r="CW396" s="15"/>
      <c r="CX396" s="15" t="s">
        <v>328</v>
      </c>
      <c r="CY396" s="15"/>
      <c r="CZ396" s="15"/>
      <c r="DA396" s="15"/>
      <c r="DB396" s="15"/>
      <c r="DC396" s="15">
        <v>4</v>
      </c>
      <c r="DD396" s="15">
        <v>1</v>
      </c>
      <c r="DE396" s="15">
        <v>2</v>
      </c>
      <c r="DF396" s="15">
        <v>3</v>
      </c>
      <c r="DG396" s="15">
        <v>6</v>
      </c>
      <c r="DH396" s="15">
        <v>5</v>
      </c>
      <c r="DI396" s="15"/>
      <c r="DJ396" s="15" t="s">
        <v>328</v>
      </c>
      <c r="DK396" s="15"/>
      <c r="DL396" s="15"/>
      <c r="DM396" s="15"/>
      <c r="DN396" s="15"/>
      <c r="DO396" s="15"/>
      <c r="DP396" s="15"/>
      <c r="DQ396" s="15"/>
      <c r="DR396" s="15" t="s">
        <v>328</v>
      </c>
      <c r="DS396" s="15"/>
      <c r="DT396" s="15"/>
      <c r="DU396" s="15" t="s">
        <v>328</v>
      </c>
      <c r="DV396" s="15" t="s">
        <v>680</v>
      </c>
      <c r="DW396" s="15" t="s">
        <v>492</v>
      </c>
      <c r="DX396" s="15" t="s">
        <v>497</v>
      </c>
      <c r="DY396" s="15" t="s">
        <v>328</v>
      </c>
      <c r="DZ396" s="15"/>
      <c r="EA396" s="15"/>
      <c r="EB396" s="15"/>
      <c r="EC396" s="15"/>
      <c r="ED396" s="15"/>
      <c r="EE396" s="102" t="s">
        <v>333</v>
      </c>
      <c r="EF396" s="99"/>
      <c r="EG396" s="17">
        <f t="shared" si="6"/>
        <v>0</v>
      </c>
    </row>
    <row r="397" spans="1:137" x14ac:dyDescent="0.25">
      <c r="A397" s="52" t="s">
        <v>1857</v>
      </c>
      <c r="B397" s="211">
        <v>41573</v>
      </c>
      <c r="C397" s="212" t="s">
        <v>2760</v>
      </c>
      <c r="D397" s="103" t="s">
        <v>1810</v>
      </c>
      <c r="E397" s="15" t="s">
        <v>328</v>
      </c>
      <c r="F397" s="15"/>
      <c r="G397" s="15">
        <v>45</v>
      </c>
      <c r="H397" s="15" t="s">
        <v>329</v>
      </c>
      <c r="I397" s="15" t="s">
        <v>353</v>
      </c>
      <c r="J397" s="14" t="s">
        <v>1619</v>
      </c>
      <c r="K397" s="14" t="s">
        <v>1620</v>
      </c>
      <c r="L397" s="14" t="s">
        <v>1256</v>
      </c>
      <c r="M397" s="15">
        <v>15</v>
      </c>
      <c r="N397" s="15">
        <v>1</v>
      </c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>
        <v>1</v>
      </c>
      <c r="AA397" s="14"/>
      <c r="AB397" s="15"/>
      <c r="AC397" s="15"/>
      <c r="AD397" s="15"/>
      <c r="AE397" s="15" t="s">
        <v>328</v>
      </c>
      <c r="AF397" s="15"/>
      <c r="AG397" s="15" t="s">
        <v>328</v>
      </c>
      <c r="AH397" s="15"/>
      <c r="AI397" s="15"/>
      <c r="AJ397" s="15"/>
      <c r="AK397" s="15"/>
      <c r="AL397" s="15"/>
      <c r="AM397" s="15" t="s">
        <v>328</v>
      </c>
      <c r="AN397" s="15"/>
      <c r="AO397" s="15"/>
      <c r="AP397" s="15"/>
      <c r="AQ397" s="15" t="s">
        <v>328</v>
      </c>
      <c r="AR397" s="15">
        <v>10</v>
      </c>
      <c r="AS397" s="15">
        <v>3</v>
      </c>
      <c r="AT397" s="15"/>
      <c r="AU397" s="15" t="s">
        <v>328</v>
      </c>
      <c r="AV397" s="15"/>
      <c r="AW397" s="15"/>
      <c r="AX397" s="15">
        <v>2</v>
      </c>
      <c r="AY397" s="15">
        <v>3</v>
      </c>
      <c r="AZ397" s="15">
        <v>1</v>
      </c>
      <c r="BA397" s="15"/>
      <c r="BB397" s="15" t="s">
        <v>328</v>
      </c>
      <c r="BC397" s="15"/>
      <c r="BD397" s="15" t="s">
        <v>328</v>
      </c>
      <c r="BE397" s="15" t="s">
        <v>328</v>
      </c>
      <c r="BF397" s="15"/>
      <c r="BG397" s="15"/>
      <c r="BH397" s="15"/>
      <c r="BI397" s="15"/>
      <c r="BJ397" s="15"/>
      <c r="BK397" s="15"/>
      <c r="BL397" s="15"/>
      <c r="BM397" s="15"/>
      <c r="BN397" s="15"/>
      <c r="BO397" s="15" t="s">
        <v>328</v>
      </c>
      <c r="BP397" s="15" t="s">
        <v>328</v>
      </c>
      <c r="BQ397" s="15"/>
      <c r="BR397" s="15"/>
      <c r="BS397" s="15"/>
      <c r="BT397" s="15" t="s">
        <v>328</v>
      </c>
      <c r="BU397" s="15"/>
      <c r="BV397" s="15"/>
      <c r="BW397" s="15"/>
      <c r="BX397" s="15"/>
      <c r="BY397" s="15"/>
      <c r="BZ397" s="15"/>
      <c r="CA397" s="15"/>
      <c r="CB397" s="15"/>
      <c r="CC397" s="15"/>
      <c r="CD397" s="15" t="s">
        <v>328</v>
      </c>
      <c r="CE397" s="15"/>
      <c r="CF397" s="15"/>
      <c r="CG397" s="15"/>
      <c r="CH397" s="15"/>
      <c r="CI397" s="15"/>
      <c r="CJ397" s="15" t="s">
        <v>328</v>
      </c>
      <c r="CK397" s="15"/>
      <c r="CL397" s="15"/>
      <c r="CM397" s="15"/>
      <c r="CN397" s="15">
        <v>1</v>
      </c>
      <c r="CO397" s="15">
        <v>3</v>
      </c>
      <c r="CP397" s="15">
        <v>6</v>
      </c>
      <c r="CQ397" s="15">
        <v>4</v>
      </c>
      <c r="CR397" s="15">
        <v>5</v>
      </c>
      <c r="CS397" s="15">
        <v>2</v>
      </c>
      <c r="CT397" s="15" t="s">
        <v>328</v>
      </c>
      <c r="CU397" s="15"/>
      <c r="CV397" s="15"/>
      <c r="CW397" s="15"/>
      <c r="CX397" s="15"/>
      <c r="CY397" s="15"/>
      <c r="CZ397" s="15"/>
      <c r="DA397" s="15"/>
      <c r="DB397" s="15"/>
      <c r="DC397" s="15">
        <v>2</v>
      </c>
      <c r="DD397" s="15">
        <v>3</v>
      </c>
      <c r="DE397" s="15"/>
      <c r="DF397" s="15"/>
      <c r="DG397" s="15">
        <v>1</v>
      </c>
      <c r="DH397" s="15"/>
      <c r="DI397" s="15"/>
      <c r="DJ397" s="15" t="s">
        <v>328</v>
      </c>
      <c r="DK397" s="15"/>
      <c r="DL397" s="15"/>
      <c r="DM397" s="15"/>
      <c r="DN397" s="15"/>
      <c r="DO397" s="15"/>
      <c r="DP397" s="15"/>
      <c r="DQ397" s="15" t="s">
        <v>328</v>
      </c>
      <c r="DR397" s="15"/>
      <c r="DS397" s="15"/>
      <c r="DT397" s="15"/>
      <c r="DU397" s="15"/>
      <c r="DV397" s="15"/>
      <c r="DW397" s="15"/>
      <c r="DX397" s="15"/>
      <c r="DY397" s="15" t="s">
        <v>328</v>
      </c>
      <c r="DZ397" s="15"/>
      <c r="EA397" s="15"/>
      <c r="EB397" s="15"/>
      <c r="EC397" s="15"/>
      <c r="ED397" s="15"/>
      <c r="EE397" s="102"/>
      <c r="EF397" s="99"/>
      <c r="EG397" s="17">
        <f t="shared" si="6"/>
        <v>0</v>
      </c>
    </row>
    <row r="398" spans="1:137" x14ac:dyDescent="0.25">
      <c r="A398" s="52" t="s">
        <v>1857</v>
      </c>
      <c r="B398" s="211">
        <v>41573</v>
      </c>
      <c r="C398" s="212" t="s">
        <v>2760</v>
      </c>
      <c r="D398" s="103" t="s">
        <v>1811</v>
      </c>
      <c r="E398" s="15" t="s">
        <v>328</v>
      </c>
      <c r="F398" s="15"/>
      <c r="G398" s="15">
        <v>44</v>
      </c>
      <c r="H398" s="15" t="s">
        <v>329</v>
      </c>
      <c r="I398" s="15" t="s">
        <v>357</v>
      </c>
      <c r="J398" s="15" t="s">
        <v>1635</v>
      </c>
      <c r="K398" s="15" t="s">
        <v>1636</v>
      </c>
      <c r="L398" s="15" t="s">
        <v>1256</v>
      </c>
      <c r="M398" s="15">
        <v>20</v>
      </c>
      <c r="N398" s="15">
        <v>2</v>
      </c>
      <c r="O398" s="15">
        <v>2</v>
      </c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 t="s">
        <v>328</v>
      </c>
      <c r="AG398" s="15"/>
      <c r="AH398" s="15" t="s">
        <v>328</v>
      </c>
      <c r="AI398" s="15"/>
      <c r="AJ398" s="15"/>
      <c r="AK398" s="15"/>
      <c r="AL398" s="15"/>
      <c r="AM398" s="15" t="s">
        <v>328</v>
      </c>
      <c r="AN398" s="15"/>
      <c r="AO398" s="15"/>
      <c r="AP398" s="15" t="s">
        <v>328</v>
      </c>
      <c r="AQ398" s="15" t="s">
        <v>328</v>
      </c>
      <c r="AR398" s="15">
        <v>10</v>
      </c>
      <c r="AS398" s="15">
        <v>3</v>
      </c>
      <c r="AT398" s="15"/>
      <c r="AU398" s="15" t="s">
        <v>328</v>
      </c>
      <c r="AV398" s="15"/>
      <c r="AW398" s="15"/>
      <c r="AX398" s="15">
        <v>1</v>
      </c>
      <c r="AY398" s="15">
        <v>2</v>
      </c>
      <c r="AZ398" s="15">
        <v>3</v>
      </c>
      <c r="BA398" s="15"/>
      <c r="BB398" s="15" t="s">
        <v>328</v>
      </c>
      <c r="BC398" s="15"/>
      <c r="BD398" s="15"/>
      <c r="BE398" s="15"/>
      <c r="BF398" s="15"/>
      <c r="BG398" s="15"/>
      <c r="BH398" s="15"/>
      <c r="BI398" s="15" t="s">
        <v>328</v>
      </c>
      <c r="BJ398" s="15"/>
      <c r="BK398" s="15" t="s">
        <v>328</v>
      </c>
      <c r="BL398" s="15"/>
      <c r="BM398" s="15"/>
      <c r="BN398" s="15"/>
      <c r="BO398" s="15" t="s">
        <v>328</v>
      </c>
      <c r="BP398" s="15"/>
      <c r="BQ398" s="15" t="s">
        <v>328</v>
      </c>
      <c r="BR398" s="15"/>
      <c r="BS398" s="15"/>
      <c r="BT398" s="15"/>
      <c r="BU398" s="15"/>
      <c r="BV398" s="15" t="s">
        <v>328</v>
      </c>
      <c r="BW398" s="15" t="s">
        <v>328</v>
      </c>
      <c r="BX398" s="15"/>
      <c r="BY398" s="15"/>
      <c r="BZ398" s="15"/>
      <c r="CA398" s="15"/>
      <c r="CB398" s="15"/>
      <c r="CC398" s="15"/>
      <c r="CD398" s="15" t="s">
        <v>328</v>
      </c>
      <c r="CE398" s="15"/>
      <c r="CF398" s="15"/>
      <c r="CG398" s="15" t="s">
        <v>328</v>
      </c>
      <c r="CH398" s="15"/>
      <c r="CI398" s="15"/>
      <c r="CJ398" s="15" t="s">
        <v>328</v>
      </c>
      <c r="CK398" s="15"/>
      <c r="CL398" s="15"/>
      <c r="CM398" s="15"/>
      <c r="CN398" s="15">
        <v>3</v>
      </c>
      <c r="CO398" s="15">
        <v>2</v>
      </c>
      <c r="CP398" s="15">
        <v>5</v>
      </c>
      <c r="CQ398" s="15">
        <v>4</v>
      </c>
      <c r="CR398" s="15">
        <v>1</v>
      </c>
      <c r="CS398" s="15">
        <v>6</v>
      </c>
      <c r="CT398" s="15"/>
      <c r="CU398" s="15"/>
      <c r="CV398" s="15"/>
      <c r="CW398" s="15"/>
      <c r="CX398" s="15" t="s">
        <v>328</v>
      </c>
      <c r="CY398" s="15"/>
      <c r="CZ398" s="15"/>
      <c r="DA398" s="15"/>
      <c r="DB398" s="15"/>
      <c r="DC398" s="15">
        <v>6</v>
      </c>
      <c r="DD398" s="15">
        <v>1</v>
      </c>
      <c r="DE398" s="15">
        <v>2</v>
      </c>
      <c r="DF398" s="15">
        <v>3</v>
      </c>
      <c r="DG398" s="15">
        <v>5</v>
      </c>
      <c r="DH398" s="15">
        <v>4</v>
      </c>
      <c r="DI398" s="15"/>
      <c r="DJ398" s="15" t="s">
        <v>328</v>
      </c>
      <c r="DK398" s="15"/>
      <c r="DL398" s="15"/>
      <c r="DM398" s="15"/>
      <c r="DN398" s="15"/>
      <c r="DO398" s="15"/>
      <c r="DP398" s="14" t="s">
        <v>1145</v>
      </c>
      <c r="DQ398" s="15" t="s">
        <v>328</v>
      </c>
      <c r="DR398" s="15"/>
      <c r="DS398" s="15"/>
      <c r="DT398" s="15"/>
      <c r="DU398" s="15"/>
      <c r="DV398" s="15"/>
      <c r="DW398" s="15"/>
      <c r="DX398" s="15" t="s">
        <v>1145</v>
      </c>
      <c r="DY398" s="15" t="s">
        <v>328</v>
      </c>
      <c r="DZ398" s="15"/>
      <c r="EA398" s="15"/>
      <c r="EB398" s="15"/>
      <c r="EC398" s="15"/>
      <c r="ED398" s="15"/>
      <c r="EE398" s="102" t="s">
        <v>1145</v>
      </c>
      <c r="EF398" s="99"/>
      <c r="EG398" s="17">
        <f t="shared" si="6"/>
        <v>0</v>
      </c>
    </row>
    <row r="399" spans="1:137" x14ac:dyDescent="0.25">
      <c r="A399" s="52" t="s">
        <v>1857</v>
      </c>
      <c r="B399" s="211">
        <v>41573</v>
      </c>
      <c r="C399" s="212" t="s">
        <v>2760</v>
      </c>
      <c r="D399" s="103" t="s">
        <v>1812</v>
      </c>
      <c r="E399" s="14" t="s">
        <v>328</v>
      </c>
      <c r="F399" s="14"/>
      <c r="G399" s="14">
        <v>35</v>
      </c>
      <c r="H399" s="14" t="s">
        <v>329</v>
      </c>
      <c r="I399" s="14" t="s">
        <v>330</v>
      </c>
      <c r="J399" s="14" t="s">
        <v>1614</v>
      </c>
      <c r="K399" s="14" t="s">
        <v>1615</v>
      </c>
      <c r="L399" s="14" t="s">
        <v>1256</v>
      </c>
      <c r="M399" s="14">
        <v>12</v>
      </c>
      <c r="N399" s="14">
        <v>1</v>
      </c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>
        <v>1</v>
      </c>
      <c r="AA399" s="14"/>
      <c r="AB399" s="14" t="s">
        <v>328</v>
      </c>
      <c r="AC399" s="14"/>
      <c r="AD399" s="14"/>
      <c r="AE399" s="14"/>
      <c r="AF399" s="14"/>
      <c r="AG399" s="14" t="s">
        <v>328</v>
      </c>
      <c r="AH399" s="14"/>
      <c r="AI399" s="14"/>
      <c r="AJ399" s="14"/>
      <c r="AK399" s="14"/>
      <c r="AL399" s="14"/>
      <c r="AM399" s="14" t="s">
        <v>328</v>
      </c>
      <c r="AN399" s="14"/>
      <c r="AO399" s="14" t="s">
        <v>328</v>
      </c>
      <c r="AP399" s="14"/>
      <c r="AQ399" s="14" t="s">
        <v>328</v>
      </c>
      <c r="AR399" s="14">
        <v>6</v>
      </c>
      <c r="AS399" s="14">
        <v>3</v>
      </c>
      <c r="AT399" s="14"/>
      <c r="AU399" s="14"/>
      <c r="AV399" s="14" t="s">
        <v>328</v>
      </c>
      <c r="AW399" s="14"/>
      <c r="AX399" s="14">
        <v>2</v>
      </c>
      <c r="AY399" s="14">
        <v>1</v>
      </c>
      <c r="AZ399" s="14">
        <v>3</v>
      </c>
      <c r="BA399" s="14"/>
      <c r="BB399" s="14" t="s">
        <v>328</v>
      </c>
      <c r="BC399" s="14"/>
      <c r="BD399" s="14" t="s">
        <v>328</v>
      </c>
      <c r="BE399" s="14" t="s">
        <v>328</v>
      </c>
      <c r="BF399" s="14"/>
      <c r="BG399" s="14"/>
      <c r="BH399" s="14"/>
      <c r="BI399" s="14"/>
      <c r="BJ399" s="14"/>
      <c r="BK399" s="14"/>
      <c r="BL399" s="14"/>
      <c r="BM399" s="14"/>
      <c r="BN399" s="14"/>
      <c r="BO399" s="14" t="s">
        <v>328</v>
      </c>
      <c r="BP399" s="14"/>
      <c r="BQ399" s="14" t="s">
        <v>328</v>
      </c>
      <c r="BR399" s="14"/>
      <c r="BS399" s="14"/>
      <c r="BT399" s="14" t="s">
        <v>328</v>
      </c>
      <c r="BU399" s="14"/>
      <c r="BV399" s="14"/>
      <c r="BW399" s="14" t="s">
        <v>328</v>
      </c>
      <c r="BX399" s="14"/>
      <c r="BY399" s="14"/>
      <c r="BZ399" s="14"/>
      <c r="CA399" s="14"/>
      <c r="CB399" s="14"/>
      <c r="CC399" s="14"/>
      <c r="CD399" s="14"/>
      <c r="CE399" s="14"/>
      <c r="CF399" s="14"/>
      <c r="CG399" s="14" t="s">
        <v>328</v>
      </c>
      <c r="CH399" s="14"/>
      <c r="CI399" s="14"/>
      <c r="CJ399" s="14" t="s">
        <v>328</v>
      </c>
      <c r="CK399" s="14"/>
      <c r="CL399" s="14"/>
      <c r="CM399" s="14"/>
      <c r="CN399" s="14">
        <v>1</v>
      </c>
      <c r="CO399" s="14">
        <v>2</v>
      </c>
      <c r="CP399" s="14">
        <v>4</v>
      </c>
      <c r="CQ399" s="14">
        <v>6</v>
      </c>
      <c r="CR399" s="14">
        <v>5</v>
      </c>
      <c r="CS399" s="14">
        <v>3</v>
      </c>
      <c r="CT399" s="14"/>
      <c r="CU399" s="14"/>
      <c r="CV399" s="14"/>
      <c r="CW399" s="14"/>
      <c r="CX399" s="14"/>
      <c r="CY399" s="14"/>
      <c r="CZ399" s="14" t="s">
        <v>332</v>
      </c>
      <c r="DA399" s="14"/>
      <c r="DB399" s="14"/>
      <c r="DC399" s="14">
        <v>2</v>
      </c>
      <c r="DD399" s="14">
        <v>3</v>
      </c>
      <c r="DE399" s="14"/>
      <c r="DF399" s="14"/>
      <c r="DG399" s="14">
        <v>1</v>
      </c>
      <c r="DH399" s="14"/>
      <c r="DI399" s="14"/>
      <c r="DJ399" s="14" t="s">
        <v>328</v>
      </c>
      <c r="DK399" s="14"/>
      <c r="DL399" s="14"/>
      <c r="DM399" s="14"/>
      <c r="DN399" s="14"/>
      <c r="DO399" s="14"/>
      <c r="DP399" s="14" t="s">
        <v>333</v>
      </c>
      <c r="DQ399" s="14"/>
      <c r="DR399" s="14" t="s">
        <v>328</v>
      </c>
      <c r="DS399" s="14" t="s">
        <v>328</v>
      </c>
      <c r="DT399" s="14" t="s">
        <v>354</v>
      </c>
      <c r="DU399" s="14"/>
      <c r="DV399" s="14"/>
      <c r="DW399" s="15" t="s">
        <v>410</v>
      </c>
      <c r="DX399" s="15" t="s">
        <v>411</v>
      </c>
      <c r="DY399" s="14" t="s">
        <v>328</v>
      </c>
      <c r="DZ399" s="14"/>
      <c r="EA399" s="14"/>
      <c r="EB399" s="14"/>
      <c r="EC399" s="14"/>
      <c r="ED399" s="14"/>
      <c r="EE399" s="101" t="s">
        <v>333</v>
      </c>
      <c r="EF399" s="48"/>
      <c r="EG399" s="17">
        <f t="shared" si="6"/>
        <v>0</v>
      </c>
    </row>
    <row r="400" spans="1:137" x14ac:dyDescent="0.25">
      <c r="A400" s="52" t="s">
        <v>1857</v>
      </c>
      <c r="B400" s="211">
        <v>41573</v>
      </c>
      <c r="C400" s="212" t="s">
        <v>2760</v>
      </c>
      <c r="D400" s="103" t="s">
        <v>1813</v>
      </c>
      <c r="E400" s="14" t="s">
        <v>328</v>
      </c>
      <c r="F400" s="14"/>
      <c r="G400" s="14">
        <v>28</v>
      </c>
      <c r="H400" s="14" t="s">
        <v>329</v>
      </c>
      <c r="I400" s="14" t="s">
        <v>357</v>
      </c>
      <c r="J400" s="15" t="s">
        <v>1635</v>
      </c>
      <c r="K400" s="15" t="s">
        <v>1636</v>
      </c>
      <c r="L400" s="15" t="s">
        <v>1256</v>
      </c>
      <c r="M400" s="14">
        <v>10</v>
      </c>
      <c r="N400" s="14">
        <v>2</v>
      </c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>
        <v>2</v>
      </c>
      <c r="AA400" s="14"/>
      <c r="AB400" s="14" t="s">
        <v>328</v>
      </c>
      <c r="AC400" s="14"/>
      <c r="AD400" s="14"/>
      <c r="AE400" s="14"/>
      <c r="AF400" s="14"/>
      <c r="AG400" s="14" t="s">
        <v>328</v>
      </c>
      <c r="AH400" s="14"/>
      <c r="AI400" s="14"/>
      <c r="AJ400" s="14"/>
      <c r="AK400" s="14"/>
      <c r="AL400" s="14"/>
      <c r="AM400" s="14" t="s">
        <v>328</v>
      </c>
      <c r="AN400" s="14"/>
      <c r="AO400" s="14" t="s">
        <v>328</v>
      </c>
      <c r="AP400" s="14"/>
      <c r="AQ400" s="14"/>
      <c r="AR400" s="14">
        <v>10</v>
      </c>
      <c r="AS400" s="14">
        <v>2</v>
      </c>
      <c r="AT400" s="14"/>
      <c r="AU400" s="14" t="s">
        <v>328</v>
      </c>
      <c r="AV400" s="14"/>
      <c r="AW400" s="14"/>
      <c r="AX400" s="14">
        <v>1</v>
      </c>
      <c r="AY400" s="14">
        <v>3</v>
      </c>
      <c r="AZ400" s="14">
        <v>2</v>
      </c>
      <c r="BA400" s="14"/>
      <c r="BB400" s="14" t="s">
        <v>328</v>
      </c>
      <c r="BC400" s="14"/>
      <c r="BD400" s="14" t="s">
        <v>328</v>
      </c>
      <c r="BE400" s="14"/>
      <c r="BF400" s="14" t="s">
        <v>328</v>
      </c>
      <c r="BG400" s="14"/>
      <c r="BH400" s="14"/>
      <c r="BI400" s="14"/>
      <c r="BJ400" s="14"/>
      <c r="BK400" s="14"/>
      <c r="BL400" s="14"/>
      <c r="BM400" s="14"/>
      <c r="BN400" s="14" t="s">
        <v>328</v>
      </c>
      <c r="BO400" s="14"/>
      <c r="BP400" s="14" t="s">
        <v>328</v>
      </c>
      <c r="BQ400" s="14"/>
      <c r="BR400" s="14" t="s">
        <v>328</v>
      </c>
      <c r="BS400" s="14"/>
      <c r="BT400" s="14"/>
      <c r="BU400" s="14"/>
      <c r="BV400" s="14"/>
      <c r="BW400" s="14"/>
      <c r="BX400" s="14"/>
      <c r="BY400" s="14" t="s">
        <v>328</v>
      </c>
      <c r="BZ400" s="14"/>
      <c r="CA400" s="14"/>
      <c r="CB400" s="14"/>
      <c r="CC400" s="14" t="s">
        <v>328</v>
      </c>
      <c r="CD400" s="14"/>
      <c r="CE400" s="14"/>
      <c r="CF400" s="14"/>
      <c r="CG400" s="14"/>
      <c r="CH400" s="14"/>
      <c r="CI400" s="14" t="s">
        <v>328</v>
      </c>
      <c r="CJ400" s="14"/>
      <c r="CK400" s="14"/>
      <c r="CL400" s="14"/>
      <c r="CM400" s="14"/>
      <c r="CN400" s="14">
        <v>3</v>
      </c>
      <c r="CO400" s="14">
        <v>1</v>
      </c>
      <c r="CP400" s="14">
        <v>4</v>
      </c>
      <c r="CQ400" s="14">
        <v>6</v>
      </c>
      <c r="CR400" s="14">
        <v>5</v>
      </c>
      <c r="CS400" s="14">
        <v>2</v>
      </c>
      <c r="CT400" s="14"/>
      <c r="CU400" s="14" t="s">
        <v>328</v>
      </c>
      <c r="CV400" s="14"/>
      <c r="CW400" s="14"/>
      <c r="CX400" s="14" t="s">
        <v>328</v>
      </c>
      <c r="CY400" s="14"/>
      <c r="CZ400" s="14"/>
      <c r="DA400" s="14"/>
      <c r="DB400" s="14"/>
      <c r="DC400" s="14">
        <v>1</v>
      </c>
      <c r="DD400" s="14">
        <v>3</v>
      </c>
      <c r="DE400" s="14">
        <v>5</v>
      </c>
      <c r="DF400" s="14">
        <v>4</v>
      </c>
      <c r="DG400" s="14">
        <v>2</v>
      </c>
      <c r="DH400" s="14">
        <v>6</v>
      </c>
      <c r="DI400" s="14"/>
      <c r="DJ400" s="14" t="s">
        <v>328</v>
      </c>
      <c r="DK400" s="14"/>
      <c r="DL400" s="14"/>
      <c r="DM400" s="14"/>
      <c r="DN400" s="14"/>
      <c r="DO400" s="14"/>
      <c r="DP400" s="14" t="s">
        <v>333</v>
      </c>
      <c r="DQ400" s="14"/>
      <c r="DR400" s="14" t="s">
        <v>328</v>
      </c>
      <c r="DS400" s="14" t="s">
        <v>328</v>
      </c>
      <c r="DT400" s="14" t="s">
        <v>354</v>
      </c>
      <c r="DU400" s="14"/>
      <c r="DV400" s="14"/>
      <c r="DW400" s="14" t="s">
        <v>335</v>
      </c>
      <c r="DX400" s="14" t="s">
        <v>336</v>
      </c>
      <c r="DY400" s="14" t="s">
        <v>328</v>
      </c>
      <c r="DZ400" s="14"/>
      <c r="EA400" s="14"/>
      <c r="EB400" s="14"/>
      <c r="EC400" s="14"/>
      <c r="ED400" s="14"/>
      <c r="EE400" s="101" t="s">
        <v>333</v>
      </c>
      <c r="EF400" s="48"/>
      <c r="EG400" s="17">
        <f t="shared" si="6"/>
        <v>0</v>
      </c>
    </row>
    <row r="401" spans="1:137" x14ac:dyDescent="0.25">
      <c r="A401" s="52" t="s">
        <v>1857</v>
      </c>
      <c r="B401" s="211">
        <v>41573</v>
      </c>
      <c r="C401" s="212" t="s">
        <v>2760</v>
      </c>
      <c r="D401" s="103" t="s">
        <v>1814</v>
      </c>
      <c r="E401" s="15" t="s">
        <v>328</v>
      </c>
      <c r="F401" s="15"/>
      <c r="G401" s="15">
        <v>35</v>
      </c>
      <c r="H401" s="15" t="s">
        <v>329</v>
      </c>
      <c r="I401" s="15" t="s">
        <v>399</v>
      </c>
      <c r="J401" s="14" t="s">
        <v>386</v>
      </c>
      <c r="K401" s="14" t="s">
        <v>1189</v>
      </c>
      <c r="L401" s="14" t="s">
        <v>1256</v>
      </c>
      <c r="M401" s="15">
        <v>8</v>
      </c>
      <c r="N401" s="15">
        <v>1</v>
      </c>
      <c r="O401" s="15"/>
      <c r="P401" s="15"/>
      <c r="Q401" s="15"/>
      <c r="R401" s="15">
        <v>1</v>
      </c>
      <c r="S401" s="15"/>
      <c r="T401" s="15"/>
      <c r="U401" s="15"/>
      <c r="V401" s="15"/>
      <c r="W401" s="15"/>
      <c r="X401" s="15"/>
      <c r="Y401" s="15"/>
      <c r="Z401" s="15"/>
      <c r="AA401" s="15"/>
      <c r="AB401" s="15" t="s">
        <v>328</v>
      </c>
      <c r="AC401" s="15"/>
      <c r="AD401" s="15"/>
      <c r="AE401" s="15"/>
      <c r="AF401" s="15"/>
      <c r="AG401" s="15"/>
      <c r="AH401" s="15"/>
      <c r="AI401" s="15" t="s">
        <v>328</v>
      </c>
      <c r="AJ401" s="15"/>
      <c r="AK401" s="15"/>
      <c r="AL401" s="15" t="s">
        <v>328</v>
      </c>
      <c r="AM401" s="15"/>
      <c r="AN401" s="15"/>
      <c r="AO401" s="15"/>
      <c r="AP401" s="14" t="s">
        <v>328</v>
      </c>
      <c r="AQ401" s="15"/>
      <c r="AR401" s="15">
        <v>10</v>
      </c>
      <c r="AS401" s="15">
        <v>2</v>
      </c>
      <c r="AT401" s="15"/>
      <c r="AU401" s="15" t="s">
        <v>328</v>
      </c>
      <c r="AV401" s="15"/>
      <c r="AW401" s="15"/>
      <c r="AX401" s="15">
        <v>4</v>
      </c>
      <c r="AY401" s="15">
        <v>2</v>
      </c>
      <c r="AZ401" s="15">
        <v>3</v>
      </c>
      <c r="BA401" s="15" t="s">
        <v>346</v>
      </c>
      <c r="BB401" s="15"/>
      <c r="BC401" s="15" t="s">
        <v>328</v>
      </c>
      <c r="BD401" s="15"/>
      <c r="BE401" s="15"/>
      <c r="BF401" s="15"/>
      <c r="BG401" s="15" t="s">
        <v>328</v>
      </c>
      <c r="BH401" s="15"/>
      <c r="BI401" s="15"/>
      <c r="BJ401" s="15"/>
      <c r="BK401" s="15"/>
      <c r="BL401" s="15"/>
      <c r="BM401" s="15"/>
      <c r="BN401" s="15" t="s">
        <v>328</v>
      </c>
      <c r="BO401" s="15"/>
      <c r="BP401" s="15" t="s">
        <v>328</v>
      </c>
      <c r="BQ401" s="15"/>
      <c r="BR401" s="15" t="s">
        <v>328</v>
      </c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 t="s">
        <v>332</v>
      </c>
      <c r="CI401" s="15" t="s">
        <v>328</v>
      </c>
      <c r="CJ401" s="15"/>
      <c r="CK401" s="15"/>
      <c r="CL401" s="15"/>
      <c r="CM401" s="15"/>
      <c r="CN401" s="15">
        <v>3</v>
      </c>
      <c r="CO401" s="15">
        <v>1</v>
      </c>
      <c r="CP401" s="15">
        <v>4</v>
      </c>
      <c r="CQ401" s="15">
        <v>5</v>
      </c>
      <c r="CR401" s="15">
        <v>6</v>
      </c>
      <c r="CS401" s="15">
        <v>2</v>
      </c>
      <c r="CT401" s="15"/>
      <c r="CU401" s="15" t="s">
        <v>328</v>
      </c>
      <c r="CV401" s="15" t="s">
        <v>328</v>
      </c>
      <c r="CW401" s="15" t="s">
        <v>328</v>
      </c>
      <c r="CX401" s="15"/>
      <c r="CY401" s="15" t="s">
        <v>328</v>
      </c>
      <c r="CZ401" s="15"/>
      <c r="DA401" s="15"/>
      <c r="DB401" s="15"/>
      <c r="DC401" s="15">
        <v>2</v>
      </c>
      <c r="DD401" s="15">
        <v>3</v>
      </c>
      <c r="DE401" s="15">
        <v>6</v>
      </c>
      <c r="DF401" s="15">
        <v>5</v>
      </c>
      <c r="DG401" s="15">
        <v>1</v>
      </c>
      <c r="DH401" s="15">
        <v>4</v>
      </c>
      <c r="DI401" s="15"/>
      <c r="DJ401" s="15"/>
      <c r="DK401" s="15" t="s">
        <v>328</v>
      </c>
      <c r="DL401" s="15" t="s">
        <v>328</v>
      </c>
      <c r="DM401" s="15" t="s">
        <v>618</v>
      </c>
      <c r="DN401" s="15"/>
      <c r="DO401" s="14" t="s">
        <v>432</v>
      </c>
      <c r="DP401" s="14" t="s">
        <v>333</v>
      </c>
      <c r="DQ401" s="15"/>
      <c r="DR401" s="15" t="s">
        <v>328</v>
      </c>
      <c r="DS401" s="15" t="s">
        <v>328</v>
      </c>
      <c r="DT401" s="15" t="s">
        <v>420</v>
      </c>
      <c r="DU401" s="15"/>
      <c r="DV401" s="15"/>
      <c r="DW401" s="14" t="s">
        <v>335</v>
      </c>
      <c r="DX401" s="15" t="s">
        <v>616</v>
      </c>
      <c r="DY401" s="15"/>
      <c r="DZ401" s="15" t="s">
        <v>328</v>
      </c>
      <c r="EA401" s="15" t="s">
        <v>328</v>
      </c>
      <c r="EB401" s="15" t="s">
        <v>420</v>
      </c>
      <c r="EC401" s="15"/>
      <c r="ED401" s="15" t="s">
        <v>432</v>
      </c>
      <c r="EE401" s="102" t="s">
        <v>497</v>
      </c>
      <c r="EF401" s="99"/>
      <c r="EG401" s="17">
        <f t="shared" si="6"/>
        <v>0</v>
      </c>
    </row>
    <row r="402" spans="1:137" x14ac:dyDescent="0.25">
      <c r="A402" s="52" t="s">
        <v>1857</v>
      </c>
      <c r="B402" s="211">
        <v>41573</v>
      </c>
      <c r="C402" s="212" t="s">
        <v>2760</v>
      </c>
      <c r="D402" s="103" t="s">
        <v>1815</v>
      </c>
      <c r="E402" s="15" t="s">
        <v>328</v>
      </c>
      <c r="F402" s="15"/>
      <c r="G402" s="15">
        <v>36</v>
      </c>
      <c r="H402" s="15" t="s">
        <v>329</v>
      </c>
      <c r="I402" s="15" t="s">
        <v>357</v>
      </c>
      <c r="J402" s="15" t="s">
        <v>1629</v>
      </c>
      <c r="K402" s="18" t="s">
        <v>1630</v>
      </c>
      <c r="L402" s="15" t="s">
        <v>1256</v>
      </c>
      <c r="M402" s="15">
        <v>9</v>
      </c>
      <c r="N402" s="15">
        <v>1</v>
      </c>
      <c r="O402" s="15"/>
      <c r="P402" s="15"/>
      <c r="Q402" s="15"/>
      <c r="R402" s="15"/>
      <c r="S402" s="15"/>
      <c r="T402" s="15"/>
      <c r="U402" s="15"/>
      <c r="V402" s="15">
        <v>3</v>
      </c>
      <c r="W402" s="15"/>
      <c r="X402" s="15"/>
      <c r="Y402" s="15"/>
      <c r="Z402" s="15"/>
      <c r="AA402" s="18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 t="s">
        <v>1165</v>
      </c>
      <c r="AL402" s="15" t="s">
        <v>328</v>
      </c>
      <c r="AM402" s="15"/>
      <c r="AN402" s="15" t="s">
        <v>328</v>
      </c>
      <c r="AO402" s="15"/>
      <c r="AP402" s="15"/>
      <c r="AQ402" s="15"/>
      <c r="AR402" s="15">
        <v>10</v>
      </c>
      <c r="AS402" s="15">
        <v>1</v>
      </c>
      <c r="AT402" s="15"/>
      <c r="AU402" s="15"/>
      <c r="AV402" s="15" t="s">
        <v>328</v>
      </c>
      <c r="AW402" s="15"/>
      <c r="AX402" s="15">
        <v>3</v>
      </c>
      <c r="AY402" s="15">
        <v>2</v>
      </c>
      <c r="AZ402" s="15">
        <v>1</v>
      </c>
      <c r="BA402" s="15"/>
      <c r="BB402" s="15" t="s">
        <v>328</v>
      </c>
      <c r="BC402" s="15"/>
      <c r="BD402" s="15"/>
      <c r="BE402" s="15"/>
      <c r="BF402" s="15"/>
      <c r="BG402" s="15" t="s">
        <v>328</v>
      </c>
      <c r="BH402" s="15"/>
      <c r="BI402" s="15"/>
      <c r="BJ402" s="15"/>
      <c r="BK402" s="15"/>
      <c r="BL402" s="15"/>
      <c r="BM402" s="15"/>
      <c r="BN402" s="15"/>
      <c r="BO402" s="15" t="s">
        <v>328</v>
      </c>
      <c r="BP402" s="15"/>
      <c r="BQ402" s="15" t="s">
        <v>328</v>
      </c>
      <c r="BR402" s="15" t="s">
        <v>328</v>
      </c>
      <c r="BS402" s="15"/>
      <c r="BT402" s="15"/>
      <c r="BU402" s="15"/>
      <c r="BV402" s="15"/>
      <c r="BW402" s="15" t="s">
        <v>328</v>
      </c>
      <c r="BX402" s="15"/>
      <c r="BY402" s="15" t="s">
        <v>328</v>
      </c>
      <c r="BZ402" s="15"/>
      <c r="CA402" s="15"/>
      <c r="CB402" s="15"/>
      <c r="CC402" s="15" t="s">
        <v>328</v>
      </c>
      <c r="CD402" s="15"/>
      <c r="CE402" s="15"/>
      <c r="CF402" s="15"/>
      <c r="CG402" s="15" t="s">
        <v>328</v>
      </c>
      <c r="CH402" s="15"/>
      <c r="CI402" s="15" t="s">
        <v>328</v>
      </c>
      <c r="CJ402" s="15"/>
      <c r="CK402" s="15"/>
      <c r="CL402" s="15"/>
      <c r="CM402" s="15"/>
      <c r="CN402" s="15">
        <v>3</v>
      </c>
      <c r="CO402" s="15">
        <v>1</v>
      </c>
      <c r="CP402" s="15">
        <v>2</v>
      </c>
      <c r="CQ402" s="15">
        <v>6</v>
      </c>
      <c r="CR402" s="15">
        <v>5</v>
      </c>
      <c r="CS402" s="15">
        <v>4</v>
      </c>
      <c r="CT402" s="15"/>
      <c r="CU402" s="15" t="s">
        <v>328</v>
      </c>
      <c r="CV402" s="15" t="s">
        <v>328</v>
      </c>
      <c r="CW402" s="15"/>
      <c r="CX402" s="15"/>
      <c r="CY402" s="15"/>
      <c r="CZ402" s="15"/>
      <c r="DA402" s="15"/>
      <c r="DB402" s="15"/>
      <c r="DC402" s="15">
        <v>1</v>
      </c>
      <c r="DD402" s="15">
        <v>5</v>
      </c>
      <c r="DE402" s="15">
        <v>3</v>
      </c>
      <c r="DF402" s="15">
        <v>4</v>
      </c>
      <c r="DG402" s="15">
        <v>2</v>
      </c>
      <c r="DH402" s="15">
        <v>6</v>
      </c>
      <c r="DI402" s="15"/>
      <c r="DJ402" s="15" t="s">
        <v>328</v>
      </c>
      <c r="DK402" s="15"/>
      <c r="DL402" s="15"/>
      <c r="DM402" s="15"/>
      <c r="DN402" s="15"/>
      <c r="DO402" s="15"/>
      <c r="DP402" s="14" t="s">
        <v>1145</v>
      </c>
      <c r="DQ402" s="15"/>
      <c r="DR402" s="15" t="s">
        <v>328</v>
      </c>
      <c r="DS402" s="15" t="s">
        <v>328</v>
      </c>
      <c r="DT402" s="15" t="s">
        <v>420</v>
      </c>
      <c r="DU402" s="15"/>
      <c r="DV402" s="15"/>
      <c r="DW402" s="15" t="s">
        <v>428</v>
      </c>
      <c r="DX402" s="15" t="s">
        <v>1145</v>
      </c>
      <c r="DY402" s="15" t="s">
        <v>328</v>
      </c>
      <c r="DZ402" s="15"/>
      <c r="EA402" s="15"/>
      <c r="EB402" s="15"/>
      <c r="EC402" s="15"/>
      <c r="ED402" s="15"/>
      <c r="EE402" s="102"/>
      <c r="EF402" s="99"/>
      <c r="EG402" s="17">
        <f t="shared" si="6"/>
        <v>0</v>
      </c>
    </row>
    <row r="403" spans="1:137" x14ac:dyDescent="0.25">
      <c r="A403" s="52" t="s">
        <v>1857</v>
      </c>
      <c r="B403" s="211">
        <v>41573</v>
      </c>
      <c r="C403" s="212" t="s">
        <v>2760</v>
      </c>
      <c r="D403" s="103" t="s">
        <v>1816</v>
      </c>
      <c r="E403" s="14" t="s">
        <v>328</v>
      </c>
      <c r="F403" s="14"/>
      <c r="G403" s="14">
        <v>51</v>
      </c>
      <c r="H403" s="14" t="s">
        <v>329</v>
      </c>
      <c r="I403" s="14" t="s">
        <v>357</v>
      </c>
      <c r="J403" s="14" t="s">
        <v>386</v>
      </c>
      <c r="K403" s="14" t="s">
        <v>1189</v>
      </c>
      <c r="L403" s="14" t="s">
        <v>1256</v>
      </c>
      <c r="M403" s="14">
        <v>30</v>
      </c>
      <c r="N403" s="14">
        <v>2</v>
      </c>
      <c r="O403" s="14">
        <v>2</v>
      </c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 t="s">
        <v>328</v>
      </c>
      <c r="AD403" s="14"/>
      <c r="AE403" s="14" t="s">
        <v>328</v>
      </c>
      <c r="AF403" s="14"/>
      <c r="AG403" s="14"/>
      <c r="AH403" s="14"/>
      <c r="AI403" s="14"/>
      <c r="AJ403" s="14"/>
      <c r="AK403" s="14"/>
      <c r="AL403" s="14" t="s">
        <v>328</v>
      </c>
      <c r="AM403" s="14"/>
      <c r="AN403" s="14"/>
      <c r="AO403" s="14" t="s">
        <v>328</v>
      </c>
      <c r="AP403" s="14"/>
      <c r="AQ403" s="14" t="s">
        <v>328</v>
      </c>
      <c r="AR403" s="14">
        <v>10</v>
      </c>
      <c r="AS403" s="14">
        <v>4</v>
      </c>
      <c r="AT403" s="14"/>
      <c r="AU403" s="14"/>
      <c r="AV403" s="14"/>
      <c r="AW403" s="14" t="s">
        <v>328</v>
      </c>
      <c r="AX403" s="14">
        <v>4</v>
      </c>
      <c r="AY403" s="14">
        <v>3</v>
      </c>
      <c r="AZ403" s="14">
        <v>2</v>
      </c>
      <c r="BA403" s="14" t="s">
        <v>346</v>
      </c>
      <c r="BB403" s="14" t="s">
        <v>328</v>
      </c>
      <c r="BC403" s="14"/>
      <c r="BD403" s="14" t="s">
        <v>328</v>
      </c>
      <c r="BE403" s="14"/>
      <c r="BF403" s="14" t="s">
        <v>328</v>
      </c>
      <c r="BG403" s="14"/>
      <c r="BH403" s="14"/>
      <c r="BI403" s="14"/>
      <c r="BJ403" s="14"/>
      <c r="BK403" s="14"/>
      <c r="BL403" s="14"/>
      <c r="BM403" s="14"/>
      <c r="BN403" s="14" t="s">
        <v>328</v>
      </c>
      <c r="BO403" s="14"/>
      <c r="BP403" s="14"/>
      <c r="BQ403" s="14" t="s">
        <v>328</v>
      </c>
      <c r="BR403" s="14"/>
      <c r="BS403" s="14"/>
      <c r="BT403" s="14" t="s">
        <v>328</v>
      </c>
      <c r="BU403" s="14"/>
      <c r="BV403" s="14"/>
      <c r="BW403" s="14" t="s">
        <v>328</v>
      </c>
      <c r="BX403" s="14"/>
      <c r="BY403" s="14"/>
      <c r="BZ403" s="14"/>
      <c r="CA403" s="14"/>
      <c r="CB403" s="14"/>
      <c r="CC403" s="14" t="s">
        <v>328</v>
      </c>
      <c r="CD403" s="14"/>
      <c r="CE403" s="14"/>
      <c r="CF403" s="14"/>
      <c r="CG403" s="14" t="s">
        <v>328</v>
      </c>
      <c r="CH403" s="14"/>
      <c r="CI403" s="14" t="s">
        <v>328</v>
      </c>
      <c r="CJ403" s="14"/>
      <c r="CK403" s="14"/>
      <c r="CL403" s="14"/>
      <c r="CM403" s="14" t="s">
        <v>328</v>
      </c>
      <c r="CN403" s="14">
        <v>2</v>
      </c>
      <c r="CO403" s="14">
        <v>3</v>
      </c>
      <c r="CP403" s="14">
        <v>1</v>
      </c>
      <c r="CQ403" s="14">
        <v>6</v>
      </c>
      <c r="CR403" s="14">
        <v>5</v>
      </c>
      <c r="CS403" s="14">
        <v>4</v>
      </c>
      <c r="CT403" s="14"/>
      <c r="CU403" s="14"/>
      <c r="CV403" s="14"/>
      <c r="CW403" s="14"/>
      <c r="CX403" s="14" t="s">
        <v>328</v>
      </c>
      <c r="CY403" s="14"/>
      <c r="CZ403" s="14"/>
      <c r="DA403" s="14"/>
      <c r="DB403" s="14"/>
      <c r="DC403" s="14">
        <v>2</v>
      </c>
      <c r="DD403" s="14">
        <v>4</v>
      </c>
      <c r="DE403" s="14">
        <v>3</v>
      </c>
      <c r="DF403" s="14">
        <v>6</v>
      </c>
      <c r="DG403" s="14">
        <v>1</v>
      </c>
      <c r="DH403" s="14">
        <v>5</v>
      </c>
      <c r="DI403" s="14"/>
      <c r="DJ403" s="14"/>
      <c r="DK403" s="14" t="s">
        <v>328</v>
      </c>
      <c r="DL403" s="14" t="s">
        <v>328</v>
      </c>
      <c r="DM403" s="14" t="s">
        <v>387</v>
      </c>
      <c r="DN403" s="14"/>
      <c r="DO403" s="14" t="s">
        <v>388</v>
      </c>
      <c r="DP403" s="14" t="s">
        <v>389</v>
      </c>
      <c r="DQ403" s="14"/>
      <c r="DR403" s="14" t="s">
        <v>328</v>
      </c>
      <c r="DS403" s="14" t="s">
        <v>328</v>
      </c>
      <c r="DT403" s="14" t="s">
        <v>354</v>
      </c>
      <c r="DU403" s="14"/>
      <c r="DV403" s="14"/>
      <c r="DW403" s="14" t="s">
        <v>335</v>
      </c>
      <c r="DX403" s="15" t="s">
        <v>497</v>
      </c>
      <c r="DY403" s="14" t="s">
        <v>328</v>
      </c>
      <c r="DZ403" s="14"/>
      <c r="EA403" s="14"/>
      <c r="EB403" s="14"/>
      <c r="EC403" s="14"/>
      <c r="ED403" s="14"/>
      <c r="EE403" s="101" t="s">
        <v>333</v>
      </c>
      <c r="EF403" s="48"/>
      <c r="EG403" s="17">
        <f t="shared" si="6"/>
        <v>0</v>
      </c>
    </row>
    <row r="404" spans="1:137" x14ac:dyDescent="0.25">
      <c r="A404" s="52" t="s">
        <v>1857</v>
      </c>
      <c r="B404" s="211">
        <v>41573</v>
      </c>
      <c r="C404" s="212" t="s">
        <v>2760</v>
      </c>
      <c r="D404" s="103" t="s">
        <v>1817</v>
      </c>
      <c r="E404" s="14"/>
      <c r="F404" s="14" t="s">
        <v>328</v>
      </c>
      <c r="G404" s="14">
        <v>45</v>
      </c>
      <c r="H404" s="14" t="s">
        <v>329</v>
      </c>
      <c r="I404" s="14" t="s">
        <v>330</v>
      </c>
      <c r="J404" s="14" t="s">
        <v>1614</v>
      </c>
      <c r="K404" s="14" t="s">
        <v>1615</v>
      </c>
      <c r="L404" s="14" t="s">
        <v>1256</v>
      </c>
      <c r="M404" s="14">
        <v>25</v>
      </c>
      <c r="N404" s="14">
        <v>6</v>
      </c>
      <c r="O404" s="14">
        <v>3</v>
      </c>
      <c r="P404" s="14"/>
      <c r="Q404" s="14"/>
      <c r="R404" s="14"/>
      <c r="S404" s="14"/>
      <c r="T404" s="14"/>
      <c r="U404" s="14">
        <v>3</v>
      </c>
      <c r="V404" s="14"/>
      <c r="W404" s="14"/>
      <c r="X404" s="14"/>
      <c r="Y404" s="14"/>
      <c r="Z404" s="14">
        <v>3</v>
      </c>
      <c r="AA404" s="14"/>
      <c r="AB404" s="14"/>
      <c r="AC404" s="14"/>
      <c r="AD404" s="14"/>
      <c r="AE404" s="14" t="s">
        <v>328</v>
      </c>
      <c r="AF404" s="14" t="s">
        <v>328</v>
      </c>
      <c r="AG404" s="14"/>
      <c r="AH404" s="14"/>
      <c r="AI404" s="14"/>
      <c r="AJ404" s="14"/>
      <c r="AK404" s="14"/>
      <c r="AL404" s="14"/>
      <c r="AM404" s="14" t="s">
        <v>328</v>
      </c>
      <c r="AN404" s="14"/>
      <c r="AO404" s="14"/>
      <c r="AP404" s="14" t="s">
        <v>328</v>
      </c>
      <c r="AQ404" s="14"/>
      <c r="AR404" s="14">
        <v>10</v>
      </c>
      <c r="AS404" s="14">
        <v>5</v>
      </c>
      <c r="AT404" s="14"/>
      <c r="AU404" s="14"/>
      <c r="AV404" s="14"/>
      <c r="AW404" s="14" t="s">
        <v>328</v>
      </c>
      <c r="AX404" s="14">
        <v>3</v>
      </c>
      <c r="AY404" s="14">
        <v>1</v>
      </c>
      <c r="AZ404" s="14">
        <v>2</v>
      </c>
      <c r="BA404" s="14"/>
      <c r="BB404" s="14"/>
      <c r="BC404" s="14" t="s">
        <v>328</v>
      </c>
      <c r="BD404" s="14"/>
      <c r="BE404" s="14"/>
      <c r="BF404" s="14"/>
      <c r="BG404" s="14" t="s">
        <v>328</v>
      </c>
      <c r="BH404" s="14"/>
      <c r="BI404" s="14"/>
      <c r="BJ404" s="14"/>
      <c r="BK404" s="14" t="s">
        <v>328</v>
      </c>
      <c r="BL404" s="14"/>
      <c r="BM404" s="14"/>
      <c r="BN404" s="14" t="s">
        <v>328</v>
      </c>
      <c r="BO404" s="14"/>
      <c r="BP404" s="14" t="s">
        <v>328</v>
      </c>
      <c r="BQ404" s="14"/>
      <c r="BR404" s="14"/>
      <c r="BS404" s="14" t="s">
        <v>328</v>
      </c>
      <c r="BT404" s="14"/>
      <c r="BU404" s="14"/>
      <c r="BV404" s="14"/>
      <c r="BW404" s="14" t="s">
        <v>328</v>
      </c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 t="s">
        <v>332</v>
      </c>
      <c r="CI404" s="14" t="s">
        <v>328</v>
      </c>
      <c r="CJ404" s="14"/>
      <c r="CK404" s="14"/>
      <c r="CL404" s="14"/>
      <c r="CM404" s="14" t="s">
        <v>328</v>
      </c>
      <c r="CN404" s="14">
        <v>1</v>
      </c>
      <c r="CO404" s="14">
        <v>3</v>
      </c>
      <c r="CP404" s="14">
        <v>6</v>
      </c>
      <c r="CQ404" s="14">
        <v>4</v>
      </c>
      <c r="CR404" s="14">
        <v>5</v>
      </c>
      <c r="CS404" s="14">
        <v>2</v>
      </c>
      <c r="CT404" s="14" t="s">
        <v>328</v>
      </c>
      <c r="CU404" s="14" t="s">
        <v>328</v>
      </c>
      <c r="CV404" s="14"/>
      <c r="CW404" s="14"/>
      <c r="CX404" s="14" t="s">
        <v>328</v>
      </c>
      <c r="CY404" s="14" t="s">
        <v>328</v>
      </c>
      <c r="CZ404" s="14"/>
      <c r="DA404" s="14"/>
      <c r="DB404" s="14"/>
      <c r="DC404" s="14">
        <v>3</v>
      </c>
      <c r="DD404" s="14">
        <v>5</v>
      </c>
      <c r="DE404" s="14">
        <v>6</v>
      </c>
      <c r="DF404" s="14">
        <v>2</v>
      </c>
      <c r="DG404" s="14">
        <v>1</v>
      </c>
      <c r="DH404" s="14">
        <v>3</v>
      </c>
      <c r="DI404" s="14"/>
      <c r="DJ404" s="14" t="s">
        <v>328</v>
      </c>
      <c r="DK404" s="14"/>
      <c r="DL404" s="14"/>
      <c r="DM404" s="14"/>
      <c r="DN404" s="14"/>
      <c r="DO404" s="14"/>
      <c r="DP404" s="14"/>
      <c r="DQ404" s="14"/>
      <c r="DR404" s="14" t="s">
        <v>328</v>
      </c>
      <c r="DS404" s="14" t="s">
        <v>328</v>
      </c>
      <c r="DT404" s="15" t="s">
        <v>437</v>
      </c>
      <c r="DU404" s="14"/>
      <c r="DV404" s="14"/>
      <c r="DW404" s="15" t="s">
        <v>428</v>
      </c>
      <c r="DX404" s="14" t="s">
        <v>497</v>
      </c>
      <c r="DY404" s="14" t="s">
        <v>328</v>
      </c>
      <c r="DZ404" s="14"/>
      <c r="EA404" s="14"/>
      <c r="EB404" s="15"/>
      <c r="EC404" s="14"/>
      <c r="ED404" s="14"/>
      <c r="EE404" s="101" t="s">
        <v>333</v>
      </c>
      <c r="EF404" s="99"/>
      <c r="EG404" s="17">
        <f t="shared" si="6"/>
        <v>0</v>
      </c>
    </row>
    <row r="405" spans="1:137" x14ac:dyDescent="0.25">
      <c r="A405" s="52" t="s">
        <v>1857</v>
      </c>
      <c r="B405" s="211">
        <v>41572</v>
      </c>
      <c r="C405" s="212" t="s">
        <v>2760</v>
      </c>
      <c r="D405" s="103" t="s">
        <v>1818</v>
      </c>
      <c r="E405" s="15" t="s">
        <v>328</v>
      </c>
      <c r="F405" s="15"/>
      <c r="G405" s="15">
        <v>34</v>
      </c>
      <c r="H405" s="15" t="s">
        <v>329</v>
      </c>
      <c r="I405" s="15" t="s">
        <v>357</v>
      </c>
      <c r="J405" s="14" t="s">
        <v>386</v>
      </c>
      <c r="K405" s="14" t="s">
        <v>1189</v>
      </c>
      <c r="L405" s="14" t="s">
        <v>1256</v>
      </c>
      <c r="M405" s="15">
        <v>8</v>
      </c>
      <c r="N405" s="15">
        <v>1</v>
      </c>
      <c r="O405" s="15"/>
      <c r="P405" s="15"/>
      <c r="Q405" s="15"/>
      <c r="R405" s="15"/>
      <c r="S405" s="15"/>
      <c r="T405" s="15"/>
      <c r="U405" s="15">
        <v>2</v>
      </c>
      <c r="V405" s="15"/>
      <c r="W405" s="15"/>
      <c r="X405" s="15"/>
      <c r="Y405" s="15"/>
      <c r="Z405" s="15"/>
      <c r="AA405" s="15"/>
      <c r="AB405" s="15"/>
      <c r="AC405" s="15"/>
      <c r="AD405" s="15"/>
      <c r="AE405" s="15" t="s">
        <v>328</v>
      </c>
      <c r="AF405" s="15"/>
      <c r="AG405" s="15"/>
      <c r="AH405" s="15"/>
      <c r="AI405" s="15"/>
      <c r="AJ405" s="15"/>
      <c r="AK405" s="15"/>
      <c r="AL405" s="15"/>
      <c r="AM405" s="15" t="s">
        <v>328</v>
      </c>
      <c r="AN405" s="15"/>
      <c r="AO405" s="15"/>
      <c r="AP405" s="15"/>
      <c r="AQ405" s="15" t="s">
        <v>328</v>
      </c>
      <c r="AR405" s="15">
        <v>10</v>
      </c>
      <c r="AS405" s="15">
        <v>4</v>
      </c>
      <c r="AT405" s="15"/>
      <c r="AU405" s="15" t="s">
        <v>328</v>
      </c>
      <c r="AV405" s="15"/>
      <c r="AW405" s="15"/>
      <c r="AX405" s="15">
        <v>1</v>
      </c>
      <c r="AY405" s="15">
        <v>2</v>
      </c>
      <c r="AZ405" s="15">
        <v>3</v>
      </c>
      <c r="BA405" s="15"/>
      <c r="BB405" s="15" t="s">
        <v>328</v>
      </c>
      <c r="BC405" s="15"/>
      <c r="BD405" s="15" t="s">
        <v>328</v>
      </c>
      <c r="BE405" s="15" t="s">
        <v>328</v>
      </c>
      <c r="BF405" s="15"/>
      <c r="BG405" s="15"/>
      <c r="BH405" s="15"/>
      <c r="BI405" s="15"/>
      <c r="BJ405" s="15"/>
      <c r="BK405" s="15"/>
      <c r="BL405" s="15"/>
      <c r="BM405" s="15"/>
      <c r="BN405" s="15" t="s">
        <v>328</v>
      </c>
      <c r="BO405" s="15"/>
      <c r="BP405" s="15" t="s">
        <v>328</v>
      </c>
      <c r="BQ405" s="15"/>
      <c r="BR405" s="15" t="s">
        <v>328</v>
      </c>
      <c r="BS405" s="15"/>
      <c r="BT405" s="15"/>
      <c r="BU405" s="15"/>
      <c r="BV405" s="15"/>
      <c r="BW405" s="15" t="s">
        <v>328</v>
      </c>
      <c r="BX405" s="15"/>
      <c r="BY405" s="15"/>
      <c r="BZ405" s="15"/>
      <c r="CA405" s="15"/>
      <c r="CB405" s="15"/>
      <c r="CC405" s="15" t="s">
        <v>328</v>
      </c>
      <c r="CD405" s="15"/>
      <c r="CE405" s="15"/>
      <c r="CF405" s="15"/>
      <c r="CG405" s="15"/>
      <c r="CH405" s="15"/>
      <c r="CI405" s="15" t="s">
        <v>328</v>
      </c>
      <c r="CJ405" s="15"/>
      <c r="CK405" s="15" t="s">
        <v>328</v>
      </c>
      <c r="CL405" s="15"/>
      <c r="CM405" s="15"/>
      <c r="CN405" s="15">
        <v>6</v>
      </c>
      <c r="CO405" s="15">
        <v>5</v>
      </c>
      <c r="CP405" s="15">
        <v>1</v>
      </c>
      <c r="CQ405" s="15">
        <v>2</v>
      </c>
      <c r="CR405" s="15">
        <v>4</v>
      </c>
      <c r="CS405" s="15">
        <v>3</v>
      </c>
      <c r="CT405" s="15"/>
      <c r="CU405" s="15"/>
      <c r="CV405" s="15"/>
      <c r="CW405" s="15"/>
      <c r="CX405" s="15"/>
      <c r="CY405" s="15"/>
      <c r="CZ405" s="14" t="s">
        <v>332</v>
      </c>
      <c r="DA405" s="15"/>
      <c r="DB405" s="15"/>
      <c r="DC405" s="15"/>
      <c r="DD405" s="15">
        <v>2</v>
      </c>
      <c r="DE405" s="15">
        <v>3</v>
      </c>
      <c r="DF405" s="15">
        <v>4</v>
      </c>
      <c r="DG405" s="15"/>
      <c r="DH405" s="15">
        <v>5</v>
      </c>
      <c r="DI405" s="15" t="s">
        <v>346</v>
      </c>
      <c r="DJ405" s="15" t="s">
        <v>328</v>
      </c>
      <c r="DK405" s="15"/>
      <c r="DL405" s="15"/>
      <c r="DM405" s="15"/>
      <c r="DN405" s="15"/>
      <c r="DO405" s="15"/>
      <c r="DP405" s="14"/>
      <c r="DQ405" s="15" t="s">
        <v>328</v>
      </c>
      <c r="DR405" s="15"/>
      <c r="DS405" s="15"/>
      <c r="DT405" s="15"/>
      <c r="DU405" s="15"/>
      <c r="DV405" s="15"/>
      <c r="DW405" s="15"/>
      <c r="DX405" s="15"/>
      <c r="DY405" s="15" t="s">
        <v>328</v>
      </c>
      <c r="DZ405" s="15"/>
      <c r="EA405" s="15"/>
      <c r="EB405" s="15"/>
      <c r="EC405" s="15"/>
      <c r="ED405" s="15"/>
      <c r="EE405" s="102"/>
      <c r="EF405" s="99"/>
      <c r="EG405" s="17">
        <f t="shared" si="6"/>
        <v>0</v>
      </c>
    </row>
    <row r="406" spans="1:137" x14ac:dyDescent="0.25">
      <c r="A406" s="52" t="s">
        <v>1857</v>
      </c>
      <c r="B406" s="211">
        <v>41572</v>
      </c>
      <c r="C406" s="212" t="s">
        <v>2760</v>
      </c>
      <c r="D406" s="103" t="s">
        <v>1819</v>
      </c>
      <c r="E406" s="15" t="s">
        <v>328</v>
      </c>
      <c r="F406" s="15"/>
      <c r="G406" s="15">
        <v>30</v>
      </c>
      <c r="H406" s="15" t="s">
        <v>329</v>
      </c>
      <c r="I406" s="15" t="s">
        <v>357</v>
      </c>
      <c r="J406" s="15" t="s">
        <v>1635</v>
      </c>
      <c r="K406" s="15" t="s">
        <v>1636</v>
      </c>
      <c r="L406" s="15" t="s">
        <v>1256</v>
      </c>
      <c r="M406" s="15">
        <v>6</v>
      </c>
      <c r="N406" s="15">
        <v>1</v>
      </c>
      <c r="O406" s="15"/>
      <c r="P406" s="15"/>
      <c r="Q406" s="15"/>
      <c r="R406" s="15">
        <v>2</v>
      </c>
      <c r="S406" s="15"/>
      <c r="T406" s="15"/>
      <c r="U406" s="15"/>
      <c r="V406" s="15"/>
      <c r="W406" s="15"/>
      <c r="X406" s="15"/>
      <c r="Y406" s="15"/>
      <c r="Z406" s="15"/>
      <c r="AA406" s="15"/>
      <c r="AB406" s="15" t="s">
        <v>328</v>
      </c>
      <c r="AC406" s="15"/>
      <c r="AD406" s="15"/>
      <c r="AE406" s="15"/>
      <c r="AF406" s="15"/>
      <c r="AG406" s="15"/>
      <c r="AH406" s="15"/>
      <c r="AI406" s="15" t="s">
        <v>328</v>
      </c>
      <c r="AJ406" s="15"/>
      <c r="AK406" s="15"/>
      <c r="AL406" s="15" t="s">
        <v>328</v>
      </c>
      <c r="AM406" s="15"/>
      <c r="AN406" s="15"/>
      <c r="AO406" s="14" t="s">
        <v>328</v>
      </c>
      <c r="AP406" s="15"/>
      <c r="AQ406" s="15" t="s">
        <v>328</v>
      </c>
      <c r="AR406" s="15">
        <v>10</v>
      </c>
      <c r="AS406" s="15">
        <v>2</v>
      </c>
      <c r="AT406" s="15"/>
      <c r="AU406" s="15" t="s">
        <v>328</v>
      </c>
      <c r="AV406" s="15"/>
      <c r="AW406" s="15"/>
      <c r="AX406" s="15">
        <v>2</v>
      </c>
      <c r="AY406" s="15">
        <v>3</v>
      </c>
      <c r="AZ406" s="15">
        <v>1</v>
      </c>
      <c r="BA406" s="15"/>
      <c r="BB406" s="15" t="s">
        <v>328</v>
      </c>
      <c r="BC406" s="15"/>
      <c r="BD406" s="15" t="s">
        <v>328</v>
      </c>
      <c r="BE406" s="15" t="s">
        <v>328</v>
      </c>
      <c r="BF406" s="15"/>
      <c r="BG406" s="15"/>
      <c r="BH406" s="15"/>
      <c r="BI406" s="15"/>
      <c r="BJ406" s="15"/>
      <c r="BK406" s="15"/>
      <c r="BL406" s="15"/>
      <c r="BM406" s="15"/>
      <c r="BN406" s="15" t="s">
        <v>328</v>
      </c>
      <c r="BO406" s="15"/>
      <c r="BP406" s="15" t="s">
        <v>328</v>
      </c>
      <c r="BQ406" s="15"/>
      <c r="BR406" s="15"/>
      <c r="BS406" s="15"/>
      <c r="BT406" s="15"/>
      <c r="BU406" s="15"/>
      <c r="BV406" s="15"/>
      <c r="BW406" s="15"/>
      <c r="BX406" s="15" t="s">
        <v>332</v>
      </c>
      <c r="BY406" s="15"/>
      <c r="BZ406" s="15"/>
      <c r="CA406" s="15"/>
      <c r="CB406" s="15"/>
      <c r="CC406" s="15"/>
      <c r="CD406" s="15"/>
      <c r="CE406" s="15"/>
      <c r="CF406" s="15"/>
      <c r="CG406" s="15"/>
      <c r="CH406" s="15" t="s">
        <v>332</v>
      </c>
      <c r="CI406" s="15" t="s">
        <v>328</v>
      </c>
      <c r="CJ406" s="15"/>
      <c r="CK406" s="15"/>
      <c r="CL406" s="15"/>
      <c r="CM406" s="15"/>
      <c r="CN406" s="15">
        <v>1</v>
      </c>
      <c r="CO406" s="15">
        <v>3</v>
      </c>
      <c r="CP406" s="15">
        <v>5</v>
      </c>
      <c r="CQ406" s="15">
        <v>4</v>
      </c>
      <c r="CR406" s="15">
        <v>6</v>
      </c>
      <c r="CS406" s="15">
        <v>2</v>
      </c>
      <c r="CT406" s="15" t="s">
        <v>328</v>
      </c>
      <c r="CU406" s="15" t="s">
        <v>328</v>
      </c>
      <c r="CV406" s="15"/>
      <c r="CW406" s="15"/>
      <c r="CX406" s="15" t="s">
        <v>328</v>
      </c>
      <c r="CY406" s="15"/>
      <c r="CZ406" s="15"/>
      <c r="DA406" s="15" t="s">
        <v>328</v>
      </c>
      <c r="DB406" s="18" t="s">
        <v>404</v>
      </c>
      <c r="DC406" s="15"/>
      <c r="DD406" s="15"/>
      <c r="DE406" s="15"/>
      <c r="DF406" s="15"/>
      <c r="DG406" s="15"/>
      <c r="DH406" s="15"/>
      <c r="DI406" s="15"/>
      <c r="DJ406" s="15" t="s">
        <v>328</v>
      </c>
      <c r="DK406" s="15"/>
      <c r="DL406" s="15"/>
      <c r="DM406" s="14"/>
      <c r="DN406" s="15"/>
      <c r="DO406" s="14"/>
      <c r="DP406" s="14"/>
      <c r="DQ406" s="15" t="s">
        <v>328</v>
      </c>
      <c r="DR406" s="15"/>
      <c r="DS406" s="15"/>
      <c r="DT406" s="14"/>
      <c r="DU406" s="15"/>
      <c r="DV406" s="15"/>
      <c r="DW406" s="15"/>
      <c r="DX406" s="15"/>
      <c r="DY406" s="15" t="s">
        <v>328</v>
      </c>
      <c r="DZ406" s="15"/>
      <c r="EA406" s="15"/>
      <c r="EB406" s="14"/>
      <c r="EC406" s="15"/>
      <c r="ED406" s="15"/>
      <c r="EE406" s="102"/>
      <c r="EF406" s="99"/>
      <c r="EG406" s="17">
        <f t="shared" si="6"/>
        <v>0</v>
      </c>
    </row>
    <row r="407" spans="1:137" x14ac:dyDescent="0.25">
      <c r="A407" s="52" t="s">
        <v>1857</v>
      </c>
      <c r="B407" s="211">
        <v>41572</v>
      </c>
      <c r="C407" s="212" t="s">
        <v>2760</v>
      </c>
      <c r="D407" s="103" t="s">
        <v>1820</v>
      </c>
      <c r="E407" s="15" t="s">
        <v>328</v>
      </c>
      <c r="F407" s="15"/>
      <c r="G407" s="15">
        <v>40</v>
      </c>
      <c r="H407" s="15" t="s">
        <v>329</v>
      </c>
      <c r="I407" s="15" t="s">
        <v>330</v>
      </c>
      <c r="J407" s="15" t="s">
        <v>1105</v>
      </c>
      <c r="K407" s="15" t="s">
        <v>1320</v>
      </c>
      <c r="L407" s="15" t="s">
        <v>1256</v>
      </c>
      <c r="M407" s="15">
        <v>20</v>
      </c>
      <c r="N407" s="15">
        <v>1</v>
      </c>
      <c r="O407" s="15">
        <v>1</v>
      </c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>
        <v>1</v>
      </c>
      <c r="AA407" s="14"/>
      <c r="AB407" s="15"/>
      <c r="AC407" s="15"/>
      <c r="AD407" s="15"/>
      <c r="AE407" s="15" t="s">
        <v>328</v>
      </c>
      <c r="AF407" s="15" t="s">
        <v>328</v>
      </c>
      <c r="AG407" s="15"/>
      <c r="AH407" s="15" t="s">
        <v>328</v>
      </c>
      <c r="AI407" s="15"/>
      <c r="AJ407" s="15"/>
      <c r="AK407" s="15"/>
      <c r="AL407" s="15" t="s">
        <v>328</v>
      </c>
      <c r="AM407" s="15"/>
      <c r="AN407" s="15"/>
      <c r="AO407" s="15" t="s">
        <v>328</v>
      </c>
      <c r="AP407" s="15" t="s">
        <v>328</v>
      </c>
      <c r="AQ407" s="15" t="s">
        <v>328</v>
      </c>
      <c r="AR407" s="15">
        <v>10</v>
      </c>
      <c r="AS407" s="15">
        <v>4</v>
      </c>
      <c r="AT407" s="15"/>
      <c r="AU407" s="15"/>
      <c r="AV407" s="15"/>
      <c r="AW407" s="15" t="s">
        <v>328</v>
      </c>
      <c r="AX407" s="15">
        <v>1</v>
      </c>
      <c r="AY407" s="15">
        <v>3</v>
      </c>
      <c r="AZ407" s="15">
        <v>2</v>
      </c>
      <c r="BA407" s="15"/>
      <c r="BB407" s="15" t="s">
        <v>328</v>
      </c>
      <c r="BC407" s="15"/>
      <c r="BD407" s="15" t="s">
        <v>328</v>
      </c>
      <c r="BE407" s="15"/>
      <c r="BF407" s="15"/>
      <c r="BG407" s="15" t="s">
        <v>328</v>
      </c>
      <c r="BH407" s="15" t="s">
        <v>328</v>
      </c>
      <c r="BI407" s="15"/>
      <c r="BJ407" s="15"/>
      <c r="BK407" s="15"/>
      <c r="BL407" s="15"/>
      <c r="BM407" s="15"/>
      <c r="BN407" s="15"/>
      <c r="BO407" s="15" t="s">
        <v>328</v>
      </c>
      <c r="BP407" s="15"/>
      <c r="BQ407" s="15" t="s">
        <v>328</v>
      </c>
      <c r="BR407" s="15" t="s">
        <v>328</v>
      </c>
      <c r="BS407" s="15"/>
      <c r="BT407" s="15"/>
      <c r="BU407" s="15"/>
      <c r="BV407" s="15" t="s">
        <v>328</v>
      </c>
      <c r="BW407" s="15"/>
      <c r="BX407" s="15"/>
      <c r="BY407" s="15"/>
      <c r="BZ407" s="15"/>
      <c r="CA407" s="15"/>
      <c r="CB407" s="15" t="s">
        <v>328</v>
      </c>
      <c r="CC407" s="15"/>
      <c r="CD407" s="15" t="s">
        <v>328</v>
      </c>
      <c r="CE407" s="15"/>
      <c r="CF407" s="15"/>
      <c r="CG407" s="15"/>
      <c r="CH407" s="15"/>
      <c r="CI407" s="15" t="s">
        <v>328</v>
      </c>
      <c r="CJ407" s="15"/>
      <c r="CK407" s="15"/>
      <c r="CL407" s="12"/>
      <c r="CM407" s="12"/>
      <c r="CN407" s="15">
        <v>5</v>
      </c>
      <c r="CO407" s="15">
        <v>1</v>
      </c>
      <c r="CP407" s="15">
        <v>6</v>
      </c>
      <c r="CQ407" s="15">
        <v>2</v>
      </c>
      <c r="CR407" s="15">
        <v>3</v>
      </c>
      <c r="CS407" s="15">
        <v>4</v>
      </c>
      <c r="CT407" s="15"/>
      <c r="CU407" s="15"/>
      <c r="CV407" s="15"/>
      <c r="CW407" s="15"/>
      <c r="CX407" s="15"/>
      <c r="CY407" s="15"/>
      <c r="CZ407" s="15" t="s">
        <v>332</v>
      </c>
      <c r="DA407" s="15" t="s">
        <v>328</v>
      </c>
      <c r="DB407" s="18" t="s">
        <v>404</v>
      </c>
      <c r="DC407" s="15"/>
      <c r="DD407" s="15"/>
      <c r="DE407" s="15"/>
      <c r="DF407" s="15"/>
      <c r="DG407" s="15"/>
      <c r="DH407" s="15"/>
      <c r="DI407" s="15"/>
      <c r="DJ407" s="15" t="s">
        <v>328</v>
      </c>
      <c r="DK407" s="15"/>
      <c r="DL407" s="15"/>
      <c r="DM407" s="15"/>
      <c r="DN407" s="15"/>
      <c r="DO407" s="15"/>
      <c r="DP407" s="14" t="s">
        <v>333</v>
      </c>
      <c r="DQ407" s="15" t="s">
        <v>328</v>
      </c>
      <c r="DR407" s="15"/>
      <c r="DS407" s="15"/>
      <c r="DT407" s="15"/>
      <c r="DU407" s="15"/>
      <c r="DV407" s="15"/>
      <c r="DW407" s="15"/>
      <c r="DX407" s="15" t="s">
        <v>333</v>
      </c>
      <c r="DY407" s="15" t="s">
        <v>328</v>
      </c>
      <c r="DZ407" s="15"/>
      <c r="EA407" s="15"/>
      <c r="EB407" s="15"/>
      <c r="EC407" s="15"/>
      <c r="ED407" s="15"/>
      <c r="EE407" s="101" t="s">
        <v>333</v>
      </c>
      <c r="EF407" s="48"/>
      <c r="EG407" s="17">
        <f t="shared" si="6"/>
        <v>0</v>
      </c>
    </row>
    <row r="408" spans="1:137" x14ac:dyDescent="0.25">
      <c r="A408" s="52" t="s">
        <v>1857</v>
      </c>
      <c r="B408" s="211">
        <v>41572</v>
      </c>
      <c r="C408" s="212" t="s">
        <v>2760</v>
      </c>
      <c r="D408" s="103" t="s">
        <v>1821</v>
      </c>
      <c r="E408" s="15" t="s">
        <v>328</v>
      </c>
      <c r="F408" s="15"/>
      <c r="G408" s="15">
        <v>31</v>
      </c>
      <c r="H408" s="15" t="s">
        <v>329</v>
      </c>
      <c r="I408" s="15" t="s">
        <v>399</v>
      </c>
      <c r="J408" s="15" t="s">
        <v>1629</v>
      </c>
      <c r="K408" s="18" t="s">
        <v>1630</v>
      </c>
      <c r="L408" s="15" t="s">
        <v>1256</v>
      </c>
      <c r="M408" s="15">
        <v>5</v>
      </c>
      <c r="N408" s="15">
        <v>2</v>
      </c>
      <c r="O408" s="15"/>
      <c r="P408" s="15"/>
      <c r="Q408" s="15"/>
      <c r="R408" s="15"/>
      <c r="S408" s="15"/>
      <c r="T408" s="15"/>
      <c r="U408" s="15"/>
      <c r="V408" s="15">
        <v>6</v>
      </c>
      <c r="W408" s="15"/>
      <c r="X408" s="15"/>
      <c r="Y408" s="15"/>
      <c r="Z408" s="15"/>
      <c r="AA408" s="14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 t="s">
        <v>1165</v>
      </c>
      <c r="AL408" s="15" t="s">
        <v>328</v>
      </c>
      <c r="AM408" s="15"/>
      <c r="AN408" s="15" t="s">
        <v>328</v>
      </c>
      <c r="AO408" s="15"/>
      <c r="AP408" s="15"/>
      <c r="AQ408" s="15"/>
      <c r="AR408" s="15">
        <v>10</v>
      </c>
      <c r="AS408" s="15">
        <v>1</v>
      </c>
      <c r="AT408" s="15"/>
      <c r="AU408" s="15"/>
      <c r="AV408" s="15"/>
      <c r="AW408" s="15" t="s">
        <v>328</v>
      </c>
      <c r="AX408" s="15">
        <v>2</v>
      </c>
      <c r="AY408" s="15">
        <v>1</v>
      </c>
      <c r="AZ408" s="15">
        <v>3</v>
      </c>
      <c r="BA408" s="15"/>
      <c r="BB408" s="15" t="s">
        <v>328</v>
      </c>
      <c r="BC408" s="15"/>
      <c r="BD408" s="15"/>
      <c r="BE408" s="15"/>
      <c r="BF408" s="15"/>
      <c r="BG408" s="15" t="s">
        <v>328</v>
      </c>
      <c r="BH408" s="15"/>
      <c r="BI408" s="15"/>
      <c r="BJ408" s="15"/>
      <c r="BK408" s="15"/>
      <c r="BL408" s="15"/>
      <c r="BM408" s="15"/>
      <c r="BN408" s="15" t="s">
        <v>328</v>
      </c>
      <c r="BO408" s="15"/>
      <c r="BP408" s="15" t="s">
        <v>328</v>
      </c>
      <c r="BQ408" s="15"/>
      <c r="BR408" s="15" t="s">
        <v>328</v>
      </c>
      <c r="BS408" s="15"/>
      <c r="BT408" s="15"/>
      <c r="BU408" s="15"/>
      <c r="BV408" s="15" t="s">
        <v>328</v>
      </c>
      <c r="BW408" s="15"/>
      <c r="BX408" s="15"/>
      <c r="BY408" s="15" t="s">
        <v>328</v>
      </c>
      <c r="BZ408" s="15"/>
      <c r="CA408" s="15"/>
      <c r="CB408" s="15"/>
      <c r="CC408" s="15"/>
      <c r="CD408" s="15"/>
      <c r="CE408" s="15"/>
      <c r="CF408" s="15"/>
      <c r="CG408" s="15" t="s">
        <v>328</v>
      </c>
      <c r="CH408" s="15"/>
      <c r="CI408" s="15" t="s">
        <v>328</v>
      </c>
      <c r="CJ408" s="15"/>
      <c r="CK408" s="15"/>
      <c r="CL408" s="15"/>
      <c r="CM408" s="15"/>
      <c r="CN408" s="15">
        <v>3</v>
      </c>
      <c r="CO408" s="15">
        <v>2</v>
      </c>
      <c r="CP408" s="15">
        <v>4</v>
      </c>
      <c r="CQ408" s="15">
        <v>5</v>
      </c>
      <c r="CR408" s="15">
        <v>6</v>
      </c>
      <c r="CS408" s="15">
        <v>1</v>
      </c>
      <c r="CT408" s="15"/>
      <c r="CU408" s="15" t="s">
        <v>328</v>
      </c>
      <c r="CV408" s="15"/>
      <c r="CW408" s="15"/>
      <c r="CX408" s="15" t="s">
        <v>328</v>
      </c>
      <c r="CY408" s="15"/>
      <c r="CZ408" s="15"/>
      <c r="DA408" s="15"/>
      <c r="DB408" s="15"/>
      <c r="DC408" s="15">
        <v>3</v>
      </c>
      <c r="DD408" s="15">
        <v>5</v>
      </c>
      <c r="DE408" s="15">
        <v>2</v>
      </c>
      <c r="DF408" s="15">
        <v>1</v>
      </c>
      <c r="DG408" s="15">
        <v>6</v>
      </c>
      <c r="DH408" s="15">
        <v>4</v>
      </c>
      <c r="DI408" s="15"/>
      <c r="DJ408" s="15" t="s">
        <v>328</v>
      </c>
      <c r="DK408" s="15"/>
      <c r="DL408" s="15"/>
      <c r="DM408" s="15"/>
      <c r="DN408" s="15"/>
      <c r="DO408" s="15"/>
      <c r="DP408" s="14" t="s">
        <v>333</v>
      </c>
      <c r="DQ408" s="15"/>
      <c r="DR408" s="15" t="s">
        <v>328</v>
      </c>
      <c r="DS408" s="15" t="s">
        <v>328</v>
      </c>
      <c r="DT408" s="15" t="s">
        <v>420</v>
      </c>
      <c r="DU408" s="15"/>
      <c r="DV408" s="15"/>
      <c r="DW408" s="14" t="s">
        <v>335</v>
      </c>
      <c r="DX408" s="15"/>
      <c r="DY408" s="15" t="s">
        <v>328</v>
      </c>
      <c r="DZ408" s="15"/>
      <c r="EA408" s="15"/>
      <c r="EB408" s="15"/>
      <c r="EC408" s="15"/>
      <c r="ED408" s="15"/>
      <c r="EE408" s="102"/>
      <c r="EF408" s="99"/>
      <c r="EG408" s="17">
        <f t="shared" si="6"/>
        <v>0</v>
      </c>
    </row>
    <row r="409" spans="1:137" x14ac:dyDescent="0.25">
      <c r="A409" s="52" t="s">
        <v>1857</v>
      </c>
      <c r="B409" s="211">
        <v>41572</v>
      </c>
      <c r="C409" s="212" t="s">
        <v>2760</v>
      </c>
      <c r="D409" s="103" t="s">
        <v>1822</v>
      </c>
      <c r="E409" s="15" t="s">
        <v>328</v>
      </c>
      <c r="F409" s="15"/>
      <c r="G409" s="15">
        <v>50</v>
      </c>
      <c r="H409" s="15" t="s">
        <v>329</v>
      </c>
      <c r="I409" s="15" t="s">
        <v>330</v>
      </c>
      <c r="J409" s="14" t="s">
        <v>1641</v>
      </c>
      <c r="K409" s="8" t="s">
        <v>1642</v>
      </c>
      <c r="L409" s="14" t="s">
        <v>1256</v>
      </c>
      <c r="M409" s="15">
        <v>25</v>
      </c>
      <c r="N409" s="15">
        <v>1</v>
      </c>
      <c r="O409" s="15"/>
      <c r="P409" s="15"/>
      <c r="Q409" s="15"/>
      <c r="R409" s="15"/>
      <c r="S409" s="15"/>
      <c r="T409" s="15"/>
      <c r="U409" s="15">
        <v>1</v>
      </c>
      <c r="V409" s="15"/>
      <c r="W409" s="15"/>
      <c r="X409" s="15"/>
      <c r="Y409" s="15"/>
      <c r="Z409" s="15"/>
      <c r="AA409" s="15"/>
      <c r="AB409" s="15"/>
      <c r="AC409" s="15"/>
      <c r="AD409" s="15"/>
      <c r="AE409" s="15" t="s">
        <v>328</v>
      </c>
      <c r="AF409" s="15"/>
      <c r="AG409" s="15"/>
      <c r="AH409" s="15"/>
      <c r="AI409" s="15"/>
      <c r="AJ409" s="15"/>
      <c r="AK409" s="15"/>
      <c r="AL409" s="15"/>
      <c r="AM409" s="15" t="s">
        <v>328</v>
      </c>
      <c r="AN409" s="15"/>
      <c r="AO409" s="14" t="s">
        <v>328</v>
      </c>
      <c r="AP409" s="15"/>
      <c r="AQ409" s="15"/>
      <c r="AR409" s="15">
        <v>10</v>
      </c>
      <c r="AS409" s="15">
        <v>8</v>
      </c>
      <c r="AT409" s="15"/>
      <c r="AU409" s="15" t="s">
        <v>328</v>
      </c>
      <c r="AV409" s="15"/>
      <c r="AW409" s="15"/>
      <c r="AX409" s="15">
        <v>1</v>
      </c>
      <c r="AY409" s="15">
        <v>3</v>
      </c>
      <c r="AZ409" s="15">
        <v>2</v>
      </c>
      <c r="BA409" s="15"/>
      <c r="BB409" s="15" t="s">
        <v>328</v>
      </c>
      <c r="BC409" s="15"/>
      <c r="BD409" s="15" t="s">
        <v>328</v>
      </c>
      <c r="BE409" s="15" t="s">
        <v>328</v>
      </c>
      <c r="BF409" s="15"/>
      <c r="BG409" s="15"/>
      <c r="BH409" s="15"/>
      <c r="BI409" s="15"/>
      <c r="BJ409" s="15"/>
      <c r="BK409" s="15"/>
      <c r="BL409" s="15"/>
      <c r="BM409" s="15"/>
      <c r="BN409" s="15"/>
      <c r="BO409" s="15" t="s">
        <v>328</v>
      </c>
      <c r="BP409" s="15"/>
      <c r="BQ409" s="15" t="s">
        <v>328</v>
      </c>
      <c r="BR409" s="15"/>
      <c r="BS409" s="15"/>
      <c r="BT409" s="15" t="s">
        <v>328</v>
      </c>
      <c r="BU409" s="15"/>
      <c r="BV409" s="15"/>
      <c r="BW409" s="15" t="s">
        <v>328</v>
      </c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 t="s">
        <v>332</v>
      </c>
      <c r="CI409" s="15"/>
      <c r="CJ409" s="15"/>
      <c r="CK409" s="15" t="s">
        <v>328</v>
      </c>
      <c r="CL409" s="15"/>
      <c r="CM409" s="15"/>
      <c r="CN409" s="15">
        <v>4</v>
      </c>
      <c r="CO409" s="15">
        <v>1</v>
      </c>
      <c r="CP409" s="15">
        <v>3</v>
      </c>
      <c r="CQ409" s="15">
        <v>5</v>
      </c>
      <c r="CR409" s="15">
        <v>6</v>
      </c>
      <c r="CS409" s="15">
        <v>2</v>
      </c>
      <c r="CT409" s="15" t="s">
        <v>328</v>
      </c>
      <c r="CU409" s="15"/>
      <c r="CV409" s="15"/>
      <c r="CW409" s="15"/>
      <c r="CX409" s="15" t="s">
        <v>328</v>
      </c>
      <c r="CY409" s="15"/>
      <c r="CZ409" s="15"/>
      <c r="DA409" s="15" t="s">
        <v>328</v>
      </c>
      <c r="DB409" s="15" t="s">
        <v>404</v>
      </c>
      <c r="DC409" s="15"/>
      <c r="DD409" s="15"/>
      <c r="DE409" s="15"/>
      <c r="DF409" s="15"/>
      <c r="DG409" s="15"/>
      <c r="DH409" s="15"/>
      <c r="DI409" s="15"/>
      <c r="DJ409" s="15" t="s">
        <v>328</v>
      </c>
      <c r="DK409" s="15"/>
      <c r="DL409" s="15"/>
      <c r="DM409" s="15"/>
      <c r="DN409" s="15"/>
      <c r="DO409" s="15"/>
      <c r="DP409" s="14"/>
      <c r="DQ409" s="15" t="s">
        <v>328</v>
      </c>
      <c r="DR409" s="15"/>
      <c r="DS409" s="15"/>
      <c r="DT409" s="15"/>
      <c r="DU409" s="15"/>
      <c r="DV409" s="15"/>
      <c r="DW409" s="15"/>
      <c r="DX409" s="15"/>
      <c r="DY409" s="15" t="s">
        <v>328</v>
      </c>
      <c r="DZ409" s="15"/>
      <c r="EA409" s="15"/>
      <c r="EB409" s="15"/>
      <c r="EC409" s="15"/>
      <c r="ED409" s="15"/>
      <c r="EE409" s="102"/>
      <c r="EF409" s="99"/>
      <c r="EG409" s="17">
        <f t="shared" si="6"/>
        <v>0</v>
      </c>
    </row>
    <row r="410" spans="1:137" x14ac:dyDescent="0.25">
      <c r="A410" s="52" t="s">
        <v>1857</v>
      </c>
      <c r="B410" s="211">
        <v>41572</v>
      </c>
      <c r="C410" s="212" t="s">
        <v>2760</v>
      </c>
      <c r="D410" s="103" t="s">
        <v>1823</v>
      </c>
      <c r="E410" s="15" t="s">
        <v>328</v>
      </c>
      <c r="F410" s="15"/>
      <c r="G410" s="15">
        <v>45</v>
      </c>
      <c r="H410" s="15" t="s">
        <v>329</v>
      </c>
      <c r="I410" s="15" t="s">
        <v>399</v>
      </c>
      <c r="J410" s="8" t="s">
        <v>1824</v>
      </c>
      <c r="K410" s="14" t="s">
        <v>1825</v>
      </c>
      <c r="L410" s="14" t="s">
        <v>1188</v>
      </c>
      <c r="M410" s="15">
        <v>15</v>
      </c>
      <c r="N410" s="15">
        <v>3</v>
      </c>
      <c r="O410" s="15"/>
      <c r="P410" s="15"/>
      <c r="Q410" s="15"/>
      <c r="R410" s="15">
        <v>4</v>
      </c>
      <c r="S410" s="15"/>
      <c r="T410" s="15"/>
      <c r="U410" s="15"/>
      <c r="V410" s="15"/>
      <c r="W410" s="15"/>
      <c r="X410" s="15"/>
      <c r="Y410" s="15"/>
      <c r="Z410" s="15"/>
      <c r="AA410" s="15"/>
      <c r="AB410" s="15" t="s">
        <v>328</v>
      </c>
      <c r="AC410" s="15"/>
      <c r="AD410" s="15"/>
      <c r="AE410" s="15"/>
      <c r="AF410" s="15"/>
      <c r="AG410" s="15"/>
      <c r="AH410" s="15"/>
      <c r="AI410" s="15" t="s">
        <v>328</v>
      </c>
      <c r="AJ410" s="15"/>
      <c r="AK410" s="15"/>
      <c r="AL410" s="14" t="s">
        <v>328</v>
      </c>
      <c r="AM410" s="15"/>
      <c r="AN410" s="15"/>
      <c r="AO410" s="15"/>
      <c r="AP410" s="15"/>
      <c r="AQ410" s="15" t="s">
        <v>328</v>
      </c>
      <c r="AR410" s="15">
        <v>10</v>
      </c>
      <c r="AS410" s="15">
        <v>3</v>
      </c>
      <c r="AT410" s="15"/>
      <c r="AU410" s="15" t="s">
        <v>328</v>
      </c>
      <c r="AV410" s="15"/>
      <c r="AW410" s="15"/>
      <c r="AX410" s="15">
        <v>3</v>
      </c>
      <c r="AY410" s="15">
        <v>2</v>
      </c>
      <c r="AZ410" s="15">
        <v>4</v>
      </c>
      <c r="BA410" s="15" t="s">
        <v>346</v>
      </c>
      <c r="BB410" s="15"/>
      <c r="BC410" s="15" t="s">
        <v>328</v>
      </c>
      <c r="BD410" s="15" t="s">
        <v>328</v>
      </c>
      <c r="BE410" s="15"/>
      <c r="BF410" s="15"/>
      <c r="BG410" s="15"/>
      <c r="BH410" s="15"/>
      <c r="BI410" s="15"/>
      <c r="BJ410" s="15"/>
      <c r="BK410" s="15" t="s">
        <v>328</v>
      </c>
      <c r="BL410" s="15"/>
      <c r="BM410" s="15"/>
      <c r="BN410" s="15" t="s">
        <v>328</v>
      </c>
      <c r="BO410" s="15"/>
      <c r="BP410" s="15" t="s">
        <v>328</v>
      </c>
      <c r="BQ410" s="15"/>
      <c r="BR410" s="15"/>
      <c r="BS410" s="15"/>
      <c r="BT410" s="15"/>
      <c r="BU410" s="15"/>
      <c r="BV410" s="15" t="s">
        <v>328</v>
      </c>
      <c r="BW410" s="15" t="s">
        <v>328</v>
      </c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4" t="s">
        <v>332</v>
      </c>
      <c r="CI410" s="15" t="s">
        <v>328</v>
      </c>
      <c r="CJ410" s="15"/>
      <c r="CK410" s="15" t="s">
        <v>328</v>
      </c>
      <c r="CL410" s="15"/>
      <c r="CM410" s="15"/>
      <c r="CN410" s="15">
        <v>3</v>
      </c>
      <c r="CO410" s="15">
        <v>1</v>
      </c>
      <c r="CP410" s="15">
        <v>4</v>
      </c>
      <c r="CQ410" s="15">
        <v>6</v>
      </c>
      <c r="CR410" s="15">
        <v>5</v>
      </c>
      <c r="CS410" s="15">
        <v>2</v>
      </c>
      <c r="CT410" s="15"/>
      <c r="CU410" s="15" t="s">
        <v>328</v>
      </c>
      <c r="CV410" s="15"/>
      <c r="CW410" s="15"/>
      <c r="CX410" s="15" t="s">
        <v>328</v>
      </c>
      <c r="CY410" s="15"/>
      <c r="CZ410" s="15"/>
      <c r="DA410" s="15"/>
      <c r="DB410" s="15"/>
      <c r="DC410" s="15">
        <v>1</v>
      </c>
      <c r="DD410" s="15">
        <v>4</v>
      </c>
      <c r="DE410" s="15">
        <v>5</v>
      </c>
      <c r="DF410" s="15">
        <v>3</v>
      </c>
      <c r="DG410" s="15">
        <v>2</v>
      </c>
      <c r="DH410" s="15">
        <v>6</v>
      </c>
      <c r="DI410" s="15"/>
      <c r="DJ410" s="15" t="s">
        <v>328</v>
      </c>
      <c r="DK410" s="15"/>
      <c r="DL410" s="15"/>
      <c r="DM410" s="14"/>
      <c r="DN410" s="15"/>
      <c r="DO410" s="14"/>
      <c r="DP410" s="14" t="s">
        <v>1145</v>
      </c>
      <c r="DQ410" s="15" t="s">
        <v>328</v>
      </c>
      <c r="DR410" s="15"/>
      <c r="DS410" s="15"/>
      <c r="DT410" s="14"/>
      <c r="DU410" s="15"/>
      <c r="DV410" s="15"/>
      <c r="DW410" s="14"/>
      <c r="DX410" s="15" t="s">
        <v>1145</v>
      </c>
      <c r="DY410" s="15" t="s">
        <v>328</v>
      </c>
      <c r="DZ410" s="15"/>
      <c r="EA410" s="15"/>
      <c r="EB410" s="15"/>
      <c r="EC410" s="15"/>
      <c r="ED410" s="15"/>
      <c r="EE410" s="101" t="s">
        <v>1145</v>
      </c>
      <c r="EF410" s="99"/>
      <c r="EG410" s="17">
        <f t="shared" si="6"/>
        <v>0</v>
      </c>
    </row>
    <row r="411" spans="1:137" x14ac:dyDescent="0.25">
      <c r="A411" s="52" t="s">
        <v>1857</v>
      </c>
      <c r="B411" s="211">
        <v>41572</v>
      </c>
      <c r="C411" s="212" t="s">
        <v>2760</v>
      </c>
      <c r="D411" s="103" t="s">
        <v>1826</v>
      </c>
      <c r="E411" s="15" t="s">
        <v>328</v>
      </c>
      <c r="F411" s="15"/>
      <c r="G411" s="15">
        <v>33</v>
      </c>
      <c r="H411" s="15" t="s">
        <v>329</v>
      </c>
      <c r="I411" s="15" t="s">
        <v>330</v>
      </c>
      <c r="J411" s="18" t="s">
        <v>1827</v>
      </c>
      <c r="K411" s="18" t="s">
        <v>1828</v>
      </c>
      <c r="L411" s="15" t="s">
        <v>1338</v>
      </c>
      <c r="M411" s="15">
        <v>16</v>
      </c>
      <c r="N411" s="15">
        <v>1</v>
      </c>
      <c r="O411" s="15"/>
      <c r="P411" s="15"/>
      <c r="Q411" s="15">
        <v>2</v>
      </c>
      <c r="R411" s="15"/>
      <c r="S411" s="15"/>
      <c r="T411" s="15"/>
      <c r="U411" s="15"/>
      <c r="V411" s="15"/>
      <c r="W411" s="15">
        <v>2</v>
      </c>
      <c r="X411" s="15"/>
      <c r="Y411" s="15"/>
      <c r="Z411" s="15"/>
      <c r="AA411" s="15"/>
      <c r="AB411" s="15"/>
      <c r="AC411" s="15"/>
      <c r="AD411" s="15"/>
      <c r="AE411" s="15" t="s">
        <v>328</v>
      </c>
      <c r="AF411" s="15"/>
      <c r="AG411" s="15"/>
      <c r="AH411" s="15"/>
      <c r="AI411" s="15"/>
      <c r="AJ411" s="15"/>
      <c r="AK411" s="15"/>
      <c r="AL411" s="15"/>
      <c r="AM411" s="15" t="s">
        <v>328</v>
      </c>
      <c r="AN411" s="15"/>
      <c r="AO411" s="15"/>
      <c r="AP411" s="15"/>
      <c r="AQ411" s="15" t="s">
        <v>328</v>
      </c>
      <c r="AR411" s="15">
        <v>10</v>
      </c>
      <c r="AS411" s="15">
        <v>4</v>
      </c>
      <c r="AT411" s="15"/>
      <c r="AU411" s="15" t="s">
        <v>328</v>
      </c>
      <c r="AV411" s="15"/>
      <c r="AW411" s="15"/>
      <c r="AX411" s="15">
        <v>3</v>
      </c>
      <c r="AY411" s="15">
        <v>1</v>
      </c>
      <c r="AZ411" s="15">
        <v>2</v>
      </c>
      <c r="BA411" s="15"/>
      <c r="BB411" s="15" t="s">
        <v>328</v>
      </c>
      <c r="BC411" s="15"/>
      <c r="BD411" s="15"/>
      <c r="BE411" s="15"/>
      <c r="BF411" s="15" t="s">
        <v>328</v>
      </c>
      <c r="BG411" s="15"/>
      <c r="BH411" s="15"/>
      <c r="BI411" s="15"/>
      <c r="BJ411" s="15"/>
      <c r="BK411" s="15" t="s">
        <v>328</v>
      </c>
      <c r="BL411" s="15"/>
      <c r="BM411" s="15"/>
      <c r="BN411" s="15"/>
      <c r="BO411" s="15" t="s">
        <v>328</v>
      </c>
      <c r="BP411" s="15"/>
      <c r="BQ411" s="15" t="s">
        <v>328</v>
      </c>
      <c r="BR411" s="15" t="s">
        <v>328</v>
      </c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 t="s">
        <v>332</v>
      </c>
      <c r="CI411" s="15"/>
      <c r="CJ411" s="15"/>
      <c r="CK411" s="15"/>
      <c r="CL411" s="15"/>
      <c r="CM411" s="15" t="s">
        <v>328</v>
      </c>
      <c r="CN411" s="15">
        <v>2</v>
      </c>
      <c r="CO411" s="15">
        <v>4</v>
      </c>
      <c r="CP411" s="15">
        <v>3</v>
      </c>
      <c r="CQ411" s="15">
        <v>5</v>
      </c>
      <c r="CR411" s="15">
        <v>6</v>
      </c>
      <c r="CS411" s="15">
        <v>1</v>
      </c>
      <c r="CT411" s="15"/>
      <c r="CU411" s="15"/>
      <c r="CV411" s="15"/>
      <c r="CW411" s="15"/>
      <c r="CX411" s="15"/>
      <c r="CY411" s="15"/>
      <c r="CZ411" s="15" t="s">
        <v>332</v>
      </c>
      <c r="DA411" s="15" t="s">
        <v>328</v>
      </c>
      <c r="DB411" s="15" t="s">
        <v>404</v>
      </c>
      <c r="DC411" s="15"/>
      <c r="DD411" s="15"/>
      <c r="DE411" s="15"/>
      <c r="DF411" s="15"/>
      <c r="DG411" s="15"/>
      <c r="DH411" s="15"/>
      <c r="DI411" s="15"/>
      <c r="DJ411" s="15" t="s">
        <v>328</v>
      </c>
      <c r="DK411" s="15"/>
      <c r="DL411" s="15"/>
      <c r="DM411" s="15"/>
      <c r="DN411" s="15"/>
      <c r="DO411" s="15"/>
      <c r="DP411" s="14" t="s">
        <v>1145</v>
      </c>
      <c r="DQ411" s="15" t="s">
        <v>328</v>
      </c>
      <c r="DR411" s="15"/>
      <c r="DS411" s="15"/>
      <c r="DT411" s="15"/>
      <c r="DU411" s="15"/>
      <c r="DV411" s="15"/>
      <c r="DW411" s="15"/>
      <c r="DX411" s="15" t="s">
        <v>1145</v>
      </c>
      <c r="DY411" s="15" t="s">
        <v>328</v>
      </c>
      <c r="DZ411" s="15"/>
      <c r="EA411" s="15"/>
      <c r="EB411" s="15"/>
      <c r="EC411" s="15"/>
      <c r="ED411" s="15"/>
      <c r="EE411" s="101" t="s">
        <v>1145</v>
      </c>
      <c r="EF411" s="99"/>
      <c r="EG411" s="17">
        <f t="shared" si="6"/>
        <v>0</v>
      </c>
    </row>
    <row r="412" spans="1:137" x14ac:dyDescent="0.25">
      <c r="A412" s="52" t="s">
        <v>1857</v>
      </c>
      <c r="B412" s="211">
        <v>41572</v>
      </c>
      <c r="C412" s="212" t="s">
        <v>2760</v>
      </c>
      <c r="D412" s="103" t="s">
        <v>1829</v>
      </c>
      <c r="E412" s="14" t="s">
        <v>328</v>
      </c>
      <c r="F412" s="14"/>
      <c r="G412" s="14">
        <v>50</v>
      </c>
      <c r="H412" s="14" t="s">
        <v>329</v>
      </c>
      <c r="I412" s="14" t="s">
        <v>353</v>
      </c>
      <c r="J412" s="14" t="s">
        <v>358</v>
      </c>
      <c r="K412" s="14" t="s">
        <v>1184</v>
      </c>
      <c r="L412" s="14" t="s">
        <v>1188</v>
      </c>
      <c r="M412" s="14">
        <v>25</v>
      </c>
      <c r="N412" s="14">
        <v>1</v>
      </c>
      <c r="O412" s="14"/>
      <c r="P412" s="14"/>
      <c r="Q412" s="14"/>
      <c r="R412" s="14"/>
      <c r="S412" s="14">
        <v>1</v>
      </c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 t="s">
        <v>328</v>
      </c>
      <c r="AE412" s="14"/>
      <c r="AF412" s="14"/>
      <c r="AG412" s="14"/>
      <c r="AH412" s="14"/>
      <c r="AI412" s="14"/>
      <c r="AJ412" s="14"/>
      <c r="AK412" s="14"/>
      <c r="AL412" s="14" t="s">
        <v>328</v>
      </c>
      <c r="AM412" s="14"/>
      <c r="AN412" s="14"/>
      <c r="AO412" s="14"/>
      <c r="AP412" s="14"/>
      <c r="AQ412" s="14" t="s">
        <v>328</v>
      </c>
      <c r="AR412" s="14">
        <v>10</v>
      </c>
      <c r="AS412" s="14">
        <v>1</v>
      </c>
      <c r="AT412" s="14"/>
      <c r="AU412" s="14"/>
      <c r="AV412" s="14" t="s">
        <v>328</v>
      </c>
      <c r="AW412" s="14"/>
      <c r="AX412" s="14">
        <v>1</v>
      </c>
      <c r="AY412" s="14">
        <v>3</v>
      </c>
      <c r="AZ412" s="14">
        <v>2</v>
      </c>
      <c r="BA412" s="14"/>
      <c r="BB412" s="14" t="s">
        <v>328</v>
      </c>
      <c r="BC412" s="14"/>
      <c r="BD412" s="14"/>
      <c r="BE412" s="14"/>
      <c r="BF412" s="14"/>
      <c r="BG412" s="14" t="s">
        <v>328</v>
      </c>
      <c r="BH412" s="14"/>
      <c r="BI412" s="14"/>
      <c r="BJ412" s="14"/>
      <c r="BK412" s="14"/>
      <c r="BL412" s="14"/>
      <c r="BM412" s="14"/>
      <c r="BN412" s="14" t="s">
        <v>328</v>
      </c>
      <c r="BO412" s="14"/>
      <c r="BP412" s="14" t="s">
        <v>328</v>
      </c>
      <c r="BQ412" s="14"/>
      <c r="BR412" s="14" t="s">
        <v>328</v>
      </c>
      <c r="BS412" s="14"/>
      <c r="BT412" s="14" t="s">
        <v>328</v>
      </c>
      <c r="BU412" s="14"/>
      <c r="BV412" s="14"/>
      <c r="BW412" s="14" t="s">
        <v>328</v>
      </c>
      <c r="BX412" s="14"/>
      <c r="BY412" s="14"/>
      <c r="BZ412" s="14"/>
      <c r="CA412" s="14"/>
      <c r="CB412" s="14"/>
      <c r="CC412" s="14" t="s">
        <v>328</v>
      </c>
      <c r="CD412" s="14"/>
      <c r="CE412" s="14"/>
      <c r="CF412" s="14"/>
      <c r="CG412" s="14"/>
      <c r="CH412" s="14"/>
      <c r="CI412" s="14" t="s">
        <v>328</v>
      </c>
      <c r="CJ412" s="14"/>
      <c r="CK412" s="14"/>
      <c r="CL412" s="14"/>
      <c r="CM412" s="14"/>
      <c r="CN412" s="14">
        <v>3</v>
      </c>
      <c r="CO412" s="14">
        <v>4</v>
      </c>
      <c r="CP412" s="14">
        <v>1</v>
      </c>
      <c r="CQ412" s="14">
        <v>5</v>
      </c>
      <c r="CR412" s="14">
        <v>6</v>
      </c>
      <c r="CS412" s="14">
        <v>2</v>
      </c>
      <c r="CT412" s="14" t="s">
        <v>328</v>
      </c>
      <c r="CU412" s="14"/>
      <c r="CV412" s="14"/>
      <c r="CW412" s="14"/>
      <c r="CX412" s="14" t="s">
        <v>328</v>
      </c>
      <c r="CY412" s="14"/>
      <c r="CZ412" s="14"/>
      <c r="DA412" s="14"/>
      <c r="DB412" s="14"/>
      <c r="DC412" s="14">
        <v>1</v>
      </c>
      <c r="DD412" s="14">
        <v>4</v>
      </c>
      <c r="DE412" s="14">
        <v>3</v>
      </c>
      <c r="DF412" s="14">
        <v>6</v>
      </c>
      <c r="DG412" s="14">
        <v>2</v>
      </c>
      <c r="DH412" s="14">
        <v>5</v>
      </c>
      <c r="DI412" s="14"/>
      <c r="DJ412" s="14" t="s">
        <v>328</v>
      </c>
      <c r="DK412" s="14"/>
      <c r="DL412" s="14"/>
      <c r="DM412" s="14"/>
      <c r="DN412" s="14"/>
      <c r="DO412" s="14"/>
      <c r="DP412" s="14" t="s">
        <v>333</v>
      </c>
      <c r="DQ412" s="14" t="s">
        <v>328</v>
      </c>
      <c r="DR412" s="14"/>
      <c r="DS412" s="14"/>
      <c r="DT412" s="14"/>
      <c r="DU412" s="14"/>
      <c r="DV412" s="14"/>
      <c r="DW412" s="14"/>
      <c r="DX412" s="14" t="s">
        <v>333</v>
      </c>
      <c r="DY412" s="14" t="s">
        <v>328</v>
      </c>
      <c r="DZ412" s="14"/>
      <c r="EA412" s="14"/>
      <c r="EB412" s="14"/>
      <c r="EC412" s="14"/>
      <c r="ED412" s="14"/>
      <c r="EE412" s="101" t="s">
        <v>333</v>
      </c>
      <c r="EF412" s="48"/>
      <c r="EG412" s="17">
        <f t="shared" si="6"/>
        <v>0</v>
      </c>
    </row>
    <row r="413" spans="1:137" x14ac:dyDescent="0.25">
      <c r="A413" s="52" t="s">
        <v>1857</v>
      </c>
      <c r="B413" s="211">
        <v>41572</v>
      </c>
      <c r="C413" s="212" t="s">
        <v>2760</v>
      </c>
      <c r="D413" s="103" t="s">
        <v>1830</v>
      </c>
      <c r="E413" s="14" t="s">
        <v>328</v>
      </c>
      <c r="F413" s="14"/>
      <c r="G413" s="14">
        <v>45</v>
      </c>
      <c r="H413" s="14" t="s">
        <v>329</v>
      </c>
      <c r="I413" s="14" t="s">
        <v>330</v>
      </c>
      <c r="J413" s="14" t="s">
        <v>331</v>
      </c>
      <c r="K413" s="14" t="s">
        <v>1181</v>
      </c>
      <c r="L413" s="14" t="s">
        <v>1182</v>
      </c>
      <c r="M413" s="14">
        <v>20</v>
      </c>
      <c r="N413" s="14">
        <v>1</v>
      </c>
      <c r="O413" s="14"/>
      <c r="P413" s="14"/>
      <c r="Q413" s="14"/>
      <c r="R413" s="14"/>
      <c r="S413" s="14">
        <v>1</v>
      </c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 t="s">
        <v>328</v>
      </c>
      <c r="AK413" s="14"/>
      <c r="AL413" s="14" t="s">
        <v>328</v>
      </c>
      <c r="AM413" s="14"/>
      <c r="AN413" s="14"/>
      <c r="AO413" s="14"/>
      <c r="AP413" s="14"/>
      <c r="AQ413" s="14" t="s">
        <v>328</v>
      </c>
      <c r="AR413" s="14">
        <v>10</v>
      </c>
      <c r="AS413" s="14">
        <v>1</v>
      </c>
      <c r="AT413" s="14"/>
      <c r="AU413" s="14"/>
      <c r="AV413" s="14" t="s">
        <v>328</v>
      </c>
      <c r="AW413" s="14"/>
      <c r="AX413" s="14">
        <v>2</v>
      </c>
      <c r="AY413" s="14">
        <v>3</v>
      </c>
      <c r="AZ413" s="14">
        <v>1</v>
      </c>
      <c r="BA413" s="14"/>
      <c r="BB413" s="14" t="s">
        <v>328</v>
      </c>
      <c r="BC413" s="14"/>
      <c r="BD413" s="14"/>
      <c r="BE413" s="14"/>
      <c r="BF413" s="14" t="s">
        <v>328</v>
      </c>
      <c r="BG413" s="14"/>
      <c r="BH413" s="14"/>
      <c r="BI413" s="14"/>
      <c r="BJ413" s="14"/>
      <c r="BK413" s="14"/>
      <c r="BL413" s="14"/>
      <c r="BM413" s="14"/>
      <c r="BN413" s="14" t="s">
        <v>328</v>
      </c>
      <c r="BO413" s="14"/>
      <c r="BP413" s="14" t="s">
        <v>328</v>
      </c>
      <c r="BQ413" s="14"/>
      <c r="BR413" s="14"/>
      <c r="BS413" s="14"/>
      <c r="BT413" s="14"/>
      <c r="BU413" s="14"/>
      <c r="BV413" s="14" t="s">
        <v>328</v>
      </c>
      <c r="BW413" s="14"/>
      <c r="BX413" s="14"/>
      <c r="BY413" s="14"/>
      <c r="BZ413" s="14"/>
      <c r="CA413" s="14"/>
      <c r="CB413" s="14" t="s">
        <v>328</v>
      </c>
      <c r="CC413" s="14" t="s">
        <v>328</v>
      </c>
      <c r="CD413" s="14"/>
      <c r="CE413" s="14"/>
      <c r="CF413" s="14"/>
      <c r="CG413" s="14"/>
      <c r="CH413" s="14"/>
      <c r="CI413" s="14" t="s">
        <v>328</v>
      </c>
      <c r="CJ413" s="14"/>
      <c r="CK413" s="14"/>
      <c r="CL413" s="14"/>
      <c r="CM413" s="14"/>
      <c r="CN413" s="14">
        <v>4</v>
      </c>
      <c r="CO413" s="14">
        <v>1</v>
      </c>
      <c r="CP413" s="14">
        <v>2</v>
      </c>
      <c r="CQ413" s="14">
        <v>5</v>
      </c>
      <c r="CR413" s="14">
        <v>6</v>
      </c>
      <c r="CS413" s="14">
        <v>3</v>
      </c>
      <c r="CT413" s="14" t="s">
        <v>328</v>
      </c>
      <c r="CU413" s="14"/>
      <c r="CV413" s="14"/>
      <c r="CW413" s="14"/>
      <c r="CX413" s="14" t="s">
        <v>328</v>
      </c>
      <c r="CY413" s="14"/>
      <c r="CZ413" s="14"/>
      <c r="DA413" s="14"/>
      <c r="DB413" s="14"/>
      <c r="DC413" s="14">
        <v>2</v>
      </c>
      <c r="DD413" s="14">
        <v>3</v>
      </c>
      <c r="DE413" s="14">
        <v>6</v>
      </c>
      <c r="DF413" s="14">
        <v>5</v>
      </c>
      <c r="DG413" s="14">
        <v>1</v>
      </c>
      <c r="DH413" s="14">
        <v>4</v>
      </c>
      <c r="DI413" s="14"/>
      <c r="DJ413" s="14" t="s">
        <v>328</v>
      </c>
      <c r="DK413" s="14"/>
      <c r="DL413" s="14"/>
      <c r="DM413" s="14"/>
      <c r="DN413" s="14"/>
      <c r="DO413" s="14"/>
      <c r="DP413" s="14" t="s">
        <v>333</v>
      </c>
      <c r="DQ413" s="14"/>
      <c r="DR413" s="14" t="s">
        <v>328</v>
      </c>
      <c r="DS413" s="14" t="s">
        <v>328</v>
      </c>
      <c r="DT413" s="15" t="s">
        <v>437</v>
      </c>
      <c r="DU413" s="14"/>
      <c r="DV413" s="14"/>
      <c r="DW413" s="14" t="s">
        <v>335</v>
      </c>
      <c r="DX413" s="14" t="s">
        <v>497</v>
      </c>
      <c r="DY413" s="14" t="s">
        <v>328</v>
      </c>
      <c r="DZ413" s="14"/>
      <c r="EA413" s="14"/>
      <c r="EB413" s="14"/>
      <c r="EC413" s="14"/>
      <c r="ED413" s="14"/>
      <c r="EE413" s="101" t="s">
        <v>333</v>
      </c>
      <c r="EF413" s="48"/>
      <c r="EG413" s="17">
        <f t="shared" si="6"/>
        <v>0</v>
      </c>
    </row>
    <row r="414" spans="1:137" x14ac:dyDescent="0.25">
      <c r="A414" s="52" t="s">
        <v>1857</v>
      </c>
      <c r="B414" s="211">
        <v>41572</v>
      </c>
      <c r="C414" s="212" t="s">
        <v>2760</v>
      </c>
      <c r="D414" s="103" t="s">
        <v>1831</v>
      </c>
      <c r="E414" s="14" t="s">
        <v>328</v>
      </c>
      <c r="F414" s="14"/>
      <c r="G414" s="14">
        <v>40</v>
      </c>
      <c r="H414" s="14" t="s">
        <v>329</v>
      </c>
      <c r="I414" s="14" t="s">
        <v>357</v>
      </c>
      <c r="J414" s="14" t="s">
        <v>380</v>
      </c>
      <c r="K414" s="14" t="s">
        <v>1188</v>
      </c>
      <c r="L414" s="14" t="s">
        <v>1188</v>
      </c>
      <c r="M414" s="14">
        <v>5</v>
      </c>
      <c r="N414" s="14">
        <v>1</v>
      </c>
      <c r="O414" s="14">
        <v>1</v>
      </c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 t="s">
        <v>328</v>
      </c>
      <c r="AF414" s="14"/>
      <c r="AG414" s="14"/>
      <c r="AH414" s="14" t="s">
        <v>328</v>
      </c>
      <c r="AI414" s="14"/>
      <c r="AJ414" s="14"/>
      <c r="AK414" s="14"/>
      <c r="AL414" s="14"/>
      <c r="AM414" s="14" t="s">
        <v>328</v>
      </c>
      <c r="AN414" s="14"/>
      <c r="AO414" s="14"/>
      <c r="AP414" s="14"/>
      <c r="AQ414" s="14" t="s">
        <v>328</v>
      </c>
      <c r="AR414" s="14">
        <v>10</v>
      </c>
      <c r="AS414" s="14">
        <v>2</v>
      </c>
      <c r="AT414" s="14"/>
      <c r="AU414" s="14"/>
      <c r="AV414" s="14"/>
      <c r="AW414" s="14" t="s">
        <v>328</v>
      </c>
      <c r="AX414" s="14">
        <v>1</v>
      </c>
      <c r="AY414" s="14">
        <v>2</v>
      </c>
      <c r="AZ414" s="14">
        <v>3</v>
      </c>
      <c r="BA414" s="14"/>
      <c r="BB414" s="14" t="s">
        <v>328</v>
      </c>
      <c r="BC414" s="14"/>
      <c r="BD414" s="14" t="s">
        <v>328</v>
      </c>
      <c r="BE414" s="14" t="s">
        <v>328</v>
      </c>
      <c r="BF414" s="14"/>
      <c r="BG414" s="14"/>
      <c r="BH414" s="14"/>
      <c r="BI414" s="14"/>
      <c r="BJ414" s="14"/>
      <c r="BK414" s="14"/>
      <c r="BL414" s="14"/>
      <c r="BM414" s="14"/>
      <c r="BN414" s="14"/>
      <c r="BO414" s="14" t="s">
        <v>328</v>
      </c>
      <c r="BP414" s="14"/>
      <c r="BQ414" s="14" t="s">
        <v>328</v>
      </c>
      <c r="BR414" s="14"/>
      <c r="BS414" s="14"/>
      <c r="BT414" s="14" t="s">
        <v>328</v>
      </c>
      <c r="BU414" s="14"/>
      <c r="BV414" s="14"/>
      <c r="BW414" s="14" t="s">
        <v>328</v>
      </c>
      <c r="BX414" s="14"/>
      <c r="BY414" s="14"/>
      <c r="BZ414" s="14" t="s">
        <v>328</v>
      </c>
      <c r="CA414" s="14"/>
      <c r="CB414" s="14"/>
      <c r="CC414" s="14"/>
      <c r="CD414" s="14"/>
      <c r="CE414" s="14"/>
      <c r="CF414" s="14"/>
      <c r="CG414" s="14"/>
      <c r="CH414" s="14"/>
      <c r="CI414" s="14" t="s">
        <v>328</v>
      </c>
      <c r="CJ414" s="14"/>
      <c r="CK414" s="14" t="s">
        <v>328</v>
      </c>
      <c r="CL414" s="14"/>
      <c r="CM414" s="14"/>
      <c r="CN414" s="14">
        <v>3</v>
      </c>
      <c r="CO414" s="14">
        <v>1</v>
      </c>
      <c r="CP414" s="14">
        <v>2</v>
      </c>
      <c r="CQ414" s="14">
        <v>6</v>
      </c>
      <c r="CR414" s="14">
        <v>5</v>
      </c>
      <c r="CS414" s="14">
        <v>4</v>
      </c>
      <c r="CT414" s="14"/>
      <c r="CU414" s="14"/>
      <c r="CV414" s="14"/>
      <c r="CW414" s="14"/>
      <c r="CX414" s="14"/>
      <c r="CY414" s="14"/>
      <c r="CZ414" s="14" t="s">
        <v>332</v>
      </c>
      <c r="DA414" s="14" t="s">
        <v>328</v>
      </c>
      <c r="DB414" s="14" t="s">
        <v>347</v>
      </c>
      <c r="DC414" s="14"/>
      <c r="DD414" s="14"/>
      <c r="DE414" s="14"/>
      <c r="DF414" s="14"/>
      <c r="DG414" s="14"/>
      <c r="DH414" s="14"/>
      <c r="DI414" s="14"/>
      <c r="DJ414" s="14" t="s">
        <v>328</v>
      </c>
      <c r="DK414" s="14"/>
      <c r="DL414" s="14"/>
      <c r="DM414" s="14"/>
      <c r="DN414" s="14"/>
      <c r="DO414" s="14"/>
      <c r="DP414" s="14" t="s">
        <v>333</v>
      </c>
      <c r="DQ414" s="14" t="s">
        <v>328</v>
      </c>
      <c r="DR414" s="14"/>
      <c r="DS414" s="14"/>
      <c r="DT414" s="14"/>
      <c r="DU414" s="14"/>
      <c r="DV414" s="14"/>
      <c r="DW414" s="14"/>
      <c r="DX414" s="14" t="s">
        <v>333</v>
      </c>
      <c r="DY414" s="14" t="s">
        <v>328</v>
      </c>
      <c r="DZ414" s="14"/>
      <c r="EA414" s="14"/>
      <c r="EB414" s="14"/>
      <c r="EC414" s="14"/>
      <c r="ED414" s="14"/>
      <c r="EE414" s="101" t="s">
        <v>333</v>
      </c>
      <c r="EF414" s="48"/>
      <c r="EG414" s="17">
        <f t="shared" si="6"/>
        <v>0</v>
      </c>
    </row>
    <row r="415" spans="1:137" x14ac:dyDescent="0.25">
      <c r="A415" s="52" t="s">
        <v>1857</v>
      </c>
      <c r="B415" s="211">
        <v>41573</v>
      </c>
      <c r="C415" s="212" t="s">
        <v>2760</v>
      </c>
      <c r="D415" s="103" t="s">
        <v>1832</v>
      </c>
      <c r="E415" s="15" t="s">
        <v>328</v>
      </c>
      <c r="F415" s="15"/>
      <c r="G415" s="15">
        <v>54</v>
      </c>
      <c r="H415" s="15" t="s">
        <v>329</v>
      </c>
      <c r="I415" s="15" t="s">
        <v>353</v>
      </c>
      <c r="J415" s="15" t="s">
        <v>782</v>
      </c>
      <c r="K415" s="18" t="s">
        <v>1259</v>
      </c>
      <c r="L415" s="15" t="s">
        <v>1182</v>
      </c>
      <c r="M415" s="15">
        <v>30</v>
      </c>
      <c r="N415" s="15">
        <v>1</v>
      </c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>
        <v>1</v>
      </c>
      <c r="AA415" s="15"/>
      <c r="AB415" s="15" t="s">
        <v>328</v>
      </c>
      <c r="AC415" s="15" t="s">
        <v>328</v>
      </c>
      <c r="AD415" s="15"/>
      <c r="AE415" s="15"/>
      <c r="AF415" s="15"/>
      <c r="AG415" s="15" t="s">
        <v>328</v>
      </c>
      <c r="AH415" s="15"/>
      <c r="AI415" s="15"/>
      <c r="AJ415" s="15"/>
      <c r="AK415" s="15"/>
      <c r="AL415" s="15"/>
      <c r="AM415" s="15" t="s">
        <v>328</v>
      </c>
      <c r="AN415" s="15"/>
      <c r="AO415" s="15" t="s">
        <v>328</v>
      </c>
      <c r="AP415" s="15"/>
      <c r="AQ415" s="15"/>
      <c r="AR415" s="15">
        <v>6</v>
      </c>
      <c r="AS415" s="15">
        <v>2</v>
      </c>
      <c r="AT415" s="15"/>
      <c r="AU415" s="15" t="s">
        <v>328</v>
      </c>
      <c r="AV415" s="15"/>
      <c r="AW415" s="15"/>
      <c r="AX415" s="15">
        <v>2</v>
      </c>
      <c r="AY415" s="15">
        <v>1</v>
      </c>
      <c r="AZ415" s="15">
        <v>3</v>
      </c>
      <c r="BA415" s="15"/>
      <c r="BB415" s="15" t="s">
        <v>328</v>
      </c>
      <c r="BC415" s="15"/>
      <c r="BD415" s="15" t="s">
        <v>328</v>
      </c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 t="s">
        <v>328</v>
      </c>
      <c r="BP415" s="15"/>
      <c r="BQ415" s="15" t="s">
        <v>328</v>
      </c>
      <c r="BR415" s="15"/>
      <c r="BS415" s="15"/>
      <c r="BT415" s="15"/>
      <c r="BU415" s="15"/>
      <c r="BV415" s="15" t="s">
        <v>328</v>
      </c>
      <c r="BW415" s="15"/>
      <c r="BX415" s="14"/>
      <c r="BY415" s="15"/>
      <c r="BZ415" s="15"/>
      <c r="CA415" s="15"/>
      <c r="CB415" s="15"/>
      <c r="CC415" s="15"/>
      <c r="CD415" s="15"/>
      <c r="CE415" s="15"/>
      <c r="CF415" s="15"/>
      <c r="CG415" s="15" t="s">
        <v>328</v>
      </c>
      <c r="CH415" s="15"/>
      <c r="CI415" s="15"/>
      <c r="CJ415" s="15"/>
      <c r="CK415" s="15"/>
      <c r="CL415" s="15" t="s">
        <v>328</v>
      </c>
      <c r="CM415" s="15"/>
      <c r="CN415" s="15">
        <v>6</v>
      </c>
      <c r="CO415" s="15">
        <v>3</v>
      </c>
      <c r="CP415" s="15">
        <v>4</v>
      </c>
      <c r="CQ415" s="15">
        <v>1</v>
      </c>
      <c r="CR415" s="15">
        <v>2</v>
      </c>
      <c r="CS415" s="15">
        <v>5</v>
      </c>
      <c r="CT415" s="15"/>
      <c r="CU415" s="15"/>
      <c r="CV415" s="15"/>
      <c r="CW415" s="15"/>
      <c r="CX415" s="15"/>
      <c r="CY415" s="15"/>
      <c r="CZ415" s="15" t="s">
        <v>332</v>
      </c>
      <c r="DA415" s="15"/>
      <c r="DB415" s="15"/>
      <c r="DC415" s="15">
        <v>2</v>
      </c>
      <c r="DD415" s="15">
        <v>3</v>
      </c>
      <c r="DE415" s="15">
        <v>4</v>
      </c>
      <c r="DF415" s="15">
        <v>5</v>
      </c>
      <c r="DG415" s="15">
        <v>1</v>
      </c>
      <c r="DH415" s="15">
        <v>6</v>
      </c>
      <c r="DI415" s="15"/>
      <c r="DJ415" s="15" t="s">
        <v>328</v>
      </c>
      <c r="DK415" s="15"/>
      <c r="DL415" s="15"/>
      <c r="DM415" s="15"/>
      <c r="DN415" s="15"/>
      <c r="DO415" s="15"/>
      <c r="DP415" s="14" t="s">
        <v>1145</v>
      </c>
      <c r="DQ415" s="15" t="s">
        <v>328</v>
      </c>
      <c r="DR415" s="15"/>
      <c r="DS415" s="15"/>
      <c r="DT415" s="15"/>
      <c r="DU415" s="15"/>
      <c r="DV415" s="15"/>
      <c r="DW415" s="15"/>
      <c r="DX415" s="15" t="s">
        <v>1145</v>
      </c>
      <c r="DY415" s="15" t="s">
        <v>328</v>
      </c>
      <c r="DZ415" s="15"/>
      <c r="EA415" s="15"/>
      <c r="EB415" s="15"/>
      <c r="EC415" s="15"/>
      <c r="ED415" s="15"/>
      <c r="EE415" s="102" t="s">
        <v>1145</v>
      </c>
      <c r="EF415" s="99"/>
      <c r="EG415" s="17">
        <f t="shared" si="6"/>
        <v>0</v>
      </c>
    </row>
    <row r="416" spans="1:137" x14ac:dyDescent="0.25">
      <c r="A416" s="52" t="s">
        <v>1857</v>
      </c>
      <c r="B416" s="211">
        <v>41573</v>
      </c>
      <c r="C416" s="212" t="s">
        <v>2760</v>
      </c>
      <c r="D416" s="103" t="s">
        <v>1833</v>
      </c>
      <c r="E416" s="15" t="s">
        <v>328</v>
      </c>
      <c r="F416" s="15"/>
      <c r="G416" s="15">
        <v>39</v>
      </c>
      <c r="H416" s="15" t="s">
        <v>329</v>
      </c>
      <c r="I416" s="15" t="s">
        <v>399</v>
      </c>
      <c r="J416" s="18" t="s">
        <v>1834</v>
      </c>
      <c r="K416" s="15" t="s">
        <v>1835</v>
      </c>
      <c r="L416" s="15" t="s">
        <v>1333</v>
      </c>
      <c r="M416" s="15">
        <v>8</v>
      </c>
      <c r="N416" s="15">
        <v>2</v>
      </c>
      <c r="O416" s="15">
        <v>2</v>
      </c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>
        <v>2</v>
      </c>
      <c r="AA416" s="15"/>
      <c r="AB416" s="15"/>
      <c r="AC416" s="15"/>
      <c r="AD416" s="15"/>
      <c r="AE416" s="15"/>
      <c r="AF416" s="15"/>
      <c r="AG416" s="15" t="s">
        <v>328</v>
      </c>
      <c r="AH416" s="15"/>
      <c r="AI416" s="15"/>
      <c r="AJ416" s="15"/>
      <c r="AK416" s="15" t="s">
        <v>418</v>
      </c>
      <c r="AL416" s="15"/>
      <c r="AM416" s="14" t="s">
        <v>328</v>
      </c>
      <c r="AN416" s="15"/>
      <c r="AO416" s="15"/>
      <c r="AP416" s="15" t="s">
        <v>328</v>
      </c>
      <c r="AQ416" s="15" t="s">
        <v>328</v>
      </c>
      <c r="AR416" s="15">
        <v>10</v>
      </c>
      <c r="AS416" s="15">
        <v>6</v>
      </c>
      <c r="AT416" s="15"/>
      <c r="AU416" s="15" t="s">
        <v>328</v>
      </c>
      <c r="AV416" s="15"/>
      <c r="AW416" s="15"/>
      <c r="AX416" s="15">
        <v>1</v>
      </c>
      <c r="AY416" s="15">
        <v>3</v>
      </c>
      <c r="AZ416" s="15">
        <v>2</v>
      </c>
      <c r="BA416" s="15"/>
      <c r="BB416" s="15" t="s">
        <v>328</v>
      </c>
      <c r="BC416" s="15"/>
      <c r="BD416" s="15" t="s">
        <v>328</v>
      </c>
      <c r="BE416" s="15"/>
      <c r="BF416" s="15"/>
      <c r="BG416" s="15" t="s">
        <v>328</v>
      </c>
      <c r="BH416" s="15"/>
      <c r="BI416" s="15"/>
      <c r="BJ416" s="15"/>
      <c r="BK416" s="15"/>
      <c r="BL416" s="15"/>
      <c r="BM416" s="15"/>
      <c r="BN416" s="15" t="s">
        <v>328</v>
      </c>
      <c r="BO416" s="15"/>
      <c r="BP416" s="15" t="s">
        <v>328</v>
      </c>
      <c r="BQ416" s="15"/>
      <c r="BR416" s="15"/>
      <c r="BS416" s="15"/>
      <c r="BT416" s="15"/>
      <c r="BU416" s="15"/>
      <c r="BV416" s="15" t="s">
        <v>328</v>
      </c>
      <c r="BW416" s="15"/>
      <c r="BX416" s="15"/>
      <c r="BY416" s="15"/>
      <c r="BZ416" s="15"/>
      <c r="CA416" s="15"/>
      <c r="CB416" s="15"/>
      <c r="CC416" s="15" t="s">
        <v>328</v>
      </c>
      <c r="CD416" s="15"/>
      <c r="CE416" s="15"/>
      <c r="CF416" s="15"/>
      <c r="CG416" s="15"/>
      <c r="CH416" s="15"/>
      <c r="CI416" s="15" t="s">
        <v>328</v>
      </c>
      <c r="CJ416" s="15"/>
      <c r="CK416" s="15" t="s">
        <v>328</v>
      </c>
      <c r="CL416" s="15"/>
      <c r="CM416" s="15"/>
      <c r="CN416" s="15">
        <v>2</v>
      </c>
      <c r="CO416" s="15">
        <v>1</v>
      </c>
      <c r="CP416" s="15">
        <v>4</v>
      </c>
      <c r="CQ416" s="15">
        <v>6</v>
      </c>
      <c r="CR416" s="15">
        <v>5</v>
      </c>
      <c r="CS416" s="15">
        <v>3</v>
      </c>
      <c r="CT416" s="15" t="s">
        <v>328</v>
      </c>
      <c r="CU416" s="15"/>
      <c r="CV416" s="15"/>
      <c r="CW416" s="15"/>
      <c r="CX416" s="15" t="s">
        <v>328</v>
      </c>
      <c r="CY416" s="15"/>
      <c r="CZ416" s="15"/>
      <c r="DA416" s="15" t="s">
        <v>328</v>
      </c>
      <c r="DB416" s="15" t="s">
        <v>404</v>
      </c>
      <c r="DC416" s="15"/>
      <c r="DD416" s="15"/>
      <c r="DE416" s="15"/>
      <c r="DF416" s="15"/>
      <c r="DG416" s="15"/>
      <c r="DH416" s="15"/>
      <c r="DI416" s="15"/>
      <c r="DJ416" s="15"/>
      <c r="DK416" s="15" t="s">
        <v>328</v>
      </c>
      <c r="DL416" s="15" t="s">
        <v>328</v>
      </c>
      <c r="DM416" s="15" t="s">
        <v>618</v>
      </c>
      <c r="DN416" s="15"/>
      <c r="DO416" s="14" t="s">
        <v>432</v>
      </c>
      <c r="DP416" s="14" t="s">
        <v>333</v>
      </c>
      <c r="DQ416" s="15"/>
      <c r="DR416" s="15" t="s">
        <v>328</v>
      </c>
      <c r="DS416" s="15" t="s">
        <v>328</v>
      </c>
      <c r="DT416" s="15" t="s">
        <v>504</v>
      </c>
      <c r="DU416" s="15"/>
      <c r="DV416" s="15"/>
      <c r="DW416" s="14" t="s">
        <v>335</v>
      </c>
      <c r="DX416" s="14" t="s">
        <v>497</v>
      </c>
      <c r="DY416" s="15" t="s">
        <v>328</v>
      </c>
      <c r="DZ416" s="15"/>
      <c r="EA416" s="15"/>
      <c r="EB416" s="15"/>
      <c r="EC416" s="15"/>
      <c r="ED416" s="15"/>
      <c r="EE416" s="101" t="s">
        <v>333</v>
      </c>
      <c r="EF416" s="99"/>
      <c r="EG416" s="17">
        <f t="shared" si="6"/>
        <v>0</v>
      </c>
    </row>
    <row r="417" spans="1:137" ht="15.75" thickBot="1" x14ac:dyDescent="0.3">
      <c r="A417" s="53" t="s">
        <v>1857</v>
      </c>
      <c r="B417" s="214">
        <v>41573</v>
      </c>
      <c r="C417" s="251" t="s">
        <v>2760</v>
      </c>
      <c r="D417" s="104" t="s">
        <v>1836</v>
      </c>
      <c r="E417" s="68" t="s">
        <v>328</v>
      </c>
      <c r="F417" s="68"/>
      <c r="G417" s="68">
        <v>39</v>
      </c>
      <c r="H417" s="68" t="s">
        <v>329</v>
      </c>
      <c r="I417" s="68" t="s">
        <v>330</v>
      </c>
      <c r="J417" s="68" t="s">
        <v>369</v>
      </c>
      <c r="K417" s="68" t="s">
        <v>1185</v>
      </c>
      <c r="L417" s="68" t="s">
        <v>1182</v>
      </c>
      <c r="M417" s="68">
        <v>17</v>
      </c>
      <c r="N417" s="68">
        <v>1</v>
      </c>
      <c r="O417" s="68"/>
      <c r="P417" s="68"/>
      <c r="Q417" s="68"/>
      <c r="R417" s="68"/>
      <c r="S417" s="68"/>
      <c r="T417" s="68"/>
      <c r="U417" s="68"/>
      <c r="V417" s="68">
        <v>1</v>
      </c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105" t="s">
        <v>1165</v>
      </c>
      <c r="AL417" s="105"/>
      <c r="AM417" s="68"/>
      <c r="AN417" s="68" t="s">
        <v>328</v>
      </c>
      <c r="AO417" s="68"/>
      <c r="AP417" s="68"/>
      <c r="AQ417" s="68" t="s">
        <v>328</v>
      </c>
      <c r="AR417" s="68">
        <v>10</v>
      </c>
      <c r="AS417" s="68">
        <v>1</v>
      </c>
      <c r="AT417" s="68"/>
      <c r="AU417" s="68"/>
      <c r="AV417" s="68" t="s">
        <v>328</v>
      </c>
      <c r="AW417" s="68"/>
      <c r="AX417" s="68">
        <v>3</v>
      </c>
      <c r="AY417" s="68">
        <v>2</v>
      </c>
      <c r="AZ417" s="68">
        <v>1</v>
      </c>
      <c r="BA417" s="68"/>
      <c r="BB417" s="68" t="s">
        <v>328</v>
      </c>
      <c r="BC417" s="68"/>
      <c r="BD417" s="68"/>
      <c r="BE417" s="68"/>
      <c r="BF417" s="68" t="s">
        <v>328</v>
      </c>
      <c r="BG417" s="68"/>
      <c r="BH417" s="68"/>
      <c r="BI417" s="68"/>
      <c r="BJ417" s="68"/>
      <c r="BK417" s="68"/>
      <c r="BL417" s="68"/>
      <c r="BM417" s="68"/>
      <c r="BN417" s="68" t="s">
        <v>328</v>
      </c>
      <c r="BO417" s="68"/>
      <c r="BP417" s="68" t="s">
        <v>328</v>
      </c>
      <c r="BQ417" s="68"/>
      <c r="BR417" s="68" t="s">
        <v>328</v>
      </c>
      <c r="BS417" s="68"/>
      <c r="BT417" s="68"/>
      <c r="BU417" s="68"/>
      <c r="BV417" s="68"/>
      <c r="BW417" s="68"/>
      <c r="BX417" s="68"/>
      <c r="BY417" s="68"/>
      <c r="BZ417" s="68"/>
      <c r="CA417" s="68"/>
      <c r="CB417" s="68"/>
      <c r="CC417" s="68"/>
      <c r="CD417" s="68"/>
      <c r="CE417" s="68"/>
      <c r="CF417" s="68"/>
      <c r="CG417" s="68"/>
      <c r="CH417" s="68" t="s">
        <v>332</v>
      </c>
      <c r="CI417" s="68" t="s">
        <v>328</v>
      </c>
      <c r="CJ417" s="68"/>
      <c r="CK417" s="68"/>
      <c r="CL417" s="68"/>
      <c r="CM417" s="68"/>
      <c r="CN417" s="68">
        <v>3</v>
      </c>
      <c r="CO417" s="68">
        <v>4</v>
      </c>
      <c r="CP417" s="68">
        <v>2</v>
      </c>
      <c r="CQ417" s="68">
        <v>5</v>
      </c>
      <c r="CR417" s="68">
        <v>6</v>
      </c>
      <c r="CS417" s="68">
        <v>1</v>
      </c>
      <c r="CT417" s="68" t="s">
        <v>328</v>
      </c>
      <c r="CU417" s="68"/>
      <c r="CV417" s="68"/>
      <c r="CW417" s="68"/>
      <c r="CX417" s="68"/>
      <c r="CY417" s="68"/>
      <c r="CZ417" s="68" t="s">
        <v>424</v>
      </c>
      <c r="DA417" s="68" t="s">
        <v>328</v>
      </c>
      <c r="DB417" s="105" t="s">
        <v>404</v>
      </c>
      <c r="DC417" s="68"/>
      <c r="DD417" s="68"/>
      <c r="DE417" s="68"/>
      <c r="DF417" s="68"/>
      <c r="DG417" s="68"/>
      <c r="DH417" s="68"/>
      <c r="DI417" s="68"/>
      <c r="DJ417" s="68" t="s">
        <v>328</v>
      </c>
      <c r="DK417" s="68"/>
      <c r="DL417" s="68"/>
      <c r="DM417" s="68"/>
      <c r="DN417" s="68"/>
      <c r="DO417" s="68"/>
      <c r="DP417" s="105"/>
      <c r="DQ417" s="68"/>
      <c r="DR417" s="68" t="s">
        <v>328</v>
      </c>
      <c r="DS417" s="68" t="s">
        <v>328</v>
      </c>
      <c r="DT417" s="68" t="s">
        <v>397</v>
      </c>
      <c r="DU417" s="68"/>
      <c r="DV417" s="68"/>
      <c r="DW417" s="68" t="s">
        <v>428</v>
      </c>
      <c r="DX417" s="68" t="s">
        <v>497</v>
      </c>
      <c r="DY417" s="68" t="s">
        <v>328</v>
      </c>
      <c r="DZ417" s="68"/>
      <c r="EA417" s="68"/>
      <c r="EB417" s="68"/>
      <c r="EC417" s="68"/>
      <c r="ED417" s="68"/>
      <c r="EE417" s="106" t="s">
        <v>1145</v>
      </c>
      <c r="EF417" s="48"/>
      <c r="EG417" s="17">
        <f t="shared" si="6"/>
        <v>0</v>
      </c>
    </row>
    <row r="418" spans="1:137" x14ac:dyDescent="0.25">
      <c r="O418" s="233">
        <f>SUM(O7:O417)</f>
        <v>483</v>
      </c>
      <c r="P418" s="233">
        <f t="shared" ref="P418:AA418" si="7">SUM(P7:P417)</f>
        <v>134</v>
      </c>
      <c r="Q418" s="233">
        <f t="shared" si="7"/>
        <v>175</v>
      </c>
      <c r="R418" s="233">
        <f t="shared" si="7"/>
        <v>142</v>
      </c>
      <c r="S418" s="233">
        <f t="shared" si="7"/>
        <v>90</v>
      </c>
      <c r="T418" s="233">
        <f t="shared" si="7"/>
        <v>1</v>
      </c>
      <c r="U418" s="233">
        <f t="shared" si="7"/>
        <v>22</v>
      </c>
      <c r="V418" s="233">
        <f t="shared" si="7"/>
        <v>125</v>
      </c>
      <c r="W418" s="233">
        <f t="shared" si="7"/>
        <v>18</v>
      </c>
      <c r="X418" s="233">
        <f t="shared" si="7"/>
        <v>33</v>
      </c>
      <c r="Y418" s="233">
        <f t="shared" si="7"/>
        <v>23</v>
      </c>
      <c r="Z418" s="233">
        <f t="shared" si="7"/>
        <v>114</v>
      </c>
      <c r="AA418" s="233">
        <f t="shared" si="7"/>
        <v>0</v>
      </c>
      <c r="BD418" s="233">
        <f>COUNTIF(BD7:BD417,"X")</f>
        <v>219</v>
      </c>
      <c r="BE418" s="233">
        <f t="shared" ref="BE418:BM418" si="8">COUNTIF(BE7:BE417,"X")</f>
        <v>75</v>
      </c>
      <c r="BF418" s="233">
        <f t="shared" si="8"/>
        <v>56</v>
      </c>
      <c r="BG418" s="233">
        <f t="shared" si="8"/>
        <v>81</v>
      </c>
      <c r="BH418" s="233">
        <f t="shared" si="8"/>
        <v>19</v>
      </c>
      <c r="BI418" s="233">
        <f t="shared" si="8"/>
        <v>16</v>
      </c>
      <c r="BJ418" s="233">
        <f t="shared" si="8"/>
        <v>9</v>
      </c>
      <c r="BK418" s="233">
        <f t="shared" si="8"/>
        <v>103</v>
      </c>
      <c r="BL418" s="233">
        <f t="shared" si="8"/>
        <v>12</v>
      </c>
      <c r="BM418" s="233">
        <f t="shared" si="8"/>
        <v>0</v>
      </c>
      <c r="DR418" s="233">
        <f>COUNTIF(DR7:DR417,"X")</f>
        <v>147</v>
      </c>
      <c r="DU418" s="233">
        <f>COUNTIF(DU7:DU417,"X")</f>
        <v>20</v>
      </c>
    </row>
    <row r="419" spans="1:137" ht="15.75" thickBot="1" x14ac:dyDescent="0.3">
      <c r="AA419" s="233">
        <f>SUM(O418:AA418)</f>
        <v>1360</v>
      </c>
      <c r="BE419" s="233">
        <f>+BE418+BL418</f>
        <v>87</v>
      </c>
      <c r="BF419" s="233">
        <f>+BF418+BG418</f>
        <v>137</v>
      </c>
      <c r="BH419" s="233">
        <f>+BH418+BJ418</f>
        <v>28</v>
      </c>
      <c r="BK419" s="233">
        <f>+BK418+BI418</f>
        <v>119</v>
      </c>
      <c r="BM419" s="233">
        <f>+BK419+BH419+BF419+BE419+BD418</f>
        <v>590</v>
      </c>
    </row>
    <row r="420" spans="1:137" x14ac:dyDescent="0.25">
      <c r="A420" s="303" t="s">
        <v>1863</v>
      </c>
      <c r="B420" s="304"/>
      <c r="C420" s="304"/>
      <c r="D420" s="305"/>
    </row>
    <row r="421" spans="1:137" x14ac:dyDescent="0.25">
      <c r="A421" s="77" t="s">
        <v>1854</v>
      </c>
      <c r="B421" s="201"/>
      <c r="C421" s="201"/>
      <c r="D421" s="231">
        <f>COUNTIF($A$7:$A$417,A421)</f>
        <v>24</v>
      </c>
    </row>
    <row r="422" spans="1:137" x14ac:dyDescent="0.25">
      <c r="A422" s="77" t="s">
        <v>1404</v>
      </c>
      <c r="B422" s="201"/>
      <c r="C422" s="201"/>
      <c r="D422" s="231">
        <f t="shared" ref="D422:D429" si="9">COUNTIF($A$7:$A$417,A422)</f>
        <v>94</v>
      </c>
    </row>
    <row r="423" spans="1:137" x14ac:dyDescent="0.25">
      <c r="A423" s="77" t="s">
        <v>1855</v>
      </c>
      <c r="B423" s="201"/>
      <c r="C423" s="201"/>
      <c r="D423" s="231">
        <f t="shared" si="9"/>
        <v>89</v>
      </c>
    </row>
    <row r="424" spans="1:137" x14ac:dyDescent="0.25">
      <c r="A424" s="78" t="s">
        <v>1856</v>
      </c>
      <c r="B424" s="202"/>
      <c r="C424" s="202"/>
      <c r="D424" s="231">
        <f t="shared" si="9"/>
        <v>45</v>
      </c>
    </row>
    <row r="425" spans="1:137" x14ac:dyDescent="0.25">
      <c r="A425" s="78" t="s">
        <v>1378</v>
      </c>
      <c r="B425" s="202"/>
      <c r="C425" s="202"/>
      <c r="D425" s="231">
        <f t="shared" si="9"/>
        <v>63</v>
      </c>
    </row>
    <row r="426" spans="1:137" x14ac:dyDescent="0.25">
      <c r="A426" s="78" t="s">
        <v>1442</v>
      </c>
      <c r="B426" s="202"/>
      <c r="C426" s="202"/>
      <c r="D426" s="231">
        <f t="shared" si="9"/>
        <v>28</v>
      </c>
    </row>
    <row r="427" spans="1:137" x14ac:dyDescent="0.25">
      <c r="A427" s="78" t="s">
        <v>1508</v>
      </c>
      <c r="B427" s="202"/>
      <c r="C427" s="202"/>
      <c r="D427" s="231">
        <f t="shared" si="9"/>
        <v>12</v>
      </c>
    </row>
    <row r="428" spans="1:137" x14ac:dyDescent="0.25">
      <c r="A428" s="78" t="s">
        <v>1572</v>
      </c>
      <c r="B428" s="202"/>
      <c r="C428" s="202"/>
      <c r="D428" s="231">
        <f t="shared" si="9"/>
        <v>5</v>
      </c>
    </row>
    <row r="429" spans="1:137" x14ac:dyDescent="0.25">
      <c r="A429" s="79" t="s">
        <v>1857</v>
      </c>
      <c r="B429" s="203"/>
      <c r="C429" s="203"/>
      <c r="D429" s="231">
        <f t="shared" si="9"/>
        <v>51</v>
      </c>
    </row>
    <row r="430" spans="1:137" x14ac:dyDescent="0.25">
      <c r="A430" s="82"/>
      <c r="B430" s="204"/>
      <c r="C430" s="204"/>
      <c r="D430" s="83"/>
    </row>
    <row r="431" spans="1:137" x14ac:dyDescent="0.25">
      <c r="A431" s="78" t="s">
        <v>1858</v>
      </c>
      <c r="B431" s="202"/>
      <c r="C431" s="202"/>
      <c r="D431" s="231">
        <f>+D421</f>
        <v>24</v>
      </c>
    </row>
    <row r="432" spans="1:137" x14ac:dyDescent="0.25">
      <c r="A432" s="78" t="s">
        <v>1859</v>
      </c>
      <c r="B432" s="202"/>
      <c r="C432" s="202"/>
      <c r="D432" s="231">
        <f>+D422+D423+D424+D429</f>
        <v>279</v>
      </c>
    </row>
    <row r="433" spans="1:4" x14ac:dyDescent="0.25">
      <c r="A433" s="78" t="s">
        <v>1860</v>
      </c>
      <c r="B433" s="202"/>
      <c r="C433" s="202"/>
      <c r="D433" s="231">
        <f>+D425+D428</f>
        <v>68</v>
      </c>
    </row>
    <row r="434" spans="1:4" x14ac:dyDescent="0.25">
      <c r="A434" s="78" t="s">
        <v>1861</v>
      </c>
      <c r="B434" s="202"/>
      <c r="C434" s="202"/>
      <c r="D434" s="231">
        <f>+D426+D427</f>
        <v>40</v>
      </c>
    </row>
    <row r="435" spans="1:4" ht="15.75" thickBot="1" x14ac:dyDescent="0.3">
      <c r="A435" s="81" t="s">
        <v>1662</v>
      </c>
      <c r="B435" s="205"/>
      <c r="C435" s="205"/>
      <c r="D435" s="142">
        <f>SUM(D431:D434)</f>
        <v>411</v>
      </c>
    </row>
    <row r="437" spans="1:4" ht="15.75" thickBot="1" x14ac:dyDescent="0.3">
      <c r="B437" s="256" t="s">
        <v>1717</v>
      </c>
      <c r="C437" s="256"/>
      <c r="D437" s="256"/>
    </row>
    <row r="438" spans="1:4" x14ac:dyDescent="0.25">
      <c r="B438" s="215" t="s">
        <v>1404</v>
      </c>
      <c r="C438" s="221" t="s">
        <v>2764</v>
      </c>
      <c r="D438" s="100">
        <f>COUNTIF($C$7:$C$417,C438)</f>
        <v>7</v>
      </c>
    </row>
    <row r="439" spans="1:4" x14ac:dyDescent="0.25">
      <c r="B439" s="77" t="s">
        <v>1404</v>
      </c>
      <c r="C439" s="216" t="s">
        <v>2765</v>
      </c>
      <c r="D439" s="101">
        <f t="shared" ref="D439:D464" si="10">COUNTIF($C$7:$C$417,C439)</f>
        <v>9</v>
      </c>
    </row>
    <row r="440" spans="1:4" x14ac:dyDescent="0.25">
      <c r="B440" s="77" t="s">
        <v>1404</v>
      </c>
      <c r="C440" s="219" t="s">
        <v>2767</v>
      </c>
      <c r="D440" s="101">
        <f t="shared" si="10"/>
        <v>78</v>
      </c>
    </row>
    <row r="441" spans="1:4" x14ac:dyDescent="0.25">
      <c r="B441" s="78" t="s">
        <v>1856</v>
      </c>
      <c r="C441" s="216" t="s">
        <v>2752</v>
      </c>
      <c r="D441" s="101">
        <f t="shared" si="10"/>
        <v>45</v>
      </c>
    </row>
    <row r="442" spans="1:4" x14ac:dyDescent="0.25">
      <c r="B442" s="77" t="s">
        <v>1855</v>
      </c>
      <c r="C442" s="218" t="s">
        <v>2751</v>
      </c>
      <c r="D442" s="101">
        <f t="shared" si="10"/>
        <v>7</v>
      </c>
    </row>
    <row r="443" spans="1:4" x14ac:dyDescent="0.25">
      <c r="B443" s="77" t="s">
        <v>1855</v>
      </c>
      <c r="C443" s="219" t="s">
        <v>2766</v>
      </c>
      <c r="D443" s="101">
        <f t="shared" si="10"/>
        <v>30</v>
      </c>
    </row>
    <row r="444" spans="1:4" x14ac:dyDescent="0.25">
      <c r="B444" s="77" t="s">
        <v>1855</v>
      </c>
      <c r="C444" s="219" t="s">
        <v>2748</v>
      </c>
      <c r="D444" s="101">
        <f t="shared" si="10"/>
        <v>16</v>
      </c>
    </row>
    <row r="445" spans="1:4" x14ac:dyDescent="0.25">
      <c r="B445" s="77" t="s">
        <v>1855</v>
      </c>
      <c r="C445" s="219" t="s">
        <v>2750</v>
      </c>
      <c r="D445" s="101">
        <f t="shared" si="10"/>
        <v>8</v>
      </c>
    </row>
    <row r="446" spans="1:4" x14ac:dyDescent="0.25">
      <c r="B446" s="77" t="s">
        <v>1855</v>
      </c>
      <c r="C446" s="218" t="s">
        <v>2749</v>
      </c>
      <c r="D446" s="101">
        <f t="shared" si="10"/>
        <v>7</v>
      </c>
    </row>
    <row r="447" spans="1:4" x14ac:dyDescent="0.25">
      <c r="B447" s="77" t="s">
        <v>1855</v>
      </c>
      <c r="C447" s="219" t="s">
        <v>2744</v>
      </c>
      <c r="D447" s="101">
        <f t="shared" si="10"/>
        <v>3</v>
      </c>
    </row>
    <row r="448" spans="1:4" x14ac:dyDescent="0.25">
      <c r="B448" s="77" t="s">
        <v>1855</v>
      </c>
      <c r="C448" s="218" t="s">
        <v>2746</v>
      </c>
      <c r="D448" s="101">
        <f t="shared" si="10"/>
        <v>5</v>
      </c>
    </row>
    <row r="449" spans="2:4" x14ac:dyDescent="0.25">
      <c r="B449" s="77" t="s">
        <v>1855</v>
      </c>
      <c r="C449" s="219" t="s">
        <v>2747</v>
      </c>
      <c r="D449" s="101">
        <f t="shared" si="10"/>
        <v>8</v>
      </c>
    </row>
    <row r="450" spans="2:4" x14ac:dyDescent="0.25">
      <c r="B450" s="77" t="s">
        <v>1855</v>
      </c>
      <c r="C450" s="219" t="s">
        <v>2768</v>
      </c>
      <c r="D450" s="101">
        <f t="shared" si="10"/>
        <v>1</v>
      </c>
    </row>
    <row r="451" spans="2:4" x14ac:dyDescent="0.25">
      <c r="B451" s="77" t="s">
        <v>1855</v>
      </c>
      <c r="C451" s="219" t="s">
        <v>2743</v>
      </c>
      <c r="D451" s="101">
        <f t="shared" si="10"/>
        <v>2</v>
      </c>
    </row>
    <row r="452" spans="2:4" x14ac:dyDescent="0.25">
      <c r="B452" s="77" t="s">
        <v>1855</v>
      </c>
      <c r="C452" s="218" t="s">
        <v>2745</v>
      </c>
      <c r="D452" s="101">
        <f t="shared" si="10"/>
        <v>2</v>
      </c>
    </row>
    <row r="453" spans="2:4" x14ac:dyDescent="0.25">
      <c r="B453" s="79" t="s">
        <v>1857</v>
      </c>
      <c r="C453" s="216" t="s">
        <v>2760</v>
      </c>
      <c r="D453" s="101">
        <f t="shared" si="10"/>
        <v>51</v>
      </c>
    </row>
    <row r="454" spans="2:4" x14ac:dyDescent="0.25">
      <c r="B454" s="78" t="s">
        <v>1442</v>
      </c>
      <c r="C454" s="216" t="s">
        <v>2753</v>
      </c>
      <c r="D454" s="101">
        <f t="shared" si="10"/>
        <v>15</v>
      </c>
    </row>
    <row r="455" spans="2:4" x14ac:dyDescent="0.25">
      <c r="B455" s="78" t="s">
        <v>1442</v>
      </c>
      <c r="C455" s="216" t="s">
        <v>2754</v>
      </c>
      <c r="D455" s="101">
        <f t="shared" si="10"/>
        <v>13</v>
      </c>
    </row>
    <row r="456" spans="2:4" x14ac:dyDescent="0.25">
      <c r="B456" s="78" t="s">
        <v>1508</v>
      </c>
      <c r="C456" s="216" t="s">
        <v>2759</v>
      </c>
      <c r="D456" s="101">
        <f t="shared" si="10"/>
        <v>6</v>
      </c>
    </row>
    <row r="457" spans="2:4" x14ac:dyDescent="0.25">
      <c r="B457" s="78" t="s">
        <v>1508</v>
      </c>
      <c r="C457" s="216" t="s">
        <v>2758</v>
      </c>
      <c r="D457" s="101">
        <f t="shared" si="10"/>
        <v>1</v>
      </c>
    </row>
    <row r="458" spans="2:4" x14ac:dyDescent="0.25">
      <c r="B458" s="78" t="s">
        <v>1508</v>
      </c>
      <c r="C458" s="216" t="s">
        <v>2755</v>
      </c>
      <c r="D458" s="101">
        <f t="shared" si="10"/>
        <v>2</v>
      </c>
    </row>
    <row r="459" spans="2:4" x14ac:dyDescent="0.25">
      <c r="B459" s="78" t="s">
        <v>1508</v>
      </c>
      <c r="C459" s="216" t="s">
        <v>2756</v>
      </c>
      <c r="D459" s="101">
        <f t="shared" si="10"/>
        <v>1</v>
      </c>
    </row>
    <row r="460" spans="2:4" x14ac:dyDescent="0.25">
      <c r="B460" s="78" t="s">
        <v>1508</v>
      </c>
      <c r="C460" s="216" t="s">
        <v>2757</v>
      </c>
      <c r="D460" s="101">
        <f t="shared" si="10"/>
        <v>2</v>
      </c>
    </row>
    <row r="461" spans="2:4" x14ac:dyDescent="0.25">
      <c r="B461" s="78" t="s">
        <v>1572</v>
      </c>
      <c r="C461" s="217" t="s">
        <v>2761</v>
      </c>
      <c r="D461" s="101">
        <f t="shared" si="10"/>
        <v>5</v>
      </c>
    </row>
    <row r="462" spans="2:4" x14ac:dyDescent="0.25">
      <c r="B462" s="78" t="s">
        <v>1378</v>
      </c>
      <c r="C462" s="216" t="s">
        <v>2762</v>
      </c>
      <c r="D462" s="101">
        <f t="shared" si="10"/>
        <v>46</v>
      </c>
    </row>
    <row r="463" spans="2:4" x14ac:dyDescent="0.25">
      <c r="B463" s="78" t="s">
        <v>1378</v>
      </c>
      <c r="C463" s="216" t="s">
        <v>2763</v>
      </c>
      <c r="D463" s="101">
        <f t="shared" si="10"/>
        <v>17</v>
      </c>
    </row>
    <row r="464" spans="2:4" ht="15.75" thickBot="1" x14ac:dyDescent="0.3">
      <c r="B464" s="220" t="s">
        <v>1854</v>
      </c>
      <c r="C464" s="222" t="s">
        <v>2742</v>
      </c>
      <c r="D464" s="106">
        <f t="shared" si="10"/>
        <v>24</v>
      </c>
    </row>
    <row r="465" spans="4:4" x14ac:dyDescent="0.25">
      <c r="D465" s="9">
        <f>SUM(D438:D464)</f>
        <v>411</v>
      </c>
    </row>
  </sheetData>
  <sortState ref="B438:D464">
    <sortCondition ref="B437:B463"/>
  </sortState>
  <mergeCells count="60">
    <mergeCell ref="A420:D420"/>
    <mergeCell ref="DQ2:DX2"/>
    <mergeCell ref="DY3:DZ3"/>
    <mergeCell ref="DY2:EE2"/>
    <mergeCell ref="DJ2:DP2"/>
    <mergeCell ref="DP3:DP4"/>
    <mergeCell ref="DO3:DO4"/>
    <mergeCell ref="DQ3:DR3"/>
    <mergeCell ref="ED3:ED4"/>
    <mergeCell ref="EA3:EC3"/>
    <mergeCell ref="EE3:EE4"/>
    <mergeCell ref="DW3:DW4"/>
    <mergeCell ref="DX3:DX4"/>
    <mergeCell ref="DS3:DV3"/>
    <mergeCell ref="DA3:DI3"/>
    <mergeCell ref="DA2:DI2"/>
    <mergeCell ref="DJ3:DK3"/>
    <mergeCell ref="DL3:DN3"/>
    <mergeCell ref="CI3:CM3"/>
    <mergeCell ref="CI2:CM2"/>
    <mergeCell ref="CN3:CS3"/>
    <mergeCell ref="CN2:CS2"/>
    <mergeCell ref="CT3:CZ3"/>
    <mergeCell ref="CT2:CZ2"/>
    <mergeCell ref="BP3:BQ3"/>
    <mergeCell ref="BR3:BX3"/>
    <mergeCell ref="BP2:BQ2"/>
    <mergeCell ref="BR2:BX2"/>
    <mergeCell ref="BY3:CH3"/>
    <mergeCell ref="BY2:CH2"/>
    <mergeCell ref="BB3:BC3"/>
    <mergeCell ref="BB2:BC2"/>
    <mergeCell ref="BD3:BM3"/>
    <mergeCell ref="BD2:BM2"/>
    <mergeCell ref="BN3:BO3"/>
    <mergeCell ref="BN2:BO2"/>
    <mergeCell ref="AX3:BA3"/>
    <mergeCell ref="AT2:BA2"/>
    <mergeCell ref="O3:AA3"/>
    <mergeCell ref="O2:AA2"/>
    <mergeCell ref="AB3:AK3"/>
    <mergeCell ref="AB2:AK2"/>
    <mergeCell ref="AL3:AQ3"/>
    <mergeCell ref="AL2:AQ2"/>
    <mergeCell ref="B437:D437"/>
    <mergeCell ref="U4:AA4"/>
    <mergeCell ref="AR3:AS3"/>
    <mergeCell ref="AR2:AS2"/>
    <mergeCell ref="AT3:AW3"/>
    <mergeCell ref="N3:N4"/>
    <mergeCell ref="D2:D4"/>
    <mergeCell ref="G2:H2"/>
    <mergeCell ref="G3:G4"/>
    <mergeCell ref="H3:H4"/>
    <mergeCell ref="I3:I4"/>
    <mergeCell ref="J3:J4"/>
    <mergeCell ref="M3:M4"/>
    <mergeCell ref="E2:F2"/>
    <mergeCell ref="E3:E4"/>
    <mergeCell ref="F3:F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"/>
  <sheetViews>
    <sheetView zoomScale="80" zoomScaleNormal="80" workbookViewId="0"/>
  </sheetViews>
  <sheetFormatPr baseColWidth="10" defaultColWidth="11.42578125" defaultRowHeight="15" x14ac:dyDescent="0.25"/>
  <cols>
    <col min="1" max="16384" width="11.42578125" style="17"/>
  </cols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DU109"/>
  <sheetViews>
    <sheetView workbookViewId="0"/>
  </sheetViews>
  <sheetFormatPr baseColWidth="10" defaultColWidth="11.42578125" defaultRowHeight="15" x14ac:dyDescent="0.25"/>
  <cols>
    <col min="1" max="1" width="23.85546875" style="112" customWidth="1"/>
    <col min="2" max="2" width="13" style="249" customWidth="1"/>
    <col min="3" max="5" width="12.42578125" style="249" customWidth="1"/>
    <col min="6" max="9" width="11.42578125" style="249"/>
    <col min="10" max="10" width="25.140625" style="249" customWidth="1"/>
    <col min="11" max="11" width="14.85546875" style="249" customWidth="1"/>
    <col min="12" max="21" width="11.42578125" style="249"/>
    <col min="22" max="22" width="25.5703125" style="249" customWidth="1"/>
    <col min="23" max="33" width="11.42578125" style="249"/>
    <col min="34" max="34" width="24.5703125" style="249" customWidth="1"/>
    <col min="35" max="37" width="11.42578125" style="249"/>
    <col min="38" max="38" width="13.42578125" style="249" customWidth="1"/>
    <col min="39" max="46" width="11.42578125" style="249"/>
    <col min="47" max="47" width="25.28515625" style="249" customWidth="1"/>
    <col min="48" max="50" width="11.42578125" style="249"/>
    <col min="51" max="51" width="28.85546875" style="249" customWidth="1"/>
    <col min="52" max="52" width="13.28515625" style="249" customWidth="1"/>
    <col min="53" max="53" width="11.42578125" style="249"/>
    <col min="54" max="54" width="15.28515625" style="249" customWidth="1"/>
    <col min="55" max="55" width="14" style="249" customWidth="1"/>
    <col min="56" max="59" width="11.42578125" style="249"/>
    <col min="60" max="60" width="23" style="249" customWidth="1"/>
    <col min="61" max="68" width="11.42578125" style="249"/>
    <col min="69" max="69" width="25.42578125" style="249" customWidth="1"/>
    <col min="70" max="70" width="20.28515625" style="249" customWidth="1"/>
    <col min="71" max="78" width="11.42578125" style="249"/>
    <col min="79" max="79" width="23.85546875" style="249" customWidth="1"/>
    <col min="80" max="87" width="11.42578125" style="249"/>
    <col min="88" max="88" width="32" style="249" customWidth="1"/>
    <col min="89" max="96" width="11.42578125" style="249"/>
    <col min="97" max="97" width="17.42578125" style="112" customWidth="1"/>
    <col min="98" max="103" width="11.42578125" style="249"/>
    <col min="104" max="104" width="21.140625" style="249" customWidth="1"/>
    <col min="105" max="116" width="11.42578125" style="249"/>
    <col min="117" max="117" width="14.85546875" style="249" customWidth="1"/>
    <col min="118" max="16384" width="11.42578125" style="249"/>
  </cols>
  <sheetData>
    <row r="1" spans="1:125" x14ac:dyDescent="0.25">
      <c r="N1" s="373" t="s">
        <v>1717</v>
      </c>
      <c r="O1" s="373"/>
      <c r="P1" s="373"/>
      <c r="Q1" s="373" t="s">
        <v>1718</v>
      </c>
      <c r="R1" s="373"/>
      <c r="S1" s="373"/>
      <c r="T1" s="11"/>
      <c r="Z1" s="373" t="s">
        <v>1717</v>
      </c>
      <c r="AA1" s="373"/>
      <c r="AB1" s="373"/>
      <c r="AC1" s="373" t="s">
        <v>1718</v>
      </c>
      <c r="AD1" s="373"/>
      <c r="AE1" s="373"/>
      <c r="DD1" s="373" t="s">
        <v>1717</v>
      </c>
      <c r="DE1" s="373"/>
      <c r="DF1" s="373"/>
      <c r="DG1" s="373" t="s">
        <v>1718</v>
      </c>
      <c r="DH1" s="373"/>
      <c r="DI1" s="373"/>
      <c r="DM1" s="249" t="s">
        <v>2494</v>
      </c>
    </row>
    <row r="2" spans="1:125" x14ac:dyDescent="0.25">
      <c r="A2" s="112" t="s">
        <v>2422</v>
      </c>
      <c r="B2" s="249" t="s">
        <v>718</v>
      </c>
      <c r="C2" s="249" t="s">
        <v>717</v>
      </c>
      <c r="J2" s="17" t="s">
        <v>2441</v>
      </c>
      <c r="K2" s="250" t="s">
        <v>2435</v>
      </c>
      <c r="L2" s="250" t="s">
        <v>2436</v>
      </c>
      <c r="M2" s="17" t="s">
        <v>714</v>
      </c>
      <c r="N2" s="250" t="s">
        <v>2433</v>
      </c>
      <c r="O2" s="250" t="s">
        <v>2434</v>
      </c>
      <c r="P2" s="17" t="s">
        <v>714</v>
      </c>
      <c r="Q2" s="250" t="s">
        <v>2433</v>
      </c>
      <c r="R2" s="250" t="s">
        <v>2434</v>
      </c>
      <c r="S2" s="17" t="s">
        <v>714</v>
      </c>
      <c r="V2" s="112" t="s">
        <v>2445</v>
      </c>
      <c r="W2" s="250" t="s">
        <v>2435</v>
      </c>
      <c r="X2" s="250" t="s">
        <v>2436</v>
      </c>
      <c r="Y2" s="17" t="s">
        <v>714</v>
      </c>
      <c r="Z2" s="250" t="s">
        <v>2433</v>
      </c>
      <c r="AA2" s="250" t="s">
        <v>2434</v>
      </c>
      <c r="AB2" s="17" t="s">
        <v>714</v>
      </c>
      <c r="AC2" s="250" t="s">
        <v>2433</v>
      </c>
      <c r="AD2" s="250" t="s">
        <v>2434</v>
      </c>
      <c r="AE2" s="17" t="s">
        <v>714</v>
      </c>
      <c r="AH2" s="11" t="s">
        <v>865</v>
      </c>
      <c r="AI2" s="250" t="s">
        <v>2435</v>
      </c>
      <c r="AJ2" s="250" t="s">
        <v>2436</v>
      </c>
      <c r="AK2" s="17" t="s">
        <v>714</v>
      </c>
      <c r="AL2" s="250" t="s">
        <v>2433</v>
      </c>
      <c r="AM2" s="250" t="s">
        <v>2434</v>
      </c>
      <c r="AN2" s="17" t="s">
        <v>714</v>
      </c>
      <c r="AT2" s="17"/>
      <c r="AU2" s="17"/>
      <c r="AV2" s="249" t="s">
        <v>1676</v>
      </c>
      <c r="AW2" s="17"/>
      <c r="BQ2" s="11"/>
      <c r="BR2" s="249" t="s">
        <v>718</v>
      </c>
      <c r="BS2" s="11"/>
      <c r="CA2" s="11" t="s">
        <v>922</v>
      </c>
      <c r="CB2" s="250" t="s">
        <v>2435</v>
      </c>
      <c r="CC2" s="250" t="s">
        <v>2436</v>
      </c>
      <c r="CD2" s="250" t="s">
        <v>714</v>
      </c>
      <c r="CE2" s="250" t="s">
        <v>2433</v>
      </c>
      <c r="CF2" s="250" t="s">
        <v>2434</v>
      </c>
      <c r="CG2" s="250" t="s">
        <v>714</v>
      </c>
      <c r="CJ2" s="11" t="s">
        <v>2475</v>
      </c>
      <c r="CK2" s="250" t="s">
        <v>2435</v>
      </c>
      <c r="CL2" s="250" t="s">
        <v>2436</v>
      </c>
      <c r="CM2" s="250" t="s">
        <v>714</v>
      </c>
      <c r="CN2" s="250" t="s">
        <v>2433</v>
      </c>
      <c r="CO2" s="250" t="s">
        <v>2434</v>
      </c>
      <c r="CP2" s="250" t="s">
        <v>714</v>
      </c>
      <c r="CS2" s="112" t="s">
        <v>2486</v>
      </c>
      <c r="CX2" s="112"/>
      <c r="CY2" s="112"/>
      <c r="CZ2" s="17" t="s">
        <v>2441</v>
      </c>
      <c r="DA2" s="250" t="s">
        <v>2435</v>
      </c>
      <c r="DB2" s="250" t="s">
        <v>2436</v>
      </c>
      <c r="DC2" s="17" t="s">
        <v>714</v>
      </c>
      <c r="DD2" s="250" t="s">
        <v>2433</v>
      </c>
      <c r="DE2" s="250" t="s">
        <v>2434</v>
      </c>
      <c r="DF2" s="17" t="s">
        <v>714</v>
      </c>
      <c r="DG2" s="250" t="s">
        <v>2433</v>
      </c>
      <c r="DH2" s="250" t="s">
        <v>2434</v>
      </c>
      <c r="DI2" s="17" t="s">
        <v>714</v>
      </c>
    </row>
    <row r="3" spans="1:125" x14ac:dyDescent="0.25">
      <c r="A3" s="112" t="s">
        <v>814</v>
      </c>
      <c r="B3" s="6">
        <f>C3/$C$6</f>
        <v>0.49148418491484186</v>
      </c>
      <c r="C3" s="249">
        <f>COUNTIF('DATOS 1'!$L$51:$L$427,1)</f>
        <v>202</v>
      </c>
      <c r="J3" s="123" t="s">
        <v>19</v>
      </c>
      <c r="K3" s="6">
        <f>(+N3+Q3)/N$13</f>
        <v>0.21551724137931033</v>
      </c>
      <c r="L3" s="6">
        <f t="shared" ref="L3:L11" si="0">(+O3+R3)/O$13</f>
        <v>0.14367816091954022</v>
      </c>
      <c r="M3" s="6">
        <f t="shared" ref="M3:M11" si="1">(+P3+S3)/P$13</f>
        <v>7.7821011673151752E-2</v>
      </c>
      <c r="N3" s="249">
        <f>COUNTIFS('DATOS 1'!$L$51:$L$427,1,'DATOS 1'!$Z$51:$Z$427,"X")</f>
        <v>78</v>
      </c>
      <c r="O3" s="249">
        <f>COUNTIFS('DATOS 1'!$L$51:$L$427,"&lt;6",'DATOS 1'!$Z$51:$Z$427,"X")-N3</f>
        <v>54</v>
      </c>
      <c r="P3" s="249">
        <f>COUNTIFS('DATOS 1'!$L$7:$L$40,"&lt;31",'DATOS 1'!$Z$7:$Z$40,"X")</f>
        <v>8</v>
      </c>
      <c r="Q3" s="249">
        <f>COUNTIFS('[1]ENCUESTA CONDUCTORES'!$E$7:$E$459,"X",'[1]ENCUESTA CONDUCTORES'!$BJ$7:$BJ$459,"X")</f>
        <v>22</v>
      </c>
      <c r="R3" s="249">
        <f>COUNTIFS('[1]ENCUESTA CONDUCTORES'!$F$7:$F$459,"X",'[1]ENCUESTA CONDUCTORES'!$BJ$7:$BJ$459,"X")+COUNTIFS('[1]ENCUESTA CONDUCTORES'!$G$7:$G$459,"X",'[1]ENCUESTA CONDUCTORES'!$BJ$7:$BJ$459,"X")</f>
        <v>46</v>
      </c>
      <c r="S3" s="249">
        <f>COUNTIFS('[1]ENCUESTA CONDUCTORES'!$H$7:$H$459,"X",'[1]ENCUESTA CONDUCTORES'!$BJ$7:$BJ$459,"X")</f>
        <v>12</v>
      </c>
      <c r="V3" s="149">
        <v>0.5</v>
      </c>
      <c r="W3" s="6">
        <f>(Z3+AC3)/(Z$8+AC$8)</f>
        <v>0.45588235294117646</v>
      </c>
      <c r="X3" s="6">
        <f t="shared" ref="X3:X6" si="2">(AA3+AD3)/(AA$8+AD$8)</f>
        <v>0.63648648648648654</v>
      </c>
      <c r="Y3" s="6">
        <f t="shared" ref="Y3:Y5" si="3">(AB3+AE3)/(AB$8+AE$8)</f>
        <v>0.64532019704433496</v>
      </c>
      <c r="Z3" s="249">
        <f>COUNTIFS('DETALLES UNIDADES'!$BA$8:$BA$987,1,'DETALLES UNIDADES'!$O$8:$O$987,"50%")</f>
        <v>95</v>
      </c>
      <c r="AA3" s="249">
        <f>COUNTIFS('DETALLES UNIDADES'!$BA$8:$BA$987,"&lt;6",'DETALLES UNIDADES'!$O$8:$O$987,"50%")-Z3</f>
        <v>295</v>
      </c>
      <c r="AB3" s="249">
        <f>COUNTIFS('DETALLES UNIDADES'!$BA$8:$BA$987,"&gt;5",'DETALLES UNIDADES'!$O$8:$O$987,"50%")</f>
        <v>196</v>
      </c>
      <c r="AC3" s="249">
        <f>COUNTIFS('[1]ENCUESTA CONDUCTORES'!$E$7:$E$459,"X",'[1]ENCUESTA CONDUCTORES'!$AV$7:$AV$459,"50%")</f>
        <v>29</v>
      </c>
      <c r="AD3" s="249">
        <f>COUNTIFS('[1]ENCUESTA CONDUCTORES'!$F$7:$F$459,"X",'[1]ENCUESTA CONDUCTORES'!$AV$7:$AV$459,"50%")+COUNTIFS('[1]ENCUESTA CONDUCTORES'!$G$7:$G$459,"X",'[1]ENCUESTA CONDUCTORES'!$AV$7:$AV$459,"50%")</f>
        <v>176</v>
      </c>
      <c r="AE3" s="249">
        <f>COUNTIFS('[1]ENCUESTA CONDUCTORES'!$H$7:$H$459,"X",'[1]ENCUESTA CONDUCTORES'!$AV$7:$AV$459,"50%")</f>
        <v>66</v>
      </c>
      <c r="AH3" s="150" t="s">
        <v>50</v>
      </c>
      <c r="AI3" s="6">
        <f>AL3/AL$8</f>
        <v>0.48207171314741037</v>
      </c>
      <c r="AJ3" s="6">
        <f t="shared" ref="AJ3:AJ8" si="4">AM3/AM$8</f>
        <v>0.31365313653136534</v>
      </c>
      <c r="AK3" s="6">
        <f t="shared" ref="AK3:AK8" si="5">AN3/AN$8</f>
        <v>0.22033898305084745</v>
      </c>
      <c r="AL3" s="249">
        <f>COUNTIFS('DATOS 1'!$L$51:$L$427,1,'DATOS 1'!$BB$51:$BB$427,"X")</f>
        <v>121</v>
      </c>
      <c r="AM3" s="249">
        <f>COUNTIFS('DATOS 1'!$L$51:$L$427,"&lt;6",'DATOS 1'!$BB$51:$BB$427,"X")-AL3</f>
        <v>85</v>
      </c>
      <c r="AN3" s="249">
        <f>COUNTIF('DATOS 1'!$BB$7:$BB$40,"X")</f>
        <v>13</v>
      </c>
      <c r="AT3" s="112"/>
      <c r="AU3" s="112" t="s">
        <v>2459</v>
      </c>
      <c r="AV3" s="249" t="s">
        <v>2435</v>
      </c>
      <c r="AW3" s="249" t="s">
        <v>717</v>
      </c>
      <c r="AY3" s="11" t="s">
        <v>945</v>
      </c>
      <c r="AZ3" s="250" t="s">
        <v>2435</v>
      </c>
      <c r="BA3" s="250" t="s">
        <v>2436</v>
      </c>
      <c r="BB3" s="250" t="s">
        <v>714</v>
      </c>
      <c r="BC3" s="250" t="s">
        <v>2433</v>
      </c>
      <c r="BD3" s="250" t="s">
        <v>2434</v>
      </c>
      <c r="BE3" s="250" t="s">
        <v>714</v>
      </c>
      <c r="BH3" s="11" t="s">
        <v>1679</v>
      </c>
      <c r="BI3" s="250" t="s">
        <v>2435</v>
      </c>
      <c r="BJ3" s="250" t="s">
        <v>2436</v>
      </c>
      <c r="BK3" s="250" t="s">
        <v>714</v>
      </c>
      <c r="BL3" s="250" t="s">
        <v>2433</v>
      </c>
      <c r="BM3" s="250" t="s">
        <v>2434</v>
      </c>
      <c r="BN3" s="250" t="s">
        <v>714</v>
      </c>
      <c r="BQ3" s="11" t="s">
        <v>2404</v>
      </c>
      <c r="BR3" s="250" t="s">
        <v>2435</v>
      </c>
      <c r="BS3" s="250" t="s">
        <v>2436</v>
      </c>
      <c r="BT3" s="250" t="s">
        <v>714</v>
      </c>
      <c r="BU3" s="250" t="s">
        <v>2433</v>
      </c>
      <c r="BV3" s="250" t="s">
        <v>2434</v>
      </c>
      <c r="BW3" s="250" t="s">
        <v>714</v>
      </c>
      <c r="CA3" s="11" t="s">
        <v>49</v>
      </c>
      <c r="CB3" s="6">
        <f>+CE3/CE$5</f>
        <v>0.24752475247524752</v>
      </c>
      <c r="CC3" s="6">
        <f t="shared" ref="CC3:CC5" si="6">+CF3/CF$5</f>
        <v>0.39428571428571429</v>
      </c>
      <c r="CD3" s="6">
        <f t="shared" ref="CD3:CD5" si="7">+CG3/CG$5</f>
        <v>0.82352941176470584</v>
      </c>
      <c r="CE3" s="249">
        <f>COUNTIFS('ENCUESTA PROPIETARIOS'!$N$7:$N$417,1,'ENCUESTA PROPIETARIOS'!$DR$7:$DR$417,"X")</f>
        <v>50</v>
      </c>
      <c r="CF3" s="249">
        <f>COUNTIFS('ENCUESTA PROPIETARIOS'!$N$7:$N$417,"&lt;6",'ENCUESTA PROPIETARIOS'!$DR$7:$DR$417,"X")-CE3</f>
        <v>69</v>
      </c>
      <c r="CG3" s="249">
        <f>COUNTIFS('ENCUESTA PROPIETARIOS'!$N$7:$N$417,"&gt;5",'ENCUESTA PROPIETARIOS'!$DR$7:$DR$417,"X")</f>
        <v>28</v>
      </c>
      <c r="CJ3" s="11" t="s">
        <v>49</v>
      </c>
      <c r="CK3" s="6">
        <f>+CN3/CN$5</f>
        <v>6.4356435643564358E-2</v>
      </c>
      <c r="CL3" s="6">
        <f t="shared" ref="CL3:CL5" si="8">+CO3/CO$5</f>
        <v>0.22285714285714286</v>
      </c>
      <c r="CM3" s="6">
        <f t="shared" ref="CM3:CM5" si="9">+CP3/CP$5</f>
        <v>0.26470588235294118</v>
      </c>
      <c r="CN3" s="249">
        <f>COUNTIFS('ENCUESTA PROPIETARIOS'!$N$7:$N$417,1,'ENCUESTA PROPIETARIOS'!$DK$7:$DK$417,"X")</f>
        <v>13</v>
      </c>
      <c r="CO3" s="249">
        <f>COUNTIFS('ENCUESTA PROPIETARIOS'!$N$7:$N$417,"&lt;6",'ENCUESTA PROPIETARIOS'!$DK$7:$DK$417,"X")-CN3</f>
        <v>39</v>
      </c>
      <c r="CP3" s="249">
        <f>COUNTIFS('ENCUESTA PROPIETARIOS'!$N$7:$N$417,"&gt;5",'ENCUESTA PROPIETARIOS'!$DK$7:$DK$417,"X")</f>
        <v>9</v>
      </c>
      <c r="CT3" s="249" t="s">
        <v>2482</v>
      </c>
      <c r="CU3" s="249" t="s">
        <v>2483</v>
      </c>
      <c r="CV3" s="249" t="s">
        <v>2484</v>
      </c>
      <c r="CW3" s="249" t="s">
        <v>2485</v>
      </c>
      <c r="CX3" s="112"/>
      <c r="CY3" s="112"/>
      <c r="CZ3" s="123" t="s">
        <v>19</v>
      </c>
      <c r="DA3" s="6">
        <f>(+DD3+DG3)/DD$13</f>
        <v>0.21551724137931033</v>
      </c>
      <c r="DB3" s="6">
        <f t="shared" ref="DB3:DB11" si="10">(+DE3+DH3)/DE$13</f>
        <v>0.14367816091954022</v>
      </c>
      <c r="DC3" s="6">
        <f t="shared" ref="DC3:DC11" si="11">(+DF3+DI3)/DF$13</f>
        <v>7.7821011673151752E-2</v>
      </c>
      <c r="DD3" s="249">
        <f>COUNTIFS('DATOS 1'!$L$51:$L$427,1,'DATOS 1'!$Z$51:$Z$427,"X")</f>
        <v>78</v>
      </c>
      <c r="DE3" s="249">
        <f>COUNTIFS('DATOS 1'!$L$51:$L$427,"&lt;6",'DATOS 1'!$Z$51:$Z$427,"X")-DD3</f>
        <v>54</v>
      </c>
      <c r="DF3" s="249">
        <f>COUNTIFS('DATOS 1'!$L$7:$L$40,"&lt;31",'DATOS 1'!$Z$7:$Z$40,"X")</f>
        <v>8</v>
      </c>
      <c r="DG3" s="249">
        <f>COUNTIFS('[1]ENCUESTA CONDUCTORES'!$E$7:$E$459,"X",'[1]ENCUESTA CONDUCTORES'!$BJ$7:$BJ$459,"X")</f>
        <v>22</v>
      </c>
      <c r="DH3" s="249">
        <f>COUNTIFS('[1]ENCUESTA CONDUCTORES'!$F$7:$F$459,"X",'[1]ENCUESTA CONDUCTORES'!$BJ$7:$BJ$459,"X")+COUNTIFS('[1]ENCUESTA CONDUCTORES'!$G$7:$G$459,"X",'[1]ENCUESTA CONDUCTORES'!$BJ$7:$BJ$459,"X")</f>
        <v>46</v>
      </c>
      <c r="DI3" s="249">
        <f>COUNTIFS('[1]ENCUESTA CONDUCTORES'!$H$7:$H$459,"X",'[1]ENCUESTA CONDUCTORES'!$BJ$7:$BJ$459,"X")</f>
        <v>12</v>
      </c>
      <c r="DM3" s="112" t="s">
        <v>959</v>
      </c>
      <c r="DN3" s="249" t="s">
        <v>814</v>
      </c>
      <c r="DO3" s="249" t="s">
        <v>2495</v>
      </c>
      <c r="DP3" s="249" t="s">
        <v>1781</v>
      </c>
      <c r="DR3" s="249" t="s">
        <v>814</v>
      </c>
      <c r="DS3" s="249" t="s">
        <v>2495</v>
      </c>
      <c r="DT3" s="249" t="s">
        <v>1781</v>
      </c>
    </row>
    <row r="4" spans="1:125" ht="25.5" x14ac:dyDescent="0.25">
      <c r="A4" s="112" t="s">
        <v>2421</v>
      </c>
      <c r="B4" s="6">
        <f t="shared" ref="B4:B6" si="12">C4/$C$6</f>
        <v>0.42579075425790752</v>
      </c>
      <c r="C4" s="249">
        <f>COUNTIF('DATOS 1'!$L$51:$L$427,"&lt;6")-C3</f>
        <v>175</v>
      </c>
      <c r="J4" s="123" t="s">
        <v>20</v>
      </c>
      <c r="K4" s="6">
        <f t="shared" ref="K4:K11" si="13">(+N4+Q4)/N$13</f>
        <v>0.15301724137931033</v>
      </c>
      <c r="L4" s="6">
        <f t="shared" si="0"/>
        <v>9.7701149425287362E-2</v>
      </c>
      <c r="M4" s="6">
        <f t="shared" si="1"/>
        <v>8.9494163424124515E-2</v>
      </c>
      <c r="N4" s="249">
        <f>COUNTIFS('DATOS 1'!$L$51:$L$427,1,'DATOS 1'!$AA$51:$AA$427,"X")</f>
        <v>49</v>
      </c>
      <c r="O4" s="249">
        <f>COUNTIFS('DATOS 1'!$L$51:$L$427,"&lt;6",'DATOS 1'!$AA$51:$AA$427,"X")-N4</f>
        <v>34</v>
      </c>
      <c r="P4" s="249">
        <f>COUNTIFS('DATOS 1'!$L$7:$L$40,"&lt;31",'DATOS 1'!$AA$7:$AA$40,"X")</f>
        <v>7</v>
      </c>
      <c r="Q4" s="249">
        <f>COUNTIFS('[1]ENCUESTA CONDUCTORES'!$E$7:$E$459,"X",'[1]ENCUESTA CONDUCTORES'!$BK$7:$BK$459,"X")</f>
        <v>22</v>
      </c>
      <c r="R4" s="249">
        <f>COUNTIFS('[1]ENCUESTA CONDUCTORES'!$F$7:$F$459,"X",'[1]ENCUESTA CONDUCTORES'!$BK$7:$BK$459,"X")+COUNTIFS('[1]ENCUESTA CONDUCTORES'!$G$7:$G$459,"X",'[1]ENCUESTA CONDUCTORES'!$BK$7:$BK$459,"X")</f>
        <v>34</v>
      </c>
      <c r="S4" s="249">
        <f>COUNTIFS('[1]ENCUESTA CONDUCTORES'!$H$7:$H$459,"X",'[1]ENCUESTA CONDUCTORES'!$BK$7:$BK$459,"X")</f>
        <v>16</v>
      </c>
      <c r="V4" s="249" t="s">
        <v>2416</v>
      </c>
      <c r="W4" s="6">
        <f t="shared" ref="W4:W7" si="14">(Z4+AC4)/(Z$8+AC$8)</f>
        <v>0.10661764705882353</v>
      </c>
      <c r="X4" s="6">
        <f t="shared" si="2"/>
        <v>0.12567567567567567</v>
      </c>
      <c r="Y4" s="6">
        <f t="shared" si="3"/>
        <v>0.11576354679802955</v>
      </c>
      <c r="Z4" s="249">
        <f>COUNTIFS('DETALLES UNIDADES'!$BA$8:$BA$987,1,'DETALLES UNIDADES'!$O$8:$O$987,"&lt;50%")-Z5-Z6-Z7</f>
        <v>25</v>
      </c>
      <c r="AA4" s="249">
        <f>COUNTIFS('DETALLES UNIDADES'!$BA$8:$BA$987,"&lt;6",'DETALLES UNIDADES'!$O$8:$O$987,"&lt;50%")-AA5-AA6-AA7-Z7-Z6-Z5-Z4</f>
        <v>74</v>
      </c>
      <c r="AB4" s="249">
        <f>COUNTIFS('DETALLES UNIDADES'!$BA$8:$BA$987,"&gt;5",'DETALLES UNIDADES'!$O$8:$O$987,"&lt;50%")-AB5-AB6-AB7</f>
        <v>34</v>
      </c>
      <c r="AC4" s="249">
        <f>COUNTIFS('[1]ENCUESTA CONDUCTORES'!$E$7:$E$459,"X",'[1]ENCUESTA CONDUCTORES'!$AV$7:$AV$459,"&lt;50%")-AC5-AC6-AC7</f>
        <v>4</v>
      </c>
      <c r="AD4" s="249">
        <f>COUNTIFS('[1]ENCUESTA CONDUCTORES'!$F$7:$F$459,"X",'[1]ENCUESTA CONDUCTORES'!$AV$7:$AV$459,"&lt;50%")+COUNTIFS('[1]ENCUESTA CONDUCTORES'!$G$7:$G$459,"X",'[1]ENCUESTA CONDUCTORES'!$AV$7:$AV$459,"&lt;50%")-AD5-AD6-AD7</f>
        <v>19</v>
      </c>
      <c r="AE4" s="249">
        <f>COUNTIFS('[1]ENCUESTA CONDUCTORES'!$H$7:$H$459,"X",'[1]ENCUESTA CONDUCTORES'!$AV$7:$AV$459,"&lt;50%")-AE5-AE6-AE7</f>
        <v>13</v>
      </c>
      <c r="AH4" s="151" t="s">
        <v>1669</v>
      </c>
      <c r="AI4" s="6">
        <f t="shared" ref="AI4:AI8" si="15">AL4/AL$8</f>
        <v>0.16334661354581673</v>
      </c>
      <c r="AJ4" s="6">
        <f t="shared" si="4"/>
        <v>0.14760147601476015</v>
      </c>
      <c r="AK4" s="6">
        <f t="shared" si="5"/>
        <v>0.10169491525423729</v>
      </c>
      <c r="AL4" s="249">
        <f>COUNTIFS('DATOS 1'!$L$51:$L$427,1,'DATOS 1'!$BC$51:$BC$427,"X")+COUNTIFS('DATOS 1'!$L$51:$L$427,1,'DATOS 1'!$BJ$51:$BJ$427,"X")</f>
        <v>41</v>
      </c>
      <c r="AM4" s="249">
        <f>COUNTIFS('DATOS 1'!$L$51:$L$427,"&lt;6",'DATOS 1'!$BC$51:$BC$427,"X")+COUNTIFS('DATOS 1'!$L$51:$L$427,"&lt;6",'DATOS 1'!$BJ$51:$BJ$427,"X")-AL4</f>
        <v>40</v>
      </c>
      <c r="AN4" s="249">
        <f>COUNTIF('DATOS 1'!$BC$7:$BC$40,"X")+COUNTIF('DATOS 1'!$BJ$7:$BJ$40,"X")</f>
        <v>6</v>
      </c>
      <c r="AT4" s="11">
        <f t="shared" ref="AT4:AT14" si="16">2014-AU4</f>
        <v>45</v>
      </c>
      <c r="AU4" s="9">
        <v>1969</v>
      </c>
      <c r="AV4" s="6"/>
      <c r="AW4" s="249">
        <f>COUNTIFS('DATOS 2'!$AA$5:$AA$1437,1,'DATOS 2'!$D$5:$D$1437,AU4)</f>
        <v>0</v>
      </c>
      <c r="AY4" s="11" t="s">
        <v>935</v>
      </c>
      <c r="AZ4" s="6">
        <f>+BC4/BC$13</f>
        <v>2.181818181818182E-2</v>
      </c>
      <c r="BA4" s="6">
        <f t="shared" ref="BA4:BA13" si="17">+BD4/BD$13</f>
        <v>3.7533512064343161E-2</v>
      </c>
      <c r="BB4" s="6">
        <f t="shared" ref="BB4:BB13" si="18">+BE4/BE$13</f>
        <v>7.2815533980582527E-3</v>
      </c>
      <c r="BC4" s="138">
        <f>COUNTIFS('DATOS 2'!$AA$5:$AA$1437,1,'DATOS 2'!$E$5:$E$1437,"NO SABE")+COUNTIFS('DATOS 2'!$AA$5:$AA$1437,1,'DATOS 2'!$E$5:$E$1437,"NO CONTESTA")</f>
        <v>6</v>
      </c>
      <c r="BD4" s="138">
        <f>COUNTIFS('DATOS 2'!$AA$5:$AA$1437,"&lt;6",'DATOS 2'!$E$5:$E$1437,"NO SABE")+COUNTIFS('DATOS 2'!$AA$5:$AA$1437,"&lt;6",'DATOS 2'!$E$5:$E$1437,"NO CONTESTA")-BC4</f>
        <v>28</v>
      </c>
      <c r="BE4" s="138">
        <f>COUNTIFS('DATOS 2'!$AA$5:$AA$1437,"&gt;5",'DATOS 2'!$E$5:$E$1437,"NO SABE")+COUNTIFS('DATOS 2'!$AA$5:$AA$1437,"&gt;5",'DATOS 2'!$E$5:$E$1437,"NO CONTESTA")</f>
        <v>3</v>
      </c>
      <c r="BH4" s="137" t="s">
        <v>133</v>
      </c>
      <c r="BI4" s="6">
        <f>+BL4/$BO4</f>
        <v>0.17750439367311072</v>
      </c>
      <c r="BJ4" s="6">
        <f t="shared" ref="BJ4:BK12" si="19">+BM4/$BO4</f>
        <v>0.53778558875219684</v>
      </c>
      <c r="BK4" s="6">
        <f t="shared" si="19"/>
        <v>0.28471001757469244</v>
      </c>
      <c r="BL4" s="152">
        <f>COUNTIFS('DETALLES UNIDADES'!$BA$8:$BA$987,1,'DETALLES UNIDADES'!$AD$8:$AD$987,"X")</f>
        <v>101</v>
      </c>
      <c r="BM4" s="152">
        <f>COUNTIFS('DETALLES UNIDADES'!$BA$8:$BA$987,"&lt;6",'DETALLES UNIDADES'!$AD$8:$AD$987,"X")-BL4</f>
        <v>306</v>
      </c>
      <c r="BN4" s="152">
        <f>COUNTIFS('DETALLES UNIDADES'!$BA$8:$BA$987,"&gt;5",'DETALLES UNIDADES'!$AD$8:$AD$987,"X")</f>
        <v>162</v>
      </c>
      <c r="BO4" s="138">
        <f>SUM(BL4:BN4)</f>
        <v>569</v>
      </c>
      <c r="BP4" s="6"/>
      <c r="BQ4" s="137" t="s">
        <v>877</v>
      </c>
      <c r="BR4" s="6">
        <f>+BU4/BU$11</f>
        <v>0.39080459770114945</v>
      </c>
      <c r="BS4" s="6">
        <f t="shared" ref="BS4:BS11" si="20">+BV4/BV$11</f>
        <v>0.28865979381443296</v>
      </c>
      <c r="BT4" s="6">
        <f t="shared" ref="BT4:BT11" si="21">+BW4/BW$11</f>
        <v>0.36363636363636365</v>
      </c>
      <c r="BU4" s="249">
        <f>COUNTIFS('ENCUESTA PROPIETARIOS'!$N$7:$N$417,1,'ENCUESTA PROPIETARIOS'!$BR$7:$BR$417,"X")</f>
        <v>102</v>
      </c>
      <c r="BV4" s="249">
        <f>COUNTIFS('ENCUESTA PROPIETARIOS'!$N$7:$N$417,"&lt;6",'ENCUESTA PROPIETARIOS'!$BR$7:$BR$417,"X")-BU4</f>
        <v>84</v>
      </c>
      <c r="BW4" s="249">
        <f>COUNTIFS('ENCUESTA PROPIETARIOS'!$N$7:$N$417,"&gt;5",'ENCUESTA PROPIETARIOS'!$BR$7:$BR$417,"X")</f>
        <v>20</v>
      </c>
      <c r="CA4" s="11" t="s">
        <v>57</v>
      </c>
      <c r="CB4" s="6">
        <f t="shared" ref="CB4:CB5" si="22">+CE4/CE$5</f>
        <v>0.75247524752475248</v>
      </c>
      <c r="CC4" s="6">
        <f t="shared" si="6"/>
        <v>0.60571428571428576</v>
      </c>
      <c r="CD4" s="6">
        <f t="shared" si="7"/>
        <v>0.17647058823529413</v>
      </c>
      <c r="CE4" s="249">
        <f>COUNTIFS('ENCUESTA PROPIETARIOS'!$N$7:$N$417,1,'ENCUESTA PROPIETARIOS'!$DQ$7:$DQ$417,"X")</f>
        <v>152</v>
      </c>
      <c r="CF4" s="249">
        <f>COUNTIFS('ENCUESTA PROPIETARIOS'!$N$7:$N$417,"&lt;6",'ENCUESTA PROPIETARIOS'!$DQ$7:$DQ$417,"X")-CE4</f>
        <v>106</v>
      </c>
      <c r="CG4" s="249">
        <f>COUNTIFS('ENCUESTA PROPIETARIOS'!$N$7:$N$417,"&gt;5",'ENCUESTA PROPIETARIOS'!$DQ$7:$DQ$417,"X")</f>
        <v>6</v>
      </c>
      <c r="CJ4" s="11" t="s">
        <v>57</v>
      </c>
      <c r="CK4" s="6">
        <f t="shared" ref="CK4:CK5" si="23">+CN4/CN$5</f>
        <v>0.9356435643564357</v>
      </c>
      <c r="CL4" s="6">
        <f t="shared" si="8"/>
        <v>0.77714285714285714</v>
      </c>
      <c r="CM4" s="6">
        <f t="shared" si="9"/>
        <v>0.73529411764705888</v>
      </c>
      <c r="CN4" s="249">
        <f>COUNTIFS('ENCUESTA PROPIETARIOS'!$N$7:$N$417,1,'ENCUESTA PROPIETARIOS'!$DJ$7:$DJ$417,"X")</f>
        <v>189</v>
      </c>
      <c r="CO4" s="249">
        <f>COUNTIFS('ENCUESTA PROPIETARIOS'!$N$7:$N$417,"&lt;6",'ENCUESTA PROPIETARIOS'!$DJ$7:$DJ$417,"X")-CN4</f>
        <v>136</v>
      </c>
      <c r="CP4" s="249">
        <f>COUNTIFS('ENCUESTA PROPIETARIOS'!$N$7:$N$417,"&gt;5",'ENCUESTA PROPIETARIOS'!$DJ$7:$DJ$417,"X")</f>
        <v>25</v>
      </c>
      <c r="CS4" s="19" t="s">
        <v>1281</v>
      </c>
      <c r="CT4" s="249">
        <f>COUNTIFS('ENCUESTA PROPIETARIOS'!$A$7:$A$417,"SSE OAXACA",'ENCUESTA PROPIETARIOS'!$L$7:$L$417,CS4)</f>
        <v>0</v>
      </c>
      <c r="CU4" s="249">
        <f>COUNTIFS('ENCUESTA PROPIETARIOS'!$A$7:$A$417,"C D.F.",'ENCUESTA PROPIETARIOS'!$L$7:$L$417,CS4)+COUNTIFS('ENCUESTA PROPIETARIOS'!$A$7:$A$417,"C QUERETARO",'ENCUESTA PROPIETARIOS'!$L$7:$L$417,CS4)+COUNTIFS('ENCUESTA PROPIETARIOS'!$A$7:$A$417,"C JALISCO",'ENCUESTA PROPIETARIOS'!$L$7:$L$417,CS4)+COUNTIFS('ENCUESTA PROPIETARIOS'!$A$7:$A$417,"C VERACRUZ",'ENCUESTA PROPIETARIOS'!$L$7:$L$417,CS4)</f>
        <v>7</v>
      </c>
      <c r="CV4" s="249">
        <f>COUNTIFS('ENCUESTA PROPIETARIOS'!$A$7:$A$417,"NO SINALOA",'ENCUESTA PROPIETARIOS'!$L$7:$L$417,CS4)+COUNTIFS('ENCUESTA PROPIETARIOS'!$A$7:$A$417,"NO CHIHUAHUA",'ENCUESTA PROPIETARIOS'!$L$7:$L$417,CS4)</f>
        <v>63</v>
      </c>
      <c r="CW4" s="249">
        <f>COUNTIFS('ENCUESTA PROPIETARIOS'!$A$7:$A$417,"NE NUEVO LEON",'ENCUESTA PROPIETARIOS'!$L$7:$L$417,CS4)+COUNTIFS('ENCUESTA PROPIETARIOS'!$A$7:$A$417,"NE TAMAULIPAS",'ENCUESTA PROPIETARIOS'!$L$7:$L$417,CS4)</f>
        <v>0</v>
      </c>
      <c r="CX4" s="249">
        <f>SUM(CT4:CW4)</f>
        <v>70</v>
      </c>
      <c r="CY4" s="112"/>
      <c r="CZ4" s="123" t="s">
        <v>20</v>
      </c>
      <c r="DA4" s="6">
        <f t="shared" ref="DA4:DA11" si="24">(+DD4+DG4)/DD$13</f>
        <v>0.15301724137931033</v>
      </c>
      <c r="DB4" s="6">
        <f t="shared" si="10"/>
        <v>9.7701149425287362E-2</v>
      </c>
      <c r="DC4" s="6">
        <f t="shared" si="11"/>
        <v>8.9494163424124515E-2</v>
      </c>
      <c r="DD4" s="249">
        <f>COUNTIFS('DATOS 1'!$L$51:$L$427,1,'DATOS 1'!$AA$51:$AA$427,"X")</f>
        <v>49</v>
      </c>
      <c r="DE4" s="249">
        <f>COUNTIFS('DATOS 1'!$L$51:$L$427,"&lt;6",'DATOS 1'!$AA$51:$AA$427,"X")-DD4</f>
        <v>34</v>
      </c>
      <c r="DF4" s="249">
        <f>COUNTIFS('DATOS 1'!$L$7:$L$40,"&lt;31",'DATOS 1'!$AA$7:$AA$40,"X")</f>
        <v>7</v>
      </c>
      <c r="DG4" s="249">
        <f>COUNTIFS('[1]ENCUESTA CONDUCTORES'!$E$7:$E$459,"X",'[1]ENCUESTA CONDUCTORES'!$BK$7:$BK$459,"X")</f>
        <v>22</v>
      </c>
      <c r="DH4" s="249">
        <f>COUNTIFS('[1]ENCUESTA CONDUCTORES'!$F$7:$F$459,"X",'[1]ENCUESTA CONDUCTORES'!$BK$7:$BK$459,"X")+COUNTIFS('[1]ENCUESTA CONDUCTORES'!$G$7:$G$459,"X",'[1]ENCUESTA CONDUCTORES'!$BK$7:$BK$459,"X")</f>
        <v>34</v>
      </c>
      <c r="DI4" s="249">
        <f>COUNTIFS('[1]ENCUESTA CONDUCTORES'!$H$7:$H$459,"X",'[1]ENCUESTA CONDUCTORES'!$BK$7:$BK$459,"X")</f>
        <v>16</v>
      </c>
      <c r="DM4" s="149">
        <v>0.5</v>
      </c>
      <c r="DN4" s="6">
        <f>+DR4/$DR$9</f>
        <v>0.46116504854368934</v>
      </c>
      <c r="DO4" s="6">
        <f>+DS4/$DS$9</f>
        <v>0.62318840579710144</v>
      </c>
      <c r="DP4" s="6">
        <f>+DT4/$DT$9</f>
        <v>0.69503546099290781</v>
      </c>
      <c r="DQ4" s="149">
        <v>0.5</v>
      </c>
      <c r="DR4" s="249">
        <f>COUNTIFS('DETALLES UNIDADES'!$BA$8:$BA$987,"1",'DETALLES UNIDADES'!$O$8:$O$987,"&gt;49%")</f>
        <v>95</v>
      </c>
      <c r="DS4" s="249">
        <f>COUNTIFS('DETALLES UNIDADES'!$BA$8:$BA$987,"&lt;6",'DETALLES UNIDADES'!$O$8:$O$987,"&gt;49%")-DR4</f>
        <v>301</v>
      </c>
      <c r="DT4" s="249">
        <f>COUNTIFS('DETALLES UNIDADES'!$BA$8:$BA$987,"&gt;5",'DETALLES UNIDADES'!$O$8:$O$987,"&gt;49%")</f>
        <v>196</v>
      </c>
      <c r="DU4" s="249">
        <f>SUM(DR4:DT4)</f>
        <v>592</v>
      </c>
    </row>
    <row r="5" spans="1:125" x14ac:dyDescent="0.25">
      <c r="A5" s="112" t="s">
        <v>817</v>
      </c>
      <c r="B5" s="6">
        <f t="shared" si="12"/>
        <v>8.2725060827250604E-2</v>
      </c>
      <c r="C5" s="249">
        <f>COUNTIF('DATOS 1'!$L$51:$L$427,"&gt;5")+COUNTIF('DATOS 1'!L7:L40,"&gt;5")</f>
        <v>34</v>
      </c>
      <c r="J5" s="123" t="s">
        <v>2409</v>
      </c>
      <c r="K5" s="6">
        <f t="shared" si="13"/>
        <v>5.1724137931034482E-2</v>
      </c>
      <c r="L5" s="6">
        <f t="shared" si="0"/>
        <v>0.10775862068965517</v>
      </c>
      <c r="M5" s="6">
        <f t="shared" si="1"/>
        <v>0.12062256809338522</v>
      </c>
      <c r="N5" s="249">
        <f>COUNTIFS('DATOS 1'!$L$51:$L$427,1,'DATOS 1'!$AB$51:$AB$427,"X")+COUNTIFS('DATOS 1'!$L$51:$L$427,1,'DATOS 1'!$AH$51:$AH$427,"X")</f>
        <v>17</v>
      </c>
      <c r="O5" s="249">
        <f>COUNTIFS('DATOS 1'!$L$51:$L$427,"&lt;6",'DATOS 1'!$AB$51:$AB$427,"X")+COUNTIFS('DATOS 1'!$L$51:$L$427,"&lt;6",'DATOS 1'!$AH$51:$AH$427,"X")-N5</f>
        <v>27</v>
      </c>
      <c r="P5" s="249">
        <f>COUNTIFS('DATOS 1'!$L$7:$L$40,"&lt;31",'DATOS 1'!$AB$7:$AB$40,"X")+COUNTIFS('DATOS 1'!$L$7:$L$40,"&lt;31",'DATOS 1'!$AH$7:$AH$40,"X")</f>
        <v>7</v>
      </c>
      <c r="Q5" s="249">
        <f>COUNTIFS('[1]ENCUESTA CONDUCTORES'!$E$7:$E$459,"X",'[1]ENCUESTA CONDUCTORES'!$BL$7:$BL$459,"X")+COUNTIFS('[1]ENCUESTA CONDUCTORES'!$E$7:$E$459,"X",'[1]ENCUESTA CONDUCTORES'!$BR$7:$BR$459,"X")</f>
        <v>7</v>
      </c>
      <c r="R5" s="249">
        <f>COUNTIFS('[1]ENCUESTA CONDUCTORES'!$F$7:$F$459,"X",'[1]ENCUESTA CONDUCTORES'!$BL$7:$BL$459,"X")+COUNTIFS('[1]ENCUESTA CONDUCTORES'!$F$7:$F$459,"X",'[1]ENCUESTA CONDUCTORES'!$BR$7:$BR$459,"X")+COUNTIFS('[1]ENCUESTA CONDUCTORES'!$G$7:$G$459,"X",'[1]ENCUESTA CONDUCTORES'!$BL$7:$BL$459,"X")+COUNTIFS('[1]ENCUESTA CONDUCTORES'!$G$7:$G$459,"X",'[1]ENCUESTA CONDUCTORES'!$BR$7:$BR$459,"X")</f>
        <v>48</v>
      </c>
      <c r="S5" s="249">
        <f>COUNTIFS('[1]ENCUESTA CONDUCTORES'!$H$7:$H$459,"X",'[1]ENCUESTA CONDUCTORES'!$BL$7:$BL$459,"X")+COUNTIFS('[1]ENCUESTA CONDUCTORES'!$H$7:$H$459,"X",'[1]ENCUESTA CONDUCTORES'!$BR$7:$BR$459,"X")</f>
        <v>24</v>
      </c>
      <c r="V5" s="249" t="s">
        <v>2417</v>
      </c>
      <c r="W5" s="6">
        <f t="shared" si="14"/>
        <v>0.12867647058823528</v>
      </c>
      <c r="X5" s="6">
        <f t="shared" si="2"/>
        <v>8.2432432432432437E-2</v>
      </c>
      <c r="Y5" s="6">
        <f t="shared" si="3"/>
        <v>0.10344827586206896</v>
      </c>
      <c r="Z5" s="249">
        <f>COUNTIFS('DETALLES UNIDADES'!$BA$8:$BA$987,1,'DETALLES UNIDADES'!$O$8:$O$987,"&lt;30%")-Z6-Z7</f>
        <v>29</v>
      </c>
      <c r="AA5" s="249">
        <f>COUNTIFS('DETALLES UNIDADES'!$BA$8:$BA$987,"&lt;6",'DETALLES UNIDADES'!$O$8:$O$987,"&lt;30%")-AA6-AA7-Z7-Z6-Z5</f>
        <v>37</v>
      </c>
      <c r="AB5" s="249">
        <f>COUNTIFS('DETALLES UNIDADES'!$BA$8:$BA$987,"&gt;5",'DETALLES UNIDADES'!$O$8:$O$987,"&lt;30%")-AB6-AB7</f>
        <v>33</v>
      </c>
      <c r="AC5" s="249">
        <f>COUNTIFS('[1]ENCUESTA CONDUCTORES'!$E$7:$E$459,"X",'[1]ENCUESTA CONDUCTORES'!$AV$7:$AV$459,"&lt;30%")-AC6-AC7</f>
        <v>6</v>
      </c>
      <c r="AD5" s="249">
        <f>COUNTIFS('[1]ENCUESTA CONDUCTORES'!$F$7:$F$459,"X",'[1]ENCUESTA CONDUCTORES'!$AV$7:$AV$459,"&lt;30%")+COUNTIFS('[1]ENCUESTA CONDUCTORES'!$G$7:$G$459,"X",'[1]ENCUESTA CONDUCTORES'!$AV$7:$AV$459,"&lt;30%")-AD6-AD7</f>
        <v>24</v>
      </c>
      <c r="AE5" s="249">
        <f>COUNTIFS('[1]ENCUESTA CONDUCTORES'!$H$7:$H$459,"X",'[1]ENCUESTA CONDUCTORES'!$AV$7:$AV$459,"&lt;30%")-AE6-AE7</f>
        <v>9</v>
      </c>
      <c r="AH5" s="112" t="s">
        <v>867</v>
      </c>
      <c r="AI5" s="6">
        <f t="shared" si="15"/>
        <v>0.13545816733067728</v>
      </c>
      <c r="AJ5" s="6">
        <f t="shared" si="4"/>
        <v>0.16605166051660517</v>
      </c>
      <c r="AK5" s="6">
        <f t="shared" si="5"/>
        <v>0.25423728813559321</v>
      </c>
      <c r="AL5" s="249">
        <f>COUNTIFS('DATOS 1'!$L$51:$L$427,1,'DATOS 1'!$BI$51:$BI$427,"X")</f>
        <v>34</v>
      </c>
      <c r="AM5" s="249">
        <f>COUNTIFS('DATOS 1'!$L$51:$L$427,"&lt;5",'DATOS 1'!$BI$51:$BI$427,"X")-AL5</f>
        <v>45</v>
      </c>
      <c r="AN5" s="249">
        <f>COUNTIF('DATOS 1'!$BI$7:$BI$40,"X")</f>
        <v>15</v>
      </c>
      <c r="AT5" s="11">
        <f t="shared" si="16"/>
        <v>44</v>
      </c>
      <c r="AU5" s="9">
        <v>1970</v>
      </c>
      <c r="AV5" s="6"/>
      <c r="AW5" s="249">
        <f>COUNTIFS('DATOS 2'!$AA$5:$AA$1437,1,'DATOS 2'!$D$5:$D$1437,AU5)</f>
        <v>1</v>
      </c>
      <c r="AY5" s="11" t="s">
        <v>1028</v>
      </c>
      <c r="AZ5" s="6">
        <f t="shared" ref="AZ5:AZ13" si="25">+BC5/BC$13</f>
        <v>0.04</v>
      </c>
      <c r="BA5" s="6">
        <f t="shared" si="17"/>
        <v>1.7426273458445041E-2</v>
      </c>
      <c r="BB5" s="6">
        <f t="shared" si="18"/>
        <v>1.4563106796116505E-2</v>
      </c>
      <c r="BC5" s="138">
        <f>COUNTIFS('DATOS 2'!$AA$5:$AA$1437,1,'DATOS 2'!$E$5:$E$1437,"DAÑADO")</f>
        <v>11</v>
      </c>
      <c r="BD5" s="138">
        <f>COUNTIFS('DATOS 2'!$AA$5:$AA$1437,"&lt;6",'DATOS 2'!$E$5:$E$1437,"DAÑADO")-BC5</f>
        <v>13</v>
      </c>
      <c r="BE5" s="138">
        <f>COUNTIFS('DATOS 2'!$AA$5:$AA$1437,"&gt;5",'DATOS 2'!$E$5:$E$1437,"DAÑADO")</f>
        <v>6</v>
      </c>
      <c r="BH5" s="137" t="s">
        <v>134</v>
      </c>
      <c r="BI5" s="6">
        <f>+BL5/$BO5</f>
        <v>0.15434782608695652</v>
      </c>
      <c r="BJ5" s="6">
        <f t="shared" si="19"/>
        <v>0.46304347826086956</v>
      </c>
      <c r="BK5" s="6">
        <f t="shared" si="19"/>
        <v>0.38260869565217392</v>
      </c>
      <c r="BL5" s="152">
        <f>COUNTIFS('DETALLES UNIDADES'!$BA$8:$BA$987,1,'DETALLES UNIDADES'!$AE$8:$AE$987,"X")</f>
        <v>71</v>
      </c>
      <c r="BM5" s="152">
        <f>COUNTIFS('DETALLES UNIDADES'!$BA$8:$BA$987,"&lt;6",'DETALLES UNIDADES'!$AE$8:$AE$987,"X")-BL5</f>
        <v>213</v>
      </c>
      <c r="BN5" s="152">
        <f>COUNTIFS('DETALLES UNIDADES'!$BA$8:$BA$987,"&gt;5",'DETALLES UNIDADES'!$AE$8:$AE$987,"X")</f>
        <v>176</v>
      </c>
      <c r="BO5" s="138">
        <f t="shared" ref="BO5:BO11" si="26">SUM(BL5:BN5)</f>
        <v>460</v>
      </c>
      <c r="BP5" s="6"/>
      <c r="BQ5" s="137" t="s">
        <v>60</v>
      </c>
      <c r="BR5" s="6">
        <f t="shared" ref="BR5:BR11" si="27">+BU5/BU$11</f>
        <v>0.1417624521072797</v>
      </c>
      <c r="BS5" s="6">
        <f t="shared" si="20"/>
        <v>9.6219931271477668E-2</v>
      </c>
      <c r="BT5" s="6">
        <f t="shared" si="21"/>
        <v>0.12727272727272726</v>
      </c>
      <c r="BU5" s="249">
        <f>COUNTIFS('ENCUESTA PROPIETARIOS'!$N$7:$N$417,1,'ENCUESTA PROPIETARIOS'!$BS$7:$BS$417,"X")</f>
        <v>37</v>
      </c>
      <c r="BV5" s="249">
        <f>COUNTIFS('ENCUESTA PROPIETARIOS'!$N$7:$N$417,"&lt;6",'ENCUESTA PROPIETARIOS'!$BS$7:$BS$417,"X")-BU5</f>
        <v>28</v>
      </c>
      <c r="BW5" s="249">
        <f>COUNTIFS('ENCUESTA PROPIETARIOS'!$N$7:$N$417,"&gt;5",'ENCUESTA PROPIETARIOS'!$BS$7:$BS$417,"X")</f>
        <v>7</v>
      </c>
      <c r="CA5" s="11" t="s">
        <v>715</v>
      </c>
      <c r="CB5" s="6">
        <f t="shared" si="22"/>
        <v>1</v>
      </c>
      <c r="CC5" s="6">
        <f t="shared" si="6"/>
        <v>1</v>
      </c>
      <c r="CD5" s="6">
        <f t="shared" si="7"/>
        <v>1</v>
      </c>
      <c r="CE5" s="249">
        <f>+CE4+CE3</f>
        <v>202</v>
      </c>
      <c r="CF5" s="249">
        <f t="shared" ref="CF5:CG5" si="28">+CF4+CF3</f>
        <v>175</v>
      </c>
      <c r="CG5" s="249">
        <f t="shared" si="28"/>
        <v>34</v>
      </c>
      <c r="CJ5" s="11" t="s">
        <v>715</v>
      </c>
      <c r="CK5" s="6">
        <f t="shared" si="23"/>
        <v>1</v>
      </c>
      <c r="CL5" s="6">
        <f t="shared" si="8"/>
        <v>1</v>
      </c>
      <c r="CM5" s="6">
        <f t="shared" si="9"/>
        <v>1</v>
      </c>
      <c r="CN5" s="249">
        <f>+CN4+CN3</f>
        <v>202</v>
      </c>
      <c r="CO5" s="249">
        <f t="shared" ref="CO5" si="29">+CO4+CO3</f>
        <v>175</v>
      </c>
      <c r="CP5" s="249">
        <f t="shared" ref="CP5" si="30">+CP4+CP3</f>
        <v>34</v>
      </c>
      <c r="CS5" s="19" t="s">
        <v>1288</v>
      </c>
      <c r="CT5" s="249">
        <f>COUNTIFS('ENCUESTA PROPIETARIOS'!$A$7:$A$417,"SSE OAXACA",'ENCUESTA PROPIETARIOS'!$L$7:$L$417,CS5)</f>
        <v>0</v>
      </c>
      <c r="CU5" s="249">
        <f>COUNTIFS('ENCUESTA PROPIETARIOS'!$A$7:$A$417,"C D.F.",'ENCUESTA PROPIETARIOS'!$L$7:$L$417,CS5)+COUNTIFS('ENCUESTA PROPIETARIOS'!$A$7:$A$417,"C QUERETARO",'ENCUESTA PROPIETARIOS'!$L$7:$L$417,CS5)+COUNTIFS('ENCUESTA PROPIETARIOS'!$A$7:$A$417,"C JALISCO",'ENCUESTA PROPIETARIOS'!$L$7:$L$417,CS5)+COUNTIFS('ENCUESTA PROPIETARIOS'!$A$7:$A$417,"C VERACRUZ",'ENCUESTA PROPIETARIOS'!$L$7:$L$417,CS5)</f>
        <v>49</v>
      </c>
      <c r="CV5" s="249">
        <f>COUNTIFS('ENCUESTA PROPIETARIOS'!$A$7:$A$417,"NO SINALOA",'ENCUESTA PROPIETARIOS'!$L$7:$L$417,CS5)+COUNTIFS('ENCUESTA PROPIETARIOS'!$A$7:$A$417,"NO CHIHUAHUA",'ENCUESTA PROPIETARIOS'!$L$7:$L$417,CS5)</f>
        <v>0</v>
      </c>
      <c r="CW5" s="249">
        <f>COUNTIFS('ENCUESTA PROPIETARIOS'!$A$7:$A$417,"NE NUEVO LEON",'ENCUESTA PROPIETARIOS'!$L$7:$L$417,CS5)+COUNTIFS('ENCUESTA PROPIETARIOS'!$A$7:$A$417,"NE TAMAULIPAS",'ENCUESTA PROPIETARIOS'!$L$7:$L$417,CS5)</f>
        <v>0</v>
      </c>
      <c r="CX5" s="249">
        <f t="shared" ref="CX5:CX31" si="31">SUM(CT5:CW5)</f>
        <v>49</v>
      </c>
      <c r="CY5" s="112"/>
      <c r="CZ5" s="123" t="s">
        <v>2409</v>
      </c>
      <c r="DA5" s="6">
        <f t="shared" si="24"/>
        <v>5.1724137931034482E-2</v>
      </c>
      <c r="DB5" s="6">
        <f t="shared" si="10"/>
        <v>0.10775862068965517</v>
      </c>
      <c r="DC5" s="6">
        <f t="shared" si="11"/>
        <v>0.12062256809338522</v>
      </c>
      <c r="DD5" s="249">
        <f>COUNTIFS('DATOS 1'!$L$51:$L$427,1,'DATOS 1'!$AB$51:$AB$427,"X")+COUNTIFS('DATOS 1'!$L$51:$L$427,1,'DATOS 1'!$AH$51:$AH$427,"X")</f>
        <v>17</v>
      </c>
      <c r="DE5" s="249">
        <f>COUNTIFS('DATOS 1'!$L$51:$L$427,"&lt;6",'DATOS 1'!$AB$51:$AB$427,"X")+COUNTIFS('DATOS 1'!$L$51:$L$427,"&lt;6",'DATOS 1'!$AH$51:$AH$427,"X")-DD5</f>
        <v>27</v>
      </c>
      <c r="DF5" s="249">
        <f>COUNTIFS('DATOS 1'!$L$7:$L$40,"&lt;31",'DATOS 1'!$AB$7:$AB$40,"X")+COUNTIFS('DATOS 1'!$L$7:$L$40,"&lt;31",'DATOS 1'!$AH$7:$AH$40,"X")</f>
        <v>7</v>
      </c>
      <c r="DG5" s="249">
        <f>COUNTIFS('[1]ENCUESTA CONDUCTORES'!$E$7:$E$459,"X",'[1]ENCUESTA CONDUCTORES'!$BL$7:$BL$459,"X")+COUNTIFS('[1]ENCUESTA CONDUCTORES'!$E$7:$E$459,"X",'[1]ENCUESTA CONDUCTORES'!$BR$7:$BR$459,"X")</f>
        <v>7</v>
      </c>
      <c r="DH5" s="249">
        <f>COUNTIFS('[1]ENCUESTA CONDUCTORES'!$F$7:$F$459,"X",'[1]ENCUESTA CONDUCTORES'!$BL$7:$BL$459,"X")+COUNTIFS('[1]ENCUESTA CONDUCTORES'!$F$7:$F$459,"X",'[1]ENCUESTA CONDUCTORES'!$BR$7:$BR$459,"X")+COUNTIFS('[1]ENCUESTA CONDUCTORES'!$G$7:$G$459,"X",'[1]ENCUESTA CONDUCTORES'!$BL$7:$BL$459,"X")+COUNTIFS('[1]ENCUESTA CONDUCTORES'!$G$7:$G$459,"X",'[1]ENCUESTA CONDUCTORES'!$BR$7:$BR$459,"X")</f>
        <v>48</v>
      </c>
      <c r="DI5" s="249">
        <f>COUNTIFS('[1]ENCUESTA CONDUCTORES'!$H$7:$H$459,"X",'[1]ENCUESTA CONDUCTORES'!$BL$7:$BL$459,"X")+COUNTIFS('[1]ENCUESTA CONDUCTORES'!$H$7:$H$459,"X",'[1]ENCUESTA CONDUCTORES'!$BR$7:$BR$459,"X")</f>
        <v>24</v>
      </c>
      <c r="DM5" s="249" t="s">
        <v>2416</v>
      </c>
      <c r="DN5" s="6">
        <f t="shared" ref="DN5:DN9" si="32">+DR5/$DR$9</f>
        <v>0.12135922330097088</v>
      </c>
      <c r="DO5" s="6">
        <f t="shared" ref="DO5:DO9" si="33">+DS5/$DS$9</f>
        <v>0.15320910973084886</v>
      </c>
      <c r="DP5" s="6">
        <f t="shared" ref="DP5:DP9" si="34">+DT5/$DT$9</f>
        <v>0.12056737588652482</v>
      </c>
      <c r="DQ5" s="249" t="s">
        <v>2416</v>
      </c>
      <c r="DR5" s="249">
        <f>COUNTIFS('DETALLES UNIDADES'!$BA$8:$BA$987,"1",'DETALLES UNIDADES'!$O$8:$O$987,"&lt;50%")-DR6-DR7-DR8</f>
        <v>25</v>
      </c>
      <c r="DS5" s="249">
        <f>COUNTIFS('DETALLES UNIDADES'!$BA$8:$BA$987,"&lt;6",'DETALLES UNIDADES'!$O$8:$O$987,"&lt;50%")-DS6-DS7-DS8-DR8-DR7-DR6-DR5</f>
        <v>74</v>
      </c>
      <c r="DT5" s="249">
        <f>COUNTIFS('DETALLES UNIDADES'!$BA$8:$BA$987,"&gt;5",'DETALLES UNIDADES'!$O$8:$O$987,"&lt;50%")-DT6-DT7-DT8</f>
        <v>34</v>
      </c>
      <c r="DU5" s="249">
        <f t="shared" ref="DU5:DU9" si="35">SUM(DR5:DT5)</f>
        <v>133</v>
      </c>
    </row>
    <row r="6" spans="1:125" ht="25.5" x14ac:dyDescent="0.25">
      <c r="A6" s="112" t="s">
        <v>715</v>
      </c>
      <c r="B6" s="6">
        <f t="shared" si="12"/>
        <v>1</v>
      </c>
      <c r="C6" s="249">
        <f>SUM(C3:C5)</f>
        <v>411</v>
      </c>
      <c r="J6" s="123" t="s">
        <v>22</v>
      </c>
      <c r="K6" s="6">
        <f t="shared" si="13"/>
        <v>8.1896551724137928E-2</v>
      </c>
      <c r="L6" s="6">
        <f t="shared" si="0"/>
        <v>0.10201149425287356</v>
      </c>
      <c r="M6" s="6">
        <f t="shared" si="1"/>
        <v>0.10894941634241245</v>
      </c>
      <c r="N6" s="249">
        <f>COUNTIFS('DATOS 1'!$L$51:$L$427,1,'DATOS 1'!$AC$51:$AC$427,"X")</f>
        <v>34</v>
      </c>
      <c r="O6" s="249">
        <f>COUNTIFS('DATOS 1'!$L$51:$L$427,"&lt;6",'DATOS 1'!$AC$51:$AC$427,"X")-N6</f>
        <v>32</v>
      </c>
      <c r="P6" s="249">
        <f>COUNTIFS('DATOS 1'!$L$7:$L$40,"&lt;31",'DATOS 1'!$AC$7:$AC$40,"X")</f>
        <v>8</v>
      </c>
      <c r="Q6" s="249">
        <f>COUNTIFS('[1]ENCUESTA CONDUCTORES'!$E$7:$E$459,"X",'[1]ENCUESTA CONDUCTORES'!$BM$7:$BM$459,"X")</f>
        <v>4</v>
      </c>
      <c r="R6" s="249">
        <f>COUNTIFS('[1]ENCUESTA CONDUCTORES'!$F$7:$F$459,"X",'[1]ENCUESTA CONDUCTORES'!$BM$7:$BM$459,"X")+COUNTIFS('[1]ENCUESTA CONDUCTORES'!$G$7:$G$459,"X",'[1]ENCUESTA CONDUCTORES'!$BM$7:$BM$459,"X")</f>
        <v>39</v>
      </c>
      <c r="S6" s="249">
        <f>COUNTIFS('[1]ENCUESTA CONDUCTORES'!$H$7:$H$459,"X",'[1]ENCUESTA CONDUCTORES'!$BM$7:$BM$459,"X")</f>
        <v>20</v>
      </c>
      <c r="V6" s="249" t="s">
        <v>2418</v>
      </c>
      <c r="W6" s="6">
        <f t="shared" si="14"/>
        <v>0.18382352941176472</v>
      </c>
      <c r="X6" s="6">
        <f t="shared" si="2"/>
        <v>9.45945945945946E-2</v>
      </c>
      <c r="Y6" s="6">
        <f>(AB6+AE6)/(AB$8+AE$8)</f>
        <v>6.1576354679802957E-2</v>
      </c>
      <c r="Z6" s="249">
        <f>COUNTIFS('DETALLES UNIDADES'!$BA$8:$BA$987,1,'DETALLES UNIDADES'!$O$8:$O$987,"&lt;20%")-Z7</f>
        <v>31</v>
      </c>
      <c r="AA6" s="249">
        <f>COUNTIFS('DETALLES UNIDADES'!$BA$8:$BA$987,"&lt;6",'DETALLES UNIDADES'!$O$8:$O$987,"&lt;20%")-AA7-Z7-Z6</f>
        <v>44</v>
      </c>
      <c r="AB6" s="249">
        <f>COUNTIFS('DETALLES UNIDADES'!$BA$8:$BA$987,"&gt;5",'DETALLES UNIDADES'!$O$8:$O$987,"&lt;20%")-AB7</f>
        <v>5</v>
      </c>
      <c r="AC6" s="249">
        <f>COUNTIFS('[1]ENCUESTA CONDUCTORES'!$E$7:$E$459,"X",'[1]ENCUESTA CONDUCTORES'!$AV$7:$AV$459,"&lt;20%")-AC7</f>
        <v>19</v>
      </c>
      <c r="AD6" s="249">
        <f>COUNTIFS('[1]ENCUESTA CONDUCTORES'!$F$7:$F$459,"X",'[1]ENCUESTA CONDUCTORES'!$AV$7:$AV$459,"&lt;20%")+COUNTIFS('[1]ENCUESTA CONDUCTORES'!$G$7:$G$459,"X",'[1]ENCUESTA CONDUCTORES'!$AV$7:$AV$459,"&lt;20%")-AD7</f>
        <v>26</v>
      </c>
      <c r="AE6" s="249">
        <f>COUNTIFS('[1]ENCUESTA CONDUCTORES'!$H$7:$H$459,"X",'[1]ENCUESTA CONDUCTORES'!$AV$7:$AV$459,"&lt;20%")-AE7</f>
        <v>20</v>
      </c>
      <c r="AH6" s="151" t="s">
        <v>1667</v>
      </c>
      <c r="AI6" s="6">
        <f t="shared" si="15"/>
        <v>0.19521912350597609</v>
      </c>
      <c r="AJ6" s="6">
        <f t="shared" si="4"/>
        <v>0.31365313653136534</v>
      </c>
      <c r="AK6" s="6">
        <f t="shared" si="5"/>
        <v>0.32203389830508472</v>
      </c>
      <c r="AL6" s="249">
        <f>COUNTIFS('DATOS 1'!$L$51:$L$427,1,'DATOS 1'!$BD$51:$BD$427,"X")+COUNTIFS('DATOS 1'!$L$51:$L$427,1,'DATOS 1'!$BE$51:$BE$427,"X")+COUNTIFS('DATOS 1'!$L$51:$L$427,1,'DATOS 1'!$BG$51:$BG$427,"X")</f>
        <v>49</v>
      </c>
      <c r="AM6" s="249">
        <f>COUNTIFS('DATOS 1'!$L$51:$L$427,"&lt;6",'DATOS 1'!$BD$51:$BD$427,"X")+COUNTIFS('DATOS 1'!$L$51:$L$427,"&lt;6",'DATOS 1'!$BE$51:$BE$427,"X")+COUNTIFS('DATOS 1'!$L$51:$L$427,"&lt;6",'DATOS 1'!$BG$51:$BG$427,"X")-AL6</f>
        <v>85</v>
      </c>
      <c r="AN6" s="249">
        <f>COUNTIF('DATOS 1'!$BD$7:$BD$40,"X")+COUNTIF('DATOS 1'!$BE$7:$BE$40,"X")+COUNTIF('DATOS 1'!$BG$7:$BG$40,"X")</f>
        <v>19</v>
      </c>
      <c r="AT6" s="11">
        <f t="shared" si="16"/>
        <v>43</v>
      </c>
      <c r="AU6" s="9">
        <v>1971</v>
      </c>
      <c r="AV6" s="6"/>
      <c r="AW6" s="249">
        <f>COUNTIFS('DATOS 2'!$AA$5:$AA$1437,1,'DATOS 2'!$D$5:$D$1437,AU6)</f>
        <v>0</v>
      </c>
      <c r="AY6" s="11" t="s">
        <v>1712</v>
      </c>
      <c r="AZ6" s="6">
        <f t="shared" si="25"/>
        <v>5.8181818181818182E-2</v>
      </c>
      <c r="BA6" s="6">
        <f t="shared" si="17"/>
        <v>0.14745308310991956</v>
      </c>
      <c r="BB6" s="6">
        <f t="shared" si="18"/>
        <v>0.19174757281553398</v>
      </c>
      <c r="BC6" s="138">
        <f>COUNTIFS('DATOS 2'!$AA$5:$AA$1437,1,'DATOS 2'!$E$5:$E$1437,"&lt;250000")</f>
        <v>16</v>
      </c>
      <c r="BD6" s="138">
        <f>COUNTIFS('DATOS 2'!$AA$5:$AA$1437,"&lt;6",'DATOS 2'!$E$5:$E$1437,"&lt;250000")-BC6</f>
        <v>110</v>
      </c>
      <c r="BE6" s="138">
        <f>COUNTIFS('DATOS 2'!$AA$5:$AA$1437,"&gt;5",'DATOS 2'!$E$5:$E$1437,"&lt;250000")</f>
        <v>79</v>
      </c>
      <c r="BH6" s="137" t="s">
        <v>135</v>
      </c>
      <c r="BI6" s="6">
        <f t="shared" ref="BI6:BI11" si="36">+BL6/$BO6</f>
        <v>4.6511627906976744E-2</v>
      </c>
      <c r="BJ6" s="6">
        <f t="shared" si="19"/>
        <v>0.38372093023255816</v>
      </c>
      <c r="BK6" s="6">
        <f t="shared" si="19"/>
        <v>0.56976744186046513</v>
      </c>
      <c r="BL6" s="152">
        <f>COUNTIFS('DETALLES UNIDADES'!$BA$8:$BA$987,1,'DETALLES UNIDADES'!$AF$8:$AF$987,"X")</f>
        <v>4</v>
      </c>
      <c r="BM6" s="152">
        <f>COUNTIFS('DETALLES UNIDADES'!$BA$8:$BA$987,"&lt;6",'DETALLES UNIDADES'!$AF$8:$AF$987,"X")-BL6</f>
        <v>33</v>
      </c>
      <c r="BN6" s="152">
        <f>COUNTIFS('DETALLES UNIDADES'!$BA$8:$BA$987,"&gt;5",'DETALLES UNIDADES'!$AF$8:$AF$987,"X")</f>
        <v>49</v>
      </c>
      <c r="BO6" s="138">
        <f t="shared" si="26"/>
        <v>86</v>
      </c>
      <c r="BP6" s="6"/>
      <c r="BQ6" s="137" t="s">
        <v>1772</v>
      </c>
      <c r="BR6" s="6">
        <f t="shared" si="27"/>
        <v>7.2796934865900387E-2</v>
      </c>
      <c r="BS6" s="6">
        <f t="shared" si="20"/>
        <v>9.9656357388316158E-2</v>
      </c>
      <c r="BT6" s="6">
        <f t="shared" si="21"/>
        <v>5.4545454545454543E-2</v>
      </c>
      <c r="BU6" s="249">
        <f>COUNTIFS('ENCUESTA PROPIETARIOS'!$N$7:$N$417,1,'ENCUESTA PROPIETARIOS'!$BT$7:$BT$417,"X")</f>
        <v>19</v>
      </c>
      <c r="BV6" s="249">
        <f>COUNTIFS('ENCUESTA PROPIETARIOS'!$N$7:$N$417,"&lt;6",'ENCUESTA PROPIETARIOS'!$BT$7:$BT$417,"X")-BU6</f>
        <v>29</v>
      </c>
      <c r="BW6" s="249">
        <f>COUNTIFS('ENCUESTA PROPIETARIOS'!$N$7:$N$417,"&gt;5",'ENCUESTA PROPIETARIOS'!$BT$7:$BT$417,"X")</f>
        <v>3</v>
      </c>
      <c r="CS6" s="19" t="s">
        <v>1256</v>
      </c>
      <c r="CT6" s="249">
        <f>COUNTIFS('ENCUESTA PROPIETARIOS'!$A$7:$A$417,"SSE OAXACA",'ENCUESTA PROPIETARIOS'!$L$7:$L$417,CS6)</f>
        <v>2</v>
      </c>
      <c r="CU6" s="249">
        <f>COUNTIFS('ENCUESTA PROPIETARIOS'!$A$7:$A$417,"C D.F.",'ENCUESTA PROPIETARIOS'!$L$7:$L$417,CS6)+COUNTIFS('ENCUESTA PROPIETARIOS'!$A$7:$A$417,"C QUERETARO",'ENCUESTA PROPIETARIOS'!$L$7:$L$417,CS6)+COUNTIFS('ENCUESTA PROPIETARIOS'!$A$7:$A$417,"C JALISCO",'ENCUESTA PROPIETARIOS'!$L$7:$L$417,CS6)+COUNTIFS('ENCUESTA PROPIETARIOS'!$A$7:$A$417,"C VERACRUZ",'ENCUESTA PROPIETARIOS'!$L$7:$L$417,CS6)</f>
        <v>47</v>
      </c>
      <c r="CV6" s="249">
        <f>COUNTIFS('ENCUESTA PROPIETARIOS'!$A$7:$A$417,"NO SINALOA",'ENCUESTA PROPIETARIOS'!$L$7:$L$417,CS6)+COUNTIFS('ENCUESTA PROPIETARIOS'!$A$7:$A$417,"NO CHIHUAHUA",'ENCUESTA PROPIETARIOS'!$L$7:$L$417,CS6)</f>
        <v>0</v>
      </c>
      <c r="CW6" s="249">
        <f>COUNTIFS('ENCUESTA PROPIETARIOS'!$A$7:$A$417,"NE NUEVO LEON",'ENCUESTA PROPIETARIOS'!$L$7:$L$417,CS6)+COUNTIFS('ENCUESTA PROPIETARIOS'!$A$7:$A$417,"NE TAMAULIPAS",'ENCUESTA PROPIETARIOS'!$L$7:$L$417,CS6)</f>
        <v>0</v>
      </c>
      <c r="CX6" s="249">
        <f t="shared" si="31"/>
        <v>49</v>
      </c>
      <c r="CY6" s="112"/>
      <c r="CZ6" s="123" t="s">
        <v>22</v>
      </c>
      <c r="DA6" s="6">
        <f t="shared" si="24"/>
        <v>8.1896551724137928E-2</v>
      </c>
      <c r="DB6" s="6">
        <f t="shared" si="10"/>
        <v>0.10201149425287356</v>
      </c>
      <c r="DC6" s="6">
        <f t="shared" si="11"/>
        <v>0.10894941634241245</v>
      </c>
      <c r="DD6" s="249">
        <f>COUNTIFS('DATOS 1'!$L$51:$L$427,1,'DATOS 1'!$AC$51:$AC$427,"X")</f>
        <v>34</v>
      </c>
      <c r="DE6" s="249">
        <f>COUNTIFS('DATOS 1'!$L$51:$L$427,"&lt;6",'DATOS 1'!$AC$51:$AC$427,"X")-DD6</f>
        <v>32</v>
      </c>
      <c r="DF6" s="249">
        <f>COUNTIFS('DATOS 1'!$L$7:$L$40,"&lt;31",'DATOS 1'!$AC$7:$AC$40,"X")</f>
        <v>8</v>
      </c>
      <c r="DG6" s="249">
        <f>COUNTIFS('[1]ENCUESTA CONDUCTORES'!$E$7:$E$459,"X",'[1]ENCUESTA CONDUCTORES'!$BM$7:$BM$459,"X")</f>
        <v>4</v>
      </c>
      <c r="DH6" s="249">
        <f>COUNTIFS('[1]ENCUESTA CONDUCTORES'!$F$7:$F$459,"X",'[1]ENCUESTA CONDUCTORES'!$BM$7:$BM$459,"X")+COUNTIFS('[1]ENCUESTA CONDUCTORES'!$G$7:$G$459,"X",'[1]ENCUESTA CONDUCTORES'!$BM$7:$BM$459,"X")</f>
        <v>39</v>
      </c>
      <c r="DI6" s="249">
        <f>COUNTIFS('[1]ENCUESTA CONDUCTORES'!$H$7:$H$459,"X",'[1]ENCUESTA CONDUCTORES'!$BM$7:$BM$459,"X")</f>
        <v>20</v>
      </c>
      <c r="DM6" s="249" t="s">
        <v>2417</v>
      </c>
      <c r="DN6" s="6">
        <f t="shared" si="32"/>
        <v>0.14077669902912621</v>
      </c>
      <c r="DO6" s="6">
        <f t="shared" si="33"/>
        <v>7.6604554865424432E-2</v>
      </c>
      <c r="DP6" s="6">
        <f t="shared" si="34"/>
        <v>0.11702127659574468</v>
      </c>
      <c r="DQ6" s="249" t="s">
        <v>2417</v>
      </c>
      <c r="DR6" s="249">
        <f>COUNTIFS('DETALLES UNIDADES'!$BA$8:$BA$987,"1",'DETALLES UNIDADES'!$O$8:$O$987,"&lt;30%")-DR7-DR8</f>
        <v>29</v>
      </c>
      <c r="DS6" s="249">
        <f>COUNTIFS('DETALLES UNIDADES'!$BA$8:$BA$987,"&lt;6",'DETALLES UNIDADES'!$O$8:$O$987,"&lt;30%")-DS7-DS8-DR8-DR7-DR6</f>
        <v>37</v>
      </c>
      <c r="DT6" s="249">
        <f>COUNTIFS('DETALLES UNIDADES'!$BA$8:$BA$987,"&gt;5",'DETALLES UNIDADES'!$O$8:$O$987,"&lt;30%")-DT7-DT8</f>
        <v>33</v>
      </c>
      <c r="DU6" s="249">
        <f t="shared" si="35"/>
        <v>99</v>
      </c>
    </row>
    <row r="7" spans="1:125" ht="25.5" x14ac:dyDescent="0.25">
      <c r="J7" s="123" t="s">
        <v>2410</v>
      </c>
      <c r="K7" s="6">
        <f t="shared" si="13"/>
        <v>0.15086206896551724</v>
      </c>
      <c r="L7" s="6">
        <f t="shared" si="0"/>
        <v>0.23132183908045978</v>
      </c>
      <c r="M7" s="6">
        <f t="shared" si="1"/>
        <v>0.32684824902723736</v>
      </c>
      <c r="N7" s="249">
        <f>COUNTIFS('DATOS 1'!$L$51:$L$427,1,'DATOS 1'!$AD$51:$AD$427,"X")+COUNTIFS('DATOS 1'!$L$51:$L$427,1,'DATOS 1'!$AF$51:$AF$427,"X")</f>
        <v>48</v>
      </c>
      <c r="O7" s="249">
        <f>COUNTIFS('DATOS 1'!$L$51:$L$427,"&lt;6",'DATOS 1'!$AD$51:$AD$427,"X")+COUNTIFS('DATOS 1'!$L$51:$L$427,"&lt;6",'DATOS 1'!$AF$51:$AF$427,"X")-N7</f>
        <v>73</v>
      </c>
      <c r="P7" s="249">
        <f>COUNTIFS('DATOS 1'!$L$7:$L$40,"&lt;31",'DATOS 1'!$AD$7:$AD$40,"X")+COUNTIFS('DATOS 1'!$L$7:$L$40,"&lt;31",'DATOS 1'!$AF$7:$AF$40,"X")</f>
        <v>18</v>
      </c>
      <c r="Q7" s="249">
        <f>COUNTIFS('[1]ENCUESTA CONDUCTORES'!$E$7:$E$459,"X",'[1]ENCUESTA CONDUCTORES'!$BN$7:$BN$459,"X")+COUNTIFS('[1]ENCUESTA CONDUCTORES'!$E$7:$E$459,"X",'[1]ENCUESTA CONDUCTORES'!$BP$7:$BP$459,"X")</f>
        <v>22</v>
      </c>
      <c r="R7" s="249">
        <f>COUNTIFS('[1]ENCUESTA CONDUCTORES'!$F$7:$F$459,"X",'[1]ENCUESTA CONDUCTORES'!$BN$7:$BN$459,"X")+COUNTIFS('[1]ENCUESTA CONDUCTORES'!$F$7:$F$459,"X",'[1]ENCUESTA CONDUCTORES'!$BP$7:$BP$459,"X")+COUNTIFS('[1]ENCUESTA CONDUCTORES'!$G$7:$G$459,"X",'[1]ENCUESTA CONDUCTORES'!$BN$7:$BN$459,"X")+COUNTIFS('[1]ENCUESTA CONDUCTORES'!$G$7:$G$459,"X",'[1]ENCUESTA CONDUCTORES'!$BP$7:$BP$459,"X")</f>
        <v>88</v>
      </c>
      <c r="S7" s="249">
        <f>COUNTIFS('[1]ENCUESTA CONDUCTORES'!$H$7:$H$459,"X",'[1]ENCUESTA CONDUCTORES'!$BN$7:$BN$459,"X")+COUNTIFS('[1]ENCUESTA CONDUCTORES'!$H$7:$H$459,"X",'[1]ENCUESTA CONDUCTORES'!$BP$7:$BP$459,"X")</f>
        <v>66</v>
      </c>
      <c r="V7" s="249" t="s">
        <v>2419</v>
      </c>
      <c r="W7" s="6">
        <f t="shared" si="14"/>
        <v>0.125</v>
      </c>
      <c r="X7" s="6">
        <f>(AA7+AD7)/(AA$8+AD$8)</f>
        <v>6.0810810810810814E-2</v>
      </c>
      <c r="Y7" s="6">
        <f>(AB7+AE7)/(AB$8+AE$8)</f>
        <v>7.3891625615763554E-2</v>
      </c>
      <c r="Z7" s="249">
        <f>COUNTIFS('DETALLES UNIDADES'!$BA$8:$BA$987,1,'DETALLES UNIDADES'!$O$8:$O$987,"&lt;10%")</f>
        <v>26</v>
      </c>
      <c r="AA7" s="249">
        <f>COUNTIFS('DETALLES UNIDADES'!$BA$8:$BA$987,"&lt;6",'DETALLES UNIDADES'!$O$8:$O$987,"&lt;10%")-Z7</f>
        <v>27</v>
      </c>
      <c r="AB7" s="249">
        <f>COUNTIFS('DETALLES UNIDADES'!$BA$8:$BA$987,"&gt;5",'DETALLES UNIDADES'!$O$8:$O$987,"&lt;10%")</f>
        <v>14</v>
      </c>
      <c r="AC7" s="249">
        <f>COUNTIFS('[1]ENCUESTA CONDUCTORES'!$E$7:$E$459,"X",'[1]ENCUESTA CONDUCTORES'!$AV$7:$AV$459,"&lt;10%")</f>
        <v>8</v>
      </c>
      <c r="AD7" s="249">
        <f>COUNTIFS('[1]ENCUESTA CONDUCTORES'!$F$7:$F$459,"X",'[1]ENCUESTA CONDUCTORES'!$AV$7:$AV$459,"&lt;10%")+COUNTIFS('[1]ENCUESTA CONDUCTORES'!$G$7:$G$459,"X",'[1]ENCUESTA CONDUCTORES'!$AV$7:$AV$459,"&lt;10%")</f>
        <v>18</v>
      </c>
      <c r="AE7" s="249">
        <f>COUNTIFS('[1]ENCUESTA CONDUCTORES'!$H$7:$H$459,"X",'[1]ENCUESTA CONDUCTORES'!$AV$7:$AV$459,"&lt;10%")</f>
        <v>16</v>
      </c>
      <c r="AH7" s="151" t="s">
        <v>1668</v>
      </c>
      <c r="AI7" s="6">
        <f t="shared" si="15"/>
        <v>2.3904382470119521E-2</v>
      </c>
      <c r="AJ7" s="6">
        <f t="shared" si="4"/>
        <v>5.9040590405904057E-2</v>
      </c>
      <c r="AK7" s="6">
        <f t="shared" si="5"/>
        <v>0.10169491525423729</v>
      </c>
      <c r="AL7" s="249">
        <f>COUNTIFS('DATOS 1'!$L$51:$L$427,1,'DATOS 1'!$BF$51:$BF$427,"X")+COUNTIFS('DATOS 1'!$L$51:$L$427,1,'DATOS 1'!$BH$51:$BH$427,"X")</f>
        <v>6</v>
      </c>
      <c r="AM7" s="249">
        <f>COUNTIFS('DATOS 1'!$L$51:$L$427,"&lt;6",'DATOS 1'!$BF$51:$BF$427,"X")+COUNTIFS('DATOS 1'!$L$51:$L$427,"&lt;6",'DATOS 1'!$BH$51:$BH$427,"X")-AL7</f>
        <v>16</v>
      </c>
      <c r="AN7" s="249">
        <f>COUNTIF('DATOS 1'!$BF$7:$BF$40,"X")+COUNTIF('DATOS 1'!$BH$7:$BH$40,"X")</f>
        <v>6</v>
      </c>
      <c r="AT7" s="11">
        <f t="shared" si="16"/>
        <v>42</v>
      </c>
      <c r="AU7" s="9">
        <v>1972</v>
      </c>
      <c r="AV7" s="6"/>
      <c r="AW7" s="249">
        <f>COUNTIFS('DATOS 2'!$AA$5:$AA$1437,1,'DATOS 2'!$D$5:$D$1437,AU7)</f>
        <v>0</v>
      </c>
      <c r="AY7" s="11" t="s">
        <v>1716</v>
      </c>
      <c r="AZ7" s="6">
        <f t="shared" si="25"/>
        <v>0.12727272727272726</v>
      </c>
      <c r="BA7" s="6">
        <f t="shared" si="17"/>
        <v>0.16487935656836461</v>
      </c>
      <c r="BB7" s="6">
        <f t="shared" si="18"/>
        <v>0.21601941747572814</v>
      </c>
      <c r="BC7" s="138">
        <f>COUNTIFS('DATOS 2'!$AA$5:$AA$1437,1,'DATOS 2'!$E$5:$E$1437,"&lt;500001")-BC6</f>
        <v>35</v>
      </c>
      <c r="BD7" s="138">
        <f>COUNTIFS('DATOS 2'!$AA$5:$AA$1437,"&lt;6",'DATOS 2'!$E$5:$E$1437,"&lt;500001")-BD6-BC6-BC7</f>
        <v>123</v>
      </c>
      <c r="BE7" s="138">
        <f>COUNTIFS('DATOS 2'!$AA$5:$AA$1437,"&gt;5",'DATOS 2'!$E$5:$E$1437,"&lt;500001")-BE6</f>
        <v>89</v>
      </c>
      <c r="BH7" s="137" t="s">
        <v>138</v>
      </c>
      <c r="BI7" s="6">
        <f t="shared" si="36"/>
        <v>0.13230769230769232</v>
      </c>
      <c r="BJ7" s="6">
        <f t="shared" si="19"/>
        <v>0.44615384615384618</v>
      </c>
      <c r="BK7" s="6">
        <f t="shared" si="19"/>
        <v>0.42153846153846153</v>
      </c>
      <c r="BL7" s="152">
        <f>COUNTIFS('DETALLES UNIDADES'!$BA$8:$BA$987,1,'DETALLES UNIDADES'!$AI$8:$AI$987,"X")</f>
        <v>43</v>
      </c>
      <c r="BM7" s="152">
        <f>COUNTIFS('DETALLES UNIDADES'!$BA$8:$BA$987,"&lt;6",'DETALLES UNIDADES'!$AI$8:$AI$987,"X")-BL7</f>
        <v>145</v>
      </c>
      <c r="BN7" s="152">
        <f>COUNTIFS('DETALLES UNIDADES'!$BA$8:$BA$987,"&gt;5",'DETALLES UNIDADES'!$AI$8:$AI$987,"X")</f>
        <v>137</v>
      </c>
      <c r="BO7" s="138">
        <f t="shared" si="26"/>
        <v>325</v>
      </c>
      <c r="BP7" s="6"/>
      <c r="BQ7" s="137" t="s">
        <v>878</v>
      </c>
      <c r="BR7" s="6">
        <f t="shared" si="27"/>
        <v>8.8122605363984668E-2</v>
      </c>
      <c r="BS7" s="6">
        <f t="shared" si="20"/>
        <v>0.22680412371134021</v>
      </c>
      <c r="BT7" s="6">
        <f t="shared" si="21"/>
        <v>0.14545454545454545</v>
      </c>
      <c r="BU7" s="249">
        <f>COUNTIFS('ENCUESTA PROPIETARIOS'!$N$7:$N$417,1,'ENCUESTA PROPIETARIOS'!$BV$7:$BV$417,"X")</f>
        <v>23</v>
      </c>
      <c r="BV7" s="249">
        <f>COUNTIFS('ENCUESTA PROPIETARIOS'!$N$7:$N$417,"&lt;6",'ENCUESTA PROPIETARIOS'!$BV$7:$BV$417,"X")-BU7</f>
        <v>66</v>
      </c>
      <c r="BW7" s="249">
        <f>COUNTIFS('ENCUESTA PROPIETARIOS'!$N$7:$N$417,"&gt;5",'ENCUESTA PROPIETARIOS'!$BV$7:$BV$417,"X")</f>
        <v>8</v>
      </c>
      <c r="CS7" s="19" t="s">
        <v>1280</v>
      </c>
      <c r="CT7" s="249">
        <f>COUNTIFS('ENCUESTA PROPIETARIOS'!$A$7:$A$417,"SSE OAXACA",'ENCUESTA PROPIETARIOS'!$L$7:$L$417,CS7)</f>
        <v>1</v>
      </c>
      <c r="CU7" s="249">
        <f>COUNTIFS('ENCUESTA PROPIETARIOS'!$A$7:$A$417,"C D.F.",'ENCUESTA PROPIETARIOS'!$L$7:$L$417,CS7)+COUNTIFS('ENCUESTA PROPIETARIOS'!$A$7:$A$417,"C QUERETARO",'ENCUESTA PROPIETARIOS'!$L$7:$L$417,CS7)+COUNTIFS('ENCUESTA PROPIETARIOS'!$A$7:$A$417,"C JALISCO",'ENCUESTA PROPIETARIOS'!$L$7:$L$417,CS7)+COUNTIFS('ENCUESTA PROPIETARIOS'!$A$7:$A$417,"C VERACRUZ",'ENCUESTA PROPIETARIOS'!$L$7:$L$417,CS7)</f>
        <v>45</v>
      </c>
      <c r="CV7" s="249">
        <f>COUNTIFS('ENCUESTA PROPIETARIOS'!$A$7:$A$417,"NO SINALOA",'ENCUESTA PROPIETARIOS'!$L$7:$L$417,CS7)+COUNTIFS('ENCUESTA PROPIETARIOS'!$A$7:$A$417,"NO CHIHUAHUA",'ENCUESTA PROPIETARIOS'!$L$7:$L$417,CS7)</f>
        <v>0</v>
      </c>
      <c r="CW7" s="249">
        <f>COUNTIFS('ENCUESTA PROPIETARIOS'!$A$7:$A$417,"NE NUEVO LEON",'ENCUESTA PROPIETARIOS'!$L$7:$L$417,CS7)+COUNTIFS('ENCUESTA PROPIETARIOS'!$A$7:$A$417,"NE TAMAULIPAS",'ENCUESTA PROPIETARIOS'!$L$7:$L$417,CS7)</f>
        <v>1</v>
      </c>
      <c r="CX7" s="249">
        <f t="shared" si="31"/>
        <v>47</v>
      </c>
      <c r="CY7" s="112"/>
      <c r="CZ7" s="123" t="s">
        <v>2410</v>
      </c>
      <c r="DA7" s="6">
        <f t="shared" si="24"/>
        <v>0.15086206896551724</v>
      </c>
      <c r="DB7" s="6">
        <f t="shared" si="10"/>
        <v>0.23132183908045978</v>
      </c>
      <c r="DC7" s="6">
        <f t="shared" si="11"/>
        <v>0.32684824902723736</v>
      </c>
      <c r="DD7" s="249">
        <f>COUNTIFS('DATOS 1'!$L$51:$L$427,1,'DATOS 1'!$AD$51:$AD$427,"X")+COUNTIFS('DATOS 1'!$L$51:$L$427,1,'DATOS 1'!$AF$51:$AF$427,"X")</f>
        <v>48</v>
      </c>
      <c r="DE7" s="249">
        <f>COUNTIFS('DATOS 1'!$L$51:$L$427,"&lt;6",'DATOS 1'!$AD$51:$AD$427,"X")+COUNTIFS('DATOS 1'!$L$51:$L$427,"&lt;6",'DATOS 1'!$AF$51:$AF$427,"X")-DD7</f>
        <v>73</v>
      </c>
      <c r="DF7" s="249">
        <f>COUNTIFS('DATOS 1'!$L$7:$L$40,"&lt;31",'DATOS 1'!$AD$7:$AD$40,"X")+COUNTIFS('DATOS 1'!$L$7:$L$40,"&lt;31",'DATOS 1'!$AF$7:$AF$40,"X")</f>
        <v>18</v>
      </c>
      <c r="DG7" s="249">
        <f>COUNTIFS('[1]ENCUESTA CONDUCTORES'!$E$7:$E$459,"X",'[1]ENCUESTA CONDUCTORES'!$BN$7:$BN$459,"X")+COUNTIFS('[1]ENCUESTA CONDUCTORES'!$E$7:$E$459,"X",'[1]ENCUESTA CONDUCTORES'!$BP$7:$BP$459,"X")</f>
        <v>22</v>
      </c>
      <c r="DH7" s="249">
        <f>COUNTIFS('[1]ENCUESTA CONDUCTORES'!$F$7:$F$459,"X",'[1]ENCUESTA CONDUCTORES'!$BN$7:$BN$459,"X")+COUNTIFS('[1]ENCUESTA CONDUCTORES'!$F$7:$F$459,"X",'[1]ENCUESTA CONDUCTORES'!$BP$7:$BP$459,"X")+COUNTIFS('[1]ENCUESTA CONDUCTORES'!$G$7:$G$459,"X",'[1]ENCUESTA CONDUCTORES'!$BN$7:$BN$459,"X")+COUNTIFS('[1]ENCUESTA CONDUCTORES'!$G$7:$G$459,"X",'[1]ENCUESTA CONDUCTORES'!$BP$7:$BP$459,"X")</f>
        <v>88</v>
      </c>
      <c r="DI7" s="249">
        <f>COUNTIFS('[1]ENCUESTA CONDUCTORES'!$H$7:$H$459,"X",'[1]ENCUESTA CONDUCTORES'!$BN$7:$BN$459,"X")+COUNTIFS('[1]ENCUESTA CONDUCTORES'!$H$7:$H$459,"X",'[1]ENCUESTA CONDUCTORES'!$BP$7:$BP$459,"X")</f>
        <v>66</v>
      </c>
      <c r="DM7" s="249" t="s">
        <v>2418</v>
      </c>
      <c r="DN7" s="6">
        <f t="shared" si="32"/>
        <v>0.15048543689320387</v>
      </c>
      <c r="DO7" s="6">
        <f t="shared" si="33"/>
        <v>9.1097308488612833E-2</v>
      </c>
      <c r="DP7" s="6">
        <f t="shared" si="34"/>
        <v>1.7730496453900711E-2</v>
      </c>
      <c r="DQ7" s="249" t="s">
        <v>2418</v>
      </c>
      <c r="DR7" s="249">
        <f>COUNTIFS('DETALLES UNIDADES'!$BA$8:$BA$987,"1",'DETALLES UNIDADES'!$O$8:$O$987,"&lt;20%")-DR8</f>
        <v>31</v>
      </c>
      <c r="DS7" s="249">
        <f>COUNTIFS('DETALLES UNIDADES'!$BA$8:$BA$987,"&lt;6",'DETALLES UNIDADES'!$O$8:$O$987,"&lt;20%")-DS8-DR7-DR8</f>
        <v>44</v>
      </c>
      <c r="DT7" s="249">
        <f>COUNTIFS('DETALLES UNIDADES'!$BA$8:$BA$987,"&gt;5",'DETALLES UNIDADES'!$O$8:$O$987,"&lt;20%")-DT8</f>
        <v>5</v>
      </c>
      <c r="DU7" s="249">
        <f t="shared" si="35"/>
        <v>80</v>
      </c>
    </row>
    <row r="8" spans="1:125" ht="25.5" x14ac:dyDescent="0.25">
      <c r="J8" s="123" t="s">
        <v>193</v>
      </c>
      <c r="K8" s="6">
        <f t="shared" si="13"/>
        <v>0.1875</v>
      </c>
      <c r="L8" s="6">
        <f t="shared" si="0"/>
        <v>0.10057471264367816</v>
      </c>
      <c r="M8" s="6">
        <f t="shared" si="1"/>
        <v>3.5019455252918288E-2</v>
      </c>
      <c r="N8" s="249">
        <f>COUNTIFS('DATOS 1'!$L$51:$L$427,1,'DATOS 1'!$AE$51:$AE$427,"X")</f>
        <v>63</v>
      </c>
      <c r="O8" s="249">
        <f>COUNTIFS('DATOS 1'!$L$51:$L$427,"&lt;6",'DATOS 1'!$AE$51:$AE$427,"X")-N8</f>
        <v>30</v>
      </c>
      <c r="P8" s="249">
        <f>COUNTIFS('DATOS 1'!$L$7:$L$40,"&lt;31",'DATOS 1'!$AE$7:$AE$40,"X")</f>
        <v>8</v>
      </c>
      <c r="Q8" s="249">
        <f>COUNTIFS('[1]ENCUESTA CONDUCTORES'!$E$7:$E$459,"X",'[1]ENCUESTA CONDUCTORES'!$BO$7:$BO$459,"X")</f>
        <v>24</v>
      </c>
      <c r="R8" s="249">
        <f>COUNTIFS('[1]ENCUESTA CONDUCTORES'!$F$7:$F$459,"X",'[1]ENCUESTA CONDUCTORES'!$BO$7:$BO$459,"X")+COUNTIFS('[1]ENCUESTA CONDUCTORES'!$G$7:$G$459,"X",'[1]ENCUESTA CONDUCTORES'!$BO$7:$BO$459,"X")</f>
        <v>40</v>
      </c>
      <c r="S8" s="249">
        <f>COUNTIFS('[1]ENCUESTA CONDUCTORES'!$H$7:$H$459,"X",'[1]ENCUESTA CONDUCTORES'!$BO$7:$BO$459,"X")</f>
        <v>1</v>
      </c>
      <c r="V8" s="249" t="s">
        <v>715</v>
      </c>
      <c r="W8" s="6">
        <f t="shared" ref="W8:AE8" si="37">SUM(W3:W7)</f>
        <v>1</v>
      </c>
      <c r="X8" s="6">
        <f t="shared" si="37"/>
        <v>1</v>
      </c>
      <c r="Y8" s="6">
        <f t="shared" si="37"/>
        <v>1</v>
      </c>
      <c r="Z8" s="249">
        <f t="shared" si="37"/>
        <v>206</v>
      </c>
      <c r="AA8" s="249">
        <f t="shared" si="37"/>
        <v>477</v>
      </c>
      <c r="AB8" s="249">
        <f t="shared" si="37"/>
        <v>282</v>
      </c>
      <c r="AC8" s="249">
        <f t="shared" si="37"/>
        <v>66</v>
      </c>
      <c r="AD8" s="249">
        <f t="shared" si="37"/>
        <v>263</v>
      </c>
      <c r="AE8" s="249">
        <f t="shared" si="37"/>
        <v>124</v>
      </c>
      <c r="AH8" s="11" t="s">
        <v>715</v>
      </c>
      <c r="AI8" s="6">
        <f t="shared" si="15"/>
        <v>1</v>
      </c>
      <c r="AJ8" s="6">
        <f t="shared" si="4"/>
        <v>1</v>
      </c>
      <c r="AK8" s="6">
        <f t="shared" si="5"/>
        <v>1</v>
      </c>
      <c r="AL8" s="249">
        <f>SUM(AL3:AL7)</f>
        <v>251</v>
      </c>
      <c r="AM8" s="249">
        <f t="shared" ref="AM8:AN8" si="38">SUM(AM3:AM7)</f>
        <v>271</v>
      </c>
      <c r="AN8" s="249">
        <f t="shared" si="38"/>
        <v>59</v>
      </c>
      <c r="AT8" s="11">
        <f t="shared" si="16"/>
        <v>41</v>
      </c>
      <c r="AU8" s="9">
        <v>1973</v>
      </c>
      <c r="AV8" s="6"/>
      <c r="AW8" s="249">
        <f>COUNTIFS('DATOS 2'!$AA$5:$AA$1437,1,'DATOS 2'!$D$5:$D$1437,AU8)</f>
        <v>2</v>
      </c>
      <c r="AY8" s="11" t="s">
        <v>1713</v>
      </c>
      <c r="AZ8" s="6">
        <f t="shared" si="25"/>
        <v>0.4</v>
      </c>
      <c r="BA8" s="6">
        <f t="shared" si="17"/>
        <v>0.403485254691689</v>
      </c>
      <c r="BB8" s="6">
        <f t="shared" si="18"/>
        <v>0.32038834951456313</v>
      </c>
      <c r="BC8" s="138">
        <f>COUNTIFS('DATOS 2'!$AA$5:$AA$1437,1,'DATOS 2'!$E$5:$E$1437,"&lt;1000001")-BC7-BC6</f>
        <v>110</v>
      </c>
      <c r="BD8" s="138">
        <f>COUNTIFS('DATOS 2'!$AA$5:$AA$1437,"&lt;6",'DATOS 2'!$E$5:$E$1437,"&lt;1000001")-BD7-BD6-BC8-BC7-BC6</f>
        <v>301</v>
      </c>
      <c r="BE8" s="138">
        <f>COUNTIFS('DATOS 2'!$AA$5:$AA$1437,"&gt;5",'DATOS 2'!$E$5:$E$1437,"&lt;1000001")-BE7-BE6</f>
        <v>132</v>
      </c>
      <c r="BH8" s="137" t="s">
        <v>139</v>
      </c>
      <c r="BI8" s="6">
        <f t="shared" si="36"/>
        <v>9.8765432098765427E-2</v>
      </c>
      <c r="BJ8" s="6">
        <f t="shared" si="19"/>
        <v>0.37037037037037035</v>
      </c>
      <c r="BK8" s="6">
        <f t="shared" si="19"/>
        <v>0.53086419753086422</v>
      </c>
      <c r="BL8" s="152">
        <f>COUNTIFS('DETALLES UNIDADES'!$BA$8:$BA$987,1,'DETALLES UNIDADES'!$AJ$8:$AJ$987,"X")</f>
        <v>8</v>
      </c>
      <c r="BM8" s="152">
        <f>COUNTIFS('DETALLES UNIDADES'!$BA$8:$BA$987,"&lt;6",'DETALLES UNIDADES'!$AJ$8:$AJ$987,"X")-BL8</f>
        <v>30</v>
      </c>
      <c r="BN8" s="152">
        <f>COUNTIFS('DETALLES UNIDADES'!$BA$8:$BA$987,"&gt;5",'DETALLES UNIDADES'!$AJ$8:$AJ$987,"X")</f>
        <v>43</v>
      </c>
      <c r="BO8" s="138">
        <f t="shared" si="26"/>
        <v>81</v>
      </c>
      <c r="BP8" s="6"/>
      <c r="BQ8" s="137" t="s">
        <v>879</v>
      </c>
      <c r="BR8" s="6">
        <f t="shared" si="27"/>
        <v>0.2413793103448276</v>
      </c>
      <c r="BS8" s="6">
        <f t="shared" si="20"/>
        <v>0.27147766323024053</v>
      </c>
      <c r="BT8" s="6">
        <f t="shared" si="21"/>
        <v>0.29090909090909089</v>
      </c>
      <c r="BU8" s="249">
        <f>COUNTIFS('ENCUESTA PROPIETARIOS'!$N$7:$N$417,1,'ENCUESTA PROPIETARIOS'!$BW$7:$BW$417,"X")</f>
        <v>63</v>
      </c>
      <c r="BV8" s="249">
        <f>COUNTIFS('ENCUESTA PROPIETARIOS'!$N$7:$N$417,"&lt;6",'ENCUESTA PROPIETARIOS'!$BW$7:$BW$417,"X")-BU8</f>
        <v>79</v>
      </c>
      <c r="BW8" s="249">
        <f>COUNTIFS('ENCUESTA PROPIETARIOS'!$N$7:$N$417,"&gt;5",'ENCUESTA PROPIETARIOS'!$BW$7:$BW$417,"X")</f>
        <v>16</v>
      </c>
      <c r="CA8" s="11" t="s">
        <v>1024</v>
      </c>
      <c r="CB8" s="250" t="s">
        <v>2435</v>
      </c>
      <c r="CC8" s="250" t="s">
        <v>2436</v>
      </c>
      <c r="CD8" s="250" t="s">
        <v>714</v>
      </c>
      <c r="CE8" s="250" t="s">
        <v>2433</v>
      </c>
      <c r="CF8" s="250" t="s">
        <v>2434</v>
      </c>
      <c r="CG8" s="250" t="s">
        <v>714</v>
      </c>
      <c r="CJ8" s="11" t="s">
        <v>912</v>
      </c>
      <c r="CK8" s="250" t="s">
        <v>2435</v>
      </c>
      <c r="CL8" s="250" t="s">
        <v>2436</v>
      </c>
      <c r="CM8" s="250" t="s">
        <v>714</v>
      </c>
      <c r="CN8" s="250" t="s">
        <v>2433</v>
      </c>
      <c r="CO8" s="250" t="s">
        <v>2434</v>
      </c>
      <c r="CP8" s="250" t="s">
        <v>714</v>
      </c>
      <c r="CS8" s="19" t="s">
        <v>1183</v>
      </c>
      <c r="CT8" s="249">
        <f>COUNTIFS('ENCUESTA PROPIETARIOS'!$A$7:$A$417,"SSE OAXACA",'ENCUESTA PROPIETARIOS'!$L$7:$L$417,CS8)</f>
        <v>2</v>
      </c>
      <c r="CU8" s="249">
        <f>COUNTIFS('ENCUESTA PROPIETARIOS'!$A$7:$A$417,"C D.F.",'ENCUESTA PROPIETARIOS'!$L$7:$L$417,CS8)+COUNTIFS('ENCUESTA PROPIETARIOS'!$A$7:$A$417,"C QUERETARO",'ENCUESTA PROPIETARIOS'!$L$7:$L$417,CS8)+COUNTIFS('ENCUESTA PROPIETARIOS'!$A$7:$A$417,"C JALISCO",'ENCUESTA PROPIETARIOS'!$L$7:$L$417,CS8)+COUNTIFS('ENCUESTA PROPIETARIOS'!$A$7:$A$417,"C VERACRUZ",'ENCUESTA PROPIETARIOS'!$L$7:$L$417,CS8)</f>
        <v>28</v>
      </c>
      <c r="CV8" s="249">
        <f>COUNTIFS('ENCUESTA PROPIETARIOS'!$A$7:$A$417,"NO SINALOA",'ENCUESTA PROPIETARIOS'!$L$7:$L$417,CS8)+COUNTIFS('ENCUESTA PROPIETARIOS'!$A$7:$A$417,"NO CHIHUAHUA",'ENCUESTA PROPIETARIOS'!$L$7:$L$417,CS8)</f>
        <v>0</v>
      </c>
      <c r="CW8" s="249">
        <f>COUNTIFS('ENCUESTA PROPIETARIOS'!$A$7:$A$417,"NE NUEVO LEON",'ENCUESTA PROPIETARIOS'!$L$7:$L$417,CS8)+COUNTIFS('ENCUESTA PROPIETARIOS'!$A$7:$A$417,"NE TAMAULIPAS",'ENCUESTA PROPIETARIOS'!$L$7:$L$417,CS8)</f>
        <v>0</v>
      </c>
      <c r="CX8" s="249">
        <f t="shared" si="31"/>
        <v>30</v>
      </c>
      <c r="CY8" s="112"/>
      <c r="CZ8" s="123" t="s">
        <v>193</v>
      </c>
      <c r="DA8" s="6">
        <f t="shared" si="24"/>
        <v>0.1875</v>
      </c>
      <c r="DB8" s="6">
        <f t="shared" si="10"/>
        <v>0.10057471264367816</v>
      </c>
      <c r="DC8" s="6">
        <f t="shared" si="11"/>
        <v>3.5019455252918288E-2</v>
      </c>
      <c r="DD8" s="249">
        <f>COUNTIFS('DATOS 1'!$L$51:$L$427,1,'DATOS 1'!$AE$51:$AE$427,"X")</f>
        <v>63</v>
      </c>
      <c r="DE8" s="249">
        <f>COUNTIFS('DATOS 1'!$L$51:$L$427,"&lt;6",'DATOS 1'!$AE$51:$AE$427,"X")-DD8</f>
        <v>30</v>
      </c>
      <c r="DF8" s="249">
        <f>COUNTIFS('DATOS 1'!$L$7:$L$40,"&lt;31",'DATOS 1'!$AE$7:$AE$40,"X")</f>
        <v>8</v>
      </c>
      <c r="DG8" s="249">
        <f>COUNTIFS('[1]ENCUESTA CONDUCTORES'!$E$7:$E$459,"X",'[1]ENCUESTA CONDUCTORES'!$BO$7:$BO$459,"X")</f>
        <v>24</v>
      </c>
      <c r="DH8" s="249">
        <f>COUNTIFS('[1]ENCUESTA CONDUCTORES'!$F$7:$F$459,"X",'[1]ENCUESTA CONDUCTORES'!$BO$7:$BO$459,"X")+COUNTIFS('[1]ENCUESTA CONDUCTORES'!$G$7:$G$459,"X",'[1]ENCUESTA CONDUCTORES'!$BO$7:$BO$459,"X")</f>
        <v>40</v>
      </c>
      <c r="DI8" s="249">
        <f>COUNTIFS('[1]ENCUESTA CONDUCTORES'!$H$7:$H$459,"X",'[1]ENCUESTA CONDUCTORES'!$BO$7:$BO$459,"X")</f>
        <v>1</v>
      </c>
      <c r="DM8" s="249" t="s">
        <v>2419</v>
      </c>
      <c r="DN8" s="6">
        <f t="shared" si="32"/>
        <v>0.12621359223300971</v>
      </c>
      <c r="DO8" s="6">
        <f t="shared" si="33"/>
        <v>5.5900621118012424E-2</v>
      </c>
      <c r="DP8" s="6">
        <f t="shared" si="34"/>
        <v>4.9645390070921988E-2</v>
      </c>
      <c r="DQ8" s="249" t="s">
        <v>2419</v>
      </c>
      <c r="DR8" s="249">
        <f>COUNTIFS('DETALLES UNIDADES'!$BA$8:$BA$987,"1",'DETALLES UNIDADES'!$O$8:$O$987,"&lt;10%")</f>
        <v>26</v>
      </c>
      <c r="DS8" s="249">
        <f>COUNTIFS('DETALLES UNIDADES'!$BA$8:$BA$987,"&lt;6",'DETALLES UNIDADES'!$O$8:$O$987,"&lt;10%")-DR8</f>
        <v>27</v>
      </c>
      <c r="DT8" s="249">
        <f>COUNTIFS('DETALLES UNIDADES'!$BA$8:$BA$987,"&gt;5",'DETALLES UNIDADES'!$O$8:$O$987,"&lt;10%")</f>
        <v>14</v>
      </c>
      <c r="DU8" s="249">
        <f t="shared" si="35"/>
        <v>67</v>
      </c>
    </row>
    <row r="9" spans="1:125" x14ac:dyDescent="0.25">
      <c r="A9" s="112" t="s">
        <v>2423</v>
      </c>
      <c r="B9" s="249" t="s">
        <v>718</v>
      </c>
      <c r="C9" s="249" t="s">
        <v>717</v>
      </c>
      <c r="J9" s="123" t="s">
        <v>26</v>
      </c>
      <c r="K9" s="6">
        <f t="shared" si="13"/>
        <v>5.3879310344827583E-2</v>
      </c>
      <c r="L9" s="6">
        <f t="shared" si="0"/>
        <v>6.17816091954023E-2</v>
      </c>
      <c r="M9" s="6">
        <f t="shared" si="1"/>
        <v>7.7821011673151752E-2</v>
      </c>
      <c r="N9" s="249">
        <f>COUNTIFS('DATOS 1'!$L$51:$L$427,1,'DATOS 1'!$AG$51:$AG$427,"X")</f>
        <v>21</v>
      </c>
      <c r="O9" s="249">
        <f>COUNTIFS('DATOS 1'!$L$51:$L$427,"&lt;6",'DATOS 1'!$AG$51:$AG$427,"X")-N9</f>
        <v>33</v>
      </c>
      <c r="P9" s="249">
        <f>COUNTIFS('DATOS 1'!$L$7:$L$40,"&lt;31",'DATOS 1'!$AG$7:$AG$40,"X")</f>
        <v>9</v>
      </c>
      <c r="Q9" s="249">
        <f>COUNTIFS('[1]ENCUESTA CONDUCTORES'!$E$7:$E$459,"X",'[1]ENCUESTA CONDUCTORES'!$BQ$7:$BQ$459,"X")</f>
        <v>4</v>
      </c>
      <c r="R9" s="249">
        <f>COUNTIFS('[1]ENCUESTA CONDUCTORES'!$F$7:$F$459,"X",'[1]ENCUESTA CONDUCTORES'!$BQ$7:$BQ$459,"X")+COUNTIFS('[1]ENCUESTA CONDUCTORES'!$G$7:$G$459,"X",'[1]ENCUESTA CONDUCTORES'!$BQ$7:$BQ$459,"X")</f>
        <v>10</v>
      </c>
      <c r="S9" s="249">
        <f>COUNTIFS('[1]ENCUESTA CONDUCTORES'!$H$7:$H$459,"X",'[1]ENCUESTA CONDUCTORES'!$BQ$7:$BQ$459,"X")</f>
        <v>11</v>
      </c>
      <c r="Z9" s="249">
        <f>+Z8+AA8+AB8</f>
        <v>965</v>
      </c>
      <c r="AC9" s="249">
        <f>+AC8+AD8+AE8</f>
        <v>453</v>
      </c>
      <c r="AT9" s="11">
        <f t="shared" si="16"/>
        <v>40</v>
      </c>
      <c r="AU9" s="9">
        <v>1974</v>
      </c>
      <c r="AV9" s="6"/>
      <c r="AW9" s="249">
        <f>COUNTIFS('DATOS 2'!$AA$5:$AA$1437,1,'DATOS 2'!$D$5:$D$1437,AU9)</f>
        <v>1</v>
      </c>
      <c r="AY9" s="11" t="s">
        <v>943</v>
      </c>
      <c r="AZ9" s="6">
        <f t="shared" si="25"/>
        <v>0.1709090909090909</v>
      </c>
      <c r="BA9" s="6">
        <f t="shared" si="17"/>
        <v>0.11394101876675604</v>
      </c>
      <c r="BB9" s="6">
        <f t="shared" si="18"/>
        <v>0.11650485436893204</v>
      </c>
      <c r="BC9" s="138">
        <f>COUNTIFS('DATOS 2'!$AA$5:$AA$1437,1,'DATOS 2'!$E$5:$E$1437,"&lt;1500001")-BC8-BC7-BC6</f>
        <v>47</v>
      </c>
      <c r="BD9" s="138">
        <f>COUNTIFS('DATOS 2'!$AA$5:$AA$1437,"&lt;6",'DATOS 2'!$E$5:$E$1437,"&lt;1500001")-BD8-BD7-BD6-BC9-BC8-BC7-BC6</f>
        <v>85</v>
      </c>
      <c r="BE9" s="138">
        <f>COUNTIFS('DATOS 2'!$AA$5:$AA$1437,"&gt;5",'DATOS 2'!$E$5:$E$1437,"&lt;1500001")-BE8-BE7-BE6</f>
        <v>48</v>
      </c>
      <c r="BH9" s="137" t="s">
        <v>141</v>
      </c>
      <c r="BI9" s="6">
        <f t="shared" si="36"/>
        <v>0.10943396226415095</v>
      </c>
      <c r="BJ9" s="6">
        <f t="shared" si="19"/>
        <v>0.55094339622641508</v>
      </c>
      <c r="BK9" s="6">
        <f t="shared" si="19"/>
        <v>0.33962264150943394</v>
      </c>
      <c r="BL9" s="152">
        <f>COUNTIFS('DETALLES UNIDADES'!$BA$8:$BA$987,1,'DETALLES UNIDADES'!$AL$8:$AL$987,"X")</f>
        <v>58</v>
      </c>
      <c r="BM9" s="152">
        <f>COUNTIFS('DETALLES UNIDADES'!$BA$8:$BA$987,"&lt;6",'DETALLES UNIDADES'!$AL$8:$AL$987,"X")-BL9</f>
        <v>292</v>
      </c>
      <c r="BN9" s="152">
        <f>COUNTIFS('DETALLES UNIDADES'!$BA$8:$BA$987,"&gt;5",'DETALLES UNIDADES'!$AL$8:$AL$987,"X")</f>
        <v>180</v>
      </c>
      <c r="BO9" s="138">
        <f t="shared" si="26"/>
        <v>530</v>
      </c>
      <c r="BP9" s="6"/>
      <c r="BQ9" s="137" t="s">
        <v>880</v>
      </c>
      <c r="BR9" s="6">
        <f t="shared" si="27"/>
        <v>1.9157088122605363E-2</v>
      </c>
      <c r="BS9" s="6">
        <f t="shared" si="20"/>
        <v>1.0309278350515464E-2</v>
      </c>
      <c r="BT9" s="6">
        <f t="shared" si="21"/>
        <v>1.8181818181818181E-2</v>
      </c>
      <c r="BU9" s="249">
        <f>COUNTIFS('ENCUESTA PROPIETARIOS'!$N$7:$N$417,1,'ENCUESTA PROPIETARIOS'!$BU$7:$BU$417,"X")+COUNTIFS('ENCUESTA PROPIETARIOS'!$N$7:$N$417,1,'ENCUESTA PROPIETARIOS'!$BX$7:$BX$417,"NO LA PODRIA PAGAR")+COUNTIFS('ENCUESTA PROPIETARIOS'!$N$7:$N$417,1,'ENCUESTA PROPIETARIOS'!$BX$7:$BX$417,"PERCANCE")</f>
        <v>5</v>
      </c>
      <c r="BV9" s="249">
        <f>COUNTIFS('ENCUESTA PROPIETARIOS'!$N$7:$N$417,"&lt;6",'ENCUESTA PROPIETARIOS'!$BU$7:$BU$417,"X")+COUNTIFS('ENCUESTA PROPIETARIOS'!$N$7:$N$417,"&lt;6",'ENCUESTA PROPIETARIOS'!$BX$7:$BX$417,"NO LA PODRIA PAGAR")+COUNTIFS('ENCUESTA PROPIETARIOS'!$N$7:$N$417,"&lt;6",'ENCUESTA PROPIETARIOS'!$BX$7:$BX$417,"PERCANCE")-BU9</f>
        <v>3</v>
      </c>
      <c r="BW9" s="249">
        <f>COUNTIFS('ENCUESTA PROPIETARIOS'!$N$7:$N$417,"&gt;5",'ENCUESTA PROPIETARIOS'!$BU$7:$BU$417,"X")+COUNTIFS('ENCUESTA PROPIETARIOS'!$N$7:$N$417,"&gt;5",'ENCUESTA PROPIETARIOS'!$BX$7:$BX$417,"NO LA PODRIA PAGAR")+COUNTIFS('ENCUESTA PROPIETARIOS'!$N$7:$N$417,"&gt;5",'ENCUESTA PROPIETARIOS'!$BX$7:$BX$417,"PERCANCE")</f>
        <v>1</v>
      </c>
      <c r="CA9" s="11" t="s">
        <v>913</v>
      </c>
      <c r="CB9" s="6">
        <f>+CE9/CE$11</f>
        <v>0.1</v>
      </c>
      <c r="CC9" s="6">
        <f t="shared" ref="CC9:CC11" si="39">+CF9/CF$11</f>
        <v>0.15942028985507245</v>
      </c>
      <c r="CD9" s="6">
        <f t="shared" ref="CD9:CD11" si="40">+CG9/CG$11</f>
        <v>0.14285714285714285</v>
      </c>
      <c r="CE9" s="249">
        <f>COUNTIFS('ENCUESTA PROPIETARIOS'!$N$7:$N$417,1,'ENCUESTA PROPIETARIOS'!$DU$7:$DU$417,"X")</f>
        <v>5</v>
      </c>
      <c r="CF9" s="249">
        <f>COUNTIFS('ENCUESTA PROPIETARIOS'!$N$7:$N$417,"&lt;6",'ENCUESTA PROPIETARIOS'!$DU$7:$DU$417,"X")-CE9</f>
        <v>11</v>
      </c>
      <c r="CG9" s="249">
        <f>COUNTIFS('ENCUESTA PROPIETARIOS'!$N$7:$N$417,"&gt;5",'ENCUESTA PROPIETARIOS'!$DU$7:$DU$417,"X")</f>
        <v>4</v>
      </c>
      <c r="CJ9" s="11" t="s">
        <v>913</v>
      </c>
      <c r="CK9" s="6">
        <f>+CN9/CN$11</f>
        <v>0</v>
      </c>
      <c r="CL9" s="6">
        <f t="shared" ref="CL9:CL11" si="41">+CO9/CO$11</f>
        <v>0</v>
      </c>
      <c r="CM9" s="6">
        <f t="shared" ref="CM9:CM11" si="42">+CP9/CP$11</f>
        <v>0.25</v>
      </c>
      <c r="CN9" s="249">
        <f>COUNTIFS('ENCUESTA PROPIETARIOS'!$N$7:$N$417,1,'ENCUESTA PROPIETARIOS'!$DN$7:$DN$417,"X")</f>
        <v>0</v>
      </c>
      <c r="CO9" s="249">
        <f>COUNTIFS('ENCUESTA PROPIETARIOS'!$N$7:$N$417,"&lt;6",'ENCUESTA PROPIETARIOS'!$DN$7:$DN$417,"X")-CN9</f>
        <v>0</v>
      </c>
      <c r="CP9" s="249">
        <f>COUNTIFS('ENCUESTA PROPIETARIOS'!$N$7:$N$417,"&gt;5",'ENCUESTA PROPIETARIOS'!$DN$7:$DN$417,"X")</f>
        <v>2</v>
      </c>
      <c r="CS9" s="19" t="s">
        <v>1283</v>
      </c>
      <c r="CT9" s="249">
        <f>COUNTIFS('ENCUESTA PROPIETARIOS'!$A$7:$A$417,"SSE OAXACA",'ENCUESTA PROPIETARIOS'!$L$7:$L$417,CS9)</f>
        <v>0</v>
      </c>
      <c r="CU9" s="249">
        <f>COUNTIFS('ENCUESTA PROPIETARIOS'!$A$7:$A$417,"C D.F.",'ENCUESTA PROPIETARIOS'!$L$7:$L$417,CS9)+COUNTIFS('ENCUESTA PROPIETARIOS'!$A$7:$A$417,"C QUERETARO",'ENCUESTA PROPIETARIOS'!$L$7:$L$417,CS9)+COUNTIFS('ENCUESTA PROPIETARIOS'!$A$7:$A$417,"C JALISCO",'ENCUESTA PROPIETARIOS'!$L$7:$L$417,CS9)+COUNTIFS('ENCUESTA PROPIETARIOS'!$A$7:$A$417,"C VERACRUZ",'ENCUESTA PROPIETARIOS'!$L$7:$L$417,CS9)</f>
        <v>26</v>
      </c>
      <c r="CV9" s="249">
        <f>COUNTIFS('ENCUESTA PROPIETARIOS'!$A$7:$A$417,"NO SINALOA",'ENCUESTA PROPIETARIOS'!$L$7:$L$417,CS9)+COUNTIFS('ENCUESTA PROPIETARIOS'!$A$7:$A$417,"NO CHIHUAHUA",'ENCUESTA PROPIETARIOS'!$L$7:$L$417,CS9)</f>
        <v>0</v>
      </c>
      <c r="CW9" s="249">
        <f>COUNTIFS('ENCUESTA PROPIETARIOS'!$A$7:$A$417,"NE NUEVO LEON",'ENCUESTA PROPIETARIOS'!$L$7:$L$417,CS9)+COUNTIFS('ENCUESTA PROPIETARIOS'!$A$7:$A$417,"NE TAMAULIPAS",'ENCUESTA PROPIETARIOS'!$L$7:$L$417,CS9)</f>
        <v>0</v>
      </c>
      <c r="CX9" s="249">
        <f t="shared" si="31"/>
        <v>26</v>
      </c>
      <c r="CY9" s="112"/>
      <c r="CZ9" s="123" t="s">
        <v>26</v>
      </c>
      <c r="DA9" s="6">
        <f t="shared" si="24"/>
        <v>5.3879310344827583E-2</v>
      </c>
      <c r="DB9" s="6">
        <f t="shared" si="10"/>
        <v>6.17816091954023E-2</v>
      </c>
      <c r="DC9" s="6">
        <f t="shared" si="11"/>
        <v>7.7821011673151752E-2</v>
      </c>
      <c r="DD9" s="249">
        <f>COUNTIFS('DATOS 1'!$L$51:$L$427,1,'DATOS 1'!$AG$51:$AG$427,"X")</f>
        <v>21</v>
      </c>
      <c r="DE9" s="249">
        <f>COUNTIFS('DATOS 1'!$L$51:$L$427,"&lt;6",'DATOS 1'!$AG$51:$AG$427,"X")-DD9</f>
        <v>33</v>
      </c>
      <c r="DF9" s="249">
        <f>COUNTIFS('DATOS 1'!$L$7:$L$40,"&lt;31",'DATOS 1'!$AG$7:$AG$40,"X")</f>
        <v>9</v>
      </c>
      <c r="DG9" s="249">
        <f>COUNTIFS('[1]ENCUESTA CONDUCTORES'!$E$7:$E$459,"X",'[1]ENCUESTA CONDUCTORES'!$BQ$7:$BQ$459,"X")</f>
        <v>4</v>
      </c>
      <c r="DH9" s="249">
        <f>COUNTIFS('[1]ENCUESTA CONDUCTORES'!$F$7:$F$459,"X",'[1]ENCUESTA CONDUCTORES'!$BQ$7:$BQ$459,"X")+COUNTIFS('[1]ENCUESTA CONDUCTORES'!$G$7:$G$459,"X",'[1]ENCUESTA CONDUCTORES'!$BQ$7:$BQ$459,"X")</f>
        <v>10</v>
      </c>
      <c r="DI9" s="249">
        <f>COUNTIFS('[1]ENCUESTA CONDUCTORES'!$H$7:$H$459,"X",'[1]ENCUESTA CONDUCTORES'!$BQ$7:$BQ$459,"X")</f>
        <v>11</v>
      </c>
      <c r="DM9" s="249" t="s">
        <v>2420</v>
      </c>
      <c r="DN9" s="6">
        <f t="shared" si="32"/>
        <v>1</v>
      </c>
      <c r="DO9" s="6">
        <f t="shared" si="33"/>
        <v>1</v>
      </c>
      <c r="DP9" s="6">
        <f t="shared" si="34"/>
        <v>1</v>
      </c>
      <c r="DQ9" s="249" t="s">
        <v>2420</v>
      </c>
      <c r="DR9" s="249">
        <f>SUM(DR4:DR8)</f>
        <v>206</v>
      </c>
      <c r="DS9" s="249">
        <f>SUM(DS4:DS8)</f>
        <v>483</v>
      </c>
      <c r="DT9" s="249">
        <f>SUM(DT4:DT8)</f>
        <v>282</v>
      </c>
      <c r="DU9" s="249">
        <f t="shared" si="35"/>
        <v>971</v>
      </c>
    </row>
    <row r="10" spans="1:125" x14ac:dyDescent="0.25">
      <c r="A10" s="11" t="s">
        <v>2429</v>
      </c>
      <c r="B10" s="6">
        <f>+C10/$C$17</f>
        <v>0.13861386138613863</v>
      </c>
      <c r="C10" s="249">
        <f>COUNTIFS('DATOS 1'!$L$51:$L$427,1,'DATOS 1'!$E$51:$E$427,"&lt;36")</f>
        <v>28</v>
      </c>
      <c r="J10" s="123" t="s">
        <v>2408</v>
      </c>
      <c r="K10" s="6">
        <f t="shared" si="13"/>
        <v>0.10560344827586207</v>
      </c>
      <c r="L10" s="6">
        <f t="shared" si="0"/>
        <v>0.15517241379310345</v>
      </c>
      <c r="M10" s="6">
        <f t="shared" si="1"/>
        <v>0.16342412451361868</v>
      </c>
      <c r="N10" s="249">
        <f>COUNTIF('DATOS 1'!$L$51:$L$427,1)-COUNTIFS('DATOS 1'!$L$51:$L$427,1,'DATOS 1'!$AI$51:$AI$427,"")</f>
        <v>39</v>
      </c>
      <c r="O10" s="249">
        <f>COUNTIF('DATOS 1'!$L$51:$L$427,"&lt;6")-COUNTIFS('DATOS 1'!$L$51:$L$427,"&lt;6",'DATOS 1'!$AI$51:$AI$427,"")-N10</f>
        <v>44</v>
      </c>
      <c r="P10" s="249">
        <f>COUNTIF('DATOS 1'!$L$7:$L$40,"&lt;31")-COUNTIFS('DATOS 1'!$L$7:$L$40,"&lt;31",'DATOS 1'!$AI$7:$AI$40,"")</f>
        <v>12</v>
      </c>
      <c r="Q10" s="249">
        <f>+COUNTIF('[1]ENCUESTA CONDUCTORES'!$E$7:$E$459,"X")-COUNTIFS('[1]ENCUESTA CONDUCTORES'!$E$7:$E$459,"X",'[1]ENCUESTA CONDUCTORES'!$BS$7:$BS$459,"")</f>
        <v>10</v>
      </c>
      <c r="R10" s="249">
        <f>+COUNTIF('[1]ENCUESTA CONDUCTORES'!$F$7:$F$459,"X")-COUNTIFS('[1]ENCUESTA CONDUCTORES'!$F$7:$F$459,"X",'[1]ENCUESTA CONDUCTORES'!$BS$7:$BS$459,"")+COUNTIF('[1]ENCUESTA CONDUCTORES'!$G$7:$G$459,"X")-COUNTIFS('[1]ENCUESTA CONDUCTORES'!$G$7:$G$459,"X",'[1]ENCUESTA CONDUCTORES'!$BS$7:$BS$459,"")</f>
        <v>64</v>
      </c>
      <c r="S10" s="249">
        <f>+COUNTIF('[1]ENCUESTA CONDUCTORES'!$H$7:$H$459,"X")-COUNTIFS('[1]ENCUESTA CONDUCTORES'!$H$7:$H$459,"X",'[1]ENCUESTA CONDUCTORES'!$BS$7:$BS$459,"")</f>
        <v>30</v>
      </c>
      <c r="Z10" s="249">
        <f>+Z9+AC9</f>
        <v>1418</v>
      </c>
      <c r="AT10" s="11">
        <f t="shared" si="16"/>
        <v>39</v>
      </c>
      <c r="AU10" s="9">
        <v>1975</v>
      </c>
      <c r="AV10" s="6"/>
      <c r="AW10" s="249">
        <f>COUNTIFS('DATOS 2'!$AA$5:$AA$1437,1,'DATOS 2'!$D$5:$D$1437,AU10)</f>
        <v>0</v>
      </c>
      <c r="AY10" s="11" t="s">
        <v>944</v>
      </c>
      <c r="AZ10" s="6">
        <f t="shared" si="25"/>
        <v>8.727272727272728E-2</v>
      </c>
      <c r="BA10" s="6">
        <f t="shared" si="17"/>
        <v>7.2386058981233251E-2</v>
      </c>
      <c r="BB10" s="6">
        <f t="shared" si="18"/>
        <v>0.11650485436893204</v>
      </c>
      <c r="BC10" s="138">
        <f>COUNTIFS('DATOS 2'!$AA$5:$AA$1437,1,'DATOS 2'!$E$5:$E$1437,"&lt;2000001")-BC9-BC8-BC7-BC6</f>
        <v>24</v>
      </c>
      <c r="BD10" s="138">
        <f>COUNTIFS('DATOS 2'!$AA$5:$AA$1437,"&lt;6",'DATOS 2'!$E$5:$E$1437,"&lt;2000001")-BD9-BD8-BD7-BD6-BC10-BC9-BC8-BC7-BC6</f>
        <v>54</v>
      </c>
      <c r="BE10" s="138">
        <f>COUNTIFS('DATOS 2'!$AA$5:$AA$1437,"&gt;5",'DATOS 2'!$E$5:$E$1437,"&lt;2000001")-BE9-BE8-BE7-BE6</f>
        <v>48</v>
      </c>
      <c r="BH10" s="137" t="s">
        <v>142</v>
      </c>
      <c r="BI10" s="6">
        <f t="shared" si="36"/>
        <v>5.7324840764331211E-2</v>
      </c>
      <c r="BJ10" s="6">
        <f t="shared" si="19"/>
        <v>0.40127388535031849</v>
      </c>
      <c r="BK10" s="6">
        <f t="shared" si="19"/>
        <v>0.54140127388535031</v>
      </c>
      <c r="BL10" s="152">
        <f>COUNTIFS('DETALLES UNIDADES'!$BA$8:$BA$987,1,'DETALLES UNIDADES'!$AM$8:$AM$987,"X")</f>
        <v>9</v>
      </c>
      <c r="BM10" s="152">
        <f>COUNTIFS('DETALLES UNIDADES'!$BA$8:$BA$987,"&lt;6",'DETALLES UNIDADES'!$AM$8:$AM$987,"X")-BL10</f>
        <v>63</v>
      </c>
      <c r="BN10" s="152">
        <f>COUNTIFS('DETALLES UNIDADES'!$BA$8:$BA$987,"&gt;5",'DETALLES UNIDADES'!$AM$8:$AM$987,"X")</f>
        <v>85</v>
      </c>
      <c r="BO10" s="138">
        <f t="shared" si="26"/>
        <v>157</v>
      </c>
      <c r="BP10" s="6"/>
      <c r="BQ10" s="141" t="s">
        <v>1771</v>
      </c>
      <c r="BR10" s="6">
        <f t="shared" si="27"/>
        <v>4.5977011494252873E-2</v>
      </c>
      <c r="BS10" s="6">
        <f t="shared" si="20"/>
        <v>6.8728522336769758E-3</v>
      </c>
      <c r="BT10" s="6">
        <f t="shared" si="21"/>
        <v>0</v>
      </c>
      <c r="BU10" s="249">
        <f>+COUNTIFS('ENCUESTA PROPIETARIOS'!$N$7:$N$417,1,'ENCUESTA PROPIETARIOS'!$BX$7:$BX$417,"NINGUNO")+COUNTIFS('ENCUESTA PROPIETARIOS'!$N$7:$N$417,1,'ENCUESTA PROPIETARIOS'!$BX$7:$BX$417,"NO HA CAMBIADO")+COUNTIFS('ENCUESTA PROPIETARIOS'!$N$7:$N$417,1,'ENCUESTA PROPIETARIOS'!$BX$7:$BX$417,"NO NECESITA")</f>
        <v>12</v>
      </c>
      <c r="BV10" s="249">
        <f>+COUNTIFS('ENCUESTA PROPIETARIOS'!$N$7:$N$417,"&lt;6",'ENCUESTA PROPIETARIOS'!$BX$7:$BX$417,"NINGUNO")+COUNTIFS('ENCUESTA PROPIETARIOS'!$N$7:$N$417,"&lt;6",'ENCUESTA PROPIETARIOS'!$BX$7:$BX$417,"NO HA CAMBIADO")+COUNTIFS('ENCUESTA PROPIETARIOS'!$N$7:$N$417,"&lt;6",'ENCUESTA PROPIETARIOS'!$BX$7:$BX$417,"NO NECESITA")-BU10</f>
        <v>2</v>
      </c>
      <c r="BW10" s="249">
        <f>+COUNTIFS('ENCUESTA PROPIETARIOS'!$N$7:$N$417,"&gt;5",'ENCUESTA PROPIETARIOS'!$BX$7:$BX$417,"NINGUNO")+COUNTIFS('ENCUESTA PROPIETARIOS'!$N$7:$N$417,"&gt;5",'ENCUESTA PROPIETARIOS'!$BX$7:$BX$417,"NO HA CAMBIADO")+COUNTIFS('ENCUESTA PROPIETARIOS'!$N$7:$N$417,"&gt;5",'ENCUESTA PROPIETARIOS'!$BX$7:$BX$417,"NO NECESITA")</f>
        <v>0</v>
      </c>
      <c r="CA10" s="11" t="s">
        <v>914</v>
      </c>
      <c r="CB10" s="6">
        <f t="shared" ref="CB10:CB11" si="43">+CE10/CE$11</f>
        <v>0.9</v>
      </c>
      <c r="CC10" s="6">
        <f t="shared" si="39"/>
        <v>0.84057971014492749</v>
      </c>
      <c r="CD10" s="6">
        <f t="shared" si="40"/>
        <v>0.8571428571428571</v>
      </c>
      <c r="CE10" s="249">
        <f>COUNTIFS('ENCUESTA PROPIETARIOS'!$N$7:$N$417,1,'ENCUESTA PROPIETARIOS'!$DS$7:$DS$417,"X")</f>
        <v>45</v>
      </c>
      <c r="CF10" s="249">
        <f>COUNTIFS('ENCUESTA PROPIETARIOS'!$N$7:$N$417,"&lt;6",'ENCUESTA PROPIETARIOS'!$DS$7:$DS$417,"X")-CE10</f>
        <v>58</v>
      </c>
      <c r="CG10" s="249">
        <f>COUNTIFS('ENCUESTA PROPIETARIOS'!$N$7:$N$417,"&gt;5",'ENCUESTA PROPIETARIOS'!$DS$7:$DS$417,"X")</f>
        <v>24</v>
      </c>
      <c r="CJ10" s="11" t="s">
        <v>914</v>
      </c>
      <c r="CK10" s="6">
        <f t="shared" ref="CK10:CK11" si="44">+CN10/CN$11</f>
        <v>1</v>
      </c>
      <c r="CL10" s="6">
        <f t="shared" si="41"/>
        <v>1</v>
      </c>
      <c r="CM10" s="6">
        <f t="shared" si="42"/>
        <v>0.75</v>
      </c>
      <c r="CN10" s="249">
        <f>COUNTIFS('ENCUESTA PROPIETARIOS'!$N$7:$N$417,1,'ENCUESTA PROPIETARIOS'!$DL$7:$DL$417,"X")</f>
        <v>13</v>
      </c>
      <c r="CO10" s="249">
        <f>COUNTIFS('ENCUESTA PROPIETARIOS'!$N$7:$N$417,"&lt;6",'ENCUESTA PROPIETARIOS'!$DL$7:$DL$417,"X")-CN10</f>
        <v>40</v>
      </c>
      <c r="CP10" s="249">
        <f>COUNTIFS('ENCUESTA PROPIETARIOS'!$N$7:$N$417,"&gt;5",'ENCUESTA PROPIETARIOS'!$DL$7:$DL$417,"X")</f>
        <v>6</v>
      </c>
      <c r="CS10" s="19" t="s">
        <v>1188</v>
      </c>
      <c r="CT10" s="249">
        <f>COUNTIFS('ENCUESTA PROPIETARIOS'!$A$7:$A$417,"SSE OAXACA",'ENCUESTA PROPIETARIOS'!$L$7:$L$417,CS10)</f>
        <v>5</v>
      </c>
      <c r="CU10" s="249">
        <f>COUNTIFS('ENCUESTA PROPIETARIOS'!$A$7:$A$417,"C D.F.",'ENCUESTA PROPIETARIOS'!$L$7:$L$417,CS10)+COUNTIFS('ENCUESTA PROPIETARIOS'!$A$7:$A$417,"C QUERETARO",'ENCUESTA PROPIETARIOS'!$L$7:$L$417,CS10)+COUNTIFS('ENCUESTA PROPIETARIOS'!$A$7:$A$417,"C JALISCO",'ENCUESTA PROPIETARIOS'!$L$7:$L$417,CS10)+COUNTIFS('ENCUESTA PROPIETARIOS'!$A$7:$A$417,"C VERACRUZ",'ENCUESTA PROPIETARIOS'!$L$7:$L$417,CS10)</f>
        <v>14</v>
      </c>
      <c r="CV10" s="249">
        <f>COUNTIFS('ENCUESTA PROPIETARIOS'!$A$7:$A$417,"NO SINALOA",'ENCUESTA PROPIETARIOS'!$L$7:$L$417,CS10)+COUNTIFS('ENCUESTA PROPIETARIOS'!$A$7:$A$417,"NO CHIHUAHUA",'ENCUESTA PROPIETARIOS'!$L$7:$L$417,CS10)</f>
        <v>0</v>
      </c>
      <c r="CW10" s="249">
        <f>COUNTIFS('ENCUESTA PROPIETARIOS'!$A$7:$A$417,"NE NUEVO LEON",'ENCUESTA PROPIETARIOS'!$L$7:$L$417,CS10)+COUNTIFS('ENCUESTA PROPIETARIOS'!$A$7:$A$417,"NE TAMAULIPAS",'ENCUESTA PROPIETARIOS'!$L$7:$L$417,CS10)</f>
        <v>1</v>
      </c>
      <c r="CX10" s="249">
        <f t="shared" si="31"/>
        <v>20</v>
      </c>
      <c r="CY10" s="112"/>
      <c r="CZ10" s="123" t="s">
        <v>2408</v>
      </c>
      <c r="DA10" s="6">
        <f t="shared" si="24"/>
        <v>0.10560344827586207</v>
      </c>
      <c r="DB10" s="6">
        <f t="shared" si="10"/>
        <v>0.15517241379310345</v>
      </c>
      <c r="DC10" s="6">
        <f t="shared" si="11"/>
        <v>0.16342412451361868</v>
      </c>
      <c r="DD10" s="249">
        <f>COUNTIF('DATOS 1'!$L$51:$L$427,1)-COUNTIFS('DATOS 1'!$L$51:$L$427,1,'DATOS 1'!$AI$51:$AI$427,"")</f>
        <v>39</v>
      </c>
      <c r="DE10" s="249">
        <f>COUNTIF('DATOS 1'!$L$51:$L$427,"&lt;6")-COUNTIFS('DATOS 1'!$L$51:$L$427,"&lt;6",'DATOS 1'!$AI$51:$AI$427,"")-DD10</f>
        <v>44</v>
      </c>
      <c r="DF10" s="249">
        <f>COUNTIF('DATOS 1'!$L$7:$L$40,"&lt;31")-COUNTIFS('DATOS 1'!$L$7:$L$40,"&lt;31",'DATOS 1'!$AI$7:$AI$40,"")</f>
        <v>12</v>
      </c>
      <c r="DG10" s="249">
        <f>+COUNTIF('[1]ENCUESTA CONDUCTORES'!$E$7:$E$459,"X")-COUNTIFS('[1]ENCUESTA CONDUCTORES'!$E$7:$E$459,"X",'[1]ENCUESTA CONDUCTORES'!$BS$7:$BS$459,"")</f>
        <v>10</v>
      </c>
      <c r="DH10" s="249">
        <f>+COUNTIF('[1]ENCUESTA CONDUCTORES'!$F$7:$F$459,"X")-COUNTIFS('[1]ENCUESTA CONDUCTORES'!$F$7:$F$459,"X",'[1]ENCUESTA CONDUCTORES'!$BS$7:$BS$459,"")+COUNTIF('[1]ENCUESTA CONDUCTORES'!$G$7:$G$459,"X")-COUNTIFS('[1]ENCUESTA CONDUCTORES'!$G$7:$G$459,"X",'[1]ENCUESTA CONDUCTORES'!$BS$7:$BS$459,"")</f>
        <v>64</v>
      </c>
      <c r="DI10" s="249">
        <f>+COUNTIF('[1]ENCUESTA CONDUCTORES'!$H$7:$H$459,"X")-COUNTIFS('[1]ENCUESTA CONDUCTORES'!$H$7:$H$459,"X",'[1]ENCUESTA CONDUCTORES'!$BS$7:$BS$459,"")</f>
        <v>30</v>
      </c>
    </row>
    <row r="11" spans="1:125" x14ac:dyDescent="0.25">
      <c r="A11" s="11" t="s">
        <v>2430</v>
      </c>
      <c r="B11" s="6">
        <f t="shared" ref="B11:B16" si="45">+C11/$C$17</f>
        <v>0.13861386138613863</v>
      </c>
      <c r="C11" s="249">
        <f>COUNTIFS('DATOS 1'!$L$51:$L$427,1,'DATOS 1'!$E$51:$E$427,"&lt;41")-C10</f>
        <v>28</v>
      </c>
      <c r="J11" s="123" t="s">
        <v>2411</v>
      </c>
      <c r="K11" s="6">
        <f t="shared" si="13"/>
        <v>1</v>
      </c>
      <c r="L11" s="6">
        <f t="shared" si="0"/>
        <v>1</v>
      </c>
      <c r="M11" s="6">
        <f t="shared" si="1"/>
        <v>1</v>
      </c>
      <c r="N11" s="249">
        <f t="shared" ref="N11:S11" si="46">SUM(N3:N10)</f>
        <v>349</v>
      </c>
      <c r="O11" s="249">
        <f t="shared" si="46"/>
        <v>327</v>
      </c>
      <c r="P11" s="249">
        <f t="shared" si="46"/>
        <v>77</v>
      </c>
      <c r="Q11" s="249">
        <f t="shared" si="46"/>
        <v>115</v>
      </c>
      <c r="R11" s="249">
        <f t="shared" si="46"/>
        <v>369</v>
      </c>
      <c r="S11" s="249">
        <f t="shared" si="46"/>
        <v>180</v>
      </c>
      <c r="AH11" s="11" t="s">
        <v>2457</v>
      </c>
      <c r="AI11" s="250" t="s">
        <v>2435</v>
      </c>
      <c r="AJ11" s="250" t="s">
        <v>2436</v>
      </c>
      <c r="AK11" s="17" t="s">
        <v>714</v>
      </c>
      <c r="AL11" s="250" t="s">
        <v>2433</v>
      </c>
      <c r="AM11" s="250" t="s">
        <v>2434</v>
      </c>
      <c r="AN11" s="17" t="s">
        <v>714</v>
      </c>
      <c r="AT11" s="11">
        <f t="shared" si="16"/>
        <v>38</v>
      </c>
      <c r="AU11" s="9">
        <v>1976</v>
      </c>
      <c r="AV11" s="6"/>
      <c r="AW11" s="249">
        <f>COUNTIFS('DATOS 2'!$AA$5:$AA$1437,1,'DATOS 2'!$D$5:$D$1437,AU11)</f>
        <v>2</v>
      </c>
      <c r="AY11" s="11" t="s">
        <v>1714</v>
      </c>
      <c r="AZ11" s="6">
        <f t="shared" si="25"/>
        <v>0.04</v>
      </c>
      <c r="BA11" s="6">
        <f t="shared" si="17"/>
        <v>2.6809651474530832E-2</v>
      </c>
      <c r="BB11" s="6">
        <f t="shared" si="18"/>
        <v>1.2135922330097087E-2</v>
      </c>
      <c r="BC11" s="138">
        <f>COUNTIFS('DATOS 2'!$AA$5:$AA$1437,1,'DATOS 2'!$E$5:$E$1437,"&lt;2500001")-BC10-BC9-BC8-BC7-BC6</f>
        <v>11</v>
      </c>
      <c r="BD11" s="138">
        <f>COUNTIFS('DATOS 2'!$AA$5:$AA$1437,"&lt;6",'DATOS 2'!$E$5:$E$1437,"&lt;2500001")-BD10-BD9-BD8-BD7-BD6-BC11-BC10-BC9-BC8-BC7-BC6</f>
        <v>20</v>
      </c>
      <c r="BE11" s="138">
        <f>COUNTIFS('DATOS 2'!$AA$5:$AA$1437,"&gt;5",'DATOS 2'!$E$5:$E$1437,"&lt;2500001")-BE10-BE9-BE8-BE7-BE6</f>
        <v>5</v>
      </c>
      <c r="BH11" s="140" t="s">
        <v>1018</v>
      </c>
      <c r="BI11" s="6">
        <f t="shared" si="36"/>
        <v>0.55208333333333337</v>
      </c>
      <c r="BJ11" s="6">
        <f t="shared" si="19"/>
        <v>0.40625</v>
      </c>
      <c r="BK11" s="6">
        <f t="shared" si="19"/>
        <v>4.1666666666666664E-2</v>
      </c>
      <c r="BL11" s="152">
        <f>COUNTIFS('DETALLES UNIDADES'!$BA$8:$BA$987,1,'DETALLES UNIDADES'!$AD$8:$AD$987,"NINGUNO")</f>
        <v>53</v>
      </c>
      <c r="BM11" s="152">
        <f>COUNTIFS('DETALLES UNIDADES'!$BA$8:$BA$987,"&lt;6",'DETALLES UNIDADES'!$AD$8:$AD$987,"NINGUNO")-BL11</f>
        <v>39</v>
      </c>
      <c r="BN11" s="152">
        <f>COUNTIFS('DETALLES UNIDADES'!$BA$8:$BA$987,"&gt;5",'DETALLES UNIDADES'!$AD$8:$AD$987,"NINGUNO")</f>
        <v>4</v>
      </c>
      <c r="BO11" s="138">
        <f t="shared" si="26"/>
        <v>96</v>
      </c>
      <c r="BP11" s="6"/>
      <c r="BQ11" s="11" t="s">
        <v>715</v>
      </c>
      <c r="BR11" s="6">
        <f t="shared" si="27"/>
        <v>1</v>
      </c>
      <c r="BS11" s="6">
        <f t="shared" si="20"/>
        <v>1</v>
      </c>
      <c r="BT11" s="6">
        <f t="shared" si="21"/>
        <v>1</v>
      </c>
      <c r="BU11" s="249">
        <f>SUM(BU4:BU10)</f>
        <v>261</v>
      </c>
      <c r="BV11" s="249">
        <f>SUM(BV4:BV10)</f>
        <v>291</v>
      </c>
      <c r="BW11" s="249">
        <f>SUM(BW4:BW10)</f>
        <v>55</v>
      </c>
      <c r="CA11" s="11" t="s">
        <v>715</v>
      </c>
      <c r="CB11" s="6">
        <f t="shared" si="43"/>
        <v>1</v>
      </c>
      <c r="CC11" s="6">
        <f t="shared" si="39"/>
        <v>1</v>
      </c>
      <c r="CD11" s="6">
        <f t="shared" si="40"/>
        <v>1</v>
      </c>
      <c r="CE11" s="249">
        <f>+CE10+CE9</f>
        <v>50</v>
      </c>
      <c r="CF11" s="249">
        <f t="shared" ref="CF11" si="47">+CF10+CF9</f>
        <v>69</v>
      </c>
      <c r="CG11" s="249">
        <f t="shared" ref="CG11" si="48">+CG10+CG9</f>
        <v>28</v>
      </c>
      <c r="CJ11" s="11" t="s">
        <v>715</v>
      </c>
      <c r="CK11" s="6">
        <f t="shared" si="44"/>
        <v>1</v>
      </c>
      <c r="CL11" s="6">
        <f t="shared" si="41"/>
        <v>1</v>
      </c>
      <c r="CM11" s="6">
        <f t="shared" si="42"/>
        <v>1</v>
      </c>
      <c r="CN11" s="249">
        <f>+CN10+CN9</f>
        <v>13</v>
      </c>
      <c r="CO11" s="249">
        <f t="shared" ref="CO11" si="49">+CO10+CO9</f>
        <v>40</v>
      </c>
      <c r="CP11" s="249">
        <f t="shared" ref="CP11" si="50">+CP10+CP9</f>
        <v>8</v>
      </c>
      <c r="CS11" s="19" t="s">
        <v>1446</v>
      </c>
      <c r="CT11" s="249">
        <f>COUNTIFS('ENCUESTA PROPIETARIOS'!$A$7:$A$417,"SSE OAXACA",'ENCUESTA PROPIETARIOS'!$L$7:$L$417,CS11)</f>
        <v>0</v>
      </c>
      <c r="CU11" s="249">
        <f>COUNTIFS('ENCUESTA PROPIETARIOS'!$A$7:$A$417,"C D.F.",'ENCUESTA PROPIETARIOS'!$L$7:$L$417,CS11)+COUNTIFS('ENCUESTA PROPIETARIOS'!$A$7:$A$417,"C QUERETARO",'ENCUESTA PROPIETARIOS'!$L$7:$L$417,CS11)+COUNTIFS('ENCUESTA PROPIETARIOS'!$A$7:$A$417,"C JALISCO",'ENCUESTA PROPIETARIOS'!$L$7:$L$417,CS11)+COUNTIFS('ENCUESTA PROPIETARIOS'!$A$7:$A$417,"C VERACRUZ",'ENCUESTA PROPIETARIOS'!$L$7:$L$417,CS11)</f>
        <v>2</v>
      </c>
      <c r="CV11" s="249">
        <f>COUNTIFS('ENCUESTA PROPIETARIOS'!$A$7:$A$417,"NO SINALOA",'ENCUESTA PROPIETARIOS'!$L$7:$L$417,CS11)+COUNTIFS('ENCUESTA PROPIETARIOS'!$A$7:$A$417,"NO CHIHUAHUA",'ENCUESTA PROPIETARIOS'!$L$7:$L$417,CS11)</f>
        <v>0</v>
      </c>
      <c r="CW11" s="249">
        <f>COUNTIFS('ENCUESTA PROPIETARIOS'!$A$7:$A$417,"NE NUEVO LEON",'ENCUESTA PROPIETARIOS'!$L$7:$L$417,CS11)+COUNTIFS('ENCUESTA PROPIETARIOS'!$A$7:$A$417,"NE TAMAULIPAS",'ENCUESTA PROPIETARIOS'!$L$7:$L$417,CS11)</f>
        <v>16</v>
      </c>
      <c r="CX11" s="249">
        <f t="shared" si="31"/>
        <v>18</v>
      </c>
      <c r="CY11" s="112"/>
      <c r="CZ11" s="123" t="s">
        <v>2411</v>
      </c>
      <c r="DA11" s="6">
        <f t="shared" si="24"/>
        <v>1</v>
      </c>
      <c r="DB11" s="6">
        <f t="shared" si="10"/>
        <v>1</v>
      </c>
      <c r="DC11" s="6">
        <f t="shared" si="11"/>
        <v>1</v>
      </c>
      <c r="DD11" s="249">
        <f t="shared" ref="DD11:DI11" si="51">SUM(DD3:DD10)</f>
        <v>349</v>
      </c>
      <c r="DE11" s="249">
        <f t="shared" si="51"/>
        <v>327</v>
      </c>
      <c r="DF11" s="249">
        <f t="shared" si="51"/>
        <v>77</v>
      </c>
      <c r="DG11" s="249">
        <f t="shared" si="51"/>
        <v>115</v>
      </c>
      <c r="DH11" s="249">
        <f t="shared" si="51"/>
        <v>369</v>
      </c>
      <c r="DI11" s="249">
        <f t="shared" si="51"/>
        <v>180</v>
      </c>
    </row>
    <row r="12" spans="1:125" x14ac:dyDescent="0.25">
      <c r="A12" s="11" t="s">
        <v>2431</v>
      </c>
      <c r="B12" s="6">
        <f t="shared" si="45"/>
        <v>0.11386138613861387</v>
      </c>
      <c r="C12" s="249">
        <f>COUNTIFS('DATOS 1'!$L$51:$L$427,1,'DATOS 1'!$E$51:$E$427,"&lt;46")-C11-C10</f>
        <v>23</v>
      </c>
      <c r="N12" s="249">
        <f>COUNTIF('DATOS 1'!$L$51:$L$427,1)</f>
        <v>202</v>
      </c>
      <c r="O12" s="249">
        <f>COUNTIF('DATOS 1'!$L$51:$L$427,"&lt;6")</f>
        <v>377</v>
      </c>
      <c r="P12" s="249">
        <f>COUNTIF('DATOS 1'!$L$7:$L$40,"&lt;31")</f>
        <v>34</v>
      </c>
      <c r="Q12" s="249">
        <f>COUNTIF('[1]ENCUESTA CONDUCTORES'!$E$7:$E$459,"X")</f>
        <v>66</v>
      </c>
      <c r="R12" s="249">
        <f>COUNTIF('[1]ENCUESTA CONDUCTORES'!$F$7:$F$459,"X")+COUNTIF('[1]ENCUESTA CONDUCTORES'!$G$7:$G$459,"X")</f>
        <v>263</v>
      </c>
      <c r="S12" s="249">
        <f>COUNTIF('[1]ENCUESTA CONDUCTORES'!$H$7:$H$459,"X")</f>
        <v>124</v>
      </c>
      <c r="V12" s="11" t="s">
        <v>858</v>
      </c>
      <c r="W12" s="250" t="s">
        <v>2435</v>
      </c>
      <c r="X12" s="250" t="s">
        <v>2436</v>
      </c>
      <c r="Y12" s="17" t="s">
        <v>714</v>
      </c>
      <c r="Z12" s="250" t="s">
        <v>2433</v>
      </c>
      <c r="AA12" s="250" t="s">
        <v>2434</v>
      </c>
      <c r="AB12" s="17" t="s">
        <v>714</v>
      </c>
      <c r="AH12" s="11" t="s">
        <v>860</v>
      </c>
      <c r="AI12" s="6">
        <f>+AL12/AL$14</f>
        <v>0.81683168316831678</v>
      </c>
      <c r="AJ12" s="6">
        <f t="shared" ref="AJ12:AJ14" si="52">+AM12/AM$14</f>
        <v>0.58857142857142852</v>
      </c>
      <c r="AK12" s="6">
        <f t="shared" ref="AK12:AK14" si="53">+AN12/AN$14</f>
        <v>0.38235294117647056</v>
      </c>
      <c r="AL12" s="249">
        <f>COUNTIFS('DATOS 1'!$L$51:$L$427,1,'DATOS 1'!$BM$51:$BM$427,"X")</f>
        <v>165</v>
      </c>
      <c r="AM12" s="249">
        <f>COUNTIFS('DATOS 1'!$L$51:$L$427,"&lt;6",'DATOS 1'!$BM$51:$BM$427,"X")-AL12</f>
        <v>103</v>
      </c>
      <c r="AN12" s="249">
        <f>COUNTIF('DATOS 1'!$BM$7:$BM$40,"X")</f>
        <v>13</v>
      </c>
      <c r="AT12" s="11">
        <f t="shared" si="16"/>
        <v>37</v>
      </c>
      <c r="AU12" s="9">
        <v>1977</v>
      </c>
      <c r="AV12" s="6"/>
      <c r="AW12" s="249">
        <f>COUNTIFS('DATOS 2'!$AA$5:$AA$1437,1,'DATOS 2'!$D$5:$D$1437,AU12)</f>
        <v>0</v>
      </c>
      <c r="AY12" s="11" t="s">
        <v>1715</v>
      </c>
      <c r="AZ12" s="6">
        <f t="shared" si="25"/>
        <v>5.4545454545454543E-2</v>
      </c>
      <c r="BA12" s="6">
        <f t="shared" si="17"/>
        <v>1.6085790884718499E-2</v>
      </c>
      <c r="BB12" s="6">
        <f t="shared" si="18"/>
        <v>4.8543689320388345E-3</v>
      </c>
      <c r="BC12" s="138">
        <f>COUNTIFS('DATOS 2'!$AA$5:$AA$1437,1,'DATOS 2'!$E$5:$E$1437,"&gt;2500000")</f>
        <v>15</v>
      </c>
      <c r="BD12" s="138">
        <f>COUNTIFS('DATOS 2'!$AA$5:$AA$1437,"&lt;6",'DATOS 2'!$E$5:$E$1437,"&gt;2500000")-BC12</f>
        <v>12</v>
      </c>
      <c r="BE12" s="138">
        <f>COUNTIFS('DATOS 2'!$AA$5:$AA$1437,"&gt;5",'DATOS 2'!$E$5:$E$1437,"&gt;2500000")</f>
        <v>2</v>
      </c>
      <c r="BH12" s="11" t="s">
        <v>715</v>
      </c>
      <c r="BI12" s="6">
        <f t="shared" ref="BI12" si="54">+BL12/$BO12</f>
        <v>0.1506076388888889</v>
      </c>
      <c r="BJ12" s="6">
        <f t="shared" si="19"/>
        <v>0.4865451388888889</v>
      </c>
      <c r="BK12" s="6">
        <f t="shared" si="19"/>
        <v>0.36284722222222221</v>
      </c>
      <c r="BL12" s="152">
        <f>SUM(BL4:BL11)</f>
        <v>347</v>
      </c>
      <c r="BM12" s="152">
        <f>SUM(BM4:BM11)</f>
        <v>1121</v>
      </c>
      <c r="BN12" s="152">
        <f>SUM(BN4:BN11)</f>
        <v>836</v>
      </c>
      <c r="BO12" s="138">
        <f>SUM(BO4:BO11)</f>
        <v>2304</v>
      </c>
      <c r="CS12" s="19" t="s">
        <v>1182</v>
      </c>
      <c r="CT12" s="249">
        <f>COUNTIFS('ENCUESTA PROPIETARIOS'!$A$7:$A$417,"SSE OAXACA",'ENCUESTA PROPIETARIOS'!$L$7:$L$417,CS12)</f>
        <v>14</v>
      </c>
      <c r="CU12" s="249">
        <f>COUNTIFS('ENCUESTA PROPIETARIOS'!$A$7:$A$417,"C D.F.",'ENCUESTA PROPIETARIOS'!$L$7:$L$417,CS12)+COUNTIFS('ENCUESTA PROPIETARIOS'!$A$7:$A$417,"C QUERETARO",'ENCUESTA PROPIETARIOS'!$L$7:$L$417,CS12)+COUNTIFS('ENCUESTA PROPIETARIOS'!$A$7:$A$417,"C JALISCO",'ENCUESTA PROPIETARIOS'!$L$7:$L$417,CS12)+COUNTIFS('ENCUESTA PROPIETARIOS'!$A$7:$A$417,"C VERACRUZ",'ENCUESTA PROPIETARIOS'!$L$7:$L$417,CS12)</f>
        <v>4</v>
      </c>
      <c r="CV12" s="249">
        <f>COUNTIFS('ENCUESTA PROPIETARIOS'!$A$7:$A$417,"NO SINALOA",'ENCUESTA PROPIETARIOS'!$L$7:$L$417,CS12)+COUNTIFS('ENCUESTA PROPIETARIOS'!$A$7:$A$417,"NO CHIHUAHUA",'ENCUESTA PROPIETARIOS'!$L$7:$L$417,CS12)</f>
        <v>0</v>
      </c>
      <c r="CW12" s="249">
        <f>COUNTIFS('ENCUESTA PROPIETARIOS'!$A$7:$A$417,"NE NUEVO LEON",'ENCUESTA PROPIETARIOS'!$L$7:$L$417,CS12)+COUNTIFS('ENCUESTA PROPIETARIOS'!$A$7:$A$417,"NE TAMAULIPAS",'ENCUESTA PROPIETARIOS'!$L$7:$L$417,CS12)</f>
        <v>0</v>
      </c>
      <c r="CX12" s="249">
        <f t="shared" si="31"/>
        <v>18</v>
      </c>
      <c r="CY12" s="112"/>
      <c r="DD12" s="249">
        <f>COUNTIF('DATOS 1'!$L$51:$L$427,1)</f>
        <v>202</v>
      </c>
      <c r="DE12" s="249">
        <f>COUNTIF('DATOS 1'!$L$51:$L$427,"&lt;6")</f>
        <v>377</v>
      </c>
      <c r="DF12" s="249">
        <f>COUNTIF('DATOS 1'!$L$7:$L$40,"&lt;31")</f>
        <v>34</v>
      </c>
      <c r="DG12" s="249">
        <f>COUNTIF('[1]ENCUESTA CONDUCTORES'!$E$7:$E$459,"X")</f>
        <v>66</v>
      </c>
      <c r="DH12" s="249">
        <f>COUNTIF('[1]ENCUESTA CONDUCTORES'!$F$7:$F$459,"X")+COUNTIF('[1]ENCUESTA CONDUCTORES'!$G$7:$G$459,"X")</f>
        <v>263</v>
      </c>
      <c r="DI12" s="249">
        <f>COUNTIF('[1]ENCUESTA CONDUCTORES'!$H$7:$H$459,"X")</f>
        <v>124</v>
      </c>
    </row>
    <row r="13" spans="1:125" x14ac:dyDescent="0.25">
      <c r="A13" s="11" t="s">
        <v>2425</v>
      </c>
      <c r="B13" s="6">
        <f t="shared" si="45"/>
        <v>0.23267326732673269</v>
      </c>
      <c r="C13" s="249">
        <f>COUNTIFS('DATOS 1'!$L$51:$L$427,1,'DATOS 1'!$E$51:$E$427,"&lt;51")-C12-C11-C10</f>
        <v>47</v>
      </c>
      <c r="N13" s="249">
        <f>+N11+Q11</f>
        <v>464</v>
      </c>
      <c r="O13" s="249">
        <f t="shared" ref="O13:P13" si="55">+O11+R11</f>
        <v>696</v>
      </c>
      <c r="P13" s="249">
        <f t="shared" si="55"/>
        <v>257</v>
      </c>
      <c r="V13" s="11" t="s">
        <v>859</v>
      </c>
      <c r="W13" s="6">
        <f>Z13/Z$15</f>
        <v>9.9009900990099015E-2</v>
      </c>
      <c r="X13" s="6">
        <f t="shared" ref="X13:X15" si="56">AA13/AA$15</f>
        <v>0.34857142857142859</v>
      </c>
      <c r="Y13" s="6">
        <f t="shared" ref="Y13:Y15" si="57">AB13/AB$15</f>
        <v>0.8529411764705882</v>
      </c>
      <c r="Z13" s="249">
        <f>COUNTIFS('DATOS 1'!$L$51:$L$427,1,'DATOS 1'!$BA$51:$BA$427,"X")</f>
        <v>20</v>
      </c>
      <c r="AA13" s="249">
        <f>COUNTIFS('DATOS 1'!$L$51:$L$427,"&lt;6",'DATOS 1'!$BA$51:$BA$427,"X")-Z13</f>
        <v>61</v>
      </c>
      <c r="AB13" s="249">
        <f>COUNTIFS('DATOS 1'!$L$7:$L$40,"&gt;5",'DATOS 1'!$BA$7:$BA$40,"X")</f>
        <v>29</v>
      </c>
      <c r="AH13" s="11" t="s">
        <v>872</v>
      </c>
      <c r="AI13" s="6">
        <f t="shared" ref="AI13:AI14" si="58">+AL13/AL$14</f>
        <v>0.18316831683168316</v>
      </c>
      <c r="AJ13" s="6">
        <f t="shared" si="52"/>
        <v>0.41142857142857142</v>
      </c>
      <c r="AK13" s="6">
        <f t="shared" si="53"/>
        <v>0.61764705882352944</v>
      </c>
      <c r="AL13" s="249">
        <f>COUNTIFS('DATOS 1'!$L$51:$L$427,1,'DATOS 1'!$BL$51:$BL$427,"X")</f>
        <v>37</v>
      </c>
      <c r="AM13" s="249">
        <f>COUNTIFS('DATOS 1'!$L$51:$L$427,"&lt;6",'DATOS 1'!$BL$51:$BL$427,"X")-AL13</f>
        <v>72</v>
      </c>
      <c r="AN13" s="249">
        <f>COUNTIF('DATOS 1'!$BL$7:$BL$40,"X")</f>
        <v>21</v>
      </c>
      <c r="AT13" s="11">
        <f t="shared" si="16"/>
        <v>36</v>
      </c>
      <c r="AU13" s="9">
        <v>1978</v>
      </c>
      <c r="AV13" s="6"/>
      <c r="AW13" s="249">
        <f>COUNTIFS('DATOS 2'!$AA$5:$AA$1437,1,'DATOS 2'!$D$5:$D$1437,AU13)</f>
        <v>5</v>
      </c>
      <c r="AY13" s="11" t="s">
        <v>715</v>
      </c>
      <c r="AZ13" s="6">
        <f t="shared" si="25"/>
        <v>1</v>
      </c>
      <c r="BA13" s="6">
        <f t="shared" si="17"/>
        <v>1</v>
      </c>
      <c r="BB13" s="6">
        <f t="shared" si="18"/>
        <v>1</v>
      </c>
      <c r="BC13" s="138">
        <f>SUM(BC4:BC12)</f>
        <v>275</v>
      </c>
      <c r="BD13" s="138">
        <f>SUM(BD4:BD12)</f>
        <v>746</v>
      </c>
      <c r="BE13" s="138">
        <f>SUM(BE4:BE12)</f>
        <v>412</v>
      </c>
      <c r="BH13" s="11"/>
      <c r="BI13" s="11"/>
      <c r="BJ13" s="11"/>
      <c r="BK13" s="11"/>
      <c r="BL13" s="153">
        <f>+BL12+BM12+BN12</f>
        <v>2304</v>
      </c>
      <c r="CS13" s="19" t="s">
        <v>1293</v>
      </c>
      <c r="CT13" s="249">
        <f>COUNTIFS('ENCUESTA PROPIETARIOS'!$A$7:$A$417,"SSE OAXACA",'ENCUESTA PROPIETARIOS'!$L$7:$L$417,CS13)</f>
        <v>0</v>
      </c>
      <c r="CU13" s="249">
        <f>COUNTIFS('ENCUESTA PROPIETARIOS'!$A$7:$A$417,"C D.F.",'ENCUESTA PROPIETARIOS'!$L$7:$L$417,CS13)+COUNTIFS('ENCUESTA PROPIETARIOS'!$A$7:$A$417,"C QUERETARO",'ENCUESTA PROPIETARIOS'!$L$7:$L$417,CS13)+COUNTIFS('ENCUESTA PROPIETARIOS'!$A$7:$A$417,"C JALISCO",'ENCUESTA PROPIETARIOS'!$L$7:$L$417,CS13)+COUNTIFS('ENCUESTA PROPIETARIOS'!$A$7:$A$417,"C VERACRUZ",'ENCUESTA PROPIETARIOS'!$L$7:$L$417,CS13)</f>
        <v>15</v>
      </c>
      <c r="CV13" s="249">
        <f>COUNTIFS('ENCUESTA PROPIETARIOS'!$A$7:$A$417,"NO SINALOA",'ENCUESTA PROPIETARIOS'!$L$7:$L$417,CS13)+COUNTIFS('ENCUESTA PROPIETARIOS'!$A$7:$A$417,"NO CHIHUAHUA",'ENCUESTA PROPIETARIOS'!$L$7:$L$417,CS13)</f>
        <v>0</v>
      </c>
      <c r="CW13" s="249">
        <f>COUNTIFS('ENCUESTA PROPIETARIOS'!$A$7:$A$417,"NE NUEVO LEON",'ENCUESTA PROPIETARIOS'!$L$7:$L$417,CS13)+COUNTIFS('ENCUESTA PROPIETARIOS'!$A$7:$A$417,"NE TAMAULIPAS",'ENCUESTA PROPIETARIOS'!$L$7:$L$417,CS13)</f>
        <v>1</v>
      </c>
      <c r="CX13" s="249">
        <f t="shared" si="31"/>
        <v>16</v>
      </c>
      <c r="CY13" s="112"/>
      <c r="DD13" s="249">
        <f>+DD11+DG11</f>
        <v>464</v>
      </c>
      <c r="DE13" s="249">
        <f t="shared" ref="DE13" si="59">+DE11+DH11</f>
        <v>696</v>
      </c>
      <c r="DF13" s="249">
        <f t="shared" ref="DF13" si="60">+DF11+DI11</f>
        <v>257</v>
      </c>
      <c r="DM13" s="112" t="s">
        <v>959</v>
      </c>
      <c r="DN13" s="17"/>
      <c r="DO13" s="17"/>
    </row>
    <row r="14" spans="1:125" x14ac:dyDescent="0.25">
      <c r="A14" s="11" t="s">
        <v>2426</v>
      </c>
      <c r="B14" s="6">
        <f t="shared" si="45"/>
        <v>0.15841584158415842</v>
      </c>
      <c r="C14" s="249">
        <f>COUNTIFS('DATOS 1'!$L$51:$L$427,1,'DATOS 1'!$E$51:$E$427,"&lt;56")-C13-C12-C11-C10</f>
        <v>32</v>
      </c>
      <c r="V14" s="11" t="s">
        <v>860</v>
      </c>
      <c r="W14" s="6">
        <f t="shared" ref="W14:W15" si="61">Z14/Z$15</f>
        <v>0.90099009900990101</v>
      </c>
      <c r="X14" s="6">
        <f t="shared" si="56"/>
        <v>0.65142857142857147</v>
      </c>
      <c r="Y14" s="6">
        <f t="shared" si="57"/>
        <v>0.14705882352941177</v>
      </c>
      <c r="Z14" s="249">
        <f>COUNTIFS('DATOS 1'!$L$51:$L$427,1,'DATOS 1'!$AZ$51:$AZ$427,"X")</f>
        <v>182</v>
      </c>
      <c r="AA14" s="249">
        <f>COUNTIFS('DATOS 1'!$L$51:$L$427,"&lt;6",'DATOS 1'!$AZ$51:$AZ$427,"X")-Z14</f>
        <v>114</v>
      </c>
      <c r="AB14" s="249">
        <f>COUNTIFS('DATOS 1'!$L$7:$L$40,"&gt;5",'DATOS 1'!$AZ$7:$AZ$40,"X")</f>
        <v>5</v>
      </c>
      <c r="AH14" s="11" t="s">
        <v>715</v>
      </c>
      <c r="AI14" s="6">
        <f t="shared" si="58"/>
        <v>1</v>
      </c>
      <c r="AJ14" s="6">
        <f t="shared" si="52"/>
        <v>1</v>
      </c>
      <c r="AK14" s="6">
        <f t="shared" si="53"/>
        <v>1</v>
      </c>
      <c r="AL14" s="249">
        <f>+AL13+AL12</f>
        <v>202</v>
      </c>
      <c r="AM14" s="249">
        <f>+AM13+AM12</f>
        <v>175</v>
      </c>
      <c r="AN14" s="249">
        <f>+AN13+AN12</f>
        <v>34</v>
      </c>
      <c r="AT14" s="11">
        <f t="shared" si="16"/>
        <v>35</v>
      </c>
      <c r="AU14" s="9">
        <v>1979</v>
      </c>
      <c r="AV14" s="6"/>
      <c r="AW14" s="249">
        <f>COUNTIFS('DATOS 2'!$AA$5:$AA$1437,1,'DATOS 2'!$D$5:$D$1437,AU14)</f>
        <v>3</v>
      </c>
      <c r="BC14" s="138">
        <f>+BC13+BD13+BE13</f>
        <v>1433</v>
      </c>
      <c r="BH14" s="11"/>
      <c r="BI14" s="11"/>
      <c r="BJ14" s="11"/>
      <c r="BK14" s="11"/>
      <c r="BL14" s="11"/>
      <c r="CA14" s="11" t="s">
        <v>1025</v>
      </c>
      <c r="CB14" s="250" t="s">
        <v>2435</v>
      </c>
      <c r="CC14" s="250" t="s">
        <v>2436</v>
      </c>
      <c r="CD14" s="250" t="s">
        <v>714</v>
      </c>
      <c r="CE14" s="250" t="s">
        <v>2433</v>
      </c>
      <c r="CF14" s="250" t="s">
        <v>2434</v>
      </c>
      <c r="CG14" s="250" t="s">
        <v>714</v>
      </c>
      <c r="CS14" s="19" t="s">
        <v>1339</v>
      </c>
      <c r="CT14" s="249">
        <f>COUNTIFS('ENCUESTA PROPIETARIOS'!$A$7:$A$417,"SSE OAXACA",'ENCUESTA PROPIETARIOS'!$L$7:$L$417,CS14)</f>
        <v>0</v>
      </c>
      <c r="CU14" s="249">
        <f>COUNTIFS('ENCUESTA PROPIETARIOS'!$A$7:$A$417,"C D.F.",'ENCUESTA PROPIETARIOS'!$L$7:$L$417,CS14)+COUNTIFS('ENCUESTA PROPIETARIOS'!$A$7:$A$417,"C QUERETARO",'ENCUESTA PROPIETARIOS'!$L$7:$L$417,CS14)+COUNTIFS('ENCUESTA PROPIETARIOS'!$A$7:$A$417,"C JALISCO",'ENCUESTA PROPIETARIOS'!$L$7:$L$417,CS14)+COUNTIFS('ENCUESTA PROPIETARIOS'!$A$7:$A$417,"C VERACRUZ",'ENCUESTA PROPIETARIOS'!$L$7:$L$417,CS14)</f>
        <v>0</v>
      </c>
      <c r="CV14" s="249">
        <f>COUNTIFS('ENCUESTA PROPIETARIOS'!$A$7:$A$417,"NO SINALOA",'ENCUESTA PROPIETARIOS'!$L$7:$L$417,CS14)+COUNTIFS('ENCUESTA PROPIETARIOS'!$A$7:$A$417,"NO CHIHUAHUA",'ENCUESTA PROPIETARIOS'!$L$7:$L$417,CS14)</f>
        <v>0</v>
      </c>
      <c r="CW14" s="249">
        <f>COUNTIFS('ENCUESTA PROPIETARIOS'!$A$7:$A$417,"NE NUEVO LEON",'ENCUESTA PROPIETARIOS'!$L$7:$L$417,CS14)+COUNTIFS('ENCUESTA PROPIETARIOS'!$A$7:$A$417,"NE TAMAULIPAS",'ENCUESTA PROPIETARIOS'!$L$7:$L$417,CS14)</f>
        <v>15</v>
      </c>
      <c r="CX14" s="249">
        <f t="shared" si="31"/>
        <v>15</v>
      </c>
      <c r="CY14" s="112"/>
      <c r="DM14" s="149">
        <v>0.5</v>
      </c>
      <c r="DN14" s="6" t="e">
        <f t="shared" ref="DN14:DN19" si="62">(DR4+DS4)/$EO$10</f>
        <v>#DIV/0!</v>
      </c>
      <c r="DO14" s="6"/>
    </row>
    <row r="15" spans="1:125" x14ac:dyDescent="0.25">
      <c r="A15" s="11" t="s">
        <v>2427</v>
      </c>
      <c r="B15" s="6">
        <f t="shared" si="45"/>
        <v>0.10891089108910891</v>
      </c>
      <c r="C15" s="249">
        <f>COUNTIFS('DATOS 1'!$L$51:$L$427,1,'DATOS 1'!$E$51:$E$427,"&lt;61")-C12-C11-C10-C13-C14</f>
        <v>22</v>
      </c>
      <c r="V15" s="11" t="s">
        <v>715</v>
      </c>
      <c r="W15" s="6">
        <f t="shared" si="61"/>
        <v>1</v>
      </c>
      <c r="X15" s="6">
        <f t="shared" si="56"/>
        <v>1</v>
      </c>
      <c r="Y15" s="6">
        <f t="shared" si="57"/>
        <v>1</v>
      </c>
      <c r="Z15" s="249">
        <f>+Z14+Z13</f>
        <v>202</v>
      </c>
      <c r="AA15" s="249">
        <f>+AA14+AA13</f>
        <v>175</v>
      </c>
      <c r="AB15" s="249">
        <f>+AB14+AB13</f>
        <v>34</v>
      </c>
      <c r="AT15" s="11"/>
      <c r="AU15" s="9"/>
      <c r="AV15" s="6"/>
      <c r="BH15" s="11"/>
      <c r="BI15" s="11"/>
      <c r="BJ15" s="11"/>
      <c r="BK15" s="11"/>
      <c r="BL15" s="11"/>
      <c r="BQ15" s="11" t="s">
        <v>2468</v>
      </c>
      <c r="BR15" s="250" t="s">
        <v>2435</v>
      </c>
      <c r="BS15" s="250" t="s">
        <v>2436</v>
      </c>
      <c r="BT15" s="250" t="s">
        <v>714</v>
      </c>
      <c r="BU15" s="250" t="s">
        <v>2433</v>
      </c>
      <c r="BV15" s="250" t="s">
        <v>2434</v>
      </c>
      <c r="BW15" s="250" t="s">
        <v>714</v>
      </c>
      <c r="CA15" s="19" t="s">
        <v>437</v>
      </c>
      <c r="CB15" s="6">
        <f>+CE15/CE$19</f>
        <v>0.6</v>
      </c>
      <c r="CC15" s="6">
        <f t="shared" ref="CC15:CC19" si="63">+CF15/CF$19</f>
        <v>0.49514563106796117</v>
      </c>
      <c r="CD15" s="6">
        <f t="shared" ref="CD15:CD19" si="64">+CG15/CG$19</f>
        <v>0.33333333333333331</v>
      </c>
      <c r="CE15" s="249">
        <f>COUNTIFS('ENCUESTA PROPIETARIOS'!$N$7:$N$417,1,'ENCUESTA PROPIETARIOS'!$DT$7:$DT$417,$CA15)+COUNTIFS('ENCUESTA PROPIETARIOS'!$N$7:$N$417,1,'ENCUESTA PROPIETARIOS'!$DT$7:$DT$417,"NO CONVIENE")+COUNTIFS('ENCUESTA PROPIETARIOS'!$N$7:$N$417,1,'ENCUESTA PROPIETARIOS'!$DT$7:$DT$417,"ES UN ROBO")+COUNTIFS('ENCUESTA PROPIETARIOS'!$N$7:$N$417,1,'ENCUESTA PROPIETARIOS'!$DT$7:$DT$417,"PAGAN POCO")</f>
        <v>27</v>
      </c>
      <c r="CF15" s="249">
        <f>COUNTIFS('ENCUESTA PROPIETARIOS'!$N$7:$N$417,"&lt;6",'ENCUESTA PROPIETARIOS'!$DT$7:$DT$417,$CA15)+COUNTIFS('ENCUESTA PROPIETARIOS'!$N$7:$N$417,"&lt;6",'ENCUESTA PROPIETARIOS'!$DT$7:$DT$417,"NO CONVIENE")+COUNTIFS('ENCUESTA PROPIETARIOS'!$N$7:$N$417,"&lt;6",'ENCUESTA PROPIETARIOS'!$DT$7:$DT$417,"ES UN ROBO")+COUNTIFS('ENCUESTA PROPIETARIOS'!$N$7:$N$417,"&lt;6",'ENCUESTA PROPIETARIOS'!$DT$7:$DT$417,"PAGAN POCO")</f>
        <v>51</v>
      </c>
      <c r="CG15" s="249">
        <f>COUNTIFS('ENCUESTA PROPIETARIOS'!$N$7:$N$417,"&gt;5",'ENCUESTA PROPIETARIOS'!$DT$7:$DT$417,$CA15)+COUNTIFS('ENCUESTA PROPIETARIOS'!$N$7:$N$417,"&gt;5",'ENCUESTA PROPIETARIOS'!$DT$7:$DT$417,"NO CONVIENE")+COUNTIFS('ENCUESTA PROPIETARIOS'!$N$7:$N$417,"&gt;5",'ENCUESTA PROPIETARIOS'!$DT$7:$DT$417,"ES UN ROBO")+COUNTIFS('ENCUESTA PROPIETARIOS'!$N$7:$N$417,"&gt;5",'ENCUESTA PROPIETARIOS'!$DT$7:$DT$417,"PAGAN POCO")</f>
        <v>8</v>
      </c>
      <c r="CS15" s="19" t="s">
        <v>1315</v>
      </c>
      <c r="CT15" s="249">
        <f>COUNTIFS('ENCUESTA PROPIETARIOS'!$A$7:$A$417,"SSE OAXACA",'ENCUESTA PROPIETARIOS'!$L$7:$L$417,CS15)</f>
        <v>0</v>
      </c>
      <c r="CU15" s="249">
        <f>COUNTIFS('ENCUESTA PROPIETARIOS'!$A$7:$A$417,"C D.F.",'ENCUESTA PROPIETARIOS'!$L$7:$L$417,CS15)+COUNTIFS('ENCUESTA PROPIETARIOS'!$A$7:$A$417,"C QUERETARO",'ENCUESTA PROPIETARIOS'!$L$7:$L$417,CS15)+COUNTIFS('ENCUESTA PROPIETARIOS'!$A$7:$A$417,"C JALISCO",'ENCUESTA PROPIETARIOS'!$L$7:$L$417,CS15)+COUNTIFS('ENCUESTA PROPIETARIOS'!$A$7:$A$417,"C VERACRUZ",'ENCUESTA PROPIETARIOS'!$L$7:$L$417,CS15)</f>
        <v>2</v>
      </c>
      <c r="CV15" s="249">
        <f>COUNTIFS('ENCUESTA PROPIETARIOS'!$A$7:$A$417,"NO SINALOA",'ENCUESTA PROPIETARIOS'!$L$7:$L$417,CS15)+COUNTIFS('ENCUESTA PROPIETARIOS'!$A$7:$A$417,"NO CHIHUAHUA",'ENCUESTA PROPIETARIOS'!$L$7:$L$417,CS15)</f>
        <v>5</v>
      </c>
      <c r="CW15" s="249">
        <f>COUNTIFS('ENCUESTA PROPIETARIOS'!$A$7:$A$417,"NE NUEVO LEON",'ENCUESTA PROPIETARIOS'!$L$7:$L$417,CS15)+COUNTIFS('ENCUESTA PROPIETARIOS'!$A$7:$A$417,"NE TAMAULIPAS",'ENCUESTA PROPIETARIOS'!$L$7:$L$417,CS15)</f>
        <v>0</v>
      </c>
      <c r="CX15" s="249">
        <f t="shared" si="31"/>
        <v>7</v>
      </c>
      <c r="CY15" s="112"/>
      <c r="DD15" s="373" t="s">
        <v>1717</v>
      </c>
      <c r="DE15" s="373"/>
      <c r="DF15" s="373"/>
      <c r="DG15" s="373" t="s">
        <v>1718</v>
      </c>
      <c r="DH15" s="373"/>
      <c r="DI15" s="373"/>
      <c r="DM15" s="249" t="s">
        <v>2416</v>
      </c>
      <c r="DN15" s="6" t="e">
        <f t="shared" si="62"/>
        <v>#DIV/0!</v>
      </c>
      <c r="DO15" s="6"/>
    </row>
    <row r="16" spans="1:125" x14ac:dyDescent="0.25">
      <c r="A16" s="11" t="s">
        <v>2428</v>
      </c>
      <c r="B16" s="6">
        <f t="shared" si="45"/>
        <v>0.10891089108910891</v>
      </c>
      <c r="C16" s="249">
        <f>COUNTIFS('DATOS 1'!$L$51:$L$427,1,'DATOS 1'!$E$51:$E$427,"&gt;60")</f>
        <v>22</v>
      </c>
      <c r="AT16" s="11"/>
      <c r="AU16" s="9"/>
      <c r="AV16" s="6"/>
      <c r="BH16" s="11"/>
      <c r="BI16" s="11"/>
      <c r="BJ16" s="11"/>
      <c r="BK16" s="11"/>
      <c r="BL16" s="11"/>
      <c r="BQ16" s="11" t="s">
        <v>946</v>
      </c>
      <c r="BR16" s="6">
        <f>+BU16/BU$19</f>
        <v>0.19617224880382775</v>
      </c>
      <c r="BS16" s="6">
        <f t="shared" ref="BS16:BS19" si="65">+BV16/BV$19</f>
        <v>0.45755693581780538</v>
      </c>
      <c r="BT16" s="6">
        <f t="shared" ref="BT16:BT19" si="66">+BW16/BW$19</f>
        <v>0.64583333333333337</v>
      </c>
      <c r="BU16" s="249">
        <f>COUNTIFS('DATOS 2'!$AA$5:$AA$984,1,'DATOS 2'!$O$5:$O$984,"X")</f>
        <v>41</v>
      </c>
      <c r="BV16" s="249">
        <f>COUNTIFS('DATOS 2'!$AA$5:$AA$984,"&lt;6",'DATOS 2'!$O$5:$O$984,"X")-BU16</f>
        <v>221</v>
      </c>
      <c r="BW16" s="249">
        <f>COUNTIFS('DATOS 2'!$AA$5:$AA$984,"&gt;5",'DATOS 2'!$O$5:$O$984,"X")</f>
        <v>186</v>
      </c>
      <c r="CA16" s="19" t="s">
        <v>618</v>
      </c>
      <c r="CB16" s="6">
        <f t="shared" ref="CB16:CB19" si="67">+CE16/CE$19</f>
        <v>0.37777777777777777</v>
      </c>
      <c r="CC16" s="6">
        <f t="shared" si="63"/>
        <v>0.44660194174757284</v>
      </c>
      <c r="CD16" s="6">
        <f t="shared" si="64"/>
        <v>0.5</v>
      </c>
      <c r="CE16" s="249">
        <f>COUNTIFS('ENCUESTA PROPIETARIOS'!$N$7:$N$417,1,'ENCUESTA PROPIETARIOS'!$DT$7:$DT$417,$CA16)+COUNTIFS('ENCUESTA PROPIETARIOS'!$N$7:$N$417,1,'ENCUESTA PROPIETARIOS'!$DT$7:$DT$417,"UNIDADES NUEVAS")+COUNTIFS('ENCUESTA PROPIETARIOS'!$N$7:$N$417,1,'ENCUESTA PROPIETARIOS'!$DT$7:$DT$417,"UNIDADES SEMINUEVAS")+COUNTIFS('ENCUESTA PROPIETARIOS'!$N$7:$N$417,1,'ENCUESTA PROPIETARIOS'!$DT$7:$DT$417,"UNIDADES NO SON CHATARRA")+COUNTIFS('ENCUESTA PROPIETARIOS'!$N$7:$N$417,1,'ENCUESTA PROPIETARIOS'!$DT$7:$DT$417,"NO HA SIDO NECESARIO")+COUNTIFS('ENCUESTA PROPIETARIOS'!$N$7:$N$417,1,'ENCUESTA PROPIETARIOS'!$DT$7:$DT$417,"NO LO NECESITA")+COUNTIFS('ENCUESTA PROPIETARIOS'!$N$7:$N$417,1,'ENCUESTA PROPIETARIOS'!$DT$7:$DT$417,"NO HA CAMBIADO UNIDAD")+COUNTIFS('ENCUESTA PROPIETARIOS'!$N$7:$N$417,1,'ENCUESTA PROPIETARIOS'!$DT$7:$DT$417,"NO CALIFICAMOS")</f>
        <v>17</v>
      </c>
      <c r="CF16" s="249">
        <f>COUNTIFS('ENCUESTA PROPIETARIOS'!$N$7:$N$417,"&lt;6",'ENCUESTA PROPIETARIOS'!$DT$7:$DT$417,$CA16)+COUNTIFS('ENCUESTA PROPIETARIOS'!$N$7:$N$417,"&lt;6",'ENCUESTA PROPIETARIOS'!$DT$7:$DT$417,"UNIDADES NUEVAS")+COUNTIFS('ENCUESTA PROPIETARIOS'!$N$7:$N$417,"&lt;6",'ENCUESTA PROPIETARIOS'!$DT$7:$DT$417,"UNIDADES SEMINUEVAS")+COUNTIFS('ENCUESTA PROPIETARIOS'!$N$7:$N$417,"&lt;6",'ENCUESTA PROPIETARIOS'!$DT$7:$DT$417,"UNIDADES NO SON CHATARRA")+COUNTIFS('ENCUESTA PROPIETARIOS'!$N$7:$N$417,"&lt;6",'ENCUESTA PROPIETARIOS'!$DT$7:$DT$417,"NO HA SIDO NECESARIO")+COUNTIFS('ENCUESTA PROPIETARIOS'!$N$7:$N$417,"&lt;6",'ENCUESTA PROPIETARIOS'!$DT$7:$DT$417,"NO LO NECESITA")+COUNTIFS('ENCUESTA PROPIETARIOS'!$N$7:$N$417,"&lt;6",'ENCUESTA PROPIETARIOS'!$DT$7:$DT$417,"NO HA CAMBIADO UNIDAD")+COUNTIFS('ENCUESTA PROPIETARIOS'!$N$7:$N$417,"&lt;6",'ENCUESTA PROPIETARIOS'!$DT$7:$DT$417,"NO CALIFICAMOS")</f>
        <v>46</v>
      </c>
      <c r="CG16" s="249">
        <f>COUNTIFS('ENCUESTA PROPIETARIOS'!$N$7:$N$417,"&gt;5",'ENCUESTA PROPIETARIOS'!$DT$7:$DT$417,$CA16)+COUNTIFS('ENCUESTA PROPIETARIOS'!$N$7:$N$417,"&gt;5",'ENCUESTA PROPIETARIOS'!$DT$7:$DT$417,"UNIDADES NUEVAS")+COUNTIFS('ENCUESTA PROPIETARIOS'!$N$7:$N$417,"&gt;5",'ENCUESTA PROPIETARIOS'!$DT$7:$DT$417,"UNIDADES SEMINUEVAS")+COUNTIFS('ENCUESTA PROPIETARIOS'!$N$7:$N$417,"&gt;5",'ENCUESTA PROPIETARIOS'!$DT$7:$DT$417,"UNIDADES NO SON CHATARRA")+COUNTIFS('ENCUESTA PROPIETARIOS'!$N$7:$N$417,"&gt;5",'ENCUESTA PROPIETARIOS'!$DT$7:$DT$417,"NO HA SIDO NECESARIO")+COUNTIFS('ENCUESTA PROPIETARIOS'!$N$7:$N$417,"&gt;5",'ENCUESTA PROPIETARIOS'!$DT$7:$DT$417,"NO LO NECESITA")+COUNTIFS('ENCUESTA PROPIETARIOS'!$N$7:$N$417,"&gt;5",'ENCUESTA PROPIETARIOS'!$DT$7:$DT$417,"NO HA CAMBIADO UNIDAD")+COUNTIFS('ENCUESTA PROPIETARIOS'!$N$7:$N$417,"&gt;5",'ENCUESTA PROPIETARIOS'!$DT$7:$DT$417,"NO CALIFICAMOS")</f>
        <v>12</v>
      </c>
      <c r="CS16" s="19" t="s">
        <v>1284</v>
      </c>
      <c r="CT16" s="249">
        <f>COUNTIFS('ENCUESTA PROPIETARIOS'!$A$7:$A$417,"SSE OAXACA",'ENCUESTA PROPIETARIOS'!$L$7:$L$417,CS16)</f>
        <v>0</v>
      </c>
      <c r="CU16" s="249">
        <f>COUNTIFS('ENCUESTA PROPIETARIOS'!$A$7:$A$417,"C D.F.",'ENCUESTA PROPIETARIOS'!$L$7:$L$417,CS16)+COUNTIFS('ENCUESTA PROPIETARIOS'!$A$7:$A$417,"C QUERETARO",'ENCUESTA PROPIETARIOS'!$L$7:$L$417,CS16)+COUNTIFS('ENCUESTA PROPIETARIOS'!$A$7:$A$417,"C JALISCO",'ENCUESTA PROPIETARIOS'!$L$7:$L$417,CS16)+COUNTIFS('ENCUESTA PROPIETARIOS'!$A$7:$A$417,"C VERACRUZ",'ENCUESTA PROPIETARIOS'!$L$7:$L$417,CS16)</f>
        <v>6</v>
      </c>
      <c r="CV16" s="249">
        <f>COUNTIFS('ENCUESTA PROPIETARIOS'!$A$7:$A$417,"NO SINALOA",'ENCUESTA PROPIETARIOS'!$L$7:$L$417,CS16)+COUNTIFS('ENCUESTA PROPIETARIOS'!$A$7:$A$417,"NO CHIHUAHUA",'ENCUESTA PROPIETARIOS'!$L$7:$L$417,CS16)</f>
        <v>0</v>
      </c>
      <c r="CW16" s="249">
        <f>COUNTIFS('ENCUESTA PROPIETARIOS'!$A$7:$A$417,"NE NUEVO LEON",'ENCUESTA PROPIETARIOS'!$L$7:$L$417,CS16)+COUNTIFS('ENCUESTA PROPIETARIOS'!$A$7:$A$417,"NE TAMAULIPAS",'ENCUESTA PROPIETARIOS'!$L$7:$L$417,CS16)</f>
        <v>0</v>
      </c>
      <c r="CX16" s="249">
        <f t="shared" si="31"/>
        <v>6</v>
      </c>
      <c r="CY16" s="112"/>
      <c r="CZ16" s="17" t="s">
        <v>2488</v>
      </c>
      <c r="DA16" s="250" t="s">
        <v>2435</v>
      </c>
      <c r="DB16" s="250" t="s">
        <v>2436</v>
      </c>
      <c r="DC16" s="17" t="s">
        <v>714</v>
      </c>
      <c r="DD16" s="250" t="s">
        <v>2433</v>
      </c>
      <c r="DE16" s="250" t="s">
        <v>2434</v>
      </c>
      <c r="DF16" s="17" t="s">
        <v>714</v>
      </c>
      <c r="DG16" s="250" t="s">
        <v>2433</v>
      </c>
      <c r="DH16" s="250" t="s">
        <v>2434</v>
      </c>
      <c r="DI16" s="17" t="s">
        <v>714</v>
      </c>
      <c r="DM16" s="249" t="s">
        <v>2417</v>
      </c>
      <c r="DN16" s="6" t="e">
        <f t="shared" si="62"/>
        <v>#DIV/0!</v>
      </c>
      <c r="DO16" s="6"/>
    </row>
    <row r="17" spans="1:119" x14ac:dyDescent="0.25">
      <c r="A17" s="11" t="s">
        <v>715</v>
      </c>
      <c r="B17" s="6">
        <f>+C17/$C$17</f>
        <v>1</v>
      </c>
      <c r="C17" s="249">
        <f>SUM(C10:C16)</f>
        <v>202</v>
      </c>
      <c r="J17" s="17" t="s">
        <v>2412</v>
      </c>
      <c r="K17" s="250" t="s">
        <v>2435</v>
      </c>
      <c r="L17" s="250" t="s">
        <v>2436</v>
      </c>
      <c r="M17" s="17" t="s">
        <v>714</v>
      </c>
      <c r="N17" s="250" t="s">
        <v>2433</v>
      </c>
      <c r="O17" s="250" t="s">
        <v>2434</v>
      </c>
      <c r="P17" s="17" t="s">
        <v>714</v>
      </c>
      <c r="AT17" s="11"/>
      <c r="AU17" s="154" t="s">
        <v>1710</v>
      </c>
      <c r="AV17" s="6">
        <f t="shared" ref="AV17:AV53" si="68">+AW17/$AW$53</f>
        <v>5.0909090909090911E-2</v>
      </c>
      <c r="AW17" s="249">
        <f>SUM(AW4:AW14)</f>
        <v>14</v>
      </c>
      <c r="AY17" s="11" t="s">
        <v>2461</v>
      </c>
      <c r="AZ17" s="250" t="s">
        <v>2435</v>
      </c>
      <c r="BA17" s="250" t="s">
        <v>2436</v>
      </c>
      <c r="BB17" s="250" t="s">
        <v>714</v>
      </c>
      <c r="BC17" s="250" t="s">
        <v>2433</v>
      </c>
      <c r="BD17" s="250" t="s">
        <v>2434</v>
      </c>
      <c r="BE17" s="250" t="s">
        <v>714</v>
      </c>
      <c r="BH17" s="11"/>
      <c r="BI17" s="11"/>
      <c r="BJ17" s="11"/>
      <c r="BK17" s="11"/>
      <c r="BL17" s="11"/>
      <c r="BQ17" s="11" t="s">
        <v>1680</v>
      </c>
      <c r="BR17" s="6">
        <f t="shared" ref="BR17:BR19" si="69">+BU17/BU$19</f>
        <v>0.32535885167464113</v>
      </c>
      <c r="BS17" s="6">
        <f t="shared" si="65"/>
        <v>0.26708074534161491</v>
      </c>
      <c r="BT17" s="6">
        <f t="shared" si="66"/>
        <v>0.1423611111111111</v>
      </c>
      <c r="BU17" s="249">
        <f>COUNTIFS('DATOS 2'!$AA$5:$AA$984,1,'DATOS 2'!$P$5:$P$984,"X")</f>
        <v>68</v>
      </c>
      <c r="BV17" s="249">
        <f>COUNTIFS('DATOS 2'!$AA$5:$AA$984,"&lt;6",'DATOS 2'!$P$5:$P$984,"X")-BU17</f>
        <v>129</v>
      </c>
      <c r="BW17" s="249">
        <f>COUNTIFS('DATOS 2'!$AA$5:$AA$984,"&gt;5",'DATOS 2'!$P$5:$P$984,"X")</f>
        <v>41</v>
      </c>
      <c r="CA17" s="19" t="s">
        <v>1773</v>
      </c>
      <c r="CB17" s="6">
        <f t="shared" si="67"/>
        <v>0</v>
      </c>
      <c r="CC17" s="6">
        <f t="shared" si="63"/>
        <v>9.7087378640776691E-3</v>
      </c>
      <c r="CD17" s="6">
        <f t="shared" si="64"/>
        <v>4.1666666666666664E-2</v>
      </c>
      <c r="CE17" s="249">
        <f>COUNTIFS('ENCUESTA PROPIETARIOS'!$N$7:$N$417,1,'ENCUESTA PROPIETARIOS'!$DT$7:$DT$417,$CA17)+COUNTIFS('ENCUESTA PROPIETARIOS'!$N$7:$N$417,1,'ENCUESTA PROPIETARIOS'!$DT$7:$DT$417,"VENDEMOS SEMINUEVOS")</f>
        <v>0</v>
      </c>
      <c r="CF17" s="249">
        <f>COUNTIFS('ENCUESTA PROPIETARIOS'!$N$7:$N$417,"&lt;6",'ENCUESTA PROPIETARIOS'!$DT$7:$DT$417,$CA17)+COUNTIFS('ENCUESTA PROPIETARIOS'!$N$7:$N$417,"&lt;6",'ENCUESTA PROPIETARIOS'!$DT$7:$DT$417,"VENDEMOS SEMINUEVOS")</f>
        <v>1</v>
      </c>
      <c r="CG17" s="249">
        <f>COUNTIFS('ENCUESTA PROPIETARIOS'!$N$7:$N$417,"&gt;5",'ENCUESTA PROPIETARIOS'!$DT$7:$DT$417,$CA17)+COUNTIFS('ENCUESTA PROPIETARIOS'!$N$7:$N$417,"&gt;5",'ENCUESTA PROPIETARIOS'!$DT$7:$DT$417,"VENDEMOS SEMINUEVOS")</f>
        <v>1</v>
      </c>
      <c r="CS17" s="19" t="s">
        <v>1335</v>
      </c>
      <c r="CT17" s="249">
        <f>COUNTIFS('ENCUESTA PROPIETARIOS'!$A$7:$A$417,"SSE OAXACA",'ENCUESTA PROPIETARIOS'!$L$7:$L$417,CS17)</f>
        <v>0</v>
      </c>
      <c r="CU17" s="249">
        <f>COUNTIFS('ENCUESTA PROPIETARIOS'!$A$7:$A$417,"C D.F.",'ENCUESTA PROPIETARIOS'!$L$7:$L$417,CS17)+COUNTIFS('ENCUESTA PROPIETARIOS'!$A$7:$A$417,"C QUERETARO",'ENCUESTA PROPIETARIOS'!$L$7:$L$417,CS17)+COUNTIFS('ENCUESTA PROPIETARIOS'!$A$7:$A$417,"C JALISCO",'ENCUESTA PROPIETARIOS'!$L$7:$L$417,CS17)+COUNTIFS('ENCUESTA PROPIETARIOS'!$A$7:$A$417,"C VERACRUZ",'ENCUESTA PROPIETARIOS'!$L$7:$L$417,CS17)</f>
        <v>6</v>
      </c>
      <c r="CV17" s="249">
        <f>COUNTIFS('ENCUESTA PROPIETARIOS'!$A$7:$A$417,"NO SINALOA",'ENCUESTA PROPIETARIOS'!$L$7:$L$417,CS17)+COUNTIFS('ENCUESTA PROPIETARIOS'!$A$7:$A$417,"NO CHIHUAHUA",'ENCUESTA PROPIETARIOS'!$L$7:$L$417,CS17)</f>
        <v>0</v>
      </c>
      <c r="CW17" s="249">
        <f>COUNTIFS('ENCUESTA PROPIETARIOS'!$A$7:$A$417,"NE NUEVO LEON",'ENCUESTA PROPIETARIOS'!$L$7:$L$417,CS17)+COUNTIFS('ENCUESTA PROPIETARIOS'!$A$7:$A$417,"NE TAMAULIPAS",'ENCUESTA PROPIETARIOS'!$L$7:$L$417,CS17)</f>
        <v>0</v>
      </c>
      <c r="CX17" s="249">
        <f t="shared" si="31"/>
        <v>6</v>
      </c>
      <c r="CY17" s="112"/>
      <c r="CZ17" s="123" t="s">
        <v>19</v>
      </c>
      <c r="DA17" s="6">
        <f>(+DD17+DG17)/DD$13</f>
        <v>0.21551724137931033</v>
      </c>
      <c r="DB17" s="6">
        <f t="shared" ref="DB17:DB25" si="70">(+DE17+DH17)/DE$13</f>
        <v>0.14367816091954022</v>
      </c>
      <c r="DC17" s="6">
        <f t="shared" ref="DC17:DC25" si="71">(+DF17+DI17)/DF$13</f>
        <v>7.7821011673151752E-2</v>
      </c>
      <c r="DD17" s="249">
        <f>+DD3</f>
        <v>78</v>
      </c>
      <c r="DE17" s="249">
        <f t="shared" ref="DE17:DI17" si="72">+DE3</f>
        <v>54</v>
      </c>
      <c r="DF17" s="249">
        <f t="shared" si="72"/>
        <v>8</v>
      </c>
      <c r="DG17" s="249">
        <f t="shared" si="72"/>
        <v>22</v>
      </c>
      <c r="DH17" s="249">
        <f t="shared" si="72"/>
        <v>46</v>
      </c>
      <c r="DI17" s="249">
        <f t="shared" si="72"/>
        <v>12</v>
      </c>
      <c r="DM17" s="249" t="s">
        <v>2418</v>
      </c>
      <c r="DN17" s="6" t="e">
        <f t="shared" si="62"/>
        <v>#DIV/0!</v>
      </c>
      <c r="DO17" s="6"/>
    </row>
    <row r="18" spans="1:119" ht="25.5" x14ac:dyDescent="0.25">
      <c r="J18" s="112" t="s">
        <v>841</v>
      </c>
      <c r="K18" s="6">
        <f>+N18/N$20</f>
        <v>0.26732673267326734</v>
      </c>
      <c r="L18" s="6">
        <f t="shared" ref="L18:L20" si="73">+O18/O$20</f>
        <v>0.56424581005586594</v>
      </c>
      <c r="M18" s="6">
        <f t="shared" ref="M18:M20" si="74">+P18/P$20</f>
        <v>0.55263157894736847</v>
      </c>
      <c r="N18" s="249">
        <f>COUNTIFS('DATOS 1'!$L$51:$L$427,1,'DATOS 1'!$AJ$51:$AJ$427,"X")</f>
        <v>54</v>
      </c>
      <c r="O18" s="249">
        <f>COUNTIFS('DATOS 1'!$L$51:$L$427,"&lt;6",'DATOS 1'!$AJ$51:$AJ$427,"X")-N18</f>
        <v>101</v>
      </c>
      <c r="P18" s="249">
        <f>COUNTIF('DATOS 1'!$AJ$7:$AJ$40,"X")</f>
        <v>21</v>
      </c>
      <c r="Z18" s="373" t="s">
        <v>1717</v>
      </c>
      <c r="AA18" s="373"/>
      <c r="AB18" s="373"/>
      <c r="AC18" s="373"/>
      <c r="AD18" s="373"/>
      <c r="AE18" s="373"/>
      <c r="AH18" s="11" t="s">
        <v>2458</v>
      </c>
      <c r="AI18" s="250" t="s">
        <v>2435</v>
      </c>
      <c r="AJ18" s="250" t="s">
        <v>2436</v>
      </c>
      <c r="AK18" s="17" t="s">
        <v>714</v>
      </c>
      <c r="AL18" s="250" t="s">
        <v>2433</v>
      </c>
      <c r="AM18" s="250" t="s">
        <v>2434</v>
      </c>
      <c r="AN18" s="17" t="s">
        <v>714</v>
      </c>
      <c r="AT18" s="11">
        <f t="shared" ref="AT18:AT51" si="75">2014-AU18</f>
        <v>34</v>
      </c>
      <c r="AU18" s="9">
        <v>1980</v>
      </c>
      <c r="AV18" s="6">
        <f t="shared" si="68"/>
        <v>3.6363636363636362E-2</v>
      </c>
      <c r="AW18" s="249">
        <f>COUNTIFS('DATOS 2'!$AA$5:$AA$1437,1,'DATOS 2'!$D$5:$D$1437,AU18)</f>
        <v>10</v>
      </c>
      <c r="AY18" s="11" t="s">
        <v>2374</v>
      </c>
      <c r="AZ18" s="6">
        <f>+BC18/BC$24</f>
        <v>7.636363636363637E-2</v>
      </c>
      <c r="BA18" s="6">
        <f t="shared" ref="BA18:BA24" si="76">+BD18/BD$24</f>
        <v>7.9088471849865949E-2</v>
      </c>
      <c r="BB18" s="6">
        <f t="shared" ref="BB18:BB24" si="77">+BE18/BE$24</f>
        <v>0.12</v>
      </c>
      <c r="BC18" s="249">
        <f>COUNTIFS('DATOS 2'!$AA$5:$AA$1437,1,'DATOS 2'!$J$5:$J$1437,"&lt;2500")</f>
        <v>21</v>
      </c>
      <c r="BD18" s="249">
        <f>COUNTIFS('DATOS 2'!$AA$5:$AA$1437,"&lt;6",'DATOS 2'!$J$5:$J$1437,"&lt;2500")-BC18</f>
        <v>59</v>
      </c>
      <c r="BE18" s="249">
        <f>COUNTIFS('DATOS 2'!$AA$5:$AA$1437,"&gt;5",'DATOS 2'!$J$5:$J$1437,"&lt;2500")</f>
        <v>48</v>
      </c>
      <c r="BH18" s="11"/>
      <c r="BI18" s="11"/>
      <c r="BJ18" s="11"/>
      <c r="BK18" s="11"/>
      <c r="BL18" s="11"/>
      <c r="BQ18" s="11" t="s">
        <v>1681</v>
      </c>
      <c r="BR18" s="6">
        <f t="shared" si="69"/>
        <v>0.4784688995215311</v>
      </c>
      <c r="BS18" s="6">
        <f t="shared" si="65"/>
        <v>0.27536231884057971</v>
      </c>
      <c r="BT18" s="6">
        <f t="shared" si="66"/>
        <v>0.21180555555555555</v>
      </c>
      <c r="BU18" s="249">
        <f>COUNTIFS('DATOS 2'!$AA$5:$AA$984,1,'DATOS 2'!$Q$5:$Q$984,"X")</f>
        <v>100</v>
      </c>
      <c r="BV18" s="249">
        <f>COUNTIFS('DATOS 2'!$AA$5:$AA$984,"&lt;6",'DATOS 2'!$Q$5:$Q$984,"X")-BU18</f>
        <v>133</v>
      </c>
      <c r="BW18" s="249">
        <f>COUNTIFS('DATOS 2'!$AA$5:$AA$984,"&gt;5",'DATOS 2'!$Q$5:$Q$984,"X")</f>
        <v>61</v>
      </c>
      <c r="CA18" s="19" t="s">
        <v>405</v>
      </c>
      <c r="CB18" s="6">
        <f t="shared" si="67"/>
        <v>2.2222222222222223E-2</v>
      </c>
      <c r="CC18" s="6">
        <f t="shared" si="63"/>
        <v>4.8543689320388349E-2</v>
      </c>
      <c r="CD18" s="6">
        <f t="shared" si="64"/>
        <v>0.125</v>
      </c>
      <c r="CE18" s="249">
        <f>COUNTIFS('ENCUESTA PROPIETARIOS'!$N$7:$N$417,1,'ENCUESTA PROPIETARIOS'!$DT$7:$DT$417,$CA18)+COUNTIFS('ENCUESTA PROPIETARIOS'!$N$7:$N$417,1,'ENCUESTA PROPIETARIOS'!$DT$7:$DT$417,"NO ES JUSTO")+COUNTIFS('ENCUESTA PROPIETARIOS'!$N$7:$N$417,1,'ENCUESTA PROPIETARIOS'!$DT$7:$DT$417,"POR LA GRAN CORRUPCION Y TRABAS EXISTENTES")</f>
        <v>1</v>
      </c>
      <c r="CF18" s="249">
        <f>COUNTIFS('ENCUESTA PROPIETARIOS'!$N$7:$N$417,"&lt;6",'ENCUESTA PROPIETARIOS'!$DT$7:$DT$417,$CA18)+COUNTIFS('ENCUESTA PROPIETARIOS'!$N$7:$N$417,"&lt;6",'ENCUESTA PROPIETARIOS'!$DT$7:$DT$417,"NO ES JUSTO")+COUNTIFS('ENCUESTA PROPIETARIOS'!$N$7:$N$417,"&lt;6",'ENCUESTA PROPIETARIOS'!$DT$7:$DT$417,"POR LA GRAN CORRUPCION Y TRABAS EXISTENTES")</f>
        <v>5</v>
      </c>
      <c r="CG18" s="249">
        <f>COUNTIFS('ENCUESTA PROPIETARIOS'!$N$7:$N$417,"&gt;5",'ENCUESTA PROPIETARIOS'!$DT$7:$DT$417,$CA18)+COUNTIFS('ENCUESTA PROPIETARIOS'!$N$7:$N$417,"&gt;5",'ENCUESTA PROPIETARIOS'!$DT$7:$DT$417,"NO ES JUSTO")+COUNTIFS('ENCUESTA PROPIETARIOS'!$N$7:$N$417,"&gt;5",'ENCUESTA PROPIETARIOS'!$DT$7:$DT$417,"POR LA GRAN CORRUPCION Y TRABAS EXISTENTES")</f>
        <v>3</v>
      </c>
      <c r="CS18" s="19" t="s">
        <v>1290</v>
      </c>
      <c r="CT18" s="249">
        <f>COUNTIFS('ENCUESTA PROPIETARIOS'!$A$7:$A$417,"SSE OAXACA",'ENCUESTA PROPIETARIOS'!$L$7:$L$417,CS18)</f>
        <v>0</v>
      </c>
      <c r="CU18" s="249">
        <f>COUNTIFS('ENCUESTA PROPIETARIOS'!$A$7:$A$417,"C D.F.",'ENCUESTA PROPIETARIOS'!$L$7:$L$417,CS18)+COUNTIFS('ENCUESTA PROPIETARIOS'!$A$7:$A$417,"C QUERETARO",'ENCUESTA PROPIETARIOS'!$L$7:$L$417,CS18)+COUNTIFS('ENCUESTA PROPIETARIOS'!$A$7:$A$417,"C JALISCO",'ENCUESTA PROPIETARIOS'!$L$7:$L$417,CS18)+COUNTIFS('ENCUESTA PROPIETARIOS'!$A$7:$A$417,"C VERACRUZ",'ENCUESTA PROPIETARIOS'!$L$7:$L$417,CS18)</f>
        <v>3</v>
      </c>
      <c r="CV18" s="249">
        <f>COUNTIFS('ENCUESTA PROPIETARIOS'!$A$7:$A$417,"NO SINALOA",'ENCUESTA PROPIETARIOS'!$L$7:$L$417,CS18)+COUNTIFS('ENCUESTA PROPIETARIOS'!$A$7:$A$417,"NO CHIHUAHUA",'ENCUESTA PROPIETARIOS'!$L$7:$L$417,CS18)</f>
        <v>0</v>
      </c>
      <c r="CW18" s="249">
        <f>COUNTIFS('ENCUESTA PROPIETARIOS'!$A$7:$A$417,"NE NUEVO LEON",'ENCUESTA PROPIETARIOS'!$L$7:$L$417,CS18)+COUNTIFS('ENCUESTA PROPIETARIOS'!$A$7:$A$417,"NE TAMAULIPAS",'ENCUESTA PROPIETARIOS'!$L$7:$L$417,CS18)</f>
        <v>3</v>
      </c>
      <c r="CX18" s="249">
        <f t="shared" si="31"/>
        <v>6</v>
      </c>
      <c r="CY18" s="112"/>
      <c r="CZ18" s="123" t="s">
        <v>20</v>
      </c>
      <c r="DA18" s="6">
        <f t="shared" ref="DA18:DA25" si="78">(+DD18+DG18)/DD$13</f>
        <v>0.15301724137931033</v>
      </c>
      <c r="DB18" s="6">
        <f t="shared" si="70"/>
        <v>9.7701149425287362E-2</v>
      </c>
      <c r="DC18" s="6">
        <f t="shared" si="71"/>
        <v>8.9494163424124515E-2</v>
      </c>
      <c r="DD18" s="249">
        <f t="shared" ref="DD18:DI18" si="79">+DD4</f>
        <v>49</v>
      </c>
      <c r="DE18" s="249">
        <f t="shared" si="79"/>
        <v>34</v>
      </c>
      <c r="DF18" s="249">
        <f t="shared" si="79"/>
        <v>7</v>
      </c>
      <c r="DG18" s="249">
        <f t="shared" si="79"/>
        <v>22</v>
      </c>
      <c r="DH18" s="249">
        <f t="shared" si="79"/>
        <v>34</v>
      </c>
      <c r="DI18" s="249">
        <f t="shared" si="79"/>
        <v>16</v>
      </c>
      <c r="DM18" s="249" t="s">
        <v>2419</v>
      </c>
      <c r="DN18" s="6" t="e">
        <f t="shared" si="62"/>
        <v>#DIV/0!</v>
      </c>
      <c r="DO18" s="6"/>
    </row>
    <row r="19" spans="1:119" x14ac:dyDescent="0.25">
      <c r="A19" s="112" t="s">
        <v>2424</v>
      </c>
      <c r="B19" s="249" t="s">
        <v>718</v>
      </c>
      <c r="C19" s="249" t="s">
        <v>717</v>
      </c>
      <c r="J19" s="112" t="s">
        <v>31</v>
      </c>
      <c r="K19" s="6">
        <f t="shared" ref="K19:K20" si="80">+N19/N$20</f>
        <v>0.73267326732673266</v>
      </c>
      <c r="L19" s="6">
        <f t="shared" si="73"/>
        <v>0.43575418994413406</v>
      </c>
      <c r="M19" s="6">
        <f t="shared" si="74"/>
        <v>0.44736842105263158</v>
      </c>
      <c r="N19" s="249">
        <f>COUNTIFS('DATOS 1'!$L$51:$L$427,1,'DATOS 1'!$AK$51:$AK$427,"X")</f>
        <v>148</v>
      </c>
      <c r="O19" s="249">
        <f>COUNTIFS('DATOS 1'!$L$51:$L$427,"&lt;6",'DATOS 1'!$AK$51:$AK$427,"X")-N19</f>
        <v>78</v>
      </c>
      <c r="P19" s="249">
        <f>COUNTIF('DATOS 1'!$AK$7:$AK$40,"X")</f>
        <v>17</v>
      </c>
      <c r="V19" s="11" t="s">
        <v>1785</v>
      </c>
      <c r="W19" s="250" t="s">
        <v>2435</v>
      </c>
      <c r="X19" s="250" t="s">
        <v>2436</v>
      </c>
      <c r="Y19" s="17" t="s">
        <v>714</v>
      </c>
      <c r="Z19" s="250" t="s">
        <v>2433</v>
      </c>
      <c r="AA19" s="250" t="s">
        <v>2434</v>
      </c>
      <c r="AB19" s="17" t="s">
        <v>714</v>
      </c>
      <c r="AC19" s="250"/>
      <c r="AD19" s="250"/>
      <c r="AE19" s="17"/>
      <c r="AH19" s="11" t="s">
        <v>860</v>
      </c>
      <c r="AI19" s="6">
        <f>+AL19/AL$21</f>
        <v>0.62376237623762376</v>
      </c>
      <c r="AJ19" s="6">
        <f t="shared" ref="AJ19:AJ21" si="81">+AM19/AM$21</f>
        <v>0.30285714285714288</v>
      </c>
      <c r="AK19" s="6">
        <f>+AN19/AN$21</f>
        <v>0.23529411764705882</v>
      </c>
      <c r="AL19" s="249">
        <f>COUNTIFS('DATOS 1'!$L$51:$L$427,1,'DATOS 1'!$BO$51:$BO427,"X")</f>
        <v>126</v>
      </c>
      <c r="AM19" s="249">
        <f>COUNTIFS('DATOS 1'!$L$51:$L$427,"&lt;6",'DATOS 1'!$BO$51:$BO$427,"X")-AL19</f>
        <v>53</v>
      </c>
      <c r="AN19" s="249">
        <f>COUNTIF('DATOS 1'!$BO$7:$BO$40,"X")</f>
        <v>8</v>
      </c>
      <c r="AT19" s="11">
        <f t="shared" si="75"/>
        <v>33</v>
      </c>
      <c r="AU19" s="9">
        <v>1981</v>
      </c>
      <c r="AV19" s="6">
        <f t="shared" si="68"/>
        <v>7.2727272727272727E-3</v>
      </c>
      <c r="AW19" s="249">
        <f>COUNTIFS('DATOS 2'!$AA$5:$AA$1437,1,'DATOS 2'!$D$5:$D$1437,AU19)</f>
        <v>2</v>
      </c>
      <c r="AY19" s="11" t="s">
        <v>2375</v>
      </c>
      <c r="AZ19" s="6">
        <f t="shared" ref="AZ19:AZ24" si="82">+BC19/BC$24</f>
        <v>0.3927272727272727</v>
      </c>
      <c r="BA19" s="6">
        <f t="shared" si="76"/>
        <v>0.3605898123324397</v>
      </c>
      <c r="BB19" s="6">
        <f t="shared" si="77"/>
        <v>0.23250000000000001</v>
      </c>
      <c r="BC19" s="249">
        <f>COUNTIFS('DATOS 2'!$AA$5:$AA$1437,1,'DATOS 2'!$J$5:$J$1437,"&lt;5001")-BC18</f>
        <v>108</v>
      </c>
      <c r="BD19" s="249">
        <f>COUNTIFS('DATOS 2'!$AA$5:$AA$1437,"&lt;6",'DATOS 2'!$J$5:$J$1437,"&lt;5001")-BD18-BC19-BC18</f>
        <v>269</v>
      </c>
      <c r="BE19" s="249">
        <f>COUNTIFS('DATOS 2'!$AA$5:$AA$1437,"&gt;5",'DATOS 2'!$J$5:$J$1437,"&lt;5001")-BE18</f>
        <v>93</v>
      </c>
      <c r="BH19" s="11"/>
      <c r="BI19" s="11"/>
      <c r="BJ19" s="11"/>
      <c r="BK19" s="11"/>
      <c r="BL19" s="11"/>
      <c r="BQ19" s="11" t="s">
        <v>715</v>
      </c>
      <c r="BR19" s="6">
        <f t="shared" si="69"/>
        <v>1</v>
      </c>
      <c r="BS19" s="6">
        <f t="shared" si="65"/>
        <v>1</v>
      </c>
      <c r="BT19" s="6">
        <f t="shared" si="66"/>
        <v>1</v>
      </c>
      <c r="BU19" s="249">
        <f>SUM(BU16:BU18)</f>
        <v>209</v>
      </c>
      <c r="BV19" s="249">
        <f>SUM(BV16:BV18)</f>
        <v>483</v>
      </c>
      <c r="BW19" s="249">
        <f>SUM(BW16:BW18)</f>
        <v>288</v>
      </c>
      <c r="CA19" s="155" t="s">
        <v>715</v>
      </c>
      <c r="CB19" s="6">
        <f t="shared" si="67"/>
        <v>1</v>
      </c>
      <c r="CC19" s="6">
        <f t="shared" si="63"/>
        <v>1</v>
      </c>
      <c r="CD19" s="6">
        <f t="shared" si="64"/>
        <v>1</v>
      </c>
      <c r="CE19" s="249">
        <f>SUM(CE15:CE18)</f>
        <v>45</v>
      </c>
      <c r="CF19" s="249">
        <f>SUM(CF15:CF18)</f>
        <v>103</v>
      </c>
      <c r="CG19" s="249">
        <f>SUM(CG15:CG18)</f>
        <v>24</v>
      </c>
      <c r="CS19" s="19" t="s">
        <v>1292</v>
      </c>
      <c r="CT19" s="249">
        <f>COUNTIFS('ENCUESTA PROPIETARIOS'!$A$7:$A$417,"SSE OAXACA",'ENCUESTA PROPIETARIOS'!$L$7:$L$417,CS19)</f>
        <v>0</v>
      </c>
      <c r="CU19" s="249">
        <f>COUNTIFS('ENCUESTA PROPIETARIOS'!$A$7:$A$417,"C D.F.",'ENCUESTA PROPIETARIOS'!$L$7:$L$417,CS19)+COUNTIFS('ENCUESTA PROPIETARIOS'!$A$7:$A$417,"C QUERETARO",'ENCUESTA PROPIETARIOS'!$L$7:$L$417,CS19)+COUNTIFS('ENCUESTA PROPIETARIOS'!$A$7:$A$417,"C JALISCO",'ENCUESTA PROPIETARIOS'!$L$7:$L$417,CS19)+COUNTIFS('ENCUESTA PROPIETARIOS'!$A$7:$A$417,"C VERACRUZ",'ENCUESTA PROPIETARIOS'!$L$7:$L$417,CS19)</f>
        <v>3</v>
      </c>
      <c r="CV19" s="249">
        <f>COUNTIFS('ENCUESTA PROPIETARIOS'!$A$7:$A$417,"NO SINALOA",'ENCUESTA PROPIETARIOS'!$L$7:$L$417,CS19)+COUNTIFS('ENCUESTA PROPIETARIOS'!$A$7:$A$417,"NO CHIHUAHUA",'ENCUESTA PROPIETARIOS'!$L$7:$L$417,CS19)</f>
        <v>0</v>
      </c>
      <c r="CW19" s="249">
        <f>COUNTIFS('ENCUESTA PROPIETARIOS'!$A$7:$A$417,"NE NUEVO LEON",'ENCUESTA PROPIETARIOS'!$L$7:$L$417,CS19)+COUNTIFS('ENCUESTA PROPIETARIOS'!$A$7:$A$417,"NE TAMAULIPAS",'ENCUESTA PROPIETARIOS'!$L$7:$L$417,CS19)</f>
        <v>2</v>
      </c>
      <c r="CX19" s="249">
        <f t="shared" si="31"/>
        <v>5</v>
      </c>
      <c r="CY19" s="112"/>
      <c r="CZ19" s="123" t="s">
        <v>2409</v>
      </c>
      <c r="DA19" s="6">
        <f t="shared" si="78"/>
        <v>5.1724137931034482E-2</v>
      </c>
      <c r="DB19" s="6">
        <f t="shared" si="70"/>
        <v>0.10775862068965517</v>
      </c>
      <c r="DC19" s="6">
        <f t="shared" si="71"/>
        <v>0.12062256809338522</v>
      </c>
      <c r="DD19" s="249">
        <f t="shared" ref="DD19:DI19" si="83">+DD5</f>
        <v>17</v>
      </c>
      <c r="DE19" s="249">
        <f t="shared" si="83"/>
        <v>27</v>
      </c>
      <c r="DF19" s="249">
        <f t="shared" si="83"/>
        <v>7</v>
      </c>
      <c r="DG19" s="249">
        <f t="shared" si="83"/>
        <v>7</v>
      </c>
      <c r="DH19" s="249">
        <f t="shared" si="83"/>
        <v>48</v>
      </c>
      <c r="DI19" s="249">
        <f t="shared" si="83"/>
        <v>24</v>
      </c>
      <c r="DM19" s="249" t="s">
        <v>2420</v>
      </c>
      <c r="DN19" s="6" t="e">
        <f t="shared" si="62"/>
        <v>#DIV/0!</v>
      </c>
      <c r="DO19" s="6"/>
    </row>
    <row r="20" spans="1:119" ht="25.5" x14ac:dyDescent="0.25">
      <c r="A20" s="11" t="s">
        <v>2429</v>
      </c>
      <c r="B20" s="6">
        <f>+C20/$C$27</f>
        <v>0.12571428571428572</v>
      </c>
      <c r="C20" s="249">
        <f>COUNTIFS('DATOS 1'!$L$51:$L$427,"&lt;6",'DATOS 1'!$E$51:$E$427,"&lt;36")-C10</f>
        <v>22</v>
      </c>
      <c r="J20" s="112" t="s">
        <v>2411</v>
      </c>
      <c r="K20" s="6">
        <f t="shared" si="80"/>
        <v>1</v>
      </c>
      <c r="L20" s="6">
        <f t="shared" si="73"/>
        <v>1</v>
      </c>
      <c r="M20" s="6">
        <f t="shared" si="74"/>
        <v>1</v>
      </c>
      <c r="N20" s="249">
        <f>+N19+N18</f>
        <v>202</v>
      </c>
      <c r="O20" s="249">
        <f>+O19+O18</f>
        <v>179</v>
      </c>
      <c r="P20" s="249">
        <f>+P19+P18</f>
        <v>38</v>
      </c>
      <c r="V20" s="11" t="s">
        <v>1786</v>
      </c>
      <c r="W20" s="6">
        <f>+Z20/Z$27</f>
        <v>0.58373205741626799</v>
      </c>
      <c r="X20" s="6">
        <f t="shared" ref="X20:X27" si="84">+AA20/AA$27</f>
        <v>7.0393374741200831E-2</v>
      </c>
      <c r="Y20" s="6">
        <f t="shared" ref="Y20:Y27" si="85">+AB20/AB$27</f>
        <v>9.0277777777777776E-2</v>
      </c>
      <c r="Z20" s="249">
        <f>COUNTIFS('DETALLES UNIDADES'!$BA$8:$BA$987,1,'DETALLES UNIDADES'!$AS$8:$AS$987,"&lt;$50000")</f>
        <v>122</v>
      </c>
      <c r="AA20" s="249">
        <f>COUNTIFS('DETALLES UNIDADES'!$BA$8:$BA$987,"&lt;6",'DETALLES UNIDADES'!$AS$8:$AS$987,"&lt;$50000")-Z20</f>
        <v>34</v>
      </c>
      <c r="AB20" s="249">
        <f>COUNTIFS('DETALLES UNIDADES'!$BA$8:$BA$987,"&gt;5",'DETALLES UNIDADES'!$AS$8:$AS$987,"&lt;$50000")</f>
        <v>26</v>
      </c>
      <c r="AH20" s="11" t="s">
        <v>872</v>
      </c>
      <c r="AI20" s="6">
        <f t="shared" ref="AI20:AI21" si="86">+AL20/AL$21</f>
        <v>0.37623762376237624</v>
      </c>
      <c r="AJ20" s="6">
        <f t="shared" si="81"/>
        <v>0.69714285714285718</v>
      </c>
      <c r="AK20" s="6">
        <f t="shared" ref="AK20:AK21" si="87">+AN20/AN$21</f>
        <v>0.76470588235294112</v>
      </c>
      <c r="AL20" s="249">
        <f>COUNTIFS('DATOS 1'!$L$51:$L$427,1,'DATOS 1'!$BN$51:$BN$427,"X")</f>
        <v>76</v>
      </c>
      <c r="AM20" s="249">
        <f>COUNTIFS('DATOS 1'!$L$51:$L$427,"&lt;6",'DATOS 1'!$BN$51:$BN$427,"X")-AL20</f>
        <v>122</v>
      </c>
      <c r="AN20" s="249">
        <f>COUNTIF('DATOS 1'!$BN$7:$BN$40,"X")</f>
        <v>26</v>
      </c>
      <c r="AT20" s="11">
        <f t="shared" si="75"/>
        <v>32</v>
      </c>
      <c r="AU20" s="9">
        <v>1982</v>
      </c>
      <c r="AV20" s="6">
        <f t="shared" si="68"/>
        <v>2.181818181818182E-2</v>
      </c>
      <c r="AW20" s="249">
        <f>COUNTIFS('DATOS 2'!$AA$5:$AA$1437,1,'DATOS 2'!$D$5:$D$1437,AU20)</f>
        <v>6</v>
      </c>
      <c r="AY20" s="11" t="s">
        <v>952</v>
      </c>
      <c r="AZ20" s="6">
        <f t="shared" si="82"/>
        <v>0.23636363636363636</v>
      </c>
      <c r="BA20" s="6">
        <f t="shared" si="76"/>
        <v>0.17828418230563003</v>
      </c>
      <c r="BB20" s="6">
        <f t="shared" si="77"/>
        <v>0.17749999999999999</v>
      </c>
      <c r="BC20" s="249">
        <f>COUNTIFS('DATOS 2'!$AA$5:$AA$1437,1,'DATOS 2'!$J$5:$J$1437,"&lt;7501")-BC19-BC18</f>
        <v>65</v>
      </c>
      <c r="BD20" s="249">
        <f>COUNTIFS('DATOS 2'!$AA$5:$AA$1437,"&lt;6",'DATOS 2'!$J$5:$J$1437,"&lt;7501")-BD19-BD18-BC20-BC19-BC18</f>
        <v>133</v>
      </c>
      <c r="BE20" s="249">
        <f>COUNTIFS('DATOS 2'!$AA$5:$AA$1437,"&gt;5",'DATOS 2'!$J$5:$J$1437,"&lt;7501")-BE19-BE18</f>
        <v>71</v>
      </c>
      <c r="BH20" s="11"/>
      <c r="BI20" s="11"/>
      <c r="BJ20" s="11"/>
      <c r="BK20" s="11"/>
      <c r="BL20" s="11"/>
      <c r="BU20" s="249">
        <f>+BU19+BV19+BW19</f>
        <v>980</v>
      </c>
      <c r="CS20" s="19" t="s">
        <v>1301</v>
      </c>
      <c r="CT20" s="249">
        <f>COUNTIFS('ENCUESTA PROPIETARIOS'!$A$7:$A$417,"SSE OAXACA",'ENCUESTA PROPIETARIOS'!$L$7:$L$417,CS20)</f>
        <v>0</v>
      </c>
      <c r="CU20" s="249">
        <f>COUNTIFS('ENCUESTA PROPIETARIOS'!$A$7:$A$417,"C D.F.",'ENCUESTA PROPIETARIOS'!$L$7:$L$417,CS20)+COUNTIFS('ENCUESTA PROPIETARIOS'!$A$7:$A$417,"C QUERETARO",'ENCUESTA PROPIETARIOS'!$L$7:$L$417,CS20)+COUNTIFS('ENCUESTA PROPIETARIOS'!$A$7:$A$417,"C JALISCO",'ENCUESTA PROPIETARIOS'!$L$7:$L$417,CS20)+COUNTIFS('ENCUESTA PROPIETARIOS'!$A$7:$A$417,"C VERACRUZ",'ENCUESTA PROPIETARIOS'!$L$7:$L$417,CS20)</f>
        <v>3</v>
      </c>
      <c r="CV20" s="249">
        <f>COUNTIFS('ENCUESTA PROPIETARIOS'!$A$7:$A$417,"NO SINALOA",'ENCUESTA PROPIETARIOS'!$L$7:$L$417,CS20)+COUNTIFS('ENCUESTA PROPIETARIOS'!$A$7:$A$417,"NO CHIHUAHUA",'ENCUESTA PROPIETARIOS'!$L$7:$L$417,CS20)</f>
        <v>0</v>
      </c>
      <c r="CW20" s="249">
        <f>COUNTIFS('ENCUESTA PROPIETARIOS'!$A$7:$A$417,"NE NUEVO LEON",'ENCUESTA PROPIETARIOS'!$L$7:$L$417,CS20)+COUNTIFS('ENCUESTA PROPIETARIOS'!$A$7:$A$417,"NE TAMAULIPAS",'ENCUESTA PROPIETARIOS'!$L$7:$L$417,CS20)</f>
        <v>1</v>
      </c>
      <c r="CX20" s="249">
        <f t="shared" si="31"/>
        <v>4</v>
      </c>
      <c r="CY20" s="112"/>
      <c r="CZ20" s="123" t="s">
        <v>22</v>
      </c>
      <c r="DA20" s="6">
        <f t="shared" si="78"/>
        <v>8.1896551724137928E-2</v>
      </c>
      <c r="DB20" s="6">
        <f t="shared" si="70"/>
        <v>0.10201149425287356</v>
      </c>
      <c r="DC20" s="6">
        <f t="shared" si="71"/>
        <v>0.10894941634241245</v>
      </c>
      <c r="DD20" s="249">
        <f t="shared" ref="DD20:DI20" si="88">+DD6</f>
        <v>34</v>
      </c>
      <c r="DE20" s="249">
        <f t="shared" si="88"/>
        <v>32</v>
      </c>
      <c r="DF20" s="249">
        <f t="shared" si="88"/>
        <v>8</v>
      </c>
      <c r="DG20" s="249">
        <f t="shared" si="88"/>
        <v>4</v>
      </c>
      <c r="DH20" s="249">
        <f t="shared" si="88"/>
        <v>39</v>
      </c>
      <c r="DI20" s="249">
        <f t="shared" si="88"/>
        <v>20</v>
      </c>
    </row>
    <row r="21" spans="1:119" ht="25.5" x14ac:dyDescent="0.25">
      <c r="A21" s="11" t="s">
        <v>2430</v>
      </c>
      <c r="B21" s="6">
        <f t="shared" ref="B21:B27" si="89">+C21/$C$27</f>
        <v>0.17142857142857143</v>
      </c>
      <c r="C21" s="249">
        <f>COUNTIFS('DATOS 1'!$L$51:$L$427,"&lt;6",'DATOS 1'!$E$51:$E$427,"&lt;41")-C11-C10-C20</f>
        <v>30</v>
      </c>
      <c r="J21" s="17"/>
      <c r="V21" s="11" t="s">
        <v>1787</v>
      </c>
      <c r="W21" s="6">
        <f t="shared" ref="W21:W27" si="90">+Z21/Z$27</f>
        <v>4.784688995215311E-2</v>
      </c>
      <c r="X21" s="6">
        <f t="shared" si="84"/>
        <v>4.5548654244306416E-2</v>
      </c>
      <c r="Y21" s="6">
        <f t="shared" si="85"/>
        <v>3.4722222222222224E-2</v>
      </c>
      <c r="Z21" s="249">
        <f>COUNTIFS('DETALLES UNIDADES'!$BA$8:$BA$987,1,'DETALLES UNIDADES'!$AS$8:$AS$987,"&lt;$75001")-Z20</f>
        <v>10</v>
      </c>
      <c r="AA21" s="249">
        <f>COUNTIFS('DETALLES UNIDADES'!$BA$8:$BA$987,"&lt;6",'DETALLES UNIDADES'!$AS$8:$AS$987,"&lt;$75001")-AA20-Z21-Z20</f>
        <v>22</v>
      </c>
      <c r="AB21" s="249">
        <f>COUNTIFS('DETALLES UNIDADES'!$BA$8:$BA$987,"&gt;5",'DETALLES UNIDADES'!$AS$8:$AS$987,"&lt;$75001")-AB20</f>
        <v>10</v>
      </c>
      <c r="AH21" s="11" t="s">
        <v>715</v>
      </c>
      <c r="AI21" s="6">
        <f t="shared" si="86"/>
        <v>1</v>
      </c>
      <c r="AJ21" s="6">
        <f t="shared" si="81"/>
        <v>1</v>
      </c>
      <c r="AK21" s="6">
        <f t="shared" si="87"/>
        <v>1</v>
      </c>
      <c r="AL21" s="249">
        <f>+AL20+AL19</f>
        <v>202</v>
      </c>
      <c r="AM21" s="249">
        <f>+AM20+AM19</f>
        <v>175</v>
      </c>
      <c r="AN21" s="249">
        <f>+AN20+AN19</f>
        <v>34</v>
      </c>
      <c r="AT21" s="11">
        <f t="shared" si="75"/>
        <v>31</v>
      </c>
      <c r="AU21" s="9">
        <v>1983</v>
      </c>
      <c r="AV21" s="6">
        <f t="shared" si="68"/>
        <v>1.090909090909091E-2</v>
      </c>
      <c r="AW21" s="249">
        <f>COUNTIFS('DATOS 2'!$AA$5:$AA$1437,1,'DATOS 2'!$D$5:$D$1437,AU21)</f>
        <v>3</v>
      </c>
      <c r="AY21" s="11" t="s">
        <v>953</v>
      </c>
      <c r="AZ21" s="6">
        <f t="shared" si="82"/>
        <v>0.25454545454545452</v>
      </c>
      <c r="BA21" s="6">
        <f t="shared" si="76"/>
        <v>0.29892761394101874</v>
      </c>
      <c r="BB21" s="6">
        <f t="shared" si="77"/>
        <v>0.29749999999999999</v>
      </c>
      <c r="BC21" s="249">
        <f>COUNTIFS('DATOS 2'!$AA$5:$AA$1437,1,'DATOS 2'!$J$5:$J$1437,"&lt;10001")-BC20-BC19-BC18</f>
        <v>70</v>
      </c>
      <c r="BD21" s="249">
        <f>COUNTIFS('DATOS 2'!$AA$5:$AA$1437,"&lt;6",'DATOS 2'!$J$5:$J$1437,"&lt;10001")-BD20-BD19-BD18-BC21-BC20-BC19-BC18</f>
        <v>223</v>
      </c>
      <c r="BE21" s="249">
        <f>COUNTIFS('DATOS 2'!$AA$5:$AA$1437,"&gt;5",'DATOS 2'!$J$5:$J$1437,"&lt;10001")-BE20-BE19-BE18</f>
        <v>119</v>
      </c>
      <c r="BH21" s="11" t="s">
        <v>2398</v>
      </c>
      <c r="BI21" s="250" t="s">
        <v>2435</v>
      </c>
      <c r="BJ21" s="250" t="s">
        <v>2436</v>
      </c>
      <c r="BK21" s="250" t="s">
        <v>714</v>
      </c>
      <c r="BL21" s="250" t="s">
        <v>2433</v>
      </c>
      <c r="BM21" s="250" t="s">
        <v>2434</v>
      </c>
      <c r="BN21" s="250" t="s">
        <v>714</v>
      </c>
      <c r="CS21" s="19" t="s">
        <v>1289</v>
      </c>
      <c r="CT21" s="249">
        <f>COUNTIFS('ENCUESTA PROPIETARIOS'!$A$7:$A$417,"SSE OAXACA",'ENCUESTA PROPIETARIOS'!$L$7:$L$417,CS21)</f>
        <v>0</v>
      </c>
      <c r="CU21" s="249">
        <f>COUNTIFS('ENCUESTA PROPIETARIOS'!$A$7:$A$417,"C D.F.",'ENCUESTA PROPIETARIOS'!$L$7:$L$417,CS21)+COUNTIFS('ENCUESTA PROPIETARIOS'!$A$7:$A$417,"C QUERETARO",'ENCUESTA PROPIETARIOS'!$L$7:$L$417,CS21)+COUNTIFS('ENCUESTA PROPIETARIOS'!$A$7:$A$417,"C JALISCO",'ENCUESTA PROPIETARIOS'!$L$7:$L$417,CS21)+COUNTIFS('ENCUESTA PROPIETARIOS'!$A$7:$A$417,"C VERACRUZ",'ENCUESTA PROPIETARIOS'!$L$7:$L$417,CS21)</f>
        <v>3</v>
      </c>
      <c r="CV21" s="249">
        <f>COUNTIFS('ENCUESTA PROPIETARIOS'!$A$7:$A$417,"NO SINALOA",'ENCUESTA PROPIETARIOS'!$L$7:$L$417,CS21)+COUNTIFS('ENCUESTA PROPIETARIOS'!$A$7:$A$417,"NO CHIHUAHUA",'ENCUESTA PROPIETARIOS'!$L$7:$L$417,CS21)</f>
        <v>0</v>
      </c>
      <c r="CW21" s="249">
        <f>COUNTIFS('ENCUESTA PROPIETARIOS'!$A$7:$A$417,"NE NUEVO LEON",'ENCUESTA PROPIETARIOS'!$L$7:$L$417,CS21)+COUNTIFS('ENCUESTA PROPIETARIOS'!$A$7:$A$417,"NE TAMAULIPAS",'ENCUESTA PROPIETARIOS'!$L$7:$L$417,CS21)</f>
        <v>0</v>
      </c>
      <c r="CX21" s="249">
        <f t="shared" si="31"/>
        <v>3</v>
      </c>
      <c r="CY21" s="112"/>
      <c r="CZ21" s="123" t="s">
        <v>2410</v>
      </c>
      <c r="DA21" s="6">
        <f t="shared" si="78"/>
        <v>0.15086206896551724</v>
      </c>
      <c r="DB21" s="6">
        <f t="shared" si="70"/>
        <v>0.23132183908045978</v>
      </c>
      <c r="DC21" s="6">
        <f t="shared" si="71"/>
        <v>0.32684824902723736</v>
      </c>
      <c r="DD21" s="249">
        <f t="shared" ref="DD21:DI21" si="91">+DD7</f>
        <v>48</v>
      </c>
      <c r="DE21" s="249">
        <f t="shared" si="91"/>
        <v>73</v>
      </c>
      <c r="DF21" s="249">
        <f t="shared" si="91"/>
        <v>18</v>
      </c>
      <c r="DG21" s="249">
        <f t="shared" si="91"/>
        <v>22</v>
      </c>
      <c r="DH21" s="249">
        <f t="shared" si="91"/>
        <v>88</v>
      </c>
      <c r="DI21" s="249">
        <f t="shared" si="91"/>
        <v>66</v>
      </c>
    </row>
    <row r="22" spans="1:119" x14ac:dyDescent="0.25">
      <c r="A22" s="11" t="s">
        <v>2431</v>
      </c>
      <c r="B22" s="6">
        <f t="shared" si="89"/>
        <v>0.17714285714285713</v>
      </c>
      <c r="C22" s="249">
        <f>COUNTIFS('DATOS 1'!$L$51:$L$427,"&lt;6",'DATOS 1'!$E$51:$E$427,"&lt;46")-C12-C11-C21-C10-C20</f>
        <v>31</v>
      </c>
      <c r="V22" s="11" t="s">
        <v>1788</v>
      </c>
      <c r="W22" s="6">
        <f t="shared" si="90"/>
        <v>0.10526315789473684</v>
      </c>
      <c r="X22" s="6">
        <f t="shared" si="84"/>
        <v>0.27950310559006208</v>
      </c>
      <c r="Y22" s="6">
        <f t="shared" si="85"/>
        <v>0.30902777777777779</v>
      </c>
      <c r="Z22" s="249">
        <f>COUNTIFS('DETALLES UNIDADES'!$BA$8:$BA$987,1,'DETALLES UNIDADES'!$AS$8:$AS$987,"&lt;$100001")-Z21-Z20</f>
        <v>22</v>
      </c>
      <c r="AA22" s="249">
        <f>COUNTIFS('DETALLES UNIDADES'!$BA$8:$BA$987,"&lt;6",'DETALLES UNIDADES'!$AS$8:$AS$987,"&lt;$100001")-AA21-AA20-Z22-Z21-Z20</f>
        <v>135</v>
      </c>
      <c r="AB22" s="249">
        <f>COUNTIFS('DETALLES UNIDADES'!$BA$8:$BA$987,"&gt;5",'DETALLES UNIDADES'!$AS$8:$AS$987,"&lt;$100001")-AB21-AB20</f>
        <v>89</v>
      </c>
      <c r="AT22" s="11">
        <f t="shared" si="75"/>
        <v>30</v>
      </c>
      <c r="AU22" s="9">
        <v>1984</v>
      </c>
      <c r="AV22" s="6">
        <f t="shared" si="68"/>
        <v>1.090909090909091E-2</v>
      </c>
      <c r="AW22" s="249">
        <f>COUNTIFS('DATOS 2'!$AA$5:$AA$1437,1,'DATOS 2'!$D$5:$D$1437,AU22)</f>
        <v>3</v>
      </c>
      <c r="AY22" s="11" t="s">
        <v>2376</v>
      </c>
      <c r="AZ22" s="6">
        <f t="shared" si="82"/>
        <v>1.4545454545454545E-2</v>
      </c>
      <c r="BA22" s="6">
        <f t="shared" si="76"/>
        <v>2.9490616621983913E-2</v>
      </c>
      <c r="BB22" s="6">
        <f t="shared" si="77"/>
        <v>3.7499999999999999E-2</v>
      </c>
      <c r="BC22" s="249">
        <f>COUNTIFS('DATOS 2'!$AA$5:$AA$1437,1,'DATOS 2'!$J$5:$J$1437,"&lt;12501")-BC21-BC20-BC19-BC18</f>
        <v>4</v>
      </c>
      <c r="BD22" s="249">
        <f>COUNTIFS('DATOS 2'!$AA$5:$AA$1437,"&lt;6",'DATOS 2'!$J$5:$J$1437,"&lt;12501")-BD21-BD20-BD19-BD18-BC22-BC21-BC20-BC19-BC18</f>
        <v>22</v>
      </c>
      <c r="BE22" s="249">
        <f>COUNTIFS('DATOS 2'!$AA$5:$AA$1437,"&gt;5",'DATOS 2'!$J$5:$J$1437,"&lt;12501")-BE21-BE20-BE19-BE18</f>
        <v>15</v>
      </c>
      <c r="BH22" s="137" t="s">
        <v>280</v>
      </c>
      <c r="BI22" s="6">
        <f>+BL22/$BO22</f>
        <v>8.7167070217917669E-2</v>
      </c>
      <c r="BJ22" s="6">
        <f t="shared" ref="BJ22:BJ26" si="92">+BM22/$BO22</f>
        <v>0.46004842615012109</v>
      </c>
      <c r="BK22" s="6">
        <f t="shared" ref="BK22:BK26" si="93">+BN22/$BO22</f>
        <v>0.45278450363196127</v>
      </c>
      <c r="BL22" s="152">
        <f>COUNTIFS('DETALLES UNIDADES'!$BA$8:$BA$987,1,'DETALLES UNIDADES'!$AG$8:$AG$987,"X")</f>
        <v>36</v>
      </c>
      <c r="BM22" s="152">
        <f>COUNTIFS('DETALLES UNIDADES'!$BA$8:$BA$987,"&lt;6",'DETALLES UNIDADES'!$AG$8:$AG$987,"X")-BL22</f>
        <v>190</v>
      </c>
      <c r="BN22" s="152">
        <f>COUNTIFS('DETALLES UNIDADES'!$BA$8:$BA$987,"&gt;5",'DETALLES UNIDADES'!$AG$8:$AG$987,"X")</f>
        <v>187</v>
      </c>
      <c r="BO22" s="138">
        <f>SUM(BL22:BN22)</f>
        <v>413</v>
      </c>
      <c r="BQ22" s="11" t="s">
        <v>1015</v>
      </c>
      <c r="BR22" s="250" t="s">
        <v>2435</v>
      </c>
      <c r="BS22" s="250" t="s">
        <v>2436</v>
      </c>
      <c r="BT22" s="250" t="s">
        <v>714</v>
      </c>
      <c r="BU22" s="250" t="s">
        <v>2433</v>
      </c>
      <c r="BV22" s="250" t="s">
        <v>2434</v>
      </c>
      <c r="BW22" s="250" t="s">
        <v>714</v>
      </c>
      <c r="CA22" s="11" t="s">
        <v>1026</v>
      </c>
      <c r="CB22" s="250" t="s">
        <v>2435</v>
      </c>
      <c r="CC22" s="250" t="s">
        <v>2436</v>
      </c>
      <c r="CD22" s="250" t="s">
        <v>714</v>
      </c>
      <c r="CE22" s="250" t="s">
        <v>2433</v>
      </c>
      <c r="CF22" s="250" t="s">
        <v>2434</v>
      </c>
      <c r="CG22" s="250" t="s">
        <v>714</v>
      </c>
      <c r="CS22" s="19" t="s">
        <v>1287</v>
      </c>
      <c r="CT22" s="249">
        <f>COUNTIFS('ENCUESTA PROPIETARIOS'!$A$7:$A$417,"SSE OAXACA",'ENCUESTA PROPIETARIOS'!$L$7:$L$417,CS22)</f>
        <v>0</v>
      </c>
      <c r="CU22" s="249">
        <f>COUNTIFS('ENCUESTA PROPIETARIOS'!$A$7:$A$417,"C D.F.",'ENCUESTA PROPIETARIOS'!$L$7:$L$417,CS22)+COUNTIFS('ENCUESTA PROPIETARIOS'!$A$7:$A$417,"C QUERETARO",'ENCUESTA PROPIETARIOS'!$L$7:$L$417,CS22)+COUNTIFS('ENCUESTA PROPIETARIOS'!$A$7:$A$417,"C JALISCO",'ENCUESTA PROPIETARIOS'!$L$7:$L$417,CS22)+COUNTIFS('ENCUESTA PROPIETARIOS'!$A$7:$A$417,"C VERACRUZ",'ENCUESTA PROPIETARIOS'!$L$7:$L$417,CS22)</f>
        <v>3</v>
      </c>
      <c r="CV22" s="249">
        <f>COUNTIFS('ENCUESTA PROPIETARIOS'!$A$7:$A$417,"NO SINALOA",'ENCUESTA PROPIETARIOS'!$L$7:$L$417,CS22)+COUNTIFS('ENCUESTA PROPIETARIOS'!$A$7:$A$417,"NO CHIHUAHUA",'ENCUESTA PROPIETARIOS'!$L$7:$L$417,CS22)</f>
        <v>0</v>
      </c>
      <c r="CW22" s="249">
        <f>COUNTIFS('ENCUESTA PROPIETARIOS'!$A$7:$A$417,"NE NUEVO LEON",'ENCUESTA PROPIETARIOS'!$L$7:$L$417,CS22)+COUNTIFS('ENCUESTA PROPIETARIOS'!$A$7:$A$417,"NE TAMAULIPAS",'ENCUESTA PROPIETARIOS'!$L$7:$L$417,CS22)</f>
        <v>0</v>
      </c>
      <c r="CX22" s="249">
        <f t="shared" si="31"/>
        <v>3</v>
      </c>
      <c r="CY22" s="112"/>
      <c r="CZ22" s="123" t="s">
        <v>193</v>
      </c>
      <c r="DA22" s="6">
        <f t="shared" si="78"/>
        <v>0.1875</v>
      </c>
      <c r="DB22" s="6">
        <f t="shared" si="70"/>
        <v>0.10057471264367816</v>
      </c>
      <c r="DC22" s="6">
        <f t="shared" si="71"/>
        <v>3.5019455252918288E-2</v>
      </c>
      <c r="DD22" s="249">
        <f t="shared" ref="DD22:DI22" si="94">+DD8</f>
        <v>63</v>
      </c>
      <c r="DE22" s="249">
        <f t="shared" si="94"/>
        <v>30</v>
      </c>
      <c r="DF22" s="249">
        <f t="shared" si="94"/>
        <v>8</v>
      </c>
      <c r="DG22" s="249">
        <f t="shared" si="94"/>
        <v>24</v>
      </c>
      <c r="DH22" s="249">
        <f t="shared" si="94"/>
        <v>40</v>
      </c>
      <c r="DI22" s="249">
        <f t="shared" si="94"/>
        <v>1</v>
      </c>
    </row>
    <row r="23" spans="1:119" ht="25.5" x14ac:dyDescent="0.25">
      <c r="A23" s="11" t="s">
        <v>2425</v>
      </c>
      <c r="B23" s="6">
        <f t="shared" si="89"/>
        <v>0.13142857142857142</v>
      </c>
      <c r="C23" s="249">
        <f>COUNTIFS('DATOS 1'!$L$51:$L$427,"&lt;6",'DATOS 1'!$E$51:$E$427,"&lt;51")-C13-C12-C22-C11-C21-C10-C20</f>
        <v>23</v>
      </c>
      <c r="J23" s="17"/>
      <c r="K23" s="374" t="s">
        <v>2399</v>
      </c>
      <c r="L23" s="374"/>
      <c r="M23" s="17"/>
      <c r="N23" s="17"/>
      <c r="V23" s="11" t="s">
        <v>1789</v>
      </c>
      <c r="W23" s="6">
        <f t="shared" si="90"/>
        <v>0.10526315789473684</v>
      </c>
      <c r="X23" s="6">
        <f t="shared" si="84"/>
        <v>0.2484472049689441</v>
      </c>
      <c r="Y23" s="6">
        <f t="shared" si="85"/>
        <v>0.2986111111111111</v>
      </c>
      <c r="Z23" s="249">
        <f>COUNTIFS('DETALLES UNIDADES'!$BA$8:$BA$987,1,'DETALLES UNIDADES'!$AS$8:$AS$987,"&lt;$125001")-Z22-Z21-Z20</f>
        <v>22</v>
      </c>
      <c r="AA23" s="249">
        <f>COUNTIFS('DETALLES UNIDADES'!$BA$8:$BA$987,"&lt;6",'DETALLES UNIDADES'!$AS$8:$AS$987,"&lt;$125001")-AA22-AA21-AA20-Z23-Z22-Z21-Z20</f>
        <v>120</v>
      </c>
      <c r="AB23" s="249">
        <f>COUNTIFS('DETALLES UNIDADES'!$BA$8:$BA$987,"&gt;5",'DETALLES UNIDADES'!$AS$8:$AS$987,"&lt;$125001")-AB22-AB21-AB20</f>
        <v>86</v>
      </c>
      <c r="AT23" s="11">
        <f t="shared" si="75"/>
        <v>29</v>
      </c>
      <c r="AU23" s="9">
        <v>1985</v>
      </c>
      <c r="AV23" s="6">
        <f t="shared" si="68"/>
        <v>2.5454545454545455E-2</v>
      </c>
      <c r="AW23" s="249">
        <f>COUNTIFS('DATOS 2'!$AA$5:$AA$1437,1,'DATOS 2'!$D$5:$D$1437,AU23)</f>
        <v>7</v>
      </c>
      <c r="AY23" s="11" t="s">
        <v>2377</v>
      </c>
      <c r="AZ23" s="6">
        <f t="shared" si="82"/>
        <v>2.5454545454545455E-2</v>
      </c>
      <c r="BA23" s="6">
        <f t="shared" si="76"/>
        <v>5.3619302949061663E-2</v>
      </c>
      <c r="BB23" s="6">
        <f t="shared" si="77"/>
        <v>0.13500000000000001</v>
      </c>
      <c r="BC23" s="249">
        <f>COUNTIFS('DATOS 2'!$AA$5:$AA$1437,1,'DATOS 2'!$J$5:$J$1437,"&gt;12500")</f>
        <v>7</v>
      </c>
      <c r="BD23" s="249">
        <f>COUNTIFS('DATOS 2'!$AA$5:$AA$1437,"&lt;6",'DATOS 2'!$J$5:$J$1437,"&gt;12500")-BC23</f>
        <v>40</v>
      </c>
      <c r="BE23" s="249">
        <f>COUNTIFS('DATOS 2'!$AA$5:$AA$1437,"&gt;5",'DATOS 2'!$J$5:$J$1437,"&gt;12500")</f>
        <v>54</v>
      </c>
      <c r="BH23" s="137" t="s">
        <v>171</v>
      </c>
      <c r="BI23" s="6">
        <f>+BL23/$BO23</f>
        <v>0.1076555023923445</v>
      </c>
      <c r="BJ23" s="6">
        <f t="shared" si="92"/>
        <v>0.4569377990430622</v>
      </c>
      <c r="BK23" s="6">
        <f t="shared" si="93"/>
        <v>0.4354066985645933</v>
      </c>
      <c r="BL23" s="152">
        <f>COUNTIFS('DETALLES UNIDADES'!$BA$8:$BA$987,1,'DETALLES UNIDADES'!$AH$8:$AH$987,"X")</f>
        <v>45</v>
      </c>
      <c r="BM23" s="152">
        <f>COUNTIFS('DETALLES UNIDADES'!$BA$8:$BA$987,"&lt;6",'DETALLES UNIDADES'!$AH$8:$AH$987,"X")-BL23</f>
        <v>191</v>
      </c>
      <c r="BN23" s="152">
        <f>COUNTIFS('DETALLES UNIDADES'!$BA$8:$BA$987,"&gt;5",'DETALLES UNIDADES'!$AH$8:$AH$987,"X")</f>
        <v>182</v>
      </c>
      <c r="BO23" s="138">
        <f t="shared" ref="BO23:BO25" si="95">SUM(BL23:BN23)</f>
        <v>418</v>
      </c>
      <c r="BQ23" s="137" t="s">
        <v>124</v>
      </c>
      <c r="BR23" s="156">
        <f>BU23/BU$29</f>
        <v>8.1339712918660281E-2</v>
      </c>
      <c r="BS23" s="156">
        <f t="shared" ref="BS23:BS29" si="96">BV23/BV$29</f>
        <v>8.2815734989648032E-2</v>
      </c>
      <c r="BT23" s="156">
        <f t="shared" ref="BT23:BT29" si="97">BW23/BW$29</f>
        <v>0.11805555555555555</v>
      </c>
      <c r="BU23" s="249">
        <f>COUNTIFS('DATOS 2'!$AA$5:$AA$984,1,'DATOS 2'!$S$5:$S$984,"X")</f>
        <v>17</v>
      </c>
      <c r="BV23" s="249">
        <f>COUNTIFS('DATOS 2'!$AA$5:$AA$984,"&lt;6",'DATOS 2'!$S$5:$S$984,"X")-BU23</f>
        <v>40</v>
      </c>
      <c r="BW23" s="249">
        <f>COUNTIFS('DATOS 2'!$AA$5:$AA$984,"&gt;5",'DATOS 2'!$S$5:$S$984,"X")</f>
        <v>34</v>
      </c>
      <c r="CA23" s="19" t="s">
        <v>334</v>
      </c>
      <c r="CB23" s="6">
        <f>+CE23/CE$25</f>
        <v>0.2</v>
      </c>
      <c r="CC23" s="6">
        <f t="shared" ref="CC23:CC25" si="98">+CF23/CF$25</f>
        <v>0.125</v>
      </c>
      <c r="CD23" s="6">
        <f t="shared" ref="CD23:CD25" si="99">+CG23/CG$25</f>
        <v>0.25</v>
      </c>
      <c r="CE23" s="249">
        <f>COUNTIFS('ENCUESTA PROPIETARIOS'!$N$7:$N$417,1,'ENCUESTA PROPIETARIOS'!$DV$7:$DV$417,$CA23)</f>
        <v>1</v>
      </c>
      <c r="CF23" s="249">
        <f>COUNTIFS('ENCUESTA PROPIETARIOS'!$N$7:$N$417,"&lt;6",'ENCUESTA PROPIETARIOS'!$DV$7:$DV$417,$CA23)</f>
        <v>2</v>
      </c>
      <c r="CG23" s="249">
        <f>COUNTIFS('ENCUESTA PROPIETARIOS'!$N$7:$N$417,"&gt;5",'ENCUESTA PROPIETARIOS'!$DV$7:$DV$417,$CA23)</f>
        <v>1</v>
      </c>
      <c r="CS23" s="19" t="s">
        <v>1291</v>
      </c>
      <c r="CT23" s="249">
        <f>COUNTIFS('ENCUESTA PROPIETARIOS'!$A$7:$A$417,"SSE OAXACA",'ENCUESTA PROPIETARIOS'!$L$7:$L$417,CS23)</f>
        <v>0</v>
      </c>
      <c r="CU23" s="249">
        <f>COUNTIFS('ENCUESTA PROPIETARIOS'!$A$7:$A$417,"C D.F.",'ENCUESTA PROPIETARIOS'!$L$7:$L$417,CS23)+COUNTIFS('ENCUESTA PROPIETARIOS'!$A$7:$A$417,"C QUERETARO",'ENCUESTA PROPIETARIOS'!$L$7:$L$417,CS23)+COUNTIFS('ENCUESTA PROPIETARIOS'!$A$7:$A$417,"C JALISCO",'ENCUESTA PROPIETARIOS'!$L$7:$L$417,CS23)+COUNTIFS('ENCUESTA PROPIETARIOS'!$A$7:$A$417,"C VERACRUZ",'ENCUESTA PROPIETARIOS'!$L$7:$L$417,CS23)</f>
        <v>3</v>
      </c>
      <c r="CV23" s="249">
        <f>COUNTIFS('ENCUESTA PROPIETARIOS'!$A$7:$A$417,"NO SINALOA",'ENCUESTA PROPIETARIOS'!$L$7:$L$417,CS23)+COUNTIFS('ENCUESTA PROPIETARIOS'!$A$7:$A$417,"NO CHIHUAHUA",'ENCUESTA PROPIETARIOS'!$L$7:$L$417,CS23)</f>
        <v>0</v>
      </c>
      <c r="CW23" s="249">
        <f>COUNTIFS('ENCUESTA PROPIETARIOS'!$A$7:$A$417,"NE NUEVO LEON",'ENCUESTA PROPIETARIOS'!$L$7:$L$417,CS23)+COUNTIFS('ENCUESTA PROPIETARIOS'!$A$7:$A$417,"NE TAMAULIPAS",'ENCUESTA PROPIETARIOS'!$L$7:$L$417,CS23)</f>
        <v>0</v>
      </c>
      <c r="CX23" s="249">
        <f t="shared" si="31"/>
        <v>3</v>
      </c>
      <c r="CY23" s="112"/>
      <c r="CZ23" s="123" t="s">
        <v>26</v>
      </c>
      <c r="DA23" s="6">
        <f t="shared" si="78"/>
        <v>5.3879310344827583E-2</v>
      </c>
      <c r="DB23" s="6">
        <f t="shared" si="70"/>
        <v>6.17816091954023E-2</v>
      </c>
      <c r="DC23" s="6">
        <f t="shared" si="71"/>
        <v>7.7821011673151752E-2</v>
      </c>
      <c r="DD23" s="249">
        <f t="shared" ref="DD23:DI23" si="100">+DD9</f>
        <v>21</v>
      </c>
      <c r="DE23" s="249">
        <f t="shared" si="100"/>
        <v>33</v>
      </c>
      <c r="DF23" s="249">
        <f t="shared" si="100"/>
        <v>9</v>
      </c>
      <c r="DG23" s="249">
        <f t="shared" si="100"/>
        <v>4</v>
      </c>
      <c r="DH23" s="249">
        <f t="shared" si="100"/>
        <v>10</v>
      </c>
      <c r="DI23" s="249">
        <f t="shared" si="100"/>
        <v>11</v>
      </c>
    </row>
    <row r="24" spans="1:119" x14ac:dyDescent="0.25">
      <c r="A24" s="11" t="s">
        <v>2426</v>
      </c>
      <c r="B24" s="6">
        <f t="shared" si="89"/>
        <v>0.21714285714285714</v>
      </c>
      <c r="C24" s="249">
        <f>COUNTIFS('DATOS 1'!$L$51:$L$427,"&lt;6",'DATOS 1'!$E$51:$E$427,"&lt;56")-C14-C13-C23-C12-C22-C11-C21-C10-C20</f>
        <v>38</v>
      </c>
      <c r="J24" s="17" t="s">
        <v>2442</v>
      </c>
      <c r="K24" s="250" t="s">
        <v>2435</v>
      </c>
      <c r="L24" s="250" t="s">
        <v>2436</v>
      </c>
      <c r="M24" s="17" t="s">
        <v>1781</v>
      </c>
      <c r="N24" s="250" t="s">
        <v>2433</v>
      </c>
      <c r="O24" s="250" t="s">
        <v>2434</v>
      </c>
      <c r="P24" s="17" t="s">
        <v>714</v>
      </c>
      <c r="V24" s="11" t="s">
        <v>1790</v>
      </c>
      <c r="W24" s="6">
        <f t="shared" si="90"/>
        <v>8.1339712918660281E-2</v>
      </c>
      <c r="X24" s="6">
        <f t="shared" si="84"/>
        <v>0.20910973084886128</v>
      </c>
      <c r="Y24" s="6">
        <f t="shared" si="85"/>
        <v>4.8611111111111112E-2</v>
      </c>
      <c r="Z24" s="249">
        <f>COUNTIFS('DETALLES UNIDADES'!$BA$8:$BA$987,1,'DETALLES UNIDADES'!$AS$8:$AS$987,"&lt;$150001")-Z23-Z22-Z21-Z20</f>
        <v>17</v>
      </c>
      <c r="AA24" s="249">
        <f>COUNTIFS('DETALLES UNIDADES'!$BA$8:$BA$987,"&lt;6",'DETALLES UNIDADES'!$AS$8:$AS$987,"&lt;$150001")-AA23-AA22-AA21-AA20-Z24-Z23-Z22-Z21-Z20</f>
        <v>101</v>
      </c>
      <c r="AB24" s="249">
        <f>COUNTIFS('DETALLES UNIDADES'!$BA$8:$BA$987,"&gt;5",'DETALLES UNIDADES'!$AS$8:$AS$987,"&lt;$150001")-AB23-AB22-AB21-AB20</f>
        <v>14</v>
      </c>
      <c r="AH24" s="11" t="s">
        <v>893</v>
      </c>
      <c r="AI24" s="250" t="s">
        <v>2435</v>
      </c>
      <c r="AJ24" s="250" t="s">
        <v>2436</v>
      </c>
      <c r="AK24" s="17" t="s">
        <v>714</v>
      </c>
      <c r="AL24" s="250" t="s">
        <v>2433</v>
      </c>
      <c r="AM24" s="250" t="s">
        <v>2434</v>
      </c>
      <c r="AN24" s="17" t="s">
        <v>714</v>
      </c>
      <c r="AT24" s="11">
        <f t="shared" si="75"/>
        <v>28</v>
      </c>
      <c r="AU24" s="9">
        <v>1986</v>
      </c>
      <c r="AV24" s="6">
        <f t="shared" si="68"/>
        <v>1.4545454545454545E-2</v>
      </c>
      <c r="AW24" s="249">
        <f>COUNTIFS('DATOS 2'!$AA$5:$AA$1437,1,'DATOS 2'!$D$5:$D$1437,AU24)</f>
        <v>4</v>
      </c>
      <c r="AY24" s="11" t="s">
        <v>1662</v>
      </c>
      <c r="AZ24" s="6">
        <f t="shared" si="82"/>
        <v>1</v>
      </c>
      <c r="BA24" s="6">
        <f t="shared" si="76"/>
        <v>1</v>
      </c>
      <c r="BB24" s="6">
        <f t="shared" si="77"/>
        <v>1</v>
      </c>
      <c r="BC24" s="249">
        <f>SUM(BC18:BC23)</f>
        <v>275</v>
      </c>
      <c r="BD24" s="249">
        <f>SUM(BD18:BD23)</f>
        <v>746</v>
      </c>
      <c r="BE24" s="249">
        <f>SUM(BE18:BE23)</f>
        <v>400</v>
      </c>
      <c r="BH24" s="137" t="s">
        <v>174</v>
      </c>
      <c r="BI24" s="6">
        <f t="shared" ref="BI24:BI26" si="101">+BL24/$BO24</f>
        <v>0.12121212121212122</v>
      </c>
      <c r="BJ24" s="6">
        <f t="shared" si="92"/>
        <v>0.49090909090909091</v>
      </c>
      <c r="BK24" s="6">
        <f t="shared" si="93"/>
        <v>0.38787878787878788</v>
      </c>
      <c r="BL24" s="152">
        <f>COUNTIFS('DETALLES UNIDADES'!$BA$8:$BA$987,1,'DETALLES UNIDADES'!$AK$8:$AK$987,"X")</f>
        <v>40</v>
      </c>
      <c r="BM24" s="152">
        <f>COUNTIFS('DETALLES UNIDADES'!$BA$8:$BA$987,"&lt;6",'DETALLES UNIDADES'!$AK$8:$AK$987,"X")-BL24</f>
        <v>162</v>
      </c>
      <c r="BN24" s="152">
        <f>COUNTIFS('DETALLES UNIDADES'!$BA$8:$BA$987,"&gt;5",'DETALLES UNIDADES'!$AK$8:$AK$987,"X")</f>
        <v>128</v>
      </c>
      <c r="BO24" s="138">
        <f t="shared" si="95"/>
        <v>330</v>
      </c>
      <c r="BQ24" s="137" t="s">
        <v>125</v>
      </c>
      <c r="BR24" s="156">
        <f t="shared" ref="BR24:BR29" si="102">BU24/BU$29</f>
        <v>0.34928229665071769</v>
      </c>
      <c r="BS24" s="156">
        <f t="shared" si="96"/>
        <v>0.36231884057971014</v>
      </c>
      <c r="BT24" s="156">
        <f t="shared" si="97"/>
        <v>0.27430555555555558</v>
      </c>
      <c r="BU24" s="249">
        <f>COUNTIFS('DATOS 2'!$AA$5:$AA$984,1,'DATOS 2'!$T$5:$T$984,"X")</f>
        <v>73</v>
      </c>
      <c r="BV24" s="249">
        <f>COUNTIFS('DATOS 2'!$AA$5:$AA$984,"&lt;6",'DATOS 2'!$T$5:$T$984,"X")-BU24</f>
        <v>175</v>
      </c>
      <c r="BW24" s="249">
        <f>COUNTIFS('DATOS 2'!$AA$5:$AA$984,"&gt;5",'DATOS 2'!$T$5:$T$984,"X")</f>
        <v>79</v>
      </c>
      <c r="CA24" s="2" t="s">
        <v>1682</v>
      </c>
      <c r="CB24" s="6">
        <f t="shared" ref="CB24:CB25" si="103">+CE24/CE$25</f>
        <v>0.8</v>
      </c>
      <c r="CC24" s="6">
        <f t="shared" si="98"/>
        <v>0.875</v>
      </c>
      <c r="CD24" s="6">
        <f t="shared" si="99"/>
        <v>0.75</v>
      </c>
      <c r="CE24" s="249">
        <f>COUNTIFS('ENCUESTA PROPIETARIOS'!$N$7:$N$417,1,'ENCUESTA PROPIETARIOS'!$DV$7:$DV$417,$CA24)+COUNTIFS('ENCUESTA PROPIETARIOS'!$N$7:$N$417,1,'ENCUESTA PROPIETARIOS'!$DV$7:$DV$417,"CAMBIO DE UNIDAD")+COUNTIFS('ENCUESTA PROPIETARIOS'!$N$7:$N$417,1,'ENCUESTA PROPIETARIOS'!$DV$7:$DV$417,"PARA CAMBIAR UN CAMION MUY VIEJO")+COUNTIFS('ENCUESTA PROPIETARIOS'!$N$7:$N$417,1,'ENCUESTA PROPIETARIOS'!$DV$7:$DV$417,"MEJORAR EQUIPO DE TRANSPORTE")</f>
        <v>4</v>
      </c>
      <c r="CF24" s="249">
        <f>COUNTIFS('ENCUESTA PROPIETARIOS'!$N$7:$N$417,"&lt;6",'ENCUESTA PROPIETARIOS'!$DV$7:$DV$417,$CA24)+COUNTIFS('ENCUESTA PROPIETARIOS'!$N$7:$N$417,"&lt;6",'ENCUESTA PROPIETARIOS'!$DV$7:$DV$417,"CAMBIO DE UNIDAD")+COUNTIFS('ENCUESTA PROPIETARIOS'!$N$7:$N$417,"&lt;6",'ENCUESTA PROPIETARIOS'!$DV$7:$DV$417,"PARA CAMBIAR UN CAMION MUY VIEJO")+COUNTIFS('ENCUESTA PROPIETARIOS'!$N$7:$N$417,"&lt;6",'ENCUESTA PROPIETARIOS'!$DV$7:$DV$417,"MEJORAR EQUIPO DE TRANSPORTE")</f>
        <v>14</v>
      </c>
      <c r="CG24" s="249">
        <f>COUNTIFS('ENCUESTA PROPIETARIOS'!$N$7:$N$417,"&gt;5",'ENCUESTA PROPIETARIOS'!$DV$7:$DV$417,$CA24)+COUNTIFS('ENCUESTA PROPIETARIOS'!$N$7:$N$417,"&gt;5",'ENCUESTA PROPIETARIOS'!$DV$7:$DV$417,"CAMBIO DE UNIDAD")+COUNTIFS('ENCUESTA PROPIETARIOS'!$N$7:$N$417,"&gt;5",'ENCUESTA PROPIETARIOS'!$DV$7:$DV$417,"PARA CAMBIAR UN CAMION MUY VIEJO")+COUNTIFS('ENCUESTA PROPIETARIOS'!$N$7:$N$417,"&gt;5",'ENCUESTA PROPIETARIOS'!$DV$7:$DV$417,"MEJORAR EQUIPO DE TRANSPORTE")</f>
        <v>3</v>
      </c>
      <c r="CS24" s="19" t="s">
        <v>1311</v>
      </c>
      <c r="CT24" s="249">
        <f>COUNTIFS('ENCUESTA PROPIETARIOS'!$A$7:$A$417,"SSE OAXACA",'ENCUESTA PROPIETARIOS'!$L$7:$L$417,CS24)</f>
        <v>0</v>
      </c>
      <c r="CU24" s="249">
        <f>COUNTIFS('ENCUESTA PROPIETARIOS'!$A$7:$A$417,"C D.F.",'ENCUESTA PROPIETARIOS'!$L$7:$L$417,CS24)+COUNTIFS('ENCUESTA PROPIETARIOS'!$A$7:$A$417,"C QUERETARO",'ENCUESTA PROPIETARIOS'!$L$7:$L$417,CS24)+COUNTIFS('ENCUESTA PROPIETARIOS'!$A$7:$A$417,"C JALISCO",'ENCUESTA PROPIETARIOS'!$L$7:$L$417,CS24)+COUNTIFS('ENCUESTA PROPIETARIOS'!$A$7:$A$417,"C VERACRUZ",'ENCUESTA PROPIETARIOS'!$L$7:$L$417,CS24)</f>
        <v>2</v>
      </c>
      <c r="CV24" s="249">
        <f>COUNTIFS('ENCUESTA PROPIETARIOS'!$A$7:$A$417,"NO SINALOA",'ENCUESTA PROPIETARIOS'!$L$7:$L$417,CS24)+COUNTIFS('ENCUESTA PROPIETARIOS'!$A$7:$A$417,"NO CHIHUAHUA",'ENCUESTA PROPIETARIOS'!$L$7:$L$417,CS24)</f>
        <v>0</v>
      </c>
      <c r="CW24" s="249">
        <f>COUNTIFS('ENCUESTA PROPIETARIOS'!$A$7:$A$417,"NE NUEVO LEON",'ENCUESTA PROPIETARIOS'!$L$7:$L$417,CS24)+COUNTIFS('ENCUESTA PROPIETARIOS'!$A$7:$A$417,"NE TAMAULIPAS",'ENCUESTA PROPIETARIOS'!$L$7:$L$417,CS24)</f>
        <v>0</v>
      </c>
      <c r="CX24" s="249">
        <f t="shared" si="31"/>
        <v>2</v>
      </c>
      <c r="CY24" s="112"/>
      <c r="CZ24" s="123" t="s">
        <v>2408</v>
      </c>
      <c r="DA24" s="6">
        <f t="shared" si="78"/>
        <v>0.10560344827586207</v>
      </c>
      <c r="DB24" s="6">
        <f t="shared" si="70"/>
        <v>0.15517241379310345</v>
      </c>
      <c r="DC24" s="6">
        <f t="shared" si="71"/>
        <v>0.16342412451361868</v>
      </c>
      <c r="DD24" s="249">
        <f t="shared" ref="DD24:DI24" si="104">+DD10</f>
        <v>39</v>
      </c>
      <c r="DE24" s="249">
        <f t="shared" si="104"/>
        <v>44</v>
      </c>
      <c r="DF24" s="249">
        <f t="shared" si="104"/>
        <v>12</v>
      </c>
      <c r="DG24" s="249">
        <f t="shared" si="104"/>
        <v>10</v>
      </c>
      <c r="DH24" s="249">
        <f t="shared" si="104"/>
        <v>64</v>
      </c>
      <c r="DI24" s="249">
        <f t="shared" si="104"/>
        <v>30</v>
      </c>
    </row>
    <row r="25" spans="1:119" x14ac:dyDescent="0.25">
      <c r="A25" s="11" t="s">
        <v>2427</v>
      </c>
      <c r="B25" s="6">
        <f t="shared" si="89"/>
        <v>0.08</v>
      </c>
      <c r="C25" s="249">
        <f>COUNTIFS('DATOS 1'!$L$51:$L$427,"&lt;6",'DATOS 1'!$E$51:$E$427,"&lt;61")-C15-C14-C24-C13-C23-C12-C22-C11-C21-C10-C20</f>
        <v>14</v>
      </c>
      <c r="J25" s="17" t="s">
        <v>843</v>
      </c>
      <c r="K25" s="6">
        <f>+N25/N$29</f>
        <v>8.7866108786610872E-2</v>
      </c>
      <c r="L25" s="6">
        <f t="shared" ref="L25:L29" si="105">+O25/O$29</f>
        <v>0.14285714285714285</v>
      </c>
      <c r="M25" s="6">
        <f t="shared" ref="M25:M29" si="106">+P25/P$29</f>
        <v>0.13043478260869565</v>
      </c>
      <c r="N25" s="249">
        <f>COUNTIFS('DATOS 1'!$L$51:$L$427,1,'DATOS 1'!$AL$51:$AL$427,"X")</f>
        <v>21</v>
      </c>
      <c r="O25" s="249">
        <f>COUNTIFS('DATOS 1'!$L$51:$L$427,"&lt;6",'DATOS 1'!$AL$51:$AL$427,"X")-N25</f>
        <v>30</v>
      </c>
      <c r="P25" s="249">
        <f>COUNTIF('DATOS 1'!$AL$7:$AL$40,"X")</f>
        <v>6</v>
      </c>
      <c r="Q25" s="249">
        <f>+P25+O25+N25</f>
        <v>57</v>
      </c>
      <c r="V25" s="11" t="s">
        <v>1792</v>
      </c>
      <c r="W25" s="6">
        <f t="shared" si="90"/>
        <v>1.4354066985645933E-2</v>
      </c>
      <c r="X25" s="6">
        <f t="shared" si="84"/>
        <v>3.3126293995859216E-2</v>
      </c>
      <c r="Y25" s="6">
        <f t="shared" si="85"/>
        <v>1.3888888888888888E-2</v>
      </c>
      <c r="Z25" s="249">
        <f>COUNTIFS('DETALLES UNIDADES'!$BA$8:$BA$987,1,'DETALLES UNIDADES'!$AS$8:$AS$987,"&lt;$175001")-Z24-Z23-Z22-Z21-Z20</f>
        <v>3</v>
      </c>
      <c r="AA25" s="249">
        <f>COUNTIFS('DETALLES UNIDADES'!$BA$8:$BA$987,"&lt;6",'DETALLES UNIDADES'!$AS$8:$AS$987,"&lt;$175001")-AA24-AA23-AA22-AA21-AA20-Z25-Z24-Z23-Z22-Z21-Z20</f>
        <v>16</v>
      </c>
      <c r="AB25" s="249">
        <f>COUNTIFS('DETALLES UNIDADES'!$BA$8:$BA$987,"&gt;5",'DETALLES UNIDADES'!$AS$8:$AS$987,"&lt;$175001")-AB24-AB23-AB22-AB21-AB20</f>
        <v>4</v>
      </c>
      <c r="AH25" s="137" t="s">
        <v>885</v>
      </c>
      <c r="AI25" s="6">
        <f>+AL25/AL$30</f>
        <v>0.10820895522388059</v>
      </c>
      <c r="AJ25" s="6">
        <f t="shared" ref="AJ25:AJ30" si="107">+AM25/AM$30</f>
        <v>0.1910569105691057</v>
      </c>
      <c r="AK25" s="6">
        <f t="shared" ref="AK25:AK30" si="108">+AN25/AN$30</f>
        <v>0.19354838709677419</v>
      </c>
      <c r="AL25" s="249">
        <f>COUNTIFS('DATOS 1'!$L$51:$L$427,1,'DATOS 1'!$BZ$51:$BZ$427,"X")</f>
        <v>29</v>
      </c>
      <c r="AM25" s="249">
        <f>COUNTIFS('DATOS 1'!$L$51:$L$427,"&lt;6",'DATOS 1'!$BZ$51:$BZ$427,"X")-AL25</f>
        <v>47</v>
      </c>
      <c r="AN25" s="249">
        <f>COUNTIF('DATOS 1'!$BZ$7:$BZ$40,"X")</f>
        <v>6</v>
      </c>
      <c r="AO25" s="249">
        <f>SUM(AL25:AN25)</f>
        <v>82</v>
      </c>
      <c r="AT25" s="11">
        <f t="shared" si="75"/>
        <v>27</v>
      </c>
      <c r="AU25" s="9">
        <v>1987</v>
      </c>
      <c r="AV25" s="6">
        <f t="shared" si="68"/>
        <v>2.5454545454545455E-2</v>
      </c>
      <c r="AW25" s="249">
        <f>COUNTIFS('DATOS 2'!$AA$5:$AA$1437,1,'DATOS 2'!$D$5:$D$1437,AU25)</f>
        <v>7</v>
      </c>
      <c r="AY25" s="11" t="s">
        <v>396</v>
      </c>
      <c r="AZ25" s="17"/>
      <c r="BA25" s="138"/>
      <c r="BH25" s="140" t="s">
        <v>1018</v>
      </c>
      <c r="BI25" s="6">
        <f t="shared" si="101"/>
        <v>0.55208333333333337</v>
      </c>
      <c r="BJ25" s="6">
        <f t="shared" si="92"/>
        <v>0.40625</v>
      </c>
      <c r="BK25" s="6">
        <f t="shared" si="93"/>
        <v>4.1666666666666664E-2</v>
      </c>
      <c r="BL25" s="152">
        <f>COUNTIFS('DETALLES UNIDADES'!$BA$8:$BA$987,1,'DETALLES UNIDADES'!$AD$8:$AD$987,"NINGUNO")</f>
        <v>53</v>
      </c>
      <c r="BM25" s="152">
        <f>COUNTIFS('DETALLES UNIDADES'!$BA$8:$BA$987,"&lt;6",'DETALLES UNIDADES'!$AD$8:$AD$987,"NINGUNO")-BL25</f>
        <v>39</v>
      </c>
      <c r="BN25" s="152">
        <f>COUNTIFS('DETALLES UNIDADES'!$BA$8:$BA$987,"&gt;5",'DETALLES UNIDADES'!$AD$8:$AD$987,"NINGUNO")</f>
        <v>4</v>
      </c>
      <c r="BO25" s="138">
        <f t="shared" si="95"/>
        <v>96</v>
      </c>
      <c r="BQ25" s="137" t="s">
        <v>126</v>
      </c>
      <c r="BR25" s="156">
        <f t="shared" si="102"/>
        <v>1.4354066985645933E-2</v>
      </c>
      <c r="BS25" s="156">
        <f t="shared" si="96"/>
        <v>4.140786749482402E-3</v>
      </c>
      <c r="BT25" s="156">
        <f t="shared" si="97"/>
        <v>5.5555555555555552E-2</v>
      </c>
      <c r="BU25" s="249">
        <f>COUNTIFS('DATOS 2'!$AA$5:$AA$984,1,'DATOS 2'!$U$5:$U$984,"X")</f>
        <v>3</v>
      </c>
      <c r="BV25" s="249">
        <f>COUNTIFS('DATOS 2'!$AA$5:$AA$984,"&lt;6",'DATOS 2'!$U$5:$U$984,"X")-BU25</f>
        <v>2</v>
      </c>
      <c r="BW25" s="249">
        <f>COUNTIFS('DATOS 2'!$AA$5:$AA$984,"&gt;5",'DATOS 2'!$U$5:$U$984,"X")</f>
        <v>16</v>
      </c>
      <c r="CA25" s="11" t="s">
        <v>715</v>
      </c>
      <c r="CB25" s="6">
        <f t="shared" si="103"/>
        <v>1</v>
      </c>
      <c r="CC25" s="6">
        <f t="shared" si="98"/>
        <v>1</v>
      </c>
      <c r="CD25" s="6">
        <f t="shared" si="99"/>
        <v>1</v>
      </c>
      <c r="CE25" s="249">
        <f>+CE24+CE23</f>
        <v>5</v>
      </c>
      <c r="CF25" s="249">
        <f>+CF24+CF23</f>
        <v>16</v>
      </c>
      <c r="CG25" s="249">
        <f>+CG24+CG23</f>
        <v>4</v>
      </c>
      <c r="CS25" s="19" t="s">
        <v>1337</v>
      </c>
      <c r="CT25" s="249">
        <f>COUNTIFS('ENCUESTA PROPIETARIOS'!$A$7:$A$417,"SSE OAXACA",'ENCUESTA PROPIETARIOS'!$L$7:$L$417,CS25)</f>
        <v>0</v>
      </c>
      <c r="CU25" s="249">
        <f>COUNTIFS('ENCUESTA PROPIETARIOS'!$A$7:$A$417,"C D.F.",'ENCUESTA PROPIETARIOS'!$L$7:$L$417,CS25)+COUNTIFS('ENCUESTA PROPIETARIOS'!$A$7:$A$417,"C QUERETARO",'ENCUESTA PROPIETARIOS'!$L$7:$L$417,CS25)+COUNTIFS('ENCUESTA PROPIETARIOS'!$A$7:$A$417,"C JALISCO",'ENCUESTA PROPIETARIOS'!$L$7:$L$417,CS25)+COUNTIFS('ENCUESTA PROPIETARIOS'!$A$7:$A$417,"C VERACRUZ",'ENCUESTA PROPIETARIOS'!$L$7:$L$417,CS25)</f>
        <v>2</v>
      </c>
      <c r="CV25" s="249">
        <f>COUNTIFS('ENCUESTA PROPIETARIOS'!$A$7:$A$417,"NO SINALOA",'ENCUESTA PROPIETARIOS'!$L$7:$L$417,CS25)+COUNTIFS('ENCUESTA PROPIETARIOS'!$A$7:$A$417,"NO CHIHUAHUA",'ENCUESTA PROPIETARIOS'!$L$7:$L$417,CS25)</f>
        <v>0</v>
      </c>
      <c r="CW25" s="249">
        <f>COUNTIFS('ENCUESTA PROPIETARIOS'!$A$7:$A$417,"NE NUEVO LEON",'ENCUESTA PROPIETARIOS'!$L$7:$L$417,CS25)+COUNTIFS('ENCUESTA PROPIETARIOS'!$A$7:$A$417,"NE TAMAULIPAS",'ENCUESTA PROPIETARIOS'!$L$7:$L$417,CS25)</f>
        <v>0</v>
      </c>
      <c r="CX25" s="249">
        <f t="shared" si="31"/>
        <v>2</v>
      </c>
      <c r="CY25" s="112"/>
      <c r="CZ25" s="123" t="s">
        <v>2411</v>
      </c>
      <c r="DA25" s="6">
        <f t="shared" si="78"/>
        <v>1</v>
      </c>
      <c r="DB25" s="6">
        <f t="shared" si="70"/>
        <v>1</v>
      </c>
      <c r="DC25" s="6">
        <f t="shared" si="71"/>
        <v>1</v>
      </c>
      <c r="DD25" s="249">
        <f t="shared" ref="DD25:DI25" si="109">SUM(DD17:DD24)</f>
        <v>349</v>
      </c>
      <c r="DE25" s="249">
        <f t="shared" si="109"/>
        <v>327</v>
      </c>
      <c r="DF25" s="249">
        <f t="shared" si="109"/>
        <v>77</v>
      </c>
      <c r="DG25" s="249">
        <f t="shared" si="109"/>
        <v>115</v>
      </c>
      <c r="DH25" s="249">
        <f t="shared" si="109"/>
        <v>369</v>
      </c>
      <c r="DI25" s="249">
        <f t="shared" si="109"/>
        <v>180</v>
      </c>
    </row>
    <row r="26" spans="1:119" x14ac:dyDescent="0.25">
      <c r="A26" s="11" t="s">
        <v>2428</v>
      </c>
      <c r="B26" s="6">
        <f t="shared" si="89"/>
        <v>9.7142857142857142E-2</v>
      </c>
      <c r="C26" s="249">
        <f>COUNTIFS('DATOS 1'!$L$51:$L$427,"&lt;6",'DATOS 1'!$E$51:$E$427,"&gt;60")-C16</f>
        <v>17</v>
      </c>
      <c r="J26" s="17" t="s">
        <v>844</v>
      </c>
      <c r="K26" s="6">
        <f t="shared" ref="K26:K29" si="110">+N26/N$29</f>
        <v>0.40167364016736401</v>
      </c>
      <c r="L26" s="6">
        <f t="shared" si="105"/>
        <v>0.21428571428571427</v>
      </c>
      <c r="M26" s="6">
        <f t="shared" si="106"/>
        <v>0.10869565217391304</v>
      </c>
      <c r="N26" s="249">
        <f>COUNTIFS('DATOS 1'!$L$51:$L$427,1,'DATOS 1'!$AM$51:$AM$427,"X")</f>
        <v>96</v>
      </c>
      <c r="O26" s="249">
        <f>COUNTIFS('DATOS 1'!$L$51:$L$427,"&lt;6",'DATOS 1'!$AM$51:$AM$427,"X")-N26</f>
        <v>45</v>
      </c>
      <c r="P26" s="249">
        <f>COUNTIF('DATOS 1'!$AM$7:$AM$40,"X")</f>
        <v>5</v>
      </c>
      <c r="Q26" s="249">
        <f t="shared" ref="Q26:Q29" si="111">+P26+O26+N26</f>
        <v>146</v>
      </c>
      <c r="V26" s="11" t="s">
        <v>1793</v>
      </c>
      <c r="W26" s="6">
        <f t="shared" si="90"/>
        <v>6.2200956937799042E-2</v>
      </c>
      <c r="X26" s="6">
        <f t="shared" si="84"/>
        <v>0.11387163561076605</v>
      </c>
      <c r="Y26" s="6">
        <f t="shared" si="85"/>
        <v>0.2048611111111111</v>
      </c>
      <c r="Z26" s="249">
        <f>COUNTIFS('DETALLES UNIDADES'!$BA$8:$BA$987,1,'DETALLES UNIDADES'!$AS$8:$AS$987,"&gt;$175000")</f>
        <v>13</v>
      </c>
      <c r="AA26" s="249">
        <f>COUNTIFS('DETALLES UNIDADES'!$BA$8:$BA$987,"&lt;6",'DETALLES UNIDADES'!$AS$8:$AS$987,"&gt;$175000")-Z26</f>
        <v>55</v>
      </c>
      <c r="AB26" s="249">
        <f>COUNTIFS('DETALLES UNIDADES'!$BA$8:$BA$987,"&gt;5",'DETALLES UNIDADES'!$AS$8:$AS$987,"&gt;$175000")</f>
        <v>59</v>
      </c>
      <c r="AH26" s="137" t="s">
        <v>886</v>
      </c>
      <c r="AI26" s="6">
        <f t="shared" ref="AI26:AI30" si="112">+AL26/AL$30</f>
        <v>0.16791044776119404</v>
      </c>
      <c r="AJ26" s="6">
        <f t="shared" si="107"/>
        <v>0.36991869918699188</v>
      </c>
      <c r="AK26" s="6">
        <f t="shared" si="108"/>
        <v>0.4838709677419355</v>
      </c>
      <c r="AL26" s="249">
        <f>COUNTIFS('DATOS 1'!$L$51:$L$427,1,'DATOS 1'!$CA$51:$CA$427,"X")</f>
        <v>45</v>
      </c>
      <c r="AM26" s="249">
        <f>COUNTIFS('DATOS 1'!$L$51:$L$427,"&lt;6",'DATOS 1'!$CA$51:$CA$427,"X")-AL26</f>
        <v>91</v>
      </c>
      <c r="AN26" s="249">
        <f>COUNTIF('DATOS 1'!$CA$7:$CA$40,"X")</f>
        <v>15</v>
      </c>
      <c r="AO26" s="249">
        <f t="shared" ref="AO26:AO30" si="113">SUM(AL26:AN26)</f>
        <v>151</v>
      </c>
      <c r="AT26" s="11">
        <f t="shared" si="75"/>
        <v>26</v>
      </c>
      <c r="AU26" s="9">
        <v>1988</v>
      </c>
      <c r="AV26" s="6">
        <f t="shared" si="68"/>
        <v>7.2727272727272727E-3</v>
      </c>
      <c r="AW26" s="249">
        <f>COUNTIFS('DATOS 2'!$AA$5:$AA$1437,1,'DATOS 2'!$D$5:$D$1437,AU26)</f>
        <v>2</v>
      </c>
      <c r="AY26" s="11" t="s">
        <v>480</v>
      </c>
      <c r="AZ26" s="17"/>
      <c r="BA26" s="138"/>
      <c r="BH26" s="11" t="s">
        <v>715</v>
      </c>
      <c r="BI26" s="6">
        <f t="shared" si="101"/>
        <v>0.13842482100238662</v>
      </c>
      <c r="BJ26" s="6">
        <f t="shared" si="92"/>
        <v>0.46300715990453462</v>
      </c>
      <c r="BK26" s="6">
        <f t="shared" si="93"/>
        <v>0.39856801909307876</v>
      </c>
      <c r="BL26" s="152">
        <f>SUM(BL18:BL25)</f>
        <v>174</v>
      </c>
      <c r="BM26" s="152">
        <f>SUM(BM18:BM25)</f>
        <v>582</v>
      </c>
      <c r="BN26" s="152">
        <f>SUM(BN18:BN25)</f>
        <v>501</v>
      </c>
      <c r="BO26" s="138">
        <f>SUM(BO18:BO25)</f>
        <v>1257</v>
      </c>
      <c r="BQ26" s="137" t="s">
        <v>127</v>
      </c>
      <c r="BR26" s="156">
        <f t="shared" si="102"/>
        <v>5.2631578947368418E-2</v>
      </c>
      <c r="BS26" s="156">
        <f t="shared" si="96"/>
        <v>1.2422360248447204E-2</v>
      </c>
      <c r="BT26" s="156">
        <f t="shared" si="97"/>
        <v>2.7777777777777776E-2</v>
      </c>
      <c r="BU26" s="249">
        <f>COUNTIFS('DATOS 2'!$AA$5:$AA$984,1,'DATOS 2'!$V$5:$V$984,"X")</f>
        <v>11</v>
      </c>
      <c r="BV26" s="249">
        <f>COUNTIFS('DATOS 2'!$AA$5:$AA$984,"&lt;6",'DATOS 2'!$V$5:$V$984,"X")-BU26</f>
        <v>6</v>
      </c>
      <c r="BW26" s="249">
        <f>COUNTIFS('DATOS 2'!$AA$5:$AA$984,"&gt;5",'DATOS 2'!$V$5:$V$984,"X")</f>
        <v>8</v>
      </c>
      <c r="CS26" s="19" t="s">
        <v>1286</v>
      </c>
      <c r="CT26" s="249">
        <f>COUNTIFS('ENCUESTA PROPIETARIOS'!$A$7:$A$417,"SSE OAXACA",'ENCUESTA PROPIETARIOS'!$L$7:$L$417,CS26)</f>
        <v>0</v>
      </c>
      <c r="CU26" s="249">
        <f>COUNTIFS('ENCUESTA PROPIETARIOS'!$A$7:$A$417,"C D.F.",'ENCUESTA PROPIETARIOS'!$L$7:$L$417,CS26)+COUNTIFS('ENCUESTA PROPIETARIOS'!$A$7:$A$417,"C QUERETARO",'ENCUESTA PROPIETARIOS'!$L$7:$L$417,CS26)+COUNTIFS('ENCUESTA PROPIETARIOS'!$A$7:$A$417,"C JALISCO",'ENCUESTA PROPIETARIOS'!$L$7:$L$417,CS26)+COUNTIFS('ENCUESTA PROPIETARIOS'!$A$7:$A$417,"C VERACRUZ",'ENCUESTA PROPIETARIOS'!$L$7:$L$417,CS26)</f>
        <v>2</v>
      </c>
      <c r="CV26" s="249">
        <f>COUNTIFS('ENCUESTA PROPIETARIOS'!$A$7:$A$417,"NO SINALOA",'ENCUESTA PROPIETARIOS'!$L$7:$L$417,CS26)+COUNTIFS('ENCUESTA PROPIETARIOS'!$A$7:$A$417,"NO CHIHUAHUA",'ENCUESTA PROPIETARIOS'!$L$7:$L$417,CS26)</f>
        <v>0</v>
      </c>
      <c r="CW26" s="249">
        <f>COUNTIFS('ENCUESTA PROPIETARIOS'!$A$7:$A$417,"NE NUEVO LEON",'ENCUESTA PROPIETARIOS'!$L$7:$L$417,CS26)+COUNTIFS('ENCUESTA PROPIETARIOS'!$A$7:$A$417,"NE TAMAULIPAS",'ENCUESTA PROPIETARIOS'!$L$7:$L$417,CS26)</f>
        <v>0</v>
      </c>
      <c r="CX26" s="249">
        <f t="shared" si="31"/>
        <v>2</v>
      </c>
      <c r="CY26" s="112"/>
      <c r="DD26" s="249">
        <f>COUNTIF('DATOS 1'!$L$51:$L$427,1)</f>
        <v>202</v>
      </c>
      <c r="DE26" s="249">
        <f>COUNTIF('DATOS 1'!$L$51:$L$427,"&lt;6")</f>
        <v>377</v>
      </c>
      <c r="DF26" s="249">
        <f>COUNTIF('DATOS 1'!$L$7:$L$40,"&lt;31")</f>
        <v>34</v>
      </c>
      <c r="DG26" s="249">
        <f>COUNTIF('[1]ENCUESTA CONDUCTORES'!$E$7:$E$459,"X")</f>
        <v>66</v>
      </c>
      <c r="DH26" s="249">
        <f>COUNTIF('[1]ENCUESTA CONDUCTORES'!$F$7:$F$459,"X")+COUNTIF('[1]ENCUESTA CONDUCTORES'!$G$7:$G$459,"X")</f>
        <v>263</v>
      </c>
      <c r="DI26" s="249">
        <f>COUNTIF('[1]ENCUESTA CONDUCTORES'!$H$7:$H$459,"X")</f>
        <v>124</v>
      </c>
    </row>
    <row r="27" spans="1:119" x14ac:dyDescent="0.25">
      <c r="A27" s="11" t="s">
        <v>715</v>
      </c>
      <c r="B27" s="6">
        <f t="shared" si="89"/>
        <v>1</v>
      </c>
      <c r="C27" s="249">
        <f>SUM(C20:C26)</f>
        <v>175</v>
      </c>
      <c r="J27" s="17" t="s">
        <v>842</v>
      </c>
      <c r="K27" s="6">
        <f t="shared" si="110"/>
        <v>0.17573221757322174</v>
      </c>
      <c r="L27" s="6">
        <f t="shared" si="105"/>
        <v>0.19047619047619047</v>
      </c>
      <c r="M27" s="6">
        <f t="shared" si="106"/>
        <v>0.30434782608695654</v>
      </c>
      <c r="N27" s="249">
        <f>COUNTIFS('DATOS 1'!$L$51:$L$427,1,'DATOS 1'!$AN$51:$AN$427,"X")</f>
        <v>42</v>
      </c>
      <c r="O27" s="249">
        <f>COUNTIFS('DATOS 1'!$L$51:$L$427,"&lt;6",'DATOS 1'!$AN$51:$AN$427,"X")-N27</f>
        <v>40</v>
      </c>
      <c r="P27" s="249">
        <f>COUNTIF('DATOS 1'!$AN$7:$AN$40,"X")</f>
        <v>14</v>
      </c>
      <c r="Q27" s="249">
        <f t="shared" si="111"/>
        <v>96</v>
      </c>
      <c r="V27" s="11" t="s">
        <v>715</v>
      </c>
      <c r="W27" s="6">
        <f t="shared" si="90"/>
        <v>1</v>
      </c>
      <c r="X27" s="6">
        <f t="shared" si="84"/>
        <v>1</v>
      </c>
      <c r="Y27" s="6">
        <f t="shared" si="85"/>
        <v>1</v>
      </c>
      <c r="Z27" s="249">
        <f>SUM(Z20:Z26)</f>
        <v>209</v>
      </c>
      <c r="AA27" s="249">
        <f>SUM(AA20:AA26)</f>
        <v>483</v>
      </c>
      <c r="AB27" s="249">
        <f>SUM(AB20:AB26)</f>
        <v>288</v>
      </c>
      <c r="AH27" s="137" t="s">
        <v>1671</v>
      </c>
      <c r="AI27" s="6">
        <f t="shared" si="112"/>
        <v>0.2462686567164179</v>
      </c>
      <c r="AJ27" s="6">
        <f t="shared" si="107"/>
        <v>6.910569105691057E-2</v>
      </c>
      <c r="AK27" s="6">
        <f t="shared" si="108"/>
        <v>3.2258064516129031E-2</v>
      </c>
      <c r="AL27" s="249">
        <f>COUNTIFS('DATOS 1'!$L$51:$L$427,1,'DATOS 1'!$CC$51:$CC$427,"X")+COUNTIFS('DATOS 1'!$L$51:$L$427,1,'DATOS 1'!$CD$51:$CD$427,"X")</f>
        <v>66</v>
      </c>
      <c r="AM27" s="249">
        <f>COUNTIFS('DATOS 1'!$L$51:$L$427,"&lt;6",'DATOS 1'!$CC$51:$CC$427,"X")+COUNTIFS('DATOS 1'!$L$51:$L$427,"&lt;6",'DATOS 1'!$CD$51:$CD$427,"X")-AL27</f>
        <v>17</v>
      </c>
      <c r="AN27" s="249">
        <f>COUNTIF('DATOS 1'!$CC$7:$CC$40,"X")+COUNTIF('DATOS 1'!$CD$7:$CD$40,"X")</f>
        <v>1</v>
      </c>
      <c r="AO27" s="249">
        <f t="shared" si="113"/>
        <v>84</v>
      </c>
      <c r="AT27" s="11">
        <f t="shared" si="75"/>
        <v>25</v>
      </c>
      <c r="AU27" s="9">
        <v>1989</v>
      </c>
      <c r="AV27" s="6">
        <f t="shared" si="68"/>
        <v>2.181818181818182E-2</v>
      </c>
      <c r="AW27" s="249">
        <f>COUNTIFS('DATOS 2'!$AA$5:$AA$1437,1,'DATOS 2'!$D$5:$D$1437,AU27)</f>
        <v>6</v>
      </c>
      <c r="AY27" s="17"/>
      <c r="AZ27" s="139"/>
      <c r="BA27" s="138"/>
      <c r="BL27" s="153">
        <f>+BL26+BM26+BN26</f>
        <v>1257</v>
      </c>
      <c r="BQ27" s="137" t="s">
        <v>1016</v>
      </c>
      <c r="BR27" s="156">
        <f t="shared" si="102"/>
        <v>0.4354066985645933</v>
      </c>
      <c r="BS27" s="156">
        <f t="shared" si="96"/>
        <v>0.41821946169772256</v>
      </c>
      <c r="BT27" s="156">
        <f t="shared" si="97"/>
        <v>0.47916666666666669</v>
      </c>
      <c r="BU27" s="249">
        <f>COUNTIFS('DATOS 2'!$AA$5:$AA$984,1,'DATOS 2'!$W$5:$W$984,"X")</f>
        <v>91</v>
      </c>
      <c r="BV27" s="249">
        <f>COUNTIFS('DATOS 2'!$AA$5:$AA$984,"&lt;6",'DATOS 2'!$W$5:$W$984,"X")-BU27</f>
        <v>202</v>
      </c>
      <c r="BW27" s="249">
        <f>COUNTIFS('DATOS 2'!$AA$5:$AA$984,"&gt;5",'DATOS 2'!$W$5:$W$984,"X")</f>
        <v>138</v>
      </c>
      <c r="CS27" s="19" t="s">
        <v>1333</v>
      </c>
      <c r="CT27" s="249">
        <f>COUNTIFS('ENCUESTA PROPIETARIOS'!$A$7:$A$417,"SSE OAXACA",'ENCUESTA PROPIETARIOS'!$L$7:$L$417,CS27)</f>
        <v>0</v>
      </c>
      <c r="CU27" s="249">
        <f>COUNTIFS('ENCUESTA PROPIETARIOS'!$A$7:$A$417,"C D.F.",'ENCUESTA PROPIETARIOS'!$L$7:$L$417,CS27)+COUNTIFS('ENCUESTA PROPIETARIOS'!$A$7:$A$417,"C QUERETARO",'ENCUESTA PROPIETARIOS'!$L$7:$L$417,CS27)+COUNTIFS('ENCUESTA PROPIETARIOS'!$A$7:$A$417,"C JALISCO",'ENCUESTA PROPIETARIOS'!$L$7:$L$417,CS27)+COUNTIFS('ENCUESTA PROPIETARIOS'!$A$7:$A$417,"C VERACRUZ",'ENCUESTA PROPIETARIOS'!$L$7:$L$417,CS27)</f>
        <v>1</v>
      </c>
      <c r="CV27" s="249">
        <f>COUNTIFS('ENCUESTA PROPIETARIOS'!$A$7:$A$417,"NO SINALOA",'ENCUESTA PROPIETARIOS'!$L$7:$L$417,CS27)+COUNTIFS('ENCUESTA PROPIETARIOS'!$A$7:$A$417,"NO CHIHUAHUA",'ENCUESTA PROPIETARIOS'!$L$7:$L$417,CS27)</f>
        <v>0</v>
      </c>
      <c r="CW27" s="249">
        <f>COUNTIFS('ENCUESTA PROPIETARIOS'!$A$7:$A$417,"NE NUEVO LEON",'ENCUESTA PROPIETARIOS'!$L$7:$L$417,CS27)+COUNTIFS('ENCUESTA PROPIETARIOS'!$A$7:$A$417,"NE TAMAULIPAS",'ENCUESTA PROPIETARIOS'!$L$7:$L$417,CS27)</f>
        <v>0</v>
      </c>
      <c r="CX27" s="249">
        <f t="shared" si="31"/>
        <v>1</v>
      </c>
      <c r="CY27" s="112"/>
      <c r="DD27" s="249">
        <f>+DD25+DG25</f>
        <v>464</v>
      </c>
      <c r="DE27" s="249">
        <f t="shared" ref="DE27" si="114">+DE25+DH25</f>
        <v>696</v>
      </c>
      <c r="DF27" s="249">
        <f t="shared" ref="DF27" si="115">+DF25+DI25</f>
        <v>257</v>
      </c>
    </row>
    <row r="28" spans="1:119" x14ac:dyDescent="0.25">
      <c r="J28" s="17" t="s">
        <v>263</v>
      </c>
      <c r="K28" s="6">
        <f t="shared" si="110"/>
        <v>0.33472803347280333</v>
      </c>
      <c r="L28" s="6">
        <f t="shared" si="105"/>
        <v>0.45238095238095238</v>
      </c>
      <c r="M28" s="6">
        <f t="shared" si="106"/>
        <v>0.45652173913043476</v>
      </c>
      <c r="N28" s="249">
        <f>COUNTIFS('DATOS 1'!$L$51:$L$427,1,'DATOS 1'!$AO$51:$AO$427,"X")</f>
        <v>80</v>
      </c>
      <c r="O28" s="249">
        <f>COUNTIFS('DATOS 1'!$L$51:$L$427,"&lt;6",'DATOS 1'!$AO$51:$AO$427,"X")-N28</f>
        <v>95</v>
      </c>
      <c r="P28" s="249">
        <f>COUNTIF('DATOS 1'!$AO$7:$AO$40,"X")</f>
        <v>21</v>
      </c>
      <c r="Q28" s="249">
        <f t="shared" si="111"/>
        <v>196</v>
      </c>
      <c r="Z28" s="249">
        <f>+Z27+AA27+AB27</f>
        <v>980</v>
      </c>
      <c r="AH28" s="137" t="s">
        <v>1670</v>
      </c>
      <c r="AI28" s="6">
        <f t="shared" si="112"/>
        <v>0.27238805970149255</v>
      </c>
      <c r="AJ28" s="6">
        <f t="shared" si="107"/>
        <v>0.24390243902439024</v>
      </c>
      <c r="AK28" s="6">
        <f t="shared" si="108"/>
        <v>0.16129032258064516</v>
      </c>
      <c r="AL28" s="249">
        <f>COUNTIFS('DATOS 1'!$L$51:$L$427,1,'DATOS 1'!$CB$51:$CB$427,"X")+COUNTIFS('DATOS 1'!$L$51:$L$427,1,'DATOS 1'!$BY$51:$BY$427,"X")+COUNTIFS('DATOS 1'!$L$51:$L$427,1,'DATOS 1'!$CF$51:$CF$427,"ARRENDAMIENTO")+COUNTIFS('DATOS 1'!$L$51:$L$427,1,'DATOS 1'!$CF$51:$CF$427,"BANCARIO")+COUNTIFS('DATOS 1'!$L$51:$L$427,1,'DATOS 1'!$CF$51:$CF$427,"CREDITO HIPOTECARIO")+COUNTIFS('DATOS 1'!$L$51:$L$427,1,'DATOS 1'!$CF$51:$CF$427,"PRESTAMO GOBIERNO ESTATAL")</f>
        <v>73</v>
      </c>
      <c r="AM28" s="249">
        <f>COUNTIFS('DATOS 1'!$L$51:$L$427,"&lt;6",'DATOS 1'!$CB$51:$CB$427,"X")+COUNTIFS('DATOS 1'!$L$51:$L$427,"&lt;6",'DATOS 1'!$BY$51:$BY$427,"X")+COUNTIFS('DATOS 1'!$L$51:$L$427,"&lt;6",'DATOS 1'!$CF$51:$CF$427,"ARRENDAMIENTO")+COUNTIFS('DATOS 1'!$L$51:$L$427,"&lt;6",'DATOS 1'!$CF$51:$CF$427,"BANCARIO")+COUNTIFS('DATOS 1'!$L$51:$L$427,"&lt;6",'DATOS 1'!$CF$51:$CF$427,"CREDITO HIPOTECARIO")+COUNTIFS('DATOS 1'!$L$51:$L$427,"&lt;6",'DATOS 1'!$CF$51:$CF$427,"PRESTAMO GOBIERNO ESTATAL")-AL28</f>
        <v>60</v>
      </c>
      <c r="AN28" s="249">
        <f>COUNTIF('DATOS 1'!$CB$7:$CB$40,"X")+COUNTIF('DATOS 1'!$BY$7:$BY$40,"X")+COUNTIF('DATOS 1'!$CF$7:$CF$40,"ARRENDAMIENTO")+COUNTIF('DATOS 1'!$CF$7:$CF$40,"BANCARIO")+COUNTIF('DATOS 1'!$CF$7:$CF$40,"CREDITO HIPOTECARIO")+COUNTIF('DATOS 1'!$CF$7:$CF$40,"PRESTAMO GOBIERNO ESTATAL")</f>
        <v>5</v>
      </c>
      <c r="AO28" s="249">
        <f t="shared" si="113"/>
        <v>138</v>
      </c>
      <c r="AT28" s="11">
        <f t="shared" si="75"/>
        <v>24</v>
      </c>
      <c r="AU28" s="9">
        <v>1990</v>
      </c>
      <c r="AV28" s="6">
        <f t="shared" si="68"/>
        <v>3.272727272727273E-2</v>
      </c>
      <c r="AW28" s="249">
        <f>COUNTIFS('DATOS 2'!$AA$5:$AA$1437,1,'DATOS 2'!$D$5:$D$1437,AU28)</f>
        <v>9</v>
      </c>
      <c r="BQ28" s="137" t="s">
        <v>130</v>
      </c>
      <c r="BR28" s="156">
        <f t="shared" si="102"/>
        <v>6.6985645933014357E-2</v>
      </c>
      <c r="BS28" s="156">
        <f t="shared" si="96"/>
        <v>0.12008281573498965</v>
      </c>
      <c r="BT28" s="156">
        <f t="shared" si="97"/>
        <v>4.5138888888888888E-2</v>
      </c>
      <c r="BU28" s="249">
        <f>COUNTIFS('DATOS 2'!$AA$5:$AA$984,1,'DATOS 2'!$X$5:$X$984,"X")</f>
        <v>14</v>
      </c>
      <c r="BV28" s="249">
        <f>COUNTIFS('DATOS 2'!$AA$5:$AA$984,"&lt;6",'DATOS 2'!$X$5:$X$984,"X")-BU28</f>
        <v>58</v>
      </c>
      <c r="BW28" s="249">
        <f>COUNTIFS('DATOS 2'!$AA$5:$AA$984,"&gt;5",'DATOS 2'!$X$5:$X$984,"X")</f>
        <v>13</v>
      </c>
      <c r="CA28" s="11" t="s">
        <v>928</v>
      </c>
      <c r="CB28" s="250" t="s">
        <v>2435</v>
      </c>
      <c r="CC28" s="250" t="s">
        <v>2436</v>
      </c>
      <c r="CD28" s="250" t="s">
        <v>714</v>
      </c>
      <c r="CE28" s="250" t="s">
        <v>2433</v>
      </c>
      <c r="CF28" s="250" t="s">
        <v>2434</v>
      </c>
      <c r="CG28" s="250" t="s">
        <v>714</v>
      </c>
      <c r="CS28" s="19" t="s">
        <v>1285</v>
      </c>
      <c r="CT28" s="249">
        <f>COUNTIFS('ENCUESTA PROPIETARIOS'!$A$7:$A$417,"SSE OAXACA",'ENCUESTA PROPIETARIOS'!$L$7:$L$417,CS28)</f>
        <v>0</v>
      </c>
      <c r="CU28" s="249">
        <f>COUNTIFS('ENCUESTA PROPIETARIOS'!$A$7:$A$417,"C D.F.",'ENCUESTA PROPIETARIOS'!$L$7:$L$417,CS28)+COUNTIFS('ENCUESTA PROPIETARIOS'!$A$7:$A$417,"C QUERETARO",'ENCUESTA PROPIETARIOS'!$L$7:$L$417,CS28)+COUNTIFS('ENCUESTA PROPIETARIOS'!$A$7:$A$417,"C JALISCO",'ENCUESTA PROPIETARIOS'!$L$7:$L$417,CS28)+COUNTIFS('ENCUESTA PROPIETARIOS'!$A$7:$A$417,"C VERACRUZ",'ENCUESTA PROPIETARIOS'!$L$7:$L$417,CS28)</f>
        <v>1</v>
      </c>
      <c r="CV28" s="249">
        <f>COUNTIFS('ENCUESTA PROPIETARIOS'!$A$7:$A$417,"NO SINALOA",'ENCUESTA PROPIETARIOS'!$L$7:$L$417,CS28)+COUNTIFS('ENCUESTA PROPIETARIOS'!$A$7:$A$417,"NO CHIHUAHUA",'ENCUESTA PROPIETARIOS'!$L$7:$L$417,CS28)</f>
        <v>0</v>
      </c>
      <c r="CW28" s="249">
        <f>COUNTIFS('ENCUESTA PROPIETARIOS'!$A$7:$A$417,"NE NUEVO LEON",'ENCUESTA PROPIETARIOS'!$L$7:$L$417,CS28)+COUNTIFS('ENCUESTA PROPIETARIOS'!$A$7:$A$417,"NE TAMAULIPAS",'ENCUESTA PROPIETARIOS'!$L$7:$L$417,CS28)</f>
        <v>0</v>
      </c>
      <c r="CX28" s="249">
        <f t="shared" si="31"/>
        <v>1</v>
      </c>
    </row>
    <row r="29" spans="1:119" x14ac:dyDescent="0.25">
      <c r="J29" s="17" t="s">
        <v>715</v>
      </c>
      <c r="K29" s="6">
        <f t="shared" si="110"/>
        <v>1</v>
      </c>
      <c r="L29" s="6">
        <f t="shared" si="105"/>
        <v>1</v>
      </c>
      <c r="M29" s="6">
        <f t="shared" si="106"/>
        <v>1</v>
      </c>
      <c r="N29" s="249">
        <f>SUM(N25:N28)</f>
        <v>239</v>
      </c>
      <c r="O29" s="249">
        <f>SUM(O25:O28)</f>
        <v>210</v>
      </c>
      <c r="P29" s="249">
        <f>SUM(P25:P28)</f>
        <v>46</v>
      </c>
      <c r="Q29" s="249">
        <f t="shared" si="111"/>
        <v>495</v>
      </c>
      <c r="AH29" s="137" t="s">
        <v>890</v>
      </c>
      <c r="AI29" s="6">
        <f t="shared" si="112"/>
        <v>0.20522388059701493</v>
      </c>
      <c r="AJ29" s="6">
        <f t="shared" si="107"/>
        <v>0.12601626016260162</v>
      </c>
      <c r="AK29" s="6">
        <f t="shared" si="108"/>
        <v>0.12903225806451613</v>
      </c>
      <c r="AL29" s="249">
        <f>COUNTIFS('DATOS 1'!$L$51:$L$427,1,'DATOS 1'!$CE$51:$CE$427,"X")</f>
        <v>55</v>
      </c>
      <c r="AM29" s="249">
        <f>COUNTIFS('DATOS 1'!$L$51:$L$427,"&lt;6",'DATOS 1'!$CE$51:$CE$427,"X")-AL29</f>
        <v>31</v>
      </c>
      <c r="AN29" s="249">
        <f>COUNTIF('DATOS 1'!$CE$7:$CE$40,"X")</f>
        <v>4</v>
      </c>
      <c r="AO29" s="249">
        <f t="shared" si="113"/>
        <v>90</v>
      </c>
      <c r="AT29" s="11">
        <f t="shared" si="75"/>
        <v>23</v>
      </c>
      <c r="AU29" s="9">
        <v>1991</v>
      </c>
      <c r="AV29" s="6">
        <f t="shared" si="68"/>
        <v>3.6363636363636364E-3</v>
      </c>
      <c r="AW29" s="249">
        <f>COUNTIFS('DATOS 2'!$AA$5:$AA$1437,1,'DATOS 2'!$D$5:$D$1437,AU29)</f>
        <v>1</v>
      </c>
      <c r="AY29" s="112" t="s">
        <v>1677</v>
      </c>
      <c r="AZ29" s="250" t="s">
        <v>2435</v>
      </c>
      <c r="BA29" s="250" t="s">
        <v>2436</v>
      </c>
      <c r="BB29" s="250" t="s">
        <v>714</v>
      </c>
      <c r="BC29" s="250" t="s">
        <v>2433</v>
      </c>
      <c r="BD29" s="250" t="s">
        <v>2434</v>
      </c>
      <c r="BE29" s="250" t="s">
        <v>714</v>
      </c>
      <c r="BH29" s="11" t="s">
        <v>2467</v>
      </c>
      <c r="BI29" s="250" t="s">
        <v>2435</v>
      </c>
      <c r="BJ29" s="250" t="s">
        <v>2436</v>
      </c>
      <c r="BK29" s="250" t="s">
        <v>714</v>
      </c>
      <c r="BL29" s="250" t="s">
        <v>2433</v>
      </c>
      <c r="BM29" s="250" t="s">
        <v>2434</v>
      </c>
      <c r="BN29" s="250" t="s">
        <v>714</v>
      </c>
      <c r="BQ29" s="11" t="s">
        <v>715</v>
      </c>
      <c r="BR29" s="156">
        <f t="shared" si="102"/>
        <v>1</v>
      </c>
      <c r="BS29" s="156">
        <f t="shared" si="96"/>
        <v>1</v>
      </c>
      <c r="BT29" s="156">
        <f t="shared" si="97"/>
        <v>1</v>
      </c>
      <c r="BU29" s="249">
        <f>SUM(BU23:BU28)</f>
        <v>209</v>
      </c>
      <c r="BV29" s="249">
        <f>SUM(BV23:BV28)</f>
        <v>483</v>
      </c>
      <c r="BW29" s="249">
        <f>SUM(BW23:BW28)</f>
        <v>288</v>
      </c>
      <c r="CA29" s="19" t="s">
        <v>1777</v>
      </c>
      <c r="CB29" s="6">
        <f>+CE29/CE$34</f>
        <v>1.2048192771084338E-2</v>
      </c>
      <c r="CC29" s="6">
        <f t="shared" ref="CC29:CC34" si="116">+CF29/CF$34</f>
        <v>1.8181818181818181E-2</v>
      </c>
      <c r="CD29" s="6">
        <f t="shared" ref="CD29:CD34" si="117">+CG29/CG$34</f>
        <v>8.6956521739130432E-2</v>
      </c>
      <c r="CE29" s="249">
        <f>COUNTIFS('ENCUESTA PROPIETARIOS'!$N$7:$N$417,1,'ENCUESTA PROPIETARIOS'!$DX$7:$DX$417,$CA29)+COUNTIFS('ENCUESTA PROPIETARIOS'!$N$7:$N$417,1,'ENCUESTA PROPIETARIOS'!$DX$7:$DX$417,"QUE SEA EN ESPECIE/ EFECTIVO")+COUNTIFS('ENCUESTA PROPIETARIOS'!$N$7:$N$417,1,'ENCUESTA PROPIETARIOS'!$DX$7:$DX$417,"LA GENTE NECESITA SUS UNIDADES, NO PAPEL")</f>
        <v>1</v>
      </c>
      <c r="CF29" s="249">
        <f>COUNTIFS('ENCUESTA PROPIETARIOS'!$N$7:$N$417,"&lt;6",'ENCUESTA PROPIETARIOS'!$DX$7:$DX$417,$CA29)+COUNTIFS('ENCUESTA PROPIETARIOS'!$N$7:$N$417,"&lt;6",'ENCUESTA PROPIETARIOS'!$DX$7:$DX$417,"QUE SEA EN ESPECIE/ EFECTIVO")+COUNTIFS('ENCUESTA PROPIETARIOS'!$N$7:$N$417,"&lt;6",'ENCUESTA PROPIETARIOS'!$DX$7:$DX$417,"LA GENTE NECESITA SUS UNIDADES, NO PAPEL")</f>
        <v>3</v>
      </c>
      <c r="CG29" s="249">
        <f>COUNTIFS('ENCUESTA PROPIETARIOS'!$N$7:$N$417,"&gt;5",'ENCUESTA PROPIETARIOS'!$DX$7:$DX$417,$CA29)+COUNTIFS('ENCUESTA PROPIETARIOS'!$N$7:$N$417,"&gt;5",'ENCUESTA PROPIETARIOS'!$DX$7:$DX$417,"QUE SEA EN ESPECIE/ EFECTIVO")+COUNTIFS('ENCUESTA PROPIETARIOS'!$N$7:$N$417,"&gt;5",'ENCUESTA PROPIETARIOS'!$DX$7:$DX$417,"LA GENTE NECESITA SUS UNIDADES, NO PAPEL")</f>
        <v>2</v>
      </c>
      <c r="CS29" s="19" t="s">
        <v>1338</v>
      </c>
      <c r="CT29" s="249">
        <f>COUNTIFS('ENCUESTA PROPIETARIOS'!$A$7:$A$417,"SSE OAXACA",'ENCUESTA PROPIETARIOS'!$L$7:$L$417,CS29)</f>
        <v>0</v>
      </c>
      <c r="CU29" s="249">
        <f>COUNTIFS('ENCUESTA PROPIETARIOS'!$A$7:$A$417,"C D.F.",'ENCUESTA PROPIETARIOS'!$L$7:$L$417,CS29)+COUNTIFS('ENCUESTA PROPIETARIOS'!$A$7:$A$417,"C QUERETARO",'ENCUESTA PROPIETARIOS'!$L$7:$L$417,CS29)+COUNTIFS('ENCUESTA PROPIETARIOS'!$A$7:$A$417,"C JALISCO",'ENCUESTA PROPIETARIOS'!$L$7:$L$417,CS29)+COUNTIFS('ENCUESTA PROPIETARIOS'!$A$7:$A$417,"C VERACRUZ",'ENCUESTA PROPIETARIOS'!$L$7:$L$417,CS29)</f>
        <v>1</v>
      </c>
      <c r="CV29" s="249">
        <f>COUNTIFS('ENCUESTA PROPIETARIOS'!$A$7:$A$417,"NO SINALOA",'ENCUESTA PROPIETARIOS'!$L$7:$L$417,CS29)+COUNTIFS('ENCUESTA PROPIETARIOS'!$A$7:$A$417,"NO CHIHUAHUA",'ENCUESTA PROPIETARIOS'!$L$7:$L$417,CS29)</f>
        <v>0</v>
      </c>
      <c r="CW29" s="249">
        <f>COUNTIFS('ENCUESTA PROPIETARIOS'!$A$7:$A$417,"NE NUEVO LEON",'ENCUESTA PROPIETARIOS'!$L$7:$L$417,CS29)+COUNTIFS('ENCUESTA PROPIETARIOS'!$A$7:$A$417,"NE TAMAULIPAS",'ENCUESTA PROPIETARIOS'!$L$7:$L$417,CS29)</f>
        <v>0</v>
      </c>
      <c r="CX29" s="249">
        <f t="shared" si="31"/>
        <v>1</v>
      </c>
    </row>
    <row r="30" spans="1:119" x14ac:dyDescent="0.25">
      <c r="A30" s="11" t="s">
        <v>2432</v>
      </c>
      <c r="B30" s="250" t="s">
        <v>2435</v>
      </c>
      <c r="C30" s="250" t="s">
        <v>2436</v>
      </c>
      <c r="D30" s="17" t="s">
        <v>714</v>
      </c>
      <c r="E30" s="250" t="s">
        <v>2433</v>
      </c>
      <c r="F30" s="250" t="s">
        <v>2434</v>
      </c>
      <c r="G30" s="17" t="s">
        <v>714</v>
      </c>
      <c r="AH30" s="11" t="s">
        <v>715</v>
      </c>
      <c r="AI30" s="6">
        <f t="shared" si="112"/>
        <v>1</v>
      </c>
      <c r="AJ30" s="6">
        <f t="shared" si="107"/>
        <v>1</v>
      </c>
      <c r="AK30" s="6">
        <f t="shared" si="108"/>
        <v>1</v>
      </c>
      <c r="AL30" s="249">
        <f>SUM(AL25:AL29)</f>
        <v>268</v>
      </c>
      <c r="AM30" s="249">
        <f>SUM(AM25:AM29)</f>
        <v>246</v>
      </c>
      <c r="AN30" s="249">
        <f>SUM(AN25:AN29)</f>
        <v>31</v>
      </c>
      <c r="AO30" s="249">
        <f t="shared" si="113"/>
        <v>545</v>
      </c>
      <c r="AT30" s="11">
        <f t="shared" si="75"/>
        <v>22</v>
      </c>
      <c r="AU30" s="9">
        <v>1992</v>
      </c>
      <c r="AV30" s="6">
        <f t="shared" si="68"/>
        <v>1.4545454545454545E-2</v>
      </c>
      <c r="AW30" s="249">
        <f>COUNTIFS('DATOS 2'!$AA$5:$AA$1437,1,'DATOS 2'!$D$5:$D$1437,AU30)</f>
        <v>4</v>
      </c>
      <c r="AY30" s="19" t="s">
        <v>1719</v>
      </c>
      <c r="AZ30" s="6">
        <f>+BC30/BC$39</f>
        <v>4.363636363636364E-2</v>
      </c>
      <c r="BA30" s="6">
        <f t="shared" ref="BA30:BA39" si="118">+BD30/BD$39</f>
        <v>6.3087248322147654E-2</v>
      </c>
      <c r="BB30" s="6">
        <f t="shared" ref="BB30:BB39" si="119">+BE30/BE$39</f>
        <v>3.8834951456310676E-2</v>
      </c>
      <c r="BC30" s="249">
        <f>COUNTIFS('DATOS 2'!$AA$5:$AA$1437,1,'DATOS 2'!$F$5:$F$1437,"&lt;1.6")</f>
        <v>12</v>
      </c>
      <c r="BD30" s="249">
        <f>COUNTIFS('DATOS 2'!$AA$5:$AA$1437,"&lt;6",'DATOS 2'!$F$5:$F$1437,"&lt;1.6")-BC30</f>
        <v>47</v>
      </c>
      <c r="BE30" s="249">
        <f>COUNTIFS('DATOS 2'!$AA$5:$AA$1437,"&gt;5",'DATOS 2'!$F$5:$F$1437,"&lt;1.6")</f>
        <v>16</v>
      </c>
      <c r="BH30" s="11" t="s">
        <v>1743</v>
      </c>
      <c r="BI30" s="6">
        <f>+BL30/BL$37</f>
        <v>0.11636363636363636</v>
      </c>
      <c r="BJ30" s="6">
        <f t="shared" ref="BJ30:BJ37" si="120">+BM30/BM$37</f>
        <v>0.145748987854251</v>
      </c>
      <c r="BK30" s="6">
        <f t="shared" ref="BK30:BK37" si="121">+BN30/BN$37</f>
        <v>0.11650485436893204</v>
      </c>
      <c r="BL30" s="249">
        <f>COUNTIFS('DATOS 2'!$AA$5:$AA$1437,1,'DATOS 2'!$AB$5:$AB$1437,"&lt;10000")</f>
        <v>32</v>
      </c>
      <c r="BM30" s="249">
        <f>COUNTIFS('DATOS 2'!$AA$5:$AA$1437,"&lt;6",'DATOS 2'!$AB$5:$AB$1437,"&lt;10000")-BL30</f>
        <v>108</v>
      </c>
      <c r="BN30" s="249">
        <f>COUNTIFS('DATOS 2'!$AA$5:$AA$1437,"&gt;5",'DATOS 2'!$AB$5:$AB$1437,"&lt;10000")</f>
        <v>48</v>
      </c>
      <c r="BQ30" s="17"/>
      <c r="BR30" s="17"/>
      <c r="BS30" s="17"/>
      <c r="BT30" s="17"/>
      <c r="BU30" s="17">
        <f>+BU29+BV29+BW29</f>
        <v>980</v>
      </c>
      <c r="CA30" s="19" t="s">
        <v>608</v>
      </c>
      <c r="CB30" s="6">
        <f t="shared" ref="CB30:CB34" si="122">+CE30/CE$34</f>
        <v>2.4096385542168676E-2</v>
      </c>
      <c r="CC30" s="6">
        <f t="shared" si="116"/>
        <v>3.0303030303030304E-2</v>
      </c>
      <c r="CD30" s="6">
        <f t="shared" si="117"/>
        <v>8.6956521739130432E-2</v>
      </c>
      <c r="CE30" s="249">
        <f>COUNTIFS('ENCUESTA PROPIETARIOS'!$N$7:$N$417,1,'ENCUESTA PROPIETARIOS'!$DX$7:$DX$417,$CA30)+COUNTIFS('ENCUESTA PROPIETARIOS'!$N$7:$N$417,1,'ENCUESTA PROPIETARIOS'!$DX$7:$DX$417,"QUE SEA HONESTO")+COUNTIFS('ENCUESTA PROPIETARIOS'!$N$7:$N$417,1,'ENCUESTA PROPIETARIOS'!$DX$7:$DX$417,"QUE DEN LO JUSTO")+COUNTIFS('ENCUESTA PROPIETARIOS'!$N$7:$N$417,1,'ENCUESTA PROPIETARIOS'!$DX$7:$DX$417,"HACER LA GESTION MAS PRACTICA")+COUNTIFS('ENCUESTA PROPIETARIOS'!$N$7:$N$417,1,'ENCUESTA PROPIETARIOS'!$DX$7:$DX$417,"LA GENTE NECESITA SUS UNIDADES, NO PAPEL")</f>
        <v>2</v>
      </c>
      <c r="CF30" s="249">
        <f>COUNTIFS('ENCUESTA PROPIETARIOS'!$N$7:$N$417,"&lt;6",'ENCUESTA PROPIETARIOS'!$DX$7:$DX$417,$CA30)+COUNTIFS('ENCUESTA PROPIETARIOS'!$N$7:$N$417,"&lt;6",'ENCUESTA PROPIETARIOS'!$DX$7:$DX$417,"QUE SEA HONESTO")+COUNTIFS('ENCUESTA PROPIETARIOS'!$N$7:$N$417,"&lt;6",'ENCUESTA PROPIETARIOS'!$DX$7:$DX$417,"QUE DEN LO JUSTO")+COUNTIFS('ENCUESTA PROPIETARIOS'!$N$7:$N$417,"&lt;6",'ENCUESTA PROPIETARIOS'!$DX$7:$DX$417,"HACER LA GESTION MAS PRACTICA")+COUNTIFS('ENCUESTA PROPIETARIOS'!$N$7:$N$417,"&lt;6",'ENCUESTA PROPIETARIOS'!$DX$7:$DX$417,"LA GENTE NECESITA SUS UNIDADES, NO PAPEL")</f>
        <v>5</v>
      </c>
      <c r="CG30" s="249">
        <f>COUNTIFS('ENCUESTA PROPIETARIOS'!$N$7:$N$417,"&gt;5",'ENCUESTA PROPIETARIOS'!$DX$7:$DX$417,$CA30)+COUNTIFS('ENCUESTA PROPIETARIOS'!$N$7:$N$417,"&gt;5",'ENCUESTA PROPIETARIOS'!$DX$7:$DX$417,"QUE SEA HONESTO")+COUNTIFS('ENCUESTA PROPIETARIOS'!$N$7:$N$417,"&gt;5",'ENCUESTA PROPIETARIOS'!$DX$7:$DX$417,"QUE DEN LO JUSTO")+COUNTIFS('ENCUESTA PROPIETARIOS'!$N$7:$N$417,"&gt;5",'ENCUESTA PROPIETARIOS'!$DX$7:$DX$417,"HACER LA GESTION MAS PRACTICA")+COUNTIFS('ENCUESTA PROPIETARIOS'!$N$7:$N$417,"&gt;5",'ENCUESTA PROPIETARIOS'!$DX$7:$DX$417,"LA GENTE NECESITA SUS UNIDADES, NO PAPEL")</f>
        <v>2</v>
      </c>
      <c r="CS30" s="19" t="s">
        <v>1282</v>
      </c>
      <c r="CT30" s="249">
        <f>COUNTIFS('ENCUESTA PROPIETARIOS'!$A$7:$A$417,"SSE OAXACA",'ENCUESTA PROPIETARIOS'!$L$7:$L$417,CS30)</f>
        <v>0</v>
      </c>
      <c r="CU30" s="249">
        <f>COUNTIFS('ENCUESTA PROPIETARIOS'!$A$7:$A$417,"C D.F.",'ENCUESTA PROPIETARIOS'!$L$7:$L$417,CS30)+COUNTIFS('ENCUESTA PROPIETARIOS'!$A$7:$A$417,"C QUERETARO",'ENCUESTA PROPIETARIOS'!$L$7:$L$417,CS30)+COUNTIFS('ENCUESTA PROPIETARIOS'!$A$7:$A$417,"C JALISCO",'ENCUESTA PROPIETARIOS'!$L$7:$L$417,CS30)+COUNTIFS('ENCUESTA PROPIETARIOS'!$A$7:$A$417,"C VERACRUZ",'ENCUESTA PROPIETARIOS'!$L$7:$L$417,CS30)</f>
        <v>1</v>
      </c>
      <c r="CV30" s="249">
        <f>COUNTIFS('ENCUESTA PROPIETARIOS'!$A$7:$A$417,"NO SINALOA",'ENCUESTA PROPIETARIOS'!$L$7:$L$417,CS30)+COUNTIFS('ENCUESTA PROPIETARIOS'!$A$7:$A$417,"NO CHIHUAHUA",'ENCUESTA PROPIETARIOS'!$L$7:$L$417,CS30)</f>
        <v>0</v>
      </c>
      <c r="CW30" s="249">
        <f>COUNTIFS('ENCUESTA PROPIETARIOS'!$A$7:$A$417,"NE NUEVO LEON",'ENCUESTA PROPIETARIOS'!$L$7:$L$417,CS30)+COUNTIFS('ENCUESTA PROPIETARIOS'!$A$7:$A$417,"NE TAMAULIPAS",'ENCUESTA PROPIETARIOS'!$L$7:$L$417,CS30)</f>
        <v>0</v>
      </c>
      <c r="CX30" s="249">
        <f t="shared" si="31"/>
        <v>1</v>
      </c>
    </row>
    <row r="31" spans="1:119" x14ac:dyDescent="0.25">
      <c r="A31" s="11" t="s">
        <v>2429</v>
      </c>
      <c r="B31" s="6">
        <f>+E31/E$38</f>
        <v>0.13861386138613863</v>
      </c>
      <c r="C31" s="6">
        <f t="shared" ref="C31:C38" si="123">+F31/F$38</f>
        <v>0.12571428571428572</v>
      </c>
      <c r="D31" s="6">
        <f t="shared" ref="D31:D38" si="124">+G31/G$38</f>
        <v>8.8235294117647065E-2</v>
      </c>
      <c r="E31" s="152">
        <f>+C10</f>
        <v>28</v>
      </c>
      <c r="F31" s="249">
        <f>+C20</f>
        <v>22</v>
      </c>
      <c r="G31" s="249">
        <f>COUNTIF('DATOS 1'!$E$7:$E$40,"&lt;36")</f>
        <v>3</v>
      </c>
      <c r="V31" s="11" t="s">
        <v>1794</v>
      </c>
      <c r="W31" s="250" t="s">
        <v>2435</v>
      </c>
      <c r="X31" s="250" t="s">
        <v>2436</v>
      </c>
      <c r="Y31" s="17" t="s">
        <v>714</v>
      </c>
      <c r="Z31" s="250" t="s">
        <v>2433</v>
      </c>
      <c r="AA31" s="250" t="s">
        <v>2434</v>
      </c>
      <c r="AB31" s="17" t="s">
        <v>714</v>
      </c>
      <c r="AC31" s="250"/>
      <c r="AL31" s="249">
        <f>+AL30+AM30+AN30</f>
        <v>545</v>
      </c>
      <c r="AT31" s="11">
        <f t="shared" si="75"/>
        <v>21</v>
      </c>
      <c r="AU31" s="9">
        <v>1993</v>
      </c>
      <c r="AV31" s="6">
        <f t="shared" si="68"/>
        <v>1.090909090909091E-2</v>
      </c>
      <c r="AW31" s="249">
        <f>COUNTIFS('DATOS 2'!$AA$5:$AA$1437,1,'DATOS 2'!$D$5:$D$1437,AU31)</f>
        <v>3</v>
      </c>
      <c r="AY31" s="19" t="s">
        <v>1720</v>
      </c>
      <c r="AZ31" s="6">
        <f t="shared" ref="AZ31:AZ39" si="125">+BC31/BC$39</f>
        <v>0.14545454545454545</v>
      </c>
      <c r="BA31" s="6">
        <f t="shared" si="118"/>
        <v>0.13288590604026845</v>
      </c>
      <c r="BB31" s="6">
        <f t="shared" si="119"/>
        <v>0.13834951456310679</v>
      </c>
      <c r="BC31" s="249">
        <f>COUNTIFS('DATOS 2'!$AA$5:$AA$1437,1,'DATOS 2'!$F$5:$F$1437,"&lt;1.91")-BC30</f>
        <v>40</v>
      </c>
      <c r="BD31" s="249">
        <f>COUNTIFS('DATOS 2'!$AA$5:$AA$1437,"&lt;6",'DATOS 2'!$F$5:$F$1437,"&lt;1.91")-BD30-BC31-BC30</f>
        <v>99</v>
      </c>
      <c r="BE31" s="249">
        <f>COUNTIFS('DATOS 2'!$AA$5:$AA$1437,"&gt;5",'DATOS 2'!$F$5:$F$1437,"&lt;1.91")-BE30</f>
        <v>57</v>
      </c>
      <c r="BH31" s="11" t="s">
        <v>954</v>
      </c>
      <c r="BI31" s="6">
        <f t="shared" ref="BI31:BI37" si="126">+BL31/BL$37</f>
        <v>0.19636363636363635</v>
      </c>
      <c r="BJ31" s="6">
        <f t="shared" si="120"/>
        <v>0.27800269905533065</v>
      </c>
      <c r="BK31" s="6">
        <f t="shared" si="121"/>
        <v>0.30339805825242716</v>
      </c>
      <c r="BL31" s="249">
        <f>COUNTIFS('DATOS 2'!$AA$5:$AA$1437,1,'DATOS 2'!$AB$5:$AB$1437,"&lt;15001")-BL30</f>
        <v>54</v>
      </c>
      <c r="BM31" s="249">
        <f>COUNTIFS('DATOS 2'!$AA$5:$AA$1437,"&lt;6",'DATOS 2'!$AB$5:$AB$1437,"&lt;15001")-BM30-BL31-BL30</f>
        <v>206</v>
      </c>
      <c r="BN31" s="249">
        <f>COUNTIFS('DATOS 2'!$AA$5:$AA$1437,"&gt;5",'DATOS 2'!$AB$5:$AB$1437,"&lt;15001")-BN30</f>
        <v>125</v>
      </c>
      <c r="CA31" s="19" t="s">
        <v>1775</v>
      </c>
      <c r="CB31" s="6">
        <f t="shared" si="122"/>
        <v>9.6385542168674704E-2</v>
      </c>
      <c r="CC31" s="6">
        <f t="shared" si="116"/>
        <v>0.12727272727272726</v>
      </c>
      <c r="CD31" s="6">
        <f t="shared" si="117"/>
        <v>0.13043478260869565</v>
      </c>
      <c r="CE31" s="249">
        <f>COUNTIFS('ENCUESTA PROPIETARIOS'!$N$7:$N$417,1,'ENCUESTA PROPIETARIOS'!$DX$7:$DX$417,$CA31)+COUNTIFS('ENCUESTA PROPIETARIOS'!$N$7:$N$417,1,'ENCUESTA PROPIETARIOS'!$DX$7:$DX$417,"MEJORES CREDITOS")+COUNTIFS('ENCUESTA PROPIETARIOS'!$N$7:$N$417,1,'ENCUESTA PROPIETARIOS'!$DX$7:$DX$417,"UNA MEJOR PROPUESTA")+COUNTIFS('ENCUESTA PROPIETARIOS'!$N$7:$N$417,1,'ENCUESTA PROPIETARIOS'!$DX$7:$DX$417,"MEJORES CREDITOS/ MAS FLEXIBLES")+COUNTIFS('ENCUESTA PROPIETARIOS'!$N$7:$N$417,1,'ENCUESTA PROPIETARIOS'!$DX$7:$DX$417,"MEJORES SOLUCIONES")+COUNTIFS('ENCUESTA PROPIETARIOS'!$N$7:$N$417,1,'ENCUESTA PROPIETARIOS'!$DX$7:$DX$417,"MÁS CRÉDITOS")+COUNTIFS('ENCUESTA PROPIETARIOS'!$N$7:$N$417,1,'ENCUESTA PROPIETARIOS'!$DX$7:$DX$417,"MEJORES OPORTUNIDADES")+COUNTIFS('ENCUESTA PROPIETARIOS'!$N$7:$N$417,1,'ENCUESTA PROPIETARIOS'!$DX$7:$DX$417,"QUE SEPAN LO QUE REALMENTE SE NECESITA")+COUNTIFS('ENCUESTA PROPIETARIOS'!$N$7:$N$417,1,'ENCUESTA PROPIETARIOS'!$DX$7:$DX$417,"APOYO EN EL CREDITO, FUE DIFICIL PAGARLO")</f>
        <v>8</v>
      </c>
      <c r="CF31" s="249">
        <f>COUNTIFS('ENCUESTA PROPIETARIOS'!$N$7:$N$417,"&lt;6",'ENCUESTA PROPIETARIOS'!$DX$7:$DX$417,$CA31)+COUNTIFS('ENCUESTA PROPIETARIOS'!$N$7:$N$417,"&lt;6",'ENCUESTA PROPIETARIOS'!$DX$7:$DX$417,"MEJORES CREDITOS")+COUNTIFS('ENCUESTA PROPIETARIOS'!$N$7:$N$417,"&lt;6",'ENCUESTA PROPIETARIOS'!$DX$7:$DX$417,"UNA MEJOR PROPUESTA")+COUNTIFS('ENCUESTA PROPIETARIOS'!$N$7:$N$417,"&lt;6",'ENCUESTA PROPIETARIOS'!$DX$7:$DX$417,"MEJORES CREDITOS/ MAS FLEXIBLES")+COUNTIFS('ENCUESTA PROPIETARIOS'!$N$7:$N$417,"&lt;6",'ENCUESTA PROPIETARIOS'!$DX$7:$DX$417,"MEJORES SOLUCIONES")+COUNTIFS('ENCUESTA PROPIETARIOS'!$N$7:$N$417,"&lt;6",'ENCUESTA PROPIETARIOS'!$DX$7:$DX$417,"MÁS CRÉDITOS")+COUNTIFS('ENCUESTA PROPIETARIOS'!$N$7:$N$417,"&lt;6",'ENCUESTA PROPIETARIOS'!$DX$7:$DX$417,"MEJORES OPORTUNIDADES")+COUNTIFS('ENCUESTA PROPIETARIOS'!$N$7:$N$417,"&lt;6",'ENCUESTA PROPIETARIOS'!$DX$7:$DX$417,"QUE SEPAN LO QUE REALMENTE SE NECESITA")+COUNTIFS('ENCUESTA PROPIETARIOS'!$N$7:$N$417,"&lt;6",'ENCUESTA PROPIETARIOS'!$DX$7:$DX$417,"APOYO EN EL CREDITO, FUE DIFICIL PAGARLO")</f>
        <v>21</v>
      </c>
      <c r="CG31" s="249">
        <f>COUNTIFS('ENCUESTA PROPIETARIOS'!$N$7:$N$417,"&gt;5",'ENCUESTA PROPIETARIOS'!$DX$7:$DX$417,$CA31)+COUNTIFS('ENCUESTA PROPIETARIOS'!$N$7:$N$417,"&gt;5",'ENCUESTA PROPIETARIOS'!$DX$7:$DX$417,"MEJORES CREDITOS")+COUNTIFS('ENCUESTA PROPIETARIOS'!$N$7:$N$417,"&gt;5",'ENCUESTA PROPIETARIOS'!$DX$7:$DX$417,"UNA MEJOR PROPUESTA")+COUNTIFS('ENCUESTA PROPIETARIOS'!$N$7:$N$417,"&gt;5",'ENCUESTA PROPIETARIOS'!$DX$7:$DX$417,"MEJORES CREDITOS/ MAS FLEXIBLES")+COUNTIFS('ENCUESTA PROPIETARIOS'!$N$7:$N$417,"&gt;5",'ENCUESTA PROPIETARIOS'!$DX$7:$DX$417,"MEJORES SOLUCIONES")+COUNTIFS('ENCUESTA PROPIETARIOS'!$N$7:$N$417,"&gt;5",'ENCUESTA PROPIETARIOS'!$DX$7:$DX$417,"MÁS CRÉDITOS")+COUNTIFS('ENCUESTA PROPIETARIOS'!$N$7:$N$417,"&gt;5",'ENCUESTA PROPIETARIOS'!$DX$7:$DX$417,"MEJORES OPORTUNIDADES")+COUNTIFS('ENCUESTA PROPIETARIOS'!$N$7:$N$417,"&gt;5",'ENCUESTA PROPIETARIOS'!$DX$7:$DX$417,"QUE SEPAN LO QUE REALMENTE SE NECESITA")+COUNTIFS('ENCUESTA PROPIETARIOS'!$N$7:$N$417,"&gt;5",'ENCUESTA PROPIETARIOS'!$DX$7:$DX$417,"APOYO EN EL CREDITO, FUE DIFICIL PAGARLO")</f>
        <v>3</v>
      </c>
      <c r="CT31" s="249">
        <f>SUM(CT4:CT30)</f>
        <v>24</v>
      </c>
      <c r="CU31" s="249">
        <f>SUM(CU4:CU30)</f>
        <v>279</v>
      </c>
      <c r="CV31" s="249">
        <f>SUM(CV4:CV30)</f>
        <v>68</v>
      </c>
      <c r="CW31" s="249">
        <f>SUM(CW4:CW30)</f>
        <v>40</v>
      </c>
      <c r="CX31" s="249">
        <f t="shared" si="31"/>
        <v>411</v>
      </c>
    </row>
    <row r="32" spans="1:119" x14ac:dyDescent="0.25">
      <c r="A32" s="11" t="s">
        <v>2430</v>
      </c>
      <c r="B32" s="6">
        <f t="shared" ref="B32:B38" si="127">+E32/E$38</f>
        <v>0.13861386138613863</v>
      </c>
      <c r="C32" s="6">
        <f t="shared" si="123"/>
        <v>0.17142857142857143</v>
      </c>
      <c r="D32" s="6">
        <f t="shared" si="124"/>
        <v>8.8235294117647065E-2</v>
      </c>
      <c r="E32" s="152">
        <f t="shared" ref="E32:E37" si="128">+C11</f>
        <v>28</v>
      </c>
      <c r="F32" s="249">
        <f t="shared" ref="F32:F37" si="129">+C21</f>
        <v>30</v>
      </c>
      <c r="G32" s="249">
        <f>COUNTIF('DATOS 1'!$E$7:$E$40,"&lt;41")-G31</f>
        <v>3</v>
      </c>
      <c r="J32" s="17" t="s">
        <v>1022</v>
      </c>
      <c r="K32" s="250" t="s">
        <v>2435</v>
      </c>
      <c r="L32" s="250" t="s">
        <v>2436</v>
      </c>
      <c r="M32" s="17" t="s">
        <v>714</v>
      </c>
      <c r="N32" s="250" t="s">
        <v>2433</v>
      </c>
      <c r="O32" s="250" t="s">
        <v>2434</v>
      </c>
      <c r="P32" s="17" t="s">
        <v>714</v>
      </c>
      <c r="V32" s="11" t="s">
        <v>1786</v>
      </c>
      <c r="W32" s="6">
        <f t="shared" ref="W32:Y35" si="130">+Z32/Z$35</f>
        <v>0.9138755980861244</v>
      </c>
      <c r="X32" s="6">
        <f t="shared" si="130"/>
        <v>0.73706004140786752</v>
      </c>
      <c r="Y32" s="6">
        <f t="shared" si="130"/>
        <v>0.84375</v>
      </c>
      <c r="Z32" s="249">
        <f>COUNTIFS('DETALLES UNIDADES'!$BA$8:$BA$987,1,'DETALLES UNIDADES'!$AT$8:$AT$987,"&lt;$50000")</f>
        <v>191</v>
      </c>
      <c r="AA32" s="249">
        <f>COUNTIFS('DETALLES UNIDADES'!$BA$8:$BA$987,"&lt;6",'DETALLES UNIDADES'!$AT$8:$AT$987,"&lt;$50000")-Z32</f>
        <v>356</v>
      </c>
      <c r="AB32" s="249">
        <f>COUNTIFS('DETALLES UNIDADES'!$BA$8:$BA$987,"&gt;5",'DETALLES UNIDADES'!$AT$8:$AT$987,"&lt;$50000")</f>
        <v>243</v>
      </c>
      <c r="AT32" s="11">
        <f t="shared" si="75"/>
        <v>20</v>
      </c>
      <c r="AU32" s="9">
        <v>1994</v>
      </c>
      <c r="AV32" s="6">
        <f t="shared" si="68"/>
        <v>1.4545454545454545E-2</v>
      </c>
      <c r="AW32" s="249">
        <f>COUNTIFS('DATOS 2'!$AA$5:$AA$1437,1,'DATOS 2'!$D$5:$D$1437,AU32)</f>
        <v>4</v>
      </c>
      <c r="AY32" s="19" t="s">
        <v>1721</v>
      </c>
      <c r="AZ32" s="6">
        <f t="shared" si="125"/>
        <v>0.08</v>
      </c>
      <c r="BA32" s="6">
        <f t="shared" si="118"/>
        <v>0.13691275167785236</v>
      </c>
      <c r="BB32" s="6">
        <f t="shared" si="119"/>
        <v>0.2354368932038835</v>
      </c>
      <c r="BC32" s="249">
        <f>COUNTIFS('DATOS 2'!$AA$5:$AA$1437,1,'DATOS 2'!$F$5:$F$1437,"&lt;2.01")-BC31-BC30</f>
        <v>22</v>
      </c>
      <c r="BD32" s="249">
        <f>COUNTIFS('DATOS 2'!$AA$5:$AA$1437,"&lt;6",'DATOS 2'!$F$5:$F$1437,"&lt;2.01")-BD31-BD30-BC32-BC31-BC30</f>
        <v>102</v>
      </c>
      <c r="BE32" s="249">
        <f>COUNTIFS('DATOS 2'!$AA$5:$AA$1437,"&gt;5",'DATOS 2'!$F$5:$F$1437,"&lt;2.01")-BE31-BE30</f>
        <v>97</v>
      </c>
      <c r="BH32" s="11" t="s">
        <v>1744</v>
      </c>
      <c r="BI32" s="6">
        <f t="shared" si="126"/>
        <v>0.26181818181818184</v>
      </c>
      <c r="BJ32" s="6">
        <f t="shared" si="120"/>
        <v>0.30499325236167341</v>
      </c>
      <c r="BK32" s="6">
        <f t="shared" si="121"/>
        <v>0.2645631067961165</v>
      </c>
      <c r="BL32" s="249">
        <f>COUNTIFS('DATOS 2'!$AA$5:$AA$1437,1,'DATOS 2'!$AB$5:$AB$1437,"&lt;20001")-BL31-BL30</f>
        <v>72</v>
      </c>
      <c r="BM32" s="249">
        <f>COUNTIFS('DATOS 2'!$AA$5:$AA$1437,"&lt;6",'DATOS 2'!$AB$5:$AB$1437,"&lt;20001")-BM31-BM30-BL32-BL31-BL30</f>
        <v>226</v>
      </c>
      <c r="BN32" s="249">
        <f>COUNTIFS('DATOS 2'!$AA$5:$AA$1437,"&gt;5",'DATOS 2'!$AB$5:$AB$1437,"&lt;20001")-BN31-BN30</f>
        <v>109</v>
      </c>
      <c r="BQ32" s="11" t="s">
        <v>895</v>
      </c>
      <c r="BR32" s="250" t="s">
        <v>2435</v>
      </c>
      <c r="BS32" s="250" t="s">
        <v>2436</v>
      </c>
      <c r="BT32" s="250" t="s">
        <v>714</v>
      </c>
      <c r="BU32" s="250" t="s">
        <v>2433</v>
      </c>
      <c r="BV32" s="250" t="s">
        <v>2434</v>
      </c>
      <c r="BW32" s="250" t="s">
        <v>714</v>
      </c>
      <c r="CA32" s="19" t="s">
        <v>333</v>
      </c>
      <c r="CB32" s="6">
        <f t="shared" si="122"/>
        <v>0.49397590361445781</v>
      </c>
      <c r="CC32" s="6">
        <f t="shared" si="116"/>
        <v>0.3575757575757576</v>
      </c>
      <c r="CD32" s="6">
        <f t="shared" si="117"/>
        <v>4.3478260869565216E-2</v>
      </c>
      <c r="CE32" s="249">
        <f>COUNTIFS('ENCUESTA PROPIETARIOS'!$N$7:$N$417,1,'ENCUESTA PROPIETARIOS'!$DX$7:$DX$417,$CA32)+COUNTIFS('ENCUESTA PROPIETARIOS'!$N$7:$N$417,1,'ENCUESTA PROPIETARIOS'!$DX$7:$DX$417,"MAYOR DIFUSION")</f>
        <v>41</v>
      </c>
      <c r="CF32" s="249">
        <f>COUNTIFS('ENCUESTA PROPIETARIOS'!$N$7:$N$417,"&lt;6",'ENCUESTA PROPIETARIOS'!$DX$7:$DX$417,$CA32)+COUNTIFS('ENCUESTA PROPIETARIOS'!$N$7:$N$417,"&lt;6",'ENCUESTA PROPIETARIOS'!$DX$7:$DX$417,"MAYOR DIFUSION")</f>
        <v>59</v>
      </c>
      <c r="CG32" s="249">
        <f>COUNTIFS('ENCUESTA PROPIETARIOS'!$N$7:$N$417,"&gt;5",'ENCUESTA PROPIETARIOS'!$DX$7:$DX$417,$CA32)+COUNTIFS('ENCUESTA PROPIETARIOS'!$N$7:$N$417,"&gt;5",'ENCUESTA PROPIETARIOS'!$DX$7:$DX$417,"MAYOR DIFUSION")</f>
        <v>1</v>
      </c>
    </row>
    <row r="33" spans="1:85" ht="25.5" x14ac:dyDescent="0.25">
      <c r="A33" s="11" t="s">
        <v>2431</v>
      </c>
      <c r="B33" s="6">
        <f t="shared" si="127"/>
        <v>0.11386138613861387</v>
      </c>
      <c r="C33" s="6">
        <f t="shared" si="123"/>
        <v>0.17714285714285713</v>
      </c>
      <c r="D33" s="6">
        <f t="shared" si="124"/>
        <v>8.8235294117647065E-2</v>
      </c>
      <c r="E33" s="152">
        <f t="shared" si="128"/>
        <v>23</v>
      </c>
      <c r="F33" s="249">
        <f t="shared" si="129"/>
        <v>31</v>
      </c>
      <c r="G33" s="249">
        <f>COUNTIF('DATOS 1'!$E$7:$E$40,"&lt;46")-G32-G31</f>
        <v>3</v>
      </c>
      <c r="J33" s="249">
        <v>0</v>
      </c>
      <c r="K33" s="6">
        <f>+N33/N$45</f>
        <v>0.21717171717171718</v>
      </c>
      <c r="L33" s="6">
        <f t="shared" ref="L33:L45" si="131">+O33/O$45</f>
        <v>3.4682080924855488E-2</v>
      </c>
      <c r="M33" s="6">
        <f t="shared" ref="M33:M45" si="132">+P33/P$45</f>
        <v>0</v>
      </c>
      <c r="N33" s="249">
        <f>COUNTIFS('DATOS 1'!$L$51:$L$427,1,'DATOS 1'!$AQ$51:$AQ$427,$J33)</f>
        <v>43</v>
      </c>
      <c r="O33" s="249">
        <f>COUNTIFS('DATOS 1'!$L$51:$L$427,"&lt;6",'DATOS 1'!$AQ$51:$AQ$427,$J33)-N33</f>
        <v>6</v>
      </c>
      <c r="P33" s="249">
        <f>COUNTIF('DATOS 1'!$AQ$7:$AQ$40,J33)</f>
        <v>0</v>
      </c>
      <c r="V33" s="11" t="s">
        <v>1787</v>
      </c>
      <c r="W33" s="6">
        <f t="shared" si="130"/>
        <v>6.2200956937799042E-2</v>
      </c>
      <c r="X33" s="6">
        <f t="shared" si="130"/>
        <v>0.11180124223602485</v>
      </c>
      <c r="Y33" s="6">
        <f t="shared" si="130"/>
        <v>4.8611111111111112E-2</v>
      </c>
      <c r="Z33" s="249">
        <f>COUNTIFS('DETALLES UNIDADES'!$BA$8:$BA$987,1,'DETALLES UNIDADES'!$AT$8:$AT$987,"&lt;$75001")-Z32</f>
        <v>13</v>
      </c>
      <c r="AA33" s="249">
        <f>COUNTIFS('DETALLES UNIDADES'!$BA$8:$BA$987,"&lt;6",'DETALLES UNIDADES'!$AT$8:$AT$987,"&lt;$75001")-AA32-Z33-Z32</f>
        <v>54</v>
      </c>
      <c r="AB33" s="249">
        <f>COUNTIFS('DETALLES UNIDADES'!$BA$8:$BA$987,"&gt;5",'DETALLES UNIDADES'!$AT$8:$AT$987,"&lt;$75001")-AB32</f>
        <v>14</v>
      </c>
      <c r="AH33" s="11" t="s">
        <v>881</v>
      </c>
      <c r="AI33" s="250" t="s">
        <v>2435</v>
      </c>
      <c r="AJ33" s="250" t="s">
        <v>2436</v>
      </c>
      <c r="AK33" s="17" t="s">
        <v>714</v>
      </c>
      <c r="AL33" s="250" t="s">
        <v>2433</v>
      </c>
      <c r="AM33" s="250" t="s">
        <v>2434</v>
      </c>
      <c r="AN33" s="17" t="s">
        <v>714</v>
      </c>
      <c r="AT33" s="11">
        <f t="shared" si="75"/>
        <v>19</v>
      </c>
      <c r="AU33" s="9">
        <v>1995</v>
      </c>
      <c r="AV33" s="6">
        <f t="shared" si="68"/>
        <v>2.5454545454545455E-2</v>
      </c>
      <c r="AW33" s="249">
        <f>COUNTIFS('DATOS 2'!$AA$5:$AA$1437,1,'DATOS 2'!$D$5:$D$1437,AU33)</f>
        <v>7</v>
      </c>
      <c r="AY33" s="19" t="s">
        <v>1722</v>
      </c>
      <c r="AZ33" s="6">
        <f t="shared" si="125"/>
        <v>7.636363636363637E-2</v>
      </c>
      <c r="BA33" s="6">
        <f t="shared" si="118"/>
        <v>0.12214765100671141</v>
      </c>
      <c r="BB33" s="6">
        <f t="shared" si="119"/>
        <v>0.18203883495145631</v>
      </c>
      <c r="BC33" s="249">
        <f>COUNTIFS('DATOS 2'!$AA$5:$AA$1437,1,'DATOS 2'!$F$5:$F$1437,"&lt;2.21")-BC32-BC31-BC30</f>
        <v>21</v>
      </c>
      <c r="BD33" s="249">
        <f>COUNTIFS('DATOS 2'!$AA$5:$AA$1437,"&lt;6",'DATOS 2'!$F$5:$F$1437,"&lt;2.21")-BD32-BD31-BD30-BC33-BC32-BC31-BC30</f>
        <v>91</v>
      </c>
      <c r="BE33" s="249">
        <f>COUNTIFS('DATOS 2'!$AA$5:$AA$1437,"&gt;5",'DATOS 2'!$F$5:$F$1437,"&lt;2.21")-BE32-BE31-BE30</f>
        <v>75</v>
      </c>
      <c r="BH33" s="11" t="s">
        <v>1745</v>
      </c>
      <c r="BI33" s="6">
        <f t="shared" si="126"/>
        <v>0.24</v>
      </c>
      <c r="BJ33" s="6">
        <f t="shared" si="120"/>
        <v>0.15924426450742241</v>
      </c>
      <c r="BK33" s="6">
        <f t="shared" si="121"/>
        <v>0.14077669902912621</v>
      </c>
      <c r="BL33" s="249">
        <f>COUNTIFS('DATOS 2'!$AA$5:$AA$1437,1,'DATOS 2'!$AB$5:$AB$1437,"&lt;25001")-BL32-BL31-BL30</f>
        <v>66</v>
      </c>
      <c r="BM33" s="249">
        <f>COUNTIFS('DATOS 2'!$AA$5:$AA$1437,"&lt;6",'DATOS 2'!$AB$5:$AB$1437,"&lt;25001")-BM32-BM31-BM30-BL33-BL32-BL31-BL30</f>
        <v>118</v>
      </c>
      <c r="BN33" s="249">
        <f>COUNTIFS('DATOS 2'!$AA$5:$AA$1437,"&gt;5",'DATOS 2'!$AB$5:$AB$1437,"&lt;25001")-BN32-BN31-BN30</f>
        <v>58</v>
      </c>
      <c r="BQ33" s="137" t="s">
        <v>896</v>
      </c>
      <c r="BR33" s="6">
        <f>+BU33/BU$38</f>
        <v>0.39207048458149779</v>
      </c>
      <c r="BS33" s="6">
        <f t="shared" ref="BS33:BS38" si="133">+BV33/BV$38</f>
        <v>0.54629629629629628</v>
      </c>
      <c r="BT33" s="6">
        <f t="shared" ref="BT33:BT38" si="134">+BW33/BW$38</f>
        <v>0.58139534883720934</v>
      </c>
      <c r="BU33" s="249">
        <f>COUNTIFS('ENCUESTA PROPIETARIOS'!$N$7:$N$417,1,'ENCUESTA PROPIETARIOS'!$CI$7:$CI$417,"X")</f>
        <v>89</v>
      </c>
      <c r="BV33" s="249">
        <f>COUNTIFS('ENCUESTA PROPIETARIOS'!$N$7:$N$417,"&lt;6",'ENCUESTA PROPIETARIOS'!$CI$7:$CI$417,"X")-BU33</f>
        <v>118</v>
      </c>
      <c r="BW33" s="249">
        <f>COUNTIFS('ENCUESTA PROPIETARIOS'!$N$7:$N$417,"&gt;5",'ENCUESTA PROPIETARIOS'!$CI$7:$CI$417,"X")</f>
        <v>25</v>
      </c>
      <c r="CA33" s="19" t="s">
        <v>1776</v>
      </c>
      <c r="CB33" s="6">
        <f t="shared" si="122"/>
        <v>0.37349397590361444</v>
      </c>
      <c r="CC33" s="6">
        <f t="shared" si="116"/>
        <v>0.46666666666666667</v>
      </c>
      <c r="CD33" s="6">
        <f t="shared" si="117"/>
        <v>0.65217391304347827</v>
      </c>
      <c r="CE33" s="249">
        <f>COUNTIFS('ENCUESTA PROPIETARIOS'!$N$7:$N$417,1,'ENCUESTA PROPIETARIOS'!$DX$7:$DX$417,$CA33)+COUNTIFS('ENCUESTA PROPIETARIOS'!$N$7:$N$417,1,'ENCUESTA PROPIETARIOS'!$DX$7:$DX$417,"MEJORAR CONDICIONES Y FACILIDADES")+COUNTIFS('ENCUESTA PROPIETARIOS'!$N$7:$N$417,1,'ENCUESTA PROPIETARIOS'!$DX$7:$DX$417,"MAYOR ESTIMULO Y APOYO")+COUNTIFS('ENCUESTA PROPIETARIOS'!$N$7:$N$417,1,'ENCUESTA PROPIETARIOS'!$DX$7:$DX$417,"APOYO EN LOS PAGOS NO SOLO AL PRINCIPIO")+COUNTIFS('ENCUESTA PROPIETARIOS'!$N$7:$N$417,1,'ENCUESTA PROPIETARIOS'!$DX$7:$DX$417,"DAR MEJORES INCENTIVOS")+COUNTIFS('ENCUESTA PROPIETARIOS'!$N$7:$N$417,1,'ENCUESTA PROPIETARIOS'!$DX$7:$DX$417,"TIENEN QUE DAR MAS PORCENTAJE")+COUNTIFS('ENCUESTA PROPIETARIOS'!$N$7:$N$417,1,'ENCUESTA PROPIETARIOS'!$DX$7:$DX$417,"MAS APOYO, MENOS CARO EL CREDITO Y MAS RAPIDO")+COUNTIFS('ENCUESTA PROPIETARIOS'!$N$7:$N$417,1,'ENCUESTA PROPIETARIOS'!$DX$7:$DX$417,"MAS PORCENTAJE")+COUNTIFS('ENCUESTA PROPIETARIOS'!$N$7:$N$417,1,'ENCUESTA PROPIETARIOS'!$DX$7:$DX$417,"SITUARSE EN LA REALIDAD FINANCIERA DEL PAIS")+COUNTIFS('ENCUESTA PROPIETARIOS'!$N$7:$N$417,1,'ENCUESTA PROPIETARIOS'!$DX$7:$DX$417,"MAS APOYO PARA RENOVAR SUS UNIDADES")+COUNTIFS('ENCUESTA PROPIETARIOS'!$N$7:$N$417,1,'ENCUESTA PROPIETARIOS'!$DX$7:$DX$417,"MEJORAR CONDICIONES PARA RECIBIR CHATARRRA")</f>
        <v>31</v>
      </c>
      <c r="CF33" s="249">
        <f>COUNTIFS('ENCUESTA PROPIETARIOS'!$N$7:$N$417,"&lt;6",'ENCUESTA PROPIETARIOS'!$DX$7:$DX$417,$CA33)+COUNTIFS('ENCUESTA PROPIETARIOS'!$N$7:$N$417,"&lt;6",'ENCUESTA PROPIETARIOS'!$DX$7:$DX$417,"MEJORAR CONDICIONES Y FACILIDADES")+COUNTIFS('ENCUESTA PROPIETARIOS'!$N$7:$N$417,"&lt;6",'ENCUESTA PROPIETARIOS'!$DX$7:$DX$417,"MAYOR ESTIMULO Y APOYO")+COUNTIFS('ENCUESTA PROPIETARIOS'!$N$7:$N$417,"&lt;6",'ENCUESTA PROPIETARIOS'!$DX$7:$DX$417,"APOYO EN LOS PAGOS NO SOLO AL PRINCIPIO")+COUNTIFS('ENCUESTA PROPIETARIOS'!$N$7:$N$417,"&lt;6",'ENCUESTA PROPIETARIOS'!$DX$7:$DX$417,"DAR MEJORES INCENTIVOS")+COUNTIFS('ENCUESTA PROPIETARIOS'!$N$7:$N$417,"&lt;6",'ENCUESTA PROPIETARIOS'!$DX$7:$DX$417,"TIENEN QUE DAR MAS PORCENTAJE")+COUNTIFS('ENCUESTA PROPIETARIOS'!$N$7:$N$417,"&lt;6",'ENCUESTA PROPIETARIOS'!$DX$7:$DX$417,"MAS APOYO, MENOS CARO EL CREDITO Y MAS RAPIDO")+COUNTIFS('ENCUESTA PROPIETARIOS'!$N$7:$N$417,"&lt;6",'ENCUESTA PROPIETARIOS'!$DX$7:$DX$417,"MAS PORCENTAJE")+COUNTIFS('ENCUESTA PROPIETARIOS'!$N$7:$N$417,"&lt;6",'ENCUESTA PROPIETARIOS'!$DX$7:$DX$417,"SITUARSE EN LA REALIDAD FINANCIERA DEL PAIS")+COUNTIFS('ENCUESTA PROPIETARIOS'!$N$7:$N$417,"&lt;6",'ENCUESTA PROPIETARIOS'!$DX$7:$DX$417,"MAS APOYO PARA RENOVAR SUS UNIDADES")+COUNTIFS('ENCUESTA PROPIETARIOS'!$N$7:$N$417,"&lt;6",'ENCUESTA PROPIETARIOS'!$DX$7:$DX$417,"MEJORAR CONDICIONES PARA RECIBIR CHATARRRA")</f>
        <v>77</v>
      </c>
      <c r="CG33" s="249">
        <f>COUNTIFS('ENCUESTA PROPIETARIOS'!$N$7:$N$417,"&gt;5",'ENCUESTA PROPIETARIOS'!$DX$7:$DX$417,$CA33)+COUNTIFS('ENCUESTA PROPIETARIOS'!$N$7:$N$417,"&gt;5",'ENCUESTA PROPIETARIOS'!$DX$7:$DX$417,"MEJORAR CONDICIONES Y FACILIDADES")+COUNTIFS('ENCUESTA PROPIETARIOS'!$N$7:$N$417,"&gt;5",'ENCUESTA PROPIETARIOS'!$DX$7:$DX$417,"MAYOR ESTIMULO Y APOYO")+COUNTIFS('ENCUESTA PROPIETARIOS'!$N$7:$N$417,"&gt;5",'ENCUESTA PROPIETARIOS'!$DX$7:$DX$417,"APOYO EN LOS PAGOS NO SOLO AL PRINCIPIO")+COUNTIFS('ENCUESTA PROPIETARIOS'!$N$7:$N$417,"&gt;5",'ENCUESTA PROPIETARIOS'!$DX$7:$DX$417,"DAR MEJORES INCENTIVOS")+COUNTIFS('ENCUESTA PROPIETARIOS'!$N$7:$N$417,"&gt;5",'ENCUESTA PROPIETARIOS'!$DX$7:$DX$417,"TIENEN QUE DAR MAS PORCENTAJE")+COUNTIFS('ENCUESTA PROPIETARIOS'!$N$7:$N$417,"&gt;5",'ENCUESTA PROPIETARIOS'!$DX$7:$DX$417,"MAS APOYO, MENOS CARO EL CREDITO Y MAS RAPIDO")+COUNTIFS('ENCUESTA PROPIETARIOS'!$N$7:$N$417,"&gt;5",'ENCUESTA PROPIETARIOS'!$DX$7:$DX$417,"MAS PORCENTAJE")+COUNTIFS('ENCUESTA PROPIETARIOS'!$N$7:$N$417,"&gt;5",'ENCUESTA PROPIETARIOS'!$DX$7:$DX$417,"SITUARSE EN LA REALIDAD FINANCIERA DEL PAIS")+COUNTIFS('ENCUESTA PROPIETARIOS'!$N$7:$N$417,"&gt;5",'ENCUESTA PROPIETARIOS'!$DX$7:$DX$417,"MAS APOYO PARA RENOVAR SUS UNIDADES")+COUNTIFS('ENCUESTA PROPIETARIOS'!$N$7:$N$417,"&gt;5",'ENCUESTA PROPIETARIOS'!$DX$7:$DX$417,"MEJORAR CONDICIONES PARA RECIBIR CHATARRRA")</f>
        <v>15</v>
      </c>
    </row>
    <row r="34" spans="1:85" ht="25.5" x14ac:dyDescent="0.25">
      <c r="A34" s="11" t="s">
        <v>2425</v>
      </c>
      <c r="B34" s="6">
        <f t="shared" si="127"/>
        <v>0.23267326732673269</v>
      </c>
      <c r="C34" s="6">
        <f t="shared" si="123"/>
        <v>0.13142857142857142</v>
      </c>
      <c r="D34" s="6">
        <f t="shared" si="124"/>
        <v>0.17647058823529413</v>
      </c>
      <c r="E34" s="152">
        <f t="shared" si="128"/>
        <v>47</v>
      </c>
      <c r="F34" s="249">
        <f t="shared" si="129"/>
        <v>23</v>
      </c>
      <c r="G34" s="249">
        <f>COUNTIF('DATOS 1'!$E$7:$E$40,"&lt;51")-G33-G32-G31</f>
        <v>6</v>
      </c>
      <c r="J34" s="249">
        <v>1</v>
      </c>
      <c r="K34" s="6">
        <f t="shared" ref="K34:K45" si="135">+N34/N$45</f>
        <v>0.16666666666666666</v>
      </c>
      <c r="L34" s="6">
        <f t="shared" si="131"/>
        <v>0.17341040462427745</v>
      </c>
      <c r="M34" s="6">
        <f t="shared" si="132"/>
        <v>5.8823529411764705E-2</v>
      </c>
      <c r="N34" s="249">
        <f>COUNTIFS('DATOS 1'!$L$51:$L$427,1,'DATOS 1'!$AQ$51:$AQ$427,$J34)</f>
        <v>33</v>
      </c>
      <c r="O34" s="249">
        <f>COUNTIFS('DATOS 1'!$L$51:$L$427,"&lt;6",'DATOS 1'!$AQ$51:$AQ$427,$J34)-N34</f>
        <v>30</v>
      </c>
      <c r="P34" s="249">
        <f>COUNTIF('DATOS 1'!$AQ$7:$AQ$40,J34)</f>
        <v>2</v>
      </c>
      <c r="V34" s="11" t="s">
        <v>2446</v>
      </c>
      <c r="W34" s="6">
        <f t="shared" si="130"/>
        <v>2.3923444976076555E-2</v>
      </c>
      <c r="X34" s="6">
        <f t="shared" si="130"/>
        <v>0.15113871635610765</v>
      </c>
      <c r="Y34" s="6">
        <f t="shared" si="130"/>
        <v>0.1076388888888889</v>
      </c>
      <c r="Z34" s="249">
        <f>COUNTIFS('DETALLES UNIDADES'!$BA$8:$BA$987,1,'DETALLES UNIDADES'!$AT$8:$AT$987,"&gt;$75000")</f>
        <v>5</v>
      </c>
      <c r="AA34" s="249">
        <f>COUNTIFS('DETALLES UNIDADES'!$BA$8:$BA$987,"&lt;6",'DETALLES UNIDADES'!$AT$8:$AT$987,"&gt;$75000")-Z34</f>
        <v>73</v>
      </c>
      <c r="AB34" s="249">
        <f>COUNTIFS('DETALLES UNIDADES'!$BA$8:$BA$987,"&gt;5",'DETALLES UNIDADES'!$AT$8:$AT$987,"&gt;$75000")</f>
        <v>31</v>
      </c>
      <c r="AH34" s="137" t="s">
        <v>882</v>
      </c>
      <c r="AI34" s="6">
        <f>+AL34/AL$37</f>
        <v>5.5555555555555552E-2</v>
      </c>
      <c r="AJ34" s="6">
        <f t="shared" ref="AJ34:AJ37" si="136">+AM34/AM$37</f>
        <v>0.48780487804878048</v>
      </c>
      <c r="AK34" s="6">
        <f t="shared" ref="AK34:AK37" si="137">+AN34/AN$37</f>
        <v>0.27272727272727271</v>
      </c>
      <c r="AL34" s="249">
        <f>COUNTIFS('DATOS 1'!$L$51:$L$427,1,'DATOS 1'!$BW$51:$BW$427,"X")</f>
        <v>3</v>
      </c>
      <c r="AM34" s="249">
        <f>COUNTIFS('DATOS 1'!$L$51:$L$427,"&lt;6",'DATOS 1'!$BW$51:$BW$427,"X")-AL34</f>
        <v>40</v>
      </c>
      <c r="AN34" s="249">
        <f>COUNTIF('DATOS 1'!$BW$7:$BW$40,"X")</f>
        <v>6</v>
      </c>
      <c r="AO34" s="249">
        <f t="shared" ref="AO34:AO36" si="138">SUM(AL34:AN34)</f>
        <v>49</v>
      </c>
      <c r="AT34" s="11">
        <f t="shared" si="75"/>
        <v>18</v>
      </c>
      <c r="AU34" s="9">
        <v>1996</v>
      </c>
      <c r="AV34" s="6">
        <f t="shared" si="68"/>
        <v>1.4545454545454545E-2</v>
      </c>
      <c r="AW34" s="249">
        <f>COUNTIFS('DATOS 2'!$AA$5:$AA$1437,1,'DATOS 2'!$D$5:$D$1437,AU34)</f>
        <v>4</v>
      </c>
      <c r="AY34" s="19" t="s">
        <v>1723</v>
      </c>
      <c r="AZ34" s="6">
        <f t="shared" si="125"/>
        <v>0.24</v>
      </c>
      <c r="BA34" s="6">
        <f t="shared" si="118"/>
        <v>0.2644295302013423</v>
      </c>
      <c r="BB34" s="6">
        <f t="shared" si="119"/>
        <v>0.21359223300970873</v>
      </c>
      <c r="BC34" s="249">
        <f>COUNTIFS('DATOS 2'!$AA$5:$AA$1437,1,'DATOS 2'!$F$5:$F$1437,"&lt;2.51")-BC33-BC32-BC31-BC30</f>
        <v>66</v>
      </c>
      <c r="BD34" s="249">
        <f>COUNTIFS('DATOS 2'!$AA$5:$AA$1437,"&lt;6",'DATOS 2'!$F$5:$F$1437,"&lt;2.51")-BD33-BD32-BD31-BD30-BC34-BC33-BC32-BC31-BC30</f>
        <v>197</v>
      </c>
      <c r="BE34" s="249">
        <f>COUNTIFS('DATOS 2'!$AA$5:$AA$1437,"&gt;5",'DATOS 2'!$F$5:$F$1437,"&lt;2.51")-BE33-BE32-BE31-BE30</f>
        <v>88</v>
      </c>
      <c r="BH34" s="11" t="s">
        <v>1746</v>
      </c>
      <c r="BI34" s="6">
        <f t="shared" si="126"/>
        <v>0.15272727272727274</v>
      </c>
      <c r="BJ34" s="6">
        <f t="shared" si="120"/>
        <v>7.4224021592442652E-2</v>
      </c>
      <c r="BK34" s="6">
        <f t="shared" si="121"/>
        <v>3.3980582524271843E-2</v>
      </c>
      <c r="BL34" s="249">
        <f>COUNTIFS('DATOS 2'!$AA$5:$AA$1437,1,'DATOS 2'!$AB$5:$AB$1437,"&lt;30001")-BL33-BL32-BL31-BL30</f>
        <v>42</v>
      </c>
      <c r="BM34" s="249">
        <f>COUNTIFS('DATOS 2'!$AA$5:$AA$1437,"&lt;6",'DATOS 2'!$AB$5:$AB$1437,"&lt;30001")-BM33-BM32-BM31-BM30-BL34-BL33-BL32-BL31-BL30</f>
        <v>55</v>
      </c>
      <c r="BN34" s="249">
        <f>COUNTIFS('DATOS 2'!$AA$5:$AA$1437,"&gt;5",'DATOS 2'!$AB$5:$AB$1437,"&lt;30001")-BN33-BN32-BN31-BN30</f>
        <v>14</v>
      </c>
      <c r="BQ34" s="137" t="s">
        <v>897</v>
      </c>
      <c r="BR34" s="6">
        <f t="shared" ref="BR34:BR38" si="139">+BU34/BU$38</f>
        <v>0.34801762114537443</v>
      </c>
      <c r="BS34" s="6">
        <f t="shared" si="133"/>
        <v>0.16666666666666666</v>
      </c>
      <c r="BT34" s="6">
        <f t="shared" si="134"/>
        <v>9.3023255813953487E-2</v>
      </c>
      <c r="BU34" s="249">
        <f>COUNTIFS('ENCUESTA PROPIETARIOS'!$N$7:$N$417,1,'ENCUESTA PROPIETARIOS'!$CJ$7:$CJ$417,"X")</f>
        <v>79</v>
      </c>
      <c r="BV34" s="249">
        <f>COUNTIFS('ENCUESTA PROPIETARIOS'!$N$7:$N$417,"&lt;6",'ENCUESTA PROPIETARIOS'!$CJ$7:$CJ$417,"X")-BU34</f>
        <v>36</v>
      </c>
      <c r="BW34" s="249">
        <f>COUNTIFS('ENCUESTA PROPIETARIOS'!$N$7:$N$417,"&gt;5",'ENCUESTA PROPIETARIOS'!$CJ$7:$CJ$417,"X")</f>
        <v>4</v>
      </c>
      <c r="CA34" s="11" t="s">
        <v>715</v>
      </c>
      <c r="CB34" s="6">
        <f t="shared" si="122"/>
        <v>1</v>
      </c>
      <c r="CC34" s="6">
        <f t="shared" si="116"/>
        <v>1</v>
      </c>
      <c r="CD34" s="6">
        <f t="shared" si="117"/>
        <v>1</v>
      </c>
      <c r="CE34" s="249">
        <f>SUM(CE29:CE33)</f>
        <v>83</v>
      </c>
      <c r="CF34" s="249">
        <f>SUM(CF29:CF33)</f>
        <v>165</v>
      </c>
      <c r="CG34" s="249">
        <f>SUM(CG29:CG33)</f>
        <v>23</v>
      </c>
    </row>
    <row r="35" spans="1:85" ht="25.5" x14ac:dyDescent="0.25">
      <c r="A35" s="11" t="s">
        <v>2426</v>
      </c>
      <c r="B35" s="6">
        <f t="shared" si="127"/>
        <v>0.15841584158415842</v>
      </c>
      <c r="C35" s="6">
        <f t="shared" si="123"/>
        <v>0.21714285714285714</v>
      </c>
      <c r="D35" s="6">
        <f t="shared" si="124"/>
        <v>0.23529411764705882</v>
      </c>
      <c r="E35" s="152">
        <f t="shared" si="128"/>
        <v>32</v>
      </c>
      <c r="F35" s="249">
        <f t="shared" si="129"/>
        <v>38</v>
      </c>
      <c r="G35" s="249">
        <f>COUNTIF('DATOS 1'!$E$7:$E$40,"&lt;56")-G34-G33-G32-G31</f>
        <v>8</v>
      </c>
      <c r="J35" s="249">
        <v>2</v>
      </c>
      <c r="K35" s="6">
        <f t="shared" si="135"/>
        <v>0.10606060606060606</v>
      </c>
      <c r="L35" s="6">
        <f t="shared" si="131"/>
        <v>9.8265895953757232E-2</v>
      </c>
      <c r="M35" s="6">
        <f t="shared" si="132"/>
        <v>8.8235294117647065E-2</v>
      </c>
      <c r="N35" s="249">
        <f>COUNTIFS('DATOS 1'!$L$51:$L$427,1,'DATOS 1'!$AQ$51:$AQ$427,$J35)</f>
        <v>21</v>
      </c>
      <c r="O35" s="249">
        <f>COUNTIFS('DATOS 1'!$L$51:$L$427,"&lt;6",'DATOS 1'!$AQ$51:$AQ$427,$J35)-N35</f>
        <v>17</v>
      </c>
      <c r="P35" s="249">
        <f>COUNTIF('DATOS 1'!$AQ$7:$AQ$40,J35)</f>
        <v>3</v>
      </c>
      <c r="V35" s="11" t="s">
        <v>715</v>
      </c>
      <c r="W35" s="6">
        <f t="shared" si="130"/>
        <v>1</v>
      </c>
      <c r="X35" s="6">
        <f t="shared" si="130"/>
        <v>1</v>
      </c>
      <c r="Y35" s="6">
        <f t="shared" si="130"/>
        <v>1</v>
      </c>
      <c r="Z35" s="249">
        <f>SUM(Z32:Z34)</f>
        <v>209</v>
      </c>
      <c r="AA35" s="249">
        <f t="shared" ref="AA35:AB35" si="140">SUM(AA32:AA34)</f>
        <v>483</v>
      </c>
      <c r="AB35" s="249">
        <f t="shared" si="140"/>
        <v>288</v>
      </c>
      <c r="AH35" s="137" t="s">
        <v>883</v>
      </c>
      <c r="AI35" s="6">
        <f t="shared" ref="AI35:AI37" si="141">+AL35/AL$37</f>
        <v>5.5555555555555552E-2</v>
      </c>
      <c r="AJ35" s="6">
        <f t="shared" si="136"/>
        <v>9.7560975609756101E-2</v>
      </c>
      <c r="AK35" s="6">
        <f t="shared" si="137"/>
        <v>0.18181818181818182</v>
      </c>
      <c r="AL35" s="249">
        <f>COUNTIFS('DATOS 1'!$L$51:$L$427,1,'DATOS 1'!$BX$51:$BX$427,"X")</f>
        <v>3</v>
      </c>
      <c r="AM35" s="249">
        <f>COUNTIFS('DATOS 1'!$L$51:$L$427,"&lt;6",'DATOS 1'!$BX$51:$BX$427,"X")-AL35</f>
        <v>8</v>
      </c>
      <c r="AN35" s="249">
        <f>COUNTIF('DATOS 1'!$BX$7:$BX$40,"X")</f>
        <v>4</v>
      </c>
      <c r="AO35" s="249">
        <f t="shared" si="138"/>
        <v>15</v>
      </c>
      <c r="AT35" s="11">
        <f t="shared" si="75"/>
        <v>17</v>
      </c>
      <c r="AU35" s="9">
        <v>1997</v>
      </c>
      <c r="AV35" s="6">
        <f t="shared" si="68"/>
        <v>0.04</v>
      </c>
      <c r="AW35" s="249">
        <f>COUNTIFS('DATOS 2'!$AA$5:$AA$1437,1,'DATOS 2'!$D$5:$D$1437,AU35)</f>
        <v>11</v>
      </c>
      <c r="AY35" s="19" t="s">
        <v>1724</v>
      </c>
      <c r="AZ35" s="6">
        <f t="shared" si="125"/>
        <v>0.13818181818181818</v>
      </c>
      <c r="BA35" s="6">
        <f t="shared" si="118"/>
        <v>0.1087248322147651</v>
      </c>
      <c r="BB35" s="6">
        <f t="shared" si="119"/>
        <v>9.9514563106796114E-2</v>
      </c>
      <c r="BC35" s="249">
        <f>COUNTIFS('DATOS 2'!$AA$5:$AA$1437,1,'DATOS 2'!$F$5:$F$1437,"&lt;3.01")-BC34-BC33-BC32-BC31-BC30</f>
        <v>38</v>
      </c>
      <c r="BD35" s="249">
        <f>COUNTIFS('DATOS 2'!$AA$5:$AA$1437,"&lt;6",'DATOS 2'!$F$5:$F$1437,"&lt;3.01")-BD34-BD33-BD32-BD31-BD30-BC35-BC34-BC33-BC32-BC31-BC30</f>
        <v>81</v>
      </c>
      <c r="BE35" s="249">
        <f>COUNTIFS('DATOS 2'!$AA$5:$AA$1437,"&gt;5",'DATOS 2'!$F$5:$F$1437,"&lt;3.01")-BE34-BE33-BE32-BE31-BE30</f>
        <v>41</v>
      </c>
      <c r="BH35" s="11" t="s">
        <v>1747</v>
      </c>
      <c r="BI35" s="6">
        <f t="shared" si="126"/>
        <v>2.9090909090909091E-2</v>
      </c>
      <c r="BJ35" s="6">
        <f t="shared" si="120"/>
        <v>2.1592442645074223E-2</v>
      </c>
      <c r="BK35" s="6">
        <f t="shared" si="121"/>
        <v>4.8543689320388349E-2</v>
      </c>
      <c r="BL35" s="249">
        <f>COUNTIFS('DATOS 2'!$AA$5:$AA$1437,1,'DATOS 2'!$AB$5:$AB$1437,"&lt;40001")-BL34-BL33-BL32-BL31-BL30</f>
        <v>8</v>
      </c>
      <c r="BM35" s="249">
        <f>COUNTIFS('DATOS 2'!$AA$5:$AA$1437,"&lt;6",'DATOS 2'!$AB$5:$AB$1437,"&lt;40001")-BM34-BM33-BM32-BM31-BM30-BL35-BL34-BL33-BL32-BL31-BL30</f>
        <v>16</v>
      </c>
      <c r="BN35" s="249">
        <f>COUNTIFS('DATOS 2'!$AA$5:$AA$1437,"&gt;5",'DATOS 2'!$AB$5:$AB$1437,"&lt;40001")-BN34-BN33-BN32-BN31-BN30</f>
        <v>20</v>
      </c>
      <c r="BQ35" s="137" t="s">
        <v>898</v>
      </c>
      <c r="BR35" s="6">
        <f t="shared" si="139"/>
        <v>0.14977973568281938</v>
      </c>
      <c r="BS35" s="6">
        <f t="shared" si="133"/>
        <v>0.14351851851851852</v>
      </c>
      <c r="BT35" s="6">
        <f t="shared" si="134"/>
        <v>0.11627906976744186</v>
      </c>
      <c r="BU35" s="249">
        <f>COUNTIFS('ENCUESTA PROPIETARIOS'!$N$7:$N$417,1,'ENCUESTA PROPIETARIOS'!$CK$7:$CK$417,"X")</f>
        <v>34</v>
      </c>
      <c r="BV35" s="249">
        <f>COUNTIFS('ENCUESTA PROPIETARIOS'!$N$7:$N$417,"&lt;6",'ENCUESTA PROPIETARIOS'!$CK$7:$CK$417,"X")-BU35</f>
        <v>31</v>
      </c>
      <c r="BW35" s="249">
        <f>COUNTIFS('ENCUESTA PROPIETARIOS'!$N$7:$N$417,"&gt;5",'ENCUESTA PROPIETARIOS'!$CK$7:$CK$417,"X")</f>
        <v>5</v>
      </c>
    </row>
    <row r="36" spans="1:85" x14ac:dyDescent="0.25">
      <c r="A36" s="11" t="s">
        <v>2427</v>
      </c>
      <c r="B36" s="6">
        <f t="shared" si="127"/>
        <v>0.10891089108910891</v>
      </c>
      <c r="C36" s="6">
        <f t="shared" si="123"/>
        <v>0.08</v>
      </c>
      <c r="D36" s="6">
        <f t="shared" si="124"/>
        <v>0.17647058823529413</v>
      </c>
      <c r="E36" s="152">
        <f t="shared" si="128"/>
        <v>22</v>
      </c>
      <c r="F36" s="249">
        <f t="shared" si="129"/>
        <v>14</v>
      </c>
      <c r="G36" s="249">
        <f>COUNTIF('DATOS 1'!$E$7:$E$40,"&lt;61")-G35-G34-G33-G32-G31</f>
        <v>6</v>
      </c>
      <c r="J36" s="249">
        <v>3</v>
      </c>
      <c r="K36" s="6">
        <f t="shared" si="135"/>
        <v>0.13636363636363635</v>
      </c>
      <c r="L36" s="6">
        <f t="shared" si="131"/>
        <v>0.13872832369942195</v>
      </c>
      <c r="M36" s="6">
        <f t="shared" si="132"/>
        <v>0.17647058823529413</v>
      </c>
      <c r="N36" s="249">
        <f>COUNTIFS('DATOS 1'!$L$51:$L$427,1,'DATOS 1'!$AQ$51:$AQ$427,$J36)</f>
        <v>27</v>
      </c>
      <c r="O36" s="249">
        <f>COUNTIFS('DATOS 1'!$L$51:$L$427,"&lt;6",'DATOS 1'!$AQ$51:$AQ$427,$J36)-N36</f>
        <v>24</v>
      </c>
      <c r="P36" s="249">
        <f>COUNTIF('DATOS 1'!$AQ$7:$AQ$40,J36)</f>
        <v>6</v>
      </c>
      <c r="Z36" s="249">
        <f>+Z35+AA35+AB35</f>
        <v>980</v>
      </c>
      <c r="AH36" s="137" t="s">
        <v>892</v>
      </c>
      <c r="AI36" s="6">
        <f t="shared" si="141"/>
        <v>0.88888888888888884</v>
      </c>
      <c r="AJ36" s="6">
        <f t="shared" si="136"/>
        <v>0.41463414634146339</v>
      </c>
      <c r="AK36" s="6">
        <f t="shared" si="137"/>
        <v>0.54545454545454541</v>
      </c>
      <c r="AL36" s="249">
        <f>COUNTIFS('DATOS 1'!$L$51:$L$427,1,'DATOS 1'!$CF$51:$CF$427,"NINGUNO")</f>
        <v>48</v>
      </c>
      <c r="AM36" s="249">
        <f>COUNTIFS('DATOS 1'!$L$51:$L$427,"&lt;6",'DATOS 1'!$CF$51:$CF$427,"NINGUNO")-AL36</f>
        <v>34</v>
      </c>
      <c r="AN36" s="249">
        <f>COUNTIF('DATOS 1'!$CF$7:$CF$40,"NINGUNO")</f>
        <v>12</v>
      </c>
      <c r="AO36" s="249">
        <f t="shared" si="138"/>
        <v>94</v>
      </c>
      <c r="AT36" s="11">
        <f t="shared" si="75"/>
        <v>16</v>
      </c>
      <c r="AU36" s="9">
        <v>1998</v>
      </c>
      <c r="AV36" s="6">
        <f t="shared" si="68"/>
        <v>6.1818181818181821E-2</v>
      </c>
      <c r="AW36" s="249">
        <f>COUNTIFS('DATOS 2'!$AA$5:$AA$1437,1,'DATOS 2'!$D$5:$D$1437,AU36)</f>
        <v>17</v>
      </c>
      <c r="AY36" s="19" t="s">
        <v>1725</v>
      </c>
      <c r="AZ36" s="6">
        <f t="shared" si="125"/>
        <v>0.20363636363636364</v>
      </c>
      <c r="BA36" s="6">
        <f t="shared" si="118"/>
        <v>0.11409395973154363</v>
      </c>
      <c r="BB36" s="6">
        <f t="shared" si="119"/>
        <v>3.1553398058252427E-2</v>
      </c>
      <c r="BC36" s="249">
        <f>COUNTIFS('DATOS 2'!$AA$5:$AA$1437,1,'DATOS 2'!$F$5:$F$1437,"&lt;4.01")-BC35-BC34-BC33-BC32-BC31-BC30</f>
        <v>56</v>
      </c>
      <c r="BD36" s="249">
        <f>COUNTIFS('DATOS 2'!$AA$5:$AA$1437,"&lt;6",'DATOS 2'!$F$5:$F$1437,"&lt;4.01")-BD35-BD34-BD33-BD32-BD31-BD30-BC36-BC35-BC34-BC33-BC32-BC31-BC30</f>
        <v>85</v>
      </c>
      <c r="BE36" s="249">
        <f>COUNTIFS('DATOS 2'!$AA$5:$AA$1437,"&gt;5",'DATOS 2'!$F$5:$F$1437,"&lt;4.01")-BE35-BE34-BE33-BE32-BE31-BE30</f>
        <v>13</v>
      </c>
      <c r="BH36" s="11" t="s">
        <v>1853</v>
      </c>
      <c r="BI36" s="6">
        <f t="shared" si="126"/>
        <v>3.6363636363636364E-3</v>
      </c>
      <c r="BJ36" s="6">
        <f t="shared" si="120"/>
        <v>1.6194331983805668E-2</v>
      </c>
      <c r="BK36" s="6">
        <f t="shared" si="121"/>
        <v>9.2233009708737865E-2</v>
      </c>
      <c r="BL36" s="249">
        <f>COUNTIFS('DATOS 2'!$AA$5:$AA$1437,1,'DATOS 2'!$AB$5:$AB$1437,"&gt;40000")</f>
        <v>1</v>
      </c>
      <c r="BM36" s="249">
        <f>COUNTIFS('DATOS 2'!$AA$5:$AA$1437,"&lt;6",'DATOS 2'!$AB$5:$AB$1437,"&gt;40000")-BL36</f>
        <v>12</v>
      </c>
      <c r="BN36" s="249">
        <f>COUNTIFS('DATOS 2'!$AA$5:$AA$1437,"&gt;5",'DATOS 2'!$AB$5:$AB$1437,"&gt;40000")</f>
        <v>38</v>
      </c>
      <c r="BQ36" s="137" t="s">
        <v>899</v>
      </c>
      <c r="BR36" s="6">
        <f t="shared" si="139"/>
        <v>3.5242290748898682E-2</v>
      </c>
      <c r="BS36" s="6">
        <f t="shared" si="133"/>
        <v>9.7222222222222224E-2</v>
      </c>
      <c r="BT36" s="6">
        <f t="shared" si="134"/>
        <v>0.13953488372093023</v>
      </c>
      <c r="BU36" s="249">
        <f>COUNTIFS('ENCUESTA PROPIETARIOS'!$N$7:$N$417,1,'ENCUESTA PROPIETARIOS'!$CM$7:$CM$417,"X")</f>
        <v>8</v>
      </c>
      <c r="BV36" s="249">
        <f>COUNTIFS('ENCUESTA PROPIETARIOS'!$N$7:$N$417,"&lt;6",'ENCUESTA PROPIETARIOS'!$CM$7:$CM$417,"X")-BU36</f>
        <v>21</v>
      </c>
      <c r="BW36" s="249">
        <f>COUNTIFS('ENCUESTA PROPIETARIOS'!$N$7:$N$417,"&gt;5",'ENCUESTA PROPIETARIOS'!$CM$7:$CM$417,"X")</f>
        <v>6</v>
      </c>
    </row>
    <row r="37" spans="1:85" x14ac:dyDescent="0.25">
      <c r="A37" s="11" t="s">
        <v>2428</v>
      </c>
      <c r="B37" s="6">
        <f t="shared" si="127"/>
        <v>0.10891089108910891</v>
      </c>
      <c r="C37" s="6">
        <f t="shared" si="123"/>
        <v>9.7142857142857142E-2</v>
      </c>
      <c r="D37" s="6">
        <f t="shared" si="124"/>
        <v>0.14705882352941177</v>
      </c>
      <c r="E37" s="152">
        <f t="shared" si="128"/>
        <v>22</v>
      </c>
      <c r="F37" s="249">
        <f t="shared" si="129"/>
        <v>17</v>
      </c>
      <c r="G37" s="249">
        <f>COUNTIF('DATOS 1'!$E$7:$E$40,"&gt;60")</f>
        <v>5</v>
      </c>
      <c r="J37" s="249">
        <v>4</v>
      </c>
      <c r="K37" s="6">
        <f t="shared" si="135"/>
        <v>7.575757575757576E-2</v>
      </c>
      <c r="L37" s="6">
        <f t="shared" si="131"/>
        <v>0.10982658959537572</v>
      </c>
      <c r="M37" s="6">
        <f t="shared" si="132"/>
        <v>8.8235294117647065E-2</v>
      </c>
      <c r="N37" s="249">
        <f>COUNTIFS('DATOS 1'!$L$51:$L$427,1,'DATOS 1'!$AQ$51:$AQ$427,$J37)</f>
        <v>15</v>
      </c>
      <c r="O37" s="249">
        <f>COUNTIFS('DATOS 1'!$L$51:$L$427,"&lt;6",'DATOS 1'!$AQ$51:$AQ$427,$J37)-N37</f>
        <v>19</v>
      </c>
      <c r="P37" s="249">
        <f>COUNTIF('DATOS 1'!$AQ$7:$AQ$40,J37)</f>
        <v>3</v>
      </c>
      <c r="AH37" s="11" t="s">
        <v>715</v>
      </c>
      <c r="AI37" s="6">
        <f t="shared" si="141"/>
        <v>1</v>
      </c>
      <c r="AJ37" s="6">
        <f t="shared" si="136"/>
        <v>1</v>
      </c>
      <c r="AK37" s="6">
        <f t="shared" si="137"/>
        <v>1</v>
      </c>
      <c r="AL37" s="249">
        <f>SUM(AL34:AL36)</f>
        <v>54</v>
      </c>
      <c r="AM37" s="249">
        <f t="shared" ref="AM37:AN37" si="142">SUM(AM34:AM36)</f>
        <v>82</v>
      </c>
      <c r="AN37" s="249">
        <f t="shared" si="142"/>
        <v>22</v>
      </c>
      <c r="AO37" s="249">
        <f>SUM(AL37:AN37)</f>
        <v>158</v>
      </c>
      <c r="AT37" s="11">
        <f t="shared" si="75"/>
        <v>15</v>
      </c>
      <c r="AU37" s="9">
        <v>1999</v>
      </c>
      <c r="AV37" s="6">
        <f t="shared" si="68"/>
        <v>3.272727272727273E-2</v>
      </c>
      <c r="AW37" s="249">
        <f>COUNTIFS('DATOS 2'!$AA$5:$AA$1437,1,'DATOS 2'!$D$5:$D$1437,AU37)</f>
        <v>9</v>
      </c>
      <c r="AY37" s="19" t="s">
        <v>1726</v>
      </c>
      <c r="AZ37" s="6">
        <f t="shared" si="125"/>
        <v>6.1818181818181821E-2</v>
      </c>
      <c r="BA37" s="6">
        <f t="shared" si="118"/>
        <v>4.429530201342282E-2</v>
      </c>
      <c r="BB37" s="6">
        <f t="shared" si="119"/>
        <v>3.640776699029126E-2</v>
      </c>
      <c r="BC37" s="249">
        <f>COUNTIFS('DATOS 2'!$AA$5:$AA$1437,1,'DATOS 2'!$F$5:$F$1437,"&lt;5.01")-BC36-BC35-BC34-BC33-BC32-BC31-BC30</f>
        <v>17</v>
      </c>
      <c r="BD37" s="249">
        <f>COUNTIFS('DATOS 2'!$AA$5:$AA$1437,"&lt;6",'DATOS 2'!$F$5:$F$1437,"&lt;5.01")-BD36-BD35-BD34-BD33-BD32-BD31-BD30-BC37-BC36-BC35-BC34-BC33-BC32-BC31-BC30</f>
        <v>33</v>
      </c>
      <c r="BE37" s="249">
        <f>COUNTIFS('DATOS 2'!$AA$5:$AA$1437,"&gt;5",'DATOS 2'!$F$5:$F$1437,"&lt;5.01")-BE36-BE35-BE34-BE33-BE32-BE31-BE30</f>
        <v>15</v>
      </c>
      <c r="BH37" s="11" t="s">
        <v>715</v>
      </c>
      <c r="BI37" s="6">
        <f t="shared" si="126"/>
        <v>1</v>
      </c>
      <c r="BJ37" s="6">
        <f t="shared" si="120"/>
        <v>1</v>
      </c>
      <c r="BK37" s="6">
        <f t="shared" si="121"/>
        <v>1</v>
      </c>
      <c r="BL37" s="249">
        <f>SUM(BL30:BL36)</f>
        <v>275</v>
      </c>
      <c r="BM37" s="249">
        <f>SUM(BM30:BM36)</f>
        <v>741</v>
      </c>
      <c r="BN37" s="249">
        <f>SUM(BN30:BN36)</f>
        <v>412</v>
      </c>
      <c r="BQ37" s="11" t="s">
        <v>892</v>
      </c>
      <c r="BR37" s="6">
        <f t="shared" si="139"/>
        <v>7.4889867841409691E-2</v>
      </c>
      <c r="BS37" s="6">
        <f t="shared" si="133"/>
        <v>4.6296296296296294E-2</v>
      </c>
      <c r="BT37" s="6">
        <f t="shared" si="134"/>
        <v>6.9767441860465115E-2</v>
      </c>
      <c r="BU37" s="249">
        <f>COUNTIFS('ENCUESTA PROPIETARIOS'!$N$7:$N$417,1,'ENCUESTA PROPIETARIOS'!$CL$7:$CL$417,"X")</f>
        <v>17</v>
      </c>
      <c r="BV37" s="249">
        <f>COUNTIFS('ENCUESTA PROPIETARIOS'!$N$7:$N$417,"&lt;6",'ENCUESTA PROPIETARIOS'!$CL$7:$CL$417,"X")-BU37</f>
        <v>10</v>
      </c>
      <c r="BW37" s="249">
        <f>COUNTIFS('ENCUESTA PROPIETARIOS'!$N$7:$N$417,"&gt;5",'ENCUESTA PROPIETARIOS'!$CL$7:$CL$417,"X")</f>
        <v>3</v>
      </c>
    </row>
    <row r="38" spans="1:85" x14ac:dyDescent="0.25">
      <c r="A38" s="11" t="s">
        <v>715</v>
      </c>
      <c r="B38" s="6">
        <f t="shared" si="127"/>
        <v>1</v>
      </c>
      <c r="C38" s="6">
        <f t="shared" si="123"/>
        <v>1</v>
      </c>
      <c r="D38" s="6">
        <f t="shared" si="124"/>
        <v>1</v>
      </c>
      <c r="E38" s="249">
        <f t="shared" ref="E38:F38" si="143">SUM(E31:E37)</f>
        <v>202</v>
      </c>
      <c r="F38" s="249">
        <f t="shared" si="143"/>
        <v>175</v>
      </c>
      <c r="G38" s="249">
        <f>SUM(G31:G37)</f>
        <v>34</v>
      </c>
      <c r="J38" s="249">
        <v>5</v>
      </c>
      <c r="K38" s="6">
        <f t="shared" si="135"/>
        <v>6.5656565656565663E-2</v>
      </c>
      <c r="L38" s="6">
        <f t="shared" si="131"/>
        <v>0.12716763005780346</v>
      </c>
      <c r="M38" s="6">
        <f t="shared" si="132"/>
        <v>0.11764705882352941</v>
      </c>
      <c r="N38" s="249">
        <f>COUNTIFS('DATOS 1'!$L$51:$L$427,1,'DATOS 1'!$AQ$51:$AQ$427,$J38)</f>
        <v>13</v>
      </c>
      <c r="O38" s="249">
        <f>COUNTIFS('DATOS 1'!$L$51:$L$427,"&lt;6",'DATOS 1'!$AQ$51:$AQ$427,$J38)-N38</f>
        <v>22</v>
      </c>
      <c r="P38" s="249">
        <f>COUNTIF('DATOS 1'!$AQ$7:$AQ$40,J38)</f>
        <v>4</v>
      </c>
      <c r="AL38" s="249">
        <f>+AL37+AM37+AN37</f>
        <v>158</v>
      </c>
      <c r="AT38" s="11">
        <f t="shared" si="75"/>
        <v>14</v>
      </c>
      <c r="AU38" s="9">
        <v>2000</v>
      </c>
      <c r="AV38" s="6">
        <f t="shared" si="68"/>
        <v>5.8181818181818182E-2</v>
      </c>
      <c r="AW38" s="249">
        <f>COUNTIFS('DATOS 2'!$AA$5:$AA$1437,1,'DATOS 2'!$D$5:$D$1437,AU38)</f>
        <v>16</v>
      </c>
      <c r="AY38" s="19" t="s">
        <v>1727</v>
      </c>
      <c r="AZ38" s="6">
        <f t="shared" si="125"/>
        <v>1.090909090909091E-2</v>
      </c>
      <c r="BA38" s="6">
        <f t="shared" si="118"/>
        <v>1.3422818791946308E-2</v>
      </c>
      <c r="BB38" s="6">
        <f t="shared" si="119"/>
        <v>2.4271844660194174E-2</v>
      </c>
      <c r="BC38" s="249">
        <f>COUNTIFS('DATOS 2'!$AA$5:$AA$1437,1,'DATOS 2'!$F$5:$F$1437,"&gt;5.00")</f>
        <v>3</v>
      </c>
      <c r="BD38" s="249">
        <f>COUNTIFS('DATOS 2'!$AA$5:$AA$1437,"&lt;6",'DATOS 2'!$F$5:$F$1437,"&gt;5.00")-BC38</f>
        <v>10</v>
      </c>
      <c r="BE38" s="249">
        <f>COUNTIFS('DATOS 2'!$AA$5:$AA$1437,"&gt;5",'DATOS 2'!$F$5:$F$1437,"&gt;5.00")</f>
        <v>10</v>
      </c>
      <c r="BH38" s="11"/>
      <c r="BQ38" s="11" t="s">
        <v>715</v>
      </c>
      <c r="BR38" s="6">
        <f t="shared" si="139"/>
        <v>1</v>
      </c>
      <c r="BS38" s="6">
        <f t="shared" si="133"/>
        <v>1</v>
      </c>
      <c r="BT38" s="6">
        <f t="shared" si="134"/>
        <v>1</v>
      </c>
      <c r="BU38" s="249">
        <f>SUM(BU33:BU37)</f>
        <v>227</v>
      </c>
      <c r="BV38" s="249">
        <f>SUM(BV33:BV37)</f>
        <v>216</v>
      </c>
      <c r="BW38" s="249">
        <f>SUM(BW33:BW37)</f>
        <v>43</v>
      </c>
    </row>
    <row r="39" spans="1:85" x14ac:dyDescent="0.25">
      <c r="J39" s="249">
        <v>6</v>
      </c>
      <c r="K39" s="6">
        <f t="shared" si="135"/>
        <v>3.0303030303030304E-2</v>
      </c>
      <c r="L39" s="6">
        <f t="shared" si="131"/>
        <v>9.8265895953757232E-2</v>
      </c>
      <c r="M39" s="6">
        <f t="shared" si="132"/>
        <v>0.26470588235294118</v>
      </c>
      <c r="N39" s="249">
        <f>COUNTIFS('DATOS 1'!$L$51:$L$427,1,'DATOS 1'!$AQ$51:$AQ$427,$J39)</f>
        <v>6</v>
      </c>
      <c r="O39" s="249">
        <f>COUNTIFS('DATOS 1'!$L$51:$L$427,"&lt;6",'DATOS 1'!$AQ$51:$AQ$427,$J39)-N39</f>
        <v>17</v>
      </c>
      <c r="P39" s="249">
        <f>COUNTIF('DATOS 1'!$AQ$7:$AQ$40,J39)</f>
        <v>9</v>
      </c>
      <c r="V39" s="11" t="s">
        <v>1795</v>
      </c>
      <c r="W39" s="250" t="s">
        <v>2435</v>
      </c>
      <c r="X39" s="250" t="s">
        <v>2436</v>
      </c>
      <c r="Y39" s="17" t="s">
        <v>714</v>
      </c>
      <c r="Z39" s="250" t="s">
        <v>2433</v>
      </c>
      <c r="AA39" s="250" t="s">
        <v>2434</v>
      </c>
      <c r="AB39" s="17" t="s">
        <v>714</v>
      </c>
      <c r="AC39" s="250"/>
      <c r="AT39" s="11">
        <f t="shared" si="75"/>
        <v>13</v>
      </c>
      <c r="AU39" s="9">
        <v>2001</v>
      </c>
      <c r="AV39" s="6">
        <f t="shared" si="68"/>
        <v>9.8181818181818176E-2</v>
      </c>
      <c r="AW39" s="249">
        <f>COUNTIFS('DATOS 2'!$AA$5:$AA$1437,1,'DATOS 2'!$D$5:$D$1437,AU39)</f>
        <v>27</v>
      </c>
      <c r="AY39" s="19" t="s">
        <v>715</v>
      </c>
      <c r="AZ39" s="6">
        <f t="shared" si="125"/>
        <v>1</v>
      </c>
      <c r="BA39" s="6">
        <f t="shared" si="118"/>
        <v>1</v>
      </c>
      <c r="BB39" s="6">
        <f t="shared" si="119"/>
        <v>1</v>
      </c>
      <c r="BC39" s="249">
        <f>SUM(BC30:BC38)</f>
        <v>275</v>
      </c>
      <c r="BD39" s="249">
        <f>SUM(BD30:BD38)</f>
        <v>745</v>
      </c>
      <c r="BE39" s="249">
        <f>SUM(BE30:BE38)</f>
        <v>412</v>
      </c>
      <c r="BH39" s="11"/>
      <c r="BU39" s="249">
        <f>+BU38+BV38+BW38</f>
        <v>486</v>
      </c>
    </row>
    <row r="40" spans="1:85" x14ac:dyDescent="0.25">
      <c r="J40" s="249">
        <v>7</v>
      </c>
      <c r="K40" s="6">
        <f t="shared" si="135"/>
        <v>3.0303030303030304E-2</v>
      </c>
      <c r="L40" s="6">
        <f t="shared" si="131"/>
        <v>2.8901734104046242E-2</v>
      </c>
      <c r="M40" s="6">
        <f t="shared" si="132"/>
        <v>8.8235294117647065E-2</v>
      </c>
      <c r="N40" s="249">
        <f>COUNTIFS('DATOS 1'!$L$51:$L$427,1,'DATOS 1'!$AQ$51:$AQ$427,$J40)</f>
        <v>6</v>
      </c>
      <c r="O40" s="249">
        <f>COUNTIFS('DATOS 1'!$L$51:$L$427,"&lt;6",'DATOS 1'!$AQ$51:$AQ$427,$J40)-N40</f>
        <v>5</v>
      </c>
      <c r="P40" s="249">
        <f>COUNTIF('DATOS 1'!$AQ$7:$AQ$40,J40)</f>
        <v>3</v>
      </c>
      <c r="V40" s="11" t="s">
        <v>1786</v>
      </c>
      <c r="W40" s="6">
        <f t="shared" ref="W40:Y45" si="144">+Z40/Z$45</f>
        <v>0.5</v>
      </c>
      <c r="X40" s="6">
        <f t="shared" si="144"/>
        <v>0.3940677966101695</v>
      </c>
      <c r="Y40" s="6">
        <f t="shared" si="144"/>
        <v>0.30303030303030304</v>
      </c>
      <c r="Z40" s="249">
        <f>COUNTIFS('DETALLES UNIDADES'!$BA$8:$BA$987,1,'DETALLES UNIDADES'!$AU$8:$AU$987,"&lt;$50000")</f>
        <v>103</v>
      </c>
      <c r="AA40" s="249">
        <f>COUNTIFS('DETALLES UNIDADES'!$BA$8:$BA$987,"&lt;6",'DETALLES UNIDADES'!$AU$8:$AU$987,"&lt;$50000")-Z40</f>
        <v>186</v>
      </c>
      <c r="AB40" s="249">
        <f>COUNTIFS('DETALLES UNIDADES'!$BA$8:$BA$987,"&gt;5",'DETALLES UNIDADES'!$AU$8:$AU$987,"&lt;$50000")</f>
        <v>80</v>
      </c>
      <c r="AH40" s="11" t="s">
        <v>1700</v>
      </c>
      <c r="AI40" s="250" t="s">
        <v>2435</v>
      </c>
      <c r="AJ40" s="250" t="s">
        <v>2436</v>
      </c>
      <c r="AK40" s="17" t="s">
        <v>714</v>
      </c>
      <c r="AL40" s="250" t="s">
        <v>2433</v>
      </c>
      <c r="AM40" s="250" t="s">
        <v>2434</v>
      </c>
      <c r="AN40" s="17" t="s">
        <v>714</v>
      </c>
      <c r="AT40" s="11">
        <f t="shared" si="75"/>
        <v>12</v>
      </c>
      <c r="AU40" s="9">
        <v>2002</v>
      </c>
      <c r="AV40" s="6">
        <f t="shared" si="68"/>
        <v>5.4545454545454543E-2</v>
      </c>
      <c r="AW40" s="249">
        <f>COUNTIFS('DATOS 2'!$AA$5:$AA$1437,1,'DATOS 2'!$D$5:$D$1437,AU40)</f>
        <v>15</v>
      </c>
      <c r="AY40" s="11"/>
      <c r="BH40" s="11" t="s">
        <v>1753</v>
      </c>
      <c r="BI40" s="250" t="s">
        <v>2435</v>
      </c>
      <c r="BJ40" s="250" t="s">
        <v>2436</v>
      </c>
      <c r="BK40" s="250" t="s">
        <v>714</v>
      </c>
      <c r="BL40" s="250" t="s">
        <v>2433</v>
      </c>
      <c r="BM40" s="250" t="s">
        <v>2434</v>
      </c>
      <c r="BN40" s="250" t="s">
        <v>714</v>
      </c>
    </row>
    <row r="41" spans="1:85" x14ac:dyDescent="0.25">
      <c r="A41" s="11" t="s">
        <v>722</v>
      </c>
      <c r="B41" s="250" t="s">
        <v>2435</v>
      </c>
      <c r="C41" s="250" t="s">
        <v>2436</v>
      </c>
      <c r="D41" s="17" t="s">
        <v>714</v>
      </c>
      <c r="E41" s="250" t="s">
        <v>2433</v>
      </c>
      <c r="F41" s="250" t="s">
        <v>2434</v>
      </c>
      <c r="G41" s="17" t="s">
        <v>714</v>
      </c>
      <c r="J41" s="249">
        <v>8</v>
      </c>
      <c r="K41" s="6">
        <f t="shared" si="135"/>
        <v>6.0606060606060608E-2</v>
      </c>
      <c r="L41" s="6">
        <f t="shared" si="131"/>
        <v>3.4682080924855488E-2</v>
      </c>
      <c r="M41" s="6">
        <f t="shared" si="132"/>
        <v>2.9411764705882353E-2</v>
      </c>
      <c r="N41" s="249">
        <f>COUNTIFS('DATOS 1'!$L$51:$L$427,1,'DATOS 1'!$AQ$51:$AQ$427,$J41)</f>
        <v>12</v>
      </c>
      <c r="O41" s="249">
        <f>COUNTIFS('DATOS 1'!$L$51:$L$427,"&lt;6",'DATOS 1'!$AQ$51:$AQ$427,$J41)-N41</f>
        <v>6</v>
      </c>
      <c r="P41" s="249">
        <f>COUNTIF('DATOS 1'!$AQ$7:$AQ$40,J41)</f>
        <v>1</v>
      </c>
      <c r="V41" s="11" t="s">
        <v>1787</v>
      </c>
      <c r="W41" s="6">
        <f t="shared" si="144"/>
        <v>0.32524271844660196</v>
      </c>
      <c r="X41" s="6">
        <f t="shared" si="144"/>
        <v>0.23728813559322035</v>
      </c>
      <c r="Y41" s="6">
        <f t="shared" si="144"/>
        <v>0.24621212121212122</v>
      </c>
      <c r="Z41" s="249">
        <f>COUNTIFS('DETALLES UNIDADES'!$BA$8:$BA$987,1,'DETALLES UNIDADES'!$AU$8:$AU$987,"&lt;$75001")-Z40</f>
        <v>67</v>
      </c>
      <c r="AA41" s="249">
        <f>COUNTIFS('DETALLES UNIDADES'!$BA$8:$BA$987,"&lt;6",'DETALLES UNIDADES'!$AU$8:$AU$987,"&lt;$75001")-AA40-Z41-Z40</f>
        <v>112</v>
      </c>
      <c r="AB41" s="249">
        <f>COUNTIFS('DETALLES UNIDADES'!$BA$8:$BA$987,"&gt;5",'DETALLES UNIDADES'!$AU$8:$AU$987,"&lt;$75001")-AB40</f>
        <v>65</v>
      </c>
      <c r="AH41" s="11" t="s">
        <v>348</v>
      </c>
      <c r="AI41" s="6">
        <f>+AL41/AL$45</f>
        <v>0.18181818181818182</v>
      </c>
      <c r="AJ41" s="6">
        <f t="shared" ref="AJ41:AJ45" si="145">+AM41/AM$45</f>
        <v>0.26273458445040215</v>
      </c>
      <c r="AK41" s="6">
        <f t="shared" ref="AK41:AK45" si="146">+AN41/AN$45</f>
        <v>0.16990291262135923</v>
      </c>
      <c r="AL41" s="249">
        <f>COUNTIFS('DATOS 2'!$AA$5:$AA$1437,1,'DATOS 2'!$C$5:$C$1437,"C2")</f>
        <v>50</v>
      </c>
      <c r="AM41" s="249">
        <f>COUNTIFS('DATOS 2'!$AA$5:$AA$1437,"&lt;6",'DATOS 2'!$C$5:$C$1437,"C2")-AL41</f>
        <v>196</v>
      </c>
      <c r="AN41" s="249">
        <f>COUNTIFS('DATOS 2'!$AA$5:$AA$1437,"&gt;5",'DATOS 2'!$C$5:$C$1437,"C2")</f>
        <v>70</v>
      </c>
      <c r="AT41" s="11">
        <f t="shared" si="75"/>
        <v>11</v>
      </c>
      <c r="AU41" s="9">
        <v>2003</v>
      </c>
      <c r="AV41" s="6">
        <f t="shared" si="68"/>
        <v>2.9090909090909091E-2</v>
      </c>
      <c r="AW41" s="249">
        <f>COUNTIFS('DATOS 2'!$AA$5:$AA$1437,1,'DATOS 2'!$D$5:$D$1437,AU41)</f>
        <v>8</v>
      </c>
      <c r="AY41" s="11"/>
      <c r="BH41" s="11" t="s">
        <v>1755</v>
      </c>
      <c r="BI41" s="6">
        <f>+BL41/BL$48</f>
        <v>0.14671814671814673</v>
      </c>
      <c r="BJ41" s="6">
        <f t="shared" ref="BJ41:BJ48" si="147">+BM41/BM$48</f>
        <v>0.23444283646888567</v>
      </c>
      <c r="BK41" s="6">
        <f t="shared" ref="BK41:BK48" si="148">+BN41/BN$48</f>
        <v>0.19548872180451127</v>
      </c>
      <c r="BL41" s="249">
        <f>COUNTIFS('DATOS 2'!$AA$5:$AA$1437,1,'DATOS 2'!$AC$5:$AC$1437,"&lt;15000")</f>
        <v>38</v>
      </c>
      <c r="BM41" s="249">
        <f>COUNTIFS('DATOS 2'!$AA$5:$AA$1437,"&lt;6",'DATOS 2'!$AC$5:$AC$1437,"&lt;15000")-BL41</f>
        <v>162</v>
      </c>
      <c r="BN41" s="249">
        <f>COUNTIFS('DATOS 2'!$AA$5:$AA$1437,"&gt;5",'DATOS 2'!$AC$5:$AC$1437,"&lt;15000")</f>
        <v>78</v>
      </c>
      <c r="BR41" s="112" t="s">
        <v>2469</v>
      </c>
      <c r="BW41" s="11"/>
      <c r="BX41" s="11"/>
    </row>
    <row r="42" spans="1:85" x14ac:dyDescent="0.25">
      <c r="A42" s="112" t="s">
        <v>584</v>
      </c>
      <c r="B42" s="6">
        <f>E42/E$48</f>
        <v>6.9306930693069313E-2</v>
      </c>
      <c r="C42" s="6">
        <f t="shared" ref="C42:C48" si="149">F42/F$48</f>
        <v>1.1428571428571429E-2</v>
      </c>
      <c r="D42" s="6">
        <f t="shared" ref="D42:D48" si="150">G42/G$48</f>
        <v>0</v>
      </c>
      <c r="E42" s="249">
        <f>COUNTIFS('DATOS 1'!$L$51:$L$427,1,'DATOS 1'!$G$51:$G$427,"SIN ESTUDIOS")</f>
        <v>14</v>
      </c>
      <c r="F42" s="249">
        <f>COUNTIFS('DATOS 1'!$L$51:$L$427,"&lt;6",'DATOS 1'!$G$51:$G$427,"SIN ESTUDIOS")-E42</f>
        <v>2</v>
      </c>
      <c r="G42" s="249">
        <f>COUNTIF('DATOS 1'!$G$7:$G$40,"SIN ESTUDIOS")</f>
        <v>0</v>
      </c>
      <c r="J42" s="249">
        <v>9</v>
      </c>
      <c r="K42" s="6">
        <f t="shared" si="135"/>
        <v>2.0202020202020204E-2</v>
      </c>
      <c r="L42" s="6">
        <f t="shared" si="131"/>
        <v>5.7803468208092483E-3</v>
      </c>
      <c r="M42" s="6">
        <f t="shared" si="132"/>
        <v>0</v>
      </c>
      <c r="N42" s="249">
        <f>COUNTIFS('DATOS 1'!$L$51:$L$427,1,'DATOS 1'!$AQ$51:$AQ$427,$J42)</f>
        <v>4</v>
      </c>
      <c r="O42" s="249">
        <f>COUNTIFS('DATOS 1'!$L$51:$L$427,"&lt;6",'DATOS 1'!$AQ$51:$AQ$427,$J42)-N42</f>
        <v>1</v>
      </c>
      <c r="P42" s="249">
        <f>COUNTIF('DATOS 1'!$AQ$7:$AQ$40,J42)</f>
        <v>0</v>
      </c>
      <c r="V42" s="11" t="s">
        <v>1788</v>
      </c>
      <c r="W42" s="6">
        <f t="shared" si="144"/>
        <v>0.11650485436893204</v>
      </c>
      <c r="X42" s="6">
        <f t="shared" si="144"/>
        <v>0.19279661016949154</v>
      </c>
      <c r="Y42" s="6">
        <f t="shared" si="144"/>
        <v>0.24621212121212122</v>
      </c>
      <c r="Z42" s="249">
        <f>COUNTIFS('DETALLES UNIDADES'!$BA$8:$BA$987,1,'DETALLES UNIDADES'!$AU$8:$AU$987,"&lt;$100001")-Z41-Z40</f>
        <v>24</v>
      </c>
      <c r="AA42" s="249">
        <f>COUNTIFS('DETALLES UNIDADES'!$BA$8:$BA$987,"&lt;6",'DETALLES UNIDADES'!$AU$8:$AU$987,"&lt;$100001")-AA41-AA40-Z42-Z41-Z40</f>
        <v>91</v>
      </c>
      <c r="AB42" s="249">
        <f>COUNTIFS('DETALLES UNIDADES'!$BA$8:$BA$987,"&gt;5",'DETALLES UNIDADES'!$AU$8:$AU$987,"&lt;$100001")-AB41-AB40</f>
        <v>65</v>
      </c>
      <c r="AH42" s="11" t="s">
        <v>351</v>
      </c>
      <c r="AI42" s="6">
        <f t="shared" ref="AI42:AI45" si="151">+AL42/AL$45</f>
        <v>0.35636363636363638</v>
      </c>
      <c r="AJ42" s="6">
        <f t="shared" si="145"/>
        <v>0.19839142091152814</v>
      </c>
      <c r="AK42" s="6">
        <f t="shared" si="146"/>
        <v>8.2524271844660199E-2</v>
      </c>
      <c r="AL42" s="249">
        <f>COUNTIFS('DATOS 2'!$AA$5:$AA$1437,1,'DATOS 2'!$C$5:$C$1437,"C3")</f>
        <v>98</v>
      </c>
      <c r="AM42" s="249">
        <f>COUNTIFS('DATOS 2'!$AA$5:$AA$1437,"&lt;6",'DATOS 2'!$C$5:$C$1437,"C3")-AL42</f>
        <v>148</v>
      </c>
      <c r="AN42" s="249">
        <f>COUNTIFS('DATOS 2'!$AA$5:$AA$1437,"&gt;5",'DATOS 2'!$C$5:$C$1437,"C3")</f>
        <v>34</v>
      </c>
      <c r="AT42" s="11">
        <f t="shared" si="75"/>
        <v>10</v>
      </c>
      <c r="AU42" s="9">
        <v>2004</v>
      </c>
      <c r="AV42" s="6">
        <f t="shared" si="68"/>
        <v>5.0909090909090911E-2</v>
      </c>
      <c r="AW42" s="249">
        <f>COUNTIFS('DATOS 2'!$AA$5:$AA$1437,1,'DATOS 2'!$D$5:$D$1437,AU42)</f>
        <v>14</v>
      </c>
      <c r="AY42" s="11"/>
      <c r="BH42" s="11" t="s">
        <v>1756</v>
      </c>
      <c r="BI42" s="6">
        <f t="shared" ref="BI42:BI48" si="152">+BL42/BL$48</f>
        <v>0.34362934362934361</v>
      </c>
      <c r="BJ42" s="6">
        <f t="shared" si="147"/>
        <v>0.39942112879884228</v>
      </c>
      <c r="BK42" s="6">
        <f t="shared" si="148"/>
        <v>0.38847117794486213</v>
      </c>
      <c r="BL42" s="249">
        <f>COUNTIFS('DATOS 2'!$AA$5:$AA$1437,1,'DATOS 2'!$AC$5:$AC$1437,"&lt;25001")-BL41</f>
        <v>89</v>
      </c>
      <c r="BM42" s="249">
        <f>COUNTIFS('DATOS 2'!$AA$5:$AA$1437,"&lt;6",'DATOS 2'!$AC$5:$AC$1437,"&lt;25001")-BM41-BL42-BL41</f>
        <v>276</v>
      </c>
      <c r="BN42" s="249">
        <f>COUNTIFS('DATOS 2'!$AA$5:$AA$1437,"&gt;5",'DATOS 2'!$AC$5:$AC$1437,"&lt;25001")-BN41</f>
        <v>155</v>
      </c>
      <c r="BS42" s="250" t="s">
        <v>2435</v>
      </c>
      <c r="BT42" s="250" t="s">
        <v>2436</v>
      </c>
      <c r="BU42" s="250" t="s">
        <v>714</v>
      </c>
      <c r="BV42" s="250" t="s">
        <v>2433</v>
      </c>
      <c r="BW42" s="250" t="s">
        <v>2434</v>
      </c>
      <c r="BX42" s="250" t="s">
        <v>714</v>
      </c>
    </row>
    <row r="43" spans="1:85" x14ac:dyDescent="0.25">
      <c r="A43" s="112" t="s">
        <v>353</v>
      </c>
      <c r="B43" s="6">
        <f t="shared" ref="B43:B48" si="153">E43/E$48</f>
        <v>0.23762376237623761</v>
      </c>
      <c r="C43" s="6">
        <f t="shared" si="149"/>
        <v>0.13714285714285715</v>
      </c>
      <c r="D43" s="6">
        <f t="shared" si="150"/>
        <v>5.8823529411764705E-2</v>
      </c>
      <c r="E43" s="249">
        <f>COUNTIFS('DATOS 1'!$L$51:$L$427,1,'DATOS 1'!$G$51:$G$427,"PRIMARIA")</f>
        <v>48</v>
      </c>
      <c r="F43" s="249">
        <f>COUNTIFS('DATOS 1'!$L$51:$L$427,"&lt;6",'DATOS 1'!$G$51:$G$427,"PRIMARIA")-E43</f>
        <v>24</v>
      </c>
      <c r="G43" s="249">
        <f>COUNTIF('DATOS 1'!$G$7:$G$40,"PRIMARIA")</f>
        <v>2</v>
      </c>
      <c r="J43" s="249">
        <v>10</v>
      </c>
      <c r="K43" s="6">
        <f t="shared" si="135"/>
        <v>8.0808080808080815E-2</v>
      </c>
      <c r="L43" s="6">
        <f t="shared" si="131"/>
        <v>0.13872832369942195</v>
      </c>
      <c r="M43" s="6">
        <f t="shared" si="132"/>
        <v>2.9411764705882353E-2</v>
      </c>
      <c r="N43" s="249">
        <f>COUNTIFS('DATOS 1'!$L$51:$L$427,1,'DATOS 1'!$AQ$51:$AQ$427,$J43)</f>
        <v>16</v>
      </c>
      <c r="O43" s="249">
        <f>COUNTIFS('DATOS 1'!$L$51:$L$427,"&lt;6",'DATOS 1'!$AQ$51:$AQ$427,$J43)-N43</f>
        <v>24</v>
      </c>
      <c r="P43" s="249">
        <f>COUNTIF('DATOS 1'!$AQ$7:$AQ$40,J43)</f>
        <v>1</v>
      </c>
      <c r="V43" s="11" t="s">
        <v>2447</v>
      </c>
      <c r="W43" s="6">
        <f t="shared" si="144"/>
        <v>2.4271844660194174E-2</v>
      </c>
      <c r="X43" s="6">
        <f t="shared" si="144"/>
        <v>9.5338983050847453E-2</v>
      </c>
      <c r="Y43" s="6">
        <f t="shared" si="144"/>
        <v>0.16287878787878787</v>
      </c>
      <c r="Z43" s="249">
        <f>COUNTIFS('DETALLES UNIDADES'!$BA$8:$BA$987,1,'DETALLES UNIDADES'!$AU$8:$AU$987,"&lt;$150001")-Z42-Z41-Z40</f>
        <v>5</v>
      </c>
      <c r="AA43" s="249">
        <f>COUNTIFS('DETALLES UNIDADES'!$BA$8:$BA$987,"&lt;6",'DETALLES UNIDADES'!$AU$8:$AU$987,"&lt;$150001")-AA42-AA41-AA40-Z43-Z42-Z41-Z40</f>
        <v>45</v>
      </c>
      <c r="AB43" s="249">
        <f>COUNTIFS('DETALLES UNIDADES'!$BA$8:$BA$987,"&gt;5",'DETALLES UNIDADES'!$AU$8:$AU$987,"&lt;$150001")-AB42-AB41-AB40</f>
        <v>43</v>
      </c>
      <c r="AH43" s="11" t="s">
        <v>359</v>
      </c>
      <c r="AI43" s="6">
        <f t="shared" si="151"/>
        <v>1.8181818181818181E-2</v>
      </c>
      <c r="AJ43" s="6">
        <f t="shared" si="145"/>
        <v>5.6300268096514748E-2</v>
      </c>
      <c r="AK43" s="6">
        <f t="shared" si="146"/>
        <v>2.1844660194174758E-2</v>
      </c>
      <c r="AL43" s="249">
        <f>COUNTIFS('DATOS 2'!$AA$5:$AA$1437,1,'DATOS 2'!$C$5:$C$1437,"T2")</f>
        <v>5</v>
      </c>
      <c r="AM43" s="249">
        <f>COUNTIFS('DATOS 2'!$AA$5:$AA$1437,"&lt;6",'DATOS 2'!$C$5:$C$1437,"T2")-AL43</f>
        <v>42</v>
      </c>
      <c r="AN43" s="249">
        <f>COUNTIFS('DATOS 2'!$AA$5:$AA$1437,"&gt;5",'DATOS 2'!$C$5:$C$1437,"T2")</f>
        <v>9</v>
      </c>
      <c r="AT43" s="11">
        <f t="shared" si="75"/>
        <v>9</v>
      </c>
      <c r="AU43" s="9">
        <v>2005</v>
      </c>
      <c r="AV43" s="6">
        <f t="shared" si="68"/>
        <v>6.545454545454546E-2</v>
      </c>
      <c r="AW43" s="249">
        <f>COUNTIFS('DATOS 2'!$AA$5:$AA$1437,1,'DATOS 2'!$D$5:$D$1437,AU43)</f>
        <v>18</v>
      </c>
      <c r="AY43" s="11"/>
      <c r="BH43" s="11" t="s">
        <v>1751</v>
      </c>
      <c r="BI43" s="6">
        <f t="shared" si="152"/>
        <v>0.19305019305019305</v>
      </c>
      <c r="BJ43" s="6">
        <f t="shared" si="147"/>
        <v>8.8277858176555715E-2</v>
      </c>
      <c r="BK43" s="6">
        <f t="shared" si="148"/>
        <v>7.2681704260651625E-2</v>
      </c>
      <c r="BL43" s="249">
        <f>COUNTIFS('DATOS 2'!$AA$5:$AA$1437,1,'DATOS 2'!$AC$5:$AC$1437,"&lt;35001")-BL42-BL41</f>
        <v>50</v>
      </c>
      <c r="BM43" s="249">
        <f>COUNTIFS('DATOS 2'!$AA$5:$AA$1437,"&lt;6",'DATOS 2'!$AC$5:$AC$1437,"&lt;35001")-BM42-BM41-BL43-BL42-BL41</f>
        <v>61</v>
      </c>
      <c r="BN43" s="249">
        <f>COUNTIFS('DATOS 2'!$AA$5:$AA$1437,"&gt;5",'DATOS 2'!$AC$5:$AC$1437,"&lt;35001")-BN42-BN41</f>
        <v>29</v>
      </c>
      <c r="BQ43" s="249">
        <v>1</v>
      </c>
      <c r="BR43" s="141" t="s">
        <v>854</v>
      </c>
      <c r="BS43" s="6">
        <f>+BV43/BV$49</f>
        <v>0.14499999999999999</v>
      </c>
      <c r="BT43" s="6">
        <f t="shared" ref="BT43:BT49" si="154">+BW43/BW$49</f>
        <v>0.10982658959537572</v>
      </c>
      <c r="BU43" s="6">
        <f t="shared" ref="BU43:BU49" si="155">+BX43/BX$49</f>
        <v>0.21212121212121213</v>
      </c>
      <c r="BV43" s="249">
        <f>COUNTIFS('ENCUESTA PROPIETARIOS'!$N$7:$N$417,1,'ENCUESTA PROPIETARIOS'!$CN$7:$CN$417,$BQ43)</f>
        <v>29</v>
      </c>
      <c r="BW43" s="249">
        <f>COUNTIFS('ENCUESTA PROPIETARIOS'!$N$7:$N$417,"&lt;6",'ENCUESTA PROPIETARIOS'!$CN$7:$CN$417,$BQ43)-BV43</f>
        <v>19</v>
      </c>
      <c r="BX43" s="249">
        <f>COUNTIFS('ENCUESTA PROPIETARIOS'!$N$7:$N$417,"&gt;5",'ENCUESTA PROPIETARIOS'!$CN$7:$CN$417,$BQ43)</f>
        <v>7</v>
      </c>
    </row>
    <row r="44" spans="1:85" x14ac:dyDescent="0.25">
      <c r="A44" s="112" t="s">
        <v>330</v>
      </c>
      <c r="B44" s="6">
        <f t="shared" si="153"/>
        <v>0.3910891089108911</v>
      </c>
      <c r="C44" s="6">
        <f t="shared" si="149"/>
        <v>0.18857142857142858</v>
      </c>
      <c r="D44" s="6">
        <f t="shared" si="150"/>
        <v>0.14705882352941177</v>
      </c>
      <c r="E44" s="249">
        <f>COUNTIFS('DATOS 1'!$L$51:$L$427,1,'DATOS 1'!$G$51:$G$427,"SECUNDARIA")</f>
        <v>79</v>
      </c>
      <c r="F44" s="249">
        <f>COUNTIFS('DATOS 1'!$L$51:$L$427,"&lt;6",'DATOS 1'!$G$51:$G$427,"SECUNDARIA")-E44</f>
        <v>33</v>
      </c>
      <c r="G44" s="249">
        <f>COUNTIF('DATOS 1'!$G$7:$G$40,"SECUNDARIA")</f>
        <v>5</v>
      </c>
      <c r="J44" s="249" t="s">
        <v>847</v>
      </c>
      <c r="K44" s="6">
        <f t="shared" si="135"/>
        <v>1.0101010101010102E-2</v>
      </c>
      <c r="L44" s="6">
        <f t="shared" si="131"/>
        <v>1.1560693641618497E-2</v>
      </c>
      <c r="M44" s="6">
        <f t="shared" si="132"/>
        <v>5.8823529411764705E-2</v>
      </c>
      <c r="N44" s="249">
        <f>COUNTIFS('DATOS 1'!$L$51:$L$427,1,'DATOS 1'!$AQ$51:$AQ$427,$J44)</f>
        <v>2</v>
      </c>
      <c r="O44" s="249">
        <f>COUNTIFS('DATOS 1'!$L$51:$L$427,"&lt;6",'DATOS 1'!$AQ$51:$AQ$427,$J44)-N44</f>
        <v>2</v>
      </c>
      <c r="P44" s="249">
        <f>COUNTIF('DATOS 1'!$AQ$7:$AQ$40,J44)</f>
        <v>2</v>
      </c>
      <c r="V44" s="11" t="s">
        <v>1791</v>
      </c>
      <c r="W44" s="6">
        <f t="shared" si="144"/>
        <v>3.3980582524271843E-2</v>
      </c>
      <c r="X44" s="6">
        <f t="shared" si="144"/>
        <v>8.050847457627118E-2</v>
      </c>
      <c r="Y44" s="6">
        <f t="shared" si="144"/>
        <v>4.1666666666666664E-2</v>
      </c>
      <c r="Z44" s="249">
        <f>COUNTIFS('DETALLES UNIDADES'!$BA$8:$BA$987,1,'DETALLES UNIDADES'!$AU$8:$AU$987,"&gt;$150000")</f>
        <v>7</v>
      </c>
      <c r="AA44" s="249">
        <f>COUNTIFS('DETALLES UNIDADES'!$BA$8:$BA$987,"&lt;6",'DETALLES UNIDADES'!$AU$8:$AU$987,"&gt;$150000")-Z44</f>
        <v>38</v>
      </c>
      <c r="AB44" s="249">
        <f>COUNTIFS('DETALLES UNIDADES'!$BA$8:$BA$987,"&gt;5",'DETALLES UNIDADES'!$AU$8:$AU$987,"&gt;$150000")</f>
        <v>11</v>
      </c>
      <c r="AH44" s="11" t="s">
        <v>337</v>
      </c>
      <c r="AI44" s="6">
        <f t="shared" si="151"/>
        <v>0.44363636363636366</v>
      </c>
      <c r="AJ44" s="6">
        <f t="shared" si="145"/>
        <v>0.48257372654155495</v>
      </c>
      <c r="AK44" s="6">
        <f t="shared" si="146"/>
        <v>0.72572815533980584</v>
      </c>
      <c r="AL44" s="249">
        <f>COUNTIFS('DATOS 2'!$AA$5:$AA$1437,1,'DATOS 2'!$C$5:$C$1437,"T3")</f>
        <v>122</v>
      </c>
      <c r="AM44" s="249">
        <f>COUNTIFS('DATOS 2'!$AA$5:$AA$1437,"&lt;6",'DATOS 2'!$C$5:$C$1437,"T3")-AL44</f>
        <v>360</v>
      </c>
      <c r="AN44" s="249">
        <f>COUNTIFS('DATOS 2'!$AA$5:$AA$1437,"&gt;5",'DATOS 2'!$C$5:$C$1437,"T3")</f>
        <v>299</v>
      </c>
      <c r="AT44" s="11">
        <f t="shared" si="75"/>
        <v>8</v>
      </c>
      <c r="AU44" s="9">
        <v>2006</v>
      </c>
      <c r="AV44" s="6">
        <f t="shared" si="68"/>
        <v>1.8181818181818181E-2</v>
      </c>
      <c r="AW44" s="249">
        <f>COUNTIFS('DATOS 2'!$AA$5:$AA$1437,1,'DATOS 2'!$D$5:$D$1437,AU44)</f>
        <v>5</v>
      </c>
      <c r="AY44" s="11"/>
      <c r="BH44" s="11" t="s">
        <v>1757</v>
      </c>
      <c r="BI44" s="6">
        <f t="shared" si="152"/>
        <v>0.20077220077220076</v>
      </c>
      <c r="BJ44" s="6">
        <f t="shared" si="147"/>
        <v>0.15918958031837915</v>
      </c>
      <c r="BK44" s="6">
        <f t="shared" si="148"/>
        <v>0.16290726817042606</v>
      </c>
      <c r="BL44" s="249">
        <f>COUNTIFS('DATOS 2'!$AA$5:$AA$1437,1,'DATOS 2'!$AC$5:$AC$1437,"&lt;60001")-BL43-BL42-BL41</f>
        <v>52</v>
      </c>
      <c r="BM44" s="249">
        <f>COUNTIFS('DATOS 2'!$AA$5:$AA$1437,"&lt;6",'DATOS 2'!$AC$5:$AC$1437,"&lt;60001")-BM43-BM42-BM41-BL44-BL43-BL42-BL41</f>
        <v>110</v>
      </c>
      <c r="BN44" s="249">
        <f>COUNTIFS('DATOS 2'!$AA$5:$AA$1437,"&gt;5",'DATOS 2'!$AC$5:$AC$1437,"&lt;60001")-BN43-BN42-BN41</f>
        <v>65</v>
      </c>
      <c r="BQ44" s="249">
        <v>2</v>
      </c>
      <c r="BR44" s="141" t="s">
        <v>902</v>
      </c>
      <c r="BS44" s="6">
        <f t="shared" ref="BS44:BS49" si="156">+BV44/BV$49</f>
        <v>0.14000000000000001</v>
      </c>
      <c r="BT44" s="6">
        <f t="shared" si="154"/>
        <v>0.24277456647398843</v>
      </c>
      <c r="BU44" s="6">
        <f t="shared" si="155"/>
        <v>0.21212121212121213</v>
      </c>
      <c r="BV44" s="249">
        <f>COUNTIFS('ENCUESTA PROPIETARIOS'!$N$7:$N$417,1,'ENCUESTA PROPIETARIOS'!$CN$7:$CN$417,$BQ44)</f>
        <v>28</v>
      </c>
      <c r="BW44" s="249">
        <f>COUNTIFS('ENCUESTA PROPIETARIOS'!$N$7:$N$417,"&lt;6",'ENCUESTA PROPIETARIOS'!$CN$7:$CN$417,$BQ44)-BV44</f>
        <v>42</v>
      </c>
      <c r="BX44" s="249">
        <f>COUNTIFS('ENCUESTA PROPIETARIOS'!$N$7:$N$417,"&gt;5",'ENCUESTA PROPIETARIOS'!$CN$7:$CN$417,$BQ44)</f>
        <v>7</v>
      </c>
    </row>
    <row r="45" spans="1:85" ht="30" x14ac:dyDescent="0.25">
      <c r="A45" s="157" t="s">
        <v>723</v>
      </c>
      <c r="B45" s="6">
        <f t="shared" si="153"/>
        <v>0.21287128712871287</v>
      </c>
      <c r="C45" s="6">
        <f t="shared" si="149"/>
        <v>0.33142857142857141</v>
      </c>
      <c r="D45" s="6">
        <f t="shared" si="150"/>
        <v>0.26470588235294118</v>
      </c>
      <c r="E45" s="249">
        <f>COUNTIFS('DATOS 1'!$L$51:$L$427,1,'DATOS 1'!$G$51:$G$427,"PREPARATORIA")+COUNTIFS('DATOS 1'!$L$51:$L$427,1,'DATOS 1'!$G$51:$G$427,"BACHILLERATO")</f>
        <v>43</v>
      </c>
      <c r="F45" s="249">
        <f>COUNTIFS('DATOS 1'!$L$51:$L$427,"&lt;6",'DATOS 1'!$G$51:$G$427,"PREPARATORIA")+COUNTIFS('DATOS 1'!$L$51:$L$427,"&lt;6",'DATOS 1'!$G$51:$G$427,"BACHILLERATO")-E45</f>
        <v>58</v>
      </c>
      <c r="G45" s="249">
        <f>COUNTIF('DATOS 1'!$G$7:$G$40,"PREPARATORIA")+COUNTIF('DATOS 1'!$G$7:$G$40,"BACHILLERATO")</f>
        <v>9</v>
      </c>
      <c r="J45" s="249" t="s">
        <v>715</v>
      </c>
      <c r="K45" s="6">
        <f t="shared" si="135"/>
        <v>1</v>
      </c>
      <c r="L45" s="6">
        <f t="shared" si="131"/>
        <v>1</v>
      </c>
      <c r="M45" s="6">
        <f t="shared" si="132"/>
        <v>1</v>
      </c>
      <c r="N45" s="249">
        <f>SUM(N33:N44)</f>
        <v>198</v>
      </c>
      <c r="O45" s="249">
        <f>SUM(O33:O44)</f>
        <v>173</v>
      </c>
      <c r="P45" s="249">
        <f>SUM(P33:P44)</f>
        <v>34</v>
      </c>
      <c r="V45" s="11" t="s">
        <v>715</v>
      </c>
      <c r="W45" s="6">
        <f t="shared" si="144"/>
        <v>1</v>
      </c>
      <c r="X45" s="6">
        <f t="shared" si="144"/>
        <v>1</v>
      </c>
      <c r="Y45" s="6">
        <f t="shared" si="144"/>
        <v>1</v>
      </c>
      <c r="Z45" s="249">
        <f>SUM(Z40:Z44)</f>
        <v>206</v>
      </c>
      <c r="AA45" s="249">
        <f>SUM(AA40:AA44)</f>
        <v>472</v>
      </c>
      <c r="AB45" s="249">
        <f>SUM(AB40:AB44)</f>
        <v>264</v>
      </c>
      <c r="AH45" s="11" t="s">
        <v>1662</v>
      </c>
      <c r="AI45" s="6">
        <f t="shared" si="151"/>
        <v>1</v>
      </c>
      <c r="AJ45" s="6">
        <f t="shared" si="145"/>
        <v>1</v>
      </c>
      <c r="AK45" s="6">
        <f t="shared" si="146"/>
        <v>1</v>
      </c>
      <c r="AL45" s="249">
        <f>SUM(AL41:AL44)</f>
        <v>275</v>
      </c>
      <c r="AM45" s="249">
        <f>SUM(AM41:AM44)</f>
        <v>746</v>
      </c>
      <c r="AN45" s="249">
        <f>SUM(AN41:AN44)</f>
        <v>412</v>
      </c>
      <c r="AT45" s="11">
        <f t="shared" si="75"/>
        <v>7</v>
      </c>
      <c r="AU45" s="9">
        <v>2007</v>
      </c>
      <c r="AV45" s="6">
        <f t="shared" si="68"/>
        <v>2.5454545454545455E-2</v>
      </c>
      <c r="AW45" s="249">
        <f>COUNTIFS('DATOS 2'!$AA$5:$AA$1437,1,'DATOS 2'!$D$5:$D$1437,AU45)</f>
        <v>7</v>
      </c>
      <c r="AY45" s="112" t="s">
        <v>1729</v>
      </c>
      <c r="AZ45" s="249" t="s">
        <v>2435</v>
      </c>
      <c r="BA45" s="249" t="s">
        <v>2436</v>
      </c>
      <c r="BB45" s="249" t="s">
        <v>714</v>
      </c>
      <c r="BC45" s="249" t="s">
        <v>2433</v>
      </c>
      <c r="BD45" s="249" t="s">
        <v>2434</v>
      </c>
      <c r="BE45" s="249" t="s">
        <v>714</v>
      </c>
      <c r="BH45" s="11" t="s">
        <v>1758</v>
      </c>
      <c r="BI45" s="6">
        <f t="shared" si="152"/>
        <v>1.9305019305019305E-2</v>
      </c>
      <c r="BJ45" s="6">
        <f t="shared" si="147"/>
        <v>1.8813314037626629E-2</v>
      </c>
      <c r="BK45" s="6">
        <f t="shared" si="148"/>
        <v>4.0100250626566414E-2</v>
      </c>
      <c r="BL45" s="249">
        <f>COUNTIFS('DATOS 2'!$AA$5:$AA$1437,1,'DATOS 2'!$AC$5:$AC$1437,"&lt;80001")-BL44-BL43-BL42-BL41</f>
        <v>5</v>
      </c>
      <c r="BM45" s="249">
        <f>COUNTIFS('DATOS 2'!$AA$5:$AA$1437,"&lt;6",'DATOS 2'!$AC$5:$AC$1437,"&lt;80001")-BM44-BM43-BM42-BM41-BL45-BL44-BL43-BL42-BL41</f>
        <v>13</v>
      </c>
      <c r="BN45" s="249">
        <f>COUNTIFS('DATOS 2'!$AA$5:$AA$1437,"&gt;5",'DATOS 2'!$AC$5:$AC$1437,"&lt;80001")-BN44-BN43-BN42-BN41</f>
        <v>16</v>
      </c>
      <c r="BQ45" s="249">
        <v>3</v>
      </c>
      <c r="BR45" s="141" t="s">
        <v>903</v>
      </c>
      <c r="BS45" s="6">
        <f t="shared" si="156"/>
        <v>0.20499999999999999</v>
      </c>
      <c r="BT45" s="6">
        <f t="shared" si="154"/>
        <v>0.32947976878612717</v>
      </c>
      <c r="BU45" s="6">
        <f t="shared" si="155"/>
        <v>0.24242424242424243</v>
      </c>
      <c r="BV45" s="249">
        <f>COUNTIFS('ENCUESTA PROPIETARIOS'!$N$7:$N$417,1,'ENCUESTA PROPIETARIOS'!$CN$7:$CN$417,$BQ45)</f>
        <v>41</v>
      </c>
      <c r="BW45" s="249">
        <f>COUNTIFS('ENCUESTA PROPIETARIOS'!$N$7:$N$417,"&lt;6",'ENCUESTA PROPIETARIOS'!$CN$7:$CN$417,$BQ45)-BV45</f>
        <v>57</v>
      </c>
      <c r="BX45" s="249">
        <f>COUNTIFS('ENCUESTA PROPIETARIOS'!$N$7:$N$417,"&gt;5",'ENCUESTA PROPIETARIOS'!$CN$7:$CN$417,$BQ45)</f>
        <v>8</v>
      </c>
    </row>
    <row r="46" spans="1:85" x14ac:dyDescent="0.25">
      <c r="A46" s="112" t="s">
        <v>399</v>
      </c>
      <c r="B46" s="6">
        <f t="shared" si="153"/>
        <v>7.9207920792079209E-2</v>
      </c>
      <c r="C46" s="6">
        <f t="shared" si="149"/>
        <v>0.32571428571428573</v>
      </c>
      <c r="D46" s="6">
        <f t="shared" si="150"/>
        <v>0.47058823529411764</v>
      </c>
      <c r="E46" s="249">
        <f>COUNTIFS('DATOS 1'!$L$51:$L$427,1,'DATOS 1'!$G$51:$G$427,"INGENIERIA")+COUNTIFS('DATOS 1'!$L$51:$L$427,1,'DATOS 1'!$G$51:$G$427,"LICENCIATURA")</f>
        <v>16</v>
      </c>
      <c r="F46" s="249">
        <f>COUNTIFS('DATOS 1'!$L$51:$L$427,"&lt;6",'DATOS 1'!$G$51:$G$427,"INGENIERIA")+COUNTIFS('DATOS 1'!$L$51:$L$427,"&lt;6",'DATOS 1'!$G$51:$G$427,"LICENCIATURA")-E46</f>
        <v>57</v>
      </c>
      <c r="G46" s="249">
        <f>COUNTIF('DATOS 1'!$G$7:$G$40,"LICENCIATURA")+COUNTIF('DATOS 1'!$G$7:$G$40,"INGENIERIA")</f>
        <v>16</v>
      </c>
      <c r="Z46" s="249">
        <f>+Z45+AA45+AB45</f>
        <v>942</v>
      </c>
      <c r="AH46" s="11"/>
      <c r="AI46" s="121"/>
      <c r="AK46" s="11"/>
      <c r="AL46" s="249">
        <f>+AL45+AM45+AN45</f>
        <v>1433</v>
      </c>
      <c r="AT46" s="11">
        <f t="shared" si="75"/>
        <v>6</v>
      </c>
      <c r="AU46" s="9">
        <v>2008</v>
      </c>
      <c r="AV46" s="6">
        <f t="shared" si="68"/>
        <v>3.272727272727273E-2</v>
      </c>
      <c r="AW46" s="249">
        <f>COUNTIFS('DATOS 2'!$AA$5:$AA$1437,1,'DATOS 2'!$D$5:$D$1437,AU46)</f>
        <v>9</v>
      </c>
      <c r="AY46" s="19" t="s">
        <v>1730</v>
      </c>
      <c r="AZ46" s="6">
        <f>+BC46/BC$55</f>
        <v>2.5454545454545455E-2</v>
      </c>
      <c r="BA46" s="6">
        <f t="shared" ref="BA46:BA55" si="157">+BD46/BD$55</f>
        <v>3.3557046979865772E-2</v>
      </c>
      <c r="BB46" s="6">
        <f t="shared" ref="BB46:BB55" si="158">+BE46/BE$55</f>
        <v>1.4563106796116505E-2</v>
      </c>
      <c r="BC46" s="249">
        <f>COUNTIFS('DATOS 2'!$AA$5:$AA$1437,1,'DATOS 2'!$G$5:$G$1437,"&lt;1.9")</f>
        <v>7</v>
      </c>
      <c r="BD46" s="249">
        <f>COUNTIFS('DATOS 2'!$AA$5:$AA$1437,"&lt;6",'DATOS 2'!$G$5:$G$1437,"&lt;1.9")-BC46</f>
        <v>25</v>
      </c>
      <c r="BE46" s="249">
        <f>COUNTIFS('DATOS 2'!$AA$5:$AA$1437,"&gt;5",'DATOS 2'!$G$5:$G$1437,"&lt;1.9")</f>
        <v>6</v>
      </c>
      <c r="BH46" s="11" t="s">
        <v>1759</v>
      </c>
      <c r="BI46" s="6">
        <f t="shared" si="152"/>
        <v>2.3166023166023165E-2</v>
      </c>
      <c r="BJ46" s="6">
        <f t="shared" si="147"/>
        <v>3.1837916063675829E-2</v>
      </c>
      <c r="BK46" s="6">
        <f t="shared" si="148"/>
        <v>1.2531328320802004E-2</v>
      </c>
      <c r="BL46" s="249">
        <f>COUNTIFS('DATOS 2'!$AA$5:$AA$1437,1,'DATOS 2'!$AC$5:$AC$1437,"&lt;110001")-BL45-BL44-BL43-BL42-BL41</f>
        <v>6</v>
      </c>
      <c r="BM46" s="249">
        <f>COUNTIFS('DATOS 2'!$AA$5:$AA$1437,"&lt;6",'DATOS 2'!$AC$5:$AC$1437,"&lt;110001")-BM45-BM44-BM43-BM42-BM41-BL46-BL45-BL44-BL43-BL42-BL41</f>
        <v>22</v>
      </c>
      <c r="BN46" s="249">
        <f>COUNTIFS('DATOS 2'!$AA$5:$AA$1437,"&gt;5",'DATOS 2'!$AC$5:$AC$1437,"&lt;110001")-BN45-BN44-BN43-BN42-BN41</f>
        <v>5</v>
      </c>
      <c r="BQ46" s="249">
        <v>4</v>
      </c>
      <c r="BR46" s="141" t="s">
        <v>904</v>
      </c>
      <c r="BS46" s="6">
        <f t="shared" si="156"/>
        <v>0.21</v>
      </c>
      <c r="BT46" s="6">
        <f t="shared" si="154"/>
        <v>0.13294797687861271</v>
      </c>
      <c r="BU46" s="6">
        <f t="shared" si="155"/>
        <v>0.24242424242424243</v>
      </c>
      <c r="BV46" s="249">
        <f>COUNTIFS('ENCUESTA PROPIETARIOS'!$N$7:$N$417,1,'ENCUESTA PROPIETARIOS'!$CN$7:$CN$417,$BQ46)</f>
        <v>42</v>
      </c>
      <c r="BW46" s="249">
        <f>COUNTIFS('ENCUESTA PROPIETARIOS'!$N$7:$N$417,"&lt;6",'ENCUESTA PROPIETARIOS'!$CN$7:$CN$417,$BQ46)-BV46</f>
        <v>23</v>
      </c>
      <c r="BX46" s="249">
        <f>COUNTIFS('ENCUESTA PROPIETARIOS'!$N$7:$N$417,"&gt;5",'ENCUESTA PROPIETARIOS'!$CN$7:$CN$417,$BQ46)</f>
        <v>8</v>
      </c>
    </row>
    <row r="47" spans="1:85" x14ac:dyDescent="0.25">
      <c r="A47" s="112" t="s">
        <v>711</v>
      </c>
      <c r="B47" s="6">
        <f t="shared" si="153"/>
        <v>9.9009900990099011E-3</v>
      </c>
      <c r="C47" s="6">
        <f t="shared" si="149"/>
        <v>5.7142857142857143E-3</v>
      </c>
      <c r="D47" s="6">
        <f t="shared" si="150"/>
        <v>5.8823529411764705E-2</v>
      </c>
      <c r="E47" s="249">
        <f>COUNTIFS('DATOS 1'!$L$51:$L$427,1,'DATOS 1'!$G$51:$G$427,"OTROS")+COUNTIFS('DATOS 1'!$L$51:$L$427,1,'DATOS 1'!$G$51:$G$427,"TECNICA")+COUNTIFS('DATOS 1'!$L$51:$L$427,1,'DATOS 1'!$G$51:$G$427,"POSGRADO")+COUNTIFS('DATOS 1'!$L$51:$L$427,1,'DATOS 1'!$G$51:$G$427,"MAESTRIA")</f>
        <v>2</v>
      </c>
      <c r="F47" s="249">
        <f>COUNTIFS('DATOS 1'!$L$51:$L$427,"&lt;6",'DATOS 1'!$G$51:$G$427,"OTROS")+COUNTIFS('DATOS 1'!$L$51:$L$427,"&lt;6",'DATOS 1'!$G$51:$G$427,"TECNICA")+COUNTIFS('DATOS 1'!$L$51:$L$427,"&lt;6",'DATOS 1'!$G$51:$G$427,"POSGRADO")+COUNTIFS('DATOS 1'!$L$51:$L$427,"&lt;6",'DATOS 1'!$G$51:$G$427,"MAESTRIA")-E47</f>
        <v>1</v>
      </c>
      <c r="G47" s="249">
        <f>COUNTIF('DATOS 1'!G7:G40,"OTROS")+COUNTIF('DATOS 1'!G7:G40,"TECNICA")+COUNTIF('DATOS 1'!G7:G40,"POSGRADO")+COUNTIF('DATOS 1'!G7:G40,"MAESTRIA")</f>
        <v>2</v>
      </c>
      <c r="J47" s="17"/>
      <c r="K47" s="17"/>
      <c r="L47" s="17"/>
      <c r="M47" s="17"/>
      <c r="N47" s="17"/>
      <c r="O47" s="17"/>
      <c r="AT47" s="11">
        <f t="shared" si="75"/>
        <v>5</v>
      </c>
      <c r="AU47" s="9">
        <v>2009</v>
      </c>
      <c r="AV47" s="6">
        <f t="shared" si="68"/>
        <v>2.181818181818182E-2</v>
      </c>
      <c r="AW47" s="249">
        <f>COUNTIFS('DATOS 2'!$AA$5:$AA$1437,1,'DATOS 2'!$D$5:$D$1437,AU47)</f>
        <v>6</v>
      </c>
      <c r="AY47" s="19" t="s">
        <v>1731</v>
      </c>
      <c r="AZ47" s="6">
        <f t="shared" ref="AZ47:AZ55" si="159">+BC47/BC$55</f>
        <v>0.12</v>
      </c>
      <c r="BA47" s="6">
        <f t="shared" si="157"/>
        <v>0.13020134228187918</v>
      </c>
      <c r="BB47" s="6">
        <f t="shared" si="158"/>
        <v>0.19902912621359223</v>
      </c>
      <c r="BC47" s="249">
        <f>COUNTIFS('DATOS 2'!$AA$5:$AA$1437,1,'DATOS 2'!$G$5:$G$1437,"&lt;2.21")-BC46</f>
        <v>33</v>
      </c>
      <c r="BD47" s="249">
        <f>COUNTIFS('DATOS 2'!$AA$5:$AA$1437,"&lt;6",'DATOS 2'!$G$5:$G$1437,"&lt;2.21")-BD46-BC47-BC46</f>
        <v>97</v>
      </c>
      <c r="BE47" s="249">
        <f>COUNTIFS('DATOS 2'!$AA$5:$AA$1437,"&gt;5",'DATOS 2'!$G$5:$G$1437,"&lt;2.21")-BE46</f>
        <v>82</v>
      </c>
      <c r="BH47" s="11" t="s">
        <v>1848</v>
      </c>
      <c r="BI47" s="6">
        <f t="shared" si="152"/>
        <v>7.3359073359073365E-2</v>
      </c>
      <c r="BJ47" s="6">
        <f t="shared" si="147"/>
        <v>6.8017366136034735E-2</v>
      </c>
      <c r="BK47" s="6">
        <f t="shared" si="148"/>
        <v>0.12781954887218044</v>
      </c>
      <c r="BL47" s="249">
        <f>COUNTIFS('DATOS 2'!$AA$5:$AA$1437,1,'DATOS 2'!$AC$5:$AC$1437,"&gt;110000")</f>
        <v>19</v>
      </c>
      <c r="BM47" s="249">
        <f>COUNTIFS('DATOS 2'!$AA$5:$AA$1437,"&lt;6",'DATOS 2'!$AC$5:$AC$1437,"&gt;110000")-BL47</f>
        <v>47</v>
      </c>
      <c r="BN47" s="249">
        <f>COUNTIFS('DATOS 2'!$AA$5:$AA$1437,"&gt;5",'DATOS 2'!$AC$5:$AC$1437,"&gt;110000")</f>
        <v>51</v>
      </c>
      <c r="BQ47" s="249">
        <v>5</v>
      </c>
      <c r="BR47" s="141" t="s">
        <v>856</v>
      </c>
      <c r="BS47" s="6">
        <f t="shared" si="156"/>
        <v>0.18</v>
      </c>
      <c r="BT47" s="6">
        <f t="shared" si="154"/>
        <v>0.11560693641618497</v>
      </c>
      <c r="BU47" s="6">
        <f t="shared" si="155"/>
        <v>0</v>
      </c>
      <c r="BV47" s="249">
        <f>COUNTIFS('ENCUESTA PROPIETARIOS'!$N$7:$N$417,1,'ENCUESTA PROPIETARIOS'!$CN$7:$CN$417,$BQ47)</f>
        <v>36</v>
      </c>
      <c r="BW47" s="249">
        <f>COUNTIFS('ENCUESTA PROPIETARIOS'!$N$7:$N$417,"&lt;6",'ENCUESTA PROPIETARIOS'!$CN$7:$CN$417,$BQ47)-BV47</f>
        <v>20</v>
      </c>
      <c r="BX47" s="249">
        <f>COUNTIFS('ENCUESTA PROPIETARIOS'!$N$7:$N$417,"&gt;5",'ENCUESTA PROPIETARIOS'!$CN$7:$CN$417,$BQ47)</f>
        <v>0</v>
      </c>
    </row>
    <row r="48" spans="1:85" x14ac:dyDescent="0.25">
      <c r="A48" s="112" t="s">
        <v>715</v>
      </c>
      <c r="B48" s="6">
        <f t="shared" si="153"/>
        <v>1</v>
      </c>
      <c r="C48" s="6">
        <f t="shared" si="149"/>
        <v>1</v>
      </c>
      <c r="D48" s="6">
        <f t="shared" si="150"/>
        <v>1</v>
      </c>
      <c r="E48" s="249">
        <f>SUM(E42:E47)</f>
        <v>202</v>
      </c>
      <c r="F48" s="249">
        <f>SUM(F42:F47)</f>
        <v>175</v>
      </c>
      <c r="G48" s="249">
        <f>SUM(G42:G47)</f>
        <v>34</v>
      </c>
      <c r="J48" s="17" t="s">
        <v>2400</v>
      </c>
      <c r="K48" s="250" t="s">
        <v>2435</v>
      </c>
      <c r="L48" s="250" t="s">
        <v>2436</v>
      </c>
      <c r="M48" s="17" t="s">
        <v>714</v>
      </c>
      <c r="N48" s="250" t="s">
        <v>2433</v>
      </c>
      <c r="O48" s="250" t="s">
        <v>2434</v>
      </c>
      <c r="P48" s="17" t="s">
        <v>714</v>
      </c>
      <c r="V48" s="11" t="s">
        <v>1798</v>
      </c>
      <c r="W48" s="250" t="s">
        <v>2435</v>
      </c>
      <c r="X48" s="250" t="s">
        <v>2436</v>
      </c>
      <c r="Y48" s="17" t="s">
        <v>714</v>
      </c>
      <c r="Z48" s="250" t="s">
        <v>2433</v>
      </c>
      <c r="AA48" s="250" t="s">
        <v>2434</v>
      </c>
      <c r="AB48" s="17" t="s">
        <v>714</v>
      </c>
      <c r="AT48" s="11">
        <f t="shared" si="75"/>
        <v>4</v>
      </c>
      <c r="AU48" s="9">
        <v>2010</v>
      </c>
      <c r="AV48" s="6">
        <f t="shared" si="68"/>
        <v>1.8181818181818181E-2</v>
      </c>
      <c r="AW48" s="249">
        <f>COUNTIFS('DATOS 2'!$AA$5:$AA$1437,1,'DATOS 2'!$D$5:$D$1437,AU48)</f>
        <v>5</v>
      </c>
      <c r="AY48" s="11" t="s">
        <v>1732</v>
      </c>
      <c r="AZ48" s="6">
        <f t="shared" si="159"/>
        <v>6.545454545454546E-2</v>
      </c>
      <c r="BA48" s="6">
        <f t="shared" si="157"/>
        <v>7.9194630872483227E-2</v>
      </c>
      <c r="BB48" s="6">
        <f t="shared" si="158"/>
        <v>0.16019417475728157</v>
      </c>
      <c r="BC48" s="249">
        <f>COUNTIFS('DATOS 2'!$AA$5:$AA$1437,1,'DATOS 2'!$G$5:$G$1437,"&lt;2.41")-BC47-BC46</f>
        <v>18</v>
      </c>
      <c r="BD48" s="249">
        <f>COUNTIFS('DATOS 2'!$AA$5:$AA$1437,"&lt;6",'DATOS 2'!$G$5:$G$1437,"&lt;2.41")-BD47-BD46-BC48-BC47-BC46</f>
        <v>59</v>
      </c>
      <c r="BE48" s="249">
        <f>COUNTIFS('DATOS 2'!$AA$5:$AA$1437,"&gt;5",'DATOS 2'!$G$5:$G$1437,"&lt;2.41")-BE47-BE46</f>
        <v>66</v>
      </c>
      <c r="BH48" s="11" t="s">
        <v>715</v>
      </c>
      <c r="BI48" s="6">
        <f t="shared" si="152"/>
        <v>1</v>
      </c>
      <c r="BJ48" s="6">
        <f t="shared" si="147"/>
        <v>1</v>
      </c>
      <c r="BK48" s="6">
        <f t="shared" si="148"/>
        <v>1</v>
      </c>
      <c r="BL48" s="249">
        <f>SUM(BL41:BL47)</f>
        <v>259</v>
      </c>
      <c r="BM48" s="249">
        <f>SUM(BM41:BM47)</f>
        <v>691</v>
      </c>
      <c r="BN48" s="249">
        <f>SUM(BN41:BN47)</f>
        <v>399</v>
      </c>
      <c r="BQ48" s="249">
        <v>6</v>
      </c>
      <c r="BR48" s="141" t="s">
        <v>857</v>
      </c>
      <c r="BS48" s="6">
        <f t="shared" si="156"/>
        <v>0.12</v>
      </c>
      <c r="BT48" s="6">
        <f t="shared" si="154"/>
        <v>6.9364161849710976E-2</v>
      </c>
      <c r="BU48" s="6">
        <f t="shared" si="155"/>
        <v>9.0909090909090912E-2</v>
      </c>
      <c r="BV48" s="249">
        <f>COUNTIFS('ENCUESTA PROPIETARIOS'!$N$7:$N$417,1,'ENCUESTA PROPIETARIOS'!$CN$7:$CN$417,$BQ48)</f>
        <v>24</v>
      </c>
      <c r="BW48" s="249">
        <f>COUNTIFS('ENCUESTA PROPIETARIOS'!$N$7:$N$417,"&lt;6",'ENCUESTA PROPIETARIOS'!$CN$7:$CN$417,$BQ48)-BV48</f>
        <v>12</v>
      </c>
      <c r="BX48" s="249">
        <f>COUNTIFS('ENCUESTA PROPIETARIOS'!$N$7:$N$417,"&gt;5",'ENCUESTA PROPIETARIOS'!$CN$7:$CN$417,$BQ48)</f>
        <v>3</v>
      </c>
    </row>
    <row r="49" spans="1:76" x14ac:dyDescent="0.25">
      <c r="J49" s="249" t="s">
        <v>2443</v>
      </c>
      <c r="K49" s="6">
        <f t="shared" ref="K49:M51" si="160">+N49/N$51</f>
        <v>0.37623762376237624</v>
      </c>
      <c r="L49" s="6">
        <f t="shared" si="160"/>
        <v>0.18857142857142858</v>
      </c>
      <c r="M49" s="6">
        <f t="shared" si="160"/>
        <v>0.17647058823529413</v>
      </c>
      <c r="N49" s="249">
        <f>COUNTIFS('DATOS 1'!$L$51:$L$427,1,'DATOS 1'!$AP$51:$AP$427,"&lt;6")+COUNTIFS('DATOS 1'!$L$51:$L$427,1,'DATOS 1'!$AP$51:$AP$427,"NO CONTESTA")</f>
        <v>76</v>
      </c>
      <c r="O49" s="249">
        <f>COUNTIFS('DATOS 1'!$L$51:$L$427,"&lt;6",'DATOS 1'!$AP$51:$AP$427,"&lt;6")+COUNTIFS('DATOS 1'!$L$51:$L$427,"&lt;6",'DATOS 1'!$AP$51:$AP$427,"NO CONTESTA")-N49</f>
        <v>33</v>
      </c>
      <c r="P49" s="249">
        <f>COUNTIF('DATOS 1'!$AP$7:$AP$40,"&lt;6")</f>
        <v>6</v>
      </c>
      <c r="V49" s="11" t="s">
        <v>2448</v>
      </c>
      <c r="W49" s="6">
        <f>+Z49/Z$52</f>
        <v>0.61386138613861385</v>
      </c>
      <c r="X49" s="6">
        <f t="shared" ref="X49:X52" si="161">+AA49/AA$52</f>
        <v>0.63269639065817407</v>
      </c>
      <c r="Y49" s="6">
        <f t="shared" ref="Y49:Y52" si="162">+AB49/AB$52</f>
        <v>0.40530303030303028</v>
      </c>
      <c r="Z49" s="249">
        <f>COUNTIFS('DETALLES UNIDADES'!$BA$8:$BA$987,1,'DETALLES UNIDADES'!$AV$8:$AV$987,"&lt;$25000")</f>
        <v>124</v>
      </c>
      <c r="AA49" s="249">
        <f>COUNTIFS('DETALLES UNIDADES'!$BA$8:$BA$987,"&lt;6",'DETALLES UNIDADES'!$AV$8:$AV$987,"&lt;$25000")-Z49</f>
        <v>298</v>
      </c>
      <c r="AB49" s="249">
        <f>COUNTIFS('DETALLES UNIDADES'!$BA$8:$BA$987,"&gt;5",'DETALLES UNIDADES'!$AV$8:$AV$987,"&lt;$25000")</f>
        <v>107</v>
      </c>
      <c r="AL49" s="373" t="s">
        <v>1717</v>
      </c>
      <c r="AM49" s="373"/>
      <c r="AN49" s="373"/>
      <c r="AO49" s="373" t="s">
        <v>1718</v>
      </c>
      <c r="AP49" s="373"/>
      <c r="AQ49" s="373"/>
      <c r="AT49" s="11">
        <f t="shared" si="75"/>
        <v>3</v>
      </c>
      <c r="AU49" s="9">
        <v>2011</v>
      </c>
      <c r="AV49" s="6">
        <f t="shared" si="68"/>
        <v>3.6363636363636364E-3</v>
      </c>
      <c r="AW49" s="249">
        <f>COUNTIFS('DATOS 2'!$AA$5:$AA$1437,1,'DATOS 2'!$D$5:$D$1437,AU49)</f>
        <v>1</v>
      </c>
      <c r="AY49" s="19" t="s">
        <v>1737</v>
      </c>
      <c r="AZ49" s="6">
        <f t="shared" si="159"/>
        <v>0.10909090909090909</v>
      </c>
      <c r="BA49" s="6">
        <f t="shared" si="157"/>
        <v>0.1476510067114094</v>
      </c>
      <c r="BB49" s="6">
        <f t="shared" si="158"/>
        <v>0.16990291262135923</v>
      </c>
      <c r="BC49" s="249">
        <f>COUNTIFS('DATOS 2'!$AA$5:$AA$1437,1,'DATOS 2'!$G$5:$G$1437,"&lt;2.61")-BC48-BC47-BC46</f>
        <v>30</v>
      </c>
      <c r="BD49" s="249">
        <f>COUNTIFS('DATOS 2'!$AA$5:$AA$1437,"&lt;6",'DATOS 2'!$G$5:$G$1437,"&lt;2.61")-BD48-BD47-BD46-BC49-BC48-BC47-BC46</f>
        <v>110</v>
      </c>
      <c r="BE49" s="249">
        <f>COUNTIFS('DATOS 2'!$AA$5:$AA$1437,"&gt;5",'DATOS 2'!$G$5:$G$1437,"&lt;2.61")-BE48-BE47-BE46</f>
        <v>70</v>
      </c>
      <c r="BH49" s="11"/>
      <c r="BL49" s="138"/>
      <c r="BR49" s="11" t="s">
        <v>715</v>
      </c>
      <c r="BS49" s="6">
        <f t="shared" si="156"/>
        <v>1</v>
      </c>
      <c r="BT49" s="6">
        <f t="shared" si="154"/>
        <v>1</v>
      </c>
      <c r="BU49" s="6">
        <f t="shared" si="155"/>
        <v>1</v>
      </c>
      <c r="BV49" s="249">
        <f>SUM(BV43:BV48)</f>
        <v>200</v>
      </c>
      <c r="BW49" s="249">
        <f>SUM(BW43:BW48)</f>
        <v>173</v>
      </c>
      <c r="BX49" s="249">
        <f>SUM(BX43:BX48)</f>
        <v>33</v>
      </c>
    </row>
    <row r="50" spans="1:76" x14ac:dyDescent="0.25">
      <c r="J50" s="249" t="s">
        <v>2444</v>
      </c>
      <c r="K50" s="6">
        <f t="shared" si="160"/>
        <v>0.62376237623762376</v>
      </c>
      <c r="L50" s="6">
        <f t="shared" si="160"/>
        <v>0.81142857142857139</v>
      </c>
      <c r="M50" s="6">
        <f t="shared" si="160"/>
        <v>0.82352941176470584</v>
      </c>
      <c r="N50" s="249">
        <f>COUNTIFS('DATOS 1'!$L$51:$L$427,1,'DATOS 1'!$AP$51:$AP$427,"&gt;5")</f>
        <v>126</v>
      </c>
      <c r="O50" s="249">
        <f>COUNTIFS('DATOS 1'!$L$51:$L$427,"&lt;6",'DATOS 1'!$AP$51:$AP$427,"&gt;5")-N50</f>
        <v>142</v>
      </c>
      <c r="P50" s="249">
        <f>COUNTIF('DATOS 1'!$AP$7:$AP$40,"&gt;5")</f>
        <v>28</v>
      </c>
      <c r="V50" s="11" t="s">
        <v>2449</v>
      </c>
      <c r="W50" s="6">
        <f t="shared" ref="W50:W52" si="163">+Z50/Z$52</f>
        <v>0.34158415841584161</v>
      </c>
      <c r="X50" s="6">
        <f t="shared" si="161"/>
        <v>0.28450106157112526</v>
      </c>
      <c r="Y50" s="6">
        <f t="shared" si="162"/>
        <v>0.37878787878787878</v>
      </c>
      <c r="Z50" s="249">
        <f>COUNTIFS('DETALLES UNIDADES'!$BA$8:$BA$987,1,'DETALLES UNIDADES'!$AV$8:$AV$987,"&lt;$50001")-Z49</f>
        <v>69</v>
      </c>
      <c r="AA50" s="249">
        <f>COUNTIFS('DETALLES UNIDADES'!$BA$8:$BA$987,"&lt;6",'DETALLES UNIDADES'!$AV$8:$AV$987,"&lt;$50001")-AA49-Z50-Z49</f>
        <v>134</v>
      </c>
      <c r="AB50" s="249">
        <f>COUNTIFS('DETALLES UNIDADES'!$BA$8:$BA$987,"&gt;5",'DETALLES UNIDADES'!$AV$8:$AV$987,"&lt;$50001")-AB49</f>
        <v>100</v>
      </c>
      <c r="AH50" s="11" t="s">
        <v>1705</v>
      </c>
      <c r="AI50" s="250" t="s">
        <v>2435</v>
      </c>
      <c r="AJ50" s="250" t="s">
        <v>2436</v>
      </c>
      <c r="AK50" s="17" t="s">
        <v>714</v>
      </c>
      <c r="AL50" s="250" t="s">
        <v>2433</v>
      </c>
      <c r="AM50" s="250" t="s">
        <v>2434</v>
      </c>
      <c r="AN50" s="17" t="s">
        <v>714</v>
      </c>
      <c r="AO50" s="250" t="s">
        <v>2433</v>
      </c>
      <c r="AP50" s="250" t="s">
        <v>2434</v>
      </c>
      <c r="AQ50" s="17" t="s">
        <v>714</v>
      </c>
      <c r="AT50" s="11">
        <f t="shared" si="75"/>
        <v>2</v>
      </c>
      <c r="AU50" s="9">
        <v>2012</v>
      </c>
      <c r="AV50" s="6">
        <f t="shared" si="68"/>
        <v>1.8181818181818181E-2</v>
      </c>
      <c r="AW50" s="249">
        <f>COUNTIFS('DATOS 2'!$AA$5:$AA$1437,1,'DATOS 2'!$D$5:$D$1437,AU50)</f>
        <v>5</v>
      </c>
      <c r="AY50" s="19" t="s">
        <v>1007</v>
      </c>
      <c r="AZ50" s="6">
        <f t="shared" si="159"/>
        <v>0.21818181818181817</v>
      </c>
      <c r="BA50" s="6">
        <f t="shared" si="157"/>
        <v>0.22953020134228189</v>
      </c>
      <c r="BB50" s="6">
        <f t="shared" si="158"/>
        <v>0.1796116504854369</v>
      </c>
      <c r="BC50" s="249">
        <f>COUNTIFS('DATOS 2'!$AA$5:$AA$1437,1,'DATOS 2'!$G$5:$G$1437,"&lt;2.81")-BC49-BC48-BC47-BC46</f>
        <v>60</v>
      </c>
      <c r="BD50" s="249">
        <f>COUNTIFS('DATOS 2'!$AA$5:$AA$1437,"&lt;6",'DATOS 2'!$G$5:$G$1437,"&lt;2.81")-BD49-BD48-BD47-BD46-BC50-BC49-BC48-BC47-BC46</f>
        <v>171</v>
      </c>
      <c r="BE50" s="249">
        <f>COUNTIFS('DATOS 2'!$AA$5:$AA$1437,"&gt;5",'DATOS 2'!$G$5:$G$1437,"&lt;2.81")-BE49-BE48-BE47-BE46</f>
        <v>74</v>
      </c>
      <c r="BH50" s="11"/>
      <c r="BL50" s="138"/>
      <c r="BQ50" s="11"/>
      <c r="BR50" s="11"/>
    </row>
    <row r="51" spans="1:76" x14ac:dyDescent="0.25">
      <c r="A51" s="11" t="s">
        <v>907</v>
      </c>
      <c r="B51" s="250" t="s">
        <v>2435</v>
      </c>
      <c r="C51" s="250" t="s">
        <v>2436</v>
      </c>
      <c r="D51" s="17" t="s">
        <v>714</v>
      </c>
      <c r="E51" s="250"/>
      <c r="F51" s="250"/>
      <c r="G51" s="17"/>
      <c r="J51" s="249" t="s">
        <v>715</v>
      </c>
      <c r="K51" s="6">
        <f t="shared" si="160"/>
        <v>1</v>
      </c>
      <c r="L51" s="6">
        <f t="shared" si="160"/>
        <v>1</v>
      </c>
      <c r="M51" s="6">
        <f t="shared" si="160"/>
        <v>1</v>
      </c>
      <c r="N51" s="249">
        <f>SUM(N49:N50)</f>
        <v>202</v>
      </c>
      <c r="O51" s="249">
        <f>SUM(O49:O50)</f>
        <v>175</v>
      </c>
      <c r="P51" s="249">
        <f>SUM(P49:P50)</f>
        <v>34</v>
      </c>
      <c r="V51" s="11" t="s">
        <v>2450</v>
      </c>
      <c r="W51" s="6">
        <f t="shared" si="163"/>
        <v>4.4554455445544552E-2</v>
      </c>
      <c r="X51" s="6">
        <f t="shared" si="161"/>
        <v>8.2802547770700632E-2</v>
      </c>
      <c r="Y51" s="6">
        <f t="shared" si="162"/>
        <v>0.21590909090909091</v>
      </c>
      <c r="Z51" s="249">
        <f>COUNTIFS('DETALLES UNIDADES'!$BA$8:$BA$987,1,'DETALLES UNIDADES'!$AV$8:$AV$987,"&gt;$50000")</f>
        <v>9</v>
      </c>
      <c r="AA51" s="249">
        <f>COUNTIFS('DETALLES UNIDADES'!$BA$8:$BA$987,"&lt;6",'DETALLES UNIDADES'!$AV$8:$AV$987,"&gt;$50000")-Z51</f>
        <v>39</v>
      </c>
      <c r="AB51" s="249">
        <f>COUNTIFS('DETALLES UNIDADES'!$BA$8:$BA$987,"&gt;5",'DETALLES UNIDADES'!$AV$8:$AV$987,"&gt;$50000")</f>
        <v>57</v>
      </c>
      <c r="AH51" s="11" t="s">
        <v>11</v>
      </c>
      <c r="AI51" s="6">
        <f>(AL51+AO51)/(AL$58+AO$58)</f>
        <v>0.43373493975903615</v>
      </c>
      <c r="AJ51" s="6">
        <f t="shared" ref="AJ51:AJ58" si="164">(AM51+AP51)/(AM$58+AP$58)</f>
        <v>0.44027303754266212</v>
      </c>
      <c r="AK51" s="6">
        <f t="shared" ref="AK51:AK58" si="165">(AN51+AQ51)/(AN$58+AQ$58)</f>
        <v>0.40123456790123457</v>
      </c>
      <c r="AL51" s="249">
        <f>SUMIFS('ENCUESTA PROPIETARIOS'!$O$7:$O$417,'ENCUESTA PROPIETARIOS'!$N$7:$N$417,1)</f>
        <v>117</v>
      </c>
      <c r="AM51" s="249">
        <f>SUMIFS('ENCUESTA PROPIETARIOS'!$O$7:$O$417,'ENCUESTA PROPIETARIOS'!$N$7:$N$417,"&lt;6")-AL51</f>
        <v>244</v>
      </c>
      <c r="AN51" s="249">
        <f>SUMIFS('ENCUESTA PROPIETARIOS'!$O$7:$O$417,'ENCUESTA PROPIETARIOS'!$N$7:$N$417,"&gt;5")</f>
        <v>122</v>
      </c>
      <c r="AO51" s="249">
        <f>COUNTIFS('[1]ENCUESTA CONDUCTORES'!$DD$7:$DD$459,1,'[1]ENCUESTA CONDUCTORES'!$U$7:$U$459,"X")</f>
        <v>27</v>
      </c>
      <c r="AP51" s="249">
        <f>COUNTIFS('[1]ENCUESTA CONDUCTORES'!$DD$7:$DD$459,"&lt;6",'[1]ENCUESTA CONDUCTORES'!$U$7:$U$459,"X")-AO51</f>
        <v>143</v>
      </c>
      <c r="AQ51" s="249">
        <f>COUNTIFS('[1]ENCUESTA CONDUCTORES'!$DD$7:$DD$459,"&gt;5",'[1]ENCUESTA CONDUCTORES'!$U$7:$U$459,"X")</f>
        <v>73</v>
      </c>
      <c r="AT51" s="11">
        <f t="shared" si="75"/>
        <v>1</v>
      </c>
      <c r="AU51" s="9">
        <v>2013</v>
      </c>
      <c r="AV51" s="6">
        <f t="shared" si="68"/>
        <v>2.181818181818182E-2</v>
      </c>
      <c r="AW51" s="249">
        <f>COUNTIFS('DATOS 2'!$AA$5:$AA$1437,1,'DATOS 2'!$D$5:$D$1437,AU51)</f>
        <v>6</v>
      </c>
      <c r="AY51" s="19" t="s">
        <v>1733</v>
      </c>
      <c r="AZ51" s="6">
        <f t="shared" si="159"/>
        <v>0.10545454545454545</v>
      </c>
      <c r="BA51" s="6">
        <f t="shared" si="157"/>
        <v>0.1651006711409396</v>
      </c>
      <c r="BB51" s="6">
        <f t="shared" si="158"/>
        <v>0.13592233009708737</v>
      </c>
      <c r="BC51" s="249">
        <f>COUNTIFS('DATOS 2'!$AA$5:$AA$1437,1,'DATOS 2'!$G$5:$G$1437,"&lt;3.21")-BC50-BC49-BC48-BC47-BC46</f>
        <v>29</v>
      </c>
      <c r="BD51" s="249">
        <f>COUNTIFS('DATOS 2'!$AA$5:$AA$1437,"&lt;6",'DATOS 2'!$G$5:$G$1437,"&lt;3.21")-BD50-BD49-BD48-BD47-BD46-BC51-BC50-BC49-BC48-BC47-BC46</f>
        <v>123</v>
      </c>
      <c r="BE51" s="249">
        <f>COUNTIFS('DATOS 2'!$AA$5:$AA$1437,"&gt;5",'DATOS 2'!$G$5:$G$1437,"&lt;3.21")-BE50-BE49-BE48-BE47-BE46</f>
        <v>56</v>
      </c>
      <c r="BH51" s="11"/>
    </row>
    <row r="52" spans="1:76" x14ac:dyDescent="0.25">
      <c r="A52" s="137" t="s">
        <v>86</v>
      </c>
      <c r="B52" s="249">
        <f>COUNTIFS('DATOS 1'!$L$51:$L$427,1,'DATOS 1'!$CR$51:$CR$427,"X")</f>
        <v>34</v>
      </c>
      <c r="C52" s="249">
        <f>COUNTIFS('DATOS 1'!$L$51:$L$427,"&lt;6",'DATOS 1'!$CR$51:$CR$427,"X")-B52</f>
        <v>56</v>
      </c>
      <c r="D52" s="249">
        <f>COUNTIFS('DATOS 1'!$CR$7:$CR$40,"X")</f>
        <v>19</v>
      </c>
      <c r="J52" s="17"/>
      <c r="K52" s="17"/>
      <c r="L52" s="17"/>
      <c r="M52" s="17"/>
      <c r="N52" s="249">
        <f>+N51+O51+P51</f>
        <v>411</v>
      </c>
      <c r="V52" s="11" t="s">
        <v>715</v>
      </c>
      <c r="W52" s="6">
        <f t="shared" si="163"/>
        <v>1</v>
      </c>
      <c r="X52" s="6">
        <f t="shared" si="161"/>
        <v>1</v>
      </c>
      <c r="Y52" s="6">
        <f t="shared" si="162"/>
        <v>1</v>
      </c>
      <c r="Z52" s="249">
        <f>SUM(Z49:Z51)</f>
        <v>202</v>
      </c>
      <c r="AA52" s="249">
        <f t="shared" ref="AA52:AB52" si="166">SUM(AA49:AA51)</f>
        <v>471</v>
      </c>
      <c r="AB52" s="249">
        <f t="shared" si="166"/>
        <v>264</v>
      </c>
      <c r="AH52" s="11" t="s">
        <v>14</v>
      </c>
      <c r="AI52" s="6">
        <f t="shared" ref="AI52:AI58" si="167">(AL52+AO52)/(AL$58+AO$58)</f>
        <v>0.18975903614457831</v>
      </c>
      <c r="AJ52" s="6">
        <f t="shared" si="164"/>
        <v>0.17406143344709898</v>
      </c>
      <c r="AK52" s="6">
        <f t="shared" si="165"/>
        <v>0.21810699588477367</v>
      </c>
      <c r="AL52" s="249">
        <f>SUMIFS('ENCUESTA PROPIETARIOS'!$P$7:$P$417,'ENCUESTA PROPIETARIOS'!$N$7:$N$417,1)+SUMIFS('ENCUESTA PROPIETARIOS'!$R$7:$R$417,'ENCUESTA PROPIETARIOS'!$N$7:$N$417,1)</f>
        <v>55</v>
      </c>
      <c r="AM52" s="249">
        <f>SUMIFS('ENCUESTA PROPIETARIOS'!$P$7:$P$417,'ENCUESTA PROPIETARIOS'!$N$7:$N$417,"&lt;6")+SUMIFS('ENCUESTA PROPIETARIOS'!$R$7:$R$417,'ENCUESTA PROPIETARIOS'!$N$7:$N$417,"&lt;6")-AL52</f>
        <v>130</v>
      </c>
      <c r="AN52" s="249">
        <f>SUMIFS('ENCUESTA PROPIETARIOS'!$P$7:$P$417,'ENCUESTA PROPIETARIOS'!$N$7:$N$417,"&gt;5")+SUMIFS('ENCUESTA PROPIETARIOS'!$R$7:$R$417,'ENCUESTA PROPIETARIOS'!$N$7:$N$417,"&gt;5")</f>
        <v>91</v>
      </c>
      <c r="AO52" s="249">
        <f>COUNTIFS('[1]ENCUESTA CONDUCTORES'!$DD$7:$DD$459,1,'[1]ENCUESTA CONDUCTORES'!$V$7:$V$459,"X")+COUNTIFS('[1]ENCUESTA CONDUCTORES'!$DD$7:$DD$459,1,'[1]ENCUESTA CONDUCTORES'!$X$7:$X$459,"X")</f>
        <v>8</v>
      </c>
      <c r="AP52" s="249">
        <f>COUNTIFS('[1]ENCUESTA CONDUCTORES'!$DD$7:$DD$459,"&lt;6",'[1]ENCUESTA CONDUCTORES'!$V$7:$V$459,"X")+COUNTIFS('[1]ENCUESTA CONDUCTORES'!$DD$7:$DD$459,"&lt;6",'[1]ENCUESTA CONDUCTORES'!$X$7:$X$459,"X")-AO52</f>
        <v>23</v>
      </c>
      <c r="AQ52" s="249">
        <f>COUNTIFS('[1]ENCUESTA CONDUCTORES'!$DD$7:$DD$459,"&gt;5",'[1]ENCUESTA CONDUCTORES'!$V$7:$V$459,"X")+COUNTIFS('[1]ENCUESTA CONDUCTORES'!$DD$7:$DD$459,"&gt;5",'[1]ENCUESTA CONDUCTORES'!$X$7:$X$459,"X")</f>
        <v>15</v>
      </c>
      <c r="AT52" s="11">
        <f>2014-AU52</f>
        <v>0</v>
      </c>
      <c r="AU52" s="9">
        <v>2014</v>
      </c>
      <c r="AV52" s="6">
        <f t="shared" si="68"/>
        <v>0</v>
      </c>
      <c r="AW52" s="249">
        <f>COUNTIFS('DATOS 2'!$AA$5:$AA$1437,1,'DATOS 2'!$D$5:$D$1437,AU52)</f>
        <v>0</v>
      </c>
      <c r="AY52" s="19" t="s">
        <v>1734</v>
      </c>
      <c r="AZ52" s="6">
        <f t="shared" si="159"/>
        <v>0.24727272727272728</v>
      </c>
      <c r="BA52" s="6">
        <f t="shared" si="157"/>
        <v>8.9932885906040275E-2</v>
      </c>
      <c r="BB52" s="6">
        <f t="shared" si="158"/>
        <v>5.5825242718446605E-2</v>
      </c>
      <c r="BC52" s="249">
        <f>COUNTIFS('DATOS 2'!$AA$5:$AA$1437,1,'DATOS 2'!$G$5:$G$1437,"&lt;4.01")-BC51-BC50-BC49-BC48-BC47-BC46</f>
        <v>68</v>
      </c>
      <c r="BD52" s="249">
        <f>COUNTIFS('DATOS 2'!$AA$5:$AA$1437,"&lt;6",'DATOS 2'!$G$5:$G$1437,"&lt;4.01")-BD51-BD50-BD49-BD48-BD47-BD46-BC52-BC51-BC50-BC49-BC48-BC47-BC46</f>
        <v>67</v>
      </c>
      <c r="BE52" s="249">
        <f>COUNTIFS('DATOS 2'!$AA$5:$AA$1437,"&gt;5",'DATOS 2'!$G$5:$G$1437,"&lt;4.01")-BE51-BE50-BE49-BE48-BE47-BE46</f>
        <v>23</v>
      </c>
      <c r="BH52" s="11" t="s">
        <v>1749</v>
      </c>
      <c r="BI52" s="250" t="s">
        <v>2435</v>
      </c>
      <c r="BJ52" s="250" t="s">
        <v>2436</v>
      </c>
      <c r="BK52" s="250" t="s">
        <v>714</v>
      </c>
      <c r="BL52" s="250" t="s">
        <v>2433</v>
      </c>
      <c r="BM52" s="250" t="s">
        <v>2434</v>
      </c>
      <c r="BN52" s="250" t="s">
        <v>714</v>
      </c>
      <c r="BR52" s="112" t="s">
        <v>2470</v>
      </c>
      <c r="BW52" s="11"/>
      <c r="BX52" s="11"/>
    </row>
    <row r="53" spans="1:76" ht="25.5" x14ac:dyDescent="0.25">
      <c r="A53" s="137" t="s">
        <v>87</v>
      </c>
      <c r="B53" s="249">
        <f>COUNTIFS('DATOS 1'!$L$51:$L$427,1,'DATOS 1'!$CS$51:$CS$427,"X")</f>
        <v>28</v>
      </c>
      <c r="C53" s="249">
        <f>COUNTIFS('DATOS 1'!$L$51:$L$427,"&lt;6",'DATOS 1'!$CS$51:$CS$427,"X")-B53</f>
        <v>69</v>
      </c>
      <c r="D53" s="249">
        <f>COUNTIFS('DATOS 1'!$CS$7:$CS$40,"X")</f>
        <v>16</v>
      </c>
      <c r="K53" s="6"/>
      <c r="L53" s="6"/>
      <c r="M53" s="6"/>
      <c r="Z53" s="249">
        <f>+Z52+AA52+AB52</f>
        <v>937</v>
      </c>
      <c r="AH53" s="11" t="s">
        <v>1706</v>
      </c>
      <c r="AI53" s="6">
        <f t="shared" si="167"/>
        <v>5.4216867469879519E-2</v>
      </c>
      <c r="AJ53" s="6">
        <f t="shared" si="164"/>
        <v>8.3048919226393625E-2</v>
      </c>
      <c r="AK53" s="6">
        <f t="shared" si="165"/>
        <v>8.4362139917695478E-2</v>
      </c>
      <c r="AL53" s="249">
        <f>SUMIFS('ENCUESTA PROPIETARIOS'!$S$7:$S$417,'ENCUESTA PROPIETARIOS'!$N$7:$N$417,1)+SUMIFS('ENCUESTA PROPIETARIOS'!$T$7:$T$417,'ENCUESTA PROPIETARIOS'!$N$7:$N$417,1)</f>
        <v>15</v>
      </c>
      <c r="AM53" s="249">
        <f>SUMIFS('ENCUESTA PROPIETARIOS'!$S$7:$S$417,'ENCUESTA PROPIETARIOS'!$N$7:$N$417,"&lt;6")+SUMIFS('ENCUESTA PROPIETARIOS'!$T$7:$T$417,'ENCUESTA PROPIETARIOS'!$N$7:$N$417,"&lt;6")-AL53</f>
        <v>48</v>
      </c>
      <c r="AN53" s="249">
        <f>SUMIFS('ENCUESTA PROPIETARIOS'!$S$7:$S$417,'ENCUESTA PROPIETARIOS'!$N$7:$N$417,"&gt;5")+SUMIFS('ENCUESTA PROPIETARIOS'!$T$7:$T$417,'ENCUESTA PROPIETARIOS'!$N$7:$N$417,"&gt;5")</f>
        <v>28</v>
      </c>
      <c r="AO53" s="249">
        <f>COUNTIFS('[1]ENCUESTA CONDUCTORES'!$DD$7:$DD$459,1,'[1]ENCUESTA CONDUCTORES'!$Y$7:$Y$459,"X")+COUNTIFS('[1]ENCUESTA CONDUCTORES'!$DD$7:$DD$459,1,'[1]ENCUESTA CONDUCTORES'!$Z$7:$Z$459,"X")</f>
        <v>3</v>
      </c>
      <c r="AP53" s="249">
        <f>COUNTIFS('[1]ENCUESTA CONDUCTORES'!$DD$7:$DD$459,"&lt;6",'[1]ENCUESTA CONDUCTORES'!$Y$7:$Y$459,"X")+COUNTIFS('[1]ENCUESTA CONDUCTORES'!$DD$7:$DD$459,"&lt;6",'[1]ENCUESTA CONDUCTORES'!$Z$7:$Z$459,"X")-AO53</f>
        <v>25</v>
      </c>
      <c r="AQ53" s="249">
        <f>COUNTIFS('[1]ENCUESTA CONDUCTORES'!$DD$7:$DD$459,"&gt;5",'[1]ENCUESTA CONDUCTORES'!$Y$7:$Y$459,"X")+COUNTIFS('[1]ENCUESTA CONDUCTORES'!$DD$7:$DD$459,"&gt;5",'[1]ENCUESTA CONDUCTORES'!$Z$7:$Z$459,"X")</f>
        <v>13</v>
      </c>
      <c r="AT53" s="11"/>
      <c r="AU53" s="9" t="s">
        <v>715</v>
      </c>
      <c r="AV53" s="6">
        <f t="shared" si="68"/>
        <v>1</v>
      </c>
      <c r="AW53" s="249">
        <f>SUM(AW17:AW52)</f>
        <v>275</v>
      </c>
      <c r="AY53" s="19" t="s">
        <v>1735</v>
      </c>
      <c r="AZ53" s="6">
        <f t="shared" si="159"/>
        <v>0.10181818181818182</v>
      </c>
      <c r="BA53" s="6">
        <f t="shared" si="157"/>
        <v>0.11275167785234899</v>
      </c>
      <c r="BB53" s="6">
        <f t="shared" si="158"/>
        <v>2.9126213592233011E-2</v>
      </c>
      <c r="BC53" s="249">
        <f>COUNTIFS('DATOS 2'!$AA$5:$AA$1437,1,'DATOS 2'!$G$5:$G$1437,"&lt;6.01")-BC52-BC51-BC50-BC49-BC48-BC47-BC46</f>
        <v>28</v>
      </c>
      <c r="BD53" s="249">
        <f>COUNTIFS('DATOS 2'!$AA$5:$AA$1437,"&lt;6",'DATOS 2'!$G$5:$G$1437,"&lt;6.01")-BD52-BD51-BD50-BD49-BD48-BD47-BD46-BC53-BC52-BC51-BC50-BC49-BC48-BC47-BC46</f>
        <v>84</v>
      </c>
      <c r="BE53" s="249">
        <f>COUNTIFS('DATOS 2'!$AA$5:$AA$1437,"&gt;5",'DATOS 2'!$G$5:$G$1437,"&lt;6.01")-BE52-BE51-BE50-BE49-BE48-BE47-BE46</f>
        <v>12</v>
      </c>
      <c r="BH53" s="11" t="s">
        <v>1743</v>
      </c>
      <c r="BI53" s="6">
        <f>+BL53/BL$60</f>
        <v>6.985294117647059E-2</v>
      </c>
      <c r="BJ53" s="6">
        <f t="shared" ref="BJ53:BJ60" si="168">+BM53/BM$60</f>
        <v>7.8729281767955794E-2</v>
      </c>
      <c r="BK53" s="6">
        <f t="shared" ref="BK53:BK60" si="169">+BN53/BN$60</f>
        <v>5.6511056511056514E-2</v>
      </c>
      <c r="BL53" s="249">
        <f>COUNTIFS('DATOS 2'!$AA$5:$AA$1437,1,'DATOS 2'!$AD$5:$AD$1437,"&lt;10000")</f>
        <v>19</v>
      </c>
      <c r="BM53" s="249">
        <f>COUNTIFS('DATOS 2'!$AA$5:$AA$1437,"&lt;6",'DATOS 2'!$AD$5:$AD$1437,"&lt;10000")-BL53</f>
        <v>57</v>
      </c>
      <c r="BN53" s="249">
        <f>COUNTIFS('DATOS 2'!$AA$5:$AA$1437,"&gt;5",'DATOS 2'!$AD$5:$AD$1437,"&lt;10000")</f>
        <v>23</v>
      </c>
      <c r="BS53" s="250" t="s">
        <v>2435</v>
      </c>
      <c r="BT53" s="250" t="s">
        <v>2436</v>
      </c>
      <c r="BU53" s="250" t="s">
        <v>714</v>
      </c>
      <c r="BV53" s="250" t="s">
        <v>2433</v>
      </c>
      <c r="BW53" s="250" t="s">
        <v>2434</v>
      </c>
      <c r="BX53" s="250" t="s">
        <v>714</v>
      </c>
    </row>
    <row r="54" spans="1:76" x14ac:dyDescent="0.25">
      <c r="A54" s="137" t="s">
        <v>88</v>
      </c>
      <c r="B54" s="249">
        <f>COUNTIFS('DATOS 1'!$L$51:$L$427,1,'DATOS 1'!$CT$51:$CT$427,"X")</f>
        <v>9</v>
      </c>
      <c r="C54" s="249">
        <f>COUNTIFS('DATOS 1'!$L$51:$L$427,"&lt;6",'DATOS 1'!$CT$51:$CT$427,"X")-B54</f>
        <v>24</v>
      </c>
      <c r="D54" s="249">
        <f>COUNTIFS('DATOS 1'!$CT$7:$CT$40,"X")</f>
        <v>5</v>
      </c>
      <c r="N54" s="373" t="s">
        <v>1717</v>
      </c>
      <c r="O54" s="373"/>
      <c r="P54" s="373"/>
      <c r="Q54" s="373" t="s">
        <v>1718</v>
      </c>
      <c r="R54" s="373"/>
      <c r="S54" s="373"/>
      <c r="AH54" s="11" t="s">
        <v>824</v>
      </c>
      <c r="AI54" s="6">
        <f t="shared" si="167"/>
        <v>4.5180722891566265E-2</v>
      </c>
      <c r="AJ54" s="6">
        <f t="shared" si="164"/>
        <v>9.7838452787258251E-2</v>
      </c>
      <c r="AK54" s="6">
        <f t="shared" si="165"/>
        <v>4.9382716049382713E-2</v>
      </c>
      <c r="AL54" s="249">
        <f>SUMIFS('ENCUESTA PROPIETARIOS'!$V$7:$V$417,'ENCUESTA PROPIETARIOS'!$N$7:$N$417,1)</f>
        <v>15</v>
      </c>
      <c r="AM54" s="249">
        <f>SUMIFS('ENCUESTA PROPIETARIOS'!$V$7:$V$417,'ENCUESTA PROPIETARIOS'!$N$7:$N$417,"&lt;6")-AL54</f>
        <v>86</v>
      </c>
      <c r="AN54" s="249">
        <f>SUMIFS('ENCUESTA PROPIETARIOS'!$V$7:$V$417,'ENCUESTA PROPIETARIOS'!$N$7:$N$417,"&gt;5")</f>
        <v>24</v>
      </c>
      <c r="AO54" s="249">
        <f>COUNTIFS('[1]ENCUESTA CONDUCTORES'!$DD$7:$DD$459,1,'[1]ENCUESTA CONDUCTORES'!$AG$7:$AG$459,"PLATAFORMA")</f>
        <v>0</v>
      </c>
      <c r="AP54" s="249">
        <f>COUNTIFS('[1]ENCUESTA CONDUCTORES'!$DD$7:$DD$459,"&lt;6",'[1]ENCUESTA CONDUCTORES'!$AG$7:$AG$459,"PLATAFORMA")-AO54</f>
        <v>0</v>
      </c>
      <c r="AQ54" s="249">
        <f>COUNTIFS('[1]ENCUESTA CONDUCTORES'!$DD$7:$DD$459,"&gt;5",'[1]ENCUESTA CONDUCTORES'!$AG$7:$AG$459,"PLATAFORMA")</f>
        <v>0</v>
      </c>
      <c r="AT54" s="11"/>
      <c r="AU54" s="17"/>
      <c r="AV54" s="17"/>
      <c r="AW54" s="11">
        <f>(SUMPRODUCT(AT4:AT14,AW4:AW14)+SUMPRODUCT(AT18:AT52,AW18:AW52))/AW53</f>
        <v>16.872727272727271</v>
      </c>
      <c r="AY54" s="19" t="s">
        <v>1736</v>
      </c>
      <c r="AZ54" s="6">
        <f t="shared" si="159"/>
        <v>7.2727272727272727E-3</v>
      </c>
      <c r="BA54" s="6">
        <f t="shared" si="157"/>
        <v>1.2080536912751677E-2</v>
      </c>
      <c r="BB54" s="6">
        <f t="shared" si="158"/>
        <v>5.5825242718446605E-2</v>
      </c>
      <c r="BC54" s="249">
        <f>COUNTIFS('DATOS 2'!$AA$5:$AA$1437,1,'DATOS 2'!$G$5:$G$1437,"&gt;6.00")</f>
        <v>2</v>
      </c>
      <c r="BD54" s="249">
        <f>COUNTIFS('DATOS 2'!$AA$5:$AA$1437,"&lt;6",'DATOS 2'!$G$5:$G$1437,"&gt;6.00")-BC54</f>
        <v>9</v>
      </c>
      <c r="BE54" s="249">
        <f>COUNTIFS('DATOS 2'!$AA$5:$AA$1437,"&gt;5",'DATOS 2'!$G$5:$G$1437,"&gt;6.00")</f>
        <v>23</v>
      </c>
      <c r="BH54" s="11" t="s">
        <v>954</v>
      </c>
      <c r="BI54" s="6">
        <f t="shared" ref="BI54:BI60" si="170">+BL54/BL$60</f>
        <v>0.11029411764705882</v>
      </c>
      <c r="BJ54" s="6">
        <f t="shared" si="168"/>
        <v>0.15745856353591159</v>
      </c>
      <c r="BK54" s="6">
        <f t="shared" si="169"/>
        <v>0.18427518427518427</v>
      </c>
      <c r="BL54" s="249">
        <f>COUNTIFS('DATOS 2'!$AA$5:$AA$1437,1,'DATOS 2'!$AD$5:$AD$1437,"&lt;15001")-BL53</f>
        <v>30</v>
      </c>
      <c r="BM54" s="249">
        <f>COUNTIFS('DATOS 2'!$AA$5:$AA$1437,"&lt;6",'DATOS 2'!$AD$5:$AD$1437,"&lt;15001")-BM53-BL54-BL53</f>
        <v>114</v>
      </c>
      <c r="BN54" s="249">
        <f>COUNTIFS('DATOS 2'!$AA$5:$AA$1437,"&gt;5",'DATOS 2'!$AD$5:$AD$1437,"&lt;15001")-BN53</f>
        <v>75</v>
      </c>
      <c r="BQ54" s="249">
        <v>1</v>
      </c>
      <c r="BR54" s="141" t="s">
        <v>854</v>
      </c>
      <c r="BS54" s="6">
        <f>+BV54/BV$60</f>
        <v>0.42</v>
      </c>
      <c r="BT54" s="6">
        <f>+BW54/BW$60</f>
        <v>0.30635838150289019</v>
      </c>
      <c r="BU54" s="6">
        <f t="shared" ref="BU54:BU60" si="171">+BX54/BX$60</f>
        <v>0.21212121212121213</v>
      </c>
      <c r="BV54" s="249">
        <f>COUNTIFS('ENCUESTA PROPIETARIOS'!$N$7:$N$417,1,'ENCUESTA PROPIETARIOS'!$CO$7:$CO$417,$BQ54)</f>
        <v>84</v>
      </c>
      <c r="BW54" s="249">
        <f>COUNTIFS('ENCUESTA PROPIETARIOS'!$N$7:$N$417,"&lt;6",'ENCUESTA PROPIETARIOS'!$CO$7:$CO$417,$BQ54)-BV54</f>
        <v>53</v>
      </c>
      <c r="BX54" s="249">
        <f>COUNTIFS('ENCUESTA PROPIETARIOS'!$N$7:$N$417,"&gt;5",'ENCUESTA PROPIETARIOS'!$CO$7:$CO$417,$BQ54)</f>
        <v>7</v>
      </c>
    </row>
    <row r="55" spans="1:76" x14ac:dyDescent="0.25">
      <c r="A55" s="137" t="s">
        <v>89</v>
      </c>
      <c r="B55" s="249">
        <f>COUNTIFS('DATOS 1'!$L$51:$L$427,1,'DATOS 1'!$CU$51:$CU$427,"X")</f>
        <v>4</v>
      </c>
      <c r="C55" s="249">
        <f>COUNTIFS('DATOS 1'!$L$51:$L$427,"&lt;6",'DATOS 1'!$CU$51:$CU$427,"X")-B55</f>
        <v>16</v>
      </c>
      <c r="D55" s="249">
        <f>COUNTIFS('DATOS 1'!$CU$7:$CU$40,"X")</f>
        <v>6</v>
      </c>
      <c r="J55" s="11" t="s">
        <v>848</v>
      </c>
      <c r="K55" s="250" t="s">
        <v>2435</v>
      </c>
      <c r="L55" s="250" t="s">
        <v>2436</v>
      </c>
      <c r="M55" s="17" t="s">
        <v>714</v>
      </c>
      <c r="N55" s="250" t="s">
        <v>2433</v>
      </c>
      <c r="O55" s="250" t="s">
        <v>2434</v>
      </c>
      <c r="P55" s="17" t="s">
        <v>714</v>
      </c>
      <c r="Q55" s="250" t="s">
        <v>2433</v>
      </c>
      <c r="R55" s="250" t="s">
        <v>2434</v>
      </c>
      <c r="S55" s="17" t="s">
        <v>714</v>
      </c>
      <c r="V55" s="11" t="s">
        <v>1801</v>
      </c>
      <c r="W55" s="250" t="s">
        <v>2435</v>
      </c>
      <c r="X55" s="250" t="s">
        <v>2436</v>
      </c>
      <c r="Y55" s="17" t="s">
        <v>714</v>
      </c>
      <c r="Z55" s="250" t="s">
        <v>2433</v>
      </c>
      <c r="AA55" s="250" t="s">
        <v>2434</v>
      </c>
      <c r="AB55" s="17" t="s">
        <v>714</v>
      </c>
      <c r="AC55" s="250"/>
      <c r="AH55" s="11" t="s">
        <v>1709</v>
      </c>
      <c r="AI55" s="6">
        <f t="shared" si="167"/>
        <v>5.4216867469879519E-2</v>
      </c>
      <c r="AJ55" s="6">
        <f t="shared" si="164"/>
        <v>3.0716723549488054E-2</v>
      </c>
      <c r="AK55" s="6">
        <f t="shared" si="165"/>
        <v>3.7037037037037035E-2</v>
      </c>
      <c r="AL55" s="249">
        <f>SUMIFS('ENCUESTA PROPIETARIOS'!$U$7:$U$417,'ENCUESTA PROPIETARIOS'!$N$7:$N$417,1)+SUMIFS('ENCUESTA PROPIETARIOS'!$W$7:$W$417,'ENCUESTA PROPIETARIOS'!$N$7:$N$417,1)+SUMIFS('ENCUESTA PROPIETARIOS'!$Y$7:$Y$417,'ENCUESTA PROPIETARIOS'!$N$7:$N$417,1)</f>
        <v>18</v>
      </c>
      <c r="AM55" s="249">
        <f>SUMIFS('ENCUESTA PROPIETARIOS'!$U$7:$U$417,'ENCUESTA PROPIETARIOS'!$N$7:$N$417,"&lt;6")+SUMIFS('ENCUESTA PROPIETARIOS'!$W$7:$W$417,'ENCUESTA PROPIETARIOS'!$N$7:$N$417,"&lt;6")+SUMIFS('ENCUESTA PROPIETARIOS'!$Y$7:$Y$417,'ENCUESTA PROPIETARIOS'!$N$7:$N$417,"&lt;6")-AL55</f>
        <v>27</v>
      </c>
      <c r="AN55" s="249">
        <f>SUMIFS('ENCUESTA PROPIETARIOS'!$U$7:$U$417,'ENCUESTA PROPIETARIOS'!$N$7:$N$417,"&gt;5")+SUMIFS('ENCUESTA PROPIETARIOS'!$W$7:$W$417,'ENCUESTA PROPIETARIOS'!$N$7:$N$417,"&gt;5")+SUMIFS('ENCUESTA PROPIETARIOS'!$Y$7:$Y$417,'ENCUESTA PROPIETARIOS'!$N$7:$N$417,"&gt;5")</f>
        <v>18</v>
      </c>
      <c r="AO55" s="249">
        <f>COUNTIFS('[1]ENCUESTA CONDUCTORES'!$DD$7:$DD$459,1,'[1]ENCUESTA CONDUCTORES'!$AG$7:$AG$459,"TOLVA")+COUNTIFS('[1]ENCUESTA CONDUCTORES'!$DD$7:$DD$459,1,'[1]ENCUESTA CONDUCTORES'!$AG$7:$AG$459,"VOLTEO")+COUNTIFS('[1]ENCUESTA CONDUCTORES'!$DD$7:$DD$459,1,'[1]ENCUESTA CONDUCTORES'!$AG$7:$AG$459,"GONDOLA")</f>
        <v>0</v>
      </c>
      <c r="AP55" s="249">
        <f>COUNTIFS('[1]ENCUESTA CONDUCTORES'!$DD$7:$DD$459,"&lt;6",'[1]ENCUESTA CONDUCTORES'!$AG$7:$AG$459,"TOLVA")+COUNTIFS('[1]ENCUESTA CONDUCTORES'!$DD$7:$DD$459,"&lt;6",'[1]ENCUESTA CONDUCTORES'!$AG$7:$AG$459,"VOLTEO")+COUNTIFS('[1]ENCUESTA CONDUCTORES'!$DD$7:$DD$459,"&lt;6",'[1]ENCUESTA CONDUCTORES'!$AG$7:$AG$459,"GONDOLA")-AO55</f>
        <v>0</v>
      </c>
      <c r="AQ55" s="249">
        <f>COUNTIFS('[1]ENCUESTA CONDUCTORES'!$DD$7:$DD$459,"&gt;5",'[1]ENCUESTA CONDUCTORES'!$AG$7:$AG$459,"TOLVA")+COUNTIFS('[1]ENCUESTA CONDUCTORES'!$DD$7:$DD$459,"&gt;5",'[1]ENCUESTA CONDUCTORES'!$AG$7:$AG$459,"VOLTEO")+COUNTIFS('[1]ENCUESTA CONDUCTORES'!$DD$7:$DD$459,"&gt;5",'[1]ENCUESTA CONDUCTORES'!$AG$7:$AG$459,"GONDOLA")</f>
        <v>0</v>
      </c>
      <c r="AT55" s="17"/>
      <c r="AU55" s="17"/>
      <c r="AV55" s="17"/>
      <c r="AY55" s="19" t="s">
        <v>715</v>
      </c>
      <c r="AZ55" s="6">
        <f t="shared" si="159"/>
        <v>1</v>
      </c>
      <c r="BA55" s="6">
        <f t="shared" si="157"/>
        <v>1</v>
      </c>
      <c r="BB55" s="6">
        <f t="shared" si="158"/>
        <v>1</v>
      </c>
      <c r="BC55" s="249">
        <f>SUM(BC46:BC54)</f>
        <v>275</v>
      </c>
      <c r="BD55" s="249">
        <f>SUM(BD46:BD54)</f>
        <v>745</v>
      </c>
      <c r="BE55" s="249">
        <f>SUM(BE46:BE54)</f>
        <v>412</v>
      </c>
      <c r="BH55" s="11" t="s">
        <v>1744</v>
      </c>
      <c r="BI55" s="6">
        <f t="shared" si="170"/>
        <v>9.1911764705882359E-2</v>
      </c>
      <c r="BJ55" s="6">
        <f t="shared" si="168"/>
        <v>0.10911602209944751</v>
      </c>
      <c r="BK55" s="6">
        <f t="shared" si="169"/>
        <v>7.6167076167076173E-2</v>
      </c>
      <c r="BL55" s="249">
        <f>COUNTIFS('DATOS 2'!$AA$5:$AA$1437,1,'DATOS 2'!$AD$5:$AD$1437,"&lt;20001")-BL54-BL53</f>
        <v>25</v>
      </c>
      <c r="BM55" s="249">
        <f>COUNTIFS('DATOS 2'!$AA$5:$AA$1437,"&lt;6",'DATOS 2'!$AD$5:$AD$1437,"&lt;20001")-BM54-BM53-BL55-BL54-BL53</f>
        <v>79</v>
      </c>
      <c r="BN55" s="249">
        <f>COUNTIFS('DATOS 2'!$AA$5:$AA$1437,"&gt;5",'DATOS 2'!$AD$5:$AD$1437,"&lt;20001")-BN54-BN53</f>
        <v>31</v>
      </c>
      <c r="BQ55" s="249">
        <v>2</v>
      </c>
      <c r="BR55" s="141" t="s">
        <v>902</v>
      </c>
      <c r="BS55" s="6">
        <f t="shared" ref="BS55:BS60" si="172">+BV55/BV$60</f>
        <v>0.18</v>
      </c>
      <c r="BT55" s="6">
        <f t="shared" ref="BT55:BT60" si="173">+BW55/BW$60</f>
        <v>0.19653179190751446</v>
      </c>
      <c r="BU55" s="6">
        <f t="shared" si="171"/>
        <v>0.15151515151515152</v>
      </c>
      <c r="BV55" s="249">
        <f>COUNTIFS('ENCUESTA PROPIETARIOS'!$N$7:$N$417,1,'ENCUESTA PROPIETARIOS'!$CO$7:$CO$417,$BQ55)</f>
        <v>36</v>
      </c>
      <c r="BW55" s="249">
        <f>COUNTIFS('ENCUESTA PROPIETARIOS'!$N$7:$N$417,"&lt;6",'ENCUESTA PROPIETARIOS'!$CO$7:$CO$417,$BQ55)-BV55</f>
        <v>34</v>
      </c>
      <c r="BX55" s="249">
        <f>COUNTIFS('ENCUESTA PROPIETARIOS'!$N$7:$N$417,"&gt;5",'ENCUESTA PROPIETARIOS'!$CO$7:$CO$417,$BQ55)</f>
        <v>5</v>
      </c>
    </row>
    <row r="56" spans="1:76" x14ac:dyDescent="0.25">
      <c r="A56" s="137" t="s">
        <v>90</v>
      </c>
      <c r="B56" s="249">
        <f>COUNTIFS('DATOS 1'!$L$51:$L$427,1,'DATOS 1'!$CV$51:$CV$427,"X")</f>
        <v>63</v>
      </c>
      <c r="C56" s="249">
        <f>COUNTIFS('DATOS 1'!$L$51:$L$427,"&lt;6",'DATOS 1'!$CV$51:$CV$427,"X")-B56</f>
        <v>76</v>
      </c>
      <c r="D56" s="249">
        <f>COUNTIFS('DATOS 1'!$CV$7:$CV$40,"X")</f>
        <v>19</v>
      </c>
      <c r="J56" s="157" t="s">
        <v>1691</v>
      </c>
      <c r="K56" s="6">
        <f>(N56+Q56)/(N$61+Q$61)</f>
        <v>4.3478260869565216E-2</v>
      </c>
      <c r="L56" s="6">
        <f t="shared" ref="L56:L61" si="174">(O56+R56)/(O$61+R$61)</f>
        <v>3.6717062634989202E-2</v>
      </c>
      <c r="M56" s="6">
        <f t="shared" ref="M56:M61" si="175">(P56+S56)/(P$61+S$61)</f>
        <v>3.048780487804878E-2</v>
      </c>
      <c r="N56" s="249">
        <f>COUNTIFS('DATOS 1'!$L$51:$L$427,1,'DATOS 1'!$AR$51:$AR$427,"X")</f>
        <v>6</v>
      </c>
      <c r="O56" s="249">
        <f>COUNTIFS('DATOS 1'!$L$51:$L$427,"&lt;6",'DATOS 1'!$AR$51:$AR$427,"X")-N56</f>
        <v>11</v>
      </c>
      <c r="P56" s="249">
        <f>COUNTIF('DATOS 1'!$AR$7:$AR$40,"X")</f>
        <v>2</v>
      </c>
      <c r="Q56" s="249">
        <f>COUNTIFS('[1]ENCUESTA CONDUCTORES'!E$7:E$459,"X",'[1]ENCUESTA CONDUCTORES'!$BT$7:$BT$459,"X")</f>
        <v>6</v>
      </c>
      <c r="R56" s="249">
        <f>COUNTIFS('[1]ENCUESTA CONDUCTORES'!F$7:F$459,"X",'[1]ENCUESTA CONDUCTORES'!$BT$7:$BT$459,"X")+COUNTIFS('[1]ENCUESTA CONDUCTORES'!G$7:G$459,"X",'[1]ENCUESTA CONDUCTORES'!$BT$7:$BT$459,"X")</f>
        <v>6</v>
      </c>
      <c r="S56" s="249">
        <f>COUNTIFS('[1]ENCUESTA CONDUCTORES'!H$7:H$459,"X",'[1]ENCUESTA CONDUCTORES'!$BT$7:$BT$459,"X")</f>
        <v>3</v>
      </c>
      <c r="V56" s="11" t="s">
        <v>2451</v>
      </c>
      <c r="W56" s="6">
        <f>+Z56/Z$60</f>
        <v>0.42105263157894735</v>
      </c>
      <c r="X56" s="6">
        <f t="shared" ref="X56:X60" si="176">+AA56/AA$60</f>
        <v>0.38095238095238093</v>
      </c>
      <c r="Y56" s="6">
        <f t="shared" ref="Y56:Y60" si="177">+AB56/AB$60</f>
        <v>0.27083333333333331</v>
      </c>
      <c r="Z56" s="249">
        <f>COUNTIFS('DETALLES UNIDADES'!$BA$8:$BA$987,1,'DETALLES UNIDADES'!$AW$8:$AW$987,"&lt;$10000")</f>
        <v>88</v>
      </c>
      <c r="AA56" s="249">
        <f>COUNTIFS('DETALLES UNIDADES'!$BA$8:$BA$987,"&lt;6",'DETALLES UNIDADES'!$AW$8:$AW$987,"&lt;$10000")-Z56</f>
        <v>184</v>
      </c>
      <c r="AB56" s="249">
        <f>COUNTIFS('DETALLES UNIDADES'!$BA$8:$BA$987,"&gt;5",'DETALLES UNIDADES'!$AW$8:$AW$987,"&lt;$10000")</f>
        <v>78</v>
      </c>
      <c r="AH56" s="11" t="s">
        <v>1707</v>
      </c>
      <c r="AI56" s="6">
        <f t="shared" si="167"/>
        <v>0.18975903614457831</v>
      </c>
      <c r="AJ56" s="6">
        <f t="shared" si="164"/>
        <v>7.6222980659840733E-2</v>
      </c>
      <c r="AK56" s="6">
        <f t="shared" si="165"/>
        <v>3.4979423868312758E-2</v>
      </c>
      <c r="AL56" s="249">
        <f>SUMIFS('ENCUESTA PROPIETARIOS'!$X$7:$X$417,'ENCUESTA PROPIETARIOS'!$N$7:$N$417,1)+SUMIFS('ENCUESTA PROPIETARIOS'!$Z$7:$Z$417,'ENCUESTA PROPIETARIOS'!$N$7:$N$417,1)</f>
        <v>63</v>
      </c>
      <c r="AM56" s="249">
        <f>SUMIFS('ENCUESTA PROPIETARIOS'!$X$7:$X$417,'ENCUESTA PROPIETARIOS'!$N$7:$N$417,"&lt;6")+SUMIFS('ENCUESTA PROPIETARIOS'!$Z$7:$Z$417,'ENCUESTA PROPIETARIOS'!$N$7:$N$417,"&lt;6")-AL56</f>
        <v>67</v>
      </c>
      <c r="AN56" s="249">
        <f>SUMIFS('ENCUESTA PROPIETARIOS'!$X$7:$X$417,'ENCUESTA PROPIETARIOS'!$N$7:$N$417,"&gt;5")+SUMIFS('ENCUESTA PROPIETARIOS'!$Z$7:$Z$417,'ENCUESTA PROPIETARIOS'!$N$7:$N$417,"&gt;5")</f>
        <v>17</v>
      </c>
      <c r="AO56" s="249">
        <f>COUNTIFS('[1]ENCUESTA CONDUCTORES'!$DD$7:$DD$459,1,'[1]ENCUESTA CONDUCTORES'!$AG$7:$AG$459,"REDILAS")+COUNTIFS('[1]ENCUESTA CONDUCTORES'!$DD$7:$DD$459,1,'[1]ENCUESTA CONDUCTORES'!$AG$7:$AG$459,"JAULA")</f>
        <v>0</v>
      </c>
      <c r="AP56" s="249">
        <f>COUNTIFS('[1]ENCUESTA CONDUCTORES'!$DD$7:$DD$459,"&lt;6",'[1]ENCUESTA CONDUCTORES'!$AG$7:$AG$459,"REDILAS")+COUNTIFS('[1]ENCUESTA CONDUCTORES'!$DD$7:$DD$459,"&lt;6",'[1]ENCUESTA CONDUCTORES'!$AG$7:$AG$459,"JAULA")-AO56</f>
        <v>0</v>
      </c>
      <c r="AQ56" s="249">
        <f>COUNTIFS('[1]ENCUESTA CONDUCTORES'!$DD$7:$DD$459,"&gt;5",'[1]ENCUESTA CONDUCTORES'!$AG$7:$AG$459,"REDILAS")+COUNTIFS('[1]ENCUESTA CONDUCTORES'!$DD$7:$DD$459,"&gt;5",'[1]ENCUESTA CONDUCTORES'!$AG$7:$AG$459,"JAULA")</f>
        <v>0</v>
      </c>
      <c r="AT56" s="17"/>
      <c r="AY56" s="11"/>
      <c r="BH56" s="11" t="s">
        <v>1745</v>
      </c>
      <c r="BI56" s="6">
        <f t="shared" si="170"/>
        <v>7.3529411764705885E-2</v>
      </c>
      <c r="BJ56" s="6">
        <f t="shared" si="168"/>
        <v>7.3204419889502756E-2</v>
      </c>
      <c r="BK56" s="6">
        <f t="shared" si="169"/>
        <v>0.11547911547911548</v>
      </c>
      <c r="BL56" s="249">
        <f>COUNTIFS('DATOS 2'!$AA$5:$AA$1437,1,'DATOS 2'!$AD$5:$AD$1437,"&lt;25001")-BL55-BL54-BL53</f>
        <v>20</v>
      </c>
      <c r="BM56" s="249">
        <f>COUNTIFS('DATOS 2'!$AA$5:$AA$1437,"&lt;6",'DATOS 2'!$AD$5:$AD$1437,"&lt;25001")-BM55-BM54-BM53-BL56-BL55-BL54-BL53</f>
        <v>53</v>
      </c>
      <c r="BN56" s="249">
        <f>COUNTIFS('DATOS 2'!$AA$5:$AA$1437,"&gt;5",'DATOS 2'!$AD$5:$AD$1437,"&lt;25001")-BN55-BN54-BN53</f>
        <v>47</v>
      </c>
      <c r="BQ56" s="249">
        <v>3</v>
      </c>
      <c r="BR56" s="141" t="s">
        <v>903</v>
      </c>
      <c r="BS56" s="6">
        <f t="shared" si="172"/>
        <v>0.19500000000000001</v>
      </c>
      <c r="BT56" s="6">
        <f t="shared" si="173"/>
        <v>0.24855491329479767</v>
      </c>
      <c r="BU56" s="6">
        <f t="shared" si="171"/>
        <v>0.36363636363636365</v>
      </c>
      <c r="BV56" s="249">
        <f>COUNTIFS('ENCUESTA PROPIETARIOS'!$N$7:$N$417,1,'ENCUESTA PROPIETARIOS'!$CO$7:$CO$417,$BQ56)</f>
        <v>39</v>
      </c>
      <c r="BW56" s="249">
        <f>COUNTIFS('ENCUESTA PROPIETARIOS'!$N$7:$N$417,"&lt;6",'ENCUESTA PROPIETARIOS'!$CO$7:$CO$417,$BQ56)-BV56</f>
        <v>43</v>
      </c>
      <c r="BX56" s="249">
        <f>COUNTIFS('ENCUESTA PROPIETARIOS'!$N$7:$N$417,"&gt;5",'ENCUESTA PROPIETARIOS'!$CO$7:$CO$417,$BQ56)</f>
        <v>12</v>
      </c>
    </row>
    <row r="57" spans="1:76" x14ac:dyDescent="0.25">
      <c r="A57" s="137" t="s">
        <v>91</v>
      </c>
      <c r="B57" s="249">
        <f>COUNTIFS('DATOS 1'!$L$51:$L$427,1,'DATOS 1'!$CW$51:$CW$427,"X")</f>
        <v>4</v>
      </c>
      <c r="C57" s="249">
        <f>COUNTIFS('DATOS 1'!$L$51:$L$427,"&lt;6",'DATOS 1'!$CW$51:$CW$427,"X")-B57</f>
        <v>20</v>
      </c>
      <c r="D57" s="249">
        <f>COUNTIFS('DATOS 1'!$CW$7:$CW$40,"X")</f>
        <v>11</v>
      </c>
      <c r="J57" s="157" t="s">
        <v>1692</v>
      </c>
      <c r="K57" s="6">
        <f t="shared" ref="K57:K61" si="178">(N57+Q57)/(N$61+Q$61)</f>
        <v>0.52536231884057971</v>
      </c>
      <c r="L57" s="6">
        <f t="shared" si="174"/>
        <v>0.46436285097192226</v>
      </c>
      <c r="M57" s="6">
        <f t="shared" si="175"/>
        <v>0.46951219512195119</v>
      </c>
      <c r="N57" s="249">
        <f>COUNTIFS('DATOS 1'!$L$51:$L$427,1,'DATOS 1'!$AS$51:$AS$427,"X")</f>
        <v>112</v>
      </c>
      <c r="O57" s="249">
        <f>COUNTIFS('DATOS 1'!$L$51:$L$427,"&lt;6",'DATOS 1'!$AS$51:$AS$427,"X")-N57</f>
        <v>81</v>
      </c>
      <c r="P57" s="249">
        <f>COUNTIF('DATOS 1'!$AS$7:$AS$40,"X")</f>
        <v>13</v>
      </c>
      <c r="Q57" s="249">
        <f>COUNTIFS('[1]ENCUESTA CONDUCTORES'!E$7:E$459,"X",'[1]ENCUESTA CONDUCTORES'!$BU$7:$BU$459,"X")</f>
        <v>33</v>
      </c>
      <c r="R57" s="249">
        <f>COUNTIFS('[1]ENCUESTA CONDUCTORES'!F$7:F$459,"X",'[1]ENCUESTA CONDUCTORES'!$BU$7:$BU$459,"X")+COUNTIFS('[1]ENCUESTA CONDUCTORES'!G$7:G$459,"X",'[1]ENCUESTA CONDUCTORES'!$BU$7:$BU$459,"X")</f>
        <v>134</v>
      </c>
      <c r="S57" s="249">
        <f>COUNTIFS('[1]ENCUESTA CONDUCTORES'!H$7:H$459,"X",'[1]ENCUESTA CONDUCTORES'!$BU$7:$BU$459,"X")</f>
        <v>64</v>
      </c>
      <c r="V57" s="11" t="s">
        <v>1807</v>
      </c>
      <c r="W57" s="6">
        <f t="shared" ref="W57:W60" si="179">+Z57/Z$60</f>
        <v>0.37320574162679426</v>
      </c>
      <c r="X57" s="6">
        <f t="shared" si="176"/>
        <v>0.35610766045548653</v>
      </c>
      <c r="Y57" s="6">
        <f t="shared" si="177"/>
        <v>0.46875</v>
      </c>
      <c r="Z57" s="249">
        <f>COUNTIFS('DETALLES UNIDADES'!$BA$8:$BA$987,1,'DETALLES UNIDADES'!$AW$8:$AW$987,"&lt;$20001")-Z56</f>
        <v>78</v>
      </c>
      <c r="AA57" s="249">
        <f>COUNTIFS('DETALLES UNIDADES'!$BA$8:$BA$987,"&lt;6",'DETALLES UNIDADES'!$AW$8:$AW$987,"&lt;$20001")-AA56-Z57-Z56</f>
        <v>172</v>
      </c>
      <c r="AB57" s="249">
        <f>COUNTIFS('DETALLES UNIDADES'!$BA$8:$BA$987,"&gt;5",'DETALLES UNIDADES'!$AW$8:$AW$987,"&lt;$20001")-AB56</f>
        <v>135</v>
      </c>
      <c r="AH57" s="11" t="s">
        <v>1708</v>
      </c>
      <c r="AI57" s="6">
        <f t="shared" si="167"/>
        <v>3.313253012048193E-2</v>
      </c>
      <c r="AJ57" s="6">
        <f t="shared" si="164"/>
        <v>9.7838452787258251E-2</v>
      </c>
      <c r="AK57" s="6">
        <f t="shared" si="165"/>
        <v>0.17489711934156379</v>
      </c>
      <c r="AL57" s="249">
        <f>SUMIFS('ENCUESTA PROPIETARIOS'!$Q$7:$Q$417,'ENCUESTA PROPIETARIOS'!$N$7:$N$417,1)+SUMIFS('ENCUESTA PROPIETARIOS'!$AA$7:$AA$417,'ENCUESTA PROPIETARIOS'!$N$7:$N$417,1)</f>
        <v>8</v>
      </c>
      <c r="AM57" s="249">
        <f>SUMIFS('ENCUESTA PROPIETARIOS'!$Q$7:$Q$417,'ENCUESTA PROPIETARIOS'!$N$7:$N$417,"&lt;6")+SUMIFS('ENCUESTA PROPIETARIOS'!$AA$7:$AA$417,'ENCUESTA PROPIETARIOS'!$N$7:$N$417,"&lt;6")-AL57</f>
        <v>83</v>
      </c>
      <c r="AN57" s="249">
        <f>SUMIFS('ENCUESTA PROPIETARIOS'!$Q$7:$Q$417,'ENCUESTA PROPIETARIOS'!$N$7:$N$417,"&gt;5")+SUMIFS('ENCUESTA PROPIETARIOS'!$AA$7:$AA$417,'ENCUESTA PROPIETARIOS'!$N$7:$N$417,"&gt;5")</f>
        <v>84</v>
      </c>
      <c r="AO57" s="249">
        <f>COUNTIFS('[1]ENCUESTA CONDUCTORES'!$DD$7:$DD$459,1,'[1]ENCUESTA CONDUCTORES'!$W$7:$W$459,"X")+COUNTIFS('[1]ENCUESTA CONDUCTORES'!$DD$7:$DD$459,1,'[1]ENCUESTA CONDUCTORES'!$AG$7:$AG$459,"FULL")</f>
        <v>3</v>
      </c>
      <c r="AP57" s="249">
        <f>COUNTIFS('[1]ENCUESTA CONDUCTORES'!$DD$7:$DD$459,"&lt;6",'[1]ENCUESTA CONDUCTORES'!$W$7:$W$459,"X")+COUNTIFS('[1]ENCUESTA CONDUCTORES'!$DD$7:$DD$459,"&lt;6",'[1]ENCUESTA CONDUCTORES'!$AG$7:$AG$459,"FULL")-AO57</f>
        <v>3</v>
      </c>
      <c r="AQ57" s="249">
        <f>COUNTIFS('[1]ENCUESTA CONDUCTORES'!$DD$7:$DD$459,"&gt;5",'[1]ENCUESTA CONDUCTORES'!$W$7:$W$459,"X")+COUNTIFS('[1]ENCUESTA CONDUCTORES'!$DD$7:$DD$459,"&gt;5",'[1]ENCUESTA CONDUCTORES'!$AG$7:$AG$459,"FULL")</f>
        <v>1</v>
      </c>
      <c r="AT57" s="17"/>
      <c r="AU57" s="17"/>
      <c r="AV57" s="249" t="s">
        <v>1676</v>
      </c>
      <c r="AW57" s="17"/>
      <c r="BH57" s="11" t="s">
        <v>1751</v>
      </c>
      <c r="BI57" s="6">
        <f t="shared" si="170"/>
        <v>8.8235294117647065E-2</v>
      </c>
      <c r="BJ57" s="6">
        <f t="shared" si="168"/>
        <v>0.12292817679558012</v>
      </c>
      <c r="BK57" s="6">
        <f t="shared" si="169"/>
        <v>0.12530712530712532</v>
      </c>
      <c r="BL57" s="249">
        <f>COUNTIFS('DATOS 2'!$AA$5:$AA$1437,1,'DATOS 2'!$AD$5:$AD$1437,"&lt;35001")-BL56-BL55-BL54-BL53</f>
        <v>24</v>
      </c>
      <c r="BM57" s="249">
        <f>COUNTIFS('DATOS 2'!$AA$5:$AA$1437,"&lt;6",'DATOS 2'!$AD$5:$AD$1437,"&lt;35001")-BM56-BM55-BM54-BM53-BL57-BL56-BL55-BL54-BL53</f>
        <v>89</v>
      </c>
      <c r="BN57" s="249">
        <f>COUNTIFS('DATOS 2'!$AA$5:$AA$1437,"&gt;5",'DATOS 2'!$AD$5:$AD$1437,"&lt;35001")-BN56-BN55-BN54-BN53</f>
        <v>51</v>
      </c>
      <c r="BQ57" s="249">
        <v>4</v>
      </c>
      <c r="BR57" s="141" t="s">
        <v>904</v>
      </c>
      <c r="BS57" s="6">
        <f t="shared" si="172"/>
        <v>0.12</v>
      </c>
      <c r="BT57" s="6">
        <f t="shared" si="173"/>
        <v>0.12716763005780346</v>
      </c>
      <c r="BU57" s="6">
        <f t="shared" si="171"/>
        <v>0.15151515151515152</v>
      </c>
      <c r="BV57" s="249">
        <f>COUNTIFS('ENCUESTA PROPIETARIOS'!$N$7:$N$417,1,'ENCUESTA PROPIETARIOS'!$CO$7:$CO$417,$BQ57)</f>
        <v>24</v>
      </c>
      <c r="BW57" s="249">
        <f>COUNTIFS('ENCUESTA PROPIETARIOS'!$N$7:$N$417,"&lt;6",'ENCUESTA PROPIETARIOS'!$CO$7:$CO$417,$BQ57)-BV57</f>
        <v>22</v>
      </c>
      <c r="BX57" s="249">
        <f>COUNTIFS('ENCUESTA PROPIETARIOS'!$N$7:$N$417,"&gt;5",'ENCUESTA PROPIETARIOS'!$CO$7:$CO$417,$BQ57)</f>
        <v>5</v>
      </c>
    </row>
    <row r="58" spans="1:76" x14ac:dyDescent="0.25">
      <c r="A58" s="137" t="s">
        <v>892</v>
      </c>
      <c r="B58" s="249">
        <f>COUNTIFS('DATOS 1'!$L$51:$L$427,1,'DATOS 1'!$CX$51:$CX$427,"NINGUNO")</f>
        <v>112</v>
      </c>
      <c r="C58" s="249">
        <f>COUNTIFS('DATOS 1'!$L$51:$L$427,"&lt;6",'DATOS 1'!$CX$51:$CX$427,"NINGUNO")-B58</f>
        <v>58</v>
      </c>
      <c r="D58" s="249">
        <f>COUNTIFS('DATOS 1'!$CX$7:$CX$40,"NINGUNO")</f>
        <v>7</v>
      </c>
      <c r="J58" s="157" t="s">
        <v>1693</v>
      </c>
      <c r="K58" s="6">
        <f t="shared" si="178"/>
        <v>0.33333333333333331</v>
      </c>
      <c r="L58" s="6">
        <f t="shared" si="174"/>
        <v>0.38444924406047515</v>
      </c>
      <c r="M58" s="6">
        <f t="shared" si="175"/>
        <v>0.38414634146341464</v>
      </c>
      <c r="N58" s="249">
        <f>COUNTIFS('DATOS 1'!$L$51:$L$427,1,'DATOS 1'!$AT$51:$AT$427,"X")</f>
        <v>66</v>
      </c>
      <c r="O58" s="249">
        <f>COUNTIFS('DATOS 1'!$L$51:$L$427,"&lt;6",'DATOS 1'!$AT$51:$AT$427,"X")-N58</f>
        <v>66</v>
      </c>
      <c r="P58" s="249">
        <f>COUNTIF('DATOS 1'!$AT$7:$AT$40,"X")</f>
        <v>9</v>
      </c>
      <c r="Q58" s="249">
        <f>COUNTIFS('[1]ENCUESTA CONDUCTORES'!E$7:E$459,"X",'[1]ENCUESTA CONDUCTORES'!$BV$7:$BV$459,"X")</f>
        <v>26</v>
      </c>
      <c r="R58" s="249">
        <f>COUNTIFS('[1]ENCUESTA CONDUCTORES'!F$7:F$459,"X",'[1]ENCUESTA CONDUCTORES'!$BV$7:$BV$459,"X")+COUNTIFS('[1]ENCUESTA CONDUCTORES'!G$7:G$459,"X",'[1]ENCUESTA CONDUCTORES'!$BV$7:$BV$459,"X")</f>
        <v>112</v>
      </c>
      <c r="S58" s="249">
        <f>COUNTIFS('[1]ENCUESTA CONDUCTORES'!H$7:H$459,"X",'[1]ENCUESTA CONDUCTORES'!$BV$7:$BV$459,"X")</f>
        <v>54</v>
      </c>
      <c r="V58" s="11" t="s">
        <v>2452</v>
      </c>
      <c r="W58" s="6">
        <f t="shared" si="179"/>
        <v>0.20095693779904306</v>
      </c>
      <c r="X58" s="6">
        <f t="shared" si="176"/>
        <v>0.24637681159420291</v>
      </c>
      <c r="Y58" s="6">
        <f t="shared" si="177"/>
        <v>0.13541666666666666</v>
      </c>
      <c r="Z58" s="249">
        <f>COUNTIFS('DETALLES UNIDADES'!$BA$8:$BA$987,1,'DETALLES UNIDADES'!$AW$8:$AW$987,"&lt;$50001")-Z57-Z56</f>
        <v>42</v>
      </c>
      <c r="AA58" s="249">
        <f>COUNTIFS('DETALLES UNIDADES'!$BA$8:$BA$987,"&lt;6",'DETALLES UNIDADES'!$AW$8:$AW$987,"&lt;$50001")-AA57-AA56-Z58-Z57-Z56</f>
        <v>119</v>
      </c>
      <c r="AB58" s="249">
        <f>COUNTIFS('DETALLES UNIDADES'!$BA$8:$BA$987,"&gt;5",'DETALLES UNIDADES'!$AW$8:$AW$987,"&lt;$50001")-AB57-AB56</f>
        <v>39</v>
      </c>
      <c r="AH58" s="11" t="s">
        <v>1704</v>
      </c>
      <c r="AI58" s="6">
        <f t="shared" si="167"/>
        <v>1</v>
      </c>
      <c r="AJ58" s="6">
        <f t="shared" si="164"/>
        <v>1</v>
      </c>
      <c r="AK58" s="6">
        <f t="shared" si="165"/>
        <v>1</v>
      </c>
      <c r="AL58" s="249">
        <f>SUM(AL51:AL57)</f>
        <v>291</v>
      </c>
      <c r="AM58" s="249">
        <f t="shared" ref="AM58:AQ58" si="180">SUM(AM51:AM57)</f>
        <v>685</v>
      </c>
      <c r="AN58" s="249">
        <f t="shared" si="180"/>
        <v>384</v>
      </c>
      <c r="AO58" s="249">
        <f t="shared" si="180"/>
        <v>41</v>
      </c>
      <c r="AP58" s="249">
        <f t="shared" si="180"/>
        <v>194</v>
      </c>
      <c r="AQ58" s="249">
        <f t="shared" si="180"/>
        <v>102</v>
      </c>
      <c r="AT58" s="112"/>
      <c r="AU58" s="112" t="s">
        <v>2460</v>
      </c>
      <c r="AV58" s="249" t="s">
        <v>2435</v>
      </c>
      <c r="AW58" s="249" t="s">
        <v>717</v>
      </c>
      <c r="BH58" s="11" t="s">
        <v>1752</v>
      </c>
      <c r="BI58" s="6">
        <f t="shared" si="170"/>
        <v>0.12132352941176471</v>
      </c>
      <c r="BJ58" s="6">
        <f t="shared" si="168"/>
        <v>0.18232044198895028</v>
      </c>
      <c r="BK58" s="6">
        <f t="shared" si="169"/>
        <v>0.27027027027027029</v>
      </c>
      <c r="BL58" s="249">
        <f>COUNTIFS('DATOS 2'!$AA$5:$AA$1437,1,'DATOS 2'!$AD$5:$AD$1437,"&lt;60001")-BL57-BL56-BL55-BL54-BL53</f>
        <v>33</v>
      </c>
      <c r="BM58" s="249">
        <f>COUNTIFS('DATOS 2'!$AA$5:$AA$1437,"&lt;6",'DATOS 2'!$AD$5:$AD$1437,"&lt;60001")-BM57-BM56-BM55-BM54-BM53-BL58-BL57-BL56-BL55-BL54-BL53</f>
        <v>132</v>
      </c>
      <c r="BN58" s="249">
        <f>COUNTIFS('DATOS 2'!$AA$5:$AA$1437,"&gt;5",'DATOS 2'!$AD$5:$AD$1437,"&lt;60001")-BN57-BN56-BN55-BN54-BN53</f>
        <v>110</v>
      </c>
      <c r="BQ58" s="249">
        <v>5</v>
      </c>
      <c r="BR58" s="141" t="s">
        <v>856</v>
      </c>
      <c r="BS58" s="6">
        <f t="shared" si="172"/>
        <v>0.06</v>
      </c>
      <c r="BT58" s="6">
        <f>+BW58/BW$60</f>
        <v>0.11560693641618497</v>
      </c>
      <c r="BU58" s="6">
        <f t="shared" si="171"/>
        <v>6.0606060606060608E-2</v>
      </c>
      <c r="BV58" s="249">
        <f>COUNTIFS('ENCUESTA PROPIETARIOS'!$N$7:$N$417,1,'ENCUESTA PROPIETARIOS'!$CO$7:$CO$417,$BQ58)</f>
        <v>12</v>
      </c>
      <c r="BW58" s="249">
        <f>COUNTIFS('ENCUESTA PROPIETARIOS'!$N$7:$N$417,"&lt;6",'ENCUESTA PROPIETARIOS'!$CO$7:$CO$417,$BQ58)-BV58</f>
        <v>20</v>
      </c>
      <c r="BX58" s="249">
        <f>COUNTIFS('ENCUESTA PROPIETARIOS'!$N$7:$N$417,"&gt;5",'ENCUESTA PROPIETARIOS'!$CO$7:$CO$417,$BQ58)</f>
        <v>2</v>
      </c>
    </row>
    <row r="59" spans="1:76" x14ac:dyDescent="0.25">
      <c r="A59" s="140" t="s">
        <v>906</v>
      </c>
      <c r="B59" s="249">
        <f>COUNTIFS('DATOS 1'!$L$51:$L$427,1,'DATOS 1'!$CX$51:$CX$427,"PROTECCION CIVIL")+COUNTIFS('DATOS 1'!$L$51:$L$427,1,'DATOS 1'!$CX$51:$CX$427,"X")+COUNTIFS('DATOS 1'!$L$51:$L$427,1,'DATOS 1'!$CX$51:$CX$427,"MANEJO A LA DEFENSIVA")</f>
        <v>5</v>
      </c>
      <c r="C59" s="249">
        <f>COUNTIFS('DATOS 1'!$L$51:$L$427,"&lt;6",'DATOS 1'!$CX$51:$CX$427,"PROTECCION CIVIL")+COUNTIFS('DATOS 1'!$L$51:$L$427,"&lt;6",'DATOS 1'!$CX$51:$CX$427,"X")+COUNTIFS('DATOS 1'!$L$51:$L$427,"&lt;6",'DATOS 1'!$CX$51:$CX$427,"MANEJO A LA DEFENSIVA")-B59</f>
        <v>1</v>
      </c>
      <c r="D59" s="249">
        <f>COUNTA('DATOS 1'!CX7:CX40)-D58</f>
        <v>4</v>
      </c>
      <c r="J59" s="157" t="s">
        <v>1690</v>
      </c>
      <c r="K59" s="6">
        <f t="shared" si="178"/>
        <v>9.420289855072464E-2</v>
      </c>
      <c r="L59" s="6">
        <f t="shared" si="174"/>
        <v>9.0712742980561561E-2</v>
      </c>
      <c r="M59" s="6">
        <f t="shared" si="175"/>
        <v>0.10365853658536585</v>
      </c>
      <c r="N59" s="249">
        <f>COUNTIFS('DATOS 1'!$L$51:$L$427,1,'DATOS 1'!$AU$51:$AU$427,"X")</f>
        <v>26</v>
      </c>
      <c r="O59" s="249">
        <f>COUNTIFS('DATOS 1'!$L$51:$L$427,"&lt;6",'DATOS 1'!$AU$51:$AU$427,"X")-N59</f>
        <v>42</v>
      </c>
      <c r="P59" s="249">
        <f>COUNTIF('DATOS 1'!$AU$7:$AU$40,"X")</f>
        <v>17</v>
      </c>
      <c r="V59" s="11" t="s">
        <v>2450</v>
      </c>
      <c r="W59" s="6">
        <f t="shared" si="179"/>
        <v>4.7846889952153108E-3</v>
      </c>
      <c r="X59" s="6">
        <f t="shared" si="176"/>
        <v>1.6563146997929608E-2</v>
      </c>
      <c r="Y59" s="6">
        <f t="shared" si="177"/>
        <v>0.125</v>
      </c>
      <c r="Z59" s="249">
        <f>COUNTIFS('DETALLES UNIDADES'!$BA$8:$BA$987,1,'DETALLES UNIDADES'!$AW$8:$AW$987,"&gt;$50000")</f>
        <v>1</v>
      </c>
      <c r="AA59" s="249">
        <f>COUNTIFS('DETALLES UNIDADES'!$BA$8:$BA$987,"&lt;6",'DETALLES UNIDADES'!$AW$8:$AW$987,"&gt;$50000")-Z59</f>
        <v>8</v>
      </c>
      <c r="AB59" s="249">
        <f>COUNTIFS('DETALLES UNIDADES'!$BA$8:$BA$987,"&gt;5",'DETALLES UNIDADES'!$AW$8:$AW$987,"&gt;$50000")</f>
        <v>36</v>
      </c>
      <c r="AL59" s="249">
        <f>+AL58+AM58+AN58</f>
        <v>1360</v>
      </c>
      <c r="AO59" s="249">
        <f>+AO58+AP58+AQ58</f>
        <v>337</v>
      </c>
      <c r="AT59" s="11">
        <f t="shared" ref="AT59:AT69" si="181">2014-AU59</f>
        <v>45</v>
      </c>
      <c r="AU59" s="9">
        <v>1969</v>
      </c>
      <c r="AV59" s="6"/>
      <c r="AW59" s="249">
        <f>COUNTIFS('DATOS 2'!$AA$5:$AA$1437,"&lt;6",'DATOS 2'!$D$5:$D$1437,AU59)-AW4</f>
        <v>1</v>
      </c>
      <c r="BH59" s="11" t="s">
        <v>1849</v>
      </c>
      <c r="BI59" s="6">
        <f t="shared" si="170"/>
        <v>0.44485294117647056</v>
      </c>
      <c r="BJ59" s="6">
        <f t="shared" si="168"/>
        <v>0.27624309392265195</v>
      </c>
      <c r="BK59" s="6">
        <f t="shared" si="169"/>
        <v>0.171990171990172</v>
      </c>
      <c r="BL59" s="249">
        <f>COUNTIFS('DATOS 2'!$AA$5:$AA$1437,1,'DATOS 2'!$AD$5:$AD$1437,"&gt;60000")</f>
        <v>121</v>
      </c>
      <c r="BM59" s="249">
        <f>COUNTIFS('DATOS 2'!$AA$5:$AA$1437,"&lt;6",'DATOS 2'!$AD$5:$AD$1437,"&gt;60000")-BL59</f>
        <v>200</v>
      </c>
      <c r="BN59" s="249">
        <f>COUNTIFS('DATOS 2'!$AA$5:$AA$1437,"&gt;5",'DATOS 2'!$AD$5:$AD$1437,"&gt;60000")</f>
        <v>70</v>
      </c>
      <c r="BQ59" s="249">
        <v>6</v>
      </c>
      <c r="BR59" s="141" t="s">
        <v>857</v>
      </c>
      <c r="BS59" s="6">
        <f t="shared" si="172"/>
        <v>2.5000000000000001E-2</v>
      </c>
      <c r="BT59" s="6">
        <f t="shared" si="173"/>
        <v>5.7803468208092483E-3</v>
      </c>
      <c r="BU59" s="6">
        <f t="shared" si="171"/>
        <v>6.0606060606060608E-2</v>
      </c>
      <c r="BV59" s="249">
        <f>COUNTIFS('ENCUESTA PROPIETARIOS'!$N$7:$N$417,1,'ENCUESTA PROPIETARIOS'!$CO$7:$CO$417,$BQ59)</f>
        <v>5</v>
      </c>
      <c r="BW59" s="249">
        <f>COUNTIFS('ENCUESTA PROPIETARIOS'!$N$7:$N$417,"&lt;6",'ENCUESTA PROPIETARIOS'!$CO$7:$CO$417,$BQ59)-BV59</f>
        <v>1</v>
      </c>
      <c r="BX59" s="249">
        <f>COUNTIFS('ENCUESTA PROPIETARIOS'!$N$7:$N$417,"&gt;5",'ENCUESTA PROPIETARIOS'!$CO$7:$CO$417,$BQ59)</f>
        <v>2</v>
      </c>
    </row>
    <row r="60" spans="1:76" ht="30" x14ac:dyDescent="0.25">
      <c r="A60" s="140" t="s">
        <v>715</v>
      </c>
      <c r="B60" s="249">
        <f>SUM(B52:B59)</f>
        <v>259</v>
      </c>
      <c r="C60" s="249">
        <f>SUM(C52:C59)</f>
        <v>320</v>
      </c>
      <c r="D60" s="249">
        <f>SUM(D52:D59)</f>
        <v>87</v>
      </c>
      <c r="J60" s="157" t="s">
        <v>1694</v>
      </c>
      <c r="K60" s="6">
        <f t="shared" si="178"/>
        <v>3.6231884057971015E-3</v>
      </c>
      <c r="L60" s="6">
        <f t="shared" si="174"/>
        <v>2.3758099352051837E-2</v>
      </c>
      <c r="M60" s="6">
        <f t="shared" si="175"/>
        <v>1.2195121951219513E-2</v>
      </c>
      <c r="Q60" s="249">
        <f>COUNTIFS('[1]ENCUESTA CONDUCTORES'!E$7:E$459,"X",'[1]ENCUESTA CONDUCTORES'!$BW$7:$BW$459,"X")</f>
        <v>1</v>
      </c>
      <c r="R60" s="249">
        <f>COUNTIFS('[1]ENCUESTA CONDUCTORES'!F$7:F$459,"X",'[1]ENCUESTA CONDUCTORES'!$BW$7:$BW$459,"X")+COUNTIFS('[1]ENCUESTA CONDUCTORES'!G$7:G$459,"X",'[1]ENCUESTA CONDUCTORES'!$BW$7:$BW$459,"X")</f>
        <v>11</v>
      </c>
      <c r="S60" s="249">
        <f>COUNTIFS('[1]ENCUESTA CONDUCTORES'!H$7:H$459,"X",'[1]ENCUESTA CONDUCTORES'!$BW$7:$BW$459,"X")</f>
        <v>2</v>
      </c>
      <c r="V60" s="11" t="s">
        <v>715</v>
      </c>
      <c r="W60" s="6">
        <f t="shared" si="179"/>
        <v>1</v>
      </c>
      <c r="X60" s="6">
        <f t="shared" si="176"/>
        <v>1</v>
      </c>
      <c r="Y60" s="6">
        <f t="shared" si="177"/>
        <v>1</v>
      </c>
      <c r="Z60" s="249">
        <f>SUM(Z56:Z59)</f>
        <v>209</v>
      </c>
      <c r="AA60" s="249">
        <f>SUM(AA56:AA59)</f>
        <v>483</v>
      </c>
      <c r="AB60" s="249">
        <f>SUM(AB56:AB59)</f>
        <v>288</v>
      </c>
      <c r="AL60" s="249">
        <f>+AL59+AO59</f>
        <v>1697</v>
      </c>
      <c r="AT60" s="11">
        <f t="shared" si="181"/>
        <v>44</v>
      </c>
      <c r="AU60" s="9">
        <v>1970</v>
      </c>
      <c r="AV60" s="6"/>
      <c r="AW60" s="249">
        <f>COUNTIFS('DATOS 2'!$AA$5:$AA$1437,"&lt;6",'DATOS 2'!$D$5:$D$1437,AU60)-AW5</f>
        <v>0</v>
      </c>
      <c r="BH60" s="11" t="s">
        <v>715</v>
      </c>
      <c r="BI60" s="6">
        <f t="shared" si="170"/>
        <v>1</v>
      </c>
      <c r="BJ60" s="6">
        <f t="shared" si="168"/>
        <v>1</v>
      </c>
      <c r="BK60" s="6">
        <f t="shared" si="169"/>
        <v>1</v>
      </c>
      <c r="BL60" s="249">
        <f>SUM(BL53:BL59)</f>
        <v>272</v>
      </c>
      <c r="BM60" s="249">
        <f>SUM(BM53:BM59)</f>
        <v>724</v>
      </c>
      <c r="BN60" s="249">
        <f>SUM(BN53:BN59)</f>
        <v>407</v>
      </c>
      <c r="BR60" s="11" t="s">
        <v>715</v>
      </c>
      <c r="BS60" s="6">
        <f t="shared" si="172"/>
        <v>1</v>
      </c>
      <c r="BT60" s="6">
        <f t="shared" si="173"/>
        <v>1</v>
      </c>
      <c r="BU60" s="6">
        <f t="shared" si="171"/>
        <v>1</v>
      </c>
      <c r="BV60" s="249">
        <f>SUM(BV54:BV59)</f>
        <v>200</v>
      </c>
      <c r="BW60" s="249">
        <f>SUM(BW54:BW59)</f>
        <v>173</v>
      </c>
      <c r="BX60" s="249">
        <f>SUM(BX54:BX59)</f>
        <v>33</v>
      </c>
    </row>
    <row r="61" spans="1:76" x14ac:dyDescent="0.25">
      <c r="J61" s="11" t="s">
        <v>715</v>
      </c>
      <c r="K61" s="6">
        <f t="shared" si="178"/>
        <v>1</v>
      </c>
      <c r="L61" s="6">
        <f t="shared" si="174"/>
        <v>1</v>
      </c>
      <c r="M61" s="6">
        <f t="shared" si="175"/>
        <v>1</v>
      </c>
      <c r="N61" s="249">
        <f t="shared" ref="N61:P61" si="182">SUM(N56:N60)</f>
        <v>210</v>
      </c>
      <c r="O61" s="249">
        <f t="shared" si="182"/>
        <v>200</v>
      </c>
      <c r="P61" s="249">
        <f t="shared" si="182"/>
        <v>41</v>
      </c>
      <c r="Q61" s="249">
        <f>SUM(Q56:Q60)</f>
        <v>66</v>
      </c>
      <c r="R61" s="249">
        <f t="shared" ref="R61:S61" si="183">SUM(R56:R60)</f>
        <v>263</v>
      </c>
      <c r="S61" s="249">
        <f t="shared" si="183"/>
        <v>123</v>
      </c>
      <c r="Z61" s="249">
        <f>+Z60+AA60+AB60</f>
        <v>980</v>
      </c>
      <c r="AT61" s="11">
        <f t="shared" si="181"/>
        <v>43</v>
      </c>
      <c r="AU61" s="9">
        <v>1971</v>
      </c>
      <c r="AV61" s="6"/>
      <c r="AW61" s="249">
        <f>COUNTIFS('DATOS 2'!$AA$5:$AA$1437,"&lt;6",'DATOS 2'!$D$5:$D$1437,AU61)-AW6</f>
        <v>0</v>
      </c>
      <c r="BH61" s="11"/>
      <c r="BL61" s="138"/>
    </row>
    <row r="62" spans="1:76" x14ac:dyDescent="0.25">
      <c r="A62" s="11" t="s">
        <v>2437</v>
      </c>
      <c r="B62" s="250" t="s">
        <v>2435</v>
      </c>
      <c r="C62" s="250" t="s">
        <v>2436</v>
      </c>
      <c r="D62" s="17" t="s">
        <v>714</v>
      </c>
      <c r="E62" s="250" t="s">
        <v>2433</v>
      </c>
      <c r="F62" s="250" t="s">
        <v>2434</v>
      </c>
      <c r="G62" s="17" t="s">
        <v>714</v>
      </c>
      <c r="J62" s="11"/>
      <c r="K62" s="6"/>
      <c r="V62" s="11" t="s">
        <v>2453</v>
      </c>
      <c r="W62" s="250" t="s">
        <v>2435</v>
      </c>
      <c r="X62" s="250" t="s">
        <v>2436</v>
      </c>
      <c r="Y62" s="17" t="s">
        <v>714</v>
      </c>
      <c r="Z62" s="250" t="s">
        <v>2433</v>
      </c>
      <c r="AA62" s="250" t="s">
        <v>2434</v>
      </c>
      <c r="AB62" s="17" t="s">
        <v>714</v>
      </c>
      <c r="AT62" s="11">
        <f t="shared" si="181"/>
        <v>42</v>
      </c>
      <c r="AU62" s="9">
        <v>1972</v>
      </c>
      <c r="AV62" s="6"/>
      <c r="AW62" s="249">
        <f>COUNTIFS('DATOS 2'!$AA$5:$AA$1437,"&lt;6",'DATOS 2'!$D$5:$D$1437,AU62)-AW7</f>
        <v>0</v>
      </c>
      <c r="BH62" s="11"/>
      <c r="BL62" s="138"/>
    </row>
    <row r="63" spans="1:76" x14ac:dyDescent="0.25">
      <c r="A63" s="137" t="s">
        <v>86</v>
      </c>
      <c r="B63" s="249">
        <f>COUNTIFS('DATOS 1'!$L$51:$L$427,1,'DATOS 1'!$DA$51:$DA$427,"&lt;6")</f>
        <v>149</v>
      </c>
      <c r="C63" s="249">
        <f>COUNTIFS('DATOS 1'!$L$51:$L$427,"&lt;6",'DATOS 1'!$DA$51:$DA$427,"&lt;6")-B63</f>
        <v>131</v>
      </c>
      <c r="D63" s="249">
        <f>COUNTIFS('DATOS 1'!$DA$7:$DA$40,"&lt;6")</f>
        <v>27</v>
      </c>
      <c r="J63" s="11"/>
      <c r="N63" s="373" t="s">
        <v>1717</v>
      </c>
      <c r="O63" s="373"/>
      <c r="P63" s="373"/>
      <c r="Q63" s="373" t="s">
        <v>1718</v>
      </c>
      <c r="R63" s="373"/>
      <c r="S63" s="373"/>
      <c r="V63" s="11" t="s">
        <v>2454</v>
      </c>
      <c r="W63" s="6">
        <f>+Z63/Z$52</f>
        <v>0.98514851485148514</v>
      </c>
      <c r="X63" s="6">
        <f t="shared" ref="X63:X66" si="184">+AA63/AA$52</f>
        <v>0.97664543524416136</v>
      </c>
      <c r="Y63" s="6">
        <f t="shared" ref="Y63:Y66" si="185">+AB63/AB$52</f>
        <v>0.88636363636363635</v>
      </c>
      <c r="Z63" s="249">
        <f>COUNTIFS('DETALLES UNIDADES'!$BA$8:$BA$987,1,'DETALLES UNIDADES'!$AX$8:$AX$987,"&lt;$5000")</f>
        <v>199</v>
      </c>
      <c r="AA63" s="249">
        <f>COUNTIFS('DETALLES UNIDADES'!$BA$8:$BA$987,"&lt;6",'DETALLES UNIDADES'!$AX$8:$AX$987,"&lt;$5000")-Z63</f>
        <v>460</v>
      </c>
      <c r="AB63" s="249">
        <f>COUNTIFS('DETALLES UNIDADES'!$BA$8:$BA$987,"&gt;5",'DETALLES UNIDADES'!$AX$8:$AX$987,"&lt;$5000")</f>
        <v>234</v>
      </c>
      <c r="AL63" s="373" t="s">
        <v>1717</v>
      </c>
      <c r="AM63" s="373"/>
      <c r="AN63" s="373"/>
      <c r="AO63" s="373" t="s">
        <v>1718</v>
      </c>
      <c r="AP63" s="373"/>
      <c r="AQ63" s="373"/>
      <c r="AT63" s="11">
        <f t="shared" si="181"/>
        <v>41</v>
      </c>
      <c r="AU63" s="9">
        <v>1973</v>
      </c>
      <c r="AV63" s="6"/>
      <c r="AW63" s="249">
        <f>COUNTIFS('DATOS 2'!$AA$5:$AA$1437,"&lt;6",'DATOS 2'!$D$5:$D$1437,AU63)-AW8</f>
        <v>1</v>
      </c>
      <c r="BH63" s="11"/>
      <c r="BR63" s="112" t="s">
        <v>2471</v>
      </c>
      <c r="BW63" s="11"/>
      <c r="BX63" s="11"/>
    </row>
    <row r="64" spans="1:76" ht="25.5" x14ac:dyDescent="0.25">
      <c r="A64" s="137" t="s">
        <v>87</v>
      </c>
      <c r="B64" s="249">
        <f>COUNTIFS('DATOS 1'!$L$51:$L$427,1,'DATOS 1'!$DB$51:$DB$427,"&lt;6")</f>
        <v>138</v>
      </c>
      <c r="C64" s="249">
        <f>COUNTIFS('DATOS 1'!$L$51:$L$427,"&lt;6",'DATOS 1'!$DB$51:$DB$427,"&lt;6")-B64</f>
        <v>104</v>
      </c>
      <c r="D64" s="249">
        <f>COUNTIFS('DATOS 1'!$DB$7:$DB$40,"&lt;6")</f>
        <v>18</v>
      </c>
      <c r="J64" s="112" t="s">
        <v>1695</v>
      </c>
      <c r="K64" s="250" t="s">
        <v>2435</v>
      </c>
      <c r="L64" s="250" t="s">
        <v>2436</v>
      </c>
      <c r="M64" s="17" t="s">
        <v>714</v>
      </c>
      <c r="N64" s="250" t="s">
        <v>2433</v>
      </c>
      <c r="O64" s="250" t="s">
        <v>2434</v>
      </c>
      <c r="P64" s="17" t="s">
        <v>714</v>
      </c>
      <c r="Q64" s="250" t="s">
        <v>2433</v>
      </c>
      <c r="R64" s="250" t="s">
        <v>2434</v>
      </c>
      <c r="S64" s="17" t="s">
        <v>714</v>
      </c>
      <c r="V64" s="11" t="s">
        <v>2455</v>
      </c>
      <c r="W64" s="6">
        <f t="shared" ref="W64:W66" si="186">+Z64/Z$52</f>
        <v>4.9504950495049507E-2</v>
      </c>
      <c r="X64" s="6">
        <f t="shared" si="184"/>
        <v>4.6709129511677279E-2</v>
      </c>
      <c r="Y64" s="6">
        <f t="shared" si="185"/>
        <v>8.3333333333333329E-2</v>
      </c>
      <c r="Z64" s="249">
        <f>COUNTIFS('DETALLES UNIDADES'!$BA$8:$BA$987,1,'DETALLES UNIDADES'!$AX$8:$AX$987,"&lt;$25001")-Z63</f>
        <v>10</v>
      </c>
      <c r="AA64" s="249">
        <f>COUNTIFS('DETALLES UNIDADES'!$BA$8:$BA$987,"&lt;6",'DETALLES UNIDADES'!$AX$8:$AX$987,"&lt;$25001")-AA63-Z64-Z63</f>
        <v>22</v>
      </c>
      <c r="AB64" s="249">
        <f>COUNTIFS('DETALLES UNIDADES'!$BA$8:$BA$987,"&gt;5",'DETALLES UNIDADES'!$AX$8:$AX$987,"&lt;$25001")-AB63</f>
        <v>22</v>
      </c>
      <c r="AH64" s="11" t="s">
        <v>1705</v>
      </c>
      <c r="AI64" s="250" t="s">
        <v>2435</v>
      </c>
      <c r="AJ64" s="250" t="s">
        <v>2436</v>
      </c>
      <c r="AK64" s="17" t="s">
        <v>714</v>
      </c>
      <c r="AL64" s="250" t="s">
        <v>2433</v>
      </c>
      <c r="AM64" s="250" t="s">
        <v>2434</v>
      </c>
      <c r="AN64" s="17" t="s">
        <v>714</v>
      </c>
      <c r="AO64" s="250" t="s">
        <v>2433</v>
      </c>
      <c r="AP64" s="250" t="s">
        <v>2434</v>
      </c>
      <c r="AQ64" s="17" t="s">
        <v>714</v>
      </c>
      <c r="AT64" s="11">
        <f t="shared" si="181"/>
        <v>40</v>
      </c>
      <c r="AU64" s="9">
        <v>1974</v>
      </c>
      <c r="AV64" s="6"/>
      <c r="AW64" s="249">
        <f>COUNTIFS('DATOS 2'!$AA$5:$AA$1437,"&lt;6",'DATOS 2'!$D$5:$D$1437,AU64)-AW9</f>
        <v>0</v>
      </c>
      <c r="BH64" s="11" t="s">
        <v>1760</v>
      </c>
      <c r="BI64" s="250" t="s">
        <v>2435</v>
      </c>
      <c r="BJ64" s="250" t="s">
        <v>2436</v>
      </c>
      <c r="BK64" s="250" t="s">
        <v>714</v>
      </c>
      <c r="BL64" s="250" t="s">
        <v>2433</v>
      </c>
      <c r="BM64" s="250" t="s">
        <v>2434</v>
      </c>
      <c r="BN64" s="250" t="s">
        <v>714</v>
      </c>
      <c r="BS64" s="250" t="s">
        <v>2435</v>
      </c>
      <c r="BT64" s="250" t="s">
        <v>2436</v>
      </c>
      <c r="BU64" s="250" t="s">
        <v>714</v>
      </c>
      <c r="BV64" s="250" t="s">
        <v>2433</v>
      </c>
      <c r="BW64" s="250" t="s">
        <v>2434</v>
      </c>
      <c r="BX64" s="250" t="s">
        <v>714</v>
      </c>
    </row>
    <row r="65" spans="1:76" x14ac:dyDescent="0.25">
      <c r="A65" s="137" t="s">
        <v>88</v>
      </c>
      <c r="B65" s="249">
        <f>COUNTIFS('DATOS 1'!$L$51:$L$427,1,'DATOS 1'!$DC$51:$DC$427,"&lt;6")</f>
        <v>112</v>
      </c>
      <c r="C65" s="249">
        <f>COUNTIFS('DATOS 1'!$L$51:$L$427,"&lt;6",'DATOS 1'!$DC$51:$DC$427,"&lt;6")-B65</f>
        <v>99</v>
      </c>
      <c r="D65" s="249">
        <f>COUNTIFS('DATOS 1'!$DC$7:$DC$40,"&lt;6")</f>
        <v>16</v>
      </c>
      <c r="J65" s="158" t="s">
        <v>43</v>
      </c>
      <c r="K65" s="6">
        <f>(+N65+Q65)/(N$70+Q$70)</f>
        <v>0.45895522388059701</v>
      </c>
      <c r="L65" s="6">
        <f>(+O65+R65)/(O$70+R$70)</f>
        <v>0.47022587268993837</v>
      </c>
      <c r="M65" s="6">
        <f>(+P65+S65)/(P$70+S$70)</f>
        <v>0.50714285714285712</v>
      </c>
      <c r="N65" s="249">
        <f>COUNTIFS('DATOS 1'!$L$51:$L$427,1,'DATOS 1'!$AV$51:$AV$427,1)</f>
        <v>89</v>
      </c>
      <c r="O65" s="249">
        <f>COUNTIFS('DATOS 1'!$L$51:$L$427,"&lt;6",'DATOS 1'!$AV$51:$AV$427,1)-N65</f>
        <v>74</v>
      </c>
      <c r="P65" s="249">
        <f>COUNTIFS('DATOS 1'!$L$7:$L$40,"&lt;31",'DATOS 1'!$AV$7:$AV$40,1)</f>
        <v>2</v>
      </c>
      <c r="Q65" s="249">
        <f>COUNTIFS('[1]ENCUESTA CONDUCTORES'!$E$7:$E$459,"X",'[1]ENCUESTA CONDUCTORES'!$BX$7:$BX$459,1)</f>
        <v>34</v>
      </c>
      <c r="R65" s="249">
        <f>COUNTIFS('[1]ENCUESTA CONDUCTORES'!$F$7:$F$459,"X",'[1]ENCUESTA CONDUCTORES'!$BX$7:$BX$459,1)+COUNTIFS('[1]ENCUESTA CONDUCTORES'!$G$7:$G$459,"X",'[1]ENCUESTA CONDUCTORES'!$BX$7:$BX$459,1)</f>
        <v>155</v>
      </c>
      <c r="S65" s="249">
        <f>COUNTIFS('[1]ENCUESTA CONDUCTORES'!$H$7:$H$459,"X",'[1]ENCUESTA CONDUCTORES'!$BX$7:$BX$459,1)</f>
        <v>69</v>
      </c>
      <c r="V65" s="11" t="s">
        <v>2456</v>
      </c>
      <c r="W65" s="6">
        <f t="shared" si="186"/>
        <v>0</v>
      </c>
      <c r="X65" s="6">
        <f t="shared" si="184"/>
        <v>2.1231422505307855E-3</v>
      </c>
      <c r="Y65" s="6">
        <f t="shared" si="185"/>
        <v>0.12121212121212122</v>
      </c>
      <c r="Z65" s="249">
        <f>COUNTIFS('DETALLES UNIDADES'!$BA$8:$BA$987,1,'DETALLES UNIDADES'!$AX$8:$AX$987,"&gt;$25000")</f>
        <v>0</v>
      </c>
      <c r="AA65" s="249">
        <f>COUNTIFS('DETALLES UNIDADES'!$BA$8:$BA$987,"&lt;6",'DETALLES UNIDADES'!$AX$8:$AX$987,"&gt;$25000")-Z65</f>
        <v>1</v>
      </c>
      <c r="AB65" s="249">
        <f>COUNTIFS('DETALLES UNIDADES'!$BA$8:$BA$987,"&gt;5",'DETALLES UNIDADES'!$AX$8:$AX$987,"&gt;$25000")</f>
        <v>32</v>
      </c>
      <c r="AH65" s="11" t="s">
        <v>11</v>
      </c>
      <c r="AI65" s="6">
        <f>(AL65+AO65)/(AL$58+AO$58)</f>
        <v>0.43373493975903615</v>
      </c>
      <c r="AJ65" s="6">
        <f t="shared" ref="AJ65:AJ72" si="187">(AM65+AP65)/(AM$58+AP$58)</f>
        <v>0.44027303754266212</v>
      </c>
      <c r="AK65" s="6">
        <f t="shared" ref="AK65:AK72" si="188">(AN65+AQ65)/(AN$58+AQ$58)</f>
        <v>0.40123456790123457</v>
      </c>
      <c r="AL65" s="249">
        <f>SUMIFS('ENCUESTA PROPIETARIOS'!$O$7:$O$417,'ENCUESTA PROPIETARIOS'!$N$7:$N$417,1)</f>
        <v>117</v>
      </c>
      <c r="AM65" s="249">
        <f>SUMIFS('ENCUESTA PROPIETARIOS'!$O$7:$O$417,'ENCUESTA PROPIETARIOS'!$N$7:$N$417,"&lt;6")-AL65</f>
        <v>244</v>
      </c>
      <c r="AN65" s="249">
        <f>SUMIFS('ENCUESTA PROPIETARIOS'!$O$7:$O$417,'ENCUESTA PROPIETARIOS'!$N$7:$N$417,"&gt;5")</f>
        <v>122</v>
      </c>
      <c r="AO65" s="249">
        <f>COUNTIFS('[1]ENCUESTA CONDUCTORES'!$DD$7:$DD$459,1,'[1]ENCUESTA CONDUCTORES'!$U$7:$U$459,"X")</f>
        <v>27</v>
      </c>
      <c r="AP65" s="249">
        <f>COUNTIFS('[1]ENCUESTA CONDUCTORES'!$DD$7:$DD$459,"&lt;6",'[1]ENCUESTA CONDUCTORES'!$U$7:$U$459,"X")-AO65</f>
        <v>143</v>
      </c>
      <c r="AQ65" s="249">
        <f>COUNTIFS('[1]ENCUESTA CONDUCTORES'!$DD$7:$DD$459,"&gt;5",'[1]ENCUESTA CONDUCTORES'!$U$7:$U$459,"X")</f>
        <v>73</v>
      </c>
      <c r="AT65" s="11">
        <f t="shared" si="181"/>
        <v>39</v>
      </c>
      <c r="AU65" s="9">
        <v>1975</v>
      </c>
      <c r="AV65" s="6"/>
      <c r="AW65" s="249">
        <f>COUNTIFS('DATOS 2'!$AA$5:$AA$1437,"&lt;6",'DATOS 2'!$D$5:$D$1437,AU65)-AW10</f>
        <v>2</v>
      </c>
      <c r="BH65" s="11" t="s">
        <v>1761</v>
      </c>
      <c r="BI65" s="6">
        <f>+BL65/BL$73</f>
        <v>4.5977011494252873E-2</v>
      </c>
      <c r="BJ65" s="6">
        <f t="shared" ref="BJ65:BJ73" si="189">+BM65/BM$73</f>
        <v>6.095791001451379E-2</v>
      </c>
      <c r="BK65" s="6">
        <f t="shared" ref="BK65:BK73" si="190">+BN65/BN$73</f>
        <v>4.878048780487805E-2</v>
      </c>
      <c r="BL65" s="249">
        <f>COUNTIFS('DATOS 2'!$AA$5:$AA$1437,1,'DATOS 2'!$AE$5:$AE$1437,"&lt;50000")</f>
        <v>12</v>
      </c>
      <c r="BM65" s="249">
        <f>COUNTIFS('DATOS 2'!$AA$5:$AA$1437,"&lt;6",'DATOS 2'!$AE$5:$AE$1437,"&lt;50000")-BL65</f>
        <v>42</v>
      </c>
      <c r="BN65" s="249">
        <f>COUNTIFS('DATOS 2'!$AA$5:$AA$1437,"&gt;5",'DATOS 2'!$AE$5:$AE$1437,"&lt;50000")</f>
        <v>18</v>
      </c>
      <c r="BQ65" s="249">
        <v>1</v>
      </c>
      <c r="BR65" s="141" t="s">
        <v>854</v>
      </c>
      <c r="BS65" s="6">
        <f>+BV65/BV$71</f>
        <v>0.18</v>
      </c>
      <c r="BT65" s="6">
        <f t="shared" ref="BT65:BT71" si="191">+BW65/BW$71</f>
        <v>0.16184971098265896</v>
      </c>
      <c r="BU65" s="6">
        <f t="shared" ref="BU65:BU71" si="192">+BX65/BX$71</f>
        <v>9.0909090909090912E-2</v>
      </c>
      <c r="BV65" s="249">
        <f>COUNTIFS('ENCUESTA PROPIETARIOS'!$N$7:$N$417,1,'ENCUESTA PROPIETARIOS'!$CP$7:$CP$417,$BQ65)</f>
        <v>36</v>
      </c>
      <c r="BW65" s="249">
        <f>COUNTIFS('ENCUESTA PROPIETARIOS'!$N$7:$N$417,"&lt;6",'ENCUESTA PROPIETARIOS'!$CP$7:$CP$417,$BQ65)-BV65</f>
        <v>28</v>
      </c>
      <c r="BX65" s="249">
        <f>COUNTIFS('ENCUESTA PROPIETARIOS'!$N$7:$N$417,"&gt;5",'ENCUESTA PROPIETARIOS'!$CP$7:$CP$417,$BQ65)</f>
        <v>3</v>
      </c>
    </row>
    <row r="66" spans="1:76" x14ac:dyDescent="0.25">
      <c r="A66" s="137" t="s">
        <v>89</v>
      </c>
      <c r="B66" s="249">
        <f>COUNTIFS('DATOS 1'!$L$51:$L$427,1,'DATOS 1'!$DD$51:$DD$427,"&lt;6")</f>
        <v>115</v>
      </c>
      <c r="C66" s="249">
        <f>COUNTIFS('DATOS 1'!$L$51:$L$427,"&lt;6",'DATOS 1'!$DD$51:$DD$427,"&lt;6")-B66</f>
        <v>102</v>
      </c>
      <c r="D66" s="249">
        <f>COUNTIFS('DATOS 1'!$DD$7:$DD$40,"&lt;6")</f>
        <v>25</v>
      </c>
      <c r="J66" s="158" t="s">
        <v>44</v>
      </c>
      <c r="K66" s="6">
        <f t="shared" ref="K66:M70" si="193">(+N66+Q66)/(N$70+Q$70)</f>
        <v>0.16417910447761194</v>
      </c>
      <c r="L66" s="6">
        <f t="shared" si="193"/>
        <v>0.18275154004106775</v>
      </c>
      <c r="M66" s="6">
        <f t="shared" si="193"/>
        <v>0.15714285714285714</v>
      </c>
      <c r="N66" s="249">
        <f>COUNTIFS('DATOS 1'!$L$51:$L$427,1,'DATOS 1'!$AW$51:$AW$427,1)</f>
        <v>35</v>
      </c>
      <c r="O66" s="249">
        <f>COUNTIFS('DATOS 1'!$L$51:$L$427,"&lt;6",'DATOS 1'!$AW$51:$AW$427,1)-N66</f>
        <v>26</v>
      </c>
      <c r="P66" s="249">
        <f>COUNTIFS('DATOS 1'!$L$7:$L$40,"&lt;31",'DATOS 1'!$AW$7:$AW$40,1)</f>
        <v>8</v>
      </c>
      <c r="Q66" s="249">
        <f>COUNTIFS('[1]ENCUESTA CONDUCTORES'!$E$7:$E$459,"X",'[1]ENCUESTA CONDUCTORES'!$BY$7:$BY$459,1)</f>
        <v>9</v>
      </c>
      <c r="R66" s="249">
        <f>COUNTIFS('[1]ENCUESTA CONDUCTORES'!$F$7:$F$459,"X",'[1]ENCUESTA CONDUCTORES'!$BX$7:$BX$459,1)+COUNTIFS('[1]ENCUESTA CONDUCTORES'!$G$7:$G$459,"X",'[1]ENCUESTA CONDUCTORES'!$BY$7:$BY$459,1)</f>
        <v>63</v>
      </c>
      <c r="S66" s="249">
        <f>COUNTIFS('[1]ENCUESTA CONDUCTORES'!$H$7:$H$459,"X",'[1]ENCUESTA CONDUCTORES'!$BY$7:$BY$459,1)</f>
        <v>14</v>
      </c>
      <c r="V66" s="11" t="s">
        <v>715</v>
      </c>
      <c r="W66" s="6">
        <f t="shared" si="186"/>
        <v>1.0346534653465347</v>
      </c>
      <c r="X66" s="6">
        <f t="shared" si="184"/>
        <v>1.0254777070063694</v>
      </c>
      <c r="Y66" s="6">
        <f t="shared" si="185"/>
        <v>1.0909090909090908</v>
      </c>
      <c r="Z66" s="249">
        <f>SUM(Z63:Z65)</f>
        <v>209</v>
      </c>
      <c r="AA66" s="249">
        <f t="shared" ref="AA66:AB66" si="194">SUM(AA63:AA65)</f>
        <v>483</v>
      </c>
      <c r="AB66" s="249">
        <f t="shared" si="194"/>
        <v>288</v>
      </c>
      <c r="AH66" s="11" t="s">
        <v>14</v>
      </c>
      <c r="AI66" s="6">
        <f t="shared" ref="AI66:AI72" si="195">(AL66+AO66)/(AL$58+AO$58)</f>
        <v>0.18975903614457831</v>
      </c>
      <c r="AJ66" s="6">
        <f t="shared" si="187"/>
        <v>0.17406143344709898</v>
      </c>
      <c r="AK66" s="6">
        <f t="shared" si="188"/>
        <v>0.21810699588477367</v>
      </c>
      <c r="AL66" s="249">
        <f>SUMIFS('ENCUESTA PROPIETARIOS'!$P$7:$P$417,'ENCUESTA PROPIETARIOS'!$N$7:$N$417,1)+SUMIFS('ENCUESTA PROPIETARIOS'!$R$7:$R$417,'ENCUESTA PROPIETARIOS'!$N$7:$N$417,1)</f>
        <v>55</v>
      </c>
      <c r="AM66" s="249">
        <f>SUMIFS('ENCUESTA PROPIETARIOS'!$P$7:$P$417,'ENCUESTA PROPIETARIOS'!$N$7:$N$417,"&lt;6")+SUMIFS('ENCUESTA PROPIETARIOS'!$R$7:$R$417,'ENCUESTA PROPIETARIOS'!$N$7:$N$417,"&lt;6")-AL66</f>
        <v>130</v>
      </c>
      <c r="AN66" s="249">
        <f>SUMIFS('ENCUESTA PROPIETARIOS'!$P$7:$P$417,'ENCUESTA PROPIETARIOS'!$N$7:$N$417,"&gt;5")+SUMIFS('ENCUESTA PROPIETARIOS'!$R$7:$R$417,'ENCUESTA PROPIETARIOS'!$N$7:$N$417,"&gt;5")</f>
        <v>91</v>
      </c>
      <c r="AO66" s="249">
        <f>COUNTIFS('[1]ENCUESTA CONDUCTORES'!$DD$7:$DD$459,1,'[1]ENCUESTA CONDUCTORES'!$V$7:$V$459,"X")+COUNTIFS('[1]ENCUESTA CONDUCTORES'!$DD$7:$DD$459,1,'[1]ENCUESTA CONDUCTORES'!$X$7:$X$459,"X")</f>
        <v>8</v>
      </c>
      <c r="AP66" s="249">
        <f>COUNTIFS('[1]ENCUESTA CONDUCTORES'!$DD$7:$DD$459,"&lt;6",'[1]ENCUESTA CONDUCTORES'!$V$7:$V$459,"X")+COUNTIFS('[1]ENCUESTA CONDUCTORES'!$DD$7:$DD$459,"&lt;6",'[1]ENCUESTA CONDUCTORES'!$X$7:$X$459,"X")-AO66</f>
        <v>23</v>
      </c>
      <c r="AQ66" s="249">
        <f>COUNTIFS('[1]ENCUESTA CONDUCTORES'!$DD$7:$DD$459,"&gt;5",'[1]ENCUESTA CONDUCTORES'!$V$7:$V$459,"X")+COUNTIFS('[1]ENCUESTA CONDUCTORES'!$DD$7:$DD$459,"&gt;5",'[1]ENCUESTA CONDUCTORES'!$X$7:$X$459,"X")</f>
        <v>15</v>
      </c>
      <c r="AT66" s="11">
        <f t="shared" si="181"/>
        <v>38</v>
      </c>
      <c r="AU66" s="9">
        <v>1976</v>
      </c>
      <c r="AV66" s="6"/>
      <c r="AW66" s="249">
        <f>COUNTIFS('DATOS 2'!$AA$5:$AA$1437,"&lt;6",'DATOS 2'!$D$5:$D$1437,AU66)-AW11</f>
        <v>3</v>
      </c>
      <c r="BH66" s="11" t="s">
        <v>1762</v>
      </c>
      <c r="BI66" s="6">
        <f t="shared" ref="BI66:BI73" si="196">+BL66/BL$73</f>
        <v>8.4291187739463605E-2</v>
      </c>
      <c r="BJ66" s="6">
        <f t="shared" si="189"/>
        <v>0.10159651669085631</v>
      </c>
      <c r="BK66" s="6">
        <f t="shared" si="190"/>
        <v>0.15447154471544716</v>
      </c>
      <c r="BL66" s="249">
        <f>COUNTIFS('DATOS 2'!$AA$5:$AA$1437,1,'DATOS 2'!$AE$5:$AE$1437,"&lt;75001")-BL65</f>
        <v>22</v>
      </c>
      <c r="BM66" s="249">
        <f>COUNTIFS('DATOS 2'!$AA$5:$AA$1437,"&lt;6",'DATOS 2'!$AE$5:$AE$1437,"&lt;75001")-BM65-BL66-BL65</f>
        <v>70</v>
      </c>
      <c r="BN66" s="249">
        <f>COUNTIFS('DATOS 2'!$AA$5:$AA$1437,"&gt;5",'DATOS 2'!$AE$5:$AE$1437,"&lt;75001")-BN65</f>
        <v>57</v>
      </c>
      <c r="BQ66" s="249">
        <v>2</v>
      </c>
      <c r="BR66" s="141" t="s">
        <v>902</v>
      </c>
      <c r="BS66" s="6">
        <f t="shared" ref="BS66:BS71" si="197">+BV66/BV$71</f>
        <v>0.28499999999999998</v>
      </c>
      <c r="BT66" s="6">
        <f t="shared" si="191"/>
        <v>0.17341040462427745</v>
      </c>
      <c r="BU66" s="6">
        <f t="shared" si="192"/>
        <v>0.21212121212121213</v>
      </c>
      <c r="BV66" s="249">
        <f>COUNTIFS('ENCUESTA PROPIETARIOS'!$N$7:$N$417,1,'ENCUESTA PROPIETARIOS'!$CP$7:$CP$417,$BQ66)</f>
        <v>57</v>
      </c>
      <c r="BW66" s="249">
        <f>COUNTIFS('ENCUESTA PROPIETARIOS'!$N$7:$N$417,"&lt;6",'ENCUESTA PROPIETARIOS'!$CP$7:$CP$417,$BQ66)-BV66</f>
        <v>30</v>
      </c>
      <c r="BX66" s="249">
        <f>COUNTIFS('ENCUESTA PROPIETARIOS'!$N$7:$N$417,"&gt;5",'ENCUESTA PROPIETARIOS'!$CP$7:$CP$417,$BQ66)</f>
        <v>7</v>
      </c>
    </row>
    <row r="67" spans="1:76" x14ac:dyDescent="0.25">
      <c r="A67" s="137" t="s">
        <v>90</v>
      </c>
      <c r="B67" s="249">
        <f>COUNTIFS('DATOS 1'!$L$51:$L$427,1,'DATOS 1'!$DE$51:$DE$427,"&lt;6")</f>
        <v>133</v>
      </c>
      <c r="C67" s="249">
        <f>COUNTIFS('DATOS 1'!$L$51:$L$427,"&lt;6",'DATOS 1'!$DE$51:$DE$427,"&lt;6")-B67</f>
        <v>119</v>
      </c>
      <c r="D67" s="249">
        <f>COUNTIFS('DATOS 1'!$DE$7:$DE$40,"&lt;6")</f>
        <v>24</v>
      </c>
      <c r="J67" s="158" t="s">
        <v>45</v>
      </c>
      <c r="K67" s="6">
        <f t="shared" si="193"/>
        <v>0.30970149253731344</v>
      </c>
      <c r="L67" s="6">
        <f t="shared" si="193"/>
        <v>0.22381930184804927</v>
      </c>
      <c r="M67" s="6">
        <f t="shared" si="193"/>
        <v>0.22142857142857142</v>
      </c>
      <c r="N67" s="249">
        <f>COUNTIFS('DATOS 1'!$L$51:$L$427,1,'DATOS 1'!$AX$51:$AX$427,1)</f>
        <v>64</v>
      </c>
      <c r="O67" s="249">
        <f>COUNTIFS('DATOS 1'!$L$51:$L$427,"&lt;6",'DATOS 1'!$AX$51:$AX$427,1)-N67</f>
        <v>28</v>
      </c>
      <c r="P67" s="249">
        <f>COUNTIFS('DATOS 1'!$L$7:$L$40,"&lt;31",'DATOS 1'!$AX$7:$AX$40,1)</f>
        <v>11</v>
      </c>
      <c r="Q67" s="249">
        <f>COUNTIFS('[1]ENCUESTA CONDUCTORES'!$E$7:$E$459,"X",'[1]ENCUESTA CONDUCTORES'!$BZ$7:$BZ$459,1)</f>
        <v>19</v>
      </c>
      <c r="R67" s="249">
        <f>COUNTIFS('[1]ENCUESTA CONDUCTORES'!$F$7:$F$459,"X",'[1]ENCUESTA CONDUCTORES'!$BX$7:$BX$459,1)+COUNTIFS('[1]ENCUESTA CONDUCTORES'!$G$7:$G$459,"X",'[1]ENCUESTA CONDUCTORES'!$BZ$7:$BZ$459,1)</f>
        <v>81</v>
      </c>
      <c r="S67" s="249">
        <f>COUNTIFS('[1]ENCUESTA CONDUCTORES'!$H$7:$H$459,"X",'[1]ENCUESTA CONDUCTORES'!$BZ$7:$BZ$459,1)</f>
        <v>20</v>
      </c>
      <c r="Z67" s="249">
        <f>+Z66+AA66+AB66</f>
        <v>980</v>
      </c>
      <c r="AH67" s="11" t="s">
        <v>1706</v>
      </c>
      <c r="AI67" s="6">
        <f t="shared" si="195"/>
        <v>5.4216867469879519E-2</v>
      </c>
      <c r="AJ67" s="6">
        <f t="shared" si="187"/>
        <v>8.3048919226393625E-2</v>
      </c>
      <c r="AK67" s="6">
        <f t="shared" si="188"/>
        <v>8.4362139917695478E-2</v>
      </c>
      <c r="AL67" s="249">
        <f>SUMIFS('ENCUESTA PROPIETARIOS'!$S$7:$S$417,'ENCUESTA PROPIETARIOS'!$N$7:$N$417,1)+SUMIFS('ENCUESTA PROPIETARIOS'!$T$7:$T$417,'ENCUESTA PROPIETARIOS'!$N$7:$N$417,1)</f>
        <v>15</v>
      </c>
      <c r="AM67" s="249">
        <f>SUMIFS('ENCUESTA PROPIETARIOS'!$S$7:$S$417,'ENCUESTA PROPIETARIOS'!$N$7:$N$417,"&lt;6")+SUMIFS('ENCUESTA PROPIETARIOS'!$T$7:$T$417,'ENCUESTA PROPIETARIOS'!$N$7:$N$417,"&lt;6")-AL67</f>
        <v>48</v>
      </c>
      <c r="AN67" s="249">
        <f>SUMIFS('ENCUESTA PROPIETARIOS'!$S$7:$S$417,'ENCUESTA PROPIETARIOS'!$N$7:$N$417,"&gt;5")+SUMIFS('ENCUESTA PROPIETARIOS'!$T$7:$T$417,'ENCUESTA PROPIETARIOS'!$N$7:$N$417,"&gt;5")</f>
        <v>28</v>
      </c>
      <c r="AO67" s="249">
        <f>COUNTIFS('[1]ENCUESTA CONDUCTORES'!$DD$7:$DD$459,1,'[1]ENCUESTA CONDUCTORES'!$Y$7:$Y$459,"X")+COUNTIFS('[1]ENCUESTA CONDUCTORES'!$DD$7:$DD$459,1,'[1]ENCUESTA CONDUCTORES'!$Z$7:$Z$459,"X")</f>
        <v>3</v>
      </c>
      <c r="AP67" s="249">
        <f>COUNTIFS('[1]ENCUESTA CONDUCTORES'!$DD$7:$DD$459,"&lt;6",'[1]ENCUESTA CONDUCTORES'!$Y$7:$Y$459,"X")+COUNTIFS('[1]ENCUESTA CONDUCTORES'!$DD$7:$DD$459,"&lt;6",'[1]ENCUESTA CONDUCTORES'!$Z$7:$Z$459,"X")-AO67</f>
        <v>25</v>
      </c>
      <c r="AQ67" s="249">
        <f>COUNTIFS('[1]ENCUESTA CONDUCTORES'!$DD$7:$DD$459,"&gt;5",'[1]ENCUESTA CONDUCTORES'!$Y$7:$Y$459,"X")+COUNTIFS('[1]ENCUESTA CONDUCTORES'!$DD$7:$DD$459,"&gt;5",'[1]ENCUESTA CONDUCTORES'!$Z$7:$Z$459,"X")</f>
        <v>13</v>
      </c>
      <c r="AT67" s="11">
        <f t="shared" si="181"/>
        <v>37</v>
      </c>
      <c r="AU67" s="9">
        <v>1977</v>
      </c>
      <c r="AV67" s="6"/>
      <c r="AW67" s="249">
        <f>COUNTIFS('DATOS 2'!$AA$5:$AA$1437,"&lt;6",'DATOS 2'!$D$5:$D$1437,AU67)-AW12</f>
        <v>2</v>
      </c>
      <c r="BH67" s="11" t="s">
        <v>1763</v>
      </c>
      <c r="BI67" s="6">
        <f t="shared" si="196"/>
        <v>0.32183908045977011</v>
      </c>
      <c r="BJ67" s="6">
        <f t="shared" si="189"/>
        <v>0.2946298984034833</v>
      </c>
      <c r="BK67" s="6">
        <f t="shared" si="190"/>
        <v>0.16260162601626016</v>
      </c>
      <c r="BL67" s="249">
        <f>COUNTIFS('DATOS 2'!$AA$5:$AA$1437,1,'DATOS 2'!$AE$5:$AE$1437,"&lt;100001")-BL66-BL65</f>
        <v>84</v>
      </c>
      <c r="BM67" s="249">
        <f>COUNTIFS('DATOS 2'!$AA$5:$AA$1437,"&lt;6",'DATOS 2'!$AE$5:$AE$1437,"&lt;100001")-BM66-BM65-BL67-BL66-BL65</f>
        <v>203</v>
      </c>
      <c r="BN67" s="249">
        <f>COUNTIFS('DATOS 2'!$AA$5:$AA$1437,"&gt;5",'DATOS 2'!$AE$5:$AE$1437,"&lt;100001")-BN66-BN65</f>
        <v>60</v>
      </c>
      <c r="BQ67" s="249">
        <v>3</v>
      </c>
      <c r="BR67" s="141" t="s">
        <v>903</v>
      </c>
      <c r="BS67" s="6">
        <f t="shared" si="197"/>
        <v>0.14000000000000001</v>
      </c>
      <c r="BT67" s="6">
        <f t="shared" si="191"/>
        <v>0.12716763005780346</v>
      </c>
      <c r="BU67" s="6">
        <f t="shared" si="192"/>
        <v>0.12121212121212122</v>
      </c>
      <c r="BV67" s="249">
        <f>COUNTIFS('ENCUESTA PROPIETARIOS'!$N$7:$N$417,1,'ENCUESTA PROPIETARIOS'!$CP$7:$CP$417,$BQ67)</f>
        <v>28</v>
      </c>
      <c r="BW67" s="249">
        <f>COUNTIFS('ENCUESTA PROPIETARIOS'!$N$7:$N$417,"&lt;6",'ENCUESTA PROPIETARIOS'!$CP$7:$CP$417,$BQ67)-BV67</f>
        <v>22</v>
      </c>
      <c r="BX67" s="249">
        <f>COUNTIFS('ENCUESTA PROPIETARIOS'!$N$7:$N$417,"&gt;5",'ENCUESTA PROPIETARIOS'!$CP$7:$CP$417,$BQ67)</f>
        <v>4</v>
      </c>
    </row>
    <row r="68" spans="1:76" x14ac:dyDescent="0.25">
      <c r="A68" s="137" t="s">
        <v>91</v>
      </c>
      <c r="B68" s="249">
        <f>COUNTIFS('DATOS 1'!$L$51:$L$427,1,'DATOS 1'!$DF$51:$DF$427,"&lt;6")</f>
        <v>72</v>
      </c>
      <c r="C68" s="249">
        <f>COUNTIFS('DATOS 1'!$L$51:$L$427,"&lt;6",'DATOS 1'!$DF$51:$DF$427,"&lt;6")-B68</f>
        <v>72</v>
      </c>
      <c r="D68" s="249">
        <f>COUNTIFS('DATOS 1'!$DF$7:$DF$40,"&lt;6")</f>
        <v>17</v>
      </c>
      <c r="J68" s="158" t="s">
        <v>1696</v>
      </c>
      <c r="K68" s="6">
        <f t="shared" si="193"/>
        <v>6.7164179104477612E-2</v>
      </c>
      <c r="L68" s="6">
        <f t="shared" si="193"/>
        <v>0.12320328542094455</v>
      </c>
      <c r="M68" s="6">
        <f t="shared" si="193"/>
        <v>0.11428571428571428</v>
      </c>
      <c r="N68" s="249">
        <f>COUNTIFS('DATOS 1'!$L$51:$L$427,1,'DATOS 1'!$AY$51:$AY$427,"SEGURIDAD")</f>
        <v>14</v>
      </c>
      <c r="O68" s="249">
        <f>COUNTIFS('DATOS 1'!$L$51:$L$427,"&lt;6",'DATOS 1'!$AY$51:$AY$427,"SEGURIDAD")-N68</f>
        <v>46</v>
      </c>
      <c r="P68" s="249">
        <f>COUNTIFS('DATOS 1'!$L$40:$L$51,"&lt;31",'DATOS 1'!$AY$40:$AY$51,"SEGURIDAD")</f>
        <v>0</v>
      </c>
      <c r="Q68" s="249">
        <f>COUNTIFS('[1]ENCUESTA CONDUCTORES'!$E$7:$E$459,"X",'[1]ENCUESTA CONDUCTORES'!$CA$7:$CA$459,"SEGURIDAD")</f>
        <v>4</v>
      </c>
      <c r="R68" s="249">
        <f>COUNTIFS('[1]ENCUESTA CONDUCTORES'!$F$7:$F$459,"X",'[1]ENCUESTA CONDUCTORES'!$BX$7:$BX$459,"SEGURIDAD")+COUNTIFS('[1]ENCUESTA CONDUCTORES'!$G$7:$G$459,"X",'[1]ENCUESTA CONDUCTORES'!$CA$7:$CA$459,"SEGURIDAD")</f>
        <v>14</v>
      </c>
      <c r="S68" s="249">
        <f>COUNTIFS('[1]ENCUESTA CONDUCTORES'!$H$7:$H$459,"X",'[1]ENCUESTA CONDUCTORES'!$CA$7:$CA$459,"SEGURIDAD")</f>
        <v>16</v>
      </c>
      <c r="AH68" s="11" t="s">
        <v>824</v>
      </c>
      <c r="AI68" s="6">
        <f t="shared" si="195"/>
        <v>4.5180722891566265E-2</v>
      </c>
      <c r="AJ68" s="6">
        <f t="shared" si="187"/>
        <v>9.7838452787258251E-2</v>
      </c>
      <c r="AK68" s="6">
        <f t="shared" si="188"/>
        <v>4.9382716049382713E-2</v>
      </c>
      <c r="AL68" s="249">
        <f>SUMIFS('ENCUESTA PROPIETARIOS'!$V$7:$V$417,'ENCUESTA PROPIETARIOS'!$N$7:$N$417,1)</f>
        <v>15</v>
      </c>
      <c r="AM68" s="249">
        <f>SUMIFS('ENCUESTA PROPIETARIOS'!$V$7:$V$417,'ENCUESTA PROPIETARIOS'!$N$7:$N$417,"&lt;6")-AL68</f>
        <v>86</v>
      </c>
      <c r="AN68" s="249">
        <f>SUMIFS('ENCUESTA PROPIETARIOS'!$V$7:$V$417,'ENCUESTA PROPIETARIOS'!$N$7:$N$417,"&gt;5")</f>
        <v>24</v>
      </c>
      <c r="AO68" s="249">
        <f>COUNTIFS('[1]ENCUESTA CONDUCTORES'!$DD$7:$DD$459,1,'[1]ENCUESTA CONDUCTORES'!$AG$7:$AG$459,"PLATAFORMA")</f>
        <v>0</v>
      </c>
      <c r="AP68" s="249">
        <f>COUNTIFS('[1]ENCUESTA CONDUCTORES'!$DD$7:$DD$459,"&lt;6",'[1]ENCUESTA CONDUCTORES'!$AG$7:$AG$459,"PLATAFORMA")-AO68</f>
        <v>0</v>
      </c>
      <c r="AQ68" s="249">
        <f>COUNTIFS('[1]ENCUESTA CONDUCTORES'!$DD$7:$DD$459,"&gt;5",'[1]ENCUESTA CONDUCTORES'!$AG$7:$AG$459,"PLATAFORMA")</f>
        <v>0</v>
      </c>
      <c r="AT68" s="11">
        <f t="shared" si="181"/>
        <v>36</v>
      </c>
      <c r="AU68" s="9">
        <v>1978</v>
      </c>
      <c r="AV68" s="6"/>
      <c r="AW68" s="249">
        <f>COUNTIFS('DATOS 2'!$AA$5:$AA$1437,"&lt;6",'DATOS 2'!$D$5:$D$1437,AU68)-AW13</f>
        <v>8</v>
      </c>
      <c r="BH68" s="11" t="s">
        <v>1764</v>
      </c>
      <c r="BI68" s="6">
        <f t="shared" si="196"/>
        <v>3.4482758620689655E-2</v>
      </c>
      <c r="BJ68" s="6">
        <f t="shared" si="189"/>
        <v>3.0478955007256895E-2</v>
      </c>
      <c r="BK68" s="6">
        <f t="shared" si="190"/>
        <v>2.9810298102981029E-2</v>
      </c>
      <c r="BL68" s="249">
        <f>COUNTIFS('DATOS 2'!$AA$5:$AA$1437,1,'DATOS 2'!$AE$5:$AE$1437,"&lt;115001")-BL67-BL66-BL65</f>
        <v>9</v>
      </c>
      <c r="BM68" s="249">
        <f>COUNTIFS('DATOS 2'!$AA$5:$AA$1437,"&lt;6",'DATOS 2'!$AE$5:$AE$1437,"&lt;115001")-BM67-BM66-BM65-BL68-BL67-BL66-BL65</f>
        <v>21</v>
      </c>
      <c r="BN68" s="249">
        <f>COUNTIFS('DATOS 2'!$AA$5:$AA$1437,"&gt;5",'DATOS 2'!$AE$5:$AE$1437,"&lt;115001")-BN67-BN66-BN65</f>
        <v>11</v>
      </c>
      <c r="BQ68" s="249">
        <v>4</v>
      </c>
      <c r="BR68" s="141" t="s">
        <v>904</v>
      </c>
      <c r="BS68" s="6">
        <f t="shared" si="197"/>
        <v>0.2</v>
      </c>
      <c r="BT68" s="6">
        <f t="shared" si="191"/>
        <v>0.2947976878612717</v>
      </c>
      <c r="BU68" s="6">
        <f t="shared" si="192"/>
        <v>0.36363636363636365</v>
      </c>
      <c r="BV68" s="249">
        <f>COUNTIFS('ENCUESTA PROPIETARIOS'!$N$7:$N$417,1,'ENCUESTA PROPIETARIOS'!$CP$7:$CP$417,$BQ68)</f>
        <v>40</v>
      </c>
      <c r="BW68" s="249">
        <f>COUNTIFS('ENCUESTA PROPIETARIOS'!$N$7:$N$417,"&lt;6",'ENCUESTA PROPIETARIOS'!$CP$7:$CP$417,$BQ68)-BV68</f>
        <v>51</v>
      </c>
      <c r="BX68" s="249">
        <f>COUNTIFS('ENCUESTA PROPIETARIOS'!$N$7:$N$417,"&gt;5",'ENCUESTA PROPIETARIOS'!$CP$7:$CP$417,$BQ68)</f>
        <v>12</v>
      </c>
    </row>
    <row r="69" spans="1:76" x14ac:dyDescent="0.25">
      <c r="A69" s="137" t="s">
        <v>910</v>
      </c>
      <c r="B69" s="249">
        <f>COUNTIFS('DATOS 1'!$L$51:$L$427,1,'DATOS 1'!$CY$51:$CY$427,"X")</f>
        <v>47</v>
      </c>
      <c r="C69" s="249">
        <f>COUNTIFS('DATOS 1'!$L$51:$L$427,"&lt;6",'DATOS 1'!$CY$51:$CY$427,"X")-B69</f>
        <v>34</v>
      </c>
      <c r="D69" s="249">
        <f>COUNTIFS('DATOS 1'!$CY$7:$CY$40,"X")</f>
        <v>6</v>
      </c>
      <c r="J69" s="141"/>
      <c r="K69" s="6"/>
      <c r="L69" s="6"/>
      <c r="M69" s="6"/>
      <c r="AH69" s="11" t="s">
        <v>1709</v>
      </c>
      <c r="AI69" s="6">
        <f t="shared" si="195"/>
        <v>5.4216867469879519E-2</v>
      </c>
      <c r="AJ69" s="6">
        <f t="shared" si="187"/>
        <v>3.0716723549488054E-2</v>
      </c>
      <c r="AK69" s="6">
        <f t="shared" si="188"/>
        <v>3.7037037037037035E-2</v>
      </c>
      <c r="AL69" s="249">
        <f>SUMIFS('ENCUESTA PROPIETARIOS'!$U$7:$U$417,'ENCUESTA PROPIETARIOS'!$N$7:$N$417,1)+SUMIFS('ENCUESTA PROPIETARIOS'!$W$7:$W$417,'ENCUESTA PROPIETARIOS'!$N$7:$N$417,1)+SUMIFS('ENCUESTA PROPIETARIOS'!$Y$7:$Y$417,'ENCUESTA PROPIETARIOS'!$N$7:$N$417,1)</f>
        <v>18</v>
      </c>
      <c r="AM69" s="249">
        <f>SUMIFS('ENCUESTA PROPIETARIOS'!$U$7:$U$417,'ENCUESTA PROPIETARIOS'!$N$7:$N$417,"&lt;6")+SUMIFS('ENCUESTA PROPIETARIOS'!$W$7:$W$417,'ENCUESTA PROPIETARIOS'!$N$7:$N$417,"&lt;6")+SUMIFS('ENCUESTA PROPIETARIOS'!$Y$7:$Y$417,'ENCUESTA PROPIETARIOS'!$N$7:$N$417,"&lt;6")-AL69</f>
        <v>27</v>
      </c>
      <c r="AN69" s="249">
        <f>SUMIFS('ENCUESTA PROPIETARIOS'!$U$7:$U$417,'ENCUESTA PROPIETARIOS'!$N$7:$N$417,"&gt;5")+SUMIFS('ENCUESTA PROPIETARIOS'!$W$7:$W$417,'ENCUESTA PROPIETARIOS'!$N$7:$N$417,"&gt;5")+SUMIFS('ENCUESTA PROPIETARIOS'!$Y$7:$Y$417,'ENCUESTA PROPIETARIOS'!$N$7:$N$417,"&gt;5")</f>
        <v>18</v>
      </c>
      <c r="AO69" s="249">
        <f>COUNTIFS('[1]ENCUESTA CONDUCTORES'!$DD$7:$DD$459,1,'[1]ENCUESTA CONDUCTORES'!$AG$7:$AG$459,"TOLVA")+COUNTIFS('[1]ENCUESTA CONDUCTORES'!$DD$7:$DD$459,1,'[1]ENCUESTA CONDUCTORES'!$AG$7:$AG$459,"VOLTEO")+COUNTIFS('[1]ENCUESTA CONDUCTORES'!$DD$7:$DD$459,1,'[1]ENCUESTA CONDUCTORES'!$AG$7:$AG$459,"GONDOLA")</f>
        <v>0</v>
      </c>
      <c r="AP69" s="249">
        <f>COUNTIFS('[1]ENCUESTA CONDUCTORES'!$DD$7:$DD$459,"&lt;6",'[1]ENCUESTA CONDUCTORES'!$AG$7:$AG$459,"TOLVA")+COUNTIFS('[1]ENCUESTA CONDUCTORES'!$DD$7:$DD$459,"&lt;6",'[1]ENCUESTA CONDUCTORES'!$AG$7:$AG$459,"VOLTEO")+COUNTIFS('[1]ENCUESTA CONDUCTORES'!$DD$7:$DD$459,"&lt;6",'[1]ENCUESTA CONDUCTORES'!$AG$7:$AG$459,"GONDOLA")-AO69</f>
        <v>0</v>
      </c>
      <c r="AQ69" s="249">
        <f>COUNTIFS('[1]ENCUESTA CONDUCTORES'!$DD$7:$DD$459,"&gt;5",'[1]ENCUESTA CONDUCTORES'!$AG$7:$AG$459,"TOLVA")+COUNTIFS('[1]ENCUESTA CONDUCTORES'!$DD$7:$DD$459,"&gt;5",'[1]ENCUESTA CONDUCTORES'!$AG$7:$AG$459,"VOLTEO")+COUNTIFS('[1]ENCUESTA CONDUCTORES'!$DD$7:$DD$459,"&gt;5",'[1]ENCUESTA CONDUCTORES'!$AG$7:$AG$459,"GONDOLA")</f>
        <v>0</v>
      </c>
      <c r="AT69" s="11">
        <f t="shared" si="181"/>
        <v>35</v>
      </c>
      <c r="AU69" s="9">
        <v>1979</v>
      </c>
      <c r="AV69" s="6"/>
      <c r="AW69" s="249">
        <f>COUNTIFS('DATOS 2'!$AA$5:$AA$1437,"&lt;6",'DATOS 2'!$D$5:$D$1437,AU69)-AW14</f>
        <v>2</v>
      </c>
      <c r="BH69" s="11" t="s">
        <v>1765</v>
      </c>
      <c r="BI69" s="6">
        <f t="shared" si="196"/>
        <v>0.25670498084291188</v>
      </c>
      <c r="BJ69" s="6">
        <f t="shared" si="189"/>
        <v>0.204644412191582</v>
      </c>
      <c r="BK69" s="6">
        <f t="shared" si="190"/>
        <v>0.3143631436314363</v>
      </c>
      <c r="BL69" s="249">
        <f>COUNTIFS('DATOS 2'!$AA$5:$AA$1437,1,'DATOS 2'!$AE$5:$AE$1437,"&lt;125001")-BL68-BL67-BL66-BL65</f>
        <v>67</v>
      </c>
      <c r="BM69" s="249">
        <f>COUNTIFS('DATOS 2'!$AA$5:$AA$1437,"&lt;6",'DATOS 2'!$AE$5:$AE$1437,"&lt;125001")-BM68-BM67-BM66-BM65-BL69-BL68-BL67-BL66-BL65</f>
        <v>141</v>
      </c>
      <c r="BN69" s="249">
        <f>COUNTIFS('DATOS 2'!$AA$5:$AA$1437,"&gt;5",'DATOS 2'!$AE$5:$AE$1437,"&lt;125001")-BN68-BN67-BN66-BN65</f>
        <v>116</v>
      </c>
      <c r="BQ69" s="249">
        <v>5</v>
      </c>
      <c r="BR69" s="141" t="s">
        <v>856</v>
      </c>
      <c r="BS69" s="6">
        <f t="shared" si="197"/>
        <v>7.4999999999999997E-2</v>
      </c>
      <c r="BT69" s="6">
        <f t="shared" si="191"/>
        <v>9.8265895953757232E-2</v>
      </c>
      <c r="BU69" s="6">
        <f t="shared" si="192"/>
        <v>0.12121212121212122</v>
      </c>
      <c r="BV69" s="249">
        <f>COUNTIFS('ENCUESTA PROPIETARIOS'!$N$7:$N$417,1,'ENCUESTA PROPIETARIOS'!$CP$7:$CP$417,$BQ69)</f>
        <v>15</v>
      </c>
      <c r="BW69" s="249">
        <f>COUNTIFS('ENCUESTA PROPIETARIOS'!$N$7:$N$417,"&lt;6",'ENCUESTA PROPIETARIOS'!$CP$7:$CP$417,$BQ69)-BV69</f>
        <v>17</v>
      </c>
      <c r="BX69" s="249">
        <f>COUNTIFS('ENCUESTA PROPIETARIOS'!$N$7:$N$417,"&gt;5",'ENCUESTA PROPIETARIOS'!$CP$7:$CP$417,$BQ69)</f>
        <v>4</v>
      </c>
    </row>
    <row r="70" spans="1:76" x14ac:dyDescent="0.25">
      <c r="A70" s="140" t="s">
        <v>906</v>
      </c>
      <c r="B70" s="249">
        <f>COUNTIFS('DATOS 1'!$L$51:$L$427,1,'DATOS 1'!$DG$51:$DG$427,"SEGURIDAD")+COUNTIFS('DATOS 1'!$L$51:$L$427,1,'DATOS 1'!$DG$51:$DG$427,"MANEJO A LA DEFENSIVA")+COUNTIFS('DATOS 1'!$L$51:$L$427,1,'DATOS 1'!$DG$51:$DG$427,"PRIMEROS AUXILIOS")</f>
        <v>2</v>
      </c>
      <c r="C70" s="249">
        <f>COUNTIFS('DATOS 1'!$L$51:$L$427,"&lt;6",'DATOS 1'!$DG$51:$DG$427,"SEGURIDAD")+COUNTIFS('DATOS 1'!$L$51:$L$427,"&lt;6",'DATOS 1'!$DG$51:$DG$427,"MANEJO A LA DEFENSIVA")+COUNTIFS('DATOS 1'!$L$51:$L$427,"&lt;6",'DATOS 1'!$DG$51:$DG$427,"PRIMEROS AUXILIOS")-B70</f>
        <v>10</v>
      </c>
      <c r="D70" s="249">
        <f>COUNTA('DATOS 1'!DG18:DG51)</f>
        <v>4</v>
      </c>
      <c r="J70" s="141" t="s">
        <v>1662</v>
      </c>
      <c r="K70" s="6">
        <f t="shared" si="193"/>
        <v>1</v>
      </c>
      <c r="L70" s="6">
        <f t="shared" si="193"/>
        <v>1</v>
      </c>
      <c r="M70" s="6">
        <f t="shared" si="193"/>
        <v>1</v>
      </c>
      <c r="N70" s="249">
        <f>SUM(N65:N69)</f>
        <v>202</v>
      </c>
      <c r="O70" s="249">
        <f>SUM(O65:O69)</f>
        <v>174</v>
      </c>
      <c r="P70" s="249">
        <f>SUM(P65:P69)</f>
        <v>21</v>
      </c>
      <c r="Q70" s="249">
        <f>SUM(Q65:Q69)</f>
        <v>66</v>
      </c>
      <c r="R70" s="249">
        <f t="shared" ref="R70:S70" si="198">SUM(R65:R69)</f>
        <v>313</v>
      </c>
      <c r="S70" s="249">
        <f t="shared" si="198"/>
        <v>119</v>
      </c>
      <c r="AH70" s="11" t="s">
        <v>1707</v>
      </c>
      <c r="AI70" s="6">
        <f t="shared" si="195"/>
        <v>0.18975903614457831</v>
      </c>
      <c r="AJ70" s="6">
        <f t="shared" si="187"/>
        <v>7.6222980659840733E-2</v>
      </c>
      <c r="AK70" s="6">
        <f t="shared" si="188"/>
        <v>3.4979423868312758E-2</v>
      </c>
      <c r="AL70" s="249">
        <f>SUMIFS('ENCUESTA PROPIETARIOS'!$X$7:$X$417,'ENCUESTA PROPIETARIOS'!$N$7:$N$417,1)+SUMIFS('ENCUESTA PROPIETARIOS'!$Z$7:$Z$417,'ENCUESTA PROPIETARIOS'!$N$7:$N$417,1)</f>
        <v>63</v>
      </c>
      <c r="AM70" s="249">
        <f>SUMIFS('ENCUESTA PROPIETARIOS'!$X$7:$X$417,'ENCUESTA PROPIETARIOS'!$N$7:$N$417,"&lt;6")+SUMIFS('ENCUESTA PROPIETARIOS'!$Z$7:$Z$417,'ENCUESTA PROPIETARIOS'!$N$7:$N$417,"&lt;6")-AL70</f>
        <v>67</v>
      </c>
      <c r="AN70" s="249">
        <f>SUMIFS('ENCUESTA PROPIETARIOS'!$X$7:$X$417,'ENCUESTA PROPIETARIOS'!$N$7:$N$417,"&gt;5")+SUMIFS('ENCUESTA PROPIETARIOS'!$Z$7:$Z$417,'ENCUESTA PROPIETARIOS'!$N$7:$N$417,"&gt;5")</f>
        <v>17</v>
      </c>
      <c r="AO70" s="249">
        <f>COUNTIFS('[1]ENCUESTA CONDUCTORES'!$DD$7:$DD$459,1,'[1]ENCUESTA CONDUCTORES'!$AG$7:$AG$459,"REDILAS")+COUNTIFS('[1]ENCUESTA CONDUCTORES'!$DD$7:$DD$459,1,'[1]ENCUESTA CONDUCTORES'!$AG$7:$AG$459,"JAULA")</f>
        <v>0</v>
      </c>
      <c r="AP70" s="249">
        <f>COUNTIFS('[1]ENCUESTA CONDUCTORES'!$DD$7:$DD$459,"&lt;6",'[1]ENCUESTA CONDUCTORES'!$AG$7:$AG$459,"REDILAS")+COUNTIFS('[1]ENCUESTA CONDUCTORES'!$DD$7:$DD$459,"&lt;6",'[1]ENCUESTA CONDUCTORES'!$AG$7:$AG$459,"JAULA")-AO70</f>
        <v>0</v>
      </c>
      <c r="AQ70" s="249">
        <f>COUNTIFS('[1]ENCUESTA CONDUCTORES'!$DD$7:$DD$459,"&gt;5",'[1]ENCUESTA CONDUCTORES'!$AG$7:$AG$459,"REDILAS")+COUNTIFS('[1]ENCUESTA CONDUCTORES'!$DD$7:$DD$459,"&gt;5",'[1]ENCUESTA CONDUCTORES'!$AG$7:$AG$459,"JAULA")</f>
        <v>0</v>
      </c>
      <c r="AT70" s="11"/>
      <c r="AU70" s="9"/>
      <c r="AV70" s="6"/>
      <c r="BH70" s="11" t="s">
        <v>1766</v>
      </c>
      <c r="BI70" s="6">
        <f t="shared" si="196"/>
        <v>0.17624521072796934</v>
      </c>
      <c r="BJ70" s="6">
        <f t="shared" si="189"/>
        <v>0.19593613933236576</v>
      </c>
      <c r="BK70" s="6">
        <f t="shared" si="190"/>
        <v>0.18970189701897019</v>
      </c>
      <c r="BL70" s="249">
        <f>COUNTIFS('DATOS 2'!$AA$5:$AA$1437,1,'DATOS 2'!$AE$5:$AE$1437,"&lt;150001")-BL69-BL68-BL67-BL66-BL65</f>
        <v>46</v>
      </c>
      <c r="BM70" s="249">
        <f>COUNTIFS('DATOS 2'!$AA$5:$AA$1437,"&lt;6",'DATOS 2'!$AE$5:$AE$1437,"&lt;150001")-BM69-BM68-BM67-BM66-BM65-BL70-BL69-BL68-BL67-BL66-BL65</f>
        <v>135</v>
      </c>
      <c r="BN70" s="249">
        <f>COUNTIFS('DATOS 2'!$AA$5:$AA$1437,"&gt;5",'DATOS 2'!$AE$5:$AE$1437,"&lt;150001")-BN69-BN68-BN67-BN66-BN65</f>
        <v>70</v>
      </c>
      <c r="BQ70" s="249">
        <v>6</v>
      </c>
      <c r="BR70" s="141" t="s">
        <v>857</v>
      </c>
      <c r="BS70" s="6">
        <f t="shared" si="197"/>
        <v>0.12</v>
      </c>
      <c r="BT70" s="6">
        <f t="shared" si="191"/>
        <v>0.14450867052023122</v>
      </c>
      <c r="BU70" s="6">
        <f t="shared" si="192"/>
        <v>9.0909090909090912E-2</v>
      </c>
      <c r="BV70" s="249">
        <f>COUNTIFS('ENCUESTA PROPIETARIOS'!$N$7:$N$417,1,'ENCUESTA PROPIETARIOS'!$CP$7:$CP$417,$BQ70)</f>
        <v>24</v>
      </c>
      <c r="BW70" s="249">
        <f>COUNTIFS('ENCUESTA PROPIETARIOS'!$N$7:$N$417,"&lt;6",'ENCUESTA PROPIETARIOS'!$CP$7:$CP$417,$BQ70)-BV70</f>
        <v>25</v>
      </c>
      <c r="BX70" s="249">
        <f>COUNTIFS('ENCUESTA PROPIETARIOS'!$N$7:$N$417,"&gt;5",'ENCUESTA PROPIETARIOS'!$CP$7:$CP$417,$BQ70)</f>
        <v>3</v>
      </c>
    </row>
    <row r="71" spans="1:76" x14ac:dyDescent="0.25">
      <c r="A71" s="140" t="s">
        <v>715</v>
      </c>
      <c r="B71" s="249">
        <f>SUM(B63:B70)</f>
        <v>768</v>
      </c>
      <c r="C71" s="249">
        <f>SUM(C63:C70)</f>
        <v>671</v>
      </c>
      <c r="D71" s="249">
        <f>SUM(D63:D70)</f>
        <v>137</v>
      </c>
      <c r="K71" s="6"/>
      <c r="AH71" s="11" t="s">
        <v>1708</v>
      </c>
      <c r="AI71" s="6">
        <f t="shared" si="195"/>
        <v>3.313253012048193E-2</v>
      </c>
      <c r="AJ71" s="6">
        <f t="shared" si="187"/>
        <v>9.7838452787258251E-2</v>
      </c>
      <c r="AK71" s="6">
        <f t="shared" si="188"/>
        <v>0.17489711934156379</v>
      </c>
      <c r="AL71" s="249">
        <f>SUMIFS('ENCUESTA PROPIETARIOS'!$Q$7:$Q$417,'ENCUESTA PROPIETARIOS'!$N$7:$N$417,1)+SUMIFS('ENCUESTA PROPIETARIOS'!$AA$7:$AA$417,'ENCUESTA PROPIETARIOS'!$N$7:$N$417,1)</f>
        <v>8</v>
      </c>
      <c r="AM71" s="249">
        <f>SUMIFS('ENCUESTA PROPIETARIOS'!$Q$7:$Q$417,'ENCUESTA PROPIETARIOS'!$N$7:$N$417,"&lt;6")+SUMIFS('ENCUESTA PROPIETARIOS'!$AA$7:$AA$417,'ENCUESTA PROPIETARIOS'!$N$7:$N$417,"&lt;6")-AL71</f>
        <v>83</v>
      </c>
      <c r="AN71" s="249">
        <f>SUMIFS('ENCUESTA PROPIETARIOS'!$Q$7:$Q$417,'ENCUESTA PROPIETARIOS'!$N$7:$N$417,"&gt;5")+SUMIFS('ENCUESTA PROPIETARIOS'!$AA$7:$AA$417,'ENCUESTA PROPIETARIOS'!$N$7:$N$417,"&gt;5")</f>
        <v>84</v>
      </c>
      <c r="AO71" s="249">
        <f>COUNTIFS('[1]ENCUESTA CONDUCTORES'!$DD$7:$DD$459,1,'[1]ENCUESTA CONDUCTORES'!$W$7:$W$459,"X")+COUNTIFS('[1]ENCUESTA CONDUCTORES'!$DD$7:$DD$459,1,'[1]ENCUESTA CONDUCTORES'!$AG$7:$AG$459,"FULL")</f>
        <v>3</v>
      </c>
      <c r="AP71" s="249">
        <f>COUNTIFS('[1]ENCUESTA CONDUCTORES'!$DD$7:$DD$459,"&lt;6",'[1]ENCUESTA CONDUCTORES'!$W$7:$W$459,"X")+COUNTIFS('[1]ENCUESTA CONDUCTORES'!$DD$7:$DD$459,"&lt;6",'[1]ENCUESTA CONDUCTORES'!$AG$7:$AG$459,"FULL")-AO71</f>
        <v>3</v>
      </c>
      <c r="AQ71" s="249">
        <f>COUNTIFS('[1]ENCUESTA CONDUCTORES'!$DD$7:$DD$459,"&gt;5",'[1]ENCUESTA CONDUCTORES'!$W$7:$W$459,"X")+COUNTIFS('[1]ENCUESTA CONDUCTORES'!$DD$7:$DD$459,"&gt;5",'[1]ENCUESTA CONDUCTORES'!$AG$7:$AG$459,"FULL")</f>
        <v>1</v>
      </c>
      <c r="AT71" s="11"/>
      <c r="AU71" s="9"/>
      <c r="AV71" s="6"/>
      <c r="BH71" s="11" t="s">
        <v>1767</v>
      </c>
      <c r="BI71" s="6">
        <f t="shared" si="196"/>
        <v>6.1302681992337162E-2</v>
      </c>
      <c r="BJ71" s="6">
        <f t="shared" si="189"/>
        <v>7.5471698113207544E-2</v>
      </c>
      <c r="BK71" s="6">
        <f t="shared" si="190"/>
        <v>7.8590785907859076E-2</v>
      </c>
      <c r="BL71" s="249">
        <f>COUNTIFS('DATOS 2'!$AA$5:$AA$1437,1,'DATOS 2'!$AE$5:$AE$1437,"&lt;175001")-BL70-BL69-BL68-BL67-BL66</f>
        <v>16</v>
      </c>
      <c r="BM71" s="249">
        <f>COUNTIFS('DATOS 2'!$AA$5:$AA$1437,"&lt;6",'DATOS 2'!$AE$5:$AE$1437,"&lt;175001")-BM70-BM69-BM68-BM67-BM66-BL71-BL70-BL69-BL68-BL67-BL66</f>
        <v>52</v>
      </c>
      <c r="BN71" s="249">
        <f>COUNTIFS('DATOS 2'!$AA$5:$AA$1437,"&gt;5",'DATOS 2'!$AE$5:$AE$1437,"&lt;175001")-BN70-BN69-BN68-BN67-BN66</f>
        <v>29</v>
      </c>
      <c r="BR71" s="11" t="s">
        <v>715</v>
      </c>
      <c r="BS71" s="6">
        <f t="shared" si="197"/>
        <v>1</v>
      </c>
      <c r="BT71" s="6">
        <f t="shared" si="191"/>
        <v>1</v>
      </c>
      <c r="BU71" s="6">
        <f t="shared" si="192"/>
        <v>1</v>
      </c>
      <c r="BV71" s="249">
        <f>SUM(BV65:BV70)</f>
        <v>200</v>
      </c>
      <c r="BW71" s="249">
        <f>SUM(BW65:BW70)</f>
        <v>173</v>
      </c>
      <c r="BX71" s="249">
        <f>SUM(BX65:BX70)</f>
        <v>33</v>
      </c>
    </row>
    <row r="72" spans="1:76" x14ac:dyDescent="0.25">
      <c r="J72" s="11"/>
      <c r="K72" s="11"/>
      <c r="L72" s="11"/>
      <c r="M72" s="11"/>
      <c r="N72" s="11"/>
      <c r="AH72" s="11" t="s">
        <v>1704</v>
      </c>
      <c r="AI72" s="6">
        <f t="shared" si="195"/>
        <v>1</v>
      </c>
      <c r="AJ72" s="6">
        <f t="shared" si="187"/>
        <v>1</v>
      </c>
      <c r="AK72" s="6">
        <f t="shared" si="188"/>
        <v>1</v>
      </c>
      <c r="AL72" s="249">
        <f>SUM(AL65:AL71)</f>
        <v>291</v>
      </c>
      <c r="AM72" s="249">
        <f t="shared" ref="AM72:AQ72" si="199">SUM(AM65:AM71)</f>
        <v>685</v>
      </c>
      <c r="AN72" s="249">
        <f t="shared" si="199"/>
        <v>384</v>
      </c>
      <c r="AO72" s="249">
        <f t="shared" si="199"/>
        <v>41</v>
      </c>
      <c r="AP72" s="249">
        <f t="shared" si="199"/>
        <v>194</v>
      </c>
      <c r="AQ72" s="249">
        <f t="shared" si="199"/>
        <v>102</v>
      </c>
      <c r="AT72" s="11"/>
      <c r="AU72" s="154" t="s">
        <v>1710</v>
      </c>
      <c r="AV72" s="6">
        <f t="shared" ref="AV72:AV108" si="200">+AW72/$AW$53</f>
        <v>6.9090909090909092E-2</v>
      </c>
      <c r="AW72" s="249">
        <f>SUM(AW59:AW69)</f>
        <v>19</v>
      </c>
      <c r="BH72" s="11" t="s">
        <v>1768</v>
      </c>
      <c r="BI72" s="6">
        <f t="shared" si="196"/>
        <v>6.5134099616858232E-2</v>
      </c>
      <c r="BJ72" s="6">
        <f t="shared" si="189"/>
        <v>9.7242380261248179E-2</v>
      </c>
      <c r="BK72" s="6">
        <f t="shared" si="190"/>
        <v>7.0460704607046065E-2</v>
      </c>
      <c r="BL72" s="249">
        <f>COUNTIFS('DATOS 2'!$AA$5:$AA$1437,1,'DATOS 2'!$AE$5:$AE$1437,"&gt;175000")</f>
        <v>17</v>
      </c>
      <c r="BM72" s="249">
        <f>COUNTIFS('DATOS 2'!$AA$5:$AA$1437,"&lt;6",'DATOS 2'!$AE$5:$AE$1437,"&gt;175000")-BL72</f>
        <v>67</v>
      </c>
      <c r="BN72" s="249">
        <f>COUNTIFS('DATOS 2'!$AA$5:$AA$1437,"&gt;5",'DATOS 2'!$AE$5:$AE$1437,"&gt;175000")</f>
        <v>26</v>
      </c>
    </row>
    <row r="73" spans="1:76" x14ac:dyDescent="0.25">
      <c r="J73" s="11"/>
      <c r="N73" s="373" t="s">
        <v>1717</v>
      </c>
      <c r="O73" s="373"/>
      <c r="P73" s="373"/>
      <c r="Q73" s="373" t="s">
        <v>1718</v>
      </c>
      <c r="R73" s="373"/>
      <c r="S73" s="373"/>
      <c r="AL73" s="249">
        <f>+AL72+AM72+AN72</f>
        <v>1360</v>
      </c>
      <c r="AO73" s="249">
        <f>+AO72+AP72+AQ72</f>
        <v>337</v>
      </c>
      <c r="AT73" s="11">
        <f t="shared" ref="AT73:AT106" si="201">2014-AU73</f>
        <v>34</v>
      </c>
      <c r="AU73" s="9">
        <v>1980</v>
      </c>
      <c r="AV73" s="6">
        <f t="shared" si="200"/>
        <v>8.3636363636363634E-2</v>
      </c>
      <c r="AW73" s="249">
        <f>COUNTIFS('DATOS 2'!$AA$5:$AA$1437,"&lt;6",'DATOS 2'!$D$5:$D$1437,AU73)-AW18</f>
        <v>23</v>
      </c>
      <c r="BH73" s="11" t="s">
        <v>715</v>
      </c>
      <c r="BI73" s="6">
        <f t="shared" si="196"/>
        <v>1</v>
      </c>
      <c r="BJ73" s="6">
        <f t="shared" si="189"/>
        <v>1</v>
      </c>
      <c r="BK73" s="6">
        <f t="shared" si="190"/>
        <v>1</v>
      </c>
      <c r="BL73" s="249">
        <f>SUM(BL66:BL72)</f>
        <v>261</v>
      </c>
      <c r="BM73" s="249">
        <f>SUM(BM66:BM72)</f>
        <v>689</v>
      </c>
      <c r="BN73" s="249">
        <f>SUM(BN66:BN72)</f>
        <v>369</v>
      </c>
    </row>
    <row r="74" spans="1:76" x14ac:dyDescent="0.25">
      <c r="J74" s="112" t="s">
        <v>1698</v>
      </c>
      <c r="K74" s="250" t="s">
        <v>2435</v>
      </c>
      <c r="L74" s="250" t="s">
        <v>2436</v>
      </c>
      <c r="M74" s="17" t="s">
        <v>714</v>
      </c>
      <c r="N74" s="250" t="s">
        <v>2433</v>
      </c>
      <c r="O74" s="250" t="s">
        <v>2434</v>
      </c>
      <c r="P74" s="17" t="s">
        <v>714</v>
      </c>
      <c r="Q74" s="250" t="s">
        <v>2433</v>
      </c>
      <c r="R74" s="250" t="s">
        <v>2434</v>
      </c>
      <c r="S74" s="17" t="s">
        <v>714</v>
      </c>
      <c r="AL74" s="249">
        <f>+AL73+AO73</f>
        <v>1697</v>
      </c>
      <c r="AT74" s="11">
        <f t="shared" si="201"/>
        <v>33</v>
      </c>
      <c r="AU74" s="9">
        <v>1981</v>
      </c>
      <c r="AV74" s="6">
        <f t="shared" si="200"/>
        <v>1.4545454545454545E-2</v>
      </c>
      <c r="AW74" s="249">
        <f>COUNTIFS('DATOS 2'!$AA$5:$AA$1437,"&lt;6",'DATOS 2'!$D$5:$D$1437,AU74)-AW19</f>
        <v>4</v>
      </c>
      <c r="BH74" s="11"/>
      <c r="BL74" s="138"/>
      <c r="BR74" s="112" t="s">
        <v>2472</v>
      </c>
      <c r="BW74" s="11"/>
      <c r="BX74" s="11"/>
    </row>
    <row r="75" spans="1:76" x14ac:dyDescent="0.25">
      <c r="A75" s="11" t="s">
        <v>2439</v>
      </c>
      <c r="B75" s="250" t="s">
        <v>2435</v>
      </c>
      <c r="C75" s="250" t="s">
        <v>2436</v>
      </c>
      <c r="D75" s="17" t="s">
        <v>714</v>
      </c>
      <c r="E75" s="250" t="s">
        <v>2433</v>
      </c>
      <c r="F75" s="250" t="s">
        <v>2434</v>
      </c>
      <c r="G75" s="17" t="s">
        <v>714</v>
      </c>
      <c r="J75" s="158" t="s">
        <v>43</v>
      </c>
      <c r="K75" s="6">
        <f>(+N75+Q75)/(N$80+Q$80)</f>
        <v>0.27238805970149255</v>
      </c>
      <c r="L75" s="6">
        <f t="shared" ref="L75:L78" si="202">(+O75+R75)/(O$80+R$80)</f>
        <v>0.27602905569007263</v>
      </c>
      <c r="M75" s="6">
        <f t="shared" ref="M75:M78" si="203">(+P75+S75)/(P$80+S$80)</f>
        <v>0.39490445859872614</v>
      </c>
      <c r="N75" s="249">
        <f>COUNTIFS('DATOS 1'!$L$51:$L$427,1,'DATOS 1'!$AV$51:$AV$427,2)</f>
        <v>56</v>
      </c>
      <c r="O75" s="249">
        <f>COUNTIFS('DATOS 1'!$L$51:$L$427,"&lt;6",'DATOS 1'!$AV$51:$AV$427,2)-N75</f>
        <v>49</v>
      </c>
      <c r="P75" s="249">
        <f>COUNTIFS('DATOS 1'!$L$7:$L$40,"&lt;31",'DATOS 1'!$AV$7:$AV$40,2)</f>
        <v>17</v>
      </c>
      <c r="Q75" s="249">
        <f>COUNTIFS('[1]ENCUESTA CONDUCTORES'!$E$7:$E$459,"X",'[1]ENCUESTA CONDUCTORES'!$BX$7:$BX$459,2)</f>
        <v>17</v>
      </c>
      <c r="R75" s="249">
        <f>COUNTIFS('[1]ENCUESTA CONDUCTORES'!$F$7:$F$459,"X",'[1]ENCUESTA CONDUCTORES'!$BX$7:$BX$459,2)+COUNTIFS('[1]ENCUESTA CONDUCTORES'!$G$7:$G$459,"X",'[1]ENCUESTA CONDUCTORES'!$BX$7:$BX$459,2)</f>
        <v>65</v>
      </c>
      <c r="S75" s="249">
        <f>COUNTIFS('[1]ENCUESTA CONDUCTORES'!$H$7:$H$459,"X",'[1]ENCUESTA CONDUCTORES'!$BX$7:$BX$459,2)</f>
        <v>45</v>
      </c>
      <c r="AT75" s="11">
        <f t="shared" si="201"/>
        <v>32</v>
      </c>
      <c r="AU75" s="9">
        <v>1982</v>
      </c>
      <c r="AV75" s="6">
        <f t="shared" si="200"/>
        <v>2.181818181818182E-2</v>
      </c>
      <c r="AW75" s="249">
        <f>COUNTIFS('DATOS 2'!$AA$5:$AA$1437,"&lt;6",'DATOS 2'!$D$5:$D$1437,AU75)-AW20</f>
        <v>6</v>
      </c>
      <c r="BH75" s="11"/>
      <c r="BL75" s="138"/>
      <c r="BS75" s="250" t="s">
        <v>2435</v>
      </c>
      <c r="BT75" s="250" t="s">
        <v>2436</v>
      </c>
      <c r="BU75" s="250" t="s">
        <v>714</v>
      </c>
      <c r="BV75" s="250" t="s">
        <v>2433</v>
      </c>
      <c r="BW75" s="250" t="s">
        <v>2434</v>
      </c>
      <c r="BX75" s="250" t="s">
        <v>714</v>
      </c>
    </row>
    <row r="76" spans="1:76" x14ac:dyDescent="0.25">
      <c r="A76" s="11" t="s">
        <v>807</v>
      </c>
      <c r="B76" s="6">
        <f>+E76/E$83</f>
        <v>9.9009900990099015E-2</v>
      </c>
      <c r="C76" s="6">
        <f t="shared" ref="C76:C83" si="204">+F76/F$83</f>
        <v>0.26857142857142857</v>
      </c>
      <c r="D76" s="6">
        <f t="shared" ref="D76:D83" si="205">+G76/G$83</f>
        <v>0.17647058823529413</v>
      </c>
      <c r="E76" s="249">
        <f>COUNTIFS('DATOS 1'!$L$51:$L$427,1,'DATOS 1'!$K$51:$K$427,"&lt;6")</f>
        <v>20</v>
      </c>
      <c r="F76" s="249">
        <f>COUNTIFS('DATOS 1'!$L$51:$L$427,"&lt;6",'DATOS 1'!$K$51:$K$427,"&lt;6")-E76</f>
        <v>47</v>
      </c>
      <c r="G76" s="249">
        <f>COUNTIF('DATOS 1'!$K$7:$K$40,"&lt;6")</f>
        <v>6</v>
      </c>
      <c r="J76" s="158" t="s">
        <v>44</v>
      </c>
      <c r="K76" s="6">
        <f t="shared" ref="K76:K78" si="206">(+N76+Q76)/(N$80+Q$80)</f>
        <v>0.33582089552238809</v>
      </c>
      <c r="L76" s="6">
        <f t="shared" si="202"/>
        <v>0.29782082324455206</v>
      </c>
      <c r="M76" s="6">
        <f t="shared" si="203"/>
        <v>0.24203821656050956</v>
      </c>
      <c r="N76" s="249">
        <f>COUNTIFS('DATOS 1'!$L$51:$L$427,1,'DATOS 1'!$AW$51:$AW$427,2)</f>
        <v>70</v>
      </c>
      <c r="O76" s="249">
        <f>COUNTIFS('DATOS 1'!$L$51:$L$427,"&lt;6",'DATOS 1'!$AW$51:$AW$427,2)-N76</f>
        <v>57</v>
      </c>
      <c r="P76" s="249">
        <f>COUNTIFS('DATOS 1'!$L$7:$L$40,"&lt;31",'DATOS 1'!$AW$7:$AW$40,2)</f>
        <v>8</v>
      </c>
      <c r="Q76" s="249">
        <f>COUNTIFS('[1]ENCUESTA CONDUCTORES'!$E$7:$E$459,"X",'[1]ENCUESTA CONDUCTORES'!$BY$7:$BY$459,2)</f>
        <v>20</v>
      </c>
      <c r="R76" s="249">
        <f>COUNTIFS('[1]ENCUESTA CONDUCTORES'!$F$7:$F$459,"X",'[1]ENCUESTA CONDUCTORES'!$BX$7:$BX$459,2)+COUNTIFS('[1]ENCUESTA CONDUCTORES'!$G$7:$G$459,"X",'[1]ENCUESTA CONDUCTORES'!$BY$7:$BY$459,2)</f>
        <v>66</v>
      </c>
      <c r="S76" s="249">
        <f>COUNTIFS('[1]ENCUESTA CONDUCTORES'!$H$7:$H$459,"X",'[1]ENCUESTA CONDUCTORES'!$BY$7:$BY$459,2)</f>
        <v>30</v>
      </c>
      <c r="AT76" s="11">
        <f t="shared" si="201"/>
        <v>31</v>
      </c>
      <c r="AU76" s="9">
        <v>1983</v>
      </c>
      <c r="AV76" s="6">
        <f t="shared" si="200"/>
        <v>3.6363636363636362E-2</v>
      </c>
      <c r="AW76" s="249">
        <f>COUNTIFS('DATOS 2'!$AA$5:$AA$1437,"&lt;6",'DATOS 2'!$D$5:$D$1437,AU76)-AW21</f>
        <v>10</v>
      </c>
      <c r="BH76" s="11"/>
      <c r="BQ76" s="249">
        <v>1</v>
      </c>
      <c r="BR76" s="141" t="s">
        <v>854</v>
      </c>
      <c r="BS76" s="6">
        <f>+BV76/BV$82</f>
        <v>0.105</v>
      </c>
      <c r="BT76" s="6">
        <f t="shared" ref="BT76:BT82" si="207">+BW76/BW$82</f>
        <v>0.10404624277456648</v>
      </c>
      <c r="BU76" s="6">
        <f t="shared" ref="BU76:BU82" si="208">+BX76/BX$82</f>
        <v>9.0909090909090912E-2</v>
      </c>
      <c r="BV76" s="249">
        <f>COUNTIFS('ENCUESTA PROPIETARIOS'!$N$7:$N$417,1,'ENCUESTA PROPIETARIOS'!$CQ$7:$CQ$417,$BQ76)</f>
        <v>21</v>
      </c>
      <c r="BW76" s="249">
        <f>COUNTIFS('ENCUESTA PROPIETARIOS'!$N$7:$N$417,"&lt;6",'ENCUESTA PROPIETARIOS'!$CQ$7:$CQ$417,$BQ76)-BV76</f>
        <v>18</v>
      </c>
      <c r="BX76" s="249">
        <f>COUNTIFS('ENCUESTA PROPIETARIOS'!$N$7:$N$417,"&gt;5",'ENCUESTA PROPIETARIOS'!$CQ$7:$CQ$417,$BQ76)</f>
        <v>3</v>
      </c>
    </row>
    <row r="77" spans="1:76" x14ac:dyDescent="0.25">
      <c r="A77" s="11" t="s">
        <v>808</v>
      </c>
      <c r="B77" s="6">
        <f t="shared" ref="B77:B83" si="209">+E77/E$83</f>
        <v>0.14356435643564355</v>
      </c>
      <c r="C77" s="6">
        <f t="shared" si="204"/>
        <v>0.11428571428571428</v>
      </c>
      <c r="D77" s="6">
        <f t="shared" si="205"/>
        <v>2.9411764705882353E-2</v>
      </c>
      <c r="E77" s="249">
        <f>COUNTIFS('DATOS 1'!$L$51:$L$427,1,'DATOS 1'!$K$51:$K$427,"&lt;11")-E76</f>
        <v>29</v>
      </c>
      <c r="F77" s="249">
        <f>COUNTIFS('DATOS 1'!$L$51:$L$427,"&lt;6",'DATOS 1'!$K$51:$K$427,"&lt;11")-F76-E77-E76</f>
        <v>20</v>
      </c>
      <c r="G77" s="249">
        <f>COUNTIF('DATOS 1'!$K$7:$K$40,"&lt;11")-G76</f>
        <v>1</v>
      </c>
      <c r="J77" s="158" t="s">
        <v>45</v>
      </c>
      <c r="K77" s="6">
        <f t="shared" si="206"/>
        <v>0.39179104477611942</v>
      </c>
      <c r="L77" s="6">
        <f t="shared" si="202"/>
        <v>0.42615012106537531</v>
      </c>
      <c r="M77" s="6">
        <f t="shared" si="203"/>
        <v>0.36305732484076431</v>
      </c>
      <c r="N77" s="249">
        <f>COUNTIFS('DATOS 1'!$L$51:$L$427,1,'DATOS 1'!$AX$51:$AX$427,2)</f>
        <v>76</v>
      </c>
      <c r="O77" s="249">
        <f>COUNTIFS('DATOS 1'!$L$51:$L$427,"&lt;6",'DATOS 1'!$AX$51:$AX$427,2)-N77</f>
        <v>68</v>
      </c>
      <c r="P77" s="249">
        <f>COUNTIFS('DATOS 1'!$L$7:$L$40,"&lt;31",'DATOS 1'!$AX$7:$AX$40,2)</f>
        <v>9</v>
      </c>
      <c r="Q77" s="249">
        <f>COUNTIFS('[1]ENCUESTA CONDUCTORES'!$E$7:$E$459,"X",'[1]ENCUESTA CONDUCTORES'!$BZ$7:$BZ$459,2)</f>
        <v>29</v>
      </c>
      <c r="R77" s="249">
        <f>COUNTIFS('[1]ENCUESTA CONDUCTORES'!$F$7:$F$459,"X",'[1]ENCUESTA CONDUCTORES'!$BX$7:$BX$459,2)+COUNTIFS('[1]ENCUESTA CONDUCTORES'!$G$7:$G$459,"X",'[1]ENCUESTA CONDUCTORES'!$BZ$7:$BZ$459,2)</f>
        <v>108</v>
      </c>
      <c r="S77" s="249">
        <f>COUNTIFS('[1]ENCUESTA CONDUCTORES'!$H$7:$H$459,"X",'[1]ENCUESTA CONDUCTORES'!$BZ$7:$BZ$459,2)</f>
        <v>48</v>
      </c>
      <c r="AT77" s="11">
        <f t="shared" si="201"/>
        <v>30</v>
      </c>
      <c r="AU77" s="9">
        <v>1984</v>
      </c>
      <c r="AV77" s="6">
        <f t="shared" si="200"/>
        <v>1.8181818181818181E-2</v>
      </c>
      <c r="AW77" s="249">
        <f>COUNTIFS('DATOS 2'!$AA$5:$AA$1437,"&lt;6",'DATOS 2'!$D$5:$D$1437,AU77)-AW22</f>
        <v>5</v>
      </c>
      <c r="BH77" s="11"/>
      <c r="BQ77" s="249">
        <v>2</v>
      </c>
      <c r="BR77" s="141" t="s">
        <v>902</v>
      </c>
      <c r="BS77" s="6">
        <f t="shared" ref="BS77:BS82" si="210">+BV77/BV$82</f>
        <v>0.09</v>
      </c>
      <c r="BT77" s="6">
        <f t="shared" si="207"/>
        <v>4.046242774566474E-2</v>
      </c>
      <c r="BU77" s="6">
        <f t="shared" si="208"/>
        <v>0.15151515151515152</v>
      </c>
      <c r="BV77" s="249">
        <f>COUNTIFS('ENCUESTA PROPIETARIOS'!$N$7:$N$417,1,'ENCUESTA PROPIETARIOS'!$CQ$7:$CQ$417,$BQ77)</f>
        <v>18</v>
      </c>
      <c r="BW77" s="249">
        <f>COUNTIFS('ENCUESTA PROPIETARIOS'!$N$7:$N$417,"&lt;6",'ENCUESTA PROPIETARIOS'!$CQ$7:$CQ$417,$BQ77)-BV77</f>
        <v>7</v>
      </c>
      <c r="BX77" s="249">
        <f>COUNTIFS('ENCUESTA PROPIETARIOS'!$N$7:$N$417,"&gt;5",'ENCUESTA PROPIETARIOS'!$CQ$7:$CQ$417,$BQ77)</f>
        <v>5</v>
      </c>
    </row>
    <row r="78" spans="1:76" x14ac:dyDescent="0.25">
      <c r="A78" s="11" t="s">
        <v>809</v>
      </c>
      <c r="B78" s="6">
        <f t="shared" si="209"/>
        <v>7.4257425742574254E-2</v>
      </c>
      <c r="C78" s="6">
        <f t="shared" si="204"/>
        <v>0.14857142857142858</v>
      </c>
      <c r="D78" s="6">
        <f t="shared" si="205"/>
        <v>0.17647058823529413</v>
      </c>
      <c r="E78" s="249">
        <f>COUNTIFS('DATOS 1'!$L$51:$L$427,1,'DATOS 1'!$K$51:$K$427,"&lt;16")-E77-E76</f>
        <v>15</v>
      </c>
      <c r="F78" s="249">
        <f>COUNTIFS('DATOS 1'!$L$51:$L$427,"&lt;6",'DATOS 1'!$K$51:$K$427,"&lt;16")-F77-F76-E78-E77-E76</f>
        <v>26</v>
      </c>
      <c r="G78" s="249">
        <f>COUNTIF('DATOS 1'!$K$7:$K$40,"&lt;16")-G77-G76</f>
        <v>6</v>
      </c>
      <c r="J78" s="158" t="s">
        <v>1696</v>
      </c>
      <c r="K78" s="6">
        <f t="shared" si="206"/>
        <v>0</v>
      </c>
      <c r="L78" s="6">
        <f t="shared" si="202"/>
        <v>0</v>
      </c>
      <c r="M78" s="6">
        <f t="shared" si="203"/>
        <v>0</v>
      </c>
      <c r="N78" s="249">
        <v>0</v>
      </c>
      <c r="O78" s="249">
        <v>0</v>
      </c>
      <c r="P78" s="249">
        <v>0</v>
      </c>
      <c r="Q78" s="249">
        <v>0</v>
      </c>
      <c r="R78" s="249">
        <v>0</v>
      </c>
      <c r="S78" s="249">
        <v>0</v>
      </c>
      <c r="AT78" s="11">
        <f t="shared" si="201"/>
        <v>29</v>
      </c>
      <c r="AU78" s="9">
        <v>1985</v>
      </c>
      <c r="AV78" s="6">
        <f t="shared" si="200"/>
        <v>4.7272727272727272E-2</v>
      </c>
      <c r="AW78" s="249">
        <f>COUNTIFS('DATOS 2'!$AA$5:$AA$1437,"&lt;6",'DATOS 2'!$D$5:$D$1437,AU78)-AW23</f>
        <v>13</v>
      </c>
      <c r="BH78" s="11" t="s">
        <v>1770</v>
      </c>
      <c r="BI78" s="250" t="s">
        <v>2435</v>
      </c>
      <c r="BJ78" s="250" t="s">
        <v>2436</v>
      </c>
      <c r="BK78" s="250" t="s">
        <v>714</v>
      </c>
      <c r="BL78" s="250" t="s">
        <v>2433</v>
      </c>
      <c r="BM78" s="250" t="s">
        <v>2434</v>
      </c>
      <c r="BN78" s="250" t="s">
        <v>714</v>
      </c>
      <c r="BQ78" s="249">
        <v>3</v>
      </c>
      <c r="BR78" s="141" t="s">
        <v>903</v>
      </c>
      <c r="BS78" s="6">
        <f t="shared" si="210"/>
        <v>0.16</v>
      </c>
      <c r="BT78" s="6">
        <f t="shared" si="207"/>
        <v>8.6705202312138727E-2</v>
      </c>
      <c r="BU78" s="6">
        <f t="shared" si="208"/>
        <v>3.0303030303030304E-2</v>
      </c>
      <c r="BV78" s="249">
        <f>COUNTIFS('ENCUESTA PROPIETARIOS'!$N$7:$N$417,1,'ENCUESTA PROPIETARIOS'!$CQ$7:$CQ$417,$BQ78)</f>
        <v>32</v>
      </c>
      <c r="BW78" s="249">
        <f>COUNTIFS('ENCUESTA PROPIETARIOS'!$N$7:$N$417,"&lt;6",'ENCUESTA PROPIETARIOS'!$CQ$7:$CQ$417,$BQ78)-BV78</f>
        <v>15</v>
      </c>
      <c r="BX78" s="249">
        <f>COUNTIFS('ENCUESTA PROPIETARIOS'!$N$7:$N$417,"&gt;5",'ENCUESTA PROPIETARIOS'!$CQ$7:$CQ$417,$BQ78)</f>
        <v>1</v>
      </c>
    </row>
    <row r="79" spans="1:76" x14ac:dyDescent="0.25">
      <c r="A79" s="11" t="s">
        <v>810</v>
      </c>
      <c r="B79" s="6">
        <f t="shared" si="209"/>
        <v>0.19801980198019803</v>
      </c>
      <c r="C79" s="6">
        <f t="shared" si="204"/>
        <v>0.1657142857142857</v>
      </c>
      <c r="D79" s="6">
        <f t="shared" si="205"/>
        <v>8.8235294117647065E-2</v>
      </c>
      <c r="E79" s="249">
        <f>COUNTIFS('DATOS 1'!$L$51:$L$427,1,'DATOS 1'!$K$51:$K$427,"&lt;21")-E78-E77-E76</f>
        <v>40</v>
      </c>
      <c r="F79" s="249">
        <f>COUNTIFS('DATOS 1'!$L$51:$L$427,"&lt;6",'DATOS 1'!$K$51:$K$427,"&lt;21")-F78-F77-F76-E79-E78-E77-E76</f>
        <v>29</v>
      </c>
      <c r="G79" s="249">
        <f>COUNTIF('DATOS 1'!$K$7:$K$40,"&lt;21")-G78-G77-G76</f>
        <v>3</v>
      </c>
      <c r="J79" s="141"/>
      <c r="K79" s="6"/>
      <c r="L79" s="6"/>
      <c r="M79" s="6"/>
      <c r="AT79" s="11">
        <f t="shared" si="201"/>
        <v>28</v>
      </c>
      <c r="AU79" s="9">
        <v>1986</v>
      </c>
      <c r="AV79" s="6">
        <f t="shared" si="200"/>
        <v>2.5454545454545455E-2</v>
      </c>
      <c r="AW79" s="249">
        <f>COUNTIFS('DATOS 2'!$AA$5:$AA$1437,"&lt;6",'DATOS 2'!$D$5:$D$1437,AU79)-AW24</f>
        <v>7</v>
      </c>
      <c r="BH79" s="11" t="s">
        <v>1743</v>
      </c>
      <c r="BI79" s="6">
        <f>+BL79/BL$86</f>
        <v>4.0540540540540543E-2</v>
      </c>
      <c r="BJ79" s="6">
        <f t="shared" ref="BJ79:BJ86" si="211">+BM79/BM$86</f>
        <v>4.7538200339558571E-2</v>
      </c>
      <c r="BK79" s="6">
        <f t="shared" ref="BK79:BK86" si="212">+BN79/BN$86</f>
        <v>2.2364217252396165E-2</v>
      </c>
      <c r="BL79" s="249">
        <f>COUNTIFS('DATOS 2'!$AA$5:$AA$1437,1,'DATOS 2'!$AF$5:$AF$1437,"&lt;10000")</f>
        <v>9</v>
      </c>
      <c r="BM79" s="249">
        <f>COUNTIFS('DATOS 2'!$AA$5:$AA$1437,"&lt;6",'DATOS 2'!$AF$5:$AF$1437,"&lt;10000")-BL79</f>
        <v>28</v>
      </c>
      <c r="BN79" s="249">
        <f>COUNTIFS('DATOS 2'!$AA$5:$AA$1437,"&gt;5",'DATOS 2'!$AF$5:$AF$1437,"&lt;10000")</f>
        <v>7</v>
      </c>
      <c r="BQ79" s="249">
        <v>4</v>
      </c>
      <c r="BR79" s="141" t="s">
        <v>904</v>
      </c>
      <c r="BS79" s="6">
        <f t="shared" si="210"/>
        <v>0.185</v>
      </c>
      <c r="BT79" s="6">
        <f t="shared" si="207"/>
        <v>0.19075144508670519</v>
      </c>
      <c r="BU79" s="6">
        <f t="shared" si="208"/>
        <v>0.12121212121212122</v>
      </c>
      <c r="BV79" s="249">
        <f>COUNTIFS('ENCUESTA PROPIETARIOS'!$N$7:$N$417,1,'ENCUESTA PROPIETARIOS'!$CQ$7:$CQ$417,$BQ79)</f>
        <v>37</v>
      </c>
      <c r="BW79" s="249">
        <f>COUNTIFS('ENCUESTA PROPIETARIOS'!$N$7:$N$417,"&lt;6",'ENCUESTA PROPIETARIOS'!$CQ$7:$CQ$417,$BQ79)-BV79</f>
        <v>33</v>
      </c>
      <c r="BX79" s="249">
        <f>COUNTIFS('ENCUESTA PROPIETARIOS'!$N$7:$N$417,"&gt;5",'ENCUESTA PROPIETARIOS'!$CQ$7:$CQ$417,$BQ79)</f>
        <v>4</v>
      </c>
    </row>
    <row r="80" spans="1:76" x14ac:dyDescent="0.25">
      <c r="A80" s="11" t="s">
        <v>811</v>
      </c>
      <c r="B80" s="6">
        <f t="shared" si="209"/>
        <v>8.9108910891089105E-2</v>
      </c>
      <c r="C80" s="6">
        <f t="shared" si="204"/>
        <v>9.1428571428571428E-2</v>
      </c>
      <c r="D80" s="6">
        <f t="shared" si="205"/>
        <v>0.11764705882352941</v>
      </c>
      <c r="E80" s="249">
        <f>COUNTIFS('DATOS 1'!$L$51:$L$427,1,'DATOS 1'!$K$51:$K$427,"&lt;26")-E79-E78-E77-E76</f>
        <v>18</v>
      </c>
      <c r="F80" s="249">
        <f>COUNTIFS('DATOS 1'!$L$51:$L$427,"&lt;6",'DATOS 1'!$K$51:$K$427,"&lt;26")-F79-F78-F77-F76-E80-E79-E78-E77-E76</f>
        <v>16</v>
      </c>
      <c r="G80" s="249">
        <f>COUNTIF('DATOS 1'!$K$7:$K$40,"&lt;26")-G79-G78-G77-G76</f>
        <v>4</v>
      </c>
      <c r="J80" s="141" t="s">
        <v>1662</v>
      </c>
      <c r="K80" s="6">
        <f t="shared" ref="K80:M80" si="213">(+N80+Q80)/(N$80+Q$80)</f>
        <v>1</v>
      </c>
      <c r="L80" s="6">
        <f t="shared" si="213"/>
        <v>1</v>
      </c>
      <c r="M80" s="6">
        <f t="shared" si="213"/>
        <v>1</v>
      </c>
      <c r="N80" s="249">
        <f>SUM(N75:N79)</f>
        <v>202</v>
      </c>
      <c r="O80" s="249">
        <f>SUM(O75:O79)</f>
        <v>174</v>
      </c>
      <c r="P80" s="249">
        <f>SUM(P75:P79)</f>
        <v>34</v>
      </c>
      <c r="Q80" s="249">
        <f>SUM(Q75:Q79)</f>
        <v>66</v>
      </c>
      <c r="R80" s="249">
        <f t="shared" ref="R80" si="214">SUM(R75:R79)</f>
        <v>239</v>
      </c>
      <c r="S80" s="249">
        <f t="shared" ref="S80" si="215">SUM(S75:S79)</f>
        <v>123</v>
      </c>
      <c r="AT80" s="11">
        <f t="shared" si="201"/>
        <v>27</v>
      </c>
      <c r="AU80" s="9">
        <v>1987</v>
      </c>
      <c r="AV80" s="6">
        <f t="shared" si="200"/>
        <v>1.4545454545454545E-2</v>
      </c>
      <c r="AW80" s="249">
        <f>COUNTIFS('DATOS 2'!$AA$5:$AA$1437,"&lt;6",'DATOS 2'!$D$5:$D$1437,AU80)-AW25</f>
        <v>4</v>
      </c>
      <c r="BH80" s="11" t="s">
        <v>954</v>
      </c>
      <c r="BI80" s="6">
        <f t="shared" ref="BI80:BI86" si="216">+BL80/BL$86</f>
        <v>0.19369369369369369</v>
      </c>
      <c r="BJ80" s="6">
        <f t="shared" si="211"/>
        <v>0.27843803056027167</v>
      </c>
      <c r="BK80" s="6">
        <f t="shared" si="212"/>
        <v>0.22044728434504793</v>
      </c>
      <c r="BL80" s="249">
        <f>COUNTIFS('DATOS 2'!$AA$5:$AA$1437,1,'DATOS 2'!$AF$5:$AF$1437,"&lt;15001")-BL79</f>
        <v>43</v>
      </c>
      <c r="BM80" s="249">
        <f>COUNTIFS('DATOS 2'!$AA$5:$AA$1437,"&lt;6",'DATOS 2'!$AF$5:$AF$1437,"&lt;15001")-BM79-BL80-BL79</f>
        <v>164</v>
      </c>
      <c r="BN80" s="249">
        <f>COUNTIFS('DATOS 2'!$AA$5:$AA$1437,"&gt;5",'DATOS 2'!$AF$5:$AF$1437,"&lt;15001")-BN79</f>
        <v>69</v>
      </c>
      <c r="BQ80" s="249">
        <v>5</v>
      </c>
      <c r="BR80" s="141" t="s">
        <v>856</v>
      </c>
      <c r="BS80" s="6">
        <f t="shared" si="210"/>
        <v>0.28499999999999998</v>
      </c>
      <c r="BT80" s="6">
        <f t="shared" si="207"/>
        <v>0.27167630057803466</v>
      </c>
      <c r="BU80" s="6">
        <f t="shared" si="208"/>
        <v>0.33333333333333331</v>
      </c>
      <c r="BV80" s="249">
        <f>COUNTIFS('ENCUESTA PROPIETARIOS'!$N$7:$N$417,1,'ENCUESTA PROPIETARIOS'!$CQ$7:$CQ$417,$BQ80)</f>
        <v>57</v>
      </c>
      <c r="BW80" s="249">
        <f>COUNTIFS('ENCUESTA PROPIETARIOS'!$N$7:$N$417,"&lt;6",'ENCUESTA PROPIETARIOS'!$CQ$7:$CQ$417,$BQ80)-BV80</f>
        <v>47</v>
      </c>
      <c r="BX80" s="249">
        <f>COUNTIFS('ENCUESTA PROPIETARIOS'!$N$7:$N$417,"&gt;5",'ENCUESTA PROPIETARIOS'!$CQ$7:$CQ$417,$BQ80)</f>
        <v>11</v>
      </c>
    </row>
    <row r="81" spans="1:76" x14ac:dyDescent="0.25">
      <c r="A81" s="11" t="s">
        <v>1875</v>
      </c>
      <c r="B81" s="6">
        <f t="shared" si="209"/>
        <v>0.20297029702970298</v>
      </c>
      <c r="C81" s="6">
        <f t="shared" si="204"/>
        <v>0.12</v>
      </c>
      <c r="D81" s="6">
        <f t="shared" si="205"/>
        <v>0.20588235294117646</v>
      </c>
      <c r="E81" s="249">
        <f>COUNTIFS('DATOS 1'!$L$51:$L$427,1,'DATOS 1'!$K$51:$K$427,"&lt;31")-E80-E79-E78-E77-E76</f>
        <v>41</v>
      </c>
      <c r="F81" s="249">
        <f>COUNTIFS('DATOS 1'!$L$51:$L$427,"&lt;6",'DATOS 1'!$K$51:$K$427,"&lt;31")-F80-F79-F78-F77-F76-E81-E80-E79-E78-E77-E76</f>
        <v>21</v>
      </c>
      <c r="G81" s="249">
        <f>COUNTIF('DATOS 1'!$K$7:$K$40,"&lt;31")-G80-G79-G78-G77-G76</f>
        <v>7</v>
      </c>
      <c r="K81" s="6"/>
      <c r="AT81" s="11">
        <f t="shared" si="201"/>
        <v>26</v>
      </c>
      <c r="AU81" s="9">
        <v>1988</v>
      </c>
      <c r="AV81" s="6">
        <f t="shared" si="200"/>
        <v>4.7272727272727272E-2</v>
      </c>
      <c r="AW81" s="249">
        <f>COUNTIFS('DATOS 2'!$AA$5:$AA$1437,"&lt;6",'DATOS 2'!$D$5:$D$1437,AU81)-AW26</f>
        <v>13</v>
      </c>
      <c r="BH81" s="11" t="s">
        <v>1744</v>
      </c>
      <c r="BI81" s="6">
        <f t="shared" si="216"/>
        <v>0.22072072072072071</v>
      </c>
      <c r="BJ81" s="6">
        <f t="shared" si="211"/>
        <v>0.25976230899830222</v>
      </c>
      <c r="BK81" s="6">
        <f t="shared" si="212"/>
        <v>0.32587859424920129</v>
      </c>
      <c r="BL81" s="249">
        <f>COUNTIFS('DATOS 2'!$AA$5:$AA$1437,1,'DATOS 2'!$AF$5:$AF$1437,"&lt;20001")-BL80-BL79</f>
        <v>49</v>
      </c>
      <c r="BM81" s="249">
        <f>COUNTIFS('DATOS 2'!$AA$5:$AA$1437,"&lt;6",'DATOS 2'!$AF$5:$AF$1437,"&lt;20001")-BM80-BM79-BL81-BL80-BL79</f>
        <v>153</v>
      </c>
      <c r="BN81" s="249">
        <f>COUNTIFS('DATOS 2'!$AA$5:$AA$1437,"&gt;5",'DATOS 2'!$AF$5:$AF$1437,"&lt;20001")-BN80-BN79</f>
        <v>102</v>
      </c>
      <c r="BQ81" s="249">
        <v>6</v>
      </c>
      <c r="BR81" s="141" t="s">
        <v>857</v>
      </c>
      <c r="BS81" s="6">
        <f>+BV81/BV$82</f>
        <v>0.17499999999999999</v>
      </c>
      <c r="BT81" s="6">
        <f t="shared" si="207"/>
        <v>0.30635838150289019</v>
      </c>
      <c r="BU81" s="6">
        <f t="shared" si="208"/>
        <v>0.27272727272727271</v>
      </c>
      <c r="BV81" s="249">
        <f>COUNTIFS('ENCUESTA PROPIETARIOS'!$N$7:$N$417,1,'ENCUESTA PROPIETARIOS'!$CQ$7:$CQ$417,$BQ81)</f>
        <v>35</v>
      </c>
      <c r="BW81" s="249">
        <f>COUNTIFS('ENCUESTA PROPIETARIOS'!$N$7:$N$417,"&lt;6",'ENCUESTA PROPIETARIOS'!$CQ$7:$CQ$417,$BQ81)-BV81</f>
        <v>53</v>
      </c>
      <c r="BX81" s="249">
        <f>COUNTIFS('ENCUESTA PROPIETARIOS'!$N$7:$N$417,"&gt;5",'ENCUESTA PROPIETARIOS'!$CQ$7:$CQ$417,$BQ81)</f>
        <v>9</v>
      </c>
    </row>
    <row r="82" spans="1:76" x14ac:dyDescent="0.25">
      <c r="A82" s="11" t="s">
        <v>1876</v>
      </c>
      <c r="B82" s="6">
        <f t="shared" si="209"/>
        <v>0.19306930693069307</v>
      </c>
      <c r="C82" s="6">
        <f t="shared" si="204"/>
        <v>9.1428571428571428E-2</v>
      </c>
      <c r="D82" s="6">
        <f t="shared" si="205"/>
        <v>0.20588235294117646</v>
      </c>
      <c r="E82" s="249">
        <f>COUNTIFS('DATOS 1'!$L$51:$L$427,1,'DATOS 1'!$K$51:$K$427,"&gt;30")</f>
        <v>39</v>
      </c>
      <c r="F82" s="249">
        <f>COUNTIFS('DATOS 1'!$L$51:$L$427,"&lt;6",'DATOS 1'!$K$51:$K$427,"&gt;30")-E82</f>
        <v>16</v>
      </c>
      <c r="G82" s="249">
        <f>COUNTIF('DATOS 1'!$K$7:$K$40,"&gt;30")</f>
        <v>7</v>
      </c>
      <c r="J82" s="11"/>
      <c r="K82" s="11"/>
      <c r="L82" s="11"/>
      <c r="M82" s="11"/>
      <c r="N82" s="11"/>
      <c r="AT82" s="11">
        <f t="shared" si="201"/>
        <v>25</v>
      </c>
      <c r="AU82" s="9">
        <v>1989</v>
      </c>
      <c r="AV82" s="6">
        <f t="shared" si="200"/>
        <v>2.181818181818182E-2</v>
      </c>
      <c r="AW82" s="249">
        <f>COUNTIFS('DATOS 2'!$AA$5:$AA$1437,"&lt;6",'DATOS 2'!$D$5:$D$1437,AU82)-AW27</f>
        <v>6</v>
      </c>
      <c r="BH82" s="11" t="s">
        <v>1745</v>
      </c>
      <c r="BI82" s="6">
        <f t="shared" si="216"/>
        <v>0.23423423423423423</v>
      </c>
      <c r="BJ82" s="6">
        <f t="shared" si="211"/>
        <v>0.15789473684210525</v>
      </c>
      <c r="BK82" s="6">
        <f t="shared" si="212"/>
        <v>0.25559105431309903</v>
      </c>
      <c r="BL82" s="249">
        <f>COUNTIFS('DATOS 2'!$AA$5:$AA$1437,1,'DATOS 2'!$AF$5:$AF$1437,"&lt;25001")-BL81-BL80-BL79</f>
        <v>52</v>
      </c>
      <c r="BM82" s="249">
        <f>COUNTIFS('DATOS 2'!$AA$5:$AA$1437,"&lt;6",'DATOS 2'!$AF$5:$AF$1437,"&lt;25001")-BM81-BM80-BM79-BL82-BL81-BL80-BL79</f>
        <v>93</v>
      </c>
      <c r="BN82" s="249">
        <f>COUNTIFS('DATOS 2'!$AA$5:$AA$1437,"&gt;5",'DATOS 2'!$AF$5:$AF$1437,"&lt;25001")-BN81-BN80-BN79</f>
        <v>80</v>
      </c>
      <c r="BR82" s="11" t="s">
        <v>715</v>
      </c>
      <c r="BS82" s="6">
        <f t="shared" si="210"/>
        <v>1</v>
      </c>
      <c r="BT82" s="6">
        <f t="shared" si="207"/>
        <v>1</v>
      </c>
      <c r="BU82" s="6">
        <f t="shared" si="208"/>
        <v>1</v>
      </c>
      <c r="BV82" s="249">
        <f>SUM(BV76:BV81)</f>
        <v>200</v>
      </c>
      <c r="BW82" s="249">
        <f>SUM(BW76:BW81)</f>
        <v>173</v>
      </c>
      <c r="BX82" s="249">
        <f>SUM(BX76:BX81)</f>
        <v>33</v>
      </c>
    </row>
    <row r="83" spans="1:76" x14ac:dyDescent="0.25">
      <c r="A83" s="11" t="s">
        <v>2438</v>
      </c>
      <c r="B83" s="6">
        <f t="shared" si="209"/>
        <v>1</v>
      </c>
      <c r="C83" s="6">
        <f t="shared" si="204"/>
        <v>1</v>
      </c>
      <c r="D83" s="6">
        <f t="shared" si="205"/>
        <v>1</v>
      </c>
      <c r="E83" s="249">
        <f>SUM(E76:E82)</f>
        <v>202</v>
      </c>
      <c r="F83" s="249">
        <f>SUM(F76:F82)</f>
        <v>175</v>
      </c>
      <c r="G83" s="249">
        <f>SUM(G76:G82)</f>
        <v>34</v>
      </c>
      <c r="J83" s="11"/>
      <c r="N83" s="373" t="s">
        <v>1717</v>
      </c>
      <c r="O83" s="373"/>
      <c r="P83" s="373"/>
      <c r="Q83" s="373" t="s">
        <v>1718</v>
      </c>
      <c r="R83" s="373"/>
      <c r="S83" s="373"/>
      <c r="AT83" s="11">
        <f t="shared" si="201"/>
        <v>24</v>
      </c>
      <c r="AU83" s="9">
        <v>1990</v>
      </c>
      <c r="AV83" s="6">
        <f t="shared" si="200"/>
        <v>7.2727272727272724E-2</v>
      </c>
      <c r="AW83" s="249">
        <f>COUNTIFS('DATOS 2'!$AA$5:$AA$1437,"&lt;6",'DATOS 2'!$D$5:$D$1437,AU83)-AW28</f>
        <v>20</v>
      </c>
      <c r="BH83" s="11" t="s">
        <v>1746</v>
      </c>
      <c r="BI83" s="6">
        <f t="shared" si="216"/>
        <v>0.17117117117117117</v>
      </c>
      <c r="BJ83" s="6">
        <f t="shared" si="211"/>
        <v>8.6587436332767401E-2</v>
      </c>
      <c r="BK83" s="6">
        <f t="shared" si="212"/>
        <v>4.472843450479233E-2</v>
      </c>
      <c r="BL83" s="249">
        <f>COUNTIFS('DATOS 2'!$AA$5:$AA$1437,1,'DATOS 2'!$AF$5:$AF$1437,"&lt;30001")-BL82-BL81-BL80-BL79</f>
        <v>38</v>
      </c>
      <c r="BM83" s="249">
        <f>COUNTIFS('DATOS 2'!$AA$5:$AA$1437,"&lt;6",'DATOS 2'!$AF$5:$AF$1437,"&lt;30001")-BM82-BM81-BM80-BM79-BL83-BL82-BL81-BL80-BL79</f>
        <v>51</v>
      </c>
      <c r="BN83" s="249">
        <f>COUNTIFS('DATOS 2'!$AA$5:$AA$1437,"&gt;5",'DATOS 2'!$AF$5:$AF$1437,"&lt;30001")-BN82-BN81-BN80-BN79</f>
        <v>14</v>
      </c>
    </row>
    <row r="84" spans="1:76" x14ac:dyDescent="0.25">
      <c r="J84" s="112" t="s">
        <v>1697</v>
      </c>
      <c r="K84" s="250" t="s">
        <v>2435</v>
      </c>
      <c r="L84" s="250" t="s">
        <v>2436</v>
      </c>
      <c r="M84" s="17" t="s">
        <v>714</v>
      </c>
      <c r="N84" s="250" t="s">
        <v>2433</v>
      </c>
      <c r="O84" s="250" t="s">
        <v>2434</v>
      </c>
      <c r="P84" s="17" t="s">
        <v>714</v>
      </c>
      <c r="Q84" s="250" t="s">
        <v>2433</v>
      </c>
      <c r="R84" s="250" t="s">
        <v>2434</v>
      </c>
      <c r="S84" s="17" t="s">
        <v>714</v>
      </c>
      <c r="AT84" s="11">
        <f t="shared" si="201"/>
        <v>23</v>
      </c>
      <c r="AU84" s="9">
        <v>1991</v>
      </c>
      <c r="AV84" s="6">
        <f t="shared" si="200"/>
        <v>2.181818181818182E-2</v>
      </c>
      <c r="AW84" s="249">
        <f>COUNTIFS('DATOS 2'!$AA$5:$AA$1437,"&lt;6",'DATOS 2'!$D$5:$D$1437,AU84)-AW29</f>
        <v>6</v>
      </c>
      <c r="BH84" s="11" t="s">
        <v>1747</v>
      </c>
      <c r="BI84" s="6">
        <f t="shared" si="216"/>
        <v>8.5585585585585586E-2</v>
      </c>
      <c r="BJ84" s="6">
        <f t="shared" si="211"/>
        <v>9.5076400679117143E-2</v>
      </c>
      <c r="BK84" s="6">
        <f t="shared" si="212"/>
        <v>6.070287539936102E-2</v>
      </c>
      <c r="BL84" s="249">
        <f>COUNTIFS('DATOS 2'!$AA$5:$AA$1437,1,'DATOS 2'!$AF$5:$AF$1437,"&lt;40001")-BL83-BL82-BL81-BL80-BL79</f>
        <v>19</v>
      </c>
      <c r="BM84" s="249">
        <f>COUNTIFS('DATOS 2'!$AA$5:$AA$1437,"&lt;6",'DATOS 2'!$AF$5:$AF$1437,"&lt;40001")-BM83-BM82-BM81-BM80-BM79-BL84-BL83-BL82-BL81-BL80-BL79</f>
        <v>56</v>
      </c>
      <c r="BN84" s="249">
        <f>COUNTIFS('DATOS 2'!$AA$5:$AA$1437,"&gt;5",'DATOS 2'!$AF$5:$AF$1437,"&lt;40001")-BN83-BN82-BN81-BN80-BN79</f>
        <v>19</v>
      </c>
    </row>
    <row r="85" spans="1:76" x14ac:dyDescent="0.25">
      <c r="J85" s="158" t="s">
        <v>43</v>
      </c>
      <c r="K85" s="6">
        <f>(+N85+Q85)/(N$90+Q$90)</f>
        <v>0.24253731343283583</v>
      </c>
      <c r="L85" s="6">
        <f t="shared" ref="L85:L88" si="217">(+O85+R85)/(O$90+R$90)</f>
        <v>0.20351758793969849</v>
      </c>
      <c r="M85" s="6">
        <f t="shared" ref="M85:M88" si="218">(+P85+S85)/(P$90+S$90)</f>
        <v>0.13375796178343949</v>
      </c>
      <c r="N85" s="249">
        <f>COUNTIFS('DATOS 1'!$L$51:$L$427,1,'DATOS 1'!$AV$51:$AV$427,3)</f>
        <v>50</v>
      </c>
      <c r="O85" s="249">
        <f>COUNTIFS('DATOS 1'!$L$51:$L$427,"&lt;6",'DATOS 1'!$AV$51:$AV$427,3)-N85</f>
        <v>42</v>
      </c>
      <c r="P85" s="249">
        <f>COUNTIFS('DATOS 1'!$L$7:$L$40,"&lt;31",'DATOS 1'!$AV$7:$AV$40,3)</f>
        <v>12</v>
      </c>
      <c r="Q85" s="249">
        <f>COUNTIFS('[1]ENCUESTA CONDUCTORES'!$E$7:$E$459,"X",'[1]ENCUESTA CONDUCTORES'!$BX$7:$BX$459,3)</f>
        <v>15</v>
      </c>
      <c r="R85" s="249">
        <f>COUNTIFS('[1]ENCUESTA CONDUCTORES'!$F$7:$F$459,"X",'[1]ENCUESTA CONDUCTORES'!$BX$7:$BX$459,3)+COUNTIFS('[1]ENCUESTA CONDUCTORES'!$G$7:$G$459,"X",'[1]ENCUESTA CONDUCTORES'!$BX$7:$BX$459,3)</f>
        <v>39</v>
      </c>
      <c r="S85" s="249">
        <f>COUNTIFS('[1]ENCUESTA CONDUCTORES'!$H$7:$H$459,"X",'[1]ENCUESTA CONDUCTORES'!$BX$7:$BX$459,3)</f>
        <v>9</v>
      </c>
      <c r="AT85" s="11">
        <f t="shared" si="201"/>
        <v>22</v>
      </c>
      <c r="AU85" s="9">
        <v>1992</v>
      </c>
      <c r="AV85" s="6">
        <f t="shared" si="200"/>
        <v>3.272727272727273E-2</v>
      </c>
      <c r="AW85" s="249">
        <f>COUNTIFS('DATOS 2'!$AA$5:$AA$1437,"&lt;6",'DATOS 2'!$D$5:$D$1437,AU85)-AW30</f>
        <v>9</v>
      </c>
      <c r="BH85" s="11" t="s">
        <v>1853</v>
      </c>
      <c r="BI85" s="6">
        <f t="shared" si="216"/>
        <v>5.4054054054054057E-2</v>
      </c>
      <c r="BJ85" s="6">
        <f t="shared" si="211"/>
        <v>7.4702886247877756E-2</v>
      </c>
      <c r="BK85" s="6">
        <f t="shared" si="212"/>
        <v>7.0287539936102233E-2</v>
      </c>
      <c r="BL85" s="249">
        <f>COUNTIFS('DATOS 2'!$AA$5:$AA$1437,1,'DATOS 2'!$AF$5:$AF$1437,"&gt;40000")</f>
        <v>12</v>
      </c>
      <c r="BM85" s="249">
        <f>COUNTIFS('DATOS 2'!$AA$5:$AA$1437,"&lt;6",'DATOS 2'!$AF$5:$AF$1437,"&gt;40000")-BL85</f>
        <v>44</v>
      </c>
      <c r="BN85" s="249">
        <f>COUNTIFS('DATOS 2'!$AA$5:$AA$1437,"&gt;5",'DATOS 2'!$AF$5:$AF$1437,"&gt;40000")</f>
        <v>22</v>
      </c>
      <c r="BR85" s="112" t="s">
        <v>2473</v>
      </c>
      <c r="BW85" s="11"/>
      <c r="BX85" s="11"/>
    </row>
    <row r="86" spans="1:76" x14ac:dyDescent="0.25">
      <c r="A86" s="11" t="s">
        <v>2440</v>
      </c>
      <c r="B86" s="250" t="s">
        <v>718</v>
      </c>
      <c r="C86" s="250" t="s">
        <v>1718</v>
      </c>
      <c r="D86" s="17"/>
      <c r="J86" s="158" t="s">
        <v>44</v>
      </c>
      <c r="K86" s="6">
        <f t="shared" ref="K86:K88" si="219">(+N86+Q86)/(N$90+Q$90)</f>
        <v>0.47761194029850745</v>
      </c>
      <c r="L86" s="6">
        <f t="shared" si="217"/>
        <v>0.48492462311557788</v>
      </c>
      <c r="M86" s="6">
        <f t="shared" si="218"/>
        <v>0.49681528662420382</v>
      </c>
      <c r="N86" s="249">
        <f>COUNTIFS('DATOS 1'!$L$51:$L$427,1,'DATOS 1'!$AW$51:$AW$427,3)</f>
        <v>93</v>
      </c>
      <c r="O86" s="249">
        <f>COUNTIFS('DATOS 1'!$L$51:$L$427,"&lt;6",'DATOS 1'!$AW$51:$AW$427,3)-N86</f>
        <v>75</v>
      </c>
      <c r="P86" s="249">
        <f>COUNTIFS('DATOS 1'!$L$7:$L$40,"&lt;31",'DATOS 1'!$AW$7:$AW$40,3)</f>
        <v>14</v>
      </c>
      <c r="Q86" s="249">
        <f>COUNTIFS('[1]ENCUESTA CONDUCTORES'!$E$7:$E$459,"X",'[1]ENCUESTA CONDUCTORES'!$BY$7:$BY$459,3)</f>
        <v>35</v>
      </c>
      <c r="R86" s="249">
        <f>COUNTIFS('[1]ENCUESTA CONDUCTORES'!$F$7:$F$459,"X",'[1]ENCUESTA CONDUCTORES'!$BX$7:$BX$459,3)+COUNTIFS('[1]ENCUESTA CONDUCTORES'!$G$7:$G$459,"X",'[1]ENCUESTA CONDUCTORES'!$BY$7:$BY$459,3)</f>
        <v>118</v>
      </c>
      <c r="S86" s="249">
        <f>COUNTIFS('[1]ENCUESTA CONDUCTORES'!$H$7:$H$459,"X",'[1]ENCUESTA CONDUCTORES'!$BY$7:$BY$459,3)</f>
        <v>64</v>
      </c>
      <c r="AT86" s="11">
        <f t="shared" si="201"/>
        <v>21</v>
      </c>
      <c r="AU86" s="9">
        <v>1993</v>
      </c>
      <c r="AV86" s="6">
        <f t="shared" si="200"/>
        <v>5.4545454545454543E-2</v>
      </c>
      <c r="AW86" s="249">
        <f>COUNTIFS('DATOS 2'!$AA$5:$AA$1437,"&lt;6",'DATOS 2'!$D$5:$D$1437,AU86)-AW31</f>
        <v>15</v>
      </c>
      <c r="BH86" s="11" t="s">
        <v>715</v>
      </c>
      <c r="BI86" s="6">
        <f t="shared" si="216"/>
        <v>1</v>
      </c>
      <c r="BJ86" s="6">
        <f t="shared" si="211"/>
        <v>1</v>
      </c>
      <c r="BK86" s="6">
        <f t="shared" si="212"/>
        <v>1</v>
      </c>
      <c r="BL86" s="249">
        <f>SUM(BL79:BL85)</f>
        <v>222</v>
      </c>
      <c r="BM86" s="249">
        <f>SUM(BM79:BM85)</f>
        <v>589</v>
      </c>
      <c r="BN86" s="249">
        <f>SUM(BN79:BN85)</f>
        <v>313</v>
      </c>
      <c r="BS86" s="250" t="s">
        <v>2435</v>
      </c>
      <c r="BT86" s="250" t="s">
        <v>2436</v>
      </c>
      <c r="BU86" s="250" t="s">
        <v>714</v>
      </c>
      <c r="BV86" s="250" t="s">
        <v>2433</v>
      </c>
      <c r="BW86" s="250" t="s">
        <v>2434</v>
      </c>
      <c r="BX86" s="250" t="s">
        <v>714</v>
      </c>
    </row>
    <row r="87" spans="1:76" x14ac:dyDescent="0.25">
      <c r="A87" s="11" t="s">
        <v>807</v>
      </c>
      <c r="B87" s="6">
        <f>+C87/C$94</f>
        <v>0.16186252771618626</v>
      </c>
      <c r="C87" s="249">
        <f>COUNTIF('[1]ENCUESTA CONDUCTORES'!$O$7:$O$459,"&lt;6")</f>
        <v>73</v>
      </c>
      <c r="D87" s="6"/>
      <c r="J87" s="158" t="s">
        <v>45</v>
      </c>
      <c r="K87" s="6">
        <f t="shared" si="219"/>
        <v>0.27985074626865669</v>
      </c>
      <c r="L87" s="6">
        <f t="shared" si="217"/>
        <v>0.31155778894472363</v>
      </c>
      <c r="M87" s="6">
        <f t="shared" si="218"/>
        <v>0.36942675159235666</v>
      </c>
      <c r="N87" s="249">
        <f>COUNTIFS('DATOS 1'!$L$51:$L$427,1,'DATOS 1'!$AX$51:$AX$427,3)</f>
        <v>59</v>
      </c>
      <c r="O87" s="249">
        <f>COUNTIFS('DATOS 1'!$L$51:$L$427,"&lt;6",'DATOS 1'!$AX$51:$AX$427,3)-N87</f>
        <v>57</v>
      </c>
      <c r="P87" s="249">
        <f>COUNTIFS('DATOS 1'!$L$7:$L$40,"&lt;31",'DATOS 1'!$AX$7:$AX$40,3)</f>
        <v>8</v>
      </c>
      <c r="Q87" s="249">
        <f>COUNTIFS('[1]ENCUESTA CONDUCTORES'!$E$7:$E$459,"X",'[1]ENCUESTA CONDUCTORES'!$BZ$7:$BZ$459,3)</f>
        <v>16</v>
      </c>
      <c r="R87" s="249">
        <f>COUNTIFS('[1]ENCUESTA CONDUCTORES'!$F$7:$F$459,"X",'[1]ENCUESTA CONDUCTORES'!$BX$7:$BX$459,3)+COUNTIFS('[1]ENCUESTA CONDUCTORES'!$G$7:$G$459,"X",'[1]ENCUESTA CONDUCTORES'!$BZ$7:$BZ$459,3)</f>
        <v>67</v>
      </c>
      <c r="S87" s="249">
        <f>COUNTIFS('[1]ENCUESTA CONDUCTORES'!$H$7:$H$459,"X",'[1]ENCUESTA CONDUCTORES'!$BZ$7:$BZ$459,3)</f>
        <v>50</v>
      </c>
      <c r="AT87" s="11">
        <f t="shared" si="201"/>
        <v>20</v>
      </c>
      <c r="AU87" s="9">
        <v>1994</v>
      </c>
      <c r="AV87" s="6">
        <f t="shared" si="200"/>
        <v>7.2727272727272724E-2</v>
      </c>
      <c r="AW87" s="249">
        <f>COUNTIFS('DATOS 2'!$AA$5:$AA$1437,"&lt;6",'DATOS 2'!$D$5:$D$1437,AU87)-AW32</f>
        <v>20</v>
      </c>
      <c r="BH87" s="11"/>
      <c r="BL87" s="138"/>
      <c r="BQ87" s="249">
        <v>1</v>
      </c>
      <c r="BR87" s="141" t="s">
        <v>854</v>
      </c>
      <c r="BS87" s="6">
        <f>+BV87/BV$93</f>
        <v>0.02</v>
      </c>
      <c r="BT87" s="6">
        <f t="shared" ref="BT87:BT93" si="220">+BW87/BW$93</f>
        <v>3.4682080924855488E-2</v>
      </c>
      <c r="BU87" s="6">
        <f t="shared" ref="BU87:BU93" si="221">+BX87/BX$93</f>
        <v>0</v>
      </c>
      <c r="BV87" s="249">
        <f>COUNTIFS('ENCUESTA PROPIETARIOS'!$N$7:$N$417,1,'ENCUESTA PROPIETARIOS'!$CR$7:$CR$417,$BQ87)</f>
        <v>4</v>
      </c>
      <c r="BW87" s="249">
        <f>COUNTIFS('ENCUESTA PROPIETARIOS'!$N$7:$N$417,"&lt;6",'ENCUESTA PROPIETARIOS'!$CR$7:$CR$417,$BQ87)-BV87</f>
        <v>6</v>
      </c>
      <c r="BX87" s="249">
        <f>COUNTIFS('ENCUESTA PROPIETARIOS'!$N$7:$N$417,"&gt;5",'ENCUESTA PROPIETARIOS'!$CR$7:$CR$417,$BQ87)</f>
        <v>0</v>
      </c>
    </row>
    <row r="88" spans="1:76" x14ac:dyDescent="0.25">
      <c r="A88" s="11" t="s">
        <v>808</v>
      </c>
      <c r="B88" s="6">
        <f t="shared" ref="B88:B94" si="222">+C88/C$94</f>
        <v>0.18181818181818182</v>
      </c>
      <c r="C88" s="249">
        <f>COUNTIF('[1]ENCUESTA CONDUCTORES'!$O$7:$O$459,"&lt;11")-C87</f>
        <v>82</v>
      </c>
      <c r="D88" s="6"/>
      <c r="J88" s="158" t="s">
        <v>1696</v>
      </c>
      <c r="K88" s="6">
        <f t="shared" si="219"/>
        <v>0</v>
      </c>
      <c r="L88" s="6">
        <f t="shared" si="217"/>
        <v>0</v>
      </c>
      <c r="M88" s="6">
        <f t="shared" si="218"/>
        <v>0</v>
      </c>
      <c r="N88" s="249">
        <v>0</v>
      </c>
      <c r="O88" s="249">
        <v>0</v>
      </c>
      <c r="P88" s="249">
        <v>0</v>
      </c>
      <c r="Q88" s="249">
        <v>0</v>
      </c>
      <c r="R88" s="249">
        <v>0</v>
      </c>
      <c r="S88" s="249">
        <v>0</v>
      </c>
      <c r="AT88" s="11">
        <f t="shared" si="201"/>
        <v>19</v>
      </c>
      <c r="AU88" s="9">
        <v>1995</v>
      </c>
      <c r="AV88" s="6">
        <f t="shared" si="200"/>
        <v>7.2727272727272724E-2</v>
      </c>
      <c r="AW88" s="249">
        <f>COUNTIFS('DATOS 2'!$AA$5:$AA$1437,"&lt;6",'DATOS 2'!$D$5:$D$1437,AU88)-AW33</f>
        <v>20</v>
      </c>
      <c r="BH88" s="11"/>
      <c r="BL88" s="138"/>
      <c r="BQ88" s="249">
        <v>2</v>
      </c>
      <c r="BR88" s="141" t="s">
        <v>902</v>
      </c>
      <c r="BS88" s="6">
        <f t="shared" ref="BS88:BS93" si="223">+BV88/BV$93</f>
        <v>0.17499999999999999</v>
      </c>
      <c r="BT88" s="6">
        <f t="shared" si="220"/>
        <v>0.12138728323699421</v>
      </c>
      <c r="BU88" s="6">
        <f t="shared" si="221"/>
        <v>3.0303030303030304E-2</v>
      </c>
      <c r="BV88" s="249">
        <f>COUNTIFS('ENCUESTA PROPIETARIOS'!$N$7:$N$417,1,'ENCUESTA PROPIETARIOS'!$CR$7:$CR$417,$BQ88)</f>
        <v>35</v>
      </c>
      <c r="BW88" s="249">
        <f>COUNTIFS('ENCUESTA PROPIETARIOS'!$N$7:$N$417,"&lt;6",'ENCUESTA PROPIETARIOS'!$CR$7:$CR$417,$BQ88)-BV88</f>
        <v>21</v>
      </c>
      <c r="BX88" s="249">
        <f>COUNTIFS('ENCUESTA PROPIETARIOS'!$N$7:$N$417,"&gt;5",'ENCUESTA PROPIETARIOS'!$CR$7:$CR$417,$BQ88)</f>
        <v>1</v>
      </c>
    </row>
    <row r="89" spans="1:76" x14ac:dyDescent="0.25">
      <c r="A89" s="11" t="s">
        <v>809</v>
      </c>
      <c r="B89" s="6">
        <f t="shared" si="222"/>
        <v>0.16629711751662971</v>
      </c>
      <c r="C89" s="249">
        <f>COUNTIF('[1]ENCUESTA CONDUCTORES'!$O$7:$O$459,"&lt;16")-C88-C87</f>
        <v>75</v>
      </c>
      <c r="D89" s="6"/>
      <c r="J89" s="141"/>
      <c r="K89" s="6"/>
      <c r="L89" s="6"/>
      <c r="M89" s="6"/>
      <c r="AT89" s="11">
        <f t="shared" si="201"/>
        <v>18</v>
      </c>
      <c r="AU89" s="9">
        <v>1996</v>
      </c>
      <c r="AV89" s="6">
        <f t="shared" si="200"/>
        <v>3.6363636363636362E-2</v>
      </c>
      <c r="AW89" s="249">
        <f>COUNTIFS('DATOS 2'!$AA$5:$AA$1437,"&lt;6",'DATOS 2'!$D$5:$D$1437,AU89)-AW34</f>
        <v>10</v>
      </c>
      <c r="BQ89" s="249">
        <v>3</v>
      </c>
      <c r="BR89" s="141" t="s">
        <v>903</v>
      </c>
      <c r="BS89" s="6">
        <f t="shared" si="223"/>
        <v>0.14000000000000001</v>
      </c>
      <c r="BT89" s="6">
        <f t="shared" si="220"/>
        <v>6.9364161849710976E-2</v>
      </c>
      <c r="BU89" s="6">
        <f t="shared" si="221"/>
        <v>0.15151515151515152</v>
      </c>
      <c r="BV89" s="249">
        <f>COUNTIFS('ENCUESTA PROPIETARIOS'!$N$7:$N$417,1,'ENCUESTA PROPIETARIOS'!$CR$7:$CR$417,$BQ89)</f>
        <v>28</v>
      </c>
      <c r="BW89" s="249">
        <f>COUNTIFS('ENCUESTA PROPIETARIOS'!$N$7:$N$417,"&lt;6",'ENCUESTA PROPIETARIOS'!$CR$7:$CR$417,$BQ89)-BV89</f>
        <v>12</v>
      </c>
      <c r="BX89" s="249">
        <f>COUNTIFS('ENCUESTA PROPIETARIOS'!$N$7:$N$417,"&gt;5",'ENCUESTA PROPIETARIOS'!$CR$7:$CR$417,$BQ89)</f>
        <v>5</v>
      </c>
    </row>
    <row r="90" spans="1:76" x14ac:dyDescent="0.25">
      <c r="A90" s="11" t="s">
        <v>810</v>
      </c>
      <c r="B90" s="6">
        <f t="shared" si="222"/>
        <v>0.19733924611973391</v>
      </c>
      <c r="C90" s="249">
        <f>COUNTIF('[1]ENCUESTA CONDUCTORES'!$O$7:$O$459,"&lt;21")-C89-C88-C87</f>
        <v>89</v>
      </c>
      <c r="D90" s="6"/>
      <c r="J90" s="141" t="s">
        <v>1662</v>
      </c>
      <c r="K90" s="6">
        <f t="shared" ref="K90:M90" si="224">(+N90+Q90)/(N$90+Q$90)</f>
        <v>1</v>
      </c>
      <c r="L90" s="6">
        <f t="shared" si="224"/>
        <v>1</v>
      </c>
      <c r="M90" s="6">
        <f t="shared" si="224"/>
        <v>1</v>
      </c>
      <c r="N90" s="249">
        <f>SUM(N85:N89)</f>
        <v>202</v>
      </c>
      <c r="O90" s="249">
        <f>SUM(O85:O89)</f>
        <v>174</v>
      </c>
      <c r="P90" s="249">
        <f>SUM(P85:P89)</f>
        <v>34</v>
      </c>
      <c r="Q90" s="249">
        <f>SUM(Q85:Q89)</f>
        <v>66</v>
      </c>
      <c r="R90" s="249">
        <f t="shared" ref="R90" si="225">SUM(R85:R89)</f>
        <v>224</v>
      </c>
      <c r="S90" s="249">
        <f t="shared" ref="S90" si="226">SUM(S85:S89)</f>
        <v>123</v>
      </c>
      <c r="AT90" s="11">
        <f t="shared" si="201"/>
        <v>17</v>
      </c>
      <c r="AU90" s="9">
        <v>1997</v>
      </c>
      <c r="AV90" s="6">
        <f t="shared" si="200"/>
        <v>9.0909090909090912E-2</v>
      </c>
      <c r="AW90" s="249">
        <f>COUNTIFS('DATOS 2'!$AA$5:$AA$1437,"&lt;6",'DATOS 2'!$D$5:$D$1437,AU90)-AW35</f>
        <v>25</v>
      </c>
      <c r="BQ90" s="249">
        <v>4</v>
      </c>
      <c r="BR90" s="141" t="s">
        <v>904</v>
      </c>
      <c r="BS90" s="6">
        <f t="shared" si="223"/>
        <v>0.13500000000000001</v>
      </c>
      <c r="BT90" s="6">
        <f t="shared" si="220"/>
        <v>0.13872832369942195</v>
      </c>
      <c r="BU90" s="6">
        <f>+BX90/BX$93</f>
        <v>6.0606060606060608E-2</v>
      </c>
      <c r="BV90" s="249">
        <f>COUNTIFS('ENCUESTA PROPIETARIOS'!$N$7:$N$417,1,'ENCUESTA PROPIETARIOS'!$CR$7:$CR$417,$BQ90)</f>
        <v>27</v>
      </c>
      <c r="BW90" s="249">
        <f>COUNTIFS('ENCUESTA PROPIETARIOS'!$N$7:$N$417,"&lt;6",'ENCUESTA PROPIETARIOS'!$CR$7:$CR$417,$BQ90)-BV90</f>
        <v>24</v>
      </c>
      <c r="BX90" s="249">
        <f>COUNTIFS('ENCUESTA PROPIETARIOS'!$N$7:$N$417,"&gt;5",'ENCUESTA PROPIETARIOS'!$CR$7:$CR$417,$BQ90)</f>
        <v>2</v>
      </c>
    </row>
    <row r="91" spans="1:76" x14ac:dyDescent="0.25">
      <c r="A91" s="11" t="s">
        <v>811</v>
      </c>
      <c r="B91" s="6">
        <f t="shared" si="222"/>
        <v>0.11973392461197339</v>
      </c>
      <c r="C91" s="249">
        <f>COUNTIF('[1]ENCUESTA CONDUCTORES'!$O$7:$O$459,"&lt;26")-C90-C89-C88-C87</f>
        <v>54</v>
      </c>
      <c r="D91" s="6"/>
      <c r="K91" s="6"/>
      <c r="AT91" s="11">
        <f t="shared" si="201"/>
        <v>16</v>
      </c>
      <c r="AU91" s="9">
        <v>1998</v>
      </c>
      <c r="AV91" s="6">
        <f t="shared" si="200"/>
        <v>6.545454545454546E-2</v>
      </c>
      <c r="AW91" s="249">
        <f>COUNTIFS('DATOS 2'!$AA$5:$AA$1437,"&lt;6",'DATOS 2'!$D$5:$D$1437,AU91)-AW36</f>
        <v>18</v>
      </c>
      <c r="BQ91" s="249">
        <v>5</v>
      </c>
      <c r="BR91" s="141" t="s">
        <v>856</v>
      </c>
      <c r="BS91" s="6">
        <f t="shared" si="223"/>
        <v>0.22</v>
      </c>
      <c r="BT91" s="6">
        <f t="shared" si="220"/>
        <v>0.31791907514450868</v>
      </c>
      <c r="BU91" s="6">
        <f t="shared" si="221"/>
        <v>0.39393939393939392</v>
      </c>
      <c r="BV91" s="249">
        <f>COUNTIFS('ENCUESTA PROPIETARIOS'!$N$7:$N$417,1,'ENCUESTA PROPIETARIOS'!$CR$7:$CR$417,$BQ91)</f>
        <v>44</v>
      </c>
      <c r="BW91" s="249">
        <f>COUNTIFS('ENCUESTA PROPIETARIOS'!$N$7:$N$417,"&lt;6",'ENCUESTA PROPIETARIOS'!$CR$7:$CR$417,$BQ91)-BV91</f>
        <v>55</v>
      </c>
      <c r="BX91" s="249">
        <f>COUNTIFS('ENCUESTA PROPIETARIOS'!$N$7:$N$417,"&gt;5",'ENCUESTA PROPIETARIOS'!$CR$7:$CR$417,$BQ91)</f>
        <v>13</v>
      </c>
    </row>
    <row r="92" spans="1:76" x14ac:dyDescent="0.25">
      <c r="A92" s="11" t="s">
        <v>1875</v>
      </c>
      <c r="B92" s="6">
        <f t="shared" si="222"/>
        <v>8.6474501108647447E-2</v>
      </c>
      <c r="C92" s="249">
        <f>COUNTIF('[1]ENCUESTA CONDUCTORES'!$O$7:$O$459,"&lt;31")-C91-C90-C89-C88-C87</f>
        <v>39</v>
      </c>
      <c r="D92" s="6"/>
      <c r="J92" s="11"/>
      <c r="K92" s="11"/>
      <c r="L92" s="11"/>
      <c r="M92" s="11"/>
      <c r="N92" s="11"/>
      <c r="AT92" s="11">
        <f t="shared" si="201"/>
        <v>15</v>
      </c>
      <c r="AU92" s="9">
        <v>1999</v>
      </c>
      <c r="AV92" s="6">
        <f t="shared" si="200"/>
        <v>4.7272727272727272E-2</v>
      </c>
      <c r="AW92" s="249">
        <f>COUNTIFS('DATOS 2'!$AA$5:$AA$1437,"&lt;6",'DATOS 2'!$D$5:$D$1437,AU92)-AW37</f>
        <v>13</v>
      </c>
      <c r="BQ92" s="249">
        <v>6</v>
      </c>
      <c r="BR92" s="141" t="s">
        <v>857</v>
      </c>
      <c r="BS92" s="6">
        <f t="shared" si="223"/>
        <v>0.31</v>
      </c>
      <c r="BT92" s="6">
        <f t="shared" si="220"/>
        <v>0.31791907514450868</v>
      </c>
      <c r="BU92" s="6">
        <f t="shared" si="221"/>
        <v>0.36363636363636365</v>
      </c>
      <c r="BV92" s="249">
        <f>COUNTIFS('ENCUESTA PROPIETARIOS'!$N$7:$N$417,1,'ENCUESTA PROPIETARIOS'!$CR$7:$CR$417,$BQ92)</f>
        <v>62</v>
      </c>
      <c r="BW92" s="249">
        <f>COUNTIFS('ENCUESTA PROPIETARIOS'!$N$7:$N$417,"&lt;6",'ENCUESTA PROPIETARIOS'!$CR$7:$CR$417,$BQ92)-BV92</f>
        <v>55</v>
      </c>
      <c r="BX92" s="249">
        <f>COUNTIFS('ENCUESTA PROPIETARIOS'!$N$7:$N$417,"&gt;5",'ENCUESTA PROPIETARIOS'!$CR$7:$CR$417,$BQ92)</f>
        <v>12</v>
      </c>
    </row>
    <row r="93" spans="1:76" x14ac:dyDescent="0.25">
      <c r="A93" s="11" t="s">
        <v>1876</v>
      </c>
      <c r="B93" s="6">
        <f t="shared" si="222"/>
        <v>8.6474501108647447E-2</v>
      </c>
      <c r="C93" s="249">
        <f>COUNTIFS('DATOS 1'!$L$51:$L$427,1,'DATOS 1'!$K$51:$K$427,"&gt;30")</f>
        <v>39</v>
      </c>
      <c r="D93" s="6"/>
      <c r="J93" s="11"/>
      <c r="N93" s="373" t="s">
        <v>1717</v>
      </c>
      <c r="O93" s="373"/>
      <c r="P93" s="373"/>
      <c r="Q93" s="373" t="s">
        <v>1718</v>
      </c>
      <c r="R93" s="373"/>
      <c r="S93" s="373"/>
      <c r="AT93" s="11">
        <f t="shared" si="201"/>
        <v>14</v>
      </c>
      <c r="AU93" s="9">
        <v>2000</v>
      </c>
      <c r="AV93" s="6">
        <f t="shared" si="200"/>
        <v>0.12363636363636364</v>
      </c>
      <c r="AW93" s="249">
        <f>COUNTIFS('DATOS 2'!$AA$5:$AA$1437,"&lt;6",'DATOS 2'!$D$5:$D$1437,AU93)-AW38</f>
        <v>34</v>
      </c>
      <c r="BR93" s="11" t="s">
        <v>715</v>
      </c>
      <c r="BS93" s="6">
        <f t="shared" si="223"/>
        <v>1</v>
      </c>
      <c r="BT93" s="6">
        <f t="shared" si="220"/>
        <v>1</v>
      </c>
      <c r="BU93" s="6">
        <f t="shared" si="221"/>
        <v>1</v>
      </c>
      <c r="BV93" s="249">
        <f>SUM(BV87:BV92)</f>
        <v>200</v>
      </c>
      <c r="BW93" s="249">
        <f>SUM(BW87:BW92)</f>
        <v>173</v>
      </c>
      <c r="BX93" s="249">
        <f>SUM(BX87:BX92)</f>
        <v>33</v>
      </c>
    </row>
    <row r="94" spans="1:76" x14ac:dyDescent="0.25">
      <c r="A94" s="11" t="s">
        <v>2438</v>
      </c>
      <c r="B94" s="6">
        <f t="shared" si="222"/>
        <v>1</v>
      </c>
      <c r="C94" s="249">
        <f>SUM(C87:C93)</f>
        <v>451</v>
      </c>
      <c r="D94" s="6"/>
      <c r="J94" s="112" t="s">
        <v>1699</v>
      </c>
      <c r="K94" s="250" t="s">
        <v>2435</v>
      </c>
      <c r="L94" s="250" t="s">
        <v>2436</v>
      </c>
      <c r="M94" s="17" t="s">
        <v>714</v>
      </c>
      <c r="N94" s="250" t="s">
        <v>2433</v>
      </c>
      <c r="O94" s="250" t="s">
        <v>2434</v>
      </c>
      <c r="P94" s="17" t="s">
        <v>714</v>
      </c>
      <c r="Q94" s="250" t="s">
        <v>2433</v>
      </c>
      <c r="R94" s="250" t="s">
        <v>2434</v>
      </c>
      <c r="S94" s="17" t="s">
        <v>714</v>
      </c>
      <c r="AT94" s="11">
        <f t="shared" si="201"/>
        <v>13</v>
      </c>
      <c r="AU94" s="9">
        <v>2001</v>
      </c>
      <c r="AV94" s="6">
        <f t="shared" si="200"/>
        <v>9.4545454545454544E-2</v>
      </c>
      <c r="AW94" s="249">
        <f>COUNTIFS('DATOS 2'!$AA$5:$AA$1437,"&lt;6",'DATOS 2'!$D$5:$D$1437,AU94)-AW39</f>
        <v>26</v>
      </c>
    </row>
    <row r="95" spans="1:76" x14ac:dyDescent="0.25">
      <c r="J95" s="158" t="s">
        <v>43</v>
      </c>
      <c r="K95" s="6">
        <f>(+N95+Q95)/(N$100+Q$100)</f>
        <v>0.3888888888888889</v>
      </c>
      <c r="L95" s="6">
        <f t="shared" ref="L95:L98" si="227">(+O95+R95)/(O$100+R$100)</f>
        <v>0.15254237288135594</v>
      </c>
      <c r="M95" s="6">
        <f t="shared" ref="M95:M98" si="228">(+P95+S95)/(P$100+S$100)</f>
        <v>9.0909090909090912E-2</v>
      </c>
      <c r="N95" s="249">
        <f>COUNTIFS('DATOS 1'!$L$51:$L$427,1,'DATOS 1'!$AV$51:$AV$427,4)</f>
        <v>7</v>
      </c>
      <c r="O95" s="249">
        <f>COUNTIFS('DATOS 1'!$L$51:$L$427,"&lt;6",'DATOS 1'!$AV$51:$AV$427,4)-N95</f>
        <v>9</v>
      </c>
      <c r="P95" s="249">
        <f>COUNTIFS('DATOS 1'!$L$7:$L$40,"&lt;31",'DATOS 1'!$AV$7:$AV$40,4)</f>
        <v>3</v>
      </c>
      <c r="Q95" s="249">
        <f>COUNTIFS('[1]ENCUESTA CONDUCTORES'!$E$7:$E$459,"X",'[1]ENCUESTA CONDUCTORES'!$BX$7:$BX$459,4)</f>
        <v>0</v>
      </c>
      <c r="R95" s="249">
        <f>COUNTIFS('[1]ENCUESTA CONDUCTORES'!$F$7:$F$459,"X",'[1]ENCUESTA CONDUCTORES'!$BX$7:$BX$459,4)+COUNTIFS('[1]ENCUESTA CONDUCTORES'!$G$7:$G$459,"X",'[1]ENCUESTA CONDUCTORES'!$BX$7:$BX$459,4)</f>
        <v>0</v>
      </c>
      <c r="S95" s="249">
        <f>COUNTIFS('[1]ENCUESTA CONDUCTORES'!$H$7:$H$459,"X",'[1]ENCUESTA CONDUCTORES'!$BX$7:$BX$459,4)</f>
        <v>0</v>
      </c>
      <c r="AT95" s="11">
        <f t="shared" si="201"/>
        <v>12</v>
      </c>
      <c r="AU95" s="9">
        <v>2002</v>
      </c>
      <c r="AV95" s="6">
        <f t="shared" si="200"/>
        <v>5.4545454545454543E-2</v>
      </c>
      <c r="AW95" s="249">
        <f>COUNTIFS('DATOS 2'!$AA$5:$AA$1437,"&lt;6",'DATOS 2'!$D$5:$D$1437,AU95)-AW40</f>
        <v>15</v>
      </c>
    </row>
    <row r="96" spans="1:76" x14ac:dyDescent="0.25">
      <c r="J96" s="158" t="s">
        <v>44</v>
      </c>
      <c r="K96" s="6">
        <f t="shared" ref="K96:K98" si="229">(+N96+Q96)/(N$100+Q$100)</f>
        <v>0.33333333333333331</v>
      </c>
      <c r="L96" s="6">
        <f t="shared" si="227"/>
        <v>0.47457627118644069</v>
      </c>
      <c r="M96" s="6">
        <f t="shared" si="228"/>
        <v>0.5757575757575758</v>
      </c>
      <c r="N96" s="249">
        <f>COUNTIFS('DATOS 1'!$L$51:$L$427,1,'DATOS 1'!$AW$51:$AW$427,4)</f>
        <v>4</v>
      </c>
      <c r="O96" s="249">
        <f>COUNTIFS('DATOS 1'!$L$51:$L$427,"&lt;6",'DATOS 1'!$AW$51:$AW$427,4)-N96</f>
        <v>16</v>
      </c>
      <c r="P96" s="249">
        <f>COUNTIFS('DATOS 1'!$L$7:$L$40,"&lt;31",'DATOS 1'!$AW$7:$AW$40,4)</f>
        <v>4</v>
      </c>
      <c r="Q96" s="249">
        <f>COUNTIFS('[1]ENCUESTA CONDUCTORES'!$E$7:$E$459,"X",'[1]ENCUESTA CONDUCTORES'!$BY$7:$BY$459,4)</f>
        <v>2</v>
      </c>
      <c r="R96" s="249">
        <f>COUNTIFS('[1]ENCUESTA CONDUCTORES'!$F$7:$F$459,"X",'[1]ENCUESTA CONDUCTORES'!$BX$7:$BX$459,4)+COUNTIFS('[1]ENCUESTA CONDUCTORES'!$G$7:$G$459,"X",'[1]ENCUESTA CONDUCTORES'!$BY$7:$BY$459,4)</f>
        <v>12</v>
      </c>
      <c r="S96" s="249">
        <f>COUNTIFS('[1]ENCUESTA CONDUCTORES'!$H$7:$H$459,"X",'[1]ENCUESTA CONDUCTORES'!$BY$7:$BY$459,4)</f>
        <v>15</v>
      </c>
      <c r="AT96" s="11">
        <f t="shared" si="201"/>
        <v>11</v>
      </c>
      <c r="AU96" s="9">
        <v>2003</v>
      </c>
      <c r="AV96" s="6">
        <f t="shared" si="200"/>
        <v>0.13454545454545455</v>
      </c>
      <c r="AW96" s="249">
        <f>COUNTIFS('DATOS 2'!$AA$5:$AA$1437,"&lt;6",'DATOS 2'!$D$5:$D$1437,AU96)-AW41</f>
        <v>37</v>
      </c>
      <c r="BR96" s="112" t="s">
        <v>2474</v>
      </c>
      <c r="BW96" s="11"/>
      <c r="BX96" s="11"/>
    </row>
    <row r="97" spans="10:76" x14ac:dyDescent="0.25">
      <c r="J97" s="158" t="s">
        <v>45</v>
      </c>
      <c r="K97" s="6">
        <f t="shared" si="229"/>
        <v>0.27777777777777779</v>
      </c>
      <c r="L97" s="6">
        <f t="shared" si="227"/>
        <v>0.3728813559322034</v>
      </c>
      <c r="M97" s="6">
        <f t="shared" si="228"/>
        <v>0.33333333333333331</v>
      </c>
      <c r="N97" s="249">
        <f>COUNTIFS('DATOS 1'!$L$51:$L$427,1,'DATOS 1'!$AX$51:$AX$427,4)</f>
        <v>3</v>
      </c>
      <c r="O97" s="249">
        <f>COUNTIFS('DATOS 1'!$L$51:$L$427,"&lt;6",'DATOS 1'!$AX$51:$AX$427,4)-N97</f>
        <v>19</v>
      </c>
      <c r="P97" s="249">
        <f>COUNTIFS('DATOS 1'!$L$7:$L$40,"&lt;31",'DATOS 1'!$AX$7:$AX$40,4)</f>
        <v>6</v>
      </c>
      <c r="Q97" s="249">
        <f>COUNTIFS('[1]ENCUESTA CONDUCTORES'!$E$7:$E$459,"X",'[1]ENCUESTA CONDUCTORES'!$BZ$7:$BZ$459,4)</f>
        <v>2</v>
      </c>
      <c r="R97" s="249">
        <f>COUNTIFS('[1]ENCUESTA CONDUCTORES'!$F$7:$F$459,"X",'[1]ENCUESTA CONDUCTORES'!$BX$7:$BX$459,4)+COUNTIFS('[1]ENCUESTA CONDUCTORES'!$G$7:$G$459,"X",'[1]ENCUESTA CONDUCTORES'!$BZ$7:$BZ$459,4)</f>
        <v>3</v>
      </c>
      <c r="S97" s="249">
        <f>COUNTIFS('[1]ENCUESTA CONDUCTORES'!$H$7:$H$459,"X",'[1]ENCUESTA CONDUCTORES'!$BZ$7:$BZ$459,4)</f>
        <v>5</v>
      </c>
      <c r="AT97" s="11">
        <f t="shared" si="201"/>
        <v>10</v>
      </c>
      <c r="AU97" s="9">
        <v>2004</v>
      </c>
      <c r="AV97" s="6">
        <f t="shared" si="200"/>
        <v>0.14181818181818182</v>
      </c>
      <c r="AW97" s="249">
        <f>COUNTIFS('DATOS 2'!$AA$5:$AA$1437,"&lt;6",'DATOS 2'!$D$5:$D$1437,AU97)-AW42</f>
        <v>39</v>
      </c>
      <c r="BS97" s="250" t="s">
        <v>2435</v>
      </c>
      <c r="BT97" s="250" t="s">
        <v>2436</v>
      </c>
      <c r="BU97" s="250" t="s">
        <v>714</v>
      </c>
      <c r="BV97" s="250" t="s">
        <v>2433</v>
      </c>
      <c r="BW97" s="250" t="s">
        <v>2434</v>
      </c>
      <c r="BX97" s="250" t="s">
        <v>714</v>
      </c>
    </row>
    <row r="98" spans="10:76" x14ac:dyDescent="0.25">
      <c r="J98" s="158" t="s">
        <v>1696</v>
      </c>
      <c r="K98" s="6">
        <f t="shared" si="229"/>
        <v>0</v>
      </c>
      <c r="L98" s="6">
        <f t="shared" si="227"/>
        <v>0</v>
      </c>
      <c r="M98" s="6">
        <f t="shared" si="228"/>
        <v>0</v>
      </c>
      <c r="N98" s="249">
        <v>0</v>
      </c>
      <c r="O98" s="249">
        <v>0</v>
      </c>
      <c r="P98" s="249">
        <v>0</v>
      </c>
      <c r="Q98" s="249">
        <v>0</v>
      </c>
      <c r="R98" s="249">
        <v>0</v>
      </c>
      <c r="S98" s="249">
        <v>0</v>
      </c>
      <c r="AT98" s="11">
        <f t="shared" si="201"/>
        <v>9</v>
      </c>
      <c r="AU98" s="9">
        <v>2005</v>
      </c>
      <c r="AV98" s="6">
        <f t="shared" si="200"/>
        <v>0.1709090909090909</v>
      </c>
      <c r="AW98" s="249">
        <f>COUNTIFS('DATOS 2'!$AA$5:$AA$1437,"&lt;6",'DATOS 2'!$D$5:$D$1437,AU98)-AW43</f>
        <v>47</v>
      </c>
      <c r="BQ98" s="249">
        <v>1</v>
      </c>
      <c r="BR98" s="141" t="s">
        <v>854</v>
      </c>
      <c r="BS98" s="6">
        <f>+BV98/BV$104</f>
        <v>0.13</v>
      </c>
      <c r="BT98" s="6">
        <f t="shared" ref="BT98:BT104" si="230">+BW98/BW$104</f>
        <v>0.2832369942196532</v>
      </c>
      <c r="BU98" s="6">
        <f t="shared" ref="BU98:BU104" si="231">+BX98/BX$104</f>
        <v>0.39393939393939392</v>
      </c>
      <c r="BV98" s="249">
        <f>COUNTIFS('ENCUESTA PROPIETARIOS'!$N$7:$N$417,1,'ENCUESTA PROPIETARIOS'!$CS$7:$CS$417,$BQ98)</f>
        <v>26</v>
      </c>
      <c r="BW98" s="249">
        <f>COUNTIFS('ENCUESTA PROPIETARIOS'!$N$7:$N$417,"&lt;6",'ENCUESTA PROPIETARIOS'!$CS$7:$CS$417,$BQ98)-BV98</f>
        <v>49</v>
      </c>
      <c r="BX98" s="249">
        <f>COUNTIFS('ENCUESTA PROPIETARIOS'!$N$7:$N$417,"&gt;5",'ENCUESTA PROPIETARIOS'!$CS$7:$CS$417,$BQ98)</f>
        <v>13</v>
      </c>
    </row>
    <row r="99" spans="10:76" x14ac:dyDescent="0.25">
      <c r="J99" s="141"/>
      <c r="K99" s="6"/>
      <c r="L99" s="6"/>
      <c r="M99" s="6"/>
      <c r="AT99" s="11">
        <f t="shared" si="201"/>
        <v>8</v>
      </c>
      <c r="AU99" s="9">
        <v>2006</v>
      </c>
      <c r="AV99" s="6">
        <f t="shared" si="200"/>
        <v>0.13090909090909092</v>
      </c>
      <c r="AW99" s="249">
        <f>COUNTIFS('DATOS 2'!$AA$5:$AA$1437,"&lt;6",'DATOS 2'!$D$5:$D$1437,AU99)-AW44</f>
        <v>36</v>
      </c>
      <c r="BQ99" s="249">
        <v>2</v>
      </c>
      <c r="BR99" s="141" t="s">
        <v>902</v>
      </c>
      <c r="BS99" s="6">
        <f t="shared" ref="BS99:BS104" si="232">+BV99/BV$104</f>
        <v>0.13</v>
      </c>
      <c r="BT99" s="6">
        <f t="shared" si="230"/>
        <v>0.22543352601156069</v>
      </c>
      <c r="BU99" s="6">
        <f t="shared" si="231"/>
        <v>0.24242424242424243</v>
      </c>
      <c r="BV99" s="249">
        <f>COUNTIFS('ENCUESTA PROPIETARIOS'!$N$7:$N$417,1,'ENCUESTA PROPIETARIOS'!$CS$7:$CS$417,$BQ99)</f>
        <v>26</v>
      </c>
      <c r="BW99" s="249">
        <f>COUNTIFS('ENCUESTA PROPIETARIOS'!$N$7:$N$417,"&lt;6",'ENCUESTA PROPIETARIOS'!$CS$7:$CS$417,$BQ99)-BV99</f>
        <v>39</v>
      </c>
      <c r="BX99" s="249">
        <f>COUNTIFS('ENCUESTA PROPIETARIOS'!$N$7:$N$417,"&gt;5",'ENCUESTA PROPIETARIOS'!$CS$7:$CS$417,$BQ99)</f>
        <v>8</v>
      </c>
    </row>
    <row r="100" spans="10:76" x14ac:dyDescent="0.25">
      <c r="J100" s="141" t="s">
        <v>1662</v>
      </c>
      <c r="K100" s="6">
        <f t="shared" ref="K100:M100" si="233">(+N100+Q100)/(N$100+Q$100)</f>
        <v>1</v>
      </c>
      <c r="L100" s="6">
        <f t="shared" si="233"/>
        <v>1</v>
      </c>
      <c r="M100" s="6">
        <f t="shared" si="233"/>
        <v>1</v>
      </c>
      <c r="N100" s="249">
        <f>SUM(N95:N99)</f>
        <v>14</v>
      </c>
      <c r="O100" s="249">
        <f>SUM(O95:O99)</f>
        <v>44</v>
      </c>
      <c r="P100" s="249">
        <f>SUM(P95:P99)</f>
        <v>13</v>
      </c>
      <c r="Q100" s="249">
        <f>SUM(Q95:Q99)</f>
        <v>4</v>
      </c>
      <c r="R100" s="249">
        <f t="shared" ref="R100" si="234">SUM(R95:R99)</f>
        <v>15</v>
      </c>
      <c r="S100" s="249">
        <f t="shared" ref="S100" si="235">SUM(S95:S99)</f>
        <v>20</v>
      </c>
      <c r="AT100" s="11">
        <f t="shared" si="201"/>
        <v>7</v>
      </c>
      <c r="AU100" s="9">
        <v>2007</v>
      </c>
      <c r="AV100" s="6">
        <f t="shared" si="200"/>
        <v>0.2290909090909091</v>
      </c>
      <c r="AW100" s="249">
        <f>COUNTIFS('DATOS 2'!$AA$5:$AA$1437,"&lt;6",'DATOS 2'!$D$5:$D$1437,AU100)-AW45</f>
        <v>63</v>
      </c>
      <c r="BQ100" s="249">
        <v>3</v>
      </c>
      <c r="BR100" s="141" t="s">
        <v>903</v>
      </c>
      <c r="BS100" s="6">
        <f t="shared" si="232"/>
        <v>0.16</v>
      </c>
      <c r="BT100" s="6">
        <f t="shared" si="230"/>
        <v>0.13872832369942195</v>
      </c>
      <c r="BU100" s="6">
        <f t="shared" si="231"/>
        <v>9.0909090909090912E-2</v>
      </c>
      <c r="BV100" s="249">
        <f>COUNTIFS('ENCUESTA PROPIETARIOS'!$N$7:$N$417,1,'ENCUESTA PROPIETARIOS'!$CS$7:$CS$417,$BQ100)</f>
        <v>32</v>
      </c>
      <c r="BW100" s="249">
        <f>COUNTIFS('ENCUESTA PROPIETARIOS'!$N$7:$N$417,"&lt;6",'ENCUESTA PROPIETARIOS'!$CS$7:$CS$417,$BQ100)-BV100</f>
        <v>24</v>
      </c>
      <c r="BX100" s="249">
        <f>COUNTIFS('ENCUESTA PROPIETARIOS'!$N$7:$N$417,"&gt;5",'ENCUESTA PROPIETARIOS'!$CS$7:$CS$417,$BQ100)</f>
        <v>3</v>
      </c>
    </row>
    <row r="101" spans="10:76" x14ac:dyDescent="0.25">
      <c r="K101" s="6"/>
      <c r="AT101" s="11">
        <f t="shared" si="201"/>
        <v>6</v>
      </c>
      <c r="AU101" s="9">
        <v>2008</v>
      </c>
      <c r="AV101" s="6">
        <f t="shared" si="200"/>
        <v>0.17454545454545456</v>
      </c>
      <c r="AW101" s="249">
        <f>COUNTIFS('DATOS 2'!$AA$5:$AA$1437,"&lt;6",'DATOS 2'!$D$5:$D$1437,AU101)-AW46</f>
        <v>48</v>
      </c>
      <c r="BQ101" s="249">
        <v>4</v>
      </c>
      <c r="BR101" s="141" t="s">
        <v>904</v>
      </c>
      <c r="BS101" s="6">
        <f t="shared" si="232"/>
        <v>0.15</v>
      </c>
      <c r="BT101" s="6">
        <f t="shared" si="230"/>
        <v>0.11560693641618497</v>
      </c>
      <c r="BU101" s="6">
        <f t="shared" si="231"/>
        <v>6.0606060606060608E-2</v>
      </c>
      <c r="BV101" s="249">
        <f>COUNTIFS('ENCUESTA PROPIETARIOS'!$N$7:$N$417,1,'ENCUESTA PROPIETARIOS'!$CS$7:$CS$417,$BQ101)</f>
        <v>30</v>
      </c>
      <c r="BW101" s="249">
        <f>COUNTIFS('ENCUESTA PROPIETARIOS'!$N$7:$N$417,"&lt;6",'ENCUESTA PROPIETARIOS'!$CS$7:$CS$417,$BQ101)-BV101</f>
        <v>20</v>
      </c>
      <c r="BX101" s="249">
        <f>COUNTIFS('ENCUESTA PROPIETARIOS'!$N$7:$N$417,"&gt;5",'ENCUESTA PROPIETARIOS'!$CS$7:$CS$417,$BQ101)</f>
        <v>2</v>
      </c>
    </row>
    <row r="102" spans="10:76" x14ac:dyDescent="0.25">
      <c r="J102" s="11"/>
      <c r="K102" s="11"/>
      <c r="L102" s="11"/>
      <c r="M102" s="11"/>
      <c r="N102" s="11"/>
      <c r="AT102" s="11">
        <f t="shared" si="201"/>
        <v>5</v>
      </c>
      <c r="AU102" s="9">
        <v>2009</v>
      </c>
      <c r="AV102" s="6">
        <f t="shared" si="200"/>
        <v>0.12</v>
      </c>
      <c r="AW102" s="249">
        <f>COUNTIFS('DATOS 2'!$AA$5:$AA$1437,"&lt;6",'DATOS 2'!$D$5:$D$1437,AU102)-AW47</f>
        <v>33</v>
      </c>
      <c r="BQ102" s="249">
        <v>5</v>
      </c>
      <c r="BR102" s="141" t="s">
        <v>856</v>
      </c>
      <c r="BS102" s="6">
        <f t="shared" si="232"/>
        <v>0.18</v>
      </c>
      <c r="BT102" s="6">
        <f t="shared" si="230"/>
        <v>8.0924855491329481E-2</v>
      </c>
      <c r="BU102" s="6">
        <f t="shared" si="231"/>
        <v>9.0909090909090912E-2</v>
      </c>
      <c r="BV102" s="249">
        <f>COUNTIFS('ENCUESTA PROPIETARIOS'!$N$7:$N$417,1,'ENCUESTA PROPIETARIOS'!$CS$7:$CS$417,$BQ102)</f>
        <v>36</v>
      </c>
      <c r="BW102" s="249">
        <f>COUNTIFS('ENCUESTA PROPIETARIOS'!$N$7:$N$417,"&lt;6",'ENCUESTA PROPIETARIOS'!$CS$7:$CS$417,$BQ102)-BV102</f>
        <v>14</v>
      </c>
      <c r="BX102" s="249">
        <f>COUNTIFS('ENCUESTA PROPIETARIOS'!$N$7:$N$417,"&gt;5",'ENCUESTA PROPIETARIOS'!$CS$7:$CS$417,$BQ102)</f>
        <v>3</v>
      </c>
    </row>
    <row r="103" spans="10:76" x14ac:dyDescent="0.25">
      <c r="J103" s="11"/>
      <c r="K103" s="11"/>
      <c r="L103" s="11"/>
      <c r="M103" s="11"/>
      <c r="N103" s="11"/>
      <c r="AT103" s="11">
        <f t="shared" si="201"/>
        <v>4</v>
      </c>
      <c r="AU103" s="9">
        <v>2010</v>
      </c>
      <c r="AV103" s="6">
        <f t="shared" si="200"/>
        <v>0.14181818181818182</v>
      </c>
      <c r="AW103" s="249">
        <f>COUNTIFS('DATOS 2'!$AA$5:$AA$1437,"&lt;6",'DATOS 2'!$D$5:$D$1437,AU103)-AW48</f>
        <v>39</v>
      </c>
      <c r="BQ103" s="249">
        <v>6</v>
      </c>
      <c r="BR103" s="141" t="s">
        <v>857</v>
      </c>
      <c r="BS103" s="6">
        <f t="shared" si="232"/>
        <v>0.25</v>
      </c>
      <c r="BT103" s="6">
        <f t="shared" si="230"/>
        <v>0.15606936416184972</v>
      </c>
      <c r="BU103" s="6">
        <f t="shared" si="231"/>
        <v>0.12121212121212122</v>
      </c>
      <c r="BV103" s="249">
        <f>COUNTIFS('ENCUESTA PROPIETARIOS'!$N$7:$N$417,1,'ENCUESTA PROPIETARIOS'!$CS$7:$CS$417,$BQ103)</f>
        <v>50</v>
      </c>
      <c r="BW103" s="249">
        <f>COUNTIFS('ENCUESTA PROPIETARIOS'!$N$7:$N$417,"&lt;6",'ENCUESTA PROPIETARIOS'!$CS$7:$CS$417,$BQ103)-BV103</f>
        <v>27</v>
      </c>
      <c r="BX103" s="249">
        <f>COUNTIFS('ENCUESTA PROPIETARIOS'!$N$7:$N$417,"&gt;5",'ENCUESTA PROPIETARIOS'!$CS$7:$CS$417,$BQ103)</f>
        <v>4</v>
      </c>
    </row>
    <row r="104" spans="10:76" x14ac:dyDescent="0.25">
      <c r="AT104" s="11">
        <f t="shared" si="201"/>
        <v>3</v>
      </c>
      <c r="AU104" s="9">
        <v>2011</v>
      </c>
      <c r="AV104" s="6">
        <f t="shared" si="200"/>
        <v>7.636363636363637E-2</v>
      </c>
      <c r="AW104" s="249">
        <f>COUNTIFS('DATOS 2'!$AA$5:$AA$1437,"&lt;6",'DATOS 2'!$D$5:$D$1437,AU104)-AW49</f>
        <v>21</v>
      </c>
      <c r="BR104" s="11" t="s">
        <v>715</v>
      </c>
      <c r="BS104" s="6">
        <f t="shared" si="232"/>
        <v>1</v>
      </c>
      <c r="BT104" s="6">
        <f t="shared" si="230"/>
        <v>1</v>
      </c>
      <c r="BU104" s="6">
        <f t="shared" si="231"/>
        <v>1</v>
      </c>
      <c r="BV104" s="249">
        <f>SUM(BV98:BV103)</f>
        <v>200</v>
      </c>
      <c r="BW104" s="249">
        <f>SUM(BW98:BW103)</f>
        <v>173</v>
      </c>
      <c r="BX104" s="249">
        <f>SUM(BX98:BX103)</f>
        <v>33</v>
      </c>
    </row>
    <row r="105" spans="10:76" x14ac:dyDescent="0.25">
      <c r="AT105" s="11">
        <f t="shared" si="201"/>
        <v>2</v>
      </c>
      <c r="AU105" s="9">
        <v>2012</v>
      </c>
      <c r="AV105" s="6">
        <f t="shared" si="200"/>
        <v>0.11272727272727273</v>
      </c>
      <c r="AW105" s="249">
        <f>COUNTIFS('DATOS 2'!$AA$5:$AA$1437,"&lt;6",'DATOS 2'!$D$5:$D$1437,AU105)-AW50</f>
        <v>31</v>
      </c>
    </row>
    <row r="106" spans="10:76" x14ac:dyDescent="0.25">
      <c r="AT106" s="11">
        <f t="shared" si="201"/>
        <v>1</v>
      </c>
      <c r="AU106" s="9">
        <v>2013</v>
      </c>
      <c r="AV106" s="6">
        <f t="shared" si="200"/>
        <v>2.5454545454545455E-2</v>
      </c>
      <c r="AW106" s="249">
        <f>COUNTIFS('DATOS 2'!$AA$5:$AA$1437,"&lt;6",'DATOS 2'!$D$5:$D$1437,AU106)-AW51</f>
        <v>7</v>
      </c>
    </row>
    <row r="107" spans="10:76" x14ac:dyDescent="0.25">
      <c r="AT107" s="11">
        <f>2014-AU107</f>
        <v>0</v>
      </c>
      <c r="AU107" s="9">
        <v>2014</v>
      </c>
      <c r="AV107" s="6">
        <f t="shared" si="200"/>
        <v>1.4545454545454545E-2</v>
      </c>
      <c r="AW107" s="249">
        <f>COUNTIFS('DATOS 2'!$AA$5:$AA$1437,"&lt;6",'DATOS 2'!$D$5:$D$1437,AU107)-AW52</f>
        <v>4</v>
      </c>
    </row>
    <row r="108" spans="10:76" x14ac:dyDescent="0.25">
      <c r="AT108" s="11"/>
      <c r="AU108" s="9" t="s">
        <v>715</v>
      </c>
      <c r="AV108" s="6">
        <f t="shared" si="200"/>
        <v>2.7127272727272729</v>
      </c>
      <c r="AW108" s="249">
        <f>SUM(AW72:AW107)</f>
        <v>746</v>
      </c>
    </row>
    <row r="109" spans="10:76" x14ac:dyDescent="0.25">
      <c r="AT109" s="11"/>
      <c r="AU109" s="17"/>
      <c r="AV109" s="17"/>
      <c r="AW109" s="11">
        <f>(SUMPRODUCT(AT59:AT69,AW59:AW69)+SUMPRODUCT(AT73:AT107,AW73:AW107))/AW108</f>
        <v>13.576407506702413</v>
      </c>
    </row>
  </sheetData>
  <mergeCells count="25">
    <mergeCell ref="AL63:AN63"/>
    <mergeCell ref="AO63:AQ63"/>
    <mergeCell ref="Z1:AB1"/>
    <mergeCell ref="AC1:AE1"/>
    <mergeCell ref="Z18:AB18"/>
    <mergeCell ref="AC18:AE18"/>
    <mergeCell ref="N63:P63"/>
    <mergeCell ref="Q63:S63"/>
    <mergeCell ref="N1:P1"/>
    <mergeCell ref="Q1:S1"/>
    <mergeCell ref="K23:L23"/>
    <mergeCell ref="N54:P54"/>
    <mergeCell ref="Q54:S54"/>
    <mergeCell ref="N93:P93"/>
    <mergeCell ref="Q93:S93"/>
    <mergeCell ref="N73:P73"/>
    <mergeCell ref="Q73:S73"/>
    <mergeCell ref="N83:P83"/>
    <mergeCell ref="Q83:S83"/>
    <mergeCell ref="DD1:DF1"/>
    <mergeCell ref="DG1:DI1"/>
    <mergeCell ref="DD15:DF15"/>
    <mergeCell ref="DG15:DI15"/>
    <mergeCell ref="AL49:AN49"/>
    <mergeCell ref="AO49:AQ49"/>
  </mergeCells>
  <pageMargins left="0.7" right="0.7" top="0.75" bottom="0.75" header="0.3" footer="0.3"/>
  <pageSetup orientation="portrait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CZ1:FK49"/>
  <sheetViews>
    <sheetView zoomScale="90" zoomScaleNormal="90" workbookViewId="0">
      <selection activeCell="J30" sqref="J30"/>
    </sheetView>
  </sheetViews>
  <sheetFormatPr baseColWidth="10" defaultColWidth="11.42578125" defaultRowHeight="15" x14ac:dyDescent="0.25"/>
  <cols>
    <col min="1" max="130" width="11.42578125" style="17"/>
    <col min="131" max="131" width="16.28515625" style="17" customWidth="1"/>
    <col min="132" max="16384" width="11.42578125" style="17"/>
  </cols>
  <sheetData>
    <row r="1" spans="104:167" x14ac:dyDescent="0.25">
      <c r="CZ1" s="17" t="s">
        <v>2477</v>
      </c>
      <c r="DI1" s="17" t="s">
        <v>2479</v>
      </c>
      <c r="DR1" s="17" t="s">
        <v>2480</v>
      </c>
      <c r="EA1" s="17" t="s">
        <v>2481</v>
      </c>
      <c r="EJ1" s="17" t="s">
        <v>2487</v>
      </c>
      <c r="ES1" s="17" t="s">
        <v>2489</v>
      </c>
      <c r="FB1" s="17" t="s">
        <v>2493</v>
      </c>
      <c r="FK1" s="17" t="s">
        <v>2494</v>
      </c>
    </row>
    <row r="3" spans="104:167" x14ac:dyDescent="0.25">
      <c r="ES3" s="17" t="s">
        <v>2490</v>
      </c>
    </row>
    <row r="4" spans="104:167" x14ac:dyDescent="0.25">
      <c r="EA4" s="19"/>
      <c r="EB4" s="250"/>
      <c r="EC4" s="250"/>
      <c r="ED4" s="250"/>
      <c r="EE4" s="250"/>
      <c r="ES4" s="17" t="s">
        <v>2491</v>
      </c>
    </row>
    <row r="5" spans="104:167" x14ac:dyDescent="0.25">
      <c r="EA5" s="19"/>
      <c r="EB5" s="250"/>
      <c r="EC5" s="250"/>
      <c r="ED5" s="250"/>
      <c r="EE5" s="250"/>
    </row>
    <row r="6" spans="104:167" x14ac:dyDescent="0.25">
      <c r="EA6" s="19"/>
      <c r="EB6" s="250"/>
      <c r="EC6" s="250"/>
      <c r="ED6" s="250"/>
      <c r="EE6" s="250"/>
      <c r="ES6" s="17" t="s">
        <v>2492</v>
      </c>
    </row>
    <row r="7" spans="104:167" x14ac:dyDescent="0.25">
      <c r="EA7" s="19"/>
      <c r="EB7" s="250"/>
      <c r="EC7" s="250"/>
      <c r="ED7" s="250"/>
      <c r="EE7" s="250"/>
    </row>
    <row r="8" spans="104:167" x14ac:dyDescent="0.25">
      <c r="EA8" s="19"/>
      <c r="EB8" s="250"/>
      <c r="EC8" s="250"/>
      <c r="ED8" s="250"/>
      <c r="EE8" s="250"/>
    </row>
    <row r="9" spans="104:167" x14ac:dyDescent="0.25">
      <c r="EA9" s="19"/>
      <c r="EB9" s="250"/>
      <c r="EC9" s="250"/>
      <c r="ED9" s="250"/>
      <c r="EE9" s="250"/>
    </row>
    <row r="10" spans="104:167" x14ac:dyDescent="0.25">
      <c r="EA10" s="19"/>
      <c r="EB10" s="250"/>
      <c r="EC10" s="250"/>
      <c r="ED10" s="250"/>
      <c r="EE10" s="250"/>
    </row>
    <row r="11" spans="104:167" x14ac:dyDescent="0.25">
      <c r="EA11" s="19"/>
      <c r="EB11" s="250"/>
      <c r="EC11" s="250"/>
      <c r="ED11" s="250"/>
      <c r="EE11" s="250"/>
    </row>
    <row r="12" spans="104:167" x14ac:dyDescent="0.25">
      <c r="EA12" s="19"/>
      <c r="EB12" s="250"/>
      <c r="EC12" s="250"/>
      <c r="ED12" s="250"/>
      <c r="EE12" s="250"/>
    </row>
    <row r="13" spans="104:167" x14ac:dyDescent="0.25">
      <c r="EA13" s="19"/>
      <c r="EB13" s="250"/>
      <c r="EC13" s="250"/>
      <c r="ED13" s="250"/>
      <c r="EE13" s="250"/>
    </row>
    <row r="14" spans="104:167" x14ac:dyDescent="0.25">
      <c r="EA14" s="19"/>
      <c r="EB14" s="250"/>
      <c r="EC14" s="250"/>
      <c r="ED14" s="250"/>
      <c r="EE14" s="250"/>
    </row>
    <row r="15" spans="104:167" x14ac:dyDescent="0.25">
      <c r="EA15" s="19"/>
      <c r="EB15" s="250"/>
      <c r="EC15" s="250"/>
      <c r="ED15" s="250"/>
      <c r="EE15" s="250"/>
    </row>
    <row r="16" spans="104:167" x14ac:dyDescent="0.25">
      <c r="EA16" s="19"/>
      <c r="EB16" s="250"/>
      <c r="EC16" s="250"/>
      <c r="ED16" s="250"/>
      <c r="EE16" s="250"/>
    </row>
    <row r="17" spans="131:135" x14ac:dyDescent="0.25">
      <c r="EA17" s="19"/>
      <c r="EB17" s="250"/>
      <c r="EC17" s="250"/>
      <c r="ED17" s="250"/>
      <c r="EE17" s="250"/>
    </row>
    <row r="18" spans="131:135" x14ac:dyDescent="0.25">
      <c r="EA18" s="19"/>
      <c r="EB18" s="250"/>
      <c r="EC18" s="250"/>
      <c r="ED18" s="250"/>
      <c r="EE18" s="250"/>
    </row>
    <row r="19" spans="131:135" x14ac:dyDescent="0.25">
      <c r="EA19" s="19"/>
      <c r="EB19" s="250"/>
      <c r="EC19" s="250"/>
      <c r="ED19" s="250"/>
      <c r="EE19" s="250"/>
    </row>
    <row r="20" spans="131:135" x14ac:dyDescent="0.25">
      <c r="EA20" s="19"/>
      <c r="EB20" s="250"/>
      <c r="EC20" s="250"/>
      <c r="ED20" s="250"/>
      <c r="EE20" s="250"/>
    </row>
    <row r="21" spans="131:135" x14ac:dyDescent="0.25">
      <c r="EA21" s="19"/>
      <c r="EB21" s="250"/>
      <c r="EC21" s="250"/>
      <c r="ED21" s="250"/>
      <c r="EE21" s="250"/>
    </row>
    <row r="22" spans="131:135" x14ac:dyDescent="0.25">
      <c r="EA22" s="19"/>
      <c r="EB22" s="250"/>
      <c r="EC22" s="250"/>
      <c r="ED22" s="250"/>
      <c r="EE22" s="250"/>
    </row>
    <row r="23" spans="131:135" x14ac:dyDescent="0.25">
      <c r="EA23" s="19"/>
      <c r="EB23" s="250"/>
      <c r="EC23" s="250"/>
      <c r="ED23" s="250"/>
      <c r="EE23" s="250"/>
    </row>
    <row r="24" spans="131:135" x14ac:dyDescent="0.25">
      <c r="EA24" s="19"/>
      <c r="EB24" s="250"/>
      <c r="EC24" s="250"/>
      <c r="ED24" s="250"/>
      <c r="EE24" s="250"/>
    </row>
    <row r="25" spans="131:135" x14ac:dyDescent="0.25">
      <c r="EA25" s="19"/>
      <c r="EB25" s="250"/>
      <c r="EC25" s="250"/>
      <c r="ED25" s="250"/>
      <c r="EE25" s="250"/>
    </row>
    <row r="26" spans="131:135" x14ac:dyDescent="0.25">
      <c r="EA26" s="19"/>
      <c r="EB26" s="250"/>
      <c r="EC26" s="250"/>
      <c r="ED26" s="250"/>
      <c r="EE26" s="250"/>
    </row>
    <row r="27" spans="131:135" x14ac:dyDescent="0.25">
      <c r="EA27" s="19"/>
      <c r="EB27" s="250"/>
      <c r="EC27" s="250"/>
      <c r="ED27" s="250"/>
      <c r="EE27" s="250"/>
    </row>
    <row r="28" spans="131:135" x14ac:dyDescent="0.25">
      <c r="EA28" s="19"/>
      <c r="EB28" s="250"/>
      <c r="EC28" s="250"/>
      <c r="ED28" s="250"/>
      <c r="EE28" s="250"/>
    </row>
    <row r="29" spans="131:135" x14ac:dyDescent="0.25">
      <c r="EA29" s="19"/>
      <c r="EB29" s="250"/>
      <c r="EC29" s="250"/>
      <c r="ED29" s="250"/>
      <c r="EE29" s="250"/>
    </row>
    <row r="30" spans="131:135" x14ac:dyDescent="0.25">
      <c r="EA30" s="19"/>
      <c r="EB30" s="250"/>
      <c r="EC30" s="250"/>
      <c r="ED30" s="250"/>
      <c r="EE30" s="250"/>
    </row>
    <row r="31" spans="131:135" x14ac:dyDescent="0.25">
      <c r="EA31" s="19"/>
      <c r="EB31" s="250"/>
      <c r="EC31" s="250"/>
      <c r="ED31" s="250"/>
      <c r="EE31" s="250"/>
    </row>
    <row r="32" spans="131:135" x14ac:dyDescent="0.25">
      <c r="EA32" s="19"/>
      <c r="EB32" s="250"/>
      <c r="EC32" s="250"/>
      <c r="ED32" s="250"/>
      <c r="EE32" s="250"/>
    </row>
    <row r="33" spans="131:135" x14ac:dyDescent="0.25">
      <c r="EA33" s="19"/>
      <c r="EB33" s="250"/>
      <c r="EC33" s="250"/>
      <c r="ED33" s="250"/>
      <c r="EE33" s="250"/>
    </row>
    <row r="34" spans="131:135" x14ac:dyDescent="0.25">
      <c r="EA34" s="19"/>
      <c r="EB34" s="250"/>
      <c r="EC34" s="250"/>
      <c r="ED34" s="250"/>
      <c r="EE34" s="250"/>
    </row>
    <row r="35" spans="131:135" x14ac:dyDescent="0.25">
      <c r="EA35" s="19"/>
      <c r="EB35" s="250"/>
      <c r="EC35" s="250"/>
      <c r="ED35" s="250"/>
      <c r="EE35" s="250"/>
    </row>
    <row r="36" spans="131:135" x14ac:dyDescent="0.25">
      <c r="EB36" s="250"/>
      <c r="EC36" s="250"/>
      <c r="ED36" s="250"/>
      <c r="EE36" s="250"/>
    </row>
    <row r="37" spans="131:135" x14ac:dyDescent="0.25">
      <c r="EB37" s="250"/>
      <c r="EC37" s="250"/>
      <c r="ED37" s="250"/>
      <c r="EE37" s="250"/>
    </row>
    <row r="38" spans="131:135" x14ac:dyDescent="0.25">
      <c r="EB38" s="250"/>
      <c r="EC38" s="250"/>
      <c r="ED38" s="250"/>
      <c r="EE38" s="250"/>
    </row>
    <row r="39" spans="131:135" x14ac:dyDescent="0.25">
      <c r="EB39" s="250"/>
      <c r="EC39" s="250"/>
      <c r="ED39" s="250"/>
      <c r="EE39" s="250"/>
    </row>
    <row r="40" spans="131:135" x14ac:dyDescent="0.25">
      <c r="EB40" s="250"/>
      <c r="EC40" s="250"/>
      <c r="ED40" s="250"/>
      <c r="EE40" s="250"/>
    </row>
    <row r="41" spans="131:135" x14ac:dyDescent="0.25">
      <c r="EB41" s="250"/>
      <c r="EC41" s="250"/>
      <c r="ED41" s="250"/>
      <c r="EE41" s="250"/>
    </row>
    <row r="42" spans="131:135" x14ac:dyDescent="0.25">
      <c r="EB42" s="250"/>
      <c r="EC42" s="250"/>
      <c r="ED42" s="250"/>
      <c r="EE42" s="250"/>
    </row>
    <row r="43" spans="131:135" x14ac:dyDescent="0.25">
      <c r="EB43" s="250"/>
      <c r="EC43" s="250"/>
      <c r="ED43" s="250"/>
      <c r="EE43" s="250"/>
    </row>
    <row r="44" spans="131:135" x14ac:dyDescent="0.25">
      <c r="EB44" s="250"/>
      <c r="EC44" s="250"/>
      <c r="ED44" s="250"/>
      <c r="EE44" s="250"/>
    </row>
    <row r="45" spans="131:135" x14ac:dyDescent="0.25">
      <c r="EB45" s="250"/>
      <c r="EC45" s="250"/>
      <c r="ED45" s="250"/>
      <c r="EE45" s="250"/>
    </row>
    <row r="46" spans="131:135" x14ac:dyDescent="0.25">
      <c r="EB46" s="250"/>
      <c r="EC46" s="250"/>
      <c r="ED46" s="250"/>
      <c r="EE46" s="250"/>
    </row>
    <row r="47" spans="131:135" x14ac:dyDescent="0.25">
      <c r="EB47" s="250"/>
      <c r="EC47" s="250"/>
      <c r="ED47" s="250"/>
      <c r="EE47" s="250"/>
    </row>
    <row r="48" spans="131:135" x14ac:dyDescent="0.25">
      <c r="EB48" s="250"/>
      <c r="EC48" s="250"/>
      <c r="ED48" s="250"/>
      <c r="EE48" s="250"/>
    </row>
    <row r="49" spans="132:135" x14ac:dyDescent="0.25">
      <c r="EB49" s="250"/>
      <c r="EC49" s="250"/>
      <c r="ED49" s="250"/>
      <c r="EE49" s="250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GM303"/>
  <sheetViews>
    <sheetView workbookViewId="0"/>
  </sheetViews>
  <sheetFormatPr baseColWidth="10" defaultRowHeight="15" x14ac:dyDescent="0.25"/>
  <cols>
    <col min="1" max="1" width="30.140625" style="17" customWidth="1"/>
    <col min="2" max="2" width="15.28515625" style="249" customWidth="1"/>
    <col min="3" max="13" width="11.42578125" style="17"/>
    <col min="14" max="14" width="33.85546875" style="17" customWidth="1"/>
    <col min="15" max="25" width="11.42578125" style="17"/>
    <col min="26" max="26" width="11.42578125" style="249"/>
    <col min="27" max="36" width="11.42578125" style="17"/>
    <col min="37" max="37" width="21.5703125" style="17" customWidth="1"/>
    <col min="38" max="38" width="11.42578125" style="17"/>
    <col min="39" max="39" width="11.42578125" style="249"/>
    <col min="40" max="46" width="11.42578125" style="17"/>
    <col min="47" max="47" width="11.42578125" style="249"/>
    <col min="48" max="55" width="11.42578125" style="17"/>
    <col min="56" max="56" width="20.85546875" style="17" customWidth="1"/>
    <col min="57" max="64" width="11.42578125" style="17"/>
    <col min="65" max="65" width="14.28515625" style="17" customWidth="1"/>
    <col min="66" max="73" width="11.42578125" style="17"/>
    <col min="74" max="74" width="26.140625" style="17" customWidth="1"/>
    <col min="75" max="85" width="11.42578125" style="17"/>
    <col min="86" max="86" width="23.140625" style="17" customWidth="1"/>
    <col min="87" max="97" width="11.42578125" style="17"/>
    <col min="98" max="98" width="19.28515625" style="17" customWidth="1"/>
    <col min="99" max="109" width="11.42578125" style="17"/>
    <col min="110" max="110" width="25.28515625" style="17" customWidth="1"/>
    <col min="111" max="121" width="11.42578125" style="17"/>
    <col min="122" max="122" width="25.42578125" style="17" customWidth="1"/>
    <col min="123" max="133" width="11.42578125" style="17"/>
    <col min="134" max="134" width="25.5703125" style="17" customWidth="1"/>
    <col min="135" max="151" width="11.42578125" style="17"/>
    <col min="152" max="152" width="32.5703125" style="17" customWidth="1"/>
    <col min="153" max="157" width="11.42578125" style="17"/>
    <col min="158" max="158" width="20.28515625" style="17" customWidth="1"/>
    <col min="159" max="168" width="11.42578125" style="17"/>
    <col min="169" max="169" width="21.140625" style="17" customWidth="1"/>
    <col min="170" max="186" width="11.42578125" style="17"/>
    <col min="187" max="187" width="18" style="17" customWidth="1"/>
    <col min="188" max="192" width="11.42578125" style="17"/>
    <col min="193" max="193" width="15.140625" style="17" customWidth="1"/>
    <col min="194" max="16384" width="11.42578125" style="17"/>
  </cols>
  <sheetData>
    <row r="1" spans="1:195" x14ac:dyDescent="0.25">
      <c r="AK1" s="17" t="s">
        <v>2532</v>
      </c>
      <c r="DR1" s="17">
        <v>5</v>
      </c>
    </row>
    <row r="2" spans="1:195" x14ac:dyDescent="0.25">
      <c r="AK2" s="11"/>
      <c r="AL2" s="249" t="s">
        <v>348</v>
      </c>
      <c r="AM2" s="249" t="s">
        <v>351</v>
      </c>
      <c r="AN2" s="249" t="s">
        <v>359</v>
      </c>
      <c r="AO2" s="249" t="s">
        <v>337</v>
      </c>
      <c r="AQ2" s="249" t="s">
        <v>348</v>
      </c>
      <c r="AR2" s="249" t="s">
        <v>351</v>
      </c>
      <c r="AS2" s="249" t="s">
        <v>359</v>
      </c>
      <c r="AT2" s="249" t="s">
        <v>337</v>
      </c>
      <c r="BD2" s="11" t="s">
        <v>2566</v>
      </c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V2" s="17" t="s">
        <v>2594</v>
      </c>
      <c r="CH2" s="17" t="s">
        <v>2598</v>
      </c>
      <c r="CT2" s="17" t="s">
        <v>2604</v>
      </c>
      <c r="DF2" s="17" t="s">
        <v>2614</v>
      </c>
      <c r="DR2" s="11" t="s">
        <v>2642</v>
      </c>
      <c r="ED2" s="17" t="s">
        <v>2665</v>
      </c>
      <c r="EV2" s="17" t="s">
        <v>2684</v>
      </c>
      <c r="FM2" s="17" t="s">
        <v>2705</v>
      </c>
      <c r="FY2" s="11" t="s">
        <v>2719</v>
      </c>
      <c r="FZ2" s="11"/>
      <c r="GA2" s="249"/>
      <c r="GB2" s="11"/>
      <c r="GC2" s="249"/>
      <c r="GE2" s="11" t="s">
        <v>2720</v>
      </c>
      <c r="GK2" s="11"/>
    </row>
    <row r="3" spans="1:195" x14ac:dyDescent="0.25">
      <c r="A3" s="17" t="s">
        <v>2496</v>
      </c>
      <c r="N3" s="179" t="s">
        <v>2505</v>
      </c>
      <c r="O3" s="9"/>
      <c r="P3" s="179"/>
      <c r="Q3" s="179"/>
      <c r="R3" s="179"/>
      <c r="S3" s="179"/>
      <c r="T3" s="179"/>
      <c r="U3" s="179"/>
      <c r="V3" s="179"/>
      <c r="W3" s="179"/>
      <c r="X3" s="179" t="s">
        <v>2509</v>
      </c>
      <c r="Y3" s="179"/>
      <c r="Z3" s="9"/>
      <c r="AK3" s="11" t="s">
        <v>2534</v>
      </c>
      <c r="AL3" s="6">
        <f>+AQ3/$AU$10</f>
        <v>1.5306122448979591E-2</v>
      </c>
      <c r="AM3" s="6">
        <f t="shared" ref="AM3:AM10" si="0">+AR3/$AU$10</f>
        <v>4.6938775510204082E-2</v>
      </c>
      <c r="AN3" s="6">
        <f t="shared" ref="AN3:AN10" si="1">+AS3/$AU$10</f>
        <v>0</v>
      </c>
      <c r="AO3" s="6">
        <f t="shared" ref="AO3:AO10" si="2">+AT3/$AU$10</f>
        <v>4.3877551020408162E-2</v>
      </c>
      <c r="AP3" s="6">
        <f t="shared" ref="AP3:AP10" si="3">+AU3/$AU$10</f>
        <v>0.10612244897959183</v>
      </c>
      <c r="AQ3" s="249">
        <f>COUNTIFS('DETALLES UNIDADES'!$C$8:$C$987,AQ$2,'DETALLES UNIDADES'!$BC$8:$BC$987,"&lt;1991")</f>
        <v>15</v>
      </c>
      <c r="AR3" s="249">
        <f>COUNTIFS('DETALLES UNIDADES'!$C$8:$C$987,AR$2,'DETALLES UNIDADES'!$BC$8:$BC$987,"&lt;1991")</f>
        <v>46</v>
      </c>
      <c r="AS3" s="249">
        <f>COUNTIFS('DETALLES UNIDADES'!$C$8:$C$987,AS$2,'DETALLES UNIDADES'!$BC$8:$BC$987,"&lt;1991")</f>
        <v>0</v>
      </c>
      <c r="AT3" s="249">
        <f>COUNTIFS('DETALLES UNIDADES'!$C$8:$C$987,AT$2,'DETALLES UNIDADES'!$BC$8:$BC$987,"&lt;1991")</f>
        <v>43</v>
      </c>
      <c r="AU3" s="249">
        <f>SUM(AQ3:AT3)</f>
        <v>104</v>
      </c>
      <c r="AV3" s="17">
        <v>104</v>
      </c>
      <c r="BD3" s="11"/>
      <c r="BE3" s="11" t="s">
        <v>2534</v>
      </c>
      <c r="BF3" s="11" t="s">
        <v>2535</v>
      </c>
      <c r="BG3" s="11" t="s">
        <v>2536</v>
      </c>
      <c r="BH3" s="11" t="s">
        <v>2537</v>
      </c>
      <c r="BI3" s="11" t="s">
        <v>2538</v>
      </c>
      <c r="BJ3" s="11" t="s">
        <v>2539</v>
      </c>
      <c r="BK3" s="11" t="s">
        <v>2540</v>
      </c>
      <c r="BL3" s="11"/>
      <c r="BM3" s="11" t="s">
        <v>2534</v>
      </c>
      <c r="BN3" s="11" t="s">
        <v>2535</v>
      </c>
      <c r="BO3" s="11" t="s">
        <v>2536</v>
      </c>
      <c r="BP3" s="11" t="s">
        <v>2537</v>
      </c>
      <c r="BQ3" s="11" t="s">
        <v>2538</v>
      </c>
      <c r="BR3" s="11" t="s">
        <v>2539</v>
      </c>
      <c r="BS3" s="11" t="s">
        <v>2540</v>
      </c>
      <c r="BT3" s="11"/>
      <c r="BW3" s="17" t="s">
        <v>814</v>
      </c>
      <c r="BX3" s="17" t="s">
        <v>815</v>
      </c>
      <c r="BY3" s="17" t="s">
        <v>1780</v>
      </c>
      <c r="BZ3" s="17" t="s">
        <v>1781</v>
      </c>
      <c r="CB3" s="17" t="s">
        <v>814</v>
      </c>
      <c r="CC3" s="17" t="s">
        <v>815</v>
      </c>
      <c r="CD3" s="17" t="s">
        <v>1780</v>
      </c>
      <c r="CE3" s="17" t="s">
        <v>1781</v>
      </c>
      <c r="CI3" s="17" t="s">
        <v>814</v>
      </c>
      <c r="CJ3" s="17" t="s">
        <v>815</v>
      </c>
      <c r="CK3" s="17" t="s">
        <v>1780</v>
      </c>
      <c r="CL3" s="17" t="s">
        <v>1781</v>
      </c>
      <c r="CU3" s="11" t="s">
        <v>814</v>
      </c>
      <c r="CV3" s="11" t="s">
        <v>815</v>
      </c>
      <c r="CW3" s="11" t="s">
        <v>1780</v>
      </c>
      <c r="CX3" s="11" t="s">
        <v>1781</v>
      </c>
      <c r="CY3" s="11" t="s">
        <v>2739</v>
      </c>
      <c r="CZ3" s="11" t="s">
        <v>814</v>
      </c>
      <c r="DA3" s="11" t="s">
        <v>815</v>
      </c>
      <c r="DB3" s="11" t="s">
        <v>1780</v>
      </c>
      <c r="DC3" s="11" t="s">
        <v>1781</v>
      </c>
      <c r="DD3" s="11"/>
      <c r="DG3" s="11" t="s">
        <v>814</v>
      </c>
      <c r="DH3" s="11" t="s">
        <v>815</v>
      </c>
      <c r="DI3" s="11" t="s">
        <v>1780</v>
      </c>
      <c r="DJ3" s="11" t="s">
        <v>1781</v>
      </c>
      <c r="DK3" s="11"/>
      <c r="DL3" s="11" t="s">
        <v>814</v>
      </c>
      <c r="DM3" s="11" t="s">
        <v>815</v>
      </c>
      <c r="DN3" s="11" t="s">
        <v>1780</v>
      </c>
      <c r="DO3" s="11" t="s">
        <v>1781</v>
      </c>
      <c r="DP3" s="11"/>
      <c r="DS3" s="11" t="s">
        <v>814</v>
      </c>
      <c r="DT3" s="11" t="s">
        <v>815</v>
      </c>
      <c r="DU3" s="11" t="s">
        <v>1780</v>
      </c>
      <c r="DV3" s="11" t="s">
        <v>1781</v>
      </c>
      <c r="DW3" s="11"/>
      <c r="DX3" s="11" t="s">
        <v>814</v>
      </c>
      <c r="DY3" s="11" t="s">
        <v>815</v>
      </c>
      <c r="DZ3" s="11" t="s">
        <v>1780</v>
      </c>
      <c r="EA3" s="11" t="s">
        <v>1781</v>
      </c>
      <c r="EB3" s="11"/>
      <c r="EE3" s="11" t="s">
        <v>2534</v>
      </c>
      <c r="EF3" s="11" t="s">
        <v>2535</v>
      </c>
      <c r="EG3" s="11" t="s">
        <v>2536</v>
      </c>
      <c r="EH3" s="11" t="s">
        <v>2537</v>
      </c>
      <c r="EI3" s="11" t="s">
        <v>2538</v>
      </c>
      <c r="EJ3" s="11" t="s">
        <v>2539</v>
      </c>
      <c r="EK3" s="11" t="s">
        <v>2540</v>
      </c>
      <c r="EM3" s="11" t="s">
        <v>2534</v>
      </c>
      <c r="EN3" s="11" t="s">
        <v>2535</v>
      </c>
      <c r="EO3" s="11" t="s">
        <v>2536</v>
      </c>
      <c r="EP3" s="11" t="s">
        <v>2537</v>
      </c>
      <c r="EQ3" s="11" t="s">
        <v>2538</v>
      </c>
      <c r="ER3" s="11" t="s">
        <v>2539</v>
      </c>
      <c r="ES3" s="11" t="s">
        <v>2540</v>
      </c>
      <c r="EW3" s="11" t="s">
        <v>814</v>
      </c>
      <c r="EX3" s="11" t="s">
        <v>815</v>
      </c>
      <c r="EY3" s="11" t="s">
        <v>1780</v>
      </c>
      <c r="EZ3" s="11" t="s">
        <v>1781</v>
      </c>
      <c r="FA3" s="11"/>
      <c r="FB3" s="11" t="s">
        <v>814</v>
      </c>
      <c r="FC3" s="11" t="s">
        <v>815</v>
      </c>
      <c r="FD3" s="11" t="s">
        <v>1780</v>
      </c>
      <c r="FE3" s="11" t="s">
        <v>1781</v>
      </c>
      <c r="FF3" s="11"/>
      <c r="FN3" s="249" t="s">
        <v>348</v>
      </c>
      <c r="FO3" s="249" t="s">
        <v>351</v>
      </c>
      <c r="FP3" s="249" t="s">
        <v>359</v>
      </c>
      <c r="FQ3" s="249" t="s">
        <v>337</v>
      </c>
      <c r="FS3" s="249" t="s">
        <v>348</v>
      </c>
      <c r="FT3" s="249" t="s">
        <v>351</v>
      </c>
      <c r="FU3" s="249" t="s">
        <v>359</v>
      </c>
      <c r="FV3" s="249" t="s">
        <v>337</v>
      </c>
      <c r="FY3" s="11"/>
      <c r="FZ3" s="11"/>
      <c r="GA3" s="249"/>
      <c r="GB3" s="11"/>
      <c r="GC3" s="249"/>
      <c r="GE3" s="11" t="s">
        <v>2374</v>
      </c>
      <c r="GF3" s="6">
        <f>+GG3/$GG$9</f>
        <v>0.78947368421052633</v>
      </c>
      <c r="GG3" s="249">
        <f>COUNTIFS('DETALLES UNIDADES'!$C$8:$C$987,"C2",'DETALLES UNIDADES'!$R$8:$R$987,"&lt;2500")</f>
        <v>165</v>
      </c>
      <c r="GK3" s="11"/>
      <c r="GL3" s="6"/>
      <c r="GM3" s="249"/>
    </row>
    <row r="4" spans="1:195" x14ac:dyDescent="0.25">
      <c r="C4" s="17" t="s">
        <v>814</v>
      </c>
      <c r="D4" s="17" t="s">
        <v>815</v>
      </c>
      <c r="E4" s="17" t="s">
        <v>1780</v>
      </c>
      <c r="F4" s="17" t="s">
        <v>1781</v>
      </c>
      <c r="H4" s="17" t="s">
        <v>814</v>
      </c>
      <c r="I4" s="17" t="s">
        <v>815</v>
      </c>
      <c r="J4" s="17" t="s">
        <v>1780</v>
      </c>
      <c r="K4" s="17" t="s">
        <v>1781</v>
      </c>
      <c r="O4" s="179" t="s">
        <v>1002</v>
      </c>
      <c r="P4" s="179" t="s">
        <v>1004</v>
      </c>
      <c r="Q4" s="179" t="s">
        <v>430</v>
      </c>
      <c r="R4" s="179"/>
      <c r="S4" s="179" t="s">
        <v>1002</v>
      </c>
      <c r="T4" s="179" t="s">
        <v>1004</v>
      </c>
      <c r="U4" s="179" t="s">
        <v>430</v>
      </c>
      <c r="V4" s="179"/>
      <c r="W4" s="179"/>
      <c r="X4" s="179"/>
      <c r="Y4" s="179"/>
      <c r="Z4" s="9" t="s">
        <v>1002</v>
      </c>
      <c r="AK4" s="11" t="s">
        <v>2535</v>
      </c>
      <c r="AL4" s="6">
        <f t="shared" ref="AL4:AL10" si="4">+AQ4/$AU$10</f>
        <v>1.4285714285714285E-2</v>
      </c>
      <c r="AM4" s="6">
        <f t="shared" si="0"/>
        <v>7.1428571428571426E-3</v>
      </c>
      <c r="AN4" s="6">
        <f t="shared" si="1"/>
        <v>1.0204081632653062E-3</v>
      </c>
      <c r="AO4" s="6">
        <f t="shared" si="2"/>
        <v>2.8571428571428571E-2</v>
      </c>
      <c r="AP4" s="6">
        <f t="shared" si="3"/>
        <v>5.1020408163265307E-2</v>
      </c>
      <c r="AQ4" s="249">
        <f>COUNTIFS('DETALLES UNIDADES'!$C$8:$C$987,AQ$2,'DETALLES UNIDADES'!$BC$8:$BC$987,"&lt;1994")-AQ3</f>
        <v>14</v>
      </c>
      <c r="AR4" s="249">
        <f>COUNTIFS('DETALLES UNIDADES'!$C$8:$C$987,AR$2,'DETALLES UNIDADES'!$BC$8:$BC$987,"&lt;1994")-AR3</f>
        <v>7</v>
      </c>
      <c r="AS4" s="249">
        <f>COUNTIFS('DETALLES UNIDADES'!$C$8:$C$987,AS$2,'DETALLES UNIDADES'!$BC$8:$BC$987,"&lt;1994")-AS3</f>
        <v>1</v>
      </c>
      <c r="AT4" s="249">
        <f>COUNTIFS('DETALLES UNIDADES'!$C$8:$C$987,AT$2,'DETALLES UNIDADES'!$BC$8:$BC$987,"&lt;1994")-AT3</f>
        <v>28</v>
      </c>
      <c r="AU4" s="249">
        <f>SUM(AQ4:AT4)</f>
        <v>50</v>
      </c>
      <c r="AV4" s="17">
        <v>50</v>
      </c>
      <c r="BD4" s="112" t="s">
        <v>1712</v>
      </c>
      <c r="BE4" s="6">
        <f>+BM4/$BT$11</f>
        <v>5.1493305870236872E-3</v>
      </c>
      <c r="BF4" s="6">
        <f t="shared" ref="BF4:BF11" si="5">+BN4/$BT$11</f>
        <v>2.0597322348094747E-3</v>
      </c>
      <c r="BG4" s="6">
        <f t="shared" ref="BG4:BG11" si="6">+BO4/$BT$11</f>
        <v>4.1194644696189494E-3</v>
      </c>
      <c r="BH4" s="6">
        <f t="shared" ref="BH4:BH11" si="7">+BP4/$BT$11</f>
        <v>7.2090628218331619E-3</v>
      </c>
      <c r="BI4" s="6">
        <f t="shared" ref="BI4:BI11" si="8">+BQ4/$BT$11</f>
        <v>1.8537590113285273E-2</v>
      </c>
      <c r="BJ4" s="6">
        <f t="shared" ref="BJ4:BJ11" si="9">+BR4/$BT$11</f>
        <v>4.4284243048403706E-2</v>
      </c>
      <c r="BK4" s="6">
        <f t="shared" ref="BK4:BK11" si="10">+BS4/$BT$11</f>
        <v>8.8568486096807411E-2</v>
      </c>
      <c r="BL4" s="6">
        <f t="shared" ref="BL4:BL11" si="11">+BT4/$BT$11</f>
        <v>0.16992790937178168</v>
      </c>
      <c r="BM4" s="249">
        <f>COUNTIFS('DETALLES UNIDADES'!$J$8:$J$987,"&lt;250000",'DETALLES UNIDADES'!$D$8:$D$987,"&lt;1991")</f>
        <v>5</v>
      </c>
      <c r="BN4" s="138">
        <f>COUNTIFS('DETALLES UNIDADES'!$J$8:$J$987,"&lt;250000",'DETALLES UNIDADES'!$D$8:$D$987,"&lt;1994")-BM4</f>
        <v>2</v>
      </c>
      <c r="BO4" s="138">
        <f>COUNTIFS('DETALLES UNIDADES'!$J$8:$J$987,"&lt;250000",'DETALLES UNIDADES'!$D$8:$D$987,"&lt;1998")-BN4-BM4</f>
        <v>4</v>
      </c>
      <c r="BP4" s="138">
        <f>COUNTIFS('DETALLES UNIDADES'!$J$8:$J$987,"&lt;250000",'DETALLES UNIDADES'!$D$8:$D$987,"&lt;2004")-BO4-BN4-BM4</f>
        <v>7</v>
      </c>
      <c r="BQ4" s="138">
        <f>COUNTIFS('DETALLES UNIDADES'!$J$8:$J$987,"&lt;250000",'DETALLES UNIDADES'!$D$8:$D$987,"&lt;2007")-BP4-BO4-BN4-BM4</f>
        <v>18</v>
      </c>
      <c r="BR4" s="138">
        <f>COUNTIFS('DETALLES UNIDADES'!$J$8:$J$987,"&lt;250000",'DETALLES UNIDADES'!$D$8:$D$987,"&lt;2011")-BQ4-BP4-BO4-BN4-BM4</f>
        <v>43</v>
      </c>
      <c r="BS4" s="138">
        <f>COUNTIFS('DETALLES UNIDADES'!$J$8:$J$987,"&lt;250000",'DETALLES UNIDADES'!$D$8:$D$987,"&gt;2010")</f>
        <v>86</v>
      </c>
      <c r="BT4" s="249">
        <f>SUM(BM4:BS4)</f>
        <v>165</v>
      </c>
      <c r="BV4" s="17" t="s">
        <v>2589</v>
      </c>
      <c r="BW4" s="6">
        <f>CB4/$CF$9</f>
        <v>5.3527980535279802E-2</v>
      </c>
      <c r="BX4" s="6">
        <f t="shared" ref="BX4:BX9" si="12">CC4/$CF$9</f>
        <v>2.4330900243309004E-2</v>
      </c>
      <c r="BY4" s="6">
        <f t="shared" ref="BY4:BY9" si="13">CD4/$CF$9</f>
        <v>1.9464720194647202E-2</v>
      </c>
      <c r="BZ4" s="6">
        <f t="shared" ref="BZ4:BZ9" si="14">CE4/$CF$9</f>
        <v>7.2992700729927005E-3</v>
      </c>
      <c r="CA4" s="6">
        <f t="shared" ref="CA4:CA9" si="15">CF4/$CF$9</f>
        <v>0.10462287104622871</v>
      </c>
      <c r="CB4" s="249">
        <f>COUNTIFS('ENCUESTA PROPIETARIOS'!$G$7:$G$417,"&lt;35",'ENCUESTA PROPIETARIOS'!$N$7:$N$417,"1")</f>
        <v>22</v>
      </c>
      <c r="CC4" s="249">
        <f>COUNTIFS('ENCUESTA PROPIETARIOS'!$G$7:$G$417,"&lt;35",'ENCUESTA PROPIETARIOS'!$N$7:$N$417,"2")</f>
        <v>10</v>
      </c>
      <c r="CD4" s="249">
        <f>COUNTIFS('ENCUESTA PROPIETARIOS'!$G$7:$G$417,"&lt;35",'ENCUESTA PROPIETARIOS'!$N$7:$N$417,"3")+COUNTIFS('ENCUESTA PROPIETARIOS'!$G$7:$G$417,"&lt;35",'ENCUESTA PROPIETARIOS'!$N$7:$N$417,"4")+COUNTIFS('ENCUESTA PROPIETARIOS'!$G$7:$G$417,"&lt;35",'ENCUESTA PROPIETARIOS'!$N$7:$N$417,"5")</f>
        <v>8</v>
      </c>
      <c r="CE4" s="249">
        <f>COUNTIFS('ENCUESTA PROPIETARIOS'!$G$7:$G$417,"&lt;35",'ENCUESTA PROPIETARIOS'!$N$7:$N$417,"&gt;5")</f>
        <v>3</v>
      </c>
      <c r="CF4" s="249">
        <f>SUM(CB4:CE4)</f>
        <v>43</v>
      </c>
      <c r="CH4" s="17" t="s">
        <v>2601</v>
      </c>
      <c r="CI4" s="249">
        <f>COUNTIFS('ENCUESTA PROPIETARIOS'!$N$7:$N$417,"1",'ENCUESTA PROPIETARIOS'!$AL$7:$AL$417,"X")</f>
        <v>54</v>
      </c>
      <c r="CJ4" s="249">
        <f>COUNTIFS('ENCUESTA PROPIETARIOS'!$N$7:$N$417,"2",'ENCUESTA PROPIETARIOS'!$AL$7:$AL$417,"X")</f>
        <v>42</v>
      </c>
      <c r="CK4" s="249">
        <f>COUNTIFS('ENCUESTA PROPIETARIOS'!$N$7:$N$417,"3",'ENCUESTA PROPIETARIOS'!$AL$7:$AL$417,"X")+COUNTIFS('ENCUESTA PROPIETARIOS'!$N$7:$N$417,"4",'ENCUESTA PROPIETARIOS'!$AL$7:$AL$417,"X")+COUNTIFS('ENCUESTA PROPIETARIOS'!$N$7:$N$417,"5",'ENCUESTA PROPIETARIOS'!$AL$7:$AL$417,"X")</f>
        <v>59</v>
      </c>
      <c r="CL4" s="249">
        <f>COUNTIFS('ENCUESTA PROPIETARIOS'!$N$7:$N$417,"&gt;5",'ENCUESTA PROPIETARIOS'!$AL$7:$AL$417,"X")</f>
        <v>21</v>
      </c>
      <c r="CM4" s="249">
        <f>SUM(CI4:CL4)</f>
        <v>176</v>
      </c>
      <c r="CN4" s="249"/>
      <c r="CO4" s="249"/>
      <c r="CP4" s="249"/>
      <c r="CQ4" s="249"/>
      <c r="CR4" s="249"/>
      <c r="CT4" s="17" t="s">
        <v>2605</v>
      </c>
      <c r="CU4" s="6">
        <f>+CZ4/$DD$9</f>
        <v>9.9894847528916933E-2</v>
      </c>
      <c r="CV4" s="6">
        <f t="shared" ref="CV4:CV9" si="16">+DA4/$DD$9</f>
        <v>9.0431125131440596E-2</v>
      </c>
      <c r="CW4" s="6">
        <f t="shared" ref="CW4:CW9" si="17">+DB4/$DD$9</f>
        <v>0.21976866456361724</v>
      </c>
      <c r="CX4" s="6">
        <f t="shared" ref="CX4:CX9" si="18">+DC4/$DD$9</f>
        <v>0.20609884332281808</v>
      </c>
      <c r="CY4" s="6">
        <f t="shared" ref="CY4:CY9" si="19">+DD4/$DD$9</f>
        <v>0.6161934805467929</v>
      </c>
      <c r="CZ4" s="249">
        <f>COUNTIFS('DETALLES UNIDADES'!$BA$8:$BA$987,"1",'DETALLES UNIDADES'!$O$8:$O$987,"50%")</f>
        <v>95</v>
      </c>
      <c r="DA4" s="249">
        <f>COUNTIFS('DETALLES UNIDADES'!$BA$8:$BA$987,"2",'DETALLES UNIDADES'!$O$8:$O$987,"50%")</f>
        <v>86</v>
      </c>
      <c r="DB4" s="249">
        <f>COUNTIFS('DETALLES UNIDADES'!$BA$8:$BA$987,"3",'DETALLES UNIDADES'!$O$8:$O$987,"50%")+COUNTIFS('DETALLES UNIDADES'!$BA$8:$BA$987,"4",'DETALLES UNIDADES'!$O$8:$O$987,"50%")+COUNTIFS('DETALLES UNIDADES'!$BA$8:$BA$987,"5",'DETALLES UNIDADES'!$O$8:$O$987,"50%")</f>
        <v>209</v>
      </c>
      <c r="DC4" s="249">
        <f>COUNTIFS('DETALLES UNIDADES'!$BA$8:$BA$987,"&gt;5",'DETALLES UNIDADES'!$O$8:$O$987,"50%")</f>
        <v>196</v>
      </c>
      <c r="DD4" s="249">
        <f>SUM(CZ4:DC4)</f>
        <v>586</v>
      </c>
      <c r="DF4" s="17" t="s">
        <v>872</v>
      </c>
      <c r="DG4" s="6">
        <f>+DL4/DL$6</f>
        <v>9.9009900990099015E-2</v>
      </c>
      <c r="DH4" s="6">
        <f t="shared" ref="DH4:DK6" si="20">+DM4/DM$6</f>
        <v>0.18823529411764706</v>
      </c>
      <c r="DI4" s="6">
        <f t="shared" si="20"/>
        <v>0.5</v>
      </c>
      <c r="DJ4" s="6">
        <f t="shared" si="20"/>
        <v>0.8529411764705882</v>
      </c>
      <c r="DK4" s="6">
        <f t="shared" si="20"/>
        <v>0.26763990267639903</v>
      </c>
      <c r="DL4" s="249">
        <f>COUNTIFS('ENCUESTA PROPIETARIOS'!$N$7:$N$417,"1",'ENCUESTA PROPIETARIOS'!$BC$7:$BC$417,"X")</f>
        <v>20</v>
      </c>
      <c r="DM4" s="249">
        <f>COUNTIFS('ENCUESTA PROPIETARIOS'!$N$7:$N$417,"2",'ENCUESTA PROPIETARIOS'!$BC$7:$BC$417,"X")</f>
        <v>16</v>
      </c>
      <c r="DN4" s="249">
        <f>COUNTIFS('ENCUESTA PROPIETARIOS'!$N$7:$N$417,"3",'ENCUESTA PROPIETARIOS'!$BC$7:$BC$417,"X")+COUNTIFS('ENCUESTA PROPIETARIOS'!$N$7:$N$417,"4",'ENCUESTA PROPIETARIOS'!$BC$7:$BC$417,"X")+COUNTIFS('ENCUESTA PROPIETARIOS'!$N$7:$N$417,"5",'ENCUESTA PROPIETARIOS'!$BC$7:$BC$417,"X")</f>
        <v>45</v>
      </c>
      <c r="DO4" s="249">
        <f>COUNTIFS('ENCUESTA PROPIETARIOS'!$N$7:$N$417,"&gt;5",'ENCUESTA PROPIETARIOS'!$BC$7:$BC$417,"X")</f>
        <v>29</v>
      </c>
      <c r="DP4" s="249">
        <f>SUM(DL4:DO4)</f>
        <v>110</v>
      </c>
      <c r="DR4" s="150" t="s">
        <v>50</v>
      </c>
      <c r="DS4" s="6">
        <f>+DX4/DX$9</f>
        <v>0.48207171314741037</v>
      </c>
      <c r="DT4" s="6">
        <f t="shared" ref="DT4:DT9" si="21">+DY4/DY$9</f>
        <v>0.2846153846153846</v>
      </c>
      <c r="DU4" s="6">
        <f t="shared" ref="DU4:DU9" si="22">+DZ4/DZ$9</f>
        <v>0.32</v>
      </c>
      <c r="DV4" s="6">
        <f t="shared" ref="DV4:DV9" si="23">+EA4/EA$9</f>
        <v>0.22033898305084745</v>
      </c>
      <c r="DW4" s="6">
        <f t="shared" ref="DW4:DW9" si="24">+EB4/EB$9</f>
        <v>0.37118644067796608</v>
      </c>
      <c r="DX4" s="249">
        <f>COUNTIFS('ENCUESTA PROPIETARIOS'!$N$7:$N$417,"1",'ENCUESTA PROPIETARIOS'!$BD$7:$BD$417,"X")</f>
        <v>121</v>
      </c>
      <c r="DY4" s="249">
        <f>COUNTIFS('ENCUESTA PROPIETARIOS'!$N$7:$N$417,"2",'ENCUESTA PROPIETARIOS'!$BD$7:$BD$417,"X")</f>
        <v>37</v>
      </c>
      <c r="DZ4" s="249">
        <f>COUNTIFS('ENCUESTA PROPIETARIOS'!$N$7:$N$417,"3",'ENCUESTA PROPIETARIOS'!$BD$7:$BD$417,"X")+COUNTIFS('ENCUESTA PROPIETARIOS'!$N$7:$N$417,"4",'ENCUESTA PROPIETARIOS'!$BD$7:$BD$417,"X")+COUNTIFS('ENCUESTA PROPIETARIOS'!$N$7:$N$417,"5",'ENCUESTA PROPIETARIOS'!$BD$7:$BD$417,"X")</f>
        <v>48</v>
      </c>
      <c r="EA4" s="249">
        <f>COUNTIFS('ENCUESTA PROPIETARIOS'!$N$7:$N$417,"&gt;5",'ENCUESTA PROPIETARIOS'!$BD$7:$BD$417,"X")</f>
        <v>13</v>
      </c>
      <c r="EB4" s="249">
        <f>SUM(DX4:EA4)</f>
        <v>219</v>
      </c>
      <c r="ED4" s="11" t="s">
        <v>2658</v>
      </c>
      <c r="EE4" s="6">
        <f>+EM4/EM$11</f>
        <v>0.14423076923076922</v>
      </c>
      <c r="EF4" s="6">
        <f t="shared" ref="EF4:EF11" si="25">+EN4/EN$11</f>
        <v>0.2</v>
      </c>
      <c r="EG4" s="6">
        <f t="shared" ref="EG4:EG11" si="26">+EO4/EO$11</f>
        <v>0.11009174311926606</v>
      </c>
      <c r="EH4" s="6">
        <f t="shared" ref="EH4:EH11" si="27">+EP4/EP$11</f>
        <v>7.7551020408163265E-2</v>
      </c>
      <c r="EI4" s="6">
        <f t="shared" ref="EI4:EI11" si="28">+EQ4/EQ$11</f>
        <v>0.11486486486486487</v>
      </c>
      <c r="EJ4" s="6">
        <f t="shared" ref="EJ4:EJ11" si="29">+ER4/ER$11</f>
        <v>0.10714285714285714</v>
      </c>
      <c r="EK4" s="6">
        <f t="shared" ref="EK4:EK11" si="30">+ES4/ES$11</f>
        <v>0.13</v>
      </c>
      <c r="EL4" s="6">
        <f t="shared" ref="EL4:EL11" si="31">+ET4/ET$11</f>
        <v>0.11224489795918367</v>
      </c>
      <c r="EM4" s="249">
        <f>COUNTIFS('DETALLES UNIDADES'!$BC$8:$BC$987,"&lt;1991",'DETALLES UNIDADES'!$AN$8:$AN$987,"&lt;10000")</f>
        <v>15</v>
      </c>
      <c r="EN4" s="249">
        <f>COUNTIFS('DETALLES UNIDADES'!$BC$8:$BC$987,"&lt;1994",'DETALLES UNIDADES'!$AN$8:$AN$987,"&lt;10000")-EM4</f>
        <v>10</v>
      </c>
      <c r="EO4" s="249">
        <f>COUNTIFS('DETALLES UNIDADES'!$BC$8:$BC$987,"&lt;1998",'DETALLES UNIDADES'!$AN$8:$AN$987,"&lt;10000")-EN4-EM4</f>
        <v>12</v>
      </c>
      <c r="EP4" s="249">
        <f>COUNTIFS('DETALLES UNIDADES'!$BC$8:$BC$987,"&lt;2004",'DETALLES UNIDADES'!$AN$8:$AN$987,"&lt;10000")-EO4-EN4-EM4</f>
        <v>19</v>
      </c>
      <c r="EQ4" s="249">
        <f>COUNTIFS('DETALLES UNIDADES'!$BC$8:$BC$987,"&lt;2007",'DETALLES UNIDADES'!$AN$8:$AN$987,"&lt;10000")-EP4-EO4-EN4-EM4</f>
        <v>17</v>
      </c>
      <c r="ER4" s="249">
        <f>COUNTIFS('DETALLES UNIDADES'!$BC$8:$BC$987,"&lt;2011",'DETALLES UNIDADES'!$AN$8:$AN$987,"&lt;10000")-EQ4-EP4-EO4-EN4-EM4</f>
        <v>24</v>
      </c>
      <c r="ES4" s="249">
        <f>COUNTIFS('DETALLES UNIDADES'!$BC$8:$BC$987,"&gt;2010",'DETALLES UNIDADES'!$AN$8:$AN$987,"&lt;10000")</f>
        <v>13</v>
      </c>
      <c r="ET4" s="249">
        <f t="shared" ref="ET4:ET10" si="32">SUM(EM4:ES4)</f>
        <v>110</v>
      </c>
      <c r="EV4" s="137" t="s">
        <v>877</v>
      </c>
      <c r="EW4" s="6">
        <f>+FB4/FB$11</f>
        <v>0.39080459770114945</v>
      </c>
      <c r="EX4" s="6">
        <f t="shared" ref="EX4:EX11" si="33">+FC4/FC$11</f>
        <v>0.29104477611940299</v>
      </c>
      <c r="EY4" s="6">
        <f t="shared" ref="EY4:EY11" si="34">+FD4/FD$11</f>
        <v>0.29032258064516131</v>
      </c>
      <c r="EZ4" s="6">
        <f t="shared" ref="EZ4:EZ11" si="35">+FE4/FE$11</f>
        <v>0.37037037037037035</v>
      </c>
      <c r="FA4" s="6">
        <f t="shared" ref="FA4:FA11" si="36">+FF4/FF$11</f>
        <v>0.34105960264900664</v>
      </c>
      <c r="FB4" s="249">
        <f>COUNTIFS('ENCUESTA PROPIETARIOS'!$N$7:$N$417,"1",'ENCUESTA PROPIETARIOS'!$BR$7:$BR$417,"X")</f>
        <v>102</v>
      </c>
      <c r="FC4" s="249">
        <f>COUNTIFS('ENCUESTA PROPIETARIOS'!$N$7:$N$417,"2",'ENCUESTA PROPIETARIOS'!$BR$7:$BR$417,"X")</f>
        <v>39</v>
      </c>
      <c r="FD4" s="249">
        <f>COUNTIFS('ENCUESTA PROPIETARIOS'!$N$7:$N$417,"3",'ENCUESTA PROPIETARIOS'!$BR$7:$BR$417,"X")+COUNTIFS('ENCUESTA PROPIETARIOS'!$N$7:$N$417,"4",'ENCUESTA PROPIETARIOS'!$BR$7:$BR$417,"X")+COUNTIFS('ENCUESTA PROPIETARIOS'!$N$7:$N$417,"5",'ENCUESTA PROPIETARIOS'!$BR$7:$BR$417,"X")</f>
        <v>45</v>
      </c>
      <c r="FE4" s="249">
        <f>COUNTIFS('ENCUESTA PROPIETARIOS'!$N$7:$N$417,"&gt;5",'ENCUESTA PROPIETARIOS'!$BR$7:$BR$417,"X")</f>
        <v>20</v>
      </c>
      <c r="FF4" s="249">
        <f t="shared" ref="FF4:FF10" si="37">SUM(FB4:FE4)</f>
        <v>206</v>
      </c>
      <c r="FM4" s="11" t="s">
        <v>2534</v>
      </c>
      <c r="FN4" s="6">
        <f>+FS4/$FW$11</f>
        <v>1.5306122448979591E-2</v>
      </c>
      <c r="FO4" s="6">
        <f t="shared" ref="FO4:FO11" si="38">+FT4/$FW$11</f>
        <v>4.6938775510204082E-2</v>
      </c>
      <c r="FP4" s="6">
        <f t="shared" ref="FP4:FP11" si="39">+FU4/$FW$11</f>
        <v>0</v>
      </c>
      <c r="FQ4" s="6">
        <f t="shared" ref="FQ4:FQ11" si="40">+FV4/$FW$11</f>
        <v>4.3877551020408162E-2</v>
      </c>
      <c r="FR4" s="6">
        <f t="shared" ref="FR4:FR11" si="41">+FW4/$FW$11</f>
        <v>0.10612244897959183</v>
      </c>
      <c r="FS4" s="249">
        <f>COUNTIFS('DETALLES UNIDADES'!$C$8:$C$987,"C2",'DETALLES UNIDADES'!$BC$8:$BC$987,"&lt;1991")</f>
        <v>15</v>
      </c>
      <c r="FT4" s="249">
        <f>COUNTIFS('DETALLES UNIDADES'!$C$8:$C$987,"C3",'DETALLES UNIDADES'!$BC$8:$BC$987,"&lt;1991")</f>
        <v>46</v>
      </c>
      <c r="FU4" s="249">
        <f>COUNTIFS('DETALLES UNIDADES'!$C$8:$C$987,"T2",'DETALLES UNIDADES'!$BC$8:$BC$987,"&lt;1991")</f>
        <v>0</v>
      </c>
      <c r="FV4" s="249">
        <f>COUNTIFS('DETALLES UNIDADES'!$C$8:$C$987,"T3",'DETALLES UNIDADES'!$BC$8:$BC$987,"&lt;1991")</f>
        <v>43</v>
      </c>
      <c r="FW4" s="249">
        <f t="shared" ref="FW4:FW10" si="42">SUM(FS4:FV4)</f>
        <v>104</v>
      </c>
      <c r="FY4" s="11" t="s">
        <v>11</v>
      </c>
      <c r="FZ4" s="121">
        <f>+GA4/$GA$12</f>
        <v>0.35462555066079293</v>
      </c>
      <c r="GA4" s="11">
        <f>SUM('ENCUESTA PROPIETARIOS'!$O$7:$O$417)</f>
        <v>483</v>
      </c>
      <c r="GB4" s="11">
        <f>SUM('ENCUESTA PROPIETARIOS'!$O$7:$O$417)</f>
        <v>483</v>
      </c>
      <c r="GC4" s="249">
        <f>+'[1]ENCUESTA CONDUCTORES'!$U$461</f>
        <v>243</v>
      </c>
      <c r="GE4" s="11" t="s">
        <v>2375</v>
      </c>
      <c r="GF4" s="6">
        <f t="shared" ref="GF4:GF9" si="43">+GG4/$GG$9</f>
        <v>0.20574162679425836</v>
      </c>
      <c r="GG4" s="249">
        <f>COUNTIFS('DETALLES UNIDADES'!$C$8:$C$987,"C2",'DETALLES UNIDADES'!$R$8:$R$987,"&lt;5001")-GG3</f>
        <v>43</v>
      </c>
      <c r="GK4" s="11"/>
      <c r="GL4" s="6"/>
      <c r="GM4" s="249"/>
    </row>
    <row r="5" spans="1:195" x14ac:dyDescent="0.25">
      <c r="B5" s="249" t="s">
        <v>348</v>
      </c>
      <c r="C5" s="189">
        <f>+H5/$L$9</f>
        <v>4.2857142857142858E-2</v>
      </c>
      <c r="D5" s="189">
        <f t="shared" ref="D5:D9" si="44">+I5/$L$9</f>
        <v>5.3061224489795916E-2</v>
      </c>
      <c r="E5" s="189">
        <f t="shared" ref="E5:E9" si="45">+J5/$L$9</f>
        <v>7.040816326530612E-2</v>
      </c>
      <c r="F5" s="189">
        <f t="shared" ref="F5:F9" si="46">+K5/$L$9</f>
        <v>4.7959183673469387E-2</v>
      </c>
      <c r="G5" s="189">
        <f t="shared" ref="G5:G9" si="47">+L5/$L$9</f>
        <v>0.21428571428571427</v>
      </c>
      <c r="H5" s="249">
        <f>COUNTIFS('DETALLES UNIDADES'!$C$8:$C$987,"C2",'DETALLES UNIDADES'!$BA$8:$BA$987,"1")</f>
        <v>42</v>
      </c>
      <c r="I5" s="249">
        <f>COUNTIFS('DETALLES UNIDADES'!$C$8:$C$987,"C2",'DETALLES UNIDADES'!$BA$8:$BA$987,"2")</f>
        <v>52</v>
      </c>
      <c r="J5" s="249">
        <f>COUNTIFS('DETALLES UNIDADES'!$C$8:$C$987,"C2",'DETALLES UNIDADES'!$BA$8:$BA$987,"&lt;6")-I5-H5</f>
        <v>69</v>
      </c>
      <c r="K5" s="249">
        <f>COUNTIFS('DETALLES UNIDADES'!$C$8:$C$987,"C2",'DETALLES UNIDADES'!$BA$8:$BA$987,"&gt;5")</f>
        <v>47</v>
      </c>
      <c r="L5" s="249">
        <f>SUM(H5:K5)</f>
        <v>210</v>
      </c>
      <c r="M5" s="249"/>
      <c r="N5" s="9" t="s">
        <v>348</v>
      </c>
      <c r="O5" s="252">
        <f>+S5/$V$9</f>
        <v>0.13469387755102041</v>
      </c>
      <c r="P5" s="252">
        <f t="shared" ref="P5:P9" si="48">+T5/$V$9</f>
        <v>7.2448979591836729E-2</v>
      </c>
      <c r="Q5" s="252">
        <f t="shared" ref="Q5:Q9" si="49">+U5/$V$9</f>
        <v>7.1428571428571426E-3</v>
      </c>
      <c r="R5" s="252">
        <f t="shared" ref="R5:R9" si="50">+V5/$V$9</f>
        <v>0.21428571428571427</v>
      </c>
      <c r="S5" s="253">
        <f>COUNTIFS('DETALLES UNIDADES'!$C$8:$C$987,"C2",'DETALLES UNIDADES'!$S$8:$S$987,"D")</f>
        <v>132</v>
      </c>
      <c r="T5" s="253">
        <f>COUNTIFS('DETALLES UNIDADES'!$C$8:$C$987,"C2",'DETALLES UNIDADES'!$S$8:$S$987,"G")</f>
        <v>71</v>
      </c>
      <c r="U5" s="253">
        <f>COUNTIFS('DETALLES UNIDADES'!$C$8:$C$987,"C2",'DETALLES UNIDADES'!$S$8:$S$987,"GAS")</f>
        <v>7</v>
      </c>
      <c r="V5" s="161">
        <f>SUM(S5:U5)</f>
        <v>210</v>
      </c>
      <c r="W5" s="9"/>
      <c r="X5" s="19" t="s">
        <v>1719</v>
      </c>
      <c r="Y5" s="254">
        <f>+Z5/$Z$13</f>
        <v>4.6666666666666669E-2</v>
      </c>
      <c r="Z5" s="9">
        <f>COUNTIFS('DETALLES UNIDADES'!$S$8:$S$987,"D",'DETALLES UNIDADES'!$T$8:$T$987,"&lt;1.6")</f>
        <v>42</v>
      </c>
      <c r="AK5" s="11" t="s">
        <v>2536</v>
      </c>
      <c r="AL5" s="6">
        <f t="shared" si="4"/>
        <v>1.8367346938775512E-2</v>
      </c>
      <c r="AM5" s="6">
        <f t="shared" si="0"/>
        <v>3.6734693877551024E-2</v>
      </c>
      <c r="AN5" s="6">
        <f t="shared" si="1"/>
        <v>5.1020408163265302E-3</v>
      </c>
      <c r="AO5" s="6">
        <f t="shared" si="2"/>
        <v>5.1020408163265307E-2</v>
      </c>
      <c r="AP5" s="6">
        <f t="shared" si="3"/>
        <v>0.11122448979591837</v>
      </c>
      <c r="AQ5" s="249">
        <f>COUNTIFS('DETALLES UNIDADES'!$C$8:$C$987,AQ$2,'DETALLES UNIDADES'!$BC$8:$BC$987,"&lt;1998")-AQ4-AQ3</f>
        <v>18</v>
      </c>
      <c r="AR5" s="249">
        <f>COUNTIFS('DETALLES UNIDADES'!$C$8:$C$987,AR$2,'DETALLES UNIDADES'!$BC$8:$BC$987,"&lt;1998")-AR4-AR3</f>
        <v>36</v>
      </c>
      <c r="AS5" s="249">
        <f>COUNTIFS('DETALLES UNIDADES'!$C$8:$C$987,AS$2,'DETALLES UNIDADES'!$BC$8:$BC$987,"&lt;1998")-AS4-AS3</f>
        <v>5</v>
      </c>
      <c r="AT5" s="249">
        <f>COUNTIFS('DETALLES UNIDADES'!$C$8:$C$987,AT$2,'DETALLES UNIDADES'!$BC$8:$BC$987,"&lt;1998")-AT4-AT3</f>
        <v>50</v>
      </c>
      <c r="AU5" s="249">
        <f t="shared" ref="AU5:AU10" si="51">SUM(AQ5:AT5)</f>
        <v>109</v>
      </c>
      <c r="AV5" s="17">
        <v>109</v>
      </c>
      <c r="BD5" s="112" t="s">
        <v>1716</v>
      </c>
      <c r="BE5" s="6">
        <f t="shared" ref="BE5:BE11" si="52">+BM5/$BT$11</f>
        <v>8.2389289392378988E-3</v>
      </c>
      <c r="BF5" s="6">
        <f t="shared" si="5"/>
        <v>3.089598352214212E-3</v>
      </c>
      <c r="BG5" s="6">
        <f t="shared" si="6"/>
        <v>1.9567456230690009E-2</v>
      </c>
      <c r="BH5" s="6">
        <f t="shared" si="7"/>
        <v>1.7507723995880537E-2</v>
      </c>
      <c r="BI5" s="6">
        <f t="shared" si="8"/>
        <v>3.1925849639546859E-2</v>
      </c>
      <c r="BJ5" s="6">
        <f t="shared" si="9"/>
        <v>9.577754891864057E-2</v>
      </c>
      <c r="BK5" s="6">
        <f t="shared" si="10"/>
        <v>9.2687950566426366E-3</v>
      </c>
      <c r="BL5" s="6">
        <f t="shared" si="11"/>
        <v>0.18537590113285274</v>
      </c>
      <c r="BM5" s="138">
        <f>COUNTIFS('DETALLES UNIDADES'!$J$8:$J$987,"&lt;500001",'DETALLES UNIDADES'!$D$8:$D$987,"&lt;1991")-BM4</f>
        <v>8</v>
      </c>
      <c r="BN5" s="138">
        <f>COUNTIFS('DETALLES UNIDADES'!$J$8:$J$987,"&lt;500001",'DETALLES UNIDADES'!$D$8:$D$987,"&lt;1994")-BM5-BN4-BM4</f>
        <v>3</v>
      </c>
      <c r="BO5" s="138">
        <f>COUNTIFS('DETALLES UNIDADES'!$J$8:$J$987,"&lt;500001",'DETALLES UNIDADES'!$D$8:$D$987,"&lt;1998")-BN5-BM5-BO4-BN4-BM4</f>
        <v>19</v>
      </c>
      <c r="BP5" s="138">
        <f>COUNTIFS('DETALLES UNIDADES'!$J$8:$J$987,"&lt;500001",'DETALLES UNIDADES'!$D$8:$D$987,"&lt;2004")-BO5-BN5-BM5-BP4-BO4-BN4-BM4</f>
        <v>17</v>
      </c>
      <c r="BQ5" s="138">
        <f>COUNTIFS('DETALLES UNIDADES'!$J$8:$J$987,"&lt;500001",'DETALLES UNIDADES'!$D$8:$D$987,"&lt;2007")-BP5-BO5-BN5-BM5-BQ4-BP4-BO4-BN4-BM4</f>
        <v>31</v>
      </c>
      <c r="BR5" s="138">
        <f>COUNTIFS('DETALLES UNIDADES'!$J$8:$J$987,"&lt;500001",'DETALLES UNIDADES'!$D$8:$D$987,"&lt;2011")-BQ5-BP5-BO5-BN5-BM5-BR4-BQ4-BP4-BO4-BN4-BM4</f>
        <v>93</v>
      </c>
      <c r="BS5" s="138">
        <f>COUNTIFS('DETALLES UNIDADES'!$J$8:$J$987,"&lt;500001",'DETALLES UNIDADES'!$D$8:$D$987,"&gt;2010")-BS4</f>
        <v>9</v>
      </c>
      <c r="BT5" s="249">
        <f t="shared" ref="BT5:BT11" si="53">SUM(BM5:BS5)</f>
        <v>180</v>
      </c>
      <c r="BV5" s="17" t="s">
        <v>2590</v>
      </c>
      <c r="BW5" s="6">
        <f t="shared" ref="BW5:BW9" si="54">CB5/$CF$9</f>
        <v>0.13868613138686131</v>
      </c>
      <c r="BX5" s="6">
        <f t="shared" si="12"/>
        <v>7.2992700729927001E-2</v>
      </c>
      <c r="BY5" s="6">
        <f t="shared" si="13"/>
        <v>8.5158150851581502E-2</v>
      </c>
      <c r="BZ5" s="6">
        <f t="shared" si="14"/>
        <v>1.4598540145985401E-2</v>
      </c>
      <c r="CA5" s="6">
        <f t="shared" si="15"/>
        <v>0.31143552311435524</v>
      </c>
      <c r="CB5" s="249">
        <f>COUNTIFS('ENCUESTA PROPIETARIOS'!$G$7:$G$417,"&lt;46",'ENCUESTA PROPIETARIOS'!$N$7:$N$417,"1")-CB4</f>
        <v>57</v>
      </c>
      <c r="CC5" s="249">
        <f>COUNTIFS('ENCUESTA PROPIETARIOS'!$G$7:$G$417,"&lt;46",'ENCUESTA PROPIETARIOS'!$N$7:$N$417,"2")-CC4</f>
        <v>30</v>
      </c>
      <c r="CD5" s="249">
        <f>COUNTIFS('ENCUESTA PROPIETARIOS'!$G$7:$G$417,"&lt;46",'ENCUESTA PROPIETARIOS'!$N$7:$N$417,"3")+COUNTIFS('ENCUESTA PROPIETARIOS'!$G$7:$G$417,"&lt;46",'ENCUESTA PROPIETARIOS'!$N$7:$N$417,"4")+COUNTIFS('ENCUESTA PROPIETARIOS'!$G$7:$G$417,"&lt;46",'ENCUESTA PROPIETARIOS'!$N$7:$N$417,"5")-CD4</f>
        <v>35</v>
      </c>
      <c r="CE5" s="249">
        <f>COUNTIFS('ENCUESTA PROPIETARIOS'!$G$7:$G$417,"&lt;46",'ENCUESTA PROPIETARIOS'!$N$7:$N$417,"&gt;5")-CE4</f>
        <v>6</v>
      </c>
      <c r="CF5" s="249">
        <f>SUM(CB5:CE5)</f>
        <v>128</v>
      </c>
      <c r="CH5" s="137" t="s">
        <v>31</v>
      </c>
      <c r="CI5" s="249">
        <f>COUNTIFS('ENCUESTA PROPIETARIOS'!$N$7:$N$417,"1",'ENCUESTA PROPIETARIOS'!$AM$7:$AM$417,"X")</f>
        <v>148</v>
      </c>
      <c r="CJ5" s="249">
        <f>COUNTIFS('ENCUESTA PROPIETARIOS'!$N$7:$N$417,"2",'ENCUESTA PROPIETARIOS'!$AM$7:$AM$417,"X")</f>
        <v>46</v>
      </c>
      <c r="CK5" s="249">
        <f>COUNTIFS('ENCUESTA PROPIETARIOS'!$N$7:$N$417,"3",'ENCUESTA PROPIETARIOS'!$AM$7:$AM$417,"X")+COUNTIFS('ENCUESTA PROPIETARIOS'!$N$7:$N$417,"4",'ENCUESTA PROPIETARIOS'!$AM$7:$AM$417,"X")+COUNTIFS('ENCUESTA PROPIETARIOS'!$N$7:$N$417,"5",'ENCUESTA PROPIETARIOS'!$AM$7:$AM$417,"X")</f>
        <v>32</v>
      </c>
      <c r="CL5" s="249">
        <f>COUNTIFS('ENCUESTA PROPIETARIOS'!$N$7:$N$417,"&gt;5",'ENCUESTA PROPIETARIOS'!$AM$7:$AM$417,"X")</f>
        <v>17</v>
      </c>
      <c r="CM5" s="249">
        <f t="shared" ref="CM5:CM8" si="55">SUM(CI5:CL5)</f>
        <v>243</v>
      </c>
      <c r="CN5" s="249"/>
      <c r="CO5" s="249"/>
      <c r="CP5" s="249"/>
      <c r="CQ5" s="249"/>
      <c r="CR5" s="249"/>
      <c r="CT5" s="17" t="s">
        <v>2606</v>
      </c>
      <c r="CU5" s="6">
        <f t="shared" ref="CU5:CU9" si="56">+CZ5/$DD$9</f>
        <v>2.1030494216614092E-2</v>
      </c>
      <c r="CV5" s="6">
        <f t="shared" si="16"/>
        <v>1.4721345951629864E-2</v>
      </c>
      <c r="CW5" s="6">
        <f t="shared" si="17"/>
        <v>5.993690851735016E-2</v>
      </c>
      <c r="CX5" s="6">
        <f t="shared" si="18"/>
        <v>2.9442691903259727E-2</v>
      </c>
      <c r="CY5" s="6">
        <f t="shared" si="19"/>
        <v>0.12513144058885384</v>
      </c>
      <c r="CZ5" s="249">
        <f>COUNTIFS('DETALLES UNIDADES'!$BA$8:$BA$987,"1",'DETALLES UNIDADES'!$O$8:$O$987,"&lt;40%")-CZ6-CZ7-CZ8</f>
        <v>20</v>
      </c>
      <c r="DA5" s="249">
        <f>COUNTIFS('DETALLES UNIDADES'!$BA$8:$BA$987,"2",'DETALLES UNIDADES'!$O$8:$O$987,"&lt;40%")-DA6-DA7-DA8</f>
        <v>14</v>
      </c>
      <c r="DB5" s="249">
        <f>COUNTIFS('DETALLES UNIDADES'!$BA$8:$BA$987,"3",'DETALLES UNIDADES'!$O$8:$O$987,"&lt;40%")+COUNTIFS('DETALLES UNIDADES'!$BA$8:$BA$987,"4",'DETALLES UNIDADES'!$O$8:$O$987,"&lt;40%")+COUNTIFS('DETALLES UNIDADES'!$BA$8:$BA$987,"5",'DETALLES UNIDADES'!$O$8:$O$987,"&lt;40%")-DB6-DB7-DB8</f>
        <v>57</v>
      </c>
      <c r="DC5" s="249">
        <f>COUNTIFS('DETALLES UNIDADES'!$BA$8:$BA$987,"&gt;5",'DETALLES UNIDADES'!$O$8:$O$987,"&lt;40%")-DC6-DC7-DC8</f>
        <v>28</v>
      </c>
      <c r="DD5" s="249">
        <f t="shared" ref="DD5:DD8" si="57">SUM(CZ5:DC5)</f>
        <v>119</v>
      </c>
      <c r="DF5" s="17" t="s">
        <v>860</v>
      </c>
      <c r="DG5" s="6">
        <f t="shared" ref="DG5:DG6" si="58">+DL5/DL$6</f>
        <v>0.90099009900990101</v>
      </c>
      <c r="DH5" s="6">
        <f t="shared" si="20"/>
        <v>0.81176470588235294</v>
      </c>
      <c r="DI5" s="6">
        <f t="shared" si="20"/>
        <v>0.5</v>
      </c>
      <c r="DJ5" s="6">
        <f t="shared" si="20"/>
        <v>0.14705882352941177</v>
      </c>
      <c r="DK5" s="6">
        <f t="shared" si="20"/>
        <v>0.73236009732360097</v>
      </c>
      <c r="DL5" s="249">
        <f>COUNTIFS('ENCUESTA PROPIETARIOS'!$N$7:$N$417,"1",'ENCUESTA PROPIETARIOS'!$BB$7:$BB$417,"X")</f>
        <v>182</v>
      </c>
      <c r="DM5" s="249">
        <f>COUNTIFS('ENCUESTA PROPIETARIOS'!$N$7:$N$417,"2",'ENCUESTA PROPIETARIOS'!$BB$7:$BB$417,"X")</f>
        <v>69</v>
      </c>
      <c r="DN5" s="249">
        <f>COUNTIFS('ENCUESTA PROPIETARIOS'!$N$7:$N$417,"3",'ENCUESTA PROPIETARIOS'!$BB$7:$BB$417,"X")+COUNTIFS('ENCUESTA PROPIETARIOS'!$N$7:$N$417,"4",'ENCUESTA PROPIETARIOS'!$BB$7:$BB$417,"X")+COUNTIFS('ENCUESTA PROPIETARIOS'!$N$7:$N$417,"5",'ENCUESTA PROPIETARIOS'!$BB$7:$BB$417,"X")</f>
        <v>45</v>
      </c>
      <c r="DO5" s="249">
        <f>COUNTIFS('ENCUESTA PROPIETARIOS'!$N$7:$N$417,"&gt;5",'ENCUESTA PROPIETARIOS'!$BB$7:$BB$417,"X")</f>
        <v>5</v>
      </c>
      <c r="DP5" s="249">
        <f>SUM(DL5:DO5)</f>
        <v>301</v>
      </c>
      <c r="DR5" s="151" t="s">
        <v>1669</v>
      </c>
      <c r="DS5" s="6">
        <f t="shared" ref="DS5:DS9" si="59">+DX5/DX$9</f>
        <v>0.16334661354581673</v>
      </c>
      <c r="DT5" s="6">
        <f t="shared" si="21"/>
        <v>0.15384615384615385</v>
      </c>
      <c r="DU5" s="6">
        <f t="shared" si="22"/>
        <v>0.13333333333333333</v>
      </c>
      <c r="DV5" s="6">
        <f t="shared" si="23"/>
        <v>0.10169491525423729</v>
      </c>
      <c r="DW5" s="6">
        <f t="shared" si="24"/>
        <v>0.14745762711864407</v>
      </c>
      <c r="DX5" s="249">
        <f>COUNTIFS('ENCUESTA PROPIETARIOS'!$N$7:$N$417,"1",'ENCUESTA PROPIETARIOS'!$BE$7:$BE$417,"X")+COUNTIFS('ENCUESTA PROPIETARIOS'!$N$7:$N$417,"1",'ENCUESTA PROPIETARIOS'!$BL$7:$BL$417,"X")</f>
        <v>41</v>
      </c>
      <c r="DY5" s="249">
        <f>COUNTIFS('ENCUESTA PROPIETARIOS'!$N$7:$N$417,"2",'ENCUESTA PROPIETARIOS'!$BE$7:$BE$417,"X")+COUNTIFS('ENCUESTA PROPIETARIOS'!$N$7:$N$417,"2",'ENCUESTA PROPIETARIOS'!$BL$7:$BL$417,"X")</f>
        <v>20</v>
      </c>
      <c r="DZ5" s="249">
        <f>COUNTIFS('ENCUESTA PROPIETARIOS'!$N$7:$N$417,"3",'ENCUESTA PROPIETARIOS'!$BE$7:$BE$417,"X")+COUNTIFS('ENCUESTA PROPIETARIOS'!$N$7:$N$417,"4",'ENCUESTA PROPIETARIOS'!$BE$7:$BE$417,"X")+COUNTIFS('ENCUESTA PROPIETARIOS'!$N$7:$N$417,"5",'ENCUESTA PROPIETARIOS'!$BE$7:$BE$417,"X")+COUNTIFS('ENCUESTA PROPIETARIOS'!$N$7:$N$417,"3",'ENCUESTA PROPIETARIOS'!$BL$7:$BL$417,"X")+COUNTIFS('ENCUESTA PROPIETARIOS'!$N$7:$N$417,"4",'ENCUESTA PROPIETARIOS'!$BL$7:$BL$417,"X")+COUNTIFS('ENCUESTA PROPIETARIOS'!$N$7:$N$417,"5",'ENCUESTA PROPIETARIOS'!$BL$7:$BL$417,"X")</f>
        <v>20</v>
      </c>
      <c r="EA5" s="249">
        <f>COUNTIFS('ENCUESTA PROPIETARIOS'!$N$7:$N$417,"&gt;5",'ENCUESTA PROPIETARIOS'!$BE$7:$BE$417,"X")+COUNTIFS('ENCUESTA PROPIETARIOS'!$N$7:$N$417,"&gt;5",'ENCUESTA PROPIETARIOS'!$BL$7:$BL$417,"X")</f>
        <v>6</v>
      </c>
      <c r="EB5" s="249">
        <f>SUM(DX5:EA5)</f>
        <v>87</v>
      </c>
      <c r="ED5" s="17" t="s">
        <v>2659</v>
      </c>
      <c r="EE5" s="6">
        <f t="shared" ref="EE5:EE11" si="60">+EM5/EM$11</f>
        <v>0.42307692307692307</v>
      </c>
      <c r="EF5" s="6">
        <f t="shared" si="25"/>
        <v>0.2</v>
      </c>
      <c r="EG5" s="6">
        <f t="shared" si="26"/>
        <v>0.21100917431192662</v>
      </c>
      <c r="EH5" s="6">
        <f t="shared" si="27"/>
        <v>0.22448979591836735</v>
      </c>
      <c r="EI5" s="6">
        <f t="shared" si="28"/>
        <v>0.27702702702702703</v>
      </c>
      <c r="EJ5" s="6">
        <f t="shared" si="29"/>
        <v>0.2857142857142857</v>
      </c>
      <c r="EK5" s="6">
        <f t="shared" si="30"/>
        <v>0.41</v>
      </c>
      <c r="EL5" s="6">
        <f t="shared" si="31"/>
        <v>0.28367346938775512</v>
      </c>
      <c r="EM5" s="249">
        <f>COUNTIFS('DETALLES UNIDADES'!$BC$8:$BC$987,"&lt;1991",'DETALLES UNIDADES'!$AN$8:$AN$987,"&lt;15001")-EM4</f>
        <v>44</v>
      </c>
      <c r="EN5" s="249">
        <f>COUNTIFS('DETALLES UNIDADES'!$BC$8:$BC$987,"&lt;1994",'DETALLES UNIDADES'!$AN$8:$AN$987,"&lt;15001")-EM5-EN4-EM4</f>
        <v>10</v>
      </c>
      <c r="EO5" s="249">
        <f>COUNTIFS('DETALLES UNIDADES'!$BC$8:$BC$987,"&lt;1998",'DETALLES UNIDADES'!$AN$8:$AN$987,"&lt;15001")-EN5-EM5-EO4-EN4-EM4</f>
        <v>23</v>
      </c>
      <c r="EP5" s="249">
        <f>COUNTIFS('DETALLES UNIDADES'!$BC$8:$BC$987,"&lt;2004",'DETALLES UNIDADES'!$AN$8:$AN$987,"&lt;15001")-EO5-EN5-EM5-EP4-EO4-EN4-EM4</f>
        <v>55</v>
      </c>
      <c r="EQ5" s="249">
        <f>COUNTIFS('DETALLES UNIDADES'!$BC$8:$BC$987,"&lt;2007",'DETALLES UNIDADES'!$AN$8:$AN$987,"&lt;15001")-EP5-EO5-EN5-EM5-EQ4-EP4-EO4-EN4-EM4</f>
        <v>41</v>
      </c>
      <c r="ER5" s="249">
        <f>COUNTIFS('DETALLES UNIDADES'!$BC$8:$BC$987,"&lt;2011",'DETALLES UNIDADES'!$AN$8:$AN$987,"&lt;15001")-EQ5-EP5-EO5-EN5-EM5-ER4-EQ4-EP4-EO4-EN4-EM4</f>
        <v>64</v>
      </c>
      <c r="ES5" s="249">
        <f>COUNTIFS('DETALLES UNIDADES'!$BC$8:$BC$987,"&gt;2010",'DETALLES UNIDADES'!$AN$8:$AN$987,"&lt;15001")-ES4</f>
        <v>41</v>
      </c>
      <c r="ET5" s="249">
        <f t="shared" si="32"/>
        <v>278</v>
      </c>
      <c r="EV5" s="137" t="s">
        <v>60</v>
      </c>
      <c r="EW5" s="6">
        <f t="shared" ref="EW5:EW11" si="61">+FB5/FB$11</f>
        <v>0.1417624521072797</v>
      </c>
      <c r="EX5" s="6">
        <f t="shared" si="33"/>
        <v>0.11940298507462686</v>
      </c>
      <c r="EY5" s="6">
        <f t="shared" si="34"/>
        <v>7.7419354838709681E-2</v>
      </c>
      <c r="EZ5" s="6">
        <f t="shared" si="35"/>
        <v>0.12962962962962962</v>
      </c>
      <c r="FA5" s="6">
        <f t="shared" si="36"/>
        <v>0.11920529801324503</v>
      </c>
      <c r="FB5" s="249">
        <f>COUNTIFS('ENCUESTA PROPIETARIOS'!$N$7:$N$417,"1",'ENCUESTA PROPIETARIOS'!$BS$7:$BS$417,"X")</f>
        <v>37</v>
      </c>
      <c r="FC5" s="249">
        <f>COUNTIFS('ENCUESTA PROPIETARIOS'!$N$7:$N$417,"2",'ENCUESTA PROPIETARIOS'!$BS$7:$BS$417,"X")</f>
        <v>16</v>
      </c>
      <c r="FD5" s="249">
        <f>COUNTIFS('ENCUESTA PROPIETARIOS'!$N$7:$N$417,"3",'ENCUESTA PROPIETARIOS'!$BS$7:$BS$417,"X")+COUNTIFS('ENCUESTA PROPIETARIOS'!$N$7:$N$417,"4",'ENCUESTA PROPIETARIOS'!$BS$7:$BS$417,"X")+COUNTIFS('ENCUESTA PROPIETARIOS'!$N$7:$N$417,"5",'ENCUESTA PROPIETARIOS'!$BS$7:$BS$417,"X")</f>
        <v>12</v>
      </c>
      <c r="FE5" s="249">
        <f>COUNTIFS('ENCUESTA PROPIETARIOS'!$N$7:$N$417,"&gt;5",'ENCUESTA PROPIETARIOS'!$BS$7:$BS$417,"X")</f>
        <v>7</v>
      </c>
      <c r="FF5" s="249">
        <f t="shared" si="37"/>
        <v>72</v>
      </c>
      <c r="FM5" s="11" t="s">
        <v>2535</v>
      </c>
      <c r="FN5" s="6">
        <f t="shared" ref="FN5:FN11" si="62">+FS5/$FW$11</f>
        <v>1.4285714285714285E-2</v>
      </c>
      <c r="FO5" s="6">
        <f t="shared" si="38"/>
        <v>7.1428571428571426E-3</v>
      </c>
      <c r="FP5" s="6">
        <f t="shared" si="39"/>
        <v>1.0204081632653062E-3</v>
      </c>
      <c r="FQ5" s="6">
        <f t="shared" si="40"/>
        <v>2.8571428571428571E-2</v>
      </c>
      <c r="FR5" s="6">
        <f t="shared" si="41"/>
        <v>5.1020408163265307E-2</v>
      </c>
      <c r="FS5" s="249">
        <f>COUNTIFS('DETALLES UNIDADES'!$C$8:$C$987,"C2",'DETALLES UNIDADES'!$BC$8:$BC$987,"&lt;1994")-FS4</f>
        <v>14</v>
      </c>
      <c r="FT5" s="249">
        <f>COUNTIFS('DETALLES UNIDADES'!$C$8:$C$987,"C3",'DETALLES UNIDADES'!$BC$8:$BC$987,"&lt;1994")-FT4</f>
        <v>7</v>
      </c>
      <c r="FU5" s="249">
        <f>COUNTIFS('DETALLES UNIDADES'!$C$8:$C$987,"T2",'DETALLES UNIDADES'!$BC$8:$BC$987,"&lt;1994")-FU4</f>
        <v>1</v>
      </c>
      <c r="FV5" s="249">
        <f>COUNTIFS('DETALLES UNIDADES'!$C$8:$C$987,"T3",'DETALLES UNIDADES'!$BC$8:$BC$987,"&lt;1994")-FV4</f>
        <v>28</v>
      </c>
      <c r="FW5" s="249">
        <f t="shared" si="42"/>
        <v>50</v>
      </c>
      <c r="FY5" s="11" t="s">
        <v>14</v>
      </c>
      <c r="FZ5" s="121">
        <f t="shared" ref="FZ5:FZ10" si="63">+GA5/$GA$12</f>
        <v>0.20264317180616739</v>
      </c>
      <c r="GA5" s="11">
        <f>SUM('ENCUESTA PROPIETARIOS'!$R$7:$R$417)+SUM('ENCUESTA PROPIETARIOS'!$P$7:$P$417)</f>
        <v>276</v>
      </c>
      <c r="GB5" s="11">
        <f>SUM('ENCUESTA PROPIETARIOS'!$R$7:$R$417)+SUM('ENCUESTA PROPIETARIOS'!$P$7:$P$417)</f>
        <v>276</v>
      </c>
      <c r="GC5" s="249">
        <f>+'[1]ENCUESTA CONDUCTORES'!$X$461++'[1]ENCUESTA CONDUCTORES'!$V$461</f>
        <v>46</v>
      </c>
      <c r="GE5" s="11" t="s">
        <v>952</v>
      </c>
      <c r="GF5" s="6">
        <f t="shared" si="43"/>
        <v>4.7846889952153108E-3</v>
      </c>
      <c r="GG5" s="249">
        <f>COUNTIFS('DETALLES UNIDADES'!$C$8:$C$987,"C2",'DETALLES UNIDADES'!$R$8:$R$987,"&lt;7501")-GG4-GG3</f>
        <v>1</v>
      </c>
      <c r="GK5" s="11"/>
      <c r="GL5" s="6"/>
      <c r="GM5" s="249"/>
    </row>
    <row r="6" spans="1:195" x14ac:dyDescent="0.25">
      <c r="B6" s="249" t="s">
        <v>351</v>
      </c>
      <c r="C6" s="189">
        <f t="shared" ref="C6:C9" si="64">+H6/$L$9</f>
        <v>8.3673469387755106E-2</v>
      </c>
      <c r="D6" s="189">
        <f t="shared" si="44"/>
        <v>3.6734693877551024E-2</v>
      </c>
      <c r="E6" s="189">
        <f t="shared" si="45"/>
        <v>5.9183673469387757E-2</v>
      </c>
      <c r="F6" s="189">
        <f t="shared" si="46"/>
        <v>2.0408163265306121E-2</v>
      </c>
      <c r="G6" s="189">
        <f t="shared" si="47"/>
        <v>0.2</v>
      </c>
      <c r="H6" s="249">
        <f>COUNTIFS('DETALLES UNIDADES'!$C$8:$C$987,"C3",'DETALLES UNIDADES'!$BA$8:$BA$987,"1")</f>
        <v>82</v>
      </c>
      <c r="I6" s="249">
        <f>COUNTIFS('DETALLES UNIDADES'!$C$8:$C$987,"C3",'DETALLES UNIDADES'!$BA$8:$BA$987,"2")</f>
        <v>36</v>
      </c>
      <c r="J6" s="249">
        <f>COUNTIFS('DETALLES UNIDADES'!$C$8:$C$987,"C3",'DETALLES UNIDADES'!$BA$8:$BA$987,"&lt;6")-I6-H6</f>
        <v>58</v>
      </c>
      <c r="K6" s="249">
        <f>COUNTIFS('DETALLES UNIDADES'!$C$8:$C$987,"C3",'DETALLES UNIDADES'!$BA$8:$BA$987,"&gt;5")</f>
        <v>20</v>
      </c>
      <c r="L6" s="249">
        <f t="shared" ref="L6:L9" si="65">SUM(H6:K6)</f>
        <v>196</v>
      </c>
      <c r="M6" s="249"/>
      <c r="N6" s="7" t="s">
        <v>351</v>
      </c>
      <c r="O6" s="252">
        <f t="shared" ref="O6:O9" si="66">+S6/$V$9</f>
        <v>0.19795918367346937</v>
      </c>
      <c r="P6" s="252">
        <f t="shared" si="48"/>
        <v>2.0408163265306124E-3</v>
      </c>
      <c r="Q6" s="252">
        <f t="shared" si="49"/>
        <v>0</v>
      </c>
      <c r="R6" s="252">
        <f t="shared" si="50"/>
        <v>0.2</v>
      </c>
      <c r="S6" s="253">
        <f>COUNTIFS('DETALLES UNIDADES'!$C$8:$C$987,"C3",'DETALLES UNIDADES'!$S$8:$S$987,"D")</f>
        <v>194</v>
      </c>
      <c r="T6" s="253">
        <f>COUNTIFS('DETALLES UNIDADES'!$C$8:$C$987,"C3",'DETALLES UNIDADES'!$S$8:$S$987,"G")</f>
        <v>2</v>
      </c>
      <c r="U6" s="253">
        <f>COUNTIFS('DETALLES UNIDADES'!$C$8:$C$987,"C3",'DETALLES UNIDADES'!$S$8:$S$987,"GAS")</f>
        <v>0</v>
      </c>
      <c r="V6" s="161">
        <f>SUM(S6:U6)</f>
        <v>196</v>
      </c>
      <c r="W6" s="9"/>
      <c r="X6" s="19" t="s">
        <v>1720</v>
      </c>
      <c r="Y6" s="254">
        <f t="shared" ref="Y6:Y13" si="67">+Z6/$Z$13</f>
        <v>0.15</v>
      </c>
      <c r="Z6" s="9">
        <f>COUNTIFS('DETALLES UNIDADES'!$S$8:$S$987,"D",'DETALLES UNIDADES'!$T$8:$T$987,"&lt;1.91")-Z5</f>
        <v>135</v>
      </c>
      <c r="AK6" s="11" t="s">
        <v>2537</v>
      </c>
      <c r="AL6" s="6">
        <f t="shared" si="4"/>
        <v>5.5102040816326532E-2</v>
      </c>
      <c r="AM6" s="6">
        <f t="shared" si="0"/>
        <v>4.6938775510204082E-2</v>
      </c>
      <c r="AN6" s="6">
        <f t="shared" si="1"/>
        <v>0</v>
      </c>
      <c r="AO6" s="6">
        <f t="shared" si="2"/>
        <v>0.14795918367346939</v>
      </c>
      <c r="AP6" s="6">
        <f t="shared" si="3"/>
        <v>0.25</v>
      </c>
      <c r="AQ6" s="249">
        <f>COUNTIFS('DETALLES UNIDADES'!$C$8:$C$987,AQ$2,'DETALLES UNIDADES'!$BC$8:$BC$987,"&lt;2004")-AQ5-AQ4-AQ3</f>
        <v>54</v>
      </c>
      <c r="AR6" s="249">
        <f>COUNTIFS('DETALLES UNIDADES'!$C$8:$C$987,AR$2,'DETALLES UNIDADES'!$BC$8:$BC$987,"&lt;2004")-AR5-AR4-AR3</f>
        <v>46</v>
      </c>
      <c r="AS6" s="249">
        <f>COUNTIFS('DETALLES UNIDADES'!$C$8:$C$987,AS$2,'DETALLES UNIDADES'!$BC$8:$BC$987,"&lt;2004")-AS5-AS4-AS3</f>
        <v>0</v>
      </c>
      <c r="AT6" s="249">
        <f>COUNTIFS('DETALLES UNIDADES'!$C$8:$C$987,AT$2,'DETALLES UNIDADES'!$BC$8:$BC$987,"&lt;2004")-AT5-AT4-AT3</f>
        <v>145</v>
      </c>
      <c r="AU6" s="249">
        <f t="shared" si="51"/>
        <v>245</v>
      </c>
      <c r="AV6" s="17">
        <v>245</v>
      </c>
      <c r="BD6" s="112" t="s">
        <v>1713</v>
      </c>
      <c r="BE6" s="6">
        <f t="shared" si="52"/>
        <v>2.4716786817713696E-2</v>
      </c>
      <c r="BF6" s="6">
        <f t="shared" si="5"/>
        <v>1.7507723995880537E-2</v>
      </c>
      <c r="BG6" s="6">
        <f t="shared" si="6"/>
        <v>3.7075180226570546E-2</v>
      </c>
      <c r="BH6" s="6">
        <f t="shared" si="7"/>
        <v>0.12667353244078269</v>
      </c>
      <c r="BI6" s="6">
        <f t="shared" si="8"/>
        <v>7.6210092687950565E-2</v>
      </c>
      <c r="BJ6" s="6">
        <f t="shared" si="9"/>
        <v>7.0030895983522148E-2</v>
      </c>
      <c r="BK6" s="6">
        <f t="shared" si="10"/>
        <v>4.1194644696189494E-3</v>
      </c>
      <c r="BL6" s="6">
        <f t="shared" si="11"/>
        <v>0.35633367662203913</v>
      </c>
      <c r="BM6" s="138">
        <f>COUNTIFS('DETALLES UNIDADES'!$J$8:$J$987,"&lt;1000001",'DETALLES UNIDADES'!$D$8:$D$987,"&lt;1991")-BM5-BM4</f>
        <v>24</v>
      </c>
      <c r="BN6" s="138">
        <f>COUNTIFS('DETALLES UNIDADES'!$J$8:$J$987,"&lt;1000001",'DETALLES UNIDADES'!$D$8:$D$987,"&lt;1994")-BM6-BN5-BM5-BN4-BM4</f>
        <v>17</v>
      </c>
      <c r="BO6" s="138">
        <f>COUNTIFS('DETALLES UNIDADES'!$J$8:$J$987,"&lt;1000001",'DETALLES UNIDADES'!$D$8:$D$987,"&lt;1998")-BN6-BM6-BO5-BN5-BM5-BO4-BN4-BM4</f>
        <v>36</v>
      </c>
      <c r="BP6" s="138">
        <f>COUNTIFS('DETALLES UNIDADES'!$J$8:$J$987,"&lt;1000001",'DETALLES UNIDADES'!$D$8:$D$987,"&lt;2004")-BO6-BN6-BM6-BP5-BO5-BN5-BM5-BP4-BO4-BN4-BM4</f>
        <v>123</v>
      </c>
      <c r="BQ6" s="138">
        <f>COUNTIFS('DETALLES UNIDADES'!$J$8:$J$987,"&lt;1000001",'DETALLES UNIDADES'!$D$8:$D$987,"&lt;2007")-BP6-BO6-BN6-BM6-BQ5-BP5-BO5-BN5-BM5-BQ4-BP4-BO4-BN4-BM4</f>
        <v>74</v>
      </c>
      <c r="BR6" s="138">
        <f>COUNTIFS('DETALLES UNIDADES'!$J$8:$J$987,"&lt;1000001",'DETALLES UNIDADES'!$D$8:$D$987,"&lt;2011")-BQ6-BP6-BO6-BN6-BM6-BR5-BQ5-BP5-BO5-BN5-BM5-BR4-BQ4-BP4-BO4-BN4-BM4</f>
        <v>68</v>
      </c>
      <c r="BS6" s="138">
        <f>COUNTIFS('DETALLES UNIDADES'!$J$8:$J$987,"&lt;1000001",'DETALLES UNIDADES'!$D$8:$D$987,"&gt;2010")-BS5-BS4</f>
        <v>4</v>
      </c>
      <c r="BT6" s="249">
        <f t="shared" si="53"/>
        <v>346</v>
      </c>
      <c r="BV6" s="17" t="s">
        <v>2591</v>
      </c>
      <c r="BW6" s="6">
        <f t="shared" si="54"/>
        <v>0.19221411192214111</v>
      </c>
      <c r="BX6" s="6">
        <f t="shared" si="12"/>
        <v>6.8126520681265207E-2</v>
      </c>
      <c r="BY6" s="6">
        <f t="shared" si="13"/>
        <v>8.0291970802919707E-2</v>
      </c>
      <c r="BZ6" s="6">
        <f t="shared" si="14"/>
        <v>3.4063260340632603E-2</v>
      </c>
      <c r="CA6" s="6">
        <f t="shared" si="15"/>
        <v>0.37469586374695862</v>
      </c>
      <c r="CB6" s="249">
        <f>COUNTIFS('ENCUESTA PROPIETARIOS'!$G$7:$G$417,"&lt;56",'ENCUESTA PROPIETARIOS'!$N$7:$N$417,"1")-CB5-CB4</f>
        <v>79</v>
      </c>
      <c r="CC6" s="249">
        <f>COUNTIFS('ENCUESTA PROPIETARIOS'!$G$7:$G$417,"&lt;56",'ENCUESTA PROPIETARIOS'!$N$7:$N$417,"2")-CC5-CC4</f>
        <v>28</v>
      </c>
      <c r="CD6" s="249">
        <f>COUNTIFS('ENCUESTA PROPIETARIOS'!$G$7:$G$417,"&lt;56",'ENCUESTA PROPIETARIOS'!$N$7:$N$417,"3")+COUNTIFS('ENCUESTA PROPIETARIOS'!$G$7:$G$417,"&lt;56",'ENCUESTA PROPIETARIOS'!$N$7:$N$417,"4")+COUNTIFS('ENCUESTA PROPIETARIOS'!$G$7:$G$417,"&lt;56",'ENCUESTA PROPIETARIOS'!$N$7:$N$417,"5")-CD5-CD4</f>
        <v>33</v>
      </c>
      <c r="CE6" s="249">
        <f>COUNTIFS('ENCUESTA PROPIETARIOS'!$G$7:$G$417,"&lt;56",'ENCUESTA PROPIETARIOS'!$N$7:$N$417,"&gt;5")-CE5-CE4</f>
        <v>14</v>
      </c>
      <c r="CF6" s="249">
        <f>SUM(CB6:CE6)</f>
        <v>154</v>
      </c>
      <c r="CH6" s="137" t="s">
        <v>2599</v>
      </c>
      <c r="CI6" s="249">
        <f>COUNTIFS('ENCUESTA PROPIETARIOS'!$N$7:$N$417,"1",'ENCUESTA PROPIETARIOS'!$AN$7:$AN$417,"X")</f>
        <v>21</v>
      </c>
      <c r="CJ6" s="249">
        <f>COUNTIFS('ENCUESTA PROPIETARIOS'!$N$7:$N$417,"2",'ENCUESTA PROPIETARIOS'!$AN$7:$AN$417,"X")</f>
        <v>13</v>
      </c>
      <c r="CK6" s="249">
        <f>COUNTIFS('ENCUESTA PROPIETARIOS'!$N$7:$N$417,"3",'ENCUESTA PROPIETARIOS'!$AN$7:$AN$417,"X")+COUNTIFS('ENCUESTA PROPIETARIOS'!$N$7:$N$417,"4",'ENCUESTA PROPIETARIOS'!$AN$7:$AN$417,"X")+COUNTIFS('ENCUESTA PROPIETARIOS'!$N$7:$N$417,"5",'ENCUESTA PROPIETARIOS'!$AN$7:$AN$417,"X")</f>
        <v>17</v>
      </c>
      <c r="CL6" s="249">
        <f>COUNTIFS('ENCUESTA PROPIETARIOS'!$N$7:$N$417,"&gt;5",'ENCUESTA PROPIETARIOS'!$AN$7:$AN$417,"X")</f>
        <v>6</v>
      </c>
      <c r="CM6" s="249">
        <f t="shared" si="55"/>
        <v>57</v>
      </c>
      <c r="CN6" s="249"/>
      <c r="CO6" s="249"/>
      <c r="CP6" s="249"/>
      <c r="CQ6" s="249"/>
      <c r="CR6" s="249"/>
      <c r="CT6" s="17" t="s">
        <v>2607</v>
      </c>
      <c r="CU6" s="6">
        <f t="shared" si="56"/>
        <v>3.0494216614090432E-2</v>
      </c>
      <c r="CV6" s="6">
        <f t="shared" si="16"/>
        <v>2.3133543638275498E-2</v>
      </c>
      <c r="CW6" s="6">
        <f t="shared" si="17"/>
        <v>1.5772870662460567E-2</v>
      </c>
      <c r="CX6" s="6">
        <f t="shared" si="18"/>
        <v>3.4700315457413249E-2</v>
      </c>
      <c r="CY6" s="6">
        <f t="shared" si="19"/>
        <v>0.10410094637223975</v>
      </c>
      <c r="CZ6" s="249">
        <f>COUNTIFS('DETALLES UNIDADES'!$BA$8:$BA$987,"1",'DETALLES UNIDADES'!$O$8:$O$987,"&lt;30%")-CZ7-CZ8</f>
        <v>29</v>
      </c>
      <c r="DA6" s="249">
        <f>COUNTIFS('DETALLES UNIDADES'!$BA$8:$BA$987,"2",'DETALLES UNIDADES'!$O$8:$O$987,"&lt;30%")-DA7-DA8</f>
        <v>22</v>
      </c>
      <c r="DB6" s="249">
        <f>COUNTIFS('DETALLES UNIDADES'!$BA$8:$BA$987,"3",'DETALLES UNIDADES'!$O$8:$O$987,"&lt;30%")+COUNTIFS('DETALLES UNIDADES'!$BA$8:$BA$987,"4",'DETALLES UNIDADES'!$O$8:$O$987,"&lt;30%")+COUNTIFS('DETALLES UNIDADES'!$BA$8:$BA$987,"5",'DETALLES UNIDADES'!$O$8:$O$987,"&lt;30%")-DB7-DB8</f>
        <v>15</v>
      </c>
      <c r="DC6" s="249">
        <f>COUNTIFS('DETALLES UNIDADES'!$BA$8:$BA$987,"&gt;5",'DETALLES UNIDADES'!$O$8:$O$987,"&lt;30%")-DC7-DC8</f>
        <v>33</v>
      </c>
      <c r="DD6" s="249">
        <f t="shared" si="57"/>
        <v>99</v>
      </c>
      <c r="DF6" s="17" t="s">
        <v>1662</v>
      </c>
      <c r="DG6" s="6">
        <f t="shared" si="58"/>
        <v>1</v>
      </c>
      <c r="DH6" s="6">
        <f t="shared" si="20"/>
        <v>1</v>
      </c>
      <c r="DI6" s="6">
        <f t="shared" si="20"/>
        <v>1</v>
      </c>
      <c r="DJ6" s="6">
        <f t="shared" si="20"/>
        <v>1</v>
      </c>
      <c r="DK6" s="6">
        <f t="shared" si="20"/>
        <v>1</v>
      </c>
      <c r="DL6" s="249">
        <f>DL5+DL4</f>
        <v>202</v>
      </c>
      <c r="DM6" s="249">
        <f t="shared" ref="DM6:DP6" si="68">DM5+DM4</f>
        <v>85</v>
      </c>
      <c r="DN6" s="249">
        <f t="shared" si="68"/>
        <v>90</v>
      </c>
      <c r="DO6" s="249">
        <f t="shared" si="68"/>
        <v>34</v>
      </c>
      <c r="DP6" s="249">
        <f t="shared" si="68"/>
        <v>411</v>
      </c>
      <c r="DR6" s="112" t="s">
        <v>2643</v>
      </c>
      <c r="DS6" s="6">
        <f t="shared" si="59"/>
        <v>0.16334661354581673</v>
      </c>
      <c r="DT6" s="6">
        <f t="shared" si="21"/>
        <v>0.26153846153846155</v>
      </c>
      <c r="DU6" s="6">
        <f t="shared" si="22"/>
        <v>0.19333333333333333</v>
      </c>
      <c r="DV6" s="6">
        <f t="shared" si="23"/>
        <v>0.25423728813559321</v>
      </c>
      <c r="DW6" s="6">
        <f t="shared" si="24"/>
        <v>0.2016949152542373</v>
      </c>
      <c r="DX6" s="249">
        <f>COUNTIFS('ENCUESTA PROPIETARIOS'!$N$7:$N$417,"1",'ENCUESTA PROPIETARIOS'!$BK$7:$BK$417,"X")+COUNTIFS('ENCUESTA PROPIETARIOS'!$N$7:$N$417,"1",'ENCUESTA PROPIETARIOS'!$BI$7:$BI$417,"X")</f>
        <v>41</v>
      </c>
      <c r="DY6" s="249">
        <f>COUNTIFS('ENCUESTA PROPIETARIOS'!$N$7:$N$417,"2",'ENCUESTA PROPIETARIOS'!$BK$7:$BK$417,"X")+COUNTIFS('ENCUESTA PROPIETARIOS'!$N$7:$N$417,"2",'ENCUESTA PROPIETARIOS'!$BI$7:$BI$417,"X")</f>
        <v>34</v>
      </c>
      <c r="DZ6" s="249">
        <f>COUNTIFS('ENCUESTA PROPIETARIOS'!$N$7:$N$417,"3",'ENCUESTA PROPIETARIOS'!$BK$7:$BK$417,"X")+COUNTIFS('ENCUESTA PROPIETARIOS'!$N$7:$N$417,"4",'ENCUESTA PROPIETARIOS'!$BK$7:$BK$417,"X")+COUNTIFS('ENCUESTA PROPIETARIOS'!$N$7:$N$417,"5",'ENCUESTA PROPIETARIOS'!$BK$7:$BK$417,"X")+COUNTIFS('ENCUESTA PROPIETARIOS'!$N$7:$N$417,"3",'ENCUESTA PROPIETARIOS'!$BI$7:$BI$417,"X")+COUNTIFS('ENCUESTA PROPIETARIOS'!$N$7:$N$417,"4",'ENCUESTA PROPIETARIOS'!$BI$7:$BI$417,"X")+COUNTIFS('ENCUESTA PROPIETARIOS'!$N$7:$N$417,"5",'ENCUESTA PROPIETARIOS'!$BI$7:$BI$417,"X")</f>
        <v>29</v>
      </c>
      <c r="EA6" s="249">
        <f>COUNTIFS('ENCUESTA PROPIETARIOS'!$N$7:$N$417,"&gt;5",'ENCUESTA PROPIETARIOS'!$BK$7:$BK$417,"X")+COUNTIFS('ENCUESTA PROPIETARIOS'!$N$7:$N$417,"&gt;5",'ENCUESTA PROPIETARIOS'!$BI$7:$BI$417,"X")</f>
        <v>15</v>
      </c>
      <c r="EB6" s="249">
        <f>SUM(DX6:EA6)</f>
        <v>119</v>
      </c>
      <c r="ED6" s="17" t="s">
        <v>2660</v>
      </c>
      <c r="EE6" s="6">
        <f t="shared" si="60"/>
        <v>0.13461538461538461</v>
      </c>
      <c r="EF6" s="6">
        <f t="shared" si="25"/>
        <v>0.24</v>
      </c>
      <c r="EG6" s="6">
        <f t="shared" si="26"/>
        <v>0.33027522935779818</v>
      </c>
      <c r="EH6" s="6">
        <f t="shared" si="27"/>
        <v>0.28979591836734692</v>
      </c>
      <c r="EI6" s="6">
        <f t="shared" si="28"/>
        <v>0.32432432432432434</v>
      </c>
      <c r="EJ6" s="6">
        <f t="shared" si="29"/>
        <v>0.35267857142857145</v>
      </c>
      <c r="EK6" s="6">
        <f t="shared" si="30"/>
        <v>0.09</v>
      </c>
      <c r="EL6" s="6">
        <f t="shared" si="31"/>
        <v>0.27448979591836736</v>
      </c>
      <c r="EM6" s="249">
        <f>COUNTIFS('DETALLES UNIDADES'!$BC$8:$BC$987,"&lt;1991",'DETALLES UNIDADES'!$AN$8:$AN$987,"&lt;20001")-EM5-EM4</f>
        <v>14</v>
      </c>
      <c r="EN6" s="249">
        <f>COUNTIFS('DETALLES UNIDADES'!$BC$8:$BC$987,"&lt;1994",'DETALLES UNIDADES'!$AN$8:$AN$987,"&lt;20001")-EM6-EN5-EM5-EN4-EM4</f>
        <v>12</v>
      </c>
      <c r="EO6" s="249">
        <f>COUNTIFS('DETALLES UNIDADES'!$BC$8:$BC$987,"&lt;1998",'DETALLES UNIDADES'!$AN$8:$AN$987,"&lt;20001")-EN6-EM6-EO5-EN5-EM5-EO4-EN4-EM4</f>
        <v>36</v>
      </c>
      <c r="EP6" s="249">
        <f>COUNTIFS('DETALLES UNIDADES'!$BC$8:$BC$987,"&lt;2004",'DETALLES UNIDADES'!$AN$8:$AN$987,"&lt;20001")-EO6-EN6-EM6-EP5-EO5-EN5-EM5-EP4-EO4-EN4-EM4</f>
        <v>71</v>
      </c>
      <c r="EQ6" s="249">
        <f>COUNTIFS('DETALLES UNIDADES'!$BC$8:$BC$987,"&lt;2007",'DETALLES UNIDADES'!$AN$8:$AN$987,"&lt;20001")-EP6-EO6-EN6-EM6-EQ5-EP5-EO5-EN5-EM5-EQ4-EP4-EO4-EN4-EM4</f>
        <v>48</v>
      </c>
      <c r="ER6" s="249">
        <f>COUNTIFS('DETALLES UNIDADES'!$BC$8:$BC$987,"&lt;2011",'DETALLES UNIDADES'!$AN$8:$AN$987,"&lt;20001")-EQ6-EP6-EO6-EN6-EM6-ER5-EQ5-EP5-EO5-EN5-EM5-ER4-EQ4-EP4-EO4-EN4-EM4</f>
        <v>79</v>
      </c>
      <c r="ES6" s="249">
        <f>COUNTIFS('DETALLES UNIDADES'!$BC$8:$BC$987,"&gt;2010",'DETALLES UNIDADES'!$AN$8:$AN$987,"&lt;20001")-ES5-ES4</f>
        <v>9</v>
      </c>
      <c r="ET6" s="249">
        <f t="shared" si="32"/>
        <v>269</v>
      </c>
      <c r="EV6" s="137" t="s">
        <v>2683</v>
      </c>
      <c r="EW6" s="6">
        <f t="shared" si="61"/>
        <v>7.2796934865900387E-2</v>
      </c>
      <c r="EX6" s="6">
        <f t="shared" si="33"/>
        <v>0.14925373134328357</v>
      </c>
      <c r="EY6" s="6">
        <f t="shared" si="34"/>
        <v>5.8064516129032261E-2</v>
      </c>
      <c r="EZ6" s="6">
        <f t="shared" si="35"/>
        <v>5.5555555555555552E-2</v>
      </c>
      <c r="FA6" s="6">
        <f t="shared" si="36"/>
        <v>8.4437086092715233E-2</v>
      </c>
      <c r="FB6" s="249">
        <f>COUNTIFS('ENCUESTA PROPIETARIOS'!$N$7:$N$417,"1",'ENCUESTA PROPIETARIOS'!$BT$7:$BT$417,"X")</f>
        <v>19</v>
      </c>
      <c r="FC6" s="249">
        <f>COUNTIFS('ENCUESTA PROPIETARIOS'!$N$7:$N$417,"2",'ENCUESTA PROPIETARIOS'!$BT$7:$BT$417,"X")</f>
        <v>20</v>
      </c>
      <c r="FD6" s="249">
        <f>COUNTIFS('ENCUESTA PROPIETARIOS'!$N$7:$N$417,"3",'ENCUESTA PROPIETARIOS'!$BT$7:$BT$417,"X")+COUNTIFS('ENCUESTA PROPIETARIOS'!$N$7:$N$417,"4",'ENCUESTA PROPIETARIOS'!$BT$7:$BT$417,"X")+COUNTIFS('ENCUESTA PROPIETARIOS'!$N$7:$N$417,"5",'ENCUESTA PROPIETARIOS'!$BT$7:$BT$417,"X")</f>
        <v>9</v>
      </c>
      <c r="FE6" s="249">
        <f>COUNTIFS('ENCUESTA PROPIETARIOS'!$N$7:$N$417,"&gt;5",'ENCUESTA PROPIETARIOS'!$BT$7:$BT$417,"X")</f>
        <v>3</v>
      </c>
      <c r="FF6" s="249">
        <f t="shared" si="37"/>
        <v>51</v>
      </c>
      <c r="FM6" s="11" t="s">
        <v>2536</v>
      </c>
      <c r="FN6" s="6">
        <f t="shared" si="62"/>
        <v>1.8367346938775512E-2</v>
      </c>
      <c r="FO6" s="6">
        <f t="shared" si="38"/>
        <v>3.6734693877551024E-2</v>
      </c>
      <c r="FP6" s="6">
        <f t="shared" si="39"/>
        <v>5.1020408163265302E-3</v>
      </c>
      <c r="FQ6" s="6">
        <f t="shared" si="40"/>
        <v>5.1020408163265307E-2</v>
      </c>
      <c r="FR6" s="6">
        <f t="shared" si="41"/>
        <v>0.11122448979591837</v>
      </c>
      <c r="FS6" s="249">
        <f>COUNTIFS('DETALLES UNIDADES'!$C$8:$C$987,"C2",'DETALLES UNIDADES'!$BC$8:$BC$987,"&lt;1998")-FS5-FS4</f>
        <v>18</v>
      </c>
      <c r="FT6" s="249">
        <f>COUNTIFS('DETALLES UNIDADES'!$C$8:$C$987,"C3",'DETALLES UNIDADES'!$BC$8:$BC$987,"&lt;1998")-FT5-FT4</f>
        <v>36</v>
      </c>
      <c r="FU6" s="249">
        <f>COUNTIFS('DETALLES UNIDADES'!$C$8:$C$987,"T2",'DETALLES UNIDADES'!$BC$8:$BC$987,"&lt;1998")-FU5-FU4</f>
        <v>5</v>
      </c>
      <c r="FV6" s="249">
        <f>COUNTIFS('DETALLES UNIDADES'!$C$8:$C$987,"T3",'DETALLES UNIDADES'!$BC$8:$BC$987,"&lt;1998")-FV5-FV4</f>
        <v>50</v>
      </c>
      <c r="FW6" s="249">
        <f t="shared" si="42"/>
        <v>109</v>
      </c>
      <c r="FY6" s="11" t="s">
        <v>1706</v>
      </c>
      <c r="FZ6" s="121">
        <f t="shared" si="63"/>
        <v>6.6813509544787084E-2</v>
      </c>
      <c r="GA6" s="11">
        <f>SUM('ENCUESTA PROPIETARIOS'!$S$7:$S$417)+SUM('ENCUESTA PROPIETARIOS'!$T$7:$T$417)</f>
        <v>91</v>
      </c>
      <c r="GB6" s="11">
        <f>SUM('ENCUESTA PROPIETARIOS'!$S$7:$S$417)+SUM('ENCUESTA PROPIETARIOS'!$T$7:$T$417)</f>
        <v>91</v>
      </c>
      <c r="GC6" s="249">
        <f>+'[1]ENCUESTA CONDUCTORES'!$Y$461++'[1]ENCUESTA CONDUCTORES'!$Z$461</f>
        <v>41</v>
      </c>
      <c r="GE6" s="11" t="s">
        <v>953</v>
      </c>
      <c r="GF6" s="6">
        <f t="shared" si="43"/>
        <v>0</v>
      </c>
      <c r="GG6" s="249">
        <f>COUNTIFS('DETALLES UNIDADES'!$C$8:$C$987,"C2",'DETALLES UNIDADES'!$R$8:$R$987,"&lt;10001")-GG5-GG4-GG3</f>
        <v>0</v>
      </c>
      <c r="GK6" s="11"/>
      <c r="GL6" s="6"/>
      <c r="GM6" s="249"/>
    </row>
    <row r="7" spans="1:195" x14ac:dyDescent="0.25">
      <c r="B7" s="249" t="s">
        <v>359</v>
      </c>
      <c r="C7" s="189">
        <f t="shared" si="64"/>
        <v>2.0408163265306124E-3</v>
      </c>
      <c r="D7" s="189">
        <f t="shared" si="44"/>
        <v>7.1428571428571426E-3</v>
      </c>
      <c r="E7" s="189">
        <f t="shared" si="45"/>
        <v>2.8571428571428571E-2</v>
      </c>
      <c r="F7" s="189">
        <f t="shared" si="46"/>
        <v>6.1224489795918364E-3</v>
      </c>
      <c r="G7" s="189">
        <f t="shared" si="47"/>
        <v>4.3877551020408162E-2</v>
      </c>
      <c r="H7" s="249">
        <f>COUNTIFS('DETALLES UNIDADES'!$C$8:$C$987,"T2",'DETALLES UNIDADES'!$BA$8:$BA$987,"1")</f>
        <v>2</v>
      </c>
      <c r="I7" s="249">
        <f>COUNTIFS('DETALLES UNIDADES'!$C$8:$C$987,"T2",'DETALLES UNIDADES'!$BA$8:$BA$987,"2")</f>
        <v>7</v>
      </c>
      <c r="J7" s="249">
        <f>COUNTIFS('DETALLES UNIDADES'!$C$8:$C$987,"T2",'DETALLES UNIDADES'!$BA$8:$BA$987,"&lt;6")-I7-H7</f>
        <v>28</v>
      </c>
      <c r="K7" s="249">
        <f>COUNTIFS('DETALLES UNIDADES'!$C$8:$C$987,"T2",'DETALLES UNIDADES'!$BA$8:$BA$987,"&gt;5")</f>
        <v>6</v>
      </c>
      <c r="L7" s="249">
        <f t="shared" si="65"/>
        <v>43</v>
      </c>
      <c r="M7" s="249"/>
      <c r="N7" s="7" t="s">
        <v>359</v>
      </c>
      <c r="O7" s="252">
        <f t="shared" si="66"/>
        <v>4.3877551020408162E-2</v>
      </c>
      <c r="P7" s="252">
        <f t="shared" si="48"/>
        <v>0</v>
      </c>
      <c r="Q7" s="252">
        <f t="shared" si="49"/>
        <v>0</v>
      </c>
      <c r="R7" s="252">
        <f t="shared" si="50"/>
        <v>4.3877551020408162E-2</v>
      </c>
      <c r="S7" s="253">
        <f>COUNTIFS('DETALLES UNIDADES'!$C$8:$C$987,"T2",'DETALLES UNIDADES'!$S$8:$S$987,"D")</f>
        <v>43</v>
      </c>
      <c r="T7" s="253">
        <f>COUNTIFS('DETALLES UNIDADES'!$C$8:$C$987,"T2",'DETALLES UNIDADES'!$S$8:$S$987,"G")</f>
        <v>0</v>
      </c>
      <c r="U7" s="253">
        <f>COUNTIFS('DETALLES UNIDADES'!$C$8:$C$987,"T2",'DETALLES UNIDADES'!$S$8:$S$987,"GAS")</f>
        <v>0</v>
      </c>
      <c r="V7" s="161">
        <f>SUM(S7:U7)</f>
        <v>43</v>
      </c>
      <c r="W7" s="9"/>
      <c r="X7" s="19" t="s">
        <v>1721</v>
      </c>
      <c r="Y7" s="254">
        <f t="shared" si="67"/>
        <v>0.19444444444444445</v>
      </c>
      <c r="Z7" s="9">
        <f>COUNTIFS('DETALLES UNIDADES'!$S$8:$S$987,"D",'DETALLES UNIDADES'!$T$8:$T$987,"&lt;2.01")-Z6-Z5</f>
        <v>175</v>
      </c>
      <c r="AK7" s="11" t="s">
        <v>2538</v>
      </c>
      <c r="AL7" s="6">
        <f t="shared" si="4"/>
        <v>0.05</v>
      </c>
      <c r="AM7" s="6">
        <f t="shared" si="0"/>
        <v>2.5510204081632654E-2</v>
      </c>
      <c r="AN7" s="6">
        <f t="shared" si="1"/>
        <v>5.1020408163265302E-3</v>
      </c>
      <c r="AO7" s="6">
        <f t="shared" si="2"/>
        <v>7.040816326530612E-2</v>
      </c>
      <c r="AP7" s="6">
        <f t="shared" si="3"/>
        <v>0.15102040816326531</v>
      </c>
      <c r="AQ7" s="249">
        <f>COUNTIFS('DETALLES UNIDADES'!$C$8:$C$987,AQ$2,'DETALLES UNIDADES'!$BC$8:$BC$987,"&lt;2007")-AQ6-AQ5-AQ4-AQ3</f>
        <v>49</v>
      </c>
      <c r="AR7" s="249">
        <f>COUNTIFS('DETALLES UNIDADES'!$C$8:$C$987,AR$2,'DETALLES UNIDADES'!$BC$8:$BC$987,"&lt;2007")-AR6-AR5-AR4-AR3</f>
        <v>25</v>
      </c>
      <c r="AS7" s="249">
        <f>COUNTIFS('DETALLES UNIDADES'!$C$8:$C$987,AS$2,'DETALLES UNIDADES'!$BC$8:$BC$987,"&lt;2007")-AS6-AS5-AS4-AS3</f>
        <v>5</v>
      </c>
      <c r="AT7" s="249">
        <f>COUNTIFS('DETALLES UNIDADES'!$C$8:$C$987,AT$2,'DETALLES UNIDADES'!$BC$8:$BC$987,"&lt;2007")-AT6-AT5-AT4-AT3</f>
        <v>69</v>
      </c>
      <c r="AU7" s="249">
        <f t="shared" si="51"/>
        <v>148</v>
      </c>
      <c r="AV7" s="17">
        <v>148</v>
      </c>
      <c r="BD7" s="112" t="s">
        <v>943</v>
      </c>
      <c r="BE7" s="6">
        <f t="shared" si="52"/>
        <v>4.2224510813594233E-2</v>
      </c>
      <c r="BF7" s="6">
        <f t="shared" si="5"/>
        <v>8.2389289392378988E-3</v>
      </c>
      <c r="BG7" s="6">
        <f t="shared" si="6"/>
        <v>3.5015447991761074E-2</v>
      </c>
      <c r="BH7" s="6">
        <f t="shared" si="7"/>
        <v>5.0463439752832129E-2</v>
      </c>
      <c r="BI7" s="6">
        <f t="shared" si="8"/>
        <v>3.089598352214212E-3</v>
      </c>
      <c r="BJ7" s="6">
        <f t="shared" si="9"/>
        <v>2.0597322348094747E-3</v>
      </c>
      <c r="BK7" s="6">
        <f t="shared" si="10"/>
        <v>0</v>
      </c>
      <c r="BL7" s="6">
        <f t="shared" si="11"/>
        <v>0.14109165808444901</v>
      </c>
      <c r="BM7" s="138">
        <f>COUNTIFS('DETALLES UNIDADES'!$J$8:$J$987,"&lt;1500001",'DETALLES UNIDADES'!$D$8:$D$987,"&lt;1991")-BM6-BM5-BM4</f>
        <v>41</v>
      </c>
      <c r="BN7" s="138">
        <f>COUNTIFS('DETALLES UNIDADES'!$J$8:$J$987,"&lt;1500001",'DETALLES UNIDADES'!$D$8:$D$987,"&lt;1994")-BM7-BN6-BM6-BN5-BM5-BN4-BM4</f>
        <v>8</v>
      </c>
      <c r="BO7" s="138">
        <f>COUNTIFS('DETALLES UNIDADES'!$J$8:$J$987,"&lt;1500001",'DETALLES UNIDADES'!$D$8:$D$987,"&lt;1998")-BN7-BM7-BO6-BN6-BM6-BO5-BN5-BM5-BO4-BN4-BM4</f>
        <v>34</v>
      </c>
      <c r="BP7" s="138">
        <f>COUNTIFS('DETALLES UNIDADES'!$J$8:$J$987,"&lt;1500001",'DETALLES UNIDADES'!$D$8:$D$987,"&lt;2004")-BO7-BN7-BM7-BP6-BO6-BN6-BM6-BP5-BO5-BN5-BM5-BP4-BO4-BN4-BM4</f>
        <v>49</v>
      </c>
      <c r="BQ7" s="138">
        <f>COUNTIFS('DETALLES UNIDADES'!$J$8:$J$987,"&lt;1500001",'DETALLES UNIDADES'!$D$8:$D$987,"&lt;2007")-BP7-BO7-BN7-BM7-BQ6-BP6-BO6-BN6-BM6-BQ5-BP5-BO5-BN5-BM5-BQ4-BP4-BO4-BN4-BM4</f>
        <v>3</v>
      </c>
      <c r="BR7" s="138">
        <f>COUNTIFS('DETALLES UNIDADES'!$J$8:$J$987,"&lt;1500001",'DETALLES UNIDADES'!$D$8:$D$987,"&lt;2011")-BQ7-BP7-BO7-BN7-BM7-BR6-BQ6-BP6-BO6-BN6-BM6-BR5-BQ5-BP5-BO5-BN5-BM5-BR4-BQ4-BP4-BO4-BN4-BM4</f>
        <v>2</v>
      </c>
      <c r="BS7" s="138">
        <f>COUNTIFS('DETALLES UNIDADES'!$J$8:$J$987,"&lt;1500001",'DETALLES UNIDADES'!$D$8:$D$987,"&gt;2010")-BS6-BS5-BS4</f>
        <v>0</v>
      </c>
      <c r="BT7" s="249">
        <f t="shared" si="53"/>
        <v>137</v>
      </c>
      <c r="BV7" s="17" t="s">
        <v>2592</v>
      </c>
      <c r="BW7" s="6">
        <f t="shared" si="54"/>
        <v>5.3527980535279802E-2</v>
      </c>
      <c r="BX7" s="6">
        <f t="shared" si="12"/>
        <v>1.7031630170316302E-2</v>
      </c>
      <c r="BY7" s="6">
        <f t="shared" si="13"/>
        <v>1.7031630170316302E-2</v>
      </c>
      <c r="BZ7" s="6">
        <f t="shared" si="14"/>
        <v>1.4598540145985401E-2</v>
      </c>
      <c r="CA7" s="6">
        <f t="shared" si="15"/>
        <v>0.10218978102189781</v>
      </c>
      <c r="CB7" s="249">
        <f>COUNTIFS('ENCUESTA PROPIETARIOS'!$G$7:$G$417,"&lt;61",'ENCUESTA PROPIETARIOS'!$N$7:$N$417,"1")-CB6-CB5-CB4</f>
        <v>22</v>
      </c>
      <c r="CC7" s="249">
        <f>COUNTIFS('ENCUESTA PROPIETARIOS'!$G$7:$G$417,"&lt;61",'ENCUESTA PROPIETARIOS'!$N$7:$N$417,"2")-CC6-CC5-CC4</f>
        <v>7</v>
      </c>
      <c r="CD7" s="249">
        <f>COUNTIFS('ENCUESTA PROPIETARIOS'!$G$7:$G$417,"&lt;61",'ENCUESTA PROPIETARIOS'!$N$7:$N$417,"3")+COUNTIFS('ENCUESTA PROPIETARIOS'!$G$7:$G$417,"&lt;61",'ENCUESTA PROPIETARIOS'!$N$7:$N$417,"4")+COUNTIFS('ENCUESTA PROPIETARIOS'!$G$7:$G$417,"&lt;61",'ENCUESTA PROPIETARIOS'!$N$7:$N$417,"5")-CD6-CD5-CD4</f>
        <v>7</v>
      </c>
      <c r="CE7" s="249">
        <f>COUNTIFS('ENCUESTA PROPIETARIOS'!$G$7:$G$417,"&lt;61",'ENCUESTA PROPIETARIOS'!$N$7:$N$417,"&gt;5")-CE6-CE5-CE4</f>
        <v>6</v>
      </c>
      <c r="CF7" s="249">
        <f>SUM(CB7:CE7)</f>
        <v>42</v>
      </c>
      <c r="CH7" s="137" t="s">
        <v>33</v>
      </c>
      <c r="CI7" s="249">
        <f>COUNTIFS('ENCUESTA PROPIETARIOS'!$N$7:$N$417,"1",'ENCUESTA PROPIETARIOS'!$AO$7:$AO$417,"X")</f>
        <v>96</v>
      </c>
      <c r="CJ7" s="249">
        <f>COUNTIFS('ENCUESTA PROPIETARIOS'!$N$7:$N$417,"2",'ENCUESTA PROPIETARIOS'!$AO$7:$AO$417,"X")</f>
        <v>23</v>
      </c>
      <c r="CK7" s="249">
        <f>COUNTIFS('ENCUESTA PROPIETARIOS'!$N$7:$N$417,"3",'ENCUESTA PROPIETARIOS'!$AO$7:$AO$417,"X")+COUNTIFS('ENCUESTA PROPIETARIOS'!$N$7:$N$417,"4",'ENCUESTA PROPIETARIOS'!$AO$7:$AO$417,"X")+COUNTIFS('ENCUESTA PROPIETARIOS'!$N$7:$N$417,"5",'ENCUESTA PROPIETARIOS'!$AO$7:$AO$417,"X")</f>
        <v>22</v>
      </c>
      <c r="CL7" s="249">
        <f>COUNTIFS('ENCUESTA PROPIETARIOS'!$N$7:$N$417,"&gt;5",'ENCUESTA PROPIETARIOS'!$AO$7:$AO$417,"X")</f>
        <v>5</v>
      </c>
      <c r="CM7" s="249">
        <f t="shared" si="55"/>
        <v>146</v>
      </c>
      <c r="CN7" s="249"/>
      <c r="CO7" s="249"/>
      <c r="CP7" s="249"/>
      <c r="CQ7" s="249"/>
      <c r="CR7" s="249"/>
      <c r="CT7" s="17" t="s">
        <v>2608</v>
      </c>
      <c r="CU7" s="6">
        <f t="shared" si="56"/>
        <v>3.2597266035751839E-2</v>
      </c>
      <c r="CV7" s="6">
        <f t="shared" si="16"/>
        <v>1.8927444794952682E-2</v>
      </c>
      <c r="CW7" s="6">
        <f t="shared" si="17"/>
        <v>2.7339642481598318E-2</v>
      </c>
      <c r="CX7" s="6">
        <f t="shared" si="18"/>
        <v>5.2576235541535229E-3</v>
      </c>
      <c r="CY7" s="6">
        <f t="shared" si="19"/>
        <v>8.4121976866456366E-2</v>
      </c>
      <c r="CZ7" s="249">
        <f>COUNTIFS('DETALLES UNIDADES'!$BA$8:$BA$987,"1",'DETALLES UNIDADES'!$O$8:$O$987,"&lt;20%")-CZ8</f>
        <v>31</v>
      </c>
      <c r="DA7" s="249">
        <f>COUNTIFS('DETALLES UNIDADES'!$BA$8:$BA$987,"2",'DETALLES UNIDADES'!$O$8:$O$987,"&lt;20%")-DA8</f>
        <v>18</v>
      </c>
      <c r="DB7" s="249">
        <f>COUNTIFS('DETALLES UNIDADES'!$BA$8:$BA$987,"3",'DETALLES UNIDADES'!$O$8:$O$987,"&lt;20%")+COUNTIFS('DETALLES UNIDADES'!$BA$8:$BA$987,"4",'DETALLES UNIDADES'!$O$8:$O$987,"&lt;20%")+COUNTIFS('DETALLES UNIDADES'!$BA$8:$BA$987,"5",'DETALLES UNIDADES'!$O$8:$O$987,"&lt;20%")-DB8</f>
        <v>26</v>
      </c>
      <c r="DC7" s="249">
        <f>COUNTIFS('DETALLES UNIDADES'!$BA$8:$BA$987,"&gt;5",'DETALLES UNIDADES'!$O$8:$O$987,"&lt;20%")-DC8</f>
        <v>5</v>
      </c>
      <c r="DD7" s="249">
        <f t="shared" si="57"/>
        <v>80</v>
      </c>
      <c r="DP7" s="249">
        <f>SUM(DL6:DO6)</f>
        <v>411</v>
      </c>
      <c r="DR7" s="151" t="s">
        <v>1667</v>
      </c>
      <c r="DS7" s="6">
        <f t="shared" si="59"/>
        <v>0.16733067729083664</v>
      </c>
      <c r="DT7" s="6">
        <f t="shared" si="21"/>
        <v>0.24615384615384617</v>
      </c>
      <c r="DU7" s="6">
        <f t="shared" si="22"/>
        <v>0.29333333333333333</v>
      </c>
      <c r="DV7" s="6">
        <f t="shared" si="23"/>
        <v>0.32203389830508472</v>
      </c>
      <c r="DW7" s="6">
        <f t="shared" si="24"/>
        <v>0.23220338983050848</v>
      </c>
      <c r="DX7" s="249">
        <f>COUNTIFS('ENCUESTA PROPIETARIOS'!$N$7:$N$417,"1",'ENCUESTA PROPIETARIOS'!$BF$7:$BF$417,"X")+COUNTIFS('ENCUESTA PROPIETARIOS'!$N$7:$N$417,"1",'ENCUESTA PROPIETARIOS'!$BG$7:$BG$417,"X")</f>
        <v>42</v>
      </c>
      <c r="DY7" s="249">
        <f>COUNTIFS('ENCUESTA PROPIETARIOS'!$N$7:$N$417,"2",'ENCUESTA PROPIETARIOS'!$BF$7:$BF$417,"X")+COUNTIFS('ENCUESTA PROPIETARIOS'!$N$7:$N$417,"2",'ENCUESTA PROPIETARIOS'!$BG$7:$BG$417,"X")</f>
        <v>32</v>
      </c>
      <c r="DZ7" s="249">
        <f>COUNTIFS('ENCUESTA PROPIETARIOS'!$N$7:$N$417,"3",'ENCUESTA PROPIETARIOS'!$BF$7:$BF$417,"X")+COUNTIFS('ENCUESTA PROPIETARIOS'!$N$7:$N$417,"4",'ENCUESTA PROPIETARIOS'!$BF$7:$BF$417,"X")+COUNTIFS('ENCUESTA PROPIETARIOS'!$N$7:$N$417,"5",'ENCUESTA PROPIETARIOS'!$BF$7:$BF$417,"X")+COUNTIFS('ENCUESTA PROPIETARIOS'!$N$7:$N$417,"3",'ENCUESTA PROPIETARIOS'!$BG$7:$BG$417,"X")+COUNTIFS('ENCUESTA PROPIETARIOS'!$N$7:$N$417,"4",'ENCUESTA PROPIETARIOS'!$BG$7:$BG$417,"X")+COUNTIFS('ENCUESTA PROPIETARIOS'!$N$7:$N$417,"5",'ENCUESTA PROPIETARIOS'!$BG$7:$BG$417,"X")</f>
        <v>44</v>
      </c>
      <c r="EA7" s="249">
        <f>COUNTIFS('ENCUESTA PROPIETARIOS'!$N$7:$N$417,"&gt;5",'ENCUESTA PROPIETARIOS'!$BF$7:$BF$417,"X")+COUNTIFS('ENCUESTA PROPIETARIOS'!$N$7:$N$417,"&gt;5",'ENCUESTA PROPIETARIOS'!$BG$7:$BG$417,"X")</f>
        <v>19</v>
      </c>
      <c r="EB7" s="249">
        <f>SUM(DX7:EA7)</f>
        <v>137</v>
      </c>
      <c r="ED7" s="17" t="s">
        <v>2661</v>
      </c>
      <c r="EE7" s="6">
        <f t="shared" si="60"/>
        <v>0.16346153846153846</v>
      </c>
      <c r="EF7" s="6">
        <f t="shared" si="25"/>
        <v>0.1</v>
      </c>
      <c r="EG7" s="6">
        <f t="shared" si="26"/>
        <v>0.1834862385321101</v>
      </c>
      <c r="EH7" s="6">
        <f t="shared" si="27"/>
        <v>0.24489795918367346</v>
      </c>
      <c r="EI7" s="6">
        <f t="shared" si="28"/>
        <v>0.20945945945945946</v>
      </c>
      <c r="EJ7" s="6">
        <f t="shared" si="29"/>
        <v>0.12946428571428573</v>
      </c>
      <c r="EK7" s="6">
        <f t="shared" si="30"/>
        <v>0.06</v>
      </c>
      <c r="EL7" s="6">
        <f t="shared" si="31"/>
        <v>0.17142857142857143</v>
      </c>
      <c r="EM7" s="249">
        <f>COUNTIFS('DETALLES UNIDADES'!$BC$8:$BC$987,"&lt;1991",'DETALLES UNIDADES'!$AN$8:$AN$987,"&lt;25001")-EM6-EM5-EM4</f>
        <v>17</v>
      </c>
      <c r="EN7" s="249">
        <f>COUNTIFS('DETALLES UNIDADES'!$BC$8:$BC$987,"&lt;1994",'DETALLES UNIDADES'!$AN$8:$AN$987,"&lt;25001")-EM7-EN6-EM6-EN5-EM5-EN4-EM4</f>
        <v>5</v>
      </c>
      <c r="EO7" s="249">
        <f>COUNTIFS('DETALLES UNIDADES'!$BC$8:$BC$987,"&lt;1998",'DETALLES UNIDADES'!$AN$8:$AN$987,"&lt;25001")-EN7-EM7-EO6-EN6-EM6-EO5-EN5-EM5-EO4-EN4-EM4</f>
        <v>20</v>
      </c>
      <c r="EP7" s="249">
        <f>COUNTIFS('DETALLES UNIDADES'!$BC$8:$BC$987,"&lt;2004",'DETALLES UNIDADES'!$AN$8:$AN$987,"&lt;25001")-EO7-EN7-EM7-EP6-EO6-EN6-EM6-EP5-EO5-EN5-EM5-EP4-EO4-EN4-EM4</f>
        <v>60</v>
      </c>
      <c r="EQ7" s="249">
        <f>COUNTIFS('DETALLES UNIDADES'!$BC$8:$BC$987,"&lt;2007",'DETALLES UNIDADES'!$AN$8:$AN$987,"&lt;25001")-EP7-EO7-EN7-EM7-EQ6-EP6-EO6-EN6-EM6-EQ5-EP5-EO5-EN5-EM5-EQ4-EP4-EO4-EN4-EM4</f>
        <v>31</v>
      </c>
      <c r="ER7" s="249">
        <f>COUNTIFS('DETALLES UNIDADES'!$BC$8:$BC$987,"&lt;2011",'DETALLES UNIDADES'!$AN$8:$AN$987,"&lt;25001")-EQ7-EP7-EO7-EN7-EM7-ER6-EQ6-EP6-EO6-EN6-EM6-ER5-EQ5-EP5-EO5-EN5-EM5-ER4-EQ4-EP4-EO4-EN4-EM4</f>
        <v>29</v>
      </c>
      <c r="ES7" s="249">
        <f>COUNTIFS('DETALLES UNIDADES'!$BC$8:$BC$987,"&gt;2010",'DETALLES UNIDADES'!$AN$8:$AN$987,"&lt;25001")-ES6-ES5-ES4</f>
        <v>6</v>
      </c>
      <c r="ET7" s="249">
        <f t="shared" si="32"/>
        <v>168</v>
      </c>
      <c r="EV7" s="137" t="s">
        <v>878</v>
      </c>
      <c r="EW7" s="6">
        <f t="shared" si="61"/>
        <v>8.8122605363984668E-2</v>
      </c>
      <c r="EX7" s="6">
        <f t="shared" si="33"/>
        <v>0.18656716417910449</v>
      </c>
      <c r="EY7" s="6">
        <f t="shared" si="34"/>
        <v>0.26451612903225807</v>
      </c>
      <c r="EZ7" s="6">
        <f t="shared" si="35"/>
        <v>0.14814814814814814</v>
      </c>
      <c r="FA7" s="6">
        <f t="shared" si="36"/>
        <v>0.16059602649006621</v>
      </c>
      <c r="FB7" s="249">
        <f>COUNTIFS('ENCUESTA PROPIETARIOS'!$N$7:$N$417,"1",'ENCUESTA PROPIETARIOS'!$BV$7:$BV$417,"X")</f>
        <v>23</v>
      </c>
      <c r="FC7" s="249">
        <f>COUNTIFS('ENCUESTA PROPIETARIOS'!$N$7:$N$417,"2",'ENCUESTA PROPIETARIOS'!$BV$7:$BV$417,"X")</f>
        <v>25</v>
      </c>
      <c r="FD7" s="249">
        <f>COUNTIFS('ENCUESTA PROPIETARIOS'!$N$7:$N$417,"3",'ENCUESTA PROPIETARIOS'!$BV$7:$BV$417,"X")+COUNTIFS('ENCUESTA PROPIETARIOS'!$N$7:$N$417,"4",'ENCUESTA PROPIETARIOS'!$BV$7:$BV$417,"X")+COUNTIFS('ENCUESTA PROPIETARIOS'!$N$7:$N$417,"5",'ENCUESTA PROPIETARIOS'!$BV$7:$BV$417,"X")</f>
        <v>41</v>
      </c>
      <c r="FE7" s="249">
        <f>COUNTIFS('ENCUESTA PROPIETARIOS'!$N$7:$N$417,"&gt;5",'ENCUESTA PROPIETARIOS'!$BV$7:$BV$417,"X")</f>
        <v>8</v>
      </c>
      <c r="FF7" s="249">
        <f t="shared" si="37"/>
        <v>97</v>
      </c>
      <c r="FM7" s="11" t="s">
        <v>2537</v>
      </c>
      <c r="FN7" s="6">
        <f t="shared" si="62"/>
        <v>5.5102040816326532E-2</v>
      </c>
      <c r="FO7" s="6">
        <f t="shared" si="38"/>
        <v>4.6938775510204082E-2</v>
      </c>
      <c r="FP7" s="6">
        <f t="shared" si="39"/>
        <v>0</v>
      </c>
      <c r="FQ7" s="6">
        <f t="shared" si="40"/>
        <v>0.14795918367346939</v>
      </c>
      <c r="FR7" s="6">
        <f t="shared" si="41"/>
        <v>0.25</v>
      </c>
      <c r="FS7" s="249">
        <f>COUNTIFS('DETALLES UNIDADES'!$C$8:$C$987,"C2",'DETALLES UNIDADES'!$BC$8:$BC$987,"&lt;2004")-FS6-FS5-FS4</f>
        <v>54</v>
      </c>
      <c r="FT7" s="249">
        <f>COUNTIFS('DETALLES UNIDADES'!$C$8:$C$987,"C3",'DETALLES UNIDADES'!$BC$8:$BC$987,"&lt;2004")-FT6-FT5-FT4</f>
        <v>46</v>
      </c>
      <c r="FU7" s="249">
        <f>COUNTIFS('DETALLES UNIDADES'!$C$8:$C$987,"T2",'DETALLES UNIDADES'!$BC$8:$BC$987,"&lt;2004")-FU6-FU5-FU4</f>
        <v>0</v>
      </c>
      <c r="FV7" s="249">
        <f>COUNTIFS('DETALLES UNIDADES'!$C$8:$C$987,"T3",'DETALLES UNIDADES'!$BC$8:$BC$987,"&lt;2004")-FV6-FV5-FV4</f>
        <v>145</v>
      </c>
      <c r="FW7" s="249">
        <f t="shared" si="42"/>
        <v>245</v>
      </c>
      <c r="FY7" s="11" t="s">
        <v>824</v>
      </c>
      <c r="FZ7" s="121">
        <f t="shared" si="63"/>
        <v>9.1776798825256981E-2</v>
      </c>
      <c r="GA7" s="11">
        <f>SUM('ENCUESTA PROPIETARIOS'!$V$7:$V$417)</f>
        <v>125</v>
      </c>
      <c r="GB7" s="11">
        <f>SUM('ENCUESTA PROPIETARIOS'!$V$7:$V$417)</f>
        <v>125</v>
      </c>
      <c r="GC7" s="249">
        <f>+'[1]ENCUESTA CONDUCTORES'!$AG$464</f>
        <v>0</v>
      </c>
      <c r="GE7" s="11" t="s">
        <v>2376</v>
      </c>
      <c r="GF7" s="6">
        <f t="shared" si="43"/>
        <v>0</v>
      </c>
      <c r="GG7" s="249">
        <f>COUNTIFS('DETALLES UNIDADES'!$C$8:$C$987,"C2",'DETALLES UNIDADES'!$R$8:$R$987,"&lt;12501")-GG6-GG5-GG4-GG3</f>
        <v>0</v>
      </c>
      <c r="GK7" s="11"/>
      <c r="GL7" s="6"/>
      <c r="GM7" s="249"/>
    </row>
    <row r="8" spans="1:195" x14ac:dyDescent="0.25">
      <c r="B8" s="249" t="s">
        <v>337</v>
      </c>
      <c r="C8" s="189">
        <f t="shared" si="64"/>
        <v>8.4693877551020411E-2</v>
      </c>
      <c r="D8" s="189">
        <f t="shared" si="44"/>
        <v>6.6326530612244902E-2</v>
      </c>
      <c r="E8" s="189">
        <f t="shared" si="45"/>
        <v>0.17142857142857143</v>
      </c>
      <c r="F8" s="189">
        <f t="shared" si="46"/>
        <v>0.21938775510204081</v>
      </c>
      <c r="G8" s="189">
        <f t="shared" si="47"/>
        <v>0.5418367346938775</v>
      </c>
      <c r="H8" s="249">
        <f>COUNTIFS('DETALLES UNIDADES'!$C$8:$C$987,"T3",'DETALLES UNIDADES'!$BA$8:$BA$987,"1")</f>
        <v>83</v>
      </c>
      <c r="I8" s="249">
        <f>COUNTIFS('DETALLES UNIDADES'!$C$8:$C$987,"T3",'DETALLES UNIDADES'!$BA$8:$BA$987,"2")</f>
        <v>65</v>
      </c>
      <c r="J8" s="249">
        <f>COUNTIFS('DETALLES UNIDADES'!$C$8:$C$987,"T3",'DETALLES UNIDADES'!$BA$8:$BA$987,"&lt;6")-I8-H8</f>
        <v>168</v>
      </c>
      <c r="K8" s="249">
        <f>COUNTIFS('DETALLES UNIDADES'!$C$8:$C$987,"T3",'DETALLES UNIDADES'!$BA$8:$BA$987,"&gt;5")</f>
        <v>215</v>
      </c>
      <c r="L8" s="249">
        <f t="shared" si="65"/>
        <v>531</v>
      </c>
      <c r="M8" s="249"/>
      <c r="N8" s="7" t="s">
        <v>337</v>
      </c>
      <c r="O8" s="252">
        <f t="shared" si="66"/>
        <v>0.5418367346938775</v>
      </c>
      <c r="P8" s="252">
        <f t="shared" si="48"/>
        <v>0</v>
      </c>
      <c r="Q8" s="252">
        <f t="shared" si="49"/>
        <v>0</v>
      </c>
      <c r="R8" s="252">
        <f t="shared" si="50"/>
        <v>0.5418367346938775</v>
      </c>
      <c r="S8" s="253">
        <f>COUNTIFS('DETALLES UNIDADES'!$C$8:$C$987,"T3",'DETALLES UNIDADES'!$S$8:$S$987,"D")</f>
        <v>531</v>
      </c>
      <c r="T8" s="253">
        <f>COUNTIFS('DETALLES UNIDADES'!$C$8:$C$987,"T3",'DETALLES UNIDADES'!$S$8:$S$987,"G")</f>
        <v>0</v>
      </c>
      <c r="U8" s="253">
        <f>COUNTIFS('DETALLES UNIDADES'!$C$8:$C$987,"T3",'DETALLES UNIDADES'!$S$8:$S$987,"GAS")</f>
        <v>0</v>
      </c>
      <c r="V8" s="161">
        <f>SUM(S8:U8)</f>
        <v>531</v>
      </c>
      <c r="W8" s="9"/>
      <c r="X8" s="19" t="s">
        <v>1722</v>
      </c>
      <c r="Y8" s="254">
        <f t="shared" si="67"/>
        <v>0.17</v>
      </c>
      <c r="Z8" s="9">
        <f>COUNTIFS('DETALLES UNIDADES'!$S$8:$S$987,"D",'DETALLES UNIDADES'!$T$8:$T$987,"&lt;2.21")-Z7-Z6-Z5</f>
        <v>153</v>
      </c>
      <c r="AK8" s="11" t="s">
        <v>2539</v>
      </c>
      <c r="AL8" s="6">
        <f t="shared" si="4"/>
        <v>4.6938775510204082E-2</v>
      </c>
      <c r="AM8" s="6">
        <f t="shared" si="0"/>
        <v>2.7551020408163266E-2</v>
      </c>
      <c r="AN8" s="6">
        <f t="shared" si="1"/>
        <v>2.4489795918367346E-2</v>
      </c>
      <c r="AO8" s="6">
        <f t="shared" si="2"/>
        <v>0.12959183673469388</v>
      </c>
      <c r="AP8" s="6">
        <f t="shared" si="3"/>
        <v>0.22857142857142856</v>
      </c>
      <c r="AQ8" s="249">
        <f>COUNTIFS('DETALLES UNIDADES'!$C$8:$C$987,AQ$2,'DETALLES UNIDADES'!$BC$8:$BC$987,"&lt;2011")-AQ7-AQ6-AQ5-AQ4-AQ3</f>
        <v>46</v>
      </c>
      <c r="AR8" s="249">
        <f>COUNTIFS('DETALLES UNIDADES'!$C$8:$C$987,AR$2,'DETALLES UNIDADES'!$BC$8:$BC$987,"&lt;2011")-AR7-AR6-AR5-AR4-AR3</f>
        <v>27</v>
      </c>
      <c r="AS8" s="249">
        <f>COUNTIFS('DETALLES UNIDADES'!$C$8:$C$987,AS$2,'DETALLES UNIDADES'!$BC$8:$BC$987,"&lt;2011")-AS7-AS6-AS5-AS4-AS3</f>
        <v>24</v>
      </c>
      <c r="AT8" s="249">
        <f>COUNTIFS('DETALLES UNIDADES'!$C$8:$C$987,AT$2,'DETALLES UNIDADES'!$BC$8:$BC$987,"&lt;2011")-AT7-AT6-AT5-AT4-AT3</f>
        <v>127</v>
      </c>
      <c r="AU8" s="249">
        <f t="shared" si="51"/>
        <v>224</v>
      </c>
      <c r="AV8" s="17">
        <v>224</v>
      </c>
      <c r="BD8" s="112" t="s">
        <v>944</v>
      </c>
      <c r="BE8" s="6">
        <f t="shared" si="52"/>
        <v>6.0762100926879503E-2</v>
      </c>
      <c r="BF8" s="6">
        <f t="shared" si="5"/>
        <v>1.4418125643666324E-2</v>
      </c>
      <c r="BG8" s="6">
        <f t="shared" si="6"/>
        <v>6.1791967044284241E-3</v>
      </c>
      <c r="BH8" s="6">
        <f t="shared" si="7"/>
        <v>1.7507723995880537E-2</v>
      </c>
      <c r="BI8" s="6">
        <f t="shared" si="8"/>
        <v>0</v>
      </c>
      <c r="BJ8" s="6">
        <f t="shared" si="9"/>
        <v>0</v>
      </c>
      <c r="BK8" s="6">
        <f t="shared" si="10"/>
        <v>0</v>
      </c>
      <c r="BL8" s="6">
        <f t="shared" si="11"/>
        <v>9.8867147270854785E-2</v>
      </c>
      <c r="BM8" s="138">
        <f>COUNTIFS('DETALLES UNIDADES'!$J$8:$J$987,"&lt;2000001",'DETALLES UNIDADES'!$D$8:$D$987,"&lt;1991")-BM7-BM6-BM5-BM4</f>
        <v>59</v>
      </c>
      <c r="BN8" s="138">
        <f>COUNTIFS('DETALLES UNIDADES'!$J$8:$J$987,"&lt;2000001",'DETALLES UNIDADES'!$D$8:$D$987,"&lt;1994")-BM8-BN7-BM7-BN6-BM6-BN5-BM5-BN4-BM4</f>
        <v>14</v>
      </c>
      <c r="BO8" s="138">
        <f>COUNTIFS('DETALLES UNIDADES'!$J$8:$J$987,"&lt;2000001",'DETALLES UNIDADES'!$D$8:$D$987,"&lt;1998")-BN8-BM8-BO7-BN7-BM7-BO6-BN6-BM6-BO5-BN5-BM5-BO4-BN4-BM4</f>
        <v>6</v>
      </c>
      <c r="BP8" s="138">
        <f>COUNTIFS('DETALLES UNIDADES'!$J$8:$J$987,"&lt;2000001",'DETALLES UNIDADES'!$D$8:$D$987,"&lt;2004")-BO8-BN8-BM8-BP7-BO7-BN7-BM7-BP6-BO6-BN6-BM6-BP5-BO5-BN5-BM5-BP4-BO4-BN4-BM4</f>
        <v>17</v>
      </c>
      <c r="BQ8" s="138">
        <f>COUNTIFS('DETALLES UNIDADES'!$J$8:$J$987,"&lt;2000001",'DETALLES UNIDADES'!$D$8:$D$987,"&lt;2007")-BP8-BO8-BN8-BM8-BQ7-BP7-BO7-BN7-BM7-BQ6-BP6-BO6-BN6-BM6-BQ5-BP5-BO5-BN5-BM5-BQ4-BP4-BO4-BN4-BM4</f>
        <v>0</v>
      </c>
      <c r="BR8" s="138">
        <f>COUNTIFS('DETALLES UNIDADES'!$J$8:$J$987,"&lt;2000001",'DETALLES UNIDADES'!$D$8:$D$987,"&lt;2011")-BQ8-BP8-BO8-BN8-BM8-BR7-BQ7-BP7-BO7-BN7-BM7-BR6-BQ6-BP6-BO6-BN6-BM6-BR5-BQ5-BP5-BO5-BN5-BM5-BR4-BQ4-BP4-BO4-BN4-BM4</f>
        <v>0</v>
      </c>
      <c r="BS8" s="138">
        <f>COUNTIFS('DETALLES UNIDADES'!$J$8:$J$987,"&lt;2000001",'DETALLES UNIDADES'!$D$8:$D$987,"&gt;2010")-BS7-BS6-BS5-BS4</f>
        <v>0</v>
      </c>
      <c r="BT8" s="249">
        <f t="shared" si="53"/>
        <v>96</v>
      </c>
      <c r="BV8" s="17" t="s">
        <v>2593</v>
      </c>
      <c r="BW8" s="6">
        <f t="shared" si="54"/>
        <v>5.3527980535279802E-2</v>
      </c>
      <c r="BX8" s="6">
        <f t="shared" si="12"/>
        <v>2.4330900243309004E-2</v>
      </c>
      <c r="BY8" s="6">
        <f t="shared" si="13"/>
        <v>1.7031630170316302E-2</v>
      </c>
      <c r="BZ8" s="6">
        <f t="shared" si="14"/>
        <v>1.2165450121654502E-2</v>
      </c>
      <c r="CA8" s="6">
        <f t="shared" si="15"/>
        <v>0.1070559610705596</v>
      </c>
      <c r="CB8" s="249">
        <f>COUNTIFS('ENCUESTA PROPIETARIOS'!$G$7:$G$417,"&gt;60",'ENCUESTA PROPIETARIOS'!$N$7:$N$417,"1")</f>
        <v>22</v>
      </c>
      <c r="CC8" s="249">
        <f>COUNTIFS('ENCUESTA PROPIETARIOS'!$G$7:$G$417,"&gt;60",'ENCUESTA PROPIETARIOS'!$N$7:$N$417,"2")</f>
        <v>10</v>
      </c>
      <c r="CD8" s="249">
        <f>COUNTIFS('ENCUESTA PROPIETARIOS'!$G$7:$G$417,"&gt;60",'ENCUESTA PROPIETARIOS'!$N$7:$N$417,"3")+COUNTIFS('ENCUESTA PROPIETARIOS'!$G$7:$G$417,"&gt;60",'ENCUESTA PROPIETARIOS'!$N$7:$N$417,"4")+COUNTIFS('ENCUESTA PROPIETARIOS'!$G$7:$G$417,"&gt;60",'ENCUESTA PROPIETARIOS'!$N$7:$N$417,"5")</f>
        <v>7</v>
      </c>
      <c r="CE8" s="249">
        <f>COUNTIFS('ENCUESTA PROPIETARIOS'!$G$7:$G$417,"&gt;60",'ENCUESTA PROPIETARIOS'!$N$7:$N$417,"&gt;5")</f>
        <v>5</v>
      </c>
      <c r="CF8" s="249">
        <f>SUM(CB8:CE8)</f>
        <v>44</v>
      </c>
      <c r="CH8" s="137" t="s">
        <v>34</v>
      </c>
      <c r="CI8" s="249">
        <f>COUNTIFS('ENCUESTA PROPIETARIOS'!$N$7:$N$417,"1",'ENCUESTA PROPIETARIOS'!$AP$7:$AP$417,"X")</f>
        <v>42</v>
      </c>
      <c r="CJ8" s="249">
        <f>COUNTIFS('ENCUESTA PROPIETARIOS'!$N$7:$N$417,"2",'ENCUESTA PROPIETARIOS'!$AP$7:$AP$417,"X")</f>
        <v>24</v>
      </c>
      <c r="CK8" s="249">
        <f>COUNTIFS('ENCUESTA PROPIETARIOS'!$N$7:$N$417,"3",'ENCUESTA PROPIETARIOS'!$AP$7:$AP$417,"X")+COUNTIFS('ENCUESTA PROPIETARIOS'!$N$7:$N$417,"4",'ENCUESTA PROPIETARIOS'!$AP$7:$AP$417,"X")+COUNTIFS('ENCUESTA PROPIETARIOS'!$N$7:$N$417,"5",'ENCUESTA PROPIETARIOS'!$AP$7:$AP$417,"X")</f>
        <v>16</v>
      </c>
      <c r="CL8" s="249">
        <f>COUNTIFS('ENCUESTA PROPIETARIOS'!$N$7:$N$417,"&gt;5",'ENCUESTA PROPIETARIOS'!$AP$7:$AP$417,"X")</f>
        <v>14</v>
      </c>
      <c r="CM8" s="249">
        <f t="shared" si="55"/>
        <v>96</v>
      </c>
      <c r="CN8" s="249"/>
      <c r="CO8" s="249"/>
      <c r="CP8" s="249"/>
      <c r="CQ8" s="249"/>
      <c r="CR8" s="249"/>
      <c r="CT8" s="17" t="s">
        <v>2609</v>
      </c>
      <c r="CU8" s="6">
        <f t="shared" si="56"/>
        <v>2.7339642481598318E-2</v>
      </c>
      <c r="CV8" s="6">
        <f t="shared" si="16"/>
        <v>1.8927444794952682E-2</v>
      </c>
      <c r="CW8" s="6">
        <f t="shared" si="17"/>
        <v>9.4637223974763408E-3</v>
      </c>
      <c r="CX8" s="6">
        <f t="shared" si="18"/>
        <v>1.4721345951629864E-2</v>
      </c>
      <c r="CY8" s="6">
        <f t="shared" si="19"/>
        <v>7.0452155625657209E-2</v>
      </c>
      <c r="CZ8" s="249">
        <f>COUNTIFS('DETALLES UNIDADES'!$BA$8:$BA$987,"1",'DETALLES UNIDADES'!$O$8:$O$987,"&lt;10%")</f>
        <v>26</v>
      </c>
      <c r="DA8" s="249">
        <f>COUNTIFS('DETALLES UNIDADES'!$BA$8:$BA$987,"2",'DETALLES UNIDADES'!$O$8:$O$987,"&lt;10%")</f>
        <v>18</v>
      </c>
      <c r="DB8" s="249">
        <f>COUNTIFS('DETALLES UNIDADES'!$BA$8:$BA$987,"3",'DETALLES UNIDADES'!$O$8:$O$987,"&lt;10%")+COUNTIFS('DETALLES UNIDADES'!$BA$8:$BA$987,"4",'DETALLES UNIDADES'!$O$8:$O$987,"&lt;10%")+COUNTIFS('DETALLES UNIDADES'!$BA$8:$BA$987,"5",'DETALLES UNIDADES'!$O$8:$O$987,"&lt;10%")</f>
        <v>9</v>
      </c>
      <c r="DC8" s="249">
        <f>COUNTIFS('DETALLES UNIDADES'!$BA$8:$BA$987,"&gt;5",'DETALLES UNIDADES'!$O$8:$O$987,"&lt;10%")</f>
        <v>14</v>
      </c>
      <c r="DD8" s="249">
        <f t="shared" si="57"/>
        <v>67</v>
      </c>
      <c r="DR8" s="151" t="s">
        <v>1668</v>
      </c>
      <c r="DS8" s="6">
        <f t="shared" si="59"/>
        <v>2.3904382470119521E-2</v>
      </c>
      <c r="DT8" s="6">
        <f t="shared" si="21"/>
        <v>5.3846153846153849E-2</v>
      </c>
      <c r="DU8" s="6">
        <f t="shared" si="22"/>
        <v>0.06</v>
      </c>
      <c r="DV8" s="6">
        <f t="shared" si="23"/>
        <v>0.10169491525423729</v>
      </c>
      <c r="DW8" s="6">
        <f t="shared" si="24"/>
        <v>4.7457627118644069E-2</v>
      </c>
      <c r="DX8" s="249">
        <f>COUNTIFS('ENCUESTA PROPIETARIOS'!$N$7:$N$417,"1",'ENCUESTA PROPIETARIOS'!$BH$7:$BH$417,"X")+COUNTIFS('ENCUESTA PROPIETARIOS'!$N$7:$N$417,"1",'ENCUESTA PROPIETARIOS'!$BJ$7:$BJ$417,"X")</f>
        <v>6</v>
      </c>
      <c r="DY8" s="249">
        <f>COUNTIFS('ENCUESTA PROPIETARIOS'!$N$7:$N$417,"2",'ENCUESTA PROPIETARIOS'!$BH$7:$BH$417,"X")+COUNTIFS('ENCUESTA PROPIETARIOS'!$N$7:$N$417,"2",'ENCUESTA PROPIETARIOS'!$BJ$7:$BJ$417,"X")</f>
        <v>7</v>
      </c>
      <c r="DZ8" s="249">
        <f>COUNTIFS('ENCUESTA PROPIETARIOS'!$N$7:$N$417,"3",'ENCUESTA PROPIETARIOS'!$BH$7:$BH$417,"X")+COUNTIFS('ENCUESTA PROPIETARIOS'!$N$7:$N$417,"4",'ENCUESTA PROPIETARIOS'!$BH$7:$BH$417,"X")+COUNTIFS('ENCUESTA PROPIETARIOS'!$N$7:$N$417,"5",'ENCUESTA PROPIETARIOS'!$BH$7:$BH$417,"X")+COUNTIFS('ENCUESTA PROPIETARIOS'!$N$7:$N$417,"3",'ENCUESTA PROPIETARIOS'!$BJ$7:$BJ$417,"X")+COUNTIFS('ENCUESTA PROPIETARIOS'!$N$7:$N$417,"4",'ENCUESTA PROPIETARIOS'!$BJ$7:$BJ$417,"X")+COUNTIFS('ENCUESTA PROPIETARIOS'!$N$7:$N$417,"5",'ENCUESTA PROPIETARIOS'!$BJ$7:$BJ$417,"X")</f>
        <v>9</v>
      </c>
      <c r="EA8" s="249">
        <f>COUNTIFS('ENCUESTA PROPIETARIOS'!$N$7:$N$417,"&gt;5",'ENCUESTA PROPIETARIOS'!$BH$7:$BH$417,"X")+COUNTIFS('ENCUESTA PROPIETARIOS'!$N$7:$N$417,"&gt;5",'ENCUESTA PROPIETARIOS'!$BJ$7:$BJ$417,"X")</f>
        <v>6</v>
      </c>
      <c r="EB8" s="249">
        <f>SUM(DX8:EA8)</f>
        <v>28</v>
      </c>
      <c r="ED8" s="17" t="s">
        <v>2662</v>
      </c>
      <c r="EE8" s="6">
        <f t="shared" si="60"/>
        <v>9.6153846153846159E-2</v>
      </c>
      <c r="EF8" s="6">
        <f t="shared" si="25"/>
        <v>0.04</v>
      </c>
      <c r="EG8" s="6">
        <f t="shared" si="26"/>
        <v>0.11009174311926606</v>
      </c>
      <c r="EH8" s="6">
        <f t="shared" si="27"/>
        <v>0.12653061224489795</v>
      </c>
      <c r="EI8" s="6">
        <f t="shared" si="28"/>
        <v>6.7567567567567571E-2</v>
      </c>
      <c r="EJ8" s="6">
        <f t="shared" si="29"/>
        <v>5.8035714285714288E-2</v>
      </c>
      <c r="EK8" s="6">
        <f t="shared" si="30"/>
        <v>0.03</v>
      </c>
      <c r="EL8" s="6">
        <f t="shared" si="31"/>
        <v>8.2653061224489802E-2</v>
      </c>
      <c r="EM8" s="249">
        <f>COUNTIFS('DETALLES UNIDADES'!$BC$8:$BC$987,"&lt;1991",'DETALLES UNIDADES'!$AN$8:$AN$987,"&lt;30001")-EM7-EM6-EM5-EM4</f>
        <v>10</v>
      </c>
      <c r="EN8" s="249">
        <f>COUNTIFS('DETALLES UNIDADES'!$BC$8:$BC$987,"&lt;1994",'DETALLES UNIDADES'!$AN$8:$AN$987,"&lt;30001")-EM8-EN7-EM7-EN6-EM6-EN5-EM5-EN4-EM4</f>
        <v>2</v>
      </c>
      <c r="EO8" s="249">
        <f>COUNTIFS('DETALLES UNIDADES'!$BC$8:$BC$987,"&lt;1998",'DETALLES UNIDADES'!$AN$8:$AN$987,"&lt;30001")-EN8-EM8-EO7-EN7-EM7-EO6-EN6-EM6-EO5-EN5-EM5-EO4-EN4-EM4</f>
        <v>12</v>
      </c>
      <c r="EP8" s="249">
        <f>COUNTIFS('DETALLES UNIDADES'!$BC$8:$BC$987,"&lt;2004",'DETALLES UNIDADES'!$AN$8:$AN$987,"&lt;30001")-EO8-EN8-EM8-EP7-EO7-EN7-EM7-EP6-EO6-EN6-EM6-EP5-EO5-EN5-EM5-EP4-EO4-EN4-EM4</f>
        <v>31</v>
      </c>
      <c r="EQ8" s="249">
        <f>COUNTIFS('DETALLES UNIDADES'!$BC$8:$BC$987,"&lt;2007",'DETALLES UNIDADES'!$AN$8:$AN$987,"&lt;30001")-EP8-EO8-EN8-EM8-EQ7-EP7-EO7-EN7-EM7-EQ6-EP6-EO6-EN6-EM6-EQ5-EP5-EO5-EN5-EM5-EQ4-EP4-EO4-EN4-EM4</f>
        <v>10</v>
      </c>
      <c r="ER8" s="249">
        <f>COUNTIFS('DETALLES UNIDADES'!$BC$8:$BC$987,"&lt;2011",'DETALLES UNIDADES'!$AN$8:$AN$987,"&lt;30001")-EQ8-EP8-EO8-EN8-EM8-ER7-EQ7-EP7-EO7-EN7-EM7-ER6-EQ6-EP6-EO6-EN6-EM6-ER5-EQ5-EP5-EO5-EN5-EM5-ER4-EQ4-EP4-EO4-EN4-EM4</f>
        <v>13</v>
      </c>
      <c r="ES8" s="249">
        <f>COUNTIFS('DETALLES UNIDADES'!$BC$8:$BC$987,"&gt;2010",'DETALLES UNIDADES'!$AN$8:$AN$987,"&lt;30001")-ES7-ES6-ES5-ES4</f>
        <v>3</v>
      </c>
      <c r="ET8" s="249">
        <f t="shared" si="32"/>
        <v>81</v>
      </c>
      <c r="EV8" s="137" t="s">
        <v>2680</v>
      </c>
      <c r="EW8" s="6">
        <f t="shared" si="61"/>
        <v>0.2413793103448276</v>
      </c>
      <c r="EX8" s="6">
        <f t="shared" si="33"/>
        <v>0.2537313432835821</v>
      </c>
      <c r="EY8" s="6">
        <f t="shared" si="34"/>
        <v>0.29032258064516131</v>
      </c>
      <c r="EZ8" s="6">
        <f t="shared" si="35"/>
        <v>0.29629629629629628</v>
      </c>
      <c r="FA8" s="6">
        <f t="shared" si="36"/>
        <v>0.26158940397350994</v>
      </c>
      <c r="FB8" s="249">
        <f>COUNTIFS('ENCUESTA PROPIETARIOS'!$N$7:$N$417,"1",'ENCUESTA PROPIETARIOS'!$BW$7:$BW$417,"X")</f>
        <v>63</v>
      </c>
      <c r="FC8" s="249">
        <f>COUNTIFS('ENCUESTA PROPIETARIOS'!$N$7:$N$417,"2",'ENCUESTA PROPIETARIOS'!$BW$7:$BW$417,"X")</f>
        <v>34</v>
      </c>
      <c r="FD8" s="249">
        <f>COUNTIFS('ENCUESTA PROPIETARIOS'!$N$7:$N$417,"3",'ENCUESTA PROPIETARIOS'!$BW$7:$BW$417,"X")+COUNTIFS('ENCUESTA PROPIETARIOS'!$N$7:$N$417,"4",'ENCUESTA PROPIETARIOS'!$BW$7:$BW$417,"X")+COUNTIFS('ENCUESTA PROPIETARIOS'!$N$7:$N$417,"5",'ENCUESTA PROPIETARIOS'!$BW$7:$BW$417,"X")</f>
        <v>45</v>
      </c>
      <c r="FE8" s="249">
        <f>COUNTIFS('ENCUESTA PROPIETARIOS'!$N$7:$N$417,"&gt;5",'ENCUESTA PROPIETARIOS'!$BW$7:$BW$417,"X")</f>
        <v>16</v>
      </c>
      <c r="FF8" s="249">
        <f t="shared" si="37"/>
        <v>158</v>
      </c>
      <c r="FM8" s="11" t="s">
        <v>2538</v>
      </c>
      <c r="FN8" s="6">
        <f t="shared" si="62"/>
        <v>0.05</v>
      </c>
      <c r="FO8" s="6">
        <f t="shared" si="38"/>
        <v>2.5510204081632654E-2</v>
      </c>
      <c r="FP8" s="6">
        <f t="shared" si="39"/>
        <v>5.1020408163265302E-3</v>
      </c>
      <c r="FQ8" s="6">
        <f t="shared" si="40"/>
        <v>7.040816326530612E-2</v>
      </c>
      <c r="FR8" s="6">
        <f t="shared" si="41"/>
        <v>0.15102040816326531</v>
      </c>
      <c r="FS8" s="249">
        <f>COUNTIFS('DETALLES UNIDADES'!$C$8:$C$987,"C2",'DETALLES UNIDADES'!$BC$8:$BC$987,"&lt;2007")-FS7-FS6-FS5-FS4</f>
        <v>49</v>
      </c>
      <c r="FT8" s="249">
        <f>COUNTIFS('DETALLES UNIDADES'!$C$8:$C$987,"C3",'DETALLES UNIDADES'!$BC$8:$BC$987,"&lt;2007")-FT7-FT6-FT5-FT4</f>
        <v>25</v>
      </c>
      <c r="FU8" s="249">
        <f>COUNTIFS('DETALLES UNIDADES'!$C$8:$C$987,"T2",'DETALLES UNIDADES'!$BC$8:$BC$987,"&lt;2007")-FU7-FU6-FU5-FU4</f>
        <v>5</v>
      </c>
      <c r="FV8" s="249">
        <f>COUNTIFS('DETALLES UNIDADES'!$C$8:$C$987,"T3",'DETALLES UNIDADES'!$BC$8:$BC$987,"&lt;2007")-FV7-FV6-FV5-FV4</f>
        <v>69</v>
      </c>
      <c r="FW8" s="249">
        <f t="shared" si="42"/>
        <v>148</v>
      </c>
      <c r="FY8" s="11" t="s">
        <v>1709</v>
      </c>
      <c r="FZ8" s="121">
        <f t="shared" si="63"/>
        <v>4.6255506607929514E-2</v>
      </c>
      <c r="GA8" s="11">
        <f>SUM('ENCUESTA PROPIETARIOS'!$Y$7:$Y$417)+SUM('ENCUESTA PROPIETARIOS'!$U$7:$U$417)+SUM('ENCUESTA PROPIETARIOS'!$W$7:$W$417)</f>
        <v>63</v>
      </c>
      <c r="GB8" s="11">
        <f>SUM('ENCUESTA PROPIETARIOS'!$Y$7:$Y$417)+SUM('ENCUESTA PROPIETARIOS'!$U$7:$U$417)+SUM('ENCUESTA PROPIETARIOS'!$W$7:$W$417)</f>
        <v>63</v>
      </c>
      <c r="GC8" s="249">
        <f>+'[1]ENCUESTA CONDUCTORES'!$AG$468++'[1]ENCUESTA CONDUCTORES'!$AG$471++'[1]ENCUESTA CONDUCTORES'!$AG$465</f>
        <v>0</v>
      </c>
      <c r="GE8" s="11" t="s">
        <v>2724</v>
      </c>
      <c r="GF8" s="6">
        <f t="shared" si="43"/>
        <v>0</v>
      </c>
      <c r="GG8" s="249">
        <f>COUNTIFS('DETALLES UNIDADES'!$C$8:$C$987,"C2",'DETALLES UNIDADES'!$R$8:$R$987,"&gt;12500")</f>
        <v>0</v>
      </c>
      <c r="GK8" s="11"/>
      <c r="GL8" s="6"/>
      <c r="GM8" s="249"/>
    </row>
    <row r="9" spans="1:195" x14ac:dyDescent="0.25">
      <c r="B9" s="249" t="s">
        <v>1662</v>
      </c>
      <c r="C9" s="189">
        <f t="shared" si="64"/>
        <v>0.21326530612244898</v>
      </c>
      <c r="D9" s="189">
        <f t="shared" si="44"/>
        <v>0.16326530612244897</v>
      </c>
      <c r="E9" s="189">
        <f t="shared" si="45"/>
        <v>0.32959183673469389</v>
      </c>
      <c r="F9" s="189">
        <f t="shared" si="46"/>
        <v>0.29387755102040819</v>
      </c>
      <c r="G9" s="189">
        <f t="shared" si="47"/>
        <v>1</v>
      </c>
      <c r="H9" s="249">
        <f>SUM(H5:H8)</f>
        <v>209</v>
      </c>
      <c r="I9" s="249">
        <f t="shared" ref="I9:K9" si="69">SUM(I5:I8)</f>
        <v>160</v>
      </c>
      <c r="J9" s="249">
        <f t="shared" si="69"/>
        <v>323</v>
      </c>
      <c r="K9" s="249">
        <f t="shared" si="69"/>
        <v>288</v>
      </c>
      <c r="L9" s="249">
        <f t="shared" si="65"/>
        <v>980</v>
      </c>
      <c r="M9" s="249"/>
      <c r="N9" s="7" t="s">
        <v>1662</v>
      </c>
      <c r="O9" s="252">
        <f t="shared" si="66"/>
        <v>0.91836734693877553</v>
      </c>
      <c r="P9" s="252">
        <f t="shared" si="48"/>
        <v>7.4489795918367352E-2</v>
      </c>
      <c r="Q9" s="252">
        <f t="shared" si="49"/>
        <v>7.1428571428571426E-3</v>
      </c>
      <c r="R9" s="252">
        <f t="shared" si="50"/>
        <v>1</v>
      </c>
      <c r="S9" s="253">
        <f>SUM(S5:S8)</f>
        <v>900</v>
      </c>
      <c r="T9" s="253">
        <f t="shared" ref="T9:V9" si="70">SUM(T5:T8)</f>
        <v>73</v>
      </c>
      <c r="U9" s="253">
        <f t="shared" si="70"/>
        <v>7</v>
      </c>
      <c r="V9" s="253">
        <f t="shared" si="70"/>
        <v>980</v>
      </c>
      <c r="W9" s="9"/>
      <c r="X9" s="19" t="s">
        <v>1723</v>
      </c>
      <c r="Y9" s="254">
        <f t="shared" si="67"/>
        <v>0.20444444444444446</v>
      </c>
      <c r="Z9" s="9">
        <f>COUNTIFS('DETALLES UNIDADES'!$S$8:$S$987,"D",'DETALLES UNIDADES'!$T$8:$T$987,"&lt;2.51")-Z8-Z7-Z6-Z5</f>
        <v>184</v>
      </c>
      <c r="AK9" s="11" t="s">
        <v>2540</v>
      </c>
      <c r="AL9" s="6">
        <f t="shared" si="4"/>
        <v>1.4285714285714285E-2</v>
      </c>
      <c r="AM9" s="6">
        <f t="shared" si="0"/>
        <v>9.1836734693877559E-3</v>
      </c>
      <c r="AN9" s="6">
        <f t="shared" si="1"/>
        <v>8.1632653061224497E-3</v>
      </c>
      <c r="AO9" s="6">
        <f t="shared" si="2"/>
        <v>7.040816326530612E-2</v>
      </c>
      <c r="AP9" s="6">
        <f t="shared" si="3"/>
        <v>0.10204081632653061</v>
      </c>
      <c r="AQ9" s="249">
        <f>COUNTIFS('DETALLES UNIDADES'!$C$8:$C$987,AQ$2,'DETALLES UNIDADES'!$BC$8:$BC$987,"&gt;2010")</f>
        <v>14</v>
      </c>
      <c r="AR9" s="249">
        <f>COUNTIFS('DETALLES UNIDADES'!$C$8:$C$987,AR$2,'DETALLES UNIDADES'!$BC$8:$BC$987,"&gt;2010")</f>
        <v>9</v>
      </c>
      <c r="AS9" s="249">
        <f>COUNTIFS('DETALLES UNIDADES'!$C$8:$C$987,AS$2,'DETALLES UNIDADES'!$BC$8:$BC$987,"&gt;2010")</f>
        <v>8</v>
      </c>
      <c r="AT9" s="249">
        <f>COUNTIFS('DETALLES UNIDADES'!$C$8:$C$987,AT$2,'DETALLES UNIDADES'!$BC$8:$BC$987,"&gt;2010")</f>
        <v>69</v>
      </c>
      <c r="AU9" s="249">
        <f t="shared" si="51"/>
        <v>100</v>
      </c>
      <c r="AV9" s="17">
        <v>100</v>
      </c>
      <c r="BD9" s="112" t="s">
        <v>1714</v>
      </c>
      <c r="BE9" s="6">
        <f t="shared" si="52"/>
        <v>2.1627188465499485E-2</v>
      </c>
      <c r="BF9" s="6">
        <f t="shared" si="5"/>
        <v>1.0298661174047373E-3</v>
      </c>
      <c r="BG9" s="6">
        <f t="shared" si="6"/>
        <v>1.0298661174047373E-3</v>
      </c>
      <c r="BH9" s="6">
        <f t="shared" si="7"/>
        <v>1.0298661174047373E-3</v>
      </c>
      <c r="BI9" s="6">
        <f t="shared" si="8"/>
        <v>0</v>
      </c>
      <c r="BJ9" s="6">
        <f t="shared" si="9"/>
        <v>0</v>
      </c>
      <c r="BK9" s="6">
        <f t="shared" si="10"/>
        <v>0</v>
      </c>
      <c r="BL9" s="6">
        <f t="shared" si="11"/>
        <v>2.4716786817713696E-2</v>
      </c>
      <c r="BM9" s="138">
        <f>COUNTIFS('DETALLES UNIDADES'!$J$8:$J$987,"&lt;2500001",'DETALLES UNIDADES'!$D$8:$D$987,"&lt;1991")-BM8-BM7-BM6-BM5-BM4</f>
        <v>21</v>
      </c>
      <c r="BN9" s="138">
        <f>COUNTIFS('DETALLES UNIDADES'!$J$8:$J$987,"&lt;2500001",'DETALLES UNIDADES'!$D$8:$D$987,"&lt;1994")-BM9-BN8-BM8-BN7-BM7-BN6-BM6-BN5-BM5-BN4-BM4</f>
        <v>1</v>
      </c>
      <c r="BO9" s="138">
        <f>COUNTIFS('DETALLES UNIDADES'!$J$8:$J$987,"&lt;2500001",'DETALLES UNIDADES'!$D$8:$D$987,"&lt;1998")-BN9-BM9-BO8-BN8-BM8-BO7-BN7-BM7-BO6-BN6-BM6-BO5-BN5-BM5-BO4-BN4-BM4</f>
        <v>1</v>
      </c>
      <c r="BP9" s="138">
        <f>COUNTIFS('DETALLES UNIDADES'!$J$8:$J$987,"&lt;2500001",'DETALLES UNIDADES'!$D$8:$D$987,"&lt;2004")-BO9-BN9-BM9-BP8-BO8-BN8-BM8-BP7-BO7-BN7-BM7-BP6-BO6-BN6-BM6-BP5-BO5-BN5-BM5-BP4-BO4-BN4-BM4</f>
        <v>1</v>
      </c>
      <c r="BQ9" s="138">
        <f>COUNTIFS('DETALLES UNIDADES'!$J$8:$J$987,"&lt;2500001",'DETALLES UNIDADES'!$D$8:$D$987,"&lt;2007")-BP9-BO9-BN9-BM9-BQ8-BP8-BO8-BN8-BM8-BQ7-BP7-BO7-BN7-BM7-BQ6-BP6-BO6-BN6-BM6-BQ5-BP5-BO5-BN5-BM5-BQ4-BP4-BO4-BN4-BM4</f>
        <v>0</v>
      </c>
      <c r="BR9" s="138">
        <f>COUNTIFS('DETALLES UNIDADES'!$J$8:$J$987,"&lt;2500001",'DETALLES UNIDADES'!$D$8:$D$987,"&lt;2011")-BQ9-BP9-BO9-BN9-BM9-BR8-BQ8-BP8-BO8-BN8-BM8-BR7-BQ7-BP7-BO7-BN7-BM7-BR6-BQ6-BP6-BO6-BN6-BM6-BR5-BQ5-BP5-BO5-BN5-BM5-BR4-BQ4-BP4-BO4-BN4-BM4</f>
        <v>0</v>
      </c>
      <c r="BS9" s="138">
        <f>COUNTIFS('DETALLES UNIDADES'!$J$8:$J$987,"&lt;2500001",'DETALLES UNIDADES'!$D$8:$D$987,"&gt;2010")-BS8-BS7-BS6-BS5-BS4</f>
        <v>0</v>
      </c>
      <c r="BT9" s="249">
        <f t="shared" si="53"/>
        <v>24</v>
      </c>
      <c r="BV9" s="17" t="s">
        <v>715</v>
      </c>
      <c r="BW9" s="6">
        <f t="shared" si="54"/>
        <v>0.49148418491484186</v>
      </c>
      <c r="BX9" s="6">
        <f t="shared" si="12"/>
        <v>0.20681265206812652</v>
      </c>
      <c r="BY9" s="6">
        <f t="shared" si="13"/>
        <v>0.21897810218978103</v>
      </c>
      <c r="BZ9" s="6">
        <f t="shared" si="14"/>
        <v>8.2725060827250604E-2</v>
      </c>
      <c r="CA9" s="6">
        <f t="shared" si="15"/>
        <v>1</v>
      </c>
      <c r="CB9" s="249">
        <f>SUM(CB4:CB8)</f>
        <v>202</v>
      </c>
      <c r="CC9" s="249">
        <f t="shared" ref="CC9:CF9" si="71">SUM(CC4:CC8)</f>
        <v>85</v>
      </c>
      <c r="CD9" s="249">
        <f t="shared" si="71"/>
        <v>90</v>
      </c>
      <c r="CE9" s="249">
        <f t="shared" si="71"/>
        <v>34</v>
      </c>
      <c r="CF9" s="249">
        <f t="shared" si="71"/>
        <v>411</v>
      </c>
      <c r="CH9" s="137" t="s">
        <v>2600</v>
      </c>
      <c r="CI9" s="249">
        <f>COUNTIFS('ENCUESTA PROPIETARIOS'!$N$7:$N$417,"1",'ENCUESTA PROPIETARIOS'!$AQ$7:$AQ$417,"X")</f>
        <v>80</v>
      </c>
      <c r="CJ9" s="249">
        <f>COUNTIFS('ENCUESTA PROPIETARIOS'!$N$7:$N$417,"2",'ENCUESTA PROPIETARIOS'!$AQ$7:$AQ$417,"X")</f>
        <v>47</v>
      </c>
      <c r="CK9" s="249">
        <f>COUNTIFS('ENCUESTA PROPIETARIOS'!$N$7:$N$417,"3",'ENCUESTA PROPIETARIOS'!$AQ$7:$AQ$417,"X")+COUNTIFS('ENCUESTA PROPIETARIOS'!$N$7:$N$417,"4",'ENCUESTA PROPIETARIOS'!$AQ$7:$AQ$417,"X")+COUNTIFS('ENCUESTA PROPIETARIOS'!$N$7:$N$417,"5",'ENCUESTA PROPIETARIOS'!$AQ$7:$AQ$417,"X")</f>
        <v>48</v>
      </c>
      <c r="CL9" s="249">
        <f>COUNTIFS('ENCUESTA PROPIETARIOS'!$N$7:$N$417,"&gt;5",'ENCUESTA PROPIETARIOS'!$AQ$7:$AQ$417,"X")</f>
        <v>21</v>
      </c>
      <c r="CM9" s="249">
        <f>SUM(CI9:CL9)</f>
        <v>196</v>
      </c>
      <c r="CN9" s="249"/>
      <c r="CO9" s="249"/>
      <c r="CP9" s="249"/>
      <c r="CQ9" s="249"/>
      <c r="CR9" s="249"/>
      <c r="CT9" s="17" t="s">
        <v>1662</v>
      </c>
      <c r="CU9" s="6">
        <f t="shared" si="56"/>
        <v>0.2113564668769716</v>
      </c>
      <c r="CV9" s="6">
        <f t="shared" si="16"/>
        <v>0.16614090431125131</v>
      </c>
      <c r="CW9" s="6">
        <f t="shared" si="17"/>
        <v>0.33228180862250262</v>
      </c>
      <c r="CX9" s="6">
        <f t="shared" si="18"/>
        <v>0.29022082018927448</v>
      </c>
      <c r="CY9" s="6">
        <f t="shared" si="19"/>
        <v>1</v>
      </c>
      <c r="CZ9" s="249">
        <f>SUM(CZ4:CZ8)</f>
        <v>201</v>
      </c>
      <c r="DA9" s="249">
        <f t="shared" ref="DA9:DD9" si="72">SUM(DA4:DA8)</f>
        <v>158</v>
      </c>
      <c r="DB9" s="249">
        <f t="shared" si="72"/>
        <v>316</v>
      </c>
      <c r="DC9" s="249">
        <f t="shared" si="72"/>
        <v>276</v>
      </c>
      <c r="DD9" s="249">
        <f t="shared" si="72"/>
        <v>951</v>
      </c>
      <c r="DF9" s="17" t="s">
        <v>2615</v>
      </c>
      <c r="DR9" s="11" t="s">
        <v>715</v>
      </c>
      <c r="DS9" s="6">
        <f t="shared" si="59"/>
        <v>1</v>
      </c>
      <c r="DT9" s="6">
        <f t="shared" si="21"/>
        <v>1</v>
      </c>
      <c r="DU9" s="6">
        <f t="shared" si="22"/>
        <v>1</v>
      </c>
      <c r="DV9" s="6">
        <f t="shared" si="23"/>
        <v>1</v>
      </c>
      <c r="DW9" s="6">
        <f t="shared" si="24"/>
        <v>1</v>
      </c>
      <c r="DX9" s="249">
        <f>SUM(DX4:DX8)</f>
        <v>251</v>
      </c>
      <c r="DY9" s="249">
        <f t="shared" ref="DY9" si="73">SUM(DY4:DY8)</f>
        <v>130</v>
      </c>
      <c r="DZ9" s="249">
        <f t="shared" ref="DZ9" si="74">SUM(DZ4:DZ8)</f>
        <v>150</v>
      </c>
      <c r="EA9" s="249">
        <f t="shared" ref="EA9" si="75">SUM(EA4:EA8)</f>
        <v>59</v>
      </c>
      <c r="EB9" s="249">
        <f t="shared" ref="EB9" si="76">SUM(EB4:EB8)</f>
        <v>590</v>
      </c>
      <c r="ED9" s="17" t="s">
        <v>2663</v>
      </c>
      <c r="EE9" s="6">
        <f t="shared" si="60"/>
        <v>2.8846153846153848E-2</v>
      </c>
      <c r="EF9" s="6">
        <f t="shared" si="25"/>
        <v>0.02</v>
      </c>
      <c r="EG9" s="6">
        <f t="shared" si="26"/>
        <v>3.669724770642202E-2</v>
      </c>
      <c r="EH9" s="6">
        <f t="shared" si="27"/>
        <v>8.1632653061224497E-3</v>
      </c>
      <c r="EI9" s="6">
        <f t="shared" si="28"/>
        <v>6.7567567567567571E-3</v>
      </c>
      <c r="EJ9" s="6">
        <f t="shared" si="29"/>
        <v>4.4642857142857144E-2</v>
      </c>
      <c r="EK9" s="6">
        <f t="shared" si="30"/>
        <v>0.11</v>
      </c>
      <c r="EL9" s="6">
        <f t="shared" si="31"/>
        <v>3.2653061224489799E-2</v>
      </c>
      <c r="EM9" s="249">
        <f>COUNTIFS('DETALLES UNIDADES'!$BC$8:$BC$987,"&lt;1991",'DETALLES UNIDADES'!$AN$8:$AN$987,"&lt;40001")-EM8-EM7-EM6-EM5-EM4</f>
        <v>3</v>
      </c>
      <c r="EN9" s="249">
        <f>COUNTIFS('DETALLES UNIDADES'!$BC$8:$BC$987,"&lt;1994",'DETALLES UNIDADES'!$AN$8:$AN$987,"&lt;40001")-EM9-EN8-EM8-EN7-EM7-EN6-EM6-EN5-EM5-EN4-EM4</f>
        <v>1</v>
      </c>
      <c r="EO9" s="249">
        <f>COUNTIFS('DETALLES UNIDADES'!$BC$8:$BC$987,"&lt;1998",'DETALLES UNIDADES'!$AN$8:$AN$987,"&lt;40001")-EN9-EM9-EO8-EN8-EM8-EO7-EN7-EM7-EO6-EN6-EM6-EO5-EN5-EM5-EO4-EN4-EM4</f>
        <v>4</v>
      </c>
      <c r="EP9" s="249">
        <f>COUNTIFS('DETALLES UNIDADES'!$BC$8:$BC$987,"&lt;2004",'DETALLES UNIDADES'!$AN$8:$AN$987,"&lt;40001")-EO9-EN9-EM9-EP8-EO8-EN8-EM8-EP7-EO7-EN7-EM7-EP6-EO6-EN6-EM6-EP5-EO5-EN5-EM5-EP4-EO4-EN4-EM4</f>
        <v>2</v>
      </c>
      <c r="EQ9" s="249">
        <f>COUNTIFS('DETALLES UNIDADES'!$BC$8:$BC$987,"&lt;2007",'DETALLES UNIDADES'!$AN$8:$AN$987,"&lt;40001")-EP9-EO9-EN9-EM9-EQ8-EP8-EO8-EN8-EM8-EQ7-EP7-EO7-EN7-EM7-EQ6-EP6-EO6-EN6-EM6-EQ5-EP5-EO5-EN5-EM5-EQ4-EP4-EO4-EN4-EM4</f>
        <v>1</v>
      </c>
      <c r="ER9" s="249">
        <f>COUNTIFS('DETALLES UNIDADES'!$BC$8:$BC$987,"&lt;2011",'DETALLES UNIDADES'!$AN$8:$AN$987,"&lt;40001")-EQ9-EP9-EO9-EN9-EM9-ER8-EQ8-EP8-EO8-EN8-EM8-ER7-EQ7-EP7-EO7-EN7-EM7-ER6-EQ6-EP6-EO6-EN6-EM6-ER5-EQ5-EP5-EO5-EN5-EM5-ER4-EQ4-EP4-EO4-EN4-EM4</f>
        <v>10</v>
      </c>
      <c r="ES9" s="249">
        <f>COUNTIFS('DETALLES UNIDADES'!$BC$8:$BC$987,"&gt;2010",'DETALLES UNIDADES'!$AN$8:$AN$987,"&lt;40001")-ES8-ES7-ES6-ES5-ES4</f>
        <v>11</v>
      </c>
      <c r="ET9" s="249">
        <f t="shared" si="32"/>
        <v>32</v>
      </c>
      <c r="EV9" s="137" t="s">
        <v>2682</v>
      </c>
      <c r="EW9" s="6">
        <f t="shared" si="61"/>
        <v>2.2988505747126436E-2</v>
      </c>
      <c r="EX9" s="6">
        <f t="shared" si="33"/>
        <v>0</v>
      </c>
      <c r="EY9" s="6">
        <f t="shared" si="34"/>
        <v>1.2903225806451613E-2</v>
      </c>
      <c r="EZ9" s="6">
        <f t="shared" si="35"/>
        <v>0</v>
      </c>
      <c r="FA9" s="6">
        <f t="shared" si="36"/>
        <v>1.3245033112582781E-2</v>
      </c>
      <c r="FB9" s="249">
        <f>COUNTIFS('ENCUESTA PROPIETARIOS'!$N$7:$N$417,"1",'ENCUESTA PROPIETARIOS'!$BX$7:$BX$417,"NO HA CAMBIADO")+COUNTIFS('ENCUESTA PROPIETARIOS'!$N$7:$N$417,"1",'ENCUESTA PROPIETARIOS'!$BX$7:$BX$417,"NO NECESITA")</f>
        <v>6</v>
      </c>
      <c r="FC9" s="249">
        <f>COUNTIFS('ENCUESTA PROPIETARIOS'!$N$7:$N$417,"2",'ENCUESTA PROPIETARIOS'!$BX$7:$BX$417,"NO NECESITA")+COUNTIFS('ENCUESTA PROPIETARIOS'!$N$7:$N$417,"2",'ENCUESTA PROPIETARIOS'!$BX$7:$BX$417,"NO HA CAMBIADO")</f>
        <v>0</v>
      </c>
      <c r="FD9" s="249">
        <f>COUNTIFS('ENCUESTA PROPIETARIOS'!$N$7:$N$417,"3",'ENCUESTA PROPIETARIOS'!$BX$7:$BX$417,"NO HA CAMBIADO")+COUNTIFS('ENCUESTA PROPIETARIOS'!$N$7:$N$417,"4",'ENCUESTA PROPIETARIOS'!$BX$7:$BX$417,"NO HA CAMBIADO")+COUNTIFS('ENCUESTA PROPIETARIOS'!$N$7:$N$417,"5",'ENCUESTA PROPIETARIOS'!$BX$7:$BX$417,"NO HA CAMBIADO")+COUNTIFS('ENCUESTA PROPIETARIOS'!$N$7:$N$417,"3",'ENCUESTA PROPIETARIOS'!$BX$7:$BX$417,"NO NECESITA")+COUNTIFS('ENCUESTA PROPIETARIOS'!$N$7:$N$417,"4",'ENCUESTA PROPIETARIOS'!$BX$7:$BX$417,"NO NECESITA")+COUNTIFS('ENCUESTA PROPIETARIOS'!$N$7:$N$417,"5",'ENCUESTA PROPIETARIOS'!$BX$7:$BX$417,"NO NECESITA")</f>
        <v>2</v>
      </c>
      <c r="FE9" s="249">
        <f>COUNTIFS('ENCUESTA PROPIETARIOS'!$N$7:$N$417,"&gt;5",'ENCUESTA PROPIETARIOS'!$BX$7:$BX$417,"NO NECESITA")+COUNTIFS('ENCUESTA PROPIETARIOS'!$N$7:$N$417,"&gt;5",'ENCUESTA PROPIETARIOS'!$BX$7:$BX$417,"NO HA CAMBIADO")</f>
        <v>0</v>
      </c>
      <c r="FF9" s="249">
        <f t="shared" si="37"/>
        <v>8</v>
      </c>
      <c r="FM9" s="11" t="s">
        <v>2539</v>
      </c>
      <c r="FN9" s="6">
        <f t="shared" si="62"/>
        <v>4.6938775510204082E-2</v>
      </c>
      <c r="FO9" s="6">
        <f t="shared" si="38"/>
        <v>2.7551020408163266E-2</v>
      </c>
      <c r="FP9" s="6">
        <f t="shared" si="39"/>
        <v>2.4489795918367346E-2</v>
      </c>
      <c r="FQ9" s="6">
        <f t="shared" si="40"/>
        <v>0.12959183673469388</v>
      </c>
      <c r="FR9" s="6">
        <f t="shared" si="41"/>
        <v>0.22857142857142856</v>
      </c>
      <c r="FS9" s="249">
        <f>COUNTIFS('DETALLES UNIDADES'!$C$8:$C$987,"C2",'DETALLES UNIDADES'!$BC$8:$BC$987,"&lt;2011")-FS8-FS7-FS6-FS5-FS4</f>
        <v>46</v>
      </c>
      <c r="FT9" s="249">
        <f>COUNTIFS('DETALLES UNIDADES'!$C$8:$C$987,"C3",'DETALLES UNIDADES'!$BC$8:$BC$987,"&lt;2011")-FT8-FT7-FT6-FT5-FT4</f>
        <v>27</v>
      </c>
      <c r="FU9" s="249">
        <f>COUNTIFS('DETALLES UNIDADES'!$C$8:$C$987,"T2",'DETALLES UNIDADES'!$BC$8:$BC$987,"&lt;2011")-FU8-FU7-FU6-FU5-FU4</f>
        <v>24</v>
      </c>
      <c r="FV9" s="249">
        <f>COUNTIFS('DETALLES UNIDADES'!$C$8:$C$987,"T3",'DETALLES UNIDADES'!$BC$8:$BC$987,"&lt;2011")-FV8-FV7-FV6-FV5-FV4</f>
        <v>127</v>
      </c>
      <c r="FW9" s="249">
        <f t="shared" si="42"/>
        <v>224</v>
      </c>
      <c r="FY9" s="11" t="s">
        <v>1707</v>
      </c>
      <c r="FZ9" s="121">
        <f t="shared" si="63"/>
        <v>0.10792951541850221</v>
      </c>
      <c r="GA9" s="11">
        <f>SUM('ENCUESTA PROPIETARIOS'!$Z$7:$Z$417)+SUM('ENCUESTA PROPIETARIOS'!$X$7:$X$417)</f>
        <v>147</v>
      </c>
      <c r="GB9" s="11">
        <f>SUM('ENCUESTA PROPIETARIOS'!$Z$7:$Z$417)+SUM('ENCUESTA PROPIETARIOS'!$X$7:$X$417)</f>
        <v>147</v>
      </c>
      <c r="GC9" s="249">
        <f>+'[1]ENCUESTA CONDUCTORES'!$AG$463++'[1]ENCUESTA CONDUCTORES'!$AG$469</f>
        <v>1</v>
      </c>
      <c r="GE9" s="11" t="s">
        <v>1662</v>
      </c>
      <c r="GF9" s="6">
        <f t="shared" si="43"/>
        <v>1</v>
      </c>
      <c r="GG9" s="249">
        <f>SUM(GG3:GG8)</f>
        <v>209</v>
      </c>
      <c r="GK9" s="11"/>
      <c r="GL9" s="6"/>
      <c r="GM9" s="249"/>
    </row>
    <row r="10" spans="1:195" x14ac:dyDescent="0.25"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7"/>
      <c r="O10" s="9"/>
      <c r="P10" s="9"/>
      <c r="Q10" s="9"/>
      <c r="R10" s="9"/>
      <c r="S10" s="9"/>
      <c r="T10" s="9"/>
      <c r="U10" s="9"/>
      <c r="V10" s="9"/>
      <c r="W10" s="9"/>
      <c r="X10" s="19" t="s">
        <v>1724</v>
      </c>
      <c r="Y10" s="254">
        <f t="shared" si="67"/>
        <v>9.8888888888888887E-2</v>
      </c>
      <c r="Z10" s="9">
        <f>COUNTIFS('DETALLES UNIDADES'!$S$8:$S$987,"D",'DETALLES UNIDADES'!$T$8:$T$987,"&lt;3.01")-Z9-Z8-Z7-Z6-Z5</f>
        <v>89</v>
      </c>
      <c r="AK10" s="11" t="s">
        <v>715</v>
      </c>
      <c r="AL10" s="6">
        <f t="shared" si="4"/>
        <v>0.21428571428571427</v>
      </c>
      <c r="AM10" s="6">
        <f t="shared" si="0"/>
        <v>0.2</v>
      </c>
      <c r="AN10" s="6">
        <f t="shared" si="1"/>
        <v>4.3877551020408162E-2</v>
      </c>
      <c r="AO10" s="6">
        <f t="shared" si="2"/>
        <v>0.5418367346938775</v>
      </c>
      <c r="AP10" s="6">
        <f t="shared" si="3"/>
        <v>1</v>
      </c>
      <c r="AQ10" s="249">
        <f>SUM(AQ3:AQ9)</f>
        <v>210</v>
      </c>
      <c r="AR10" s="249">
        <f t="shared" ref="AR10:AT10" si="77">SUM(AR3:AR9)</f>
        <v>196</v>
      </c>
      <c r="AS10" s="249">
        <f t="shared" si="77"/>
        <v>43</v>
      </c>
      <c r="AT10" s="249">
        <f t="shared" si="77"/>
        <v>531</v>
      </c>
      <c r="AU10" s="249">
        <f t="shared" si="51"/>
        <v>980</v>
      </c>
      <c r="AV10" s="17">
        <v>980</v>
      </c>
      <c r="BD10" s="112" t="s">
        <v>1715</v>
      </c>
      <c r="BE10" s="6">
        <f t="shared" si="52"/>
        <v>1.6477857878475798E-2</v>
      </c>
      <c r="BF10" s="6">
        <f t="shared" si="5"/>
        <v>4.1194644696189494E-3</v>
      </c>
      <c r="BG10" s="6">
        <f t="shared" si="6"/>
        <v>0</v>
      </c>
      <c r="BH10" s="6">
        <f t="shared" si="7"/>
        <v>3.089598352214212E-3</v>
      </c>
      <c r="BI10" s="6">
        <f t="shared" si="8"/>
        <v>0</v>
      </c>
      <c r="BJ10" s="6">
        <f t="shared" si="9"/>
        <v>0</v>
      </c>
      <c r="BK10" s="6">
        <f t="shared" si="10"/>
        <v>0</v>
      </c>
      <c r="BL10" s="6">
        <f t="shared" si="11"/>
        <v>2.368692070030896E-2</v>
      </c>
      <c r="BM10" s="138">
        <f>COUNTIFS('DETALLES UNIDADES'!$J$8:$J$987,"&gt;2500000",'DETALLES UNIDADES'!$D$8:$D$987,"&lt;1991")</f>
        <v>16</v>
      </c>
      <c r="BN10" s="138">
        <f>COUNTIFS('DETALLES UNIDADES'!$J$8:$J$987,"&gt;2500000",'DETALLES UNIDADES'!$D$8:$D$987,"&lt;1994")-BM10</f>
        <v>4</v>
      </c>
      <c r="BO10" s="138">
        <f>COUNTIFS('DETALLES UNIDADES'!$J$8:$J$987,"&gt;2500000",'DETALLES UNIDADES'!$D$8:$D$987,"&lt;1998")-BN10-BM10</f>
        <v>0</v>
      </c>
      <c r="BP10" s="138">
        <f>COUNTIFS('DETALLES UNIDADES'!$J$8:$J$987,"&gt;2500000",'DETALLES UNIDADES'!$D$8:$D$987,"&lt;2004")-BO10-BN10-BM10</f>
        <v>3</v>
      </c>
      <c r="BQ10" s="138">
        <f>COUNTIFS('DETALLES UNIDADES'!$J$8:$J$987,"&gt;2500000",'DETALLES UNIDADES'!$D$8:$D$987,"&lt;2007")-BP10-BO10-BN10-BM10</f>
        <v>0</v>
      </c>
      <c r="BR10" s="138">
        <f>COUNTIFS('DETALLES UNIDADES'!$J$8:$J$987,"&gt;2500000",'DETALLES UNIDADES'!$D$8:$D$987,"&lt;2011")-BQ10-BP10-BO10-BN10-BM10</f>
        <v>0</v>
      </c>
      <c r="BS10" s="138">
        <f>COUNTIFS('DETALLES UNIDADES'!$J$8:$J$987,"&gt;2500000",'DETALLES UNIDADES'!$D$8:$D$987,"&gt;2010")</f>
        <v>0</v>
      </c>
      <c r="BT10" s="249">
        <f t="shared" si="53"/>
        <v>23</v>
      </c>
      <c r="CF10" s="249">
        <f>SUM(CB9:CE9)</f>
        <v>411</v>
      </c>
      <c r="CH10" s="137" t="s">
        <v>1662</v>
      </c>
      <c r="CI10" s="249">
        <f>SUM(CI4:CI9)</f>
        <v>441</v>
      </c>
      <c r="CJ10" s="249">
        <f t="shared" ref="CJ10" si="78">SUM(CJ4:CJ9)</f>
        <v>195</v>
      </c>
      <c r="CK10" s="249">
        <f t="shared" ref="CK10" si="79">SUM(CK4:CK9)</f>
        <v>194</v>
      </c>
      <c r="CL10" s="249">
        <f t="shared" ref="CL10" si="80">SUM(CL4:CL9)</f>
        <v>84</v>
      </c>
      <c r="CM10" s="249">
        <f>SUM(CI10:CL10)</f>
        <v>914</v>
      </c>
      <c r="CN10" s="249"/>
      <c r="CO10" s="249"/>
      <c r="CP10" s="249"/>
      <c r="CQ10" s="249"/>
      <c r="CR10" s="249"/>
      <c r="DD10" s="249">
        <f>SUM(CZ9:DC9)</f>
        <v>951</v>
      </c>
      <c r="DG10" s="11" t="s">
        <v>814</v>
      </c>
      <c r="DH10" s="11" t="s">
        <v>815</v>
      </c>
      <c r="DI10" s="11" t="s">
        <v>1780</v>
      </c>
      <c r="DJ10" s="11" t="s">
        <v>1781</v>
      </c>
      <c r="DK10" s="11"/>
      <c r="DL10" s="11" t="s">
        <v>814</v>
      </c>
      <c r="DM10" s="11" t="s">
        <v>815</v>
      </c>
      <c r="DN10" s="11" t="s">
        <v>1780</v>
      </c>
      <c r="DO10" s="11" t="s">
        <v>1781</v>
      </c>
      <c r="DP10" s="11"/>
      <c r="EB10" s="249">
        <f>SUM(EB4:EB8)</f>
        <v>590</v>
      </c>
      <c r="ED10" s="17" t="s">
        <v>2664</v>
      </c>
      <c r="EE10" s="6">
        <f t="shared" si="60"/>
        <v>9.6153846153846159E-3</v>
      </c>
      <c r="EF10" s="6">
        <f t="shared" si="25"/>
        <v>0.2</v>
      </c>
      <c r="EG10" s="6">
        <f t="shared" si="26"/>
        <v>1.834862385321101E-2</v>
      </c>
      <c r="EH10" s="6">
        <f t="shared" si="27"/>
        <v>2.8571428571428571E-2</v>
      </c>
      <c r="EI10" s="6">
        <f t="shared" si="28"/>
        <v>0</v>
      </c>
      <c r="EJ10" s="6">
        <f t="shared" si="29"/>
        <v>2.2321428571428572E-2</v>
      </c>
      <c r="EK10" s="6">
        <f t="shared" si="30"/>
        <v>0.17</v>
      </c>
      <c r="EL10" s="6">
        <f t="shared" si="31"/>
        <v>4.2857142857142858E-2</v>
      </c>
      <c r="EM10" s="249">
        <f>COUNTIFS('DETALLES UNIDADES'!$BC$8:$BC$987,"&lt;1991",'DETALLES UNIDADES'!$AN$8:$AN$987,"&gt;40000")</f>
        <v>1</v>
      </c>
      <c r="EN10" s="249">
        <f>COUNTIFS('DETALLES UNIDADES'!$BC$8:$BC$987,"&lt;1994",'DETALLES UNIDADES'!$AN$8:$AN$987,"&gt;40000")-EM10</f>
        <v>10</v>
      </c>
      <c r="EO10" s="249">
        <f>COUNTIFS('DETALLES UNIDADES'!$BC$8:$BC$987,"&lt;1998",'DETALLES UNIDADES'!$AN$8:$AN$987,"&gt;40000")-EN10-EM10</f>
        <v>2</v>
      </c>
      <c r="EP10" s="249">
        <f>COUNTIFS('DETALLES UNIDADES'!$BC$8:$BC$987,"&lt;2004",'DETALLES UNIDADES'!$AN$8:$AN$987,"&gt;40000")-EO10-EN10-EM10</f>
        <v>7</v>
      </c>
      <c r="EQ10" s="249">
        <f>COUNTIFS('DETALLES UNIDADES'!$BC$8:$BC$987,"&lt;2007",'DETALLES UNIDADES'!$AN$8:$AN$987,"&gt;40000")-EP10-EO10-EN10-EM10</f>
        <v>0</v>
      </c>
      <c r="ER10" s="249">
        <f>COUNTIFS('DETALLES UNIDADES'!$BC$8:$BC$987,"&lt;2011",'DETALLES UNIDADES'!$AN$8:$AN$987,"&gt;40000")-EQ10-EP10-EO10-EN10-EM10</f>
        <v>5</v>
      </c>
      <c r="ES10" s="249">
        <f>COUNTIFS('DETALLES UNIDADES'!$BC$8:$BC$987,"&gt;2010",'DETALLES UNIDADES'!$AN$8:$AN$987,"&gt;40000")</f>
        <v>17</v>
      </c>
      <c r="ET10" s="249">
        <f t="shared" si="32"/>
        <v>42</v>
      </c>
      <c r="EV10" s="137" t="s">
        <v>2681</v>
      </c>
      <c r="EW10" s="6">
        <f t="shared" si="61"/>
        <v>4.2145593869731802E-2</v>
      </c>
      <c r="EX10" s="6">
        <f t="shared" si="33"/>
        <v>0</v>
      </c>
      <c r="EY10" s="6">
        <f t="shared" si="34"/>
        <v>6.4516129032258064E-3</v>
      </c>
      <c r="EZ10" s="6">
        <f t="shared" si="35"/>
        <v>0</v>
      </c>
      <c r="FA10" s="6">
        <f t="shared" si="36"/>
        <v>1.9867549668874173E-2</v>
      </c>
      <c r="FB10" s="249">
        <f>COUNTIFS('ENCUESTA PROPIETARIOS'!$N$7:$N$417,"1",'ENCUESTA PROPIETARIOS'!$BX$7:$BX$417,"NINGUNO")+COUNTIFS('ENCUESTA PROPIETARIOS'!$N$7:$N$417,"1",'ENCUESTA PROPIETARIOS'!$BX$7:$BX$417,"PERCANCE")+COUNTIFS('ENCUESTA PROPIETARIOS'!$N$7:$N$417,"1",'ENCUESTA PROPIETARIOS'!$BX$7:$BX$417,"NO LA PODRIA PAGAR")</f>
        <v>11</v>
      </c>
      <c r="FC10" s="249">
        <f>COUNTIFS('ENCUESTA PROPIETARIOS'!$N$7:$N$417,"2",'ENCUESTA PROPIETARIOS'!$BX$7:$BX$417,"NINGUNO")+COUNTIFS('ENCUESTA PROPIETARIOS'!$N$7:$N$417,"2",'ENCUESTA PROPIETARIOS'!$BX$7:$BX$417,"PERCANCE")+COUNTIFS('ENCUESTA PROPIETARIOS'!$N$7:$N$417,"2",'ENCUESTA PROPIETARIOS'!$BX$7:$BX$417,"NO LA PODRIA PAGAR")</f>
        <v>0</v>
      </c>
      <c r="FD10" s="249">
        <f>COUNTIFS('ENCUESTA PROPIETARIOS'!$N$7:$N$417,"3",'ENCUESTA PROPIETARIOS'!$BX$7:$BX$417,"NINGUNO")+COUNTIFS('ENCUESTA PROPIETARIOS'!$N$7:$N$417,"3",'ENCUESTA PROPIETARIOS'!$BX$7:$BX$417,"PERCANCE")+COUNTIFS('ENCUESTA PROPIETARIOS'!$N$7:$N$417,"3",'ENCUESTA PROPIETARIOS'!$BX$7:$BX$417,"NO LA PODRIA PAGAR")+COUNTIFS('ENCUESTA PROPIETARIOS'!$N$7:$N$417,"4",'ENCUESTA PROPIETARIOS'!$BX$7:$BX$417,"NINGUNO")+COUNTIFS('ENCUESTA PROPIETARIOS'!$N$7:$N$417,"4",'ENCUESTA PROPIETARIOS'!$BX$7:$BX$417,"PERCANCE")+COUNTIFS('ENCUESTA PROPIETARIOS'!$N$7:$N$417,"4",'ENCUESTA PROPIETARIOS'!$BX$7:$BX$417,"NO LA PODRIA PAGAR")+COUNTIFS('ENCUESTA PROPIETARIOS'!$N$7:$N$417,"5",'ENCUESTA PROPIETARIOS'!$BX$7:$BX$417,"NINGUNO")+COUNTIFS('ENCUESTA PROPIETARIOS'!$N$7:$N$417,"5",'ENCUESTA PROPIETARIOS'!$BX$7:$BX$417,"PERCANCE")+COUNTIFS('ENCUESTA PROPIETARIOS'!$N$7:$N$417,"5",'ENCUESTA PROPIETARIOS'!$BX$7:$BX$417,"NO LA PODRIA PAGAR")</f>
        <v>1</v>
      </c>
      <c r="FE10" s="249">
        <f>COUNTIFS('ENCUESTA PROPIETARIOS'!$N$7:$N$417,"&gt;5",'ENCUESTA PROPIETARIOS'!$BX$7:$BX$417,"NINGUNO")+COUNTIFS('ENCUESTA PROPIETARIOS'!$N$7:$N$417,"&gt;5",'ENCUESTA PROPIETARIOS'!$BX$7:$BX$417,"PERCANCE")+COUNTIFS('ENCUESTA PROPIETARIOS'!$N$7:$N$417,"&gt;5",'ENCUESTA PROPIETARIOS'!$BX$7:$BX$417,"NO LA PODRIA PAGAR")</f>
        <v>0</v>
      </c>
      <c r="FF10" s="249">
        <f t="shared" si="37"/>
        <v>12</v>
      </c>
      <c r="FM10" s="11" t="s">
        <v>2540</v>
      </c>
      <c r="FN10" s="6">
        <f t="shared" si="62"/>
        <v>1.4285714285714285E-2</v>
      </c>
      <c r="FO10" s="6">
        <f t="shared" si="38"/>
        <v>9.1836734693877559E-3</v>
      </c>
      <c r="FP10" s="6">
        <f t="shared" si="39"/>
        <v>8.1632653061224497E-3</v>
      </c>
      <c r="FQ10" s="6">
        <f t="shared" si="40"/>
        <v>7.040816326530612E-2</v>
      </c>
      <c r="FR10" s="6">
        <f t="shared" si="41"/>
        <v>0.10204081632653061</v>
      </c>
      <c r="FS10" s="249">
        <f>COUNTIFS('DETALLES UNIDADES'!$C$8:$C$987,"C2",'DETALLES UNIDADES'!$BC$8:$BC$987,"&gt;2010")</f>
        <v>14</v>
      </c>
      <c r="FT10" s="249">
        <f>COUNTIFS('DETALLES UNIDADES'!$C$8:$C$987,"C3",'DETALLES UNIDADES'!$BC$8:$BC$987,"&gt;2010")</f>
        <v>9</v>
      </c>
      <c r="FU10" s="249">
        <f>COUNTIFS('DETALLES UNIDADES'!$C$8:$C$987,"T2",'DETALLES UNIDADES'!$BC$8:$BC$987,"&gt;2010")</f>
        <v>8</v>
      </c>
      <c r="FV10" s="249">
        <f>COUNTIFS('DETALLES UNIDADES'!$C$8:$C$987,"T3",'DETALLES UNIDADES'!$BC$8:$BC$987,"&gt;2010")</f>
        <v>69</v>
      </c>
      <c r="FW10" s="249">
        <f t="shared" si="42"/>
        <v>100</v>
      </c>
      <c r="FY10" s="11" t="s">
        <v>1708</v>
      </c>
      <c r="FZ10" s="121">
        <f t="shared" si="63"/>
        <v>0.12995594713656389</v>
      </c>
      <c r="GA10" s="11">
        <f>SUM('ENCUESTA PROPIETARIOS'!$AA$7:$AA$417)+SUM('ENCUESTA PROPIETARIOS'!$Q$7:$Q$417)+COUNTA('ENCUESTA PROPIETARIOS'!$AA$7:$AA$417)-COUNTIF('ENCUESTA PROPIETARIOS'!$AA$7:$AA$417,"(REDILAS)")</f>
        <v>177</v>
      </c>
      <c r="GB10" s="11">
        <f>SUM('ENCUESTA PROPIETARIOS'!$AA$7:$AA$417)+SUM('ENCUESTA PROPIETARIOS'!$Q$7:$Q$417)+COUNTA('ENCUESTA PROPIETARIOS'!$AA$7:$AA$417)-COUNTIF('ENCUESTA PROPIETARIOS'!$AA$7:$AA$417,"(REDILAS)")</f>
        <v>177</v>
      </c>
      <c r="GC10" s="249">
        <f>+'[1]ENCUESTA CONDUCTORES'!$AG$470++'[1]ENCUESTA CONDUCTORES'!$W$461</f>
        <v>6</v>
      </c>
      <c r="GE10" s="11" t="s">
        <v>396</v>
      </c>
      <c r="GG10" s="138">
        <f>COUNTIFS('DETALLES UNIDADES'!$C$8:$C$987,"C2",'DETALLES UNIDADES'!$R$8:$R$987,"NO SABE")+COUNTIFS('DETALLES UNIDADES'!$C$8:$C$987,"C2",'DETALLES UNIDADES'!$R$8:$R$987,"VARIABLE")+COUNTIFS('DETALLES UNIDADES'!$C$8:$C$987,"C2",'DETALLES UNIDADES'!$R$8:$R$987,"NO CONTESTA")</f>
        <v>1</v>
      </c>
      <c r="GK10" s="11"/>
      <c r="GM10" s="138"/>
    </row>
    <row r="11" spans="1:195" x14ac:dyDescent="0.25">
      <c r="A11" s="17" t="s">
        <v>2497</v>
      </c>
      <c r="M11" s="249"/>
      <c r="N11" s="179" t="s">
        <v>2506</v>
      </c>
      <c r="O11" s="9"/>
      <c r="P11" s="179"/>
      <c r="Q11" s="179"/>
      <c r="R11" s="179"/>
      <c r="S11" s="179"/>
      <c r="T11" s="179"/>
      <c r="U11" s="179"/>
      <c r="V11" s="179"/>
      <c r="W11" s="179"/>
      <c r="X11" s="19" t="s">
        <v>1725</v>
      </c>
      <c r="Y11" s="254">
        <f t="shared" si="67"/>
        <v>0.10666666666666667</v>
      </c>
      <c r="Z11" s="9">
        <f>COUNTIFS('DETALLES UNIDADES'!$S$8:$S$987,"D",'DETALLES UNIDADES'!$T$8:$T$987,"&lt;4.01")-Z10-Z9-Z8-Z7-Z6-Z5</f>
        <v>96</v>
      </c>
      <c r="AQ11" s="249">
        <v>210</v>
      </c>
      <c r="AR11" s="249">
        <v>196</v>
      </c>
      <c r="AS11" s="249">
        <v>43</v>
      </c>
      <c r="AT11" s="249">
        <v>531</v>
      </c>
      <c r="AU11" s="249">
        <v>980</v>
      </c>
      <c r="BD11" s="11" t="s">
        <v>715</v>
      </c>
      <c r="BE11" s="6">
        <f t="shared" si="52"/>
        <v>0.17919670442842431</v>
      </c>
      <c r="BF11" s="6">
        <f t="shared" si="5"/>
        <v>5.0463439752832129E-2</v>
      </c>
      <c r="BG11" s="6">
        <f t="shared" si="6"/>
        <v>0.10298661174047374</v>
      </c>
      <c r="BH11" s="6">
        <f t="shared" si="7"/>
        <v>0.22348094747682801</v>
      </c>
      <c r="BI11" s="6">
        <f t="shared" si="8"/>
        <v>0.12976313079299692</v>
      </c>
      <c r="BJ11" s="6">
        <f t="shared" si="9"/>
        <v>0.21215242018537589</v>
      </c>
      <c r="BK11" s="6">
        <f t="shared" si="10"/>
        <v>0.101956745623069</v>
      </c>
      <c r="BL11" s="6">
        <f t="shared" si="11"/>
        <v>1</v>
      </c>
      <c r="BM11" s="249">
        <f>SUM(BM4:BM10)</f>
        <v>174</v>
      </c>
      <c r="BN11" s="138">
        <f>SUM(BN4:BN10)</f>
        <v>49</v>
      </c>
      <c r="BO11" s="249">
        <f t="shared" ref="BO11:BS11" si="81">SUM(BO4:BO10)</f>
        <v>100</v>
      </c>
      <c r="BP11" s="249">
        <f t="shared" si="81"/>
        <v>217</v>
      </c>
      <c r="BQ11" s="249">
        <f t="shared" si="81"/>
        <v>126</v>
      </c>
      <c r="BR11" s="249">
        <f t="shared" si="81"/>
        <v>206</v>
      </c>
      <c r="BS11" s="249">
        <f t="shared" si="81"/>
        <v>99</v>
      </c>
      <c r="BT11" s="249">
        <f t="shared" si="53"/>
        <v>971</v>
      </c>
      <c r="CM11" s="249">
        <f>SUM(CM4:CM9)</f>
        <v>914</v>
      </c>
      <c r="CR11" s="249"/>
      <c r="DF11" s="17" t="s">
        <v>2616</v>
      </c>
      <c r="DG11" s="6">
        <f>+DL11/DL$18</f>
        <v>0.58373205741626799</v>
      </c>
      <c r="DH11" s="6">
        <f t="shared" ref="DH11:DH18" si="82">+DM11/DM$18</f>
        <v>0.14374999999999999</v>
      </c>
      <c r="DI11" s="6">
        <f t="shared" ref="DI11:DI18" si="83">+DN11/DN$18</f>
        <v>3.4055727554179564E-2</v>
      </c>
      <c r="DJ11" s="6">
        <f t="shared" ref="DJ11:DJ18" si="84">+DO11/DO$18</f>
        <v>9.0277777777777776E-2</v>
      </c>
      <c r="DK11" s="6">
        <f t="shared" ref="DK11:DK18" si="85">+DP11/DP$18</f>
        <v>0.18571428571428572</v>
      </c>
      <c r="DL11" s="249">
        <f>COUNTIFS('DETALLES UNIDADES'!$BA$8:$BA$987,"1",'DETALLES UNIDADES'!$AS$8:$AS$987,"&lt;50000")</f>
        <v>122</v>
      </c>
      <c r="DM11" s="249">
        <f>COUNTIFS('DETALLES UNIDADES'!$BA$8:$BA$987,"2",'DETALLES UNIDADES'!$AS$8:$AS$987,"&lt;50000")</f>
        <v>23</v>
      </c>
      <c r="DN11" s="249">
        <f>COUNTIFS('DETALLES UNIDADES'!$BA$8:$BA$987,"3",'DETALLES UNIDADES'!$AS$8:$AS$987,"&lt;50000")+COUNTIFS('DETALLES UNIDADES'!$BA$8:$BA$987,"4",'DETALLES UNIDADES'!$AS$8:$AS$987,"&lt;50000")+COUNTIFS('DETALLES UNIDADES'!$BA$8:$BA$987,"5",'DETALLES UNIDADES'!$AS$8:$AS$987,"&lt;50000")</f>
        <v>11</v>
      </c>
      <c r="DO11" s="249">
        <f>COUNTIFS('DETALLES UNIDADES'!$BA$8:$BA$987,"&gt;5",'DETALLES UNIDADES'!$AS$8:$AS$987,"&lt;50000")</f>
        <v>26</v>
      </c>
      <c r="DP11" s="249">
        <f t="shared" ref="DP11:DP17" si="86">SUM(DL11:DO11)</f>
        <v>182</v>
      </c>
      <c r="DR11" s="17" t="s">
        <v>2644</v>
      </c>
      <c r="ED11" s="17" t="s">
        <v>1662</v>
      </c>
      <c r="EE11" s="6">
        <f t="shared" si="60"/>
        <v>1</v>
      </c>
      <c r="EF11" s="6">
        <f t="shared" si="25"/>
        <v>1</v>
      </c>
      <c r="EG11" s="6">
        <f t="shared" si="26"/>
        <v>1</v>
      </c>
      <c r="EH11" s="6">
        <f t="shared" si="27"/>
        <v>1</v>
      </c>
      <c r="EI11" s="6">
        <f t="shared" si="28"/>
        <v>1</v>
      </c>
      <c r="EJ11" s="6">
        <f t="shared" si="29"/>
        <v>1</v>
      </c>
      <c r="EK11" s="6">
        <f t="shared" si="30"/>
        <v>1</v>
      </c>
      <c r="EL11" s="6">
        <f t="shared" si="31"/>
        <v>1</v>
      </c>
      <c r="EM11" s="249">
        <f>SUM(EM4:EM10)</f>
        <v>104</v>
      </c>
      <c r="EN11" s="249">
        <f t="shared" ref="EN11:ET11" si="87">SUM(EN4:EN10)</f>
        <v>50</v>
      </c>
      <c r="EO11" s="249">
        <f t="shared" si="87"/>
        <v>109</v>
      </c>
      <c r="EP11" s="249">
        <f t="shared" si="87"/>
        <v>245</v>
      </c>
      <c r="EQ11" s="249">
        <f t="shared" si="87"/>
        <v>148</v>
      </c>
      <c r="ER11" s="249">
        <f t="shared" si="87"/>
        <v>224</v>
      </c>
      <c r="ES11" s="249">
        <f t="shared" si="87"/>
        <v>100</v>
      </c>
      <c r="ET11" s="249">
        <f t="shared" si="87"/>
        <v>980</v>
      </c>
      <c r="EV11" s="137" t="s">
        <v>1662</v>
      </c>
      <c r="EW11" s="6">
        <f t="shared" si="61"/>
        <v>1</v>
      </c>
      <c r="EX11" s="6">
        <f t="shared" si="33"/>
        <v>1</v>
      </c>
      <c r="EY11" s="6">
        <f t="shared" si="34"/>
        <v>1</v>
      </c>
      <c r="EZ11" s="6">
        <f t="shared" si="35"/>
        <v>1</v>
      </c>
      <c r="FA11" s="6">
        <f t="shared" si="36"/>
        <v>1</v>
      </c>
      <c r="FB11" s="249">
        <f>SUM(FB4:FB10)</f>
        <v>261</v>
      </c>
      <c r="FC11" s="249">
        <f t="shared" ref="FC11:FF11" si="88">SUM(FC4:FC10)</f>
        <v>134</v>
      </c>
      <c r="FD11" s="249">
        <f t="shared" si="88"/>
        <v>155</v>
      </c>
      <c r="FE11" s="249">
        <f t="shared" si="88"/>
        <v>54</v>
      </c>
      <c r="FF11" s="249">
        <f t="shared" si="88"/>
        <v>604</v>
      </c>
      <c r="FM11" s="11" t="s">
        <v>1662</v>
      </c>
      <c r="FN11" s="6">
        <f t="shared" si="62"/>
        <v>0.21428571428571427</v>
      </c>
      <c r="FO11" s="6">
        <f t="shared" si="38"/>
        <v>0.2</v>
      </c>
      <c r="FP11" s="6">
        <f t="shared" si="39"/>
        <v>4.3877551020408162E-2</v>
      </c>
      <c r="FQ11" s="6">
        <f t="shared" si="40"/>
        <v>0.5418367346938775</v>
      </c>
      <c r="FR11" s="6">
        <f t="shared" si="41"/>
        <v>1</v>
      </c>
      <c r="FS11" s="249">
        <f>SUM(FS4:FS10)</f>
        <v>210</v>
      </c>
      <c r="FT11" s="249">
        <f t="shared" ref="FT11:FW11" si="89">SUM(FT4:FT10)</f>
        <v>196</v>
      </c>
      <c r="FU11" s="249">
        <f t="shared" si="89"/>
        <v>43</v>
      </c>
      <c r="FV11" s="249">
        <f t="shared" si="89"/>
        <v>531</v>
      </c>
      <c r="FW11" s="249">
        <f t="shared" si="89"/>
        <v>980</v>
      </c>
      <c r="FY11" s="11"/>
      <c r="FZ11" s="11"/>
      <c r="GA11" s="11"/>
      <c r="GB11" s="11"/>
      <c r="GC11" s="249"/>
      <c r="GE11" s="11" t="s">
        <v>480</v>
      </c>
      <c r="GG11" s="138"/>
      <c r="GK11" s="11"/>
      <c r="GM11" s="138"/>
    </row>
    <row r="12" spans="1:195" x14ac:dyDescent="0.25">
      <c r="C12" s="17" t="s">
        <v>814</v>
      </c>
      <c r="D12" s="17" t="s">
        <v>814</v>
      </c>
      <c r="M12" s="249"/>
      <c r="O12" s="179" t="s">
        <v>1002</v>
      </c>
      <c r="P12" s="179" t="s">
        <v>1004</v>
      </c>
      <c r="Q12" s="179" t="s">
        <v>430</v>
      </c>
      <c r="R12" s="179"/>
      <c r="S12" s="179" t="s">
        <v>1002</v>
      </c>
      <c r="T12" s="179" t="s">
        <v>1004</v>
      </c>
      <c r="U12" s="179" t="s">
        <v>430</v>
      </c>
      <c r="V12" s="179"/>
      <c r="W12" s="179"/>
      <c r="X12" s="19" t="s">
        <v>2510</v>
      </c>
      <c r="Y12" s="254">
        <f t="shared" si="67"/>
        <v>2.8888888888888888E-2</v>
      </c>
      <c r="Z12" s="9">
        <f>COUNTIFS('DETALLES UNIDADES'!$S$8:$S$987,"D",'DETALLES UNIDADES'!$T$8:$T$987,"&gt;4.0")</f>
        <v>26</v>
      </c>
      <c r="BD12" s="11" t="s">
        <v>2567</v>
      </c>
      <c r="BE12" s="249"/>
      <c r="BF12" s="249"/>
      <c r="BG12" s="249"/>
      <c r="BH12" s="249"/>
      <c r="BI12" s="249"/>
      <c r="BJ12" s="249"/>
      <c r="BK12" s="249"/>
      <c r="BL12" s="249"/>
      <c r="BM12" s="138">
        <f>COUNTIF('DETALLES UNIDADES'!$J$8:$J$987,"NO SABE")+COUNTIF('DETALLES UNIDADES'!$J$8:$J$987,"NO CONTESTA")+COUNTIF('DETALLES UNIDADES'!$J$8:$J$987,"DAÑADO")</f>
        <v>9</v>
      </c>
      <c r="BN12" s="138"/>
      <c r="BO12" s="138"/>
      <c r="BP12" s="138"/>
      <c r="BQ12" s="138"/>
      <c r="BR12" s="138"/>
      <c r="BS12" s="138"/>
      <c r="BT12" s="249">
        <f>SUM(BT4:BT10)</f>
        <v>971</v>
      </c>
      <c r="BV12" s="17" t="s">
        <v>2595</v>
      </c>
      <c r="CH12" s="11" t="s">
        <v>848</v>
      </c>
      <c r="CI12" s="11"/>
      <c r="CJ12" s="11"/>
      <c r="CK12" s="11"/>
      <c r="CL12" s="11"/>
      <c r="CM12" s="11"/>
      <c r="CT12" s="17" t="s">
        <v>2610</v>
      </c>
      <c r="DF12" s="17" t="s">
        <v>2618</v>
      </c>
      <c r="DG12" s="6">
        <f t="shared" ref="DG12:DG18" si="90">+DL12/DL$18</f>
        <v>4.784688995215311E-2</v>
      </c>
      <c r="DH12" s="6">
        <f t="shared" si="82"/>
        <v>3.125E-2</v>
      </c>
      <c r="DI12" s="6">
        <f t="shared" si="83"/>
        <v>5.2631578947368418E-2</v>
      </c>
      <c r="DJ12" s="6">
        <f t="shared" si="84"/>
        <v>3.4722222222222224E-2</v>
      </c>
      <c r="DK12" s="6">
        <f t="shared" si="85"/>
        <v>4.2857142857142858E-2</v>
      </c>
      <c r="DL12" s="249">
        <f>COUNTIFS('DETALLES UNIDADES'!$BA$8:$BA$987,"1",'DETALLES UNIDADES'!$AS$8:$AS$987,"&lt;75001")-DL11</f>
        <v>10</v>
      </c>
      <c r="DM12" s="249">
        <f>COUNTIFS('DETALLES UNIDADES'!$BA$8:$BA$987,"2",'DETALLES UNIDADES'!$AS$8:$AS$987,"&lt;75001")-DM11</f>
        <v>5</v>
      </c>
      <c r="DN12" s="249">
        <f>COUNTIFS('DETALLES UNIDADES'!$BA$8:$BA$987,"3",'DETALLES UNIDADES'!$AS$8:$AS$987,"&lt;75001")+COUNTIFS('DETALLES UNIDADES'!$BA$8:$BA$987,"4",'DETALLES UNIDADES'!$AS$8:$AS$987,"&lt;75001")+COUNTIFS('DETALLES UNIDADES'!$BA$8:$BA$987,"5",'DETALLES UNIDADES'!$AS$8:$AS$987,"&lt;75001")-DN11</f>
        <v>17</v>
      </c>
      <c r="DO12" s="249">
        <f>COUNTIFS('DETALLES UNIDADES'!$BA$8:$BA$987,"&gt;5",'DETALLES UNIDADES'!$AS$8:$AS$987,"&lt;75001")-DO11</f>
        <v>10</v>
      </c>
      <c r="DP12" s="249">
        <f t="shared" si="86"/>
        <v>42</v>
      </c>
      <c r="DS12" s="11" t="s">
        <v>814</v>
      </c>
      <c r="DT12" s="11" t="s">
        <v>815</v>
      </c>
      <c r="DU12" s="11" t="s">
        <v>1780</v>
      </c>
      <c r="DV12" s="11" t="s">
        <v>1781</v>
      </c>
      <c r="DW12" s="11"/>
      <c r="DX12" s="11" t="s">
        <v>814</v>
      </c>
      <c r="DY12" s="11" t="s">
        <v>815</v>
      </c>
      <c r="DZ12" s="11" t="s">
        <v>1780</v>
      </c>
      <c r="EA12" s="11" t="s">
        <v>1781</v>
      </c>
      <c r="EB12" s="11"/>
      <c r="EM12" s="249">
        <v>104</v>
      </c>
      <c r="EN12" s="249">
        <v>50</v>
      </c>
      <c r="EO12" s="249">
        <v>109</v>
      </c>
      <c r="EP12" s="249">
        <v>245</v>
      </c>
      <c r="EQ12" s="249">
        <v>148</v>
      </c>
      <c r="ER12" s="249">
        <v>224</v>
      </c>
      <c r="ES12" s="249">
        <v>100</v>
      </c>
      <c r="ET12" s="249">
        <v>980</v>
      </c>
      <c r="FF12" s="249">
        <f>SUM(FF4:FF10)</f>
        <v>604</v>
      </c>
      <c r="FW12" s="249">
        <f>SUM(FS11:FV11)</f>
        <v>980</v>
      </c>
      <c r="FY12" s="11" t="s">
        <v>1704</v>
      </c>
      <c r="FZ12" s="121">
        <f>+GA12/$GA$12</f>
        <v>1</v>
      </c>
      <c r="GA12" s="11">
        <f>SUM(GA4:GA10)</f>
        <v>1362</v>
      </c>
      <c r="GB12" s="11">
        <f>SUM(GB4:GB10)</f>
        <v>1362</v>
      </c>
      <c r="GC12" s="249">
        <f>SUM(GC4:GC10)</f>
        <v>337</v>
      </c>
      <c r="GF12" s="139"/>
      <c r="GG12" s="138">
        <f>+GG11+GG10+GG9</f>
        <v>210</v>
      </c>
      <c r="GL12" s="139"/>
      <c r="GM12" s="138"/>
    </row>
    <row r="13" spans="1:195" x14ac:dyDescent="0.25">
      <c r="B13" s="249" t="s">
        <v>348</v>
      </c>
      <c r="C13" s="189">
        <f>+D13/D$17</f>
        <v>0.20095693779904306</v>
      </c>
      <c r="D13" s="249">
        <f>COUNTIFS('DETALLES UNIDADES'!$C$8:$C$987,"C2",'DETALLES UNIDADES'!$BA$8:$BA$987,"1")</f>
        <v>42</v>
      </c>
      <c r="E13" s="189"/>
      <c r="F13" s="189"/>
      <c r="G13" s="189"/>
      <c r="I13" s="249"/>
      <c r="J13" s="249"/>
      <c r="K13" s="249"/>
      <c r="L13" s="249"/>
      <c r="M13" s="249"/>
      <c r="N13" s="9" t="s">
        <v>348</v>
      </c>
      <c r="O13" s="252">
        <f>+S13/$V$13</f>
        <v>0.62857142857142856</v>
      </c>
      <c r="P13" s="252">
        <f t="shared" ref="P13:R13" si="91">+T13/$V$13</f>
        <v>0.33809523809523812</v>
      </c>
      <c r="Q13" s="252">
        <f t="shared" si="91"/>
        <v>3.3333333333333333E-2</v>
      </c>
      <c r="R13" s="252">
        <f t="shared" si="91"/>
        <v>1</v>
      </c>
      <c r="S13" s="253">
        <f>COUNTIFS('DETALLES UNIDADES'!$C$8:$C$987,"C2",'DETALLES UNIDADES'!$S$8:$S$987,"D")</f>
        <v>132</v>
      </c>
      <c r="T13" s="253">
        <f>COUNTIFS('DETALLES UNIDADES'!$C$8:$C$987,"C2",'DETALLES UNIDADES'!$S$8:$S$987,"G")</f>
        <v>71</v>
      </c>
      <c r="U13" s="253">
        <f>COUNTIFS('DETALLES UNIDADES'!$C$8:$C$987,"C2",'DETALLES UNIDADES'!$S$8:$S$987,"GAS")</f>
        <v>7</v>
      </c>
      <c r="V13" s="161">
        <f>SUM(S13:U13)</f>
        <v>210</v>
      </c>
      <c r="W13" s="179"/>
      <c r="X13" s="19" t="s">
        <v>715</v>
      </c>
      <c r="Y13" s="254">
        <f t="shared" si="67"/>
        <v>1</v>
      </c>
      <c r="Z13" s="9">
        <f>SUM(Z5:Z12)</f>
        <v>900</v>
      </c>
      <c r="AA13" s="28">
        <f>+S9-Z13</f>
        <v>0</v>
      </c>
      <c r="AK13" s="17" t="s">
        <v>2541</v>
      </c>
      <c r="BD13" s="11"/>
      <c r="BE13" s="249"/>
      <c r="BF13" s="249"/>
      <c r="BG13" s="249"/>
      <c r="BH13" s="249"/>
      <c r="BI13" s="249"/>
      <c r="BJ13" s="249"/>
      <c r="BK13" s="249"/>
      <c r="BL13" s="249"/>
      <c r="BM13" s="249"/>
      <c r="BN13" s="249"/>
      <c r="BO13" s="249"/>
      <c r="BP13" s="249"/>
      <c r="BQ13" s="249"/>
      <c r="BR13" s="249"/>
      <c r="BS13" s="249"/>
      <c r="BT13" s="138">
        <f>+BT11+BM12</f>
        <v>980</v>
      </c>
      <c r="BW13" s="17" t="s">
        <v>814</v>
      </c>
      <c r="BX13" s="17" t="s">
        <v>815</v>
      </c>
      <c r="BY13" s="17" t="s">
        <v>1780</v>
      </c>
      <c r="BZ13" s="17" t="s">
        <v>1781</v>
      </c>
      <c r="CB13" s="17" t="s">
        <v>814</v>
      </c>
      <c r="CC13" s="17" t="s">
        <v>815</v>
      </c>
      <c r="CD13" s="17" t="s">
        <v>1780</v>
      </c>
      <c r="CE13" s="17" t="s">
        <v>1781</v>
      </c>
      <c r="CH13" s="112"/>
      <c r="CI13" s="11" t="s">
        <v>814</v>
      </c>
      <c r="CJ13" s="11" t="s">
        <v>815</v>
      </c>
      <c r="CK13" s="11" t="s">
        <v>1780</v>
      </c>
      <c r="CL13" s="11" t="s">
        <v>1781</v>
      </c>
      <c r="CM13" s="11"/>
      <c r="CV13" s="17" t="str">
        <f>+CZ3</f>
        <v>UNA UNIDAD</v>
      </c>
      <c r="DF13" s="17" t="s">
        <v>2617</v>
      </c>
      <c r="DG13" s="6">
        <f t="shared" si="90"/>
        <v>0.10526315789473684</v>
      </c>
      <c r="DH13" s="6">
        <f t="shared" si="82"/>
        <v>0.21249999999999999</v>
      </c>
      <c r="DI13" s="6">
        <f t="shared" si="83"/>
        <v>0.31269349845201239</v>
      </c>
      <c r="DJ13" s="6">
        <f t="shared" si="84"/>
        <v>0.30902777777777779</v>
      </c>
      <c r="DK13" s="6">
        <f t="shared" si="85"/>
        <v>0.25102040816326532</v>
      </c>
      <c r="DL13" s="249">
        <f>COUNTIFS('DETALLES UNIDADES'!$BA$8:$BA$987,"1",'DETALLES UNIDADES'!$AS$8:$AS$987,"&lt;100001")-DL12-DL11</f>
        <v>22</v>
      </c>
      <c r="DM13" s="249">
        <f>COUNTIFS('DETALLES UNIDADES'!$BA$8:$BA$987,"2",'DETALLES UNIDADES'!$AS$8:$AS$987,"&lt;100001")-DM12-DM11</f>
        <v>34</v>
      </c>
      <c r="DN13" s="249">
        <f>COUNTIFS('DETALLES UNIDADES'!$BA$8:$BA$987,"3",'DETALLES UNIDADES'!$AS$8:$AS$987,"&lt;100001")+COUNTIFS('DETALLES UNIDADES'!$BA$8:$BA$987,"4",'DETALLES UNIDADES'!$AS$8:$AS$987,"&lt;100001")+COUNTIFS('DETALLES UNIDADES'!$BA$8:$BA$987,"5",'DETALLES UNIDADES'!$AS$8:$AS$987,"&lt;100001")-DN12-DN11</f>
        <v>101</v>
      </c>
      <c r="DO13" s="249">
        <f>COUNTIFS('DETALLES UNIDADES'!$BA$8:$BA$987,"&gt;5",'DETALLES UNIDADES'!$AS$8:$AS$987,"&lt;100001")-DO12-DO11</f>
        <v>89</v>
      </c>
      <c r="DP13" s="249">
        <f t="shared" si="86"/>
        <v>246</v>
      </c>
      <c r="DR13" s="17" t="s">
        <v>2645</v>
      </c>
      <c r="DS13" s="6">
        <f>+DX13/DX$18</f>
        <v>0.1070110701107011</v>
      </c>
      <c r="DT13" s="6">
        <f t="shared" ref="DT13:DT18" si="92">+DY13/DY$18</f>
        <v>0.14655172413793102</v>
      </c>
      <c r="DU13" s="6">
        <f t="shared" ref="DU13:DU18" si="93">+DZ13/DZ$18</f>
        <v>0.21897810218978103</v>
      </c>
      <c r="DV13" s="6">
        <f t="shared" ref="DV13:DV18" si="94">+EA13/EA$18</f>
        <v>0.17142857142857143</v>
      </c>
      <c r="DW13" s="6">
        <f t="shared" ref="DW13:DW18" si="95">+EB13/EB$18</f>
        <v>0.14669051878354203</v>
      </c>
      <c r="DX13" s="249">
        <f>COUNTIFS('ENCUESTA PROPIETARIOS'!$N$7:$N$417,"1",'ENCUESTA PROPIETARIOS'!$CB$7:$CB$417,"X")</f>
        <v>29</v>
      </c>
      <c r="DY13" s="249">
        <f>COUNTIFS('ENCUESTA PROPIETARIOS'!$N$7:$N$417,"2",'ENCUESTA PROPIETARIOS'!$CB$7:$CB$417,"X")</f>
        <v>17</v>
      </c>
      <c r="DZ13" s="249">
        <f>COUNTIFS('ENCUESTA PROPIETARIOS'!$N$7:$N$417,"3",'ENCUESTA PROPIETARIOS'!$CB$7:$CB$417,"X")+COUNTIFS('ENCUESTA PROPIETARIOS'!$N$7:$N$417,"4",'ENCUESTA PROPIETARIOS'!$CB$7:$CB$417,"X")+COUNTIFS('ENCUESTA PROPIETARIOS'!$N$7:$N$417,"5",'ENCUESTA PROPIETARIOS'!$CB$7:$CB$417,"X")</f>
        <v>30</v>
      </c>
      <c r="EA13" s="249">
        <f>COUNTIFS('ENCUESTA PROPIETARIOS'!$N$7:$N$417,"&gt;5",'ENCUESTA PROPIETARIOS'!$CB$7:$CB$417,"X")</f>
        <v>6</v>
      </c>
      <c r="EB13" s="249">
        <f>SUM(DX13:EA13)</f>
        <v>82</v>
      </c>
    </row>
    <row r="14" spans="1:195" x14ac:dyDescent="0.25">
      <c r="B14" s="249" t="s">
        <v>351</v>
      </c>
      <c r="C14" s="189">
        <f>+D14/D$17</f>
        <v>0.3923444976076555</v>
      </c>
      <c r="D14" s="249">
        <f>COUNTIFS('DETALLES UNIDADES'!$C$8:$C$987,"C3",'DETALLES UNIDADES'!$BA$8:$BA$987,"1")</f>
        <v>82</v>
      </c>
      <c r="E14" s="189"/>
      <c r="F14" s="189"/>
      <c r="G14" s="189"/>
      <c r="I14" s="249"/>
      <c r="J14" s="249"/>
      <c r="K14" s="249"/>
      <c r="L14" s="249"/>
      <c r="N14" s="7"/>
      <c r="O14" s="179"/>
      <c r="P14" s="179"/>
      <c r="Q14" s="179"/>
      <c r="R14" s="179"/>
      <c r="S14" s="179"/>
      <c r="T14" s="179"/>
      <c r="U14" s="179"/>
      <c r="V14" s="179"/>
      <c r="W14" s="179"/>
      <c r="X14" s="11" t="s">
        <v>1004</v>
      </c>
      <c r="Y14" s="254"/>
      <c r="Z14" s="9">
        <f>COUNTIF('DETALLES UNIDADES'!$S$8:$S$987,"G")</f>
        <v>73</v>
      </c>
      <c r="AK14" s="11"/>
      <c r="AM14" s="249" t="str">
        <f>+AQ2</f>
        <v>C2</v>
      </c>
      <c r="BD14" s="11" t="s">
        <v>2568</v>
      </c>
      <c r="BV14" s="17" t="s">
        <v>2589</v>
      </c>
      <c r="BW14" s="6">
        <f>+CB14/$CF$14</f>
        <v>0.51162790697674421</v>
      </c>
      <c r="BX14" s="6">
        <f t="shared" ref="BX14:CA14" si="96">+CC14/$CF$14</f>
        <v>0.23255813953488372</v>
      </c>
      <c r="BY14" s="6">
        <f t="shared" si="96"/>
        <v>0.18604651162790697</v>
      </c>
      <c r="BZ14" s="6">
        <f t="shared" si="96"/>
        <v>6.9767441860465115E-2</v>
      </c>
      <c r="CA14" s="6">
        <f t="shared" si="96"/>
        <v>1</v>
      </c>
      <c r="CB14" s="249">
        <f>COUNTIFS('ENCUESTA PROPIETARIOS'!$G$7:$G$417,"&lt;35",'ENCUESTA PROPIETARIOS'!$N$7:$N$417,"1")</f>
        <v>22</v>
      </c>
      <c r="CC14" s="249">
        <f>COUNTIFS('ENCUESTA PROPIETARIOS'!$G$7:$G$417,"&lt;35",'ENCUESTA PROPIETARIOS'!$N$7:$N$417,"2")</f>
        <v>10</v>
      </c>
      <c r="CD14" s="249">
        <f>COUNTIFS('ENCUESTA PROPIETARIOS'!$G$7:$G$417,"&lt;35",'ENCUESTA PROPIETARIOS'!$N$7:$N$417,"3")+COUNTIFS('ENCUESTA PROPIETARIOS'!$G$7:$G$417,"&lt;35",'ENCUESTA PROPIETARIOS'!$N$7:$N$417,"4")+COUNTIFS('ENCUESTA PROPIETARIOS'!$G$7:$G$417,"&lt;35",'ENCUESTA PROPIETARIOS'!$N$7:$N$417,"5")</f>
        <v>8</v>
      </c>
      <c r="CE14" s="249">
        <f>COUNTIFS('ENCUESTA PROPIETARIOS'!$G$7:$G$417,"&lt;35",'ENCUESTA PROPIETARIOS'!$N$7:$N$417,"&gt;5")</f>
        <v>3</v>
      </c>
      <c r="CF14" s="249">
        <f>SUM(CB14:CE14)</f>
        <v>43</v>
      </c>
      <c r="CH14" s="137" t="s">
        <v>39</v>
      </c>
      <c r="CI14" s="249">
        <f>COUNTIFS('ENCUESTA PROPIETARIOS'!$N$7:$N$417,"1",'ENCUESTA PROPIETARIOS'!$AT$7:$AT$417,"X")</f>
        <v>6</v>
      </c>
      <c r="CJ14" s="249">
        <f>COUNTIFS('ENCUESTA PROPIETARIOS'!$N$7:$N$417,"2",'ENCUESTA PROPIETARIOS'!$AT$7:$AT$417,"X")</f>
        <v>8</v>
      </c>
      <c r="CK14" s="249">
        <f>COUNTIFS('ENCUESTA PROPIETARIOS'!$N$7:$N$417,"3",'ENCUESTA PROPIETARIOS'!$AT$7:$AT$417,"X")+COUNTIFS('ENCUESTA PROPIETARIOS'!$N$7:$N$417,"4",'ENCUESTA PROPIETARIOS'!$AT$7:$AT$417,"X")+COUNTIFS('ENCUESTA PROPIETARIOS'!$N$7:$N$417,"5",'ENCUESTA PROPIETARIOS'!$AT$7:$AT$417,"X")</f>
        <v>3</v>
      </c>
      <c r="CL14" s="249">
        <f>COUNTIFS('ENCUESTA PROPIETARIOS'!$N$7:$N$417,"&gt;5",'ENCUESTA PROPIETARIOS'!$AT$7:$AT$417,"X")</f>
        <v>2</v>
      </c>
      <c r="CM14" s="249">
        <f>SUM(CI14:CL14)</f>
        <v>19</v>
      </c>
      <c r="CT14" s="17" t="s">
        <v>2605</v>
      </c>
      <c r="CU14" s="6">
        <f>+CV14/$CV$19</f>
        <v>0.47263681592039802</v>
      </c>
      <c r="CV14" s="249">
        <f t="shared" ref="CV14:CV19" si="97">+CZ4</f>
        <v>95</v>
      </c>
      <c r="DF14" s="17" t="s">
        <v>2619</v>
      </c>
      <c r="DG14" s="6">
        <f t="shared" si="90"/>
        <v>0.10526315789473684</v>
      </c>
      <c r="DH14" s="6">
        <f t="shared" si="82"/>
        <v>0.26874999999999999</v>
      </c>
      <c r="DI14" s="6">
        <f t="shared" si="83"/>
        <v>0.23839009287925697</v>
      </c>
      <c r="DJ14" s="6">
        <f t="shared" si="84"/>
        <v>0.2986111111111111</v>
      </c>
      <c r="DK14" s="6">
        <f t="shared" si="85"/>
        <v>0.23265306122448978</v>
      </c>
      <c r="DL14" s="249">
        <f>COUNTIFS('DETALLES UNIDADES'!$BA$8:$BA$987,"1",'DETALLES UNIDADES'!$AS$8:$AS$987,"&lt;125001")-DL13-DL12-DL11</f>
        <v>22</v>
      </c>
      <c r="DM14" s="249">
        <f>COUNTIFS('DETALLES UNIDADES'!$BA$8:$BA$987,"2",'DETALLES UNIDADES'!$AS$8:$AS$987,"&lt;125001")-DM13-DM12-DM11</f>
        <v>43</v>
      </c>
      <c r="DN14" s="249">
        <f>COUNTIFS('DETALLES UNIDADES'!$BA$8:$BA$987,"3",'DETALLES UNIDADES'!$AS$8:$AS$987,"&lt;125001")+COUNTIFS('DETALLES UNIDADES'!$BA$8:$BA$987,"4",'DETALLES UNIDADES'!$AS$8:$AS$987,"&lt;125001")+COUNTIFS('DETALLES UNIDADES'!$BA$8:$BA$987,"5",'DETALLES UNIDADES'!$AS$8:$AS$987,"&lt;125001")-DN13-DN12-DN11</f>
        <v>77</v>
      </c>
      <c r="DO14" s="249">
        <f>COUNTIFS('DETALLES UNIDADES'!$BA$8:$BA$987,"&gt;5",'DETALLES UNIDADES'!$AS$8:$AS$987,"&lt;125001")-DO13-DO12-DO11</f>
        <v>86</v>
      </c>
      <c r="DP14" s="249">
        <f t="shared" si="86"/>
        <v>228</v>
      </c>
      <c r="DR14" s="17" t="s">
        <v>886</v>
      </c>
      <c r="DS14" s="6">
        <f t="shared" ref="DS14:DS18" si="98">+DX14/DX$18</f>
        <v>0.16605166051660517</v>
      </c>
      <c r="DT14" s="6">
        <f t="shared" si="92"/>
        <v>0.30172413793103448</v>
      </c>
      <c r="DU14" s="6">
        <f t="shared" si="93"/>
        <v>0.40875912408759124</v>
      </c>
      <c r="DV14" s="6">
        <f t="shared" si="94"/>
        <v>0.42857142857142855</v>
      </c>
      <c r="DW14" s="6">
        <f t="shared" si="95"/>
        <v>0.2701252236135957</v>
      </c>
      <c r="DX14" s="249">
        <f>COUNTIFS('ENCUESTA PROPIETARIOS'!$N$7:$N$417,"1",'ENCUESTA PROPIETARIOS'!$CC$7:$CC$417,"X")</f>
        <v>45</v>
      </c>
      <c r="DY14" s="249">
        <f>COUNTIFS('ENCUESTA PROPIETARIOS'!$N$7:$N$417,"2",'ENCUESTA PROPIETARIOS'!$CC$7:$CC$417,"X")</f>
        <v>35</v>
      </c>
      <c r="DZ14" s="249">
        <f>COUNTIFS('ENCUESTA PROPIETARIOS'!$N$7:$N$417,"3",'ENCUESTA PROPIETARIOS'!$CC$7:$CC$417,"X")+COUNTIFS('ENCUESTA PROPIETARIOS'!$N$7:$N$417,"4",'ENCUESTA PROPIETARIOS'!$CC$7:$CC$417,"X")+COUNTIFS('ENCUESTA PROPIETARIOS'!$N$7:$N$417,"5",'ENCUESTA PROPIETARIOS'!$CC$7:$CC$417,"X")</f>
        <v>56</v>
      </c>
      <c r="EA14" s="249">
        <f>COUNTIFS('ENCUESTA PROPIETARIOS'!$N$7:$N$417,"&gt;5",'ENCUESTA PROPIETARIOS'!$CC$7:$CC$417,"X")</f>
        <v>15</v>
      </c>
      <c r="EB14" s="249">
        <f>SUM(DX14:EA14)</f>
        <v>151</v>
      </c>
      <c r="ED14" s="17" t="s">
        <v>2666</v>
      </c>
      <c r="EV14" s="200" t="s">
        <v>2688</v>
      </c>
      <c r="FM14" s="17" t="s">
        <v>2706</v>
      </c>
      <c r="GE14" s="11" t="s">
        <v>2721</v>
      </c>
      <c r="GK14" s="11"/>
    </row>
    <row r="15" spans="1:195" x14ac:dyDescent="0.25">
      <c r="B15" s="249" t="s">
        <v>359</v>
      </c>
      <c r="C15" s="189">
        <f>+D15/D$17</f>
        <v>9.5693779904306216E-3</v>
      </c>
      <c r="D15" s="249">
        <f>COUNTIFS('DETALLES UNIDADES'!$C$8:$C$987,"T2",'DETALLES UNIDADES'!$BA$8:$BA$987,"1")</f>
        <v>2</v>
      </c>
      <c r="E15" s="189"/>
      <c r="F15" s="189"/>
      <c r="G15" s="189"/>
      <c r="I15" s="249"/>
      <c r="J15" s="249"/>
      <c r="K15" s="249"/>
      <c r="L15" s="249"/>
      <c r="N15" s="179" t="s">
        <v>2507</v>
      </c>
      <c r="O15" s="9"/>
      <c r="P15" s="179"/>
      <c r="Q15" s="179"/>
      <c r="R15" s="179"/>
      <c r="S15" s="179"/>
      <c r="T15" s="179"/>
      <c r="U15" s="179"/>
      <c r="V15" s="179"/>
      <c r="W15" s="179"/>
      <c r="X15" s="11" t="s">
        <v>430</v>
      </c>
      <c r="Y15" s="254"/>
      <c r="Z15" s="9">
        <f>COUNTIF('DETALLES UNIDADES'!$S$8:$S$987,"GAS")</f>
        <v>7</v>
      </c>
      <c r="AK15" s="11" t="s">
        <v>2534</v>
      </c>
      <c r="AL15" s="6">
        <f>+AM15/$AM$22</f>
        <v>7.1428571428571425E-2</v>
      </c>
      <c r="AM15" s="249">
        <f>+AQ3</f>
        <v>15</v>
      </c>
      <c r="BD15" s="11"/>
      <c r="BE15" s="11" t="s">
        <v>2534</v>
      </c>
      <c r="BV15" s="17" t="s">
        <v>2590</v>
      </c>
      <c r="BW15" s="6">
        <f>+CB15/$CF$15</f>
        <v>0.4453125</v>
      </c>
      <c r="BX15" s="6">
        <f t="shared" ref="BX15:CA15" si="99">+CC15/$CF$15</f>
        <v>0.234375</v>
      </c>
      <c r="BY15" s="6">
        <f t="shared" si="99"/>
        <v>0.2734375</v>
      </c>
      <c r="BZ15" s="6">
        <f t="shared" si="99"/>
        <v>4.6875E-2</v>
      </c>
      <c r="CA15" s="6">
        <f t="shared" si="99"/>
        <v>1</v>
      </c>
      <c r="CB15" s="249">
        <f>COUNTIFS('ENCUESTA PROPIETARIOS'!$G$7:$G$417,"&lt;46",'ENCUESTA PROPIETARIOS'!$N$7:$N$417,"1")-CB14</f>
        <v>57</v>
      </c>
      <c r="CC15" s="249">
        <f>COUNTIFS('ENCUESTA PROPIETARIOS'!$G$7:$G$417,"&lt;46",'ENCUESTA PROPIETARIOS'!$N$7:$N$417,"2")-CC14</f>
        <v>30</v>
      </c>
      <c r="CD15" s="249">
        <f>COUNTIFS('ENCUESTA PROPIETARIOS'!$G$7:$G$417,"&lt;46",'ENCUESTA PROPIETARIOS'!$N$7:$N$417,"3")+COUNTIFS('ENCUESTA PROPIETARIOS'!$G$7:$G$417,"&lt;46",'ENCUESTA PROPIETARIOS'!$N$7:$N$417,"4")+COUNTIFS('ENCUESTA PROPIETARIOS'!$G$7:$G$417,"&lt;46",'ENCUESTA PROPIETARIOS'!$N$7:$N$417,"5")-CD14</f>
        <v>35</v>
      </c>
      <c r="CE15" s="249">
        <f>COUNTIFS('ENCUESTA PROPIETARIOS'!$G$7:$G$417,"&lt;46",'ENCUESTA PROPIETARIOS'!$N$7:$N$417,"&gt;5")-CE14</f>
        <v>6</v>
      </c>
      <c r="CF15" s="249">
        <f>SUM(CB15:CE15)</f>
        <v>128</v>
      </c>
      <c r="CH15" s="137" t="s">
        <v>2602</v>
      </c>
      <c r="CI15" s="249">
        <f>COUNTIFS('ENCUESTA PROPIETARIOS'!$N$7:$N$417,"1",'ENCUESTA PROPIETARIOS'!$AU$7:$AU$417,"X")</f>
        <v>112</v>
      </c>
      <c r="CJ15" s="249">
        <f>COUNTIFS('ENCUESTA PROPIETARIOS'!$N$7:$N$417,"2",'ENCUESTA PROPIETARIOS'!$AU$7:$AU$417,"X")</f>
        <v>39</v>
      </c>
      <c r="CK15" s="249">
        <f>COUNTIFS('ENCUESTA PROPIETARIOS'!$N$7:$N$417,"3",'ENCUESTA PROPIETARIOS'!$AU$7:$AU$417,"X")+COUNTIFS('ENCUESTA PROPIETARIOS'!$N$7:$N$417,"4",'ENCUESTA PROPIETARIOS'!$AU$7:$AU$417,"X")+COUNTIFS('ENCUESTA PROPIETARIOS'!$N$7:$N$417,"5",'ENCUESTA PROPIETARIOS'!$AU$7:$AU$417,"X")</f>
        <v>42</v>
      </c>
      <c r="CL15" s="249">
        <f>COUNTIFS('ENCUESTA PROPIETARIOS'!$N$7:$N$417,"&gt;5",'ENCUESTA PROPIETARIOS'!$AU$7:$AU$417,"X")</f>
        <v>13</v>
      </c>
      <c r="CM15" s="249">
        <f t="shared" ref="CM15:CM17" si="100">SUM(CI15:CL15)</f>
        <v>206</v>
      </c>
      <c r="CT15" s="17" t="s">
        <v>2606</v>
      </c>
      <c r="CU15" s="6">
        <f t="shared" ref="CU15:CU19" si="101">+CV15/$CV$19</f>
        <v>9.950248756218906E-2</v>
      </c>
      <c r="CV15" s="249">
        <f t="shared" si="97"/>
        <v>20</v>
      </c>
      <c r="DF15" s="17" t="s">
        <v>2620</v>
      </c>
      <c r="DG15" s="6">
        <f t="shared" si="90"/>
        <v>8.1339712918660281E-2</v>
      </c>
      <c r="DH15" s="6">
        <f t="shared" si="82"/>
        <v>0.2</v>
      </c>
      <c r="DI15" s="6">
        <f t="shared" si="83"/>
        <v>0.21362229102167182</v>
      </c>
      <c r="DJ15" s="6">
        <f t="shared" si="84"/>
        <v>4.8611111111111112E-2</v>
      </c>
      <c r="DK15" s="6">
        <f t="shared" si="85"/>
        <v>0.13469387755102041</v>
      </c>
      <c r="DL15" s="249">
        <f>COUNTIFS('DETALLES UNIDADES'!$BA$8:$BA$987,"1",'DETALLES UNIDADES'!$AS$8:$AS$987,"&lt;150001")-DL14-DL13-DL12-DL11</f>
        <v>17</v>
      </c>
      <c r="DM15" s="249">
        <f>COUNTIFS('DETALLES UNIDADES'!$BA$8:$BA$987,"2",'DETALLES UNIDADES'!$AS$8:$AS$987,"&lt;150001")-DM14-DM13-DM12-DM11</f>
        <v>32</v>
      </c>
      <c r="DN15" s="249">
        <f>COUNTIFS('DETALLES UNIDADES'!$BA$8:$BA$987,"3",'DETALLES UNIDADES'!$AS$8:$AS$987,"&lt;150001")+COUNTIFS('DETALLES UNIDADES'!$BA$8:$BA$987,"4",'DETALLES UNIDADES'!$AS$8:$AS$987,"&lt;150001")+COUNTIFS('DETALLES UNIDADES'!$BA$8:$BA$987,"5",'DETALLES UNIDADES'!$AS$8:$AS$987,"&lt;150001")-DN14-DN13-DN12-DN11</f>
        <v>69</v>
      </c>
      <c r="DO15" s="249">
        <f>COUNTIFS('DETALLES UNIDADES'!$BA$8:$BA$987,"&gt;5",'DETALLES UNIDADES'!$AS$8:$AS$987,"&lt;150001")-DO14-DO13-DO12-DO11</f>
        <v>14</v>
      </c>
      <c r="DP15" s="249">
        <f t="shared" si="86"/>
        <v>132</v>
      </c>
      <c r="DR15" s="17" t="s">
        <v>2646</v>
      </c>
      <c r="DS15" s="6">
        <f t="shared" si="98"/>
        <v>0.24354243542435425</v>
      </c>
      <c r="DT15" s="6">
        <f t="shared" si="92"/>
        <v>6.0344827586206899E-2</v>
      </c>
      <c r="DU15" s="6">
        <f t="shared" si="93"/>
        <v>7.2992700729927001E-2</v>
      </c>
      <c r="DV15" s="6">
        <f t="shared" si="94"/>
        <v>2.8571428571428571E-2</v>
      </c>
      <c r="DW15" s="6">
        <f t="shared" si="95"/>
        <v>0.15026833631484796</v>
      </c>
      <c r="DX15" s="249">
        <f>COUNTIFS('ENCUESTA PROPIETARIOS'!$N$7:$N$417,"1",'ENCUESTA PROPIETARIOS'!$CE$7:$CE$417,"X")+COUNTIFS('ENCUESTA PROPIETARIOS'!$N$7:$N$417,"1",'ENCUESTA PROPIETARIOS'!$CF$7:$CF$417,"X")</f>
        <v>66</v>
      </c>
      <c r="DY15" s="249">
        <f>COUNTIFS('ENCUESTA PROPIETARIOS'!$N$7:$N$417,"2",'ENCUESTA PROPIETARIOS'!$CE$7:$CE$417,"X")+COUNTIFS('ENCUESTA PROPIETARIOS'!$N$7:$N$417,"2",'ENCUESTA PROPIETARIOS'!$CF$7:$CF$417,"X")</f>
        <v>7</v>
      </c>
      <c r="DZ15" s="249">
        <f>COUNTIFS('ENCUESTA PROPIETARIOS'!$N$7:$N$417,"3",'ENCUESTA PROPIETARIOS'!$CE$7:$CE$417,"X")+COUNTIFS('ENCUESTA PROPIETARIOS'!$N$7:$N$417,"4",'ENCUESTA PROPIETARIOS'!$CE$7:$CE$417,"X")+COUNTIFS('ENCUESTA PROPIETARIOS'!$N$7:$N$417,"5",'ENCUESTA PROPIETARIOS'!$CE$7:$CE$417,"X")+COUNTIFS('ENCUESTA PROPIETARIOS'!$N$7:$N$417,"3",'ENCUESTA PROPIETARIOS'!$CF$7:$CF$417,"X")+COUNTIFS('ENCUESTA PROPIETARIOS'!$N$7:$N$417,"4",'ENCUESTA PROPIETARIOS'!$CF$7:$CF$417,"X")+COUNTIFS('ENCUESTA PROPIETARIOS'!$N$7:$N$417,"5",'ENCUESTA PROPIETARIOS'!$CF$7:$CF$417,"X")</f>
        <v>10</v>
      </c>
      <c r="EA15" s="249">
        <f>COUNTIFS('ENCUESTA PROPIETARIOS'!$N$7:$N$417,"&gt;5",'ENCUESTA PROPIETARIOS'!$CE$7:$CE$417,"X")+COUNTIFS('ENCUESTA PROPIETARIOS'!$N$7:$N$417,"&gt;5",'ENCUESTA PROPIETARIOS'!$CF$7:$CF$417,"X")</f>
        <v>1</v>
      </c>
      <c r="EB15" s="249">
        <f>SUM(DX15:EA15)</f>
        <v>84</v>
      </c>
      <c r="EE15" s="11" t="s">
        <v>2534</v>
      </c>
      <c r="EF15" s="11" t="s">
        <v>2535</v>
      </c>
      <c r="EG15" s="11" t="s">
        <v>2536</v>
      </c>
      <c r="EH15" s="11" t="s">
        <v>2537</v>
      </c>
      <c r="EI15" s="11" t="s">
        <v>2538</v>
      </c>
      <c r="EJ15" s="11" t="s">
        <v>2539</v>
      </c>
      <c r="EK15" s="11" t="s">
        <v>2540</v>
      </c>
      <c r="EM15" s="11" t="s">
        <v>2534</v>
      </c>
      <c r="EN15" s="11" t="s">
        <v>2535</v>
      </c>
      <c r="EO15" s="11" t="s">
        <v>2536</v>
      </c>
      <c r="EP15" s="11" t="s">
        <v>2537</v>
      </c>
      <c r="EQ15" s="11" t="s">
        <v>2538</v>
      </c>
      <c r="ER15" s="11" t="s">
        <v>2539</v>
      </c>
      <c r="ES15" s="11" t="s">
        <v>2540</v>
      </c>
      <c r="EW15" s="11" t="s">
        <v>814</v>
      </c>
      <c r="EX15" s="11" t="s">
        <v>815</v>
      </c>
      <c r="EY15" s="11" t="s">
        <v>1780</v>
      </c>
      <c r="EZ15" s="11" t="s">
        <v>1781</v>
      </c>
      <c r="FA15" s="11"/>
      <c r="FB15" s="11" t="s">
        <v>814</v>
      </c>
      <c r="FC15" s="11" t="s">
        <v>815</v>
      </c>
      <c r="FD15" s="11" t="s">
        <v>1780</v>
      </c>
      <c r="FE15" s="11" t="s">
        <v>1781</v>
      </c>
      <c r="FF15" s="11"/>
      <c r="FN15" s="249" t="s">
        <v>348</v>
      </c>
      <c r="GE15" s="11" t="s">
        <v>2374</v>
      </c>
      <c r="GF15" s="6">
        <f>+GG15/$GG$21</f>
        <v>0.55497382198952883</v>
      </c>
      <c r="GG15" s="249">
        <f>COUNTIFS('DETALLES UNIDADES'!$C$8:$C$987,"C3",'DETALLES UNIDADES'!$R$8:$R$987,"&lt;2500")</f>
        <v>106</v>
      </c>
      <c r="GK15" s="11"/>
      <c r="GL15" s="6"/>
      <c r="GM15" s="249"/>
    </row>
    <row r="16" spans="1:195" x14ac:dyDescent="0.25">
      <c r="B16" s="249" t="s">
        <v>337</v>
      </c>
      <c r="C16" s="189">
        <f>+D16/D$17</f>
        <v>0.39712918660287083</v>
      </c>
      <c r="D16" s="249">
        <f>COUNTIFS('DETALLES UNIDADES'!$C$8:$C$987,"T3",'DETALLES UNIDADES'!$BA$8:$BA$987,"1")</f>
        <v>83</v>
      </c>
      <c r="E16" s="189"/>
      <c r="F16" s="189"/>
      <c r="G16" s="189"/>
      <c r="I16" s="249"/>
      <c r="J16" s="249"/>
      <c r="K16" s="249"/>
      <c r="L16" s="249"/>
      <c r="O16" s="179" t="s">
        <v>1002</v>
      </c>
      <c r="P16" s="179" t="s">
        <v>1004</v>
      </c>
      <c r="Q16" s="179" t="s">
        <v>430</v>
      </c>
      <c r="R16" s="179"/>
      <c r="S16" s="179" t="s">
        <v>1002</v>
      </c>
      <c r="T16" s="179" t="s">
        <v>1004</v>
      </c>
      <c r="U16" s="179" t="s">
        <v>430</v>
      </c>
      <c r="V16" s="179"/>
      <c r="W16" s="179"/>
      <c r="X16" s="179"/>
      <c r="Y16" s="179"/>
      <c r="Z16" s="9">
        <f>+Z15+Z14+Z13</f>
        <v>980</v>
      </c>
      <c r="AK16" s="11" t="s">
        <v>2535</v>
      </c>
      <c r="AL16" s="6">
        <f t="shared" ref="AL16:AL22" si="102">+AM16/$AM$22</f>
        <v>6.6666666666666666E-2</v>
      </c>
      <c r="AM16" s="249">
        <f t="shared" ref="AM16:AM22" si="103">+AQ4</f>
        <v>14</v>
      </c>
      <c r="BD16" s="112" t="s">
        <v>1712</v>
      </c>
      <c r="BE16" s="6">
        <f>+BF16/$BF$23</f>
        <v>2.8735632183908046E-2</v>
      </c>
      <c r="BF16" s="249">
        <f>+BM4</f>
        <v>5</v>
      </c>
      <c r="BV16" s="17" t="s">
        <v>2591</v>
      </c>
      <c r="BW16" s="6">
        <f>+CB16/$CF$16</f>
        <v>0.51298701298701299</v>
      </c>
      <c r="BX16" s="6">
        <f t="shared" ref="BX16:CA16" si="104">+CC16/$CF$16</f>
        <v>0.18181818181818182</v>
      </c>
      <c r="BY16" s="6">
        <f t="shared" si="104"/>
        <v>0.21428571428571427</v>
      </c>
      <c r="BZ16" s="6">
        <f t="shared" si="104"/>
        <v>9.0909090909090912E-2</v>
      </c>
      <c r="CA16" s="6">
        <f t="shared" si="104"/>
        <v>1</v>
      </c>
      <c r="CB16" s="249">
        <f>COUNTIFS('ENCUESTA PROPIETARIOS'!$G$7:$G$417,"&lt;56",'ENCUESTA PROPIETARIOS'!$N$7:$N$417,"1")-CB15-CB14</f>
        <v>79</v>
      </c>
      <c r="CC16" s="249">
        <f>COUNTIFS('ENCUESTA PROPIETARIOS'!$G$7:$G$417,"&lt;56",'ENCUESTA PROPIETARIOS'!$N$7:$N$417,"2")-CC15-CC14</f>
        <v>28</v>
      </c>
      <c r="CD16" s="249">
        <f>COUNTIFS('ENCUESTA PROPIETARIOS'!$G$7:$G$417,"&lt;56",'ENCUESTA PROPIETARIOS'!$N$7:$N$417,"3")+COUNTIFS('ENCUESTA PROPIETARIOS'!$G$7:$G$417,"&lt;56",'ENCUESTA PROPIETARIOS'!$N$7:$N$417,"4")+COUNTIFS('ENCUESTA PROPIETARIOS'!$G$7:$G$417,"&lt;56",'ENCUESTA PROPIETARIOS'!$N$7:$N$417,"5")-CD15-CD14</f>
        <v>33</v>
      </c>
      <c r="CE16" s="249">
        <f>COUNTIFS('ENCUESTA PROPIETARIOS'!$G$7:$G$417,"&lt;56",'ENCUESTA PROPIETARIOS'!$N$7:$N$417,"&gt;5")-CE15-CE14</f>
        <v>14</v>
      </c>
      <c r="CF16" s="249">
        <f>SUM(CB16:CE16)</f>
        <v>154</v>
      </c>
      <c r="CH16" s="137" t="s">
        <v>41</v>
      </c>
      <c r="CI16" s="249">
        <f>COUNTIFS('ENCUESTA PROPIETARIOS'!$N$7:$N$417,"1",'ENCUESTA PROPIETARIOS'!$AV$7:$AV$417,"X")</f>
        <v>66</v>
      </c>
      <c r="CJ16" s="249">
        <f>COUNTIFS('ENCUESTA PROPIETARIOS'!$N$7:$N$417,"2",'ENCUESTA PROPIETARIOS'!$AV$7:$AV$417,"X")</f>
        <v>34</v>
      </c>
      <c r="CK16" s="249">
        <f>COUNTIFS('ENCUESTA PROPIETARIOS'!$N$7:$N$417,"3",'ENCUESTA PROPIETARIOS'!$AV$7:$AV$417,"X")+COUNTIFS('ENCUESTA PROPIETARIOS'!$N$7:$N$417,"4",'ENCUESTA PROPIETARIOS'!$AV$7:$AV$417,"X")+COUNTIFS('ENCUESTA PROPIETARIOS'!$N$7:$N$417,"5",'ENCUESTA PROPIETARIOS'!$AV$7:$AV$417,"X")</f>
        <v>32</v>
      </c>
      <c r="CL16" s="249">
        <f>COUNTIFS('ENCUESTA PROPIETARIOS'!$N$7:$N$417,"&gt;5",'ENCUESTA PROPIETARIOS'!$AV$7:$AV$417,"X")</f>
        <v>9</v>
      </c>
      <c r="CM16" s="249">
        <f t="shared" si="100"/>
        <v>141</v>
      </c>
      <c r="CT16" s="17" t="s">
        <v>2607</v>
      </c>
      <c r="CU16" s="6">
        <f t="shared" si="101"/>
        <v>0.14427860696517414</v>
      </c>
      <c r="CV16" s="249">
        <f t="shared" si="97"/>
        <v>29</v>
      </c>
      <c r="DF16" s="17" t="s">
        <v>2621</v>
      </c>
      <c r="DG16" s="6">
        <f t="shared" si="90"/>
        <v>1.4354066985645933E-2</v>
      </c>
      <c r="DH16" s="6">
        <f t="shared" si="82"/>
        <v>2.5000000000000001E-2</v>
      </c>
      <c r="DI16" s="6">
        <f t="shared" si="83"/>
        <v>3.7151702786377708E-2</v>
      </c>
      <c r="DJ16" s="6">
        <f t="shared" si="84"/>
        <v>1.3888888888888888E-2</v>
      </c>
      <c r="DK16" s="6">
        <f t="shared" si="85"/>
        <v>2.3469387755102041E-2</v>
      </c>
      <c r="DL16" s="249">
        <f>COUNTIFS('DETALLES UNIDADES'!$BA$8:$BA$987,"1",'DETALLES UNIDADES'!$AS$8:$AS$987,"&lt;175001")-DL15-DL14-DL13-DL12-DL11</f>
        <v>3</v>
      </c>
      <c r="DM16" s="249">
        <f>COUNTIFS('DETALLES UNIDADES'!$BA$8:$BA$987,"2",'DETALLES UNIDADES'!$AS$8:$AS$987,"&lt;175001")-DM15-DM14-DM13-DM12-DM11</f>
        <v>4</v>
      </c>
      <c r="DN16" s="249">
        <f>COUNTIFS('DETALLES UNIDADES'!$BA$8:$BA$987,"3",'DETALLES UNIDADES'!$AS$8:$AS$987,"&lt;175001")+COUNTIFS('DETALLES UNIDADES'!$BA$8:$BA$987,"4",'DETALLES UNIDADES'!$AS$8:$AS$987,"&lt;175001")+COUNTIFS('DETALLES UNIDADES'!$BA$8:$BA$987,"5",'DETALLES UNIDADES'!$AS$8:$AS$987,"&lt;175001")-DN15-DN14-DN13-DN12-DN11</f>
        <v>12</v>
      </c>
      <c r="DO16" s="249">
        <f>COUNTIFS('DETALLES UNIDADES'!$BA$8:$BA$987,"&gt;5",'DETALLES UNIDADES'!$AS$8:$AS$987,"&lt;175001")-DO15-DO14-DO13-DO12-DO11</f>
        <v>4</v>
      </c>
      <c r="DP16" s="249">
        <f t="shared" si="86"/>
        <v>23</v>
      </c>
      <c r="DR16" s="17" t="s">
        <v>1670</v>
      </c>
      <c r="DS16" s="6">
        <f t="shared" si="98"/>
        <v>0.28044280442804426</v>
      </c>
      <c r="DT16" s="6">
        <f t="shared" si="92"/>
        <v>0.30172413793103448</v>
      </c>
      <c r="DU16" s="6">
        <f t="shared" si="93"/>
        <v>0.23357664233576642</v>
      </c>
      <c r="DV16" s="6">
        <f t="shared" si="94"/>
        <v>0.25714285714285712</v>
      </c>
      <c r="DW16" s="6">
        <f t="shared" si="95"/>
        <v>0.27191413237924866</v>
      </c>
      <c r="DX16" s="249">
        <f>COUNTIFS('ENCUESTA PROPIETARIOS'!$N$7:$N$417,"1",'ENCUESTA PROPIETARIOS'!$BZ$7:$BZ$417,"X")+COUNTIFS('ENCUESTA PROPIETARIOS'!$N$7:$N$417,"1",'ENCUESTA PROPIETARIOS'!$CA$7:$CA$417,"X")+COUNTIFS('ENCUESTA PROPIETARIOS'!$N$7:$N$417,"1",'ENCUESTA PROPIETARIOS'!$CD$7:$CD$417,"X")+COUNTIFS('ENCUESTA PROPIETARIOS'!$N$7:$N$417,"1",'ENCUESTA PROPIETARIOS'!$CH$7:$CH$417,"CREDITO HIPOTECARIO")+COUNTIFS('ENCUESTA PROPIETARIOS'!$N$7:$N$417,"1",'ENCUESTA PROPIETARIOS'!$CH$7:$CH$417,"ARRENDAMIENTO")+COUNTIFS('ENCUESTA PROPIETARIOS'!$N$7:$N$417,"1",'ENCUESTA PROPIETARIOS'!$CH$7:$CH$417,"BANCARIO")</f>
        <v>76</v>
      </c>
      <c r="DY16" s="249">
        <f>COUNTIFS('ENCUESTA PROPIETARIOS'!$N$7:$N$417,"2",'ENCUESTA PROPIETARIOS'!$BZ$7:$BZ$417,"X")+COUNTIFS('ENCUESTA PROPIETARIOS'!$N$7:$N$417,"2",'ENCUESTA PROPIETARIOS'!$CA$7:$CA$417,"X")+COUNTIFS('ENCUESTA PROPIETARIOS'!$N$7:$N$417,"2",'ENCUESTA PROPIETARIOS'!$CD$7:$CD$417,"X")+COUNTIFS('ENCUESTA PROPIETARIOS'!$N$7:$N$417,"2",'ENCUESTA PROPIETARIOS'!$CH$7:$CH$417,"CREDITO HIPOTECARIO")+COUNTIFS('ENCUESTA PROPIETARIOS'!$N$7:$N$417,"2",'ENCUESTA PROPIETARIOS'!$CH$7:$CH$417,"ARRENDAMIENTO")+COUNTIFS('ENCUESTA PROPIETARIOS'!$N$7:$N$417,"2",'ENCUESTA PROPIETARIOS'!$CH$7:$CH$417,"BANCARIO")</f>
        <v>35</v>
      </c>
      <c r="DZ16" s="249">
        <f>COUNTIFS('ENCUESTA PROPIETARIOS'!$N$7:$N$417,"3",'ENCUESTA PROPIETARIOS'!$BZ$7:$BZ$417,"X")+COUNTIFS('ENCUESTA PROPIETARIOS'!$N$7:$N$417,"4",'ENCUESTA PROPIETARIOS'!$BZ$7:$BZ$417,"X")+COUNTIFS('ENCUESTA PROPIETARIOS'!$N$7:$N$417,"5",'ENCUESTA PROPIETARIOS'!$BZ$7:$BZ$417,"X")+COUNTIFS('ENCUESTA PROPIETARIOS'!$N$7:$N$417,"3",'ENCUESTA PROPIETARIOS'!$CA$7:$CA$417,"X")+COUNTIFS('ENCUESTA PROPIETARIOS'!$N$7:$N$417,"4",'ENCUESTA PROPIETARIOS'!$CA$7:$CA$417,"X")+COUNTIFS('ENCUESTA PROPIETARIOS'!$N$7:$N$417,"5",'ENCUESTA PROPIETARIOS'!$CA$7:$CA$417,"X")+COUNTIFS('ENCUESTA PROPIETARIOS'!$N$7:$N$417,"3",'ENCUESTA PROPIETARIOS'!$CD$7:$CD$417,"X")+COUNTIFS('ENCUESTA PROPIETARIOS'!$N$7:$N$417,"4",'ENCUESTA PROPIETARIOS'!$CD$7:$CD$417,"X")+COUNTIFS('ENCUESTA PROPIETARIOS'!$N$7:$N$417,"5",'ENCUESTA PROPIETARIOS'!$CD$7:$CD$417,"X")+COUNTIFS('ENCUESTA PROPIETARIOS'!$N$7:$N$417,"3",'ENCUESTA PROPIETARIOS'!$CH$7:$CH$417,"CREDITO HIPOTECARIO")+COUNTIFS('ENCUESTA PROPIETARIOS'!$N$7:$N$417,"4",'ENCUESTA PROPIETARIOS'!$CH$7:$CH$417,"CREDITO HIPOTECARIO")+COUNTIFS('ENCUESTA PROPIETARIOS'!$N$7:$N$417,"5",'ENCUESTA PROPIETARIOS'!$CH$7:$CH$417,"CREDITO HIPOTECARIO")+COUNTIFS('ENCUESTA PROPIETARIOS'!$N$7:$N$417,"3",'ENCUESTA PROPIETARIOS'!$CH$7:$CH$417,"ARRENDAMIENTO")+COUNTIFS('ENCUESTA PROPIETARIOS'!$N$7:$N$417,"4",'ENCUESTA PROPIETARIOS'!$CH$7:$CH$417,"ARRENDAMIENTO")+COUNTIFS('ENCUESTA PROPIETARIOS'!$N$7:$N$417,"5",'ENCUESTA PROPIETARIOS'!$CH$7:$CH$417,"ARRENDAMIENTO")+COUNTIFS('ENCUESTA PROPIETARIOS'!$N$7:$N$417,"3",'ENCUESTA PROPIETARIOS'!$CH$7:$CH$417,"BANCARIO")+COUNTIFS('ENCUESTA PROPIETARIOS'!$N$7:$N$417,"4",'ENCUESTA PROPIETARIOS'!$CH$7:$CH$417,"BANCARIO")+COUNTIFS('ENCUESTA PROPIETARIOS'!$N$7:$N$417,"5",'ENCUESTA PROPIETARIOS'!$CH$7:$CH$417,"BANCARIO")</f>
        <v>32</v>
      </c>
      <c r="EA16" s="249">
        <f>COUNTIFS('ENCUESTA PROPIETARIOS'!$N$7:$N$417,"&gt;5",'ENCUESTA PROPIETARIOS'!$BZ$7:$BZ$417,"X")+COUNTIFS('ENCUESTA PROPIETARIOS'!$N$7:$N$417,"&gt;5",'ENCUESTA PROPIETARIOS'!$CA$7:$CA$417,"X")+COUNTIFS('ENCUESTA PROPIETARIOS'!$N$7:$N$417,"&gt;5",'ENCUESTA PROPIETARIOS'!$CD$7:$CD$417,"X")+COUNTIFS('ENCUESTA PROPIETARIOS'!$N$7:$N$417,"&gt;5",'ENCUESTA PROPIETARIOS'!$CH$7:$CH$417,"CREDITO HIPOTECARIO")+COUNTIFS('ENCUESTA PROPIETARIOS'!$N$7:$N$417,"&gt;5",'ENCUESTA PROPIETARIOS'!$CH$7:$CH$417,"ARRENDAMIENTO")+COUNTIFS('ENCUESTA PROPIETARIOS'!$N$7:$N$417,"&gt;5",'ENCUESTA PROPIETARIOS'!$CH$7:$CH$417,"BANCARIO")</f>
        <v>9</v>
      </c>
      <c r="EB16" s="249">
        <f>SUM(DX16:EA16)</f>
        <v>152</v>
      </c>
      <c r="ED16" s="11" t="s">
        <v>2658</v>
      </c>
      <c r="EE16" s="6">
        <f>+EM16/EM$23</f>
        <v>9.6153846153846159E-2</v>
      </c>
      <c r="EF16" s="6">
        <f t="shared" ref="EF16:EF23" si="105">+EN16/EN$23</f>
        <v>6.25E-2</v>
      </c>
      <c r="EG16" s="6">
        <f t="shared" ref="EG16:EG23" si="106">+EO16/EO$23</f>
        <v>9.2592592592592587E-3</v>
      </c>
      <c r="EH16" s="6">
        <f t="shared" ref="EH16:EH23" si="107">+EP16/EP$23</f>
        <v>1.6393442622950821E-2</v>
      </c>
      <c r="EI16" s="6">
        <f t="shared" ref="EI16:EI23" si="108">+EQ16/EQ$23</f>
        <v>9.45945945945946E-2</v>
      </c>
      <c r="EJ16" s="6">
        <f t="shared" ref="EJ16:EJ23" si="109">+ER16/ER$23</f>
        <v>1.3392857142857142E-2</v>
      </c>
      <c r="EK16" s="6">
        <f t="shared" ref="EK16:EK23" si="110">+ES16/ES$23</f>
        <v>0.03</v>
      </c>
      <c r="EL16" s="6">
        <f t="shared" ref="EL16:EL23" si="111">+ET16/ET$23</f>
        <v>3.8934426229508198E-2</v>
      </c>
      <c r="EM16" s="249">
        <f>COUNTIFS('DETALLES UNIDADES'!$BC$8:$BC$987,"&lt;1991",'DETALLES UNIDADES'!$AO$8:$AO$987,"&lt;10000")</f>
        <v>10</v>
      </c>
      <c r="EN16" s="249">
        <f>COUNTIFS('DETALLES UNIDADES'!$BC$8:$BC$987,"&lt;1994",'DETALLES UNIDADES'!$AO$8:$AO$987,"&lt;10000")-EM16</f>
        <v>3</v>
      </c>
      <c r="EO16" s="249">
        <f>COUNTIFS('DETALLES UNIDADES'!$BC$8:$BC$987,"&lt;1998",'DETALLES UNIDADES'!$AO$8:$AO$987,"&lt;10000")-EN16-EM16</f>
        <v>1</v>
      </c>
      <c r="EP16" s="249">
        <f>COUNTIFS('DETALLES UNIDADES'!$BC$8:$BC$987,"&lt;2004",'DETALLES UNIDADES'!$AO$8:$AO$987,"&lt;10000")-EO16-EN16-EM16</f>
        <v>4</v>
      </c>
      <c r="EQ16" s="249">
        <f>COUNTIFS('DETALLES UNIDADES'!$BC$8:$BC$987,"&lt;2007",'DETALLES UNIDADES'!$AO$8:$AO$987,"&lt;10000")-EP16-EO16-EN16-EM16</f>
        <v>14</v>
      </c>
      <c r="ER16" s="249">
        <f>COUNTIFS('DETALLES UNIDADES'!$BC$8:$BC$987,"&lt;2011",'DETALLES UNIDADES'!$AO$8:$AO$987,"&lt;10000")-EQ16-EP16-EO16-EN16-EM16</f>
        <v>3</v>
      </c>
      <c r="ES16" s="249">
        <f>COUNTIFS('DETALLES UNIDADES'!$BC$8:$BC$987,"&gt;2010",'DETALLES UNIDADES'!$AO$8:$AO$987,"&lt;10000")</f>
        <v>3</v>
      </c>
      <c r="ET16" s="249">
        <f t="shared" ref="ET16:ET22" si="112">SUM(EM16:ES16)</f>
        <v>38</v>
      </c>
      <c r="EV16" s="137" t="s">
        <v>2685</v>
      </c>
      <c r="EW16" s="6">
        <f>+FB16/FB$21</f>
        <v>0.39207048458149779</v>
      </c>
      <c r="EX16" s="6">
        <f t="shared" ref="EX16:EX21" si="113">+FC16/FC$21</f>
        <v>0.50476190476190474</v>
      </c>
      <c r="EY16" s="6">
        <f t="shared" ref="EY16:EY21" si="114">+FD16/FD$21</f>
        <v>0.5855855855855856</v>
      </c>
      <c r="EZ16" s="6">
        <f t="shared" ref="EZ16:EZ21" si="115">+FE16/FE$21</f>
        <v>0.58139534883720934</v>
      </c>
      <c r="FA16" s="6">
        <f t="shared" ref="FA16:FA21" si="116">+FF16/FF$21</f>
        <v>0.47736625514403291</v>
      </c>
      <c r="FB16" s="249">
        <f>COUNTIFS('ENCUESTA PROPIETARIOS'!$N$7:$N$417,"1",'ENCUESTA PROPIETARIOS'!$CI$7:$CI$417,"X")</f>
        <v>89</v>
      </c>
      <c r="FC16" s="249">
        <f>COUNTIFS('ENCUESTA PROPIETARIOS'!$N$7:$N$417,"2",'ENCUESTA PROPIETARIOS'!$CI$7:$CI$417,"X")</f>
        <v>53</v>
      </c>
      <c r="FD16" s="249">
        <f>COUNTIFS('ENCUESTA PROPIETARIOS'!$N$7:$N$417,"3",'ENCUESTA PROPIETARIOS'!$CI$7:$CI$417,"X")+COUNTIFS('ENCUESTA PROPIETARIOS'!$N$7:$N$417,"4",'ENCUESTA PROPIETARIOS'!$CI$7:$CI$417,"X")+COUNTIFS('ENCUESTA PROPIETARIOS'!$N$7:$N$417,"5",'ENCUESTA PROPIETARIOS'!$CI$7:$CI$417,"X")</f>
        <v>65</v>
      </c>
      <c r="FE16" s="249">
        <f>COUNTIFS('ENCUESTA PROPIETARIOS'!$N$7:$N$417,"&gt;5",'ENCUESTA PROPIETARIOS'!$CI$7:$CI$417,"X")</f>
        <v>25</v>
      </c>
      <c r="FF16" s="249">
        <f>SUM(FB16:FE16)</f>
        <v>232</v>
      </c>
      <c r="FM16" s="11" t="s">
        <v>2534</v>
      </c>
      <c r="FN16" s="6">
        <f>+FO16/$FO$23</f>
        <v>7.1428571428571425E-2</v>
      </c>
      <c r="FO16" s="249">
        <f>+FS4</f>
        <v>15</v>
      </c>
      <c r="FY16" s="11" t="s">
        <v>1705</v>
      </c>
      <c r="FZ16" s="11"/>
      <c r="GA16" s="249"/>
      <c r="GB16" s="11"/>
      <c r="GC16" s="249"/>
      <c r="GE16" s="11" t="s">
        <v>2375</v>
      </c>
      <c r="GF16" s="6">
        <f t="shared" ref="GF16:GF21" si="117">+GG16/$GG$21</f>
        <v>0.26178010471204188</v>
      </c>
      <c r="GG16" s="249">
        <f>COUNTIFS('DETALLES UNIDADES'!$C$8:$C$987,"C3",'DETALLES UNIDADES'!$R$8:$R$987,"&lt;5001")-GG15</f>
        <v>50</v>
      </c>
      <c r="GK16" s="11"/>
      <c r="GL16" s="6"/>
      <c r="GM16" s="249"/>
    </row>
    <row r="17" spans="1:195" x14ac:dyDescent="0.25">
      <c r="B17" s="249" t="s">
        <v>1662</v>
      </c>
      <c r="C17" s="189">
        <f>+D17/D$17</f>
        <v>1</v>
      </c>
      <c r="D17" s="249">
        <f>SUM(D13:D16)</f>
        <v>209</v>
      </c>
      <c r="E17" s="189"/>
      <c r="F17" s="189"/>
      <c r="G17" s="189"/>
      <c r="I17" s="249"/>
      <c r="J17" s="249"/>
      <c r="K17" s="249"/>
      <c r="L17" s="249"/>
      <c r="N17" s="7" t="s">
        <v>351</v>
      </c>
      <c r="O17" s="252">
        <f>+S17/$V$17</f>
        <v>0.98979591836734693</v>
      </c>
      <c r="P17" s="252">
        <f t="shared" ref="P17:R17" si="118">+T17/$V$17</f>
        <v>1.020408163265306E-2</v>
      </c>
      <c r="Q17" s="252">
        <f t="shared" si="118"/>
        <v>0</v>
      </c>
      <c r="R17" s="252">
        <f t="shared" si="118"/>
        <v>1</v>
      </c>
      <c r="S17" s="253">
        <f>COUNTIFS('DETALLES UNIDADES'!$C$8:$C$987,"C3",'DETALLES UNIDADES'!$S$8:$S$987,"D")</f>
        <v>194</v>
      </c>
      <c r="T17" s="253">
        <f>COUNTIFS('DETALLES UNIDADES'!$C$8:$C$987,"C3",'DETALLES UNIDADES'!$S$8:$S$987,"G")</f>
        <v>2</v>
      </c>
      <c r="U17" s="253">
        <f>COUNTIFS('DETALLES UNIDADES'!$C$8:$C$987,"C3",'DETALLES UNIDADES'!$S$8:$S$987,"GAS")</f>
        <v>0</v>
      </c>
      <c r="V17" s="161">
        <f>SUM(S17:U17)</f>
        <v>196</v>
      </c>
      <c r="W17" s="179"/>
      <c r="X17" s="179"/>
      <c r="Y17" s="179"/>
      <c r="Z17" s="9"/>
      <c r="AK17" s="11" t="s">
        <v>2536</v>
      </c>
      <c r="AL17" s="6">
        <f t="shared" si="102"/>
        <v>8.5714285714285715E-2</v>
      </c>
      <c r="AM17" s="249">
        <f t="shared" si="103"/>
        <v>18</v>
      </c>
      <c r="BD17" s="112" t="s">
        <v>1716</v>
      </c>
      <c r="BE17" s="6">
        <f t="shared" ref="BE17:BE23" si="119">+BF17/$BF$23</f>
        <v>4.5977011494252873E-2</v>
      </c>
      <c r="BF17" s="249">
        <f t="shared" ref="BF17:BF23" si="120">+BM5</f>
        <v>8</v>
      </c>
      <c r="BV17" s="17" t="s">
        <v>2592</v>
      </c>
      <c r="BW17" s="6">
        <f>+CB17/$CF$17</f>
        <v>0.52380952380952384</v>
      </c>
      <c r="BX17" s="6">
        <f t="shared" ref="BX17:CA17" si="121">+CC17/$CF$17</f>
        <v>0.16666666666666666</v>
      </c>
      <c r="BY17" s="6">
        <f t="shared" si="121"/>
        <v>0.16666666666666666</v>
      </c>
      <c r="BZ17" s="6">
        <f t="shared" si="121"/>
        <v>0.14285714285714285</v>
      </c>
      <c r="CA17" s="6">
        <f t="shared" si="121"/>
        <v>1</v>
      </c>
      <c r="CB17" s="249">
        <f>COUNTIFS('ENCUESTA PROPIETARIOS'!$G$7:$G$417,"&lt;61",'ENCUESTA PROPIETARIOS'!$N$7:$N$417,"1")-CB16-CB15-CB14</f>
        <v>22</v>
      </c>
      <c r="CC17" s="249">
        <f>COUNTIFS('ENCUESTA PROPIETARIOS'!$G$7:$G$417,"&lt;61",'ENCUESTA PROPIETARIOS'!$N$7:$N$417,"2")-CC16-CC15-CC14</f>
        <v>7</v>
      </c>
      <c r="CD17" s="249">
        <f>COUNTIFS('ENCUESTA PROPIETARIOS'!$G$7:$G$417,"&lt;61",'ENCUESTA PROPIETARIOS'!$N$7:$N$417,"3")+COUNTIFS('ENCUESTA PROPIETARIOS'!$G$7:$G$417,"&lt;61",'ENCUESTA PROPIETARIOS'!$N$7:$N$417,"4")+COUNTIFS('ENCUESTA PROPIETARIOS'!$G$7:$G$417,"&lt;61",'ENCUESTA PROPIETARIOS'!$N$7:$N$417,"5")-CD16-CD15-CD14</f>
        <v>7</v>
      </c>
      <c r="CE17" s="249">
        <f>COUNTIFS('ENCUESTA PROPIETARIOS'!$G$7:$G$417,"&lt;61",'ENCUESTA PROPIETARIOS'!$N$7:$N$417,"&gt;5")-CE16-CE15-CE14</f>
        <v>6</v>
      </c>
      <c r="CF17" s="249">
        <f>SUM(CB17:CE17)</f>
        <v>42</v>
      </c>
      <c r="CH17" s="137" t="s">
        <v>2603</v>
      </c>
      <c r="CI17" s="249">
        <f>COUNTIFS('ENCUESTA PROPIETARIOS'!$N$7:$N$417,"1",'ENCUESTA PROPIETARIOS'!$AW$7:$AW$417,"X")</f>
        <v>26</v>
      </c>
      <c r="CJ17" s="249">
        <f>COUNTIFS('ENCUESTA PROPIETARIOS'!$N$7:$N$417,"2",'ENCUESTA PROPIETARIOS'!$AW$7:$AW$417,"X")</f>
        <v>18</v>
      </c>
      <c r="CK17" s="249">
        <f>COUNTIFS('ENCUESTA PROPIETARIOS'!$N$7:$N$417,"3",'ENCUESTA PROPIETARIOS'!$AW$7:$AW$417,"X")+COUNTIFS('ENCUESTA PROPIETARIOS'!$N$7:$N$417,"4",'ENCUESTA PROPIETARIOS'!$AW$7:$AW$417,"X")+COUNTIFS('ENCUESTA PROPIETARIOS'!$N$7:$N$417,"5",'ENCUESTA PROPIETARIOS'!$AW$7:$AW$417,"X")</f>
        <v>24</v>
      </c>
      <c r="CL17" s="249">
        <f>COUNTIFS('ENCUESTA PROPIETARIOS'!$N$7:$N$417,"&gt;5",'ENCUESTA PROPIETARIOS'!$AW$7:$AW$417,"X")</f>
        <v>17</v>
      </c>
      <c r="CM17" s="249">
        <f t="shared" si="100"/>
        <v>85</v>
      </c>
      <c r="CT17" s="17" t="s">
        <v>2608</v>
      </c>
      <c r="CU17" s="6">
        <f t="shared" si="101"/>
        <v>0.15422885572139303</v>
      </c>
      <c r="CV17" s="249">
        <f t="shared" si="97"/>
        <v>31</v>
      </c>
      <c r="DF17" s="17" t="s">
        <v>2622</v>
      </c>
      <c r="DG17" s="6">
        <f t="shared" si="90"/>
        <v>6.2200956937799042E-2</v>
      </c>
      <c r="DH17" s="6">
        <f t="shared" si="82"/>
        <v>0.11874999999999999</v>
      </c>
      <c r="DI17" s="6">
        <f t="shared" si="83"/>
        <v>0.11145510835913312</v>
      </c>
      <c r="DJ17" s="6">
        <f t="shared" si="84"/>
        <v>0.2048611111111111</v>
      </c>
      <c r="DK17" s="6">
        <f t="shared" si="85"/>
        <v>0.12959183673469388</v>
      </c>
      <c r="DL17" s="249">
        <f>COUNTIFS('DETALLES UNIDADES'!$BA$8:$BA$987,"1",'DETALLES UNIDADES'!$AS$8:$AS$987,"&gt;175000")</f>
        <v>13</v>
      </c>
      <c r="DM17" s="249">
        <f>COUNTIFS('DETALLES UNIDADES'!$BA$8:$BA$987,"2",'DETALLES UNIDADES'!$AS$8:$AS$987,"&gt;175000")</f>
        <v>19</v>
      </c>
      <c r="DN17" s="249">
        <f>COUNTIFS('DETALLES UNIDADES'!$BA$8:$BA$987,"3",'DETALLES UNIDADES'!$AS$8:$AS$987,"&gt;175000")+COUNTIFS('DETALLES UNIDADES'!$BA$8:$BA$987,"4",'DETALLES UNIDADES'!$AS$8:$AS$987,"&gt;175000")+COUNTIFS('DETALLES UNIDADES'!$BA$8:$BA$987,"5",'DETALLES UNIDADES'!$AS$8:$AS$987,"&gt;175000")</f>
        <v>36</v>
      </c>
      <c r="DO17" s="249">
        <f>COUNTIFS('DETALLES UNIDADES'!$BA$8:$BA$987,"&gt;5",'DETALLES UNIDADES'!$AS$8:$AS$987,"&gt;175000")</f>
        <v>59</v>
      </c>
      <c r="DP17" s="249">
        <f t="shared" si="86"/>
        <v>127</v>
      </c>
      <c r="DR17" s="17" t="s">
        <v>2647</v>
      </c>
      <c r="DS17" s="6">
        <f t="shared" si="98"/>
        <v>0.2029520295202952</v>
      </c>
      <c r="DT17" s="6">
        <f t="shared" si="92"/>
        <v>0.18965517241379309</v>
      </c>
      <c r="DU17" s="6">
        <f t="shared" si="93"/>
        <v>6.569343065693431E-2</v>
      </c>
      <c r="DV17" s="6">
        <f t="shared" si="94"/>
        <v>0.11428571428571428</v>
      </c>
      <c r="DW17" s="6">
        <f t="shared" si="95"/>
        <v>0.16100178890876565</v>
      </c>
      <c r="DX17" s="249">
        <f>COUNTIFS('ENCUESTA PROPIETARIOS'!$N$7:$N$417,"1",'ENCUESTA PROPIETARIOS'!$CG$7:$CG$417,"X")</f>
        <v>55</v>
      </c>
      <c r="DY17" s="249">
        <f>COUNTIFS('ENCUESTA PROPIETARIOS'!$N$7:$N$417,"2",'ENCUESTA PROPIETARIOS'!$CG$7:$CG$417,"X")</f>
        <v>22</v>
      </c>
      <c r="DZ17" s="249">
        <f>COUNTIFS('ENCUESTA PROPIETARIOS'!$N$7:$N$417,"3",'ENCUESTA PROPIETARIOS'!$CG$7:$CG$417,"X")+COUNTIFS('ENCUESTA PROPIETARIOS'!$N$7:$N$417,"4",'ENCUESTA PROPIETARIOS'!$CG$7:$CG$417,"X")+COUNTIFS('ENCUESTA PROPIETARIOS'!$N$7:$N$417,"5",'ENCUESTA PROPIETARIOS'!$CG$7:$CG$417,"X")</f>
        <v>9</v>
      </c>
      <c r="EA17" s="249">
        <f>COUNTIFS('ENCUESTA PROPIETARIOS'!$N$7:$N$417,"&gt;5",'ENCUESTA PROPIETARIOS'!$CG$7:$CG$417,"X")</f>
        <v>4</v>
      </c>
      <c r="EB17" s="249">
        <f>SUM(DX17:EA17)</f>
        <v>90</v>
      </c>
      <c r="ED17" s="17" t="s">
        <v>2659</v>
      </c>
      <c r="EE17" s="6">
        <f t="shared" ref="EE17:EE23" si="122">+EM17/EM$23</f>
        <v>0.22115384615384615</v>
      </c>
      <c r="EF17" s="6">
        <f t="shared" si="105"/>
        <v>0.20833333333333334</v>
      </c>
      <c r="EG17" s="6">
        <f t="shared" si="106"/>
        <v>7.407407407407407E-2</v>
      </c>
      <c r="EH17" s="6">
        <f t="shared" si="107"/>
        <v>8.1967213114754092E-2</v>
      </c>
      <c r="EI17" s="6">
        <f t="shared" si="108"/>
        <v>0.1554054054054054</v>
      </c>
      <c r="EJ17" s="6">
        <f t="shared" si="109"/>
        <v>0.20982142857142858</v>
      </c>
      <c r="EK17" s="6">
        <f t="shared" si="110"/>
        <v>0.26</v>
      </c>
      <c r="EL17" s="6">
        <f t="shared" si="111"/>
        <v>0.16086065573770492</v>
      </c>
      <c r="EM17" s="249">
        <f>COUNTIFS('DETALLES UNIDADES'!$BC$8:$BC$987,"&lt;1991",'DETALLES UNIDADES'!$AO$8:$AO$987,"&lt;15001")-EM16</f>
        <v>23</v>
      </c>
      <c r="EN17" s="249">
        <f>COUNTIFS('DETALLES UNIDADES'!$BC$8:$BC$987,"&lt;1994",'DETALLES UNIDADES'!$AO$8:$AO$987,"&lt;15001")-EM17-EN16-EM16</f>
        <v>10</v>
      </c>
      <c r="EO17" s="249">
        <f>COUNTIFS('DETALLES UNIDADES'!$BC$8:$BC$987,"&lt;1998",'DETALLES UNIDADES'!$AO$8:$AO$987,"&lt;15001")-EN17-EM17-EO16-EN16-EM16</f>
        <v>8</v>
      </c>
      <c r="EP17" s="249">
        <f>COUNTIFS('DETALLES UNIDADES'!$BC$8:$BC$987,"&lt;2004",'DETALLES UNIDADES'!$AO$8:$AO$987,"&lt;15001")-EO17-EN17-EM17-EP16-EO16-EN16-EM16</f>
        <v>20</v>
      </c>
      <c r="EQ17" s="249">
        <f>COUNTIFS('DETALLES UNIDADES'!$BC$8:$BC$987,"&lt;2007",'DETALLES UNIDADES'!$AO$8:$AO$987,"&lt;15001")-EP17-EO17-EN17-EM17-EQ16-EP16-EO16-EN16-EM16</f>
        <v>23</v>
      </c>
      <c r="ER17" s="249">
        <f>COUNTIFS('DETALLES UNIDADES'!$BC$8:$BC$987,"&lt;2011",'DETALLES UNIDADES'!$AO$8:$AO$987,"&lt;15001")-EQ17-EP17-EO17-EN17-EM17-ER16-EQ16-EP16-EO16-EN16-EM16</f>
        <v>47</v>
      </c>
      <c r="ES17" s="249">
        <f>COUNTIFS('DETALLES UNIDADES'!$BC$8:$BC$987,"&gt;2010",'DETALLES UNIDADES'!$AO$8:$AO$987,"&lt;15001")-ES16</f>
        <v>26</v>
      </c>
      <c r="ET17" s="249">
        <f t="shared" si="112"/>
        <v>157</v>
      </c>
      <c r="EV17" s="137" t="s">
        <v>2686</v>
      </c>
      <c r="EW17" s="6">
        <f t="shared" ref="EW17:EW21" si="123">+FB17/FB$21</f>
        <v>0.34801762114537443</v>
      </c>
      <c r="EX17" s="6">
        <f t="shared" si="113"/>
        <v>0.20952380952380953</v>
      </c>
      <c r="EY17" s="6">
        <f t="shared" si="114"/>
        <v>0.12612612612612611</v>
      </c>
      <c r="EZ17" s="6">
        <f t="shared" si="115"/>
        <v>9.3023255813953487E-2</v>
      </c>
      <c r="FA17" s="6">
        <f t="shared" si="116"/>
        <v>0.2448559670781893</v>
      </c>
      <c r="FB17" s="249">
        <f>COUNTIFS('ENCUESTA PROPIETARIOS'!$N$7:$N$417,"1",'ENCUESTA PROPIETARIOS'!$CJ$7:$CJ$417,"X")</f>
        <v>79</v>
      </c>
      <c r="FC17" s="249">
        <f>COUNTIFS('ENCUESTA PROPIETARIOS'!$N$7:$N$417,"2",'ENCUESTA PROPIETARIOS'!$CJ$7:$CJ$417,"X")</f>
        <v>22</v>
      </c>
      <c r="FD17" s="249">
        <f>COUNTIFS('ENCUESTA PROPIETARIOS'!$N$7:$N$417,"3",'ENCUESTA PROPIETARIOS'!$CJ$7:$CJ$417,"X")+COUNTIFS('ENCUESTA PROPIETARIOS'!$N$7:$N$417,"4",'ENCUESTA PROPIETARIOS'!$CJ$7:$CJ$417,"X")+COUNTIFS('ENCUESTA PROPIETARIOS'!$N$7:$N$417,"5",'ENCUESTA PROPIETARIOS'!$CJ$7:$CJ$417,"X")</f>
        <v>14</v>
      </c>
      <c r="FE17" s="249">
        <f>COUNTIFS('ENCUESTA PROPIETARIOS'!$N$7:$N$417,"&gt;5",'ENCUESTA PROPIETARIOS'!$CJ$7:$CJ$417,"X")</f>
        <v>4</v>
      </c>
      <c r="FF17" s="249">
        <f>SUM(FB17:FE17)</f>
        <v>119</v>
      </c>
      <c r="FM17" s="11" t="s">
        <v>2535</v>
      </c>
      <c r="FN17" s="6">
        <f t="shared" ref="FN17:FN23" si="124">+FO17/$FO$23</f>
        <v>6.6666666666666666E-2</v>
      </c>
      <c r="FO17" s="249">
        <f t="shared" ref="FO17:FO23" si="125">+FS5</f>
        <v>14</v>
      </c>
      <c r="FY17" s="11"/>
      <c r="FZ17" s="11"/>
      <c r="GA17" s="249"/>
      <c r="GB17" s="11"/>
      <c r="GC17" s="249"/>
      <c r="GE17" s="11" t="s">
        <v>952</v>
      </c>
      <c r="GF17" s="6">
        <f t="shared" si="117"/>
        <v>0.18324607329842932</v>
      </c>
      <c r="GG17" s="249">
        <f>COUNTIFS('DETALLES UNIDADES'!$C$8:$C$987,"C3",'DETALLES UNIDADES'!$R$8:$R$987,"&lt;7501")-GG16-GG15</f>
        <v>35</v>
      </c>
      <c r="GK17" s="11"/>
      <c r="GL17" s="6"/>
      <c r="GM17" s="249"/>
    </row>
    <row r="18" spans="1:195" x14ac:dyDescent="0.25">
      <c r="N18" s="7"/>
      <c r="O18" s="252"/>
      <c r="P18" s="252"/>
      <c r="Q18" s="252"/>
      <c r="R18" s="252"/>
      <c r="S18" s="253"/>
      <c r="T18" s="253"/>
      <c r="U18" s="253"/>
      <c r="V18" s="161"/>
      <c r="W18" s="179"/>
      <c r="X18" s="179" t="s">
        <v>2511</v>
      </c>
      <c r="Y18" s="179"/>
      <c r="Z18" s="9"/>
      <c r="AK18" s="11" t="s">
        <v>2537</v>
      </c>
      <c r="AL18" s="6">
        <f t="shared" si="102"/>
        <v>0.25714285714285712</v>
      </c>
      <c r="AM18" s="249">
        <f t="shared" si="103"/>
        <v>54</v>
      </c>
      <c r="BD18" s="112" t="s">
        <v>1713</v>
      </c>
      <c r="BE18" s="6">
        <f t="shared" si="119"/>
        <v>0.13793103448275862</v>
      </c>
      <c r="BF18" s="249">
        <f t="shared" si="120"/>
        <v>24</v>
      </c>
      <c r="BV18" s="17" t="s">
        <v>2593</v>
      </c>
      <c r="BW18" s="6">
        <f>+CB18/$CF$18</f>
        <v>0.5</v>
      </c>
      <c r="BX18" s="6">
        <f t="shared" ref="BX18:CA18" si="126">+CC18/$CF$18</f>
        <v>0.22727272727272727</v>
      </c>
      <c r="BY18" s="6">
        <f t="shared" si="126"/>
        <v>0.15909090909090909</v>
      </c>
      <c r="BZ18" s="6">
        <f t="shared" si="126"/>
        <v>0.11363636363636363</v>
      </c>
      <c r="CA18" s="6">
        <f t="shared" si="126"/>
        <v>1</v>
      </c>
      <c r="CB18" s="249">
        <f>COUNTIFS('ENCUESTA PROPIETARIOS'!$G$7:$G$417,"&gt;60",'ENCUESTA PROPIETARIOS'!$N$7:$N$417,"1")</f>
        <v>22</v>
      </c>
      <c r="CC18" s="249">
        <f>COUNTIFS('ENCUESTA PROPIETARIOS'!$G$7:$G$417,"&gt;60",'ENCUESTA PROPIETARIOS'!$N$7:$N$417,"2")</f>
        <v>10</v>
      </c>
      <c r="CD18" s="249">
        <f>COUNTIFS('ENCUESTA PROPIETARIOS'!$G$7:$G$417,"&gt;60",'ENCUESTA PROPIETARIOS'!$N$7:$N$417,"3")+COUNTIFS('ENCUESTA PROPIETARIOS'!$G$7:$G$417,"&gt;60",'ENCUESTA PROPIETARIOS'!$N$7:$N$417,"4")+COUNTIFS('ENCUESTA PROPIETARIOS'!$G$7:$G$417,"&gt;60",'ENCUESTA PROPIETARIOS'!$N$7:$N$417,"5")</f>
        <v>7</v>
      </c>
      <c r="CE18" s="249">
        <f>COUNTIFS('ENCUESTA PROPIETARIOS'!$G$7:$G$417,"&gt;60",'ENCUESTA PROPIETARIOS'!$N$7:$N$417,"&gt;5")</f>
        <v>5</v>
      </c>
      <c r="CF18" s="249">
        <f>SUM(CB18:CE18)</f>
        <v>44</v>
      </c>
      <c r="CH18" s="112" t="s">
        <v>715</v>
      </c>
      <c r="CI18" s="249">
        <f>SUM(CI14:CI17)</f>
        <v>210</v>
      </c>
      <c r="CJ18" s="249">
        <f t="shared" ref="CJ18:CL18" si="127">SUM(CJ14:CJ17)</f>
        <v>99</v>
      </c>
      <c r="CK18" s="249">
        <f t="shared" si="127"/>
        <v>101</v>
      </c>
      <c r="CL18" s="249">
        <f t="shared" si="127"/>
        <v>41</v>
      </c>
      <c r="CM18" s="249">
        <f t="shared" ref="CM18" si="128">SUM(CI18:CL18)</f>
        <v>451</v>
      </c>
      <c r="CT18" s="17" t="s">
        <v>2609</v>
      </c>
      <c r="CU18" s="6">
        <f t="shared" si="101"/>
        <v>0.12935323383084577</v>
      </c>
      <c r="CV18" s="249">
        <f t="shared" si="97"/>
        <v>26</v>
      </c>
      <c r="DF18" s="17" t="s">
        <v>1662</v>
      </c>
      <c r="DG18" s="6">
        <f t="shared" si="90"/>
        <v>1</v>
      </c>
      <c r="DH18" s="6">
        <f t="shared" si="82"/>
        <v>1</v>
      </c>
      <c r="DI18" s="6">
        <f t="shared" si="83"/>
        <v>1</v>
      </c>
      <c r="DJ18" s="6">
        <f t="shared" si="84"/>
        <v>1</v>
      </c>
      <c r="DK18" s="6">
        <f t="shared" si="85"/>
        <v>1</v>
      </c>
      <c r="DL18" s="249">
        <f>SUM(DL11:DL17)</f>
        <v>209</v>
      </c>
      <c r="DM18" s="249">
        <f t="shared" ref="DM18:DP18" si="129">SUM(DM11:DM17)</f>
        <v>160</v>
      </c>
      <c r="DN18" s="249">
        <f t="shared" si="129"/>
        <v>323</v>
      </c>
      <c r="DO18" s="249">
        <f t="shared" si="129"/>
        <v>288</v>
      </c>
      <c r="DP18" s="249">
        <f t="shared" si="129"/>
        <v>980</v>
      </c>
      <c r="DR18" s="17" t="s">
        <v>2411</v>
      </c>
      <c r="DS18" s="6">
        <f t="shared" si="98"/>
        <v>1</v>
      </c>
      <c r="DT18" s="6">
        <f t="shared" si="92"/>
        <v>1</v>
      </c>
      <c r="DU18" s="6">
        <f t="shared" si="93"/>
        <v>1</v>
      </c>
      <c r="DV18" s="6">
        <f t="shared" si="94"/>
        <v>1</v>
      </c>
      <c r="DW18" s="6">
        <f t="shared" si="95"/>
        <v>1</v>
      </c>
      <c r="DX18" s="249">
        <f>SUM(DX13:DX17)</f>
        <v>271</v>
      </c>
      <c r="DY18" s="249">
        <f t="shared" ref="DY18:EB18" si="130">SUM(DY13:DY17)</f>
        <v>116</v>
      </c>
      <c r="DZ18" s="249">
        <f t="shared" si="130"/>
        <v>137</v>
      </c>
      <c r="EA18" s="249">
        <f t="shared" si="130"/>
        <v>35</v>
      </c>
      <c r="EB18" s="249">
        <f t="shared" si="130"/>
        <v>559</v>
      </c>
      <c r="ED18" s="17" t="s">
        <v>2660</v>
      </c>
      <c r="EE18" s="6">
        <f t="shared" si="122"/>
        <v>0.17307692307692307</v>
      </c>
      <c r="EF18" s="6">
        <f t="shared" si="105"/>
        <v>0.125</v>
      </c>
      <c r="EG18" s="6">
        <f t="shared" si="106"/>
        <v>0.30555555555555558</v>
      </c>
      <c r="EH18" s="6">
        <f t="shared" si="107"/>
        <v>0.22131147540983606</v>
      </c>
      <c r="EI18" s="6">
        <f t="shared" si="108"/>
        <v>0.22972972972972974</v>
      </c>
      <c r="EJ18" s="6">
        <f t="shared" si="109"/>
        <v>0.39285714285714285</v>
      </c>
      <c r="EK18" s="6">
        <f t="shared" si="110"/>
        <v>0.14000000000000001</v>
      </c>
      <c r="EL18" s="6">
        <f t="shared" si="111"/>
        <v>0.2530737704918033</v>
      </c>
      <c r="EM18" s="249">
        <f>COUNTIFS('DETALLES UNIDADES'!$BC$8:$BC$987,"&lt;1991",'DETALLES UNIDADES'!$AO$8:$AO$987,"&lt;20001")-EM17-EM16</f>
        <v>18</v>
      </c>
      <c r="EN18" s="249">
        <f>COUNTIFS('DETALLES UNIDADES'!$BC$8:$BC$987,"&lt;1994",'DETALLES UNIDADES'!$AO$8:$AO$987,"&lt;20001")-EM18-EN17-EM17-EN16-EM16</f>
        <v>6</v>
      </c>
      <c r="EO18" s="249">
        <f>COUNTIFS('DETALLES UNIDADES'!$BC$8:$BC$987,"&lt;1998",'DETALLES UNIDADES'!$AO$8:$AO$987,"&lt;20001")-EN18-EM18-EO17-EN17-EM17-EO16-EN16-EM16</f>
        <v>33</v>
      </c>
      <c r="EP18" s="249">
        <f>COUNTIFS('DETALLES UNIDADES'!$BC$8:$BC$987,"&lt;2004",'DETALLES UNIDADES'!$AO$8:$AO$987,"&lt;20001")-EO18-EN18-EM18-EP17-EO17-EN17-EM17-EP16-EO16-EN16-EM16</f>
        <v>54</v>
      </c>
      <c r="EQ18" s="249">
        <f>COUNTIFS('DETALLES UNIDADES'!$BC$8:$BC$987,"&lt;2007",'DETALLES UNIDADES'!$AO$8:$AO$987,"&lt;20001")-EP18-EO18-EN18-EM18-EQ17-EP17-EO17-EN17-EM17-EQ16-EP16-EO16-EN16-EM16</f>
        <v>34</v>
      </c>
      <c r="ER18" s="249">
        <f>COUNTIFS('DETALLES UNIDADES'!$BC$8:$BC$987,"&lt;2011",'DETALLES UNIDADES'!$AO$8:$AO$987,"&lt;20001")-EQ18-EP18-EO18-EN18-EM18-ER17-EQ17-EP17-EO17-EN17-EM17-ER16-EQ16-EP16-EO16-EN16-EM16</f>
        <v>88</v>
      </c>
      <c r="ES18" s="249">
        <f>COUNTIFS('DETALLES UNIDADES'!$BC$8:$BC$987,"&gt;2010",'DETALLES UNIDADES'!$AO$8:$AO$987,"&lt;20001")-ES17-ES16</f>
        <v>14</v>
      </c>
      <c r="ET18" s="249">
        <f t="shared" si="112"/>
        <v>247</v>
      </c>
      <c r="EV18" s="137" t="s">
        <v>2687</v>
      </c>
      <c r="EW18" s="6">
        <f t="shared" si="123"/>
        <v>0.14977973568281938</v>
      </c>
      <c r="EX18" s="6">
        <f t="shared" si="113"/>
        <v>0.15238095238095239</v>
      </c>
      <c r="EY18" s="6">
        <f t="shared" si="114"/>
        <v>0.13513513513513514</v>
      </c>
      <c r="EZ18" s="6">
        <f t="shared" si="115"/>
        <v>0.11627906976744186</v>
      </c>
      <c r="FA18" s="6">
        <f t="shared" si="116"/>
        <v>0.1440329218106996</v>
      </c>
      <c r="FB18" s="249">
        <f>COUNTIFS('ENCUESTA PROPIETARIOS'!$N$7:$N$417,"1",'ENCUESTA PROPIETARIOS'!$CK$7:$CK$417,"X")</f>
        <v>34</v>
      </c>
      <c r="FC18" s="249">
        <f>COUNTIFS('ENCUESTA PROPIETARIOS'!$N$7:$N$417,"2",'ENCUESTA PROPIETARIOS'!$CK$7:$CK$417,"X")</f>
        <v>16</v>
      </c>
      <c r="FD18" s="249">
        <f>COUNTIFS('ENCUESTA PROPIETARIOS'!$N$7:$N$417,"3",'ENCUESTA PROPIETARIOS'!$CK$7:$CK$417,"X")+COUNTIFS('ENCUESTA PROPIETARIOS'!$N$7:$N$417,"4",'ENCUESTA PROPIETARIOS'!$CK$7:$CK$417,"X")+COUNTIFS('ENCUESTA PROPIETARIOS'!$N$7:$N$417,"5",'ENCUESTA PROPIETARIOS'!$CK$7:$CK$417,"X")</f>
        <v>15</v>
      </c>
      <c r="FE18" s="249">
        <f>COUNTIFS('ENCUESTA PROPIETARIOS'!$N$7:$N$417,"&gt;5",'ENCUESTA PROPIETARIOS'!$CK$7:$CK$417,"X")</f>
        <v>5</v>
      </c>
      <c r="FF18" s="249">
        <f>SUM(FB18:FE18)</f>
        <v>70</v>
      </c>
      <c r="FM18" s="11" t="s">
        <v>2536</v>
      </c>
      <c r="FN18" s="6">
        <f t="shared" si="124"/>
        <v>8.5714285714285715E-2</v>
      </c>
      <c r="FO18" s="249">
        <f t="shared" si="125"/>
        <v>18</v>
      </c>
      <c r="FY18" s="11" t="s">
        <v>11</v>
      </c>
      <c r="FZ18" s="121">
        <f>+GA18/$GA$26</f>
        <v>0.72106824925816027</v>
      </c>
      <c r="GA18" s="249">
        <f>+'[1]ENCUESTA CONDUCTORES'!$U$461</f>
        <v>243</v>
      </c>
      <c r="GB18" s="11">
        <f>SUM('ENCUESTA PROPIETARIOS'!$O$7:$O$417)</f>
        <v>483</v>
      </c>
      <c r="GC18" s="249">
        <f>+'[1]ENCUESTA CONDUCTORES'!$U$461</f>
        <v>243</v>
      </c>
      <c r="GE18" s="11" t="s">
        <v>953</v>
      </c>
      <c r="GF18" s="6">
        <f t="shared" si="117"/>
        <v>0</v>
      </c>
      <c r="GG18" s="249">
        <f>COUNTIFS('DETALLES UNIDADES'!$C$8:$C$987,"C3",'DETALLES UNIDADES'!$R$8:$R$987,"&lt;10001")-GG17-GG16-GG15</f>
        <v>0</v>
      </c>
      <c r="GK18" s="11"/>
      <c r="GL18" s="6"/>
      <c r="GM18" s="249"/>
    </row>
    <row r="19" spans="1:195" x14ac:dyDescent="0.25">
      <c r="A19" s="17" t="s">
        <v>2498</v>
      </c>
      <c r="N19" s="179" t="s">
        <v>2508</v>
      </c>
      <c r="O19" s="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9" t="s">
        <v>1002</v>
      </c>
      <c r="AK19" s="11" t="s">
        <v>2538</v>
      </c>
      <c r="AL19" s="6">
        <f t="shared" si="102"/>
        <v>0.23333333333333334</v>
      </c>
      <c r="AM19" s="249">
        <f t="shared" si="103"/>
        <v>49</v>
      </c>
      <c r="BD19" s="112" t="s">
        <v>943</v>
      </c>
      <c r="BE19" s="6">
        <f t="shared" si="119"/>
        <v>0.23563218390804597</v>
      </c>
      <c r="BF19" s="249">
        <f t="shared" si="120"/>
        <v>41</v>
      </c>
      <c r="BV19" s="17" t="s">
        <v>715</v>
      </c>
      <c r="BW19" s="6">
        <f>+CB19/$CF$19</f>
        <v>0.49148418491484186</v>
      </c>
      <c r="BX19" s="6">
        <f t="shared" ref="BX19:CA19" si="131">+CC19/$CF$19</f>
        <v>0.20681265206812652</v>
      </c>
      <c r="BY19" s="6">
        <f t="shared" si="131"/>
        <v>0.21897810218978103</v>
      </c>
      <c r="BZ19" s="6">
        <f t="shared" si="131"/>
        <v>8.2725060827250604E-2</v>
      </c>
      <c r="CA19" s="6">
        <f t="shared" si="131"/>
        <v>1</v>
      </c>
      <c r="CB19" s="249">
        <f>SUM(CB14:CB18)</f>
        <v>202</v>
      </c>
      <c r="CC19" s="249">
        <f t="shared" ref="CC19" si="132">SUM(CC14:CC18)</f>
        <v>85</v>
      </c>
      <c r="CD19" s="249">
        <f t="shared" ref="CD19" si="133">SUM(CD14:CD18)</f>
        <v>90</v>
      </c>
      <c r="CE19" s="249">
        <f t="shared" ref="CE19" si="134">SUM(CE14:CE18)</f>
        <v>34</v>
      </c>
      <c r="CF19" s="249">
        <f t="shared" ref="CF19" si="135">SUM(CF14:CF18)</f>
        <v>411</v>
      </c>
      <c r="CM19" s="249">
        <f>SUM(CM14:CM17)</f>
        <v>451</v>
      </c>
      <c r="CT19" s="17" t="s">
        <v>1662</v>
      </c>
      <c r="CU19" s="6">
        <f t="shared" si="101"/>
        <v>1</v>
      </c>
      <c r="CV19" s="249">
        <f t="shared" si="97"/>
        <v>201</v>
      </c>
      <c r="DP19" s="249">
        <f>SUM(DP11:DP17)</f>
        <v>980</v>
      </c>
      <c r="EB19" s="249">
        <f>SUM(DX18:EA18)</f>
        <v>559</v>
      </c>
      <c r="ED19" s="17" t="s">
        <v>2661</v>
      </c>
      <c r="EE19" s="6">
        <f t="shared" si="122"/>
        <v>7.6923076923076927E-2</v>
      </c>
      <c r="EF19" s="6">
        <f t="shared" si="105"/>
        <v>0.125</v>
      </c>
      <c r="EG19" s="6">
        <f t="shared" si="106"/>
        <v>0.20370370370370369</v>
      </c>
      <c r="EH19" s="6">
        <f t="shared" si="107"/>
        <v>0.23360655737704919</v>
      </c>
      <c r="EI19" s="6">
        <f t="shared" si="108"/>
        <v>0.10810810810810811</v>
      </c>
      <c r="EJ19" s="6">
        <f t="shared" si="109"/>
        <v>0.10267857142857142</v>
      </c>
      <c r="EK19" s="6">
        <f t="shared" si="110"/>
        <v>0.28000000000000003</v>
      </c>
      <c r="EL19" s="6">
        <f t="shared" si="111"/>
        <v>0.16393442622950818</v>
      </c>
      <c r="EM19" s="249">
        <f>COUNTIFS('DETALLES UNIDADES'!$BC$8:$BC$987,"&lt;1991",'DETALLES UNIDADES'!$AO$8:$AO$987,"&lt;25001")-EM18-EM17-EM16</f>
        <v>8</v>
      </c>
      <c r="EN19" s="249">
        <f>COUNTIFS('DETALLES UNIDADES'!$BC$8:$BC$987,"&lt;1994",'DETALLES UNIDADES'!$AO$8:$AO$987,"&lt;25001")-EM19-EN18-EM18-EN17-EM17-EN16-EM16</f>
        <v>6</v>
      </c>
      <c r="EO19" s="249">
        <f>COUNTIFS('DETALLES UNIDADES'!$BC$8:$BC$987,"&lt;1998",'DETALLES UNIDADES'!$AO$8:$AO$987,"&lt;25001")-EN19-EM19-EO18-EN18-EM18-EO17-EN17-EM17-EO16-EN16-EM16</f>
        <v>22</v>
      </c>
      <c r="EP19" s="249">
        <f>COUNTIFS('DETALLES UNIDADES'!$BC$8:$BC$987,"&lt;2004",'DETALLES UNIDADES'!$AO$8:$AO$987,"&lt;25001")-EO19-EN19-EM19-EP18-EO18-EN18-EM18-EP17-EO17-EN17-EM17-EP16-EO16-EN16-EM16</f>
        <v>57</v>
      </c>
      <c r="EQ19" s="249">
        <f>COUNTIFS('DETALLES UNIDADES'!$BC$8:$BC$987,"&lt;2007",'DETALLES UNIDADES'!$AO$8:$AO$987,"&lt;25001")-EP19-EO19-EN19-EM19-EQ18-EP18-EO18-EN18-EM18-EQ17-EP17-EO17-EN17-EM17-EQ16-EP16-EO16-EN16-EM16</f>
        <v>16</v>
      </c>
      <c r="ER19" s="249">
        <f>COUNTIFS('DETALLES UNIDADES'!$BC$8:$BC$987,"&lt;2011",'DETALLES UNIDADES'!$AO$8:$AO$987,"&lt;25001")-EQ19-EP19-EO19-EN19-EM19-ER18-EQ18-EP18-EO18-EN18-EM18-ER17-EQ17-EP17-EO17-EN17-EM17-ER16-EQ16-EP16-EO16-EN16-EM16</f>
        <v>23</v>
      </c>
      <c r="ES19" s="249">
        <f>COUNTIFS('DETALLES UNIDADES'!$BC$8:$BC$987,"&gt;2010",'DETALLES UNIDADES'!$AO$8:$AO$987,"&lt;25001")-ES18-ES17-ES16</f>
        <v>28</v>
      </c>
      <c r="ET19" s="249">
        <f t="shared" si="112"/>
        <v>160</v>
      </c>
      <c r="EV19" s="137" t="s">
        <v>899</v>
      </c>
      <c r="EW19" s="6">
        <f t="shared" si="123"/>
        <v>3.5242290748898682E-2</v>
      </c>
      <c r="EX19" s="6">
        <f t="shared" si="113"/>
        <v>8.5714285714285715E-2</v>
      </c>
      <c r="EY19" s="6">
        <f t="shared" si="114"/>
        <v>0.10810810810810811</v>
      </c>
      <c r="EZ19" s="6">
        <f t="shared" si="115"/>
        <v>0.13953488372093023</v>
      </c>
      <c r="FA19" s="6">
        <f t="shared" si="116"/>
        <v>7.2016460905349799E-2</v>
      </c>
      <c r="FB19" s="249">
        <f>COUNTIFS('ENCUESTA PROPIETARIOS'!$N$7:$N$417,"1",'ENCUESTA PROPIETARIOS'!$CM$7:$CM$417,"X")</f>
        <v>8</v>
      </c>
      <c r="FC19" s="249">
        <f>COUNTIFS('ENCUESTA PROPIETARIOS'!$N$7:$N$417,"2",'ENCUESTA PROPIETARIOS'!$CM$7:$CM$417,"X")</f>
        <v>9</v>
      </c>
      <c r="FD19" s="249">
        <f>COUNTIFS('ENCUESTA PROPIETARIOS'!$N$7:$N$417,"3",'ENCUESTA PROPIETARIOS'!$CM$7:$CM$417,"X")+COUNTIFS('ENCUESTA PROPIETARIOS'!$N$7:$N$417,"4",'ENCUESTA PROPIETARIOS'!$CM$7:$CM$417,"X")+COUNTIFS('ENCUESTA PROPIETARIOS'!$N$7:$N$417,"5",'ENCUESTA PROPIETARIOS'!$CM$7:$CM$417,"X")</f>
        <v>12</v>
      </c>
      <c r="FE19" s="249">
        <f>COUNTIFS('ENCUESTA PROPIETARIOS'!$N$7:$N$417,"&gt;5",'ENCUESTA PROPIETARIOS'!$CM$7:$CM$417,"X")</f>
        <v>6</v>
      </c>
      <c r="FF19" s="249">
        <f>SUM(FB19:FE19)</f>
        <v>35</v>
      </c>
      <c r="FM19" s="11" t="s">
        <v>2537</v>
      </c>
      <c r="FN19" s="6">
        <f t="shared" si="124"/>
        <v>0.25714285714285712</v>
      </c>
      <c r="FO19" s="249">
        <f t="shared" si="125"/>
        <v>54</v>
      </c>
      <c r="FY19" s="11" t="s">
        <v>14</v>
      </c>
      <c r="FZ19" s="121">
        <f t="shared" ref="FZ19:FZ24" si="136">+GA19/$GA$26</f>
        <v>0.13649851632047477</v>
      </c>
      <c r="GA19" s="249">
        <f>+'[1]ENCUESTA CONDUCTORES'!$X$461++'[1]ENCUESTA CONDUCTORES'!$V$461</f>
        <v>46</v>
      </c>
      <c r="GB19" s="11">
        <f>SUM('ENCUESTA PROPIETARIOS'!$R$7:$R$417)+SUM('ENCUESTA PROPIETARIOS'!$P$7:$P$417)</f>
        <v>276</v>
      </c>
      <c r="GC19" s="249">
        <f>+'[1]ENCUESTA CONDUCTORES'!$X$461++'[1]ENCUESTA CONDUCTORES'!$V$461</f>
        <v>46</v>
      </c>
      <c r="GE19" s="11" t="s">
        <v>2376</v>
      </c>
      <c r="GF19" s="6">
        <f t="shared" si="117"/>
        <v>0</v>
      </c>
      <c r="GG19" s="249">
        <f>COUNTIFS('DETALLES UNIDADES'!$C$8:$C$987,"C3",'DETALLES UNIDADES'!$R$8:$R$987,"&lt;12501")-GG18-GG17-GG16-GG15</f>
        <v>0</v>
      </c>
      <c r="GK19" s="11"/>
      <c r="GL19" s="6"/>
      <c r="GM19" s="249"/>
    </row>
    <row r="20" spans="1:195" x14ac:dyDescent="0.25">
      <c r="C20" s="17" t="s">
        <v>815</v>
      </c>
      <c r="D20" s="17" t="s">
        <v>815</v>
      </c>
      <c r="O20" s="179" t="s">
        <v>1002</v>
      </c>
      <c r="P20" s="179" t="s">
        <v>1004</v>
      </c>
      <c r="Q20" s="179" t="s">
        <v>430</v>
      </c>
      <c r="R20" s="179"/>
      <c r="S20" s="179" t="s">
        <v>1002</v>
      </c>
      <c r="T20" s="179" t="s">
        <v>1004</v>
      </c>
      <c r="U20" s="179" t="s">
        <v>430</v>
      </c>
      <c r="V20" s="179"/>
      <c r="X20" s="19" t="s">
        <v>1730</v>
      </c>
      <c r="Y20" s="6">
        <f>+Z20/$Z$28</f>
        <v>1.5555555555555555E-2</v>
      </c>
      <c r="Z20" s="9">
        <f>COUNTIFS('DETALLES UNIDADES'!$S$8:$S$987,"D",'DETALLES UNIDADES'!$U$8:$U$987,"&lt;1.9")</f>
        <v>14</v>
      </c>
      <c r="AK20" s="11" t="s">
        <v>2539</v>
      </c>
      <c r="AL20" s="6">
        <f t="shared" si="102"/>
        <v>0.21904761904761905</v>
      </c>
      <c r="AM20" s="249">
        <f t="shared" si="103"/>
        <v>46</v>
      </c>
      <c r="BD20" s="112" t="s">
        <v>944</v>
      </c>
      <c r="BE20" s="6">
        <f t="shared" si="119"/>
        <v>0.33908045977011492</v>
      </c>
      <c r="BF20" s="249">
        <f t="shared" si="120"/>
        <v>59</v>
      </c>
      <c r="CF20" s="249">
        <f>SUM(CB19:CE19)</f>
        <v>411</v>
      </c>
      <c r="DR20" s="17" t="s">
        <v>2648</v>
      </c>
      <c r="ED20" s="17" t="s">
        <v>2662</v>
      </c>
      <c r="EE20" s="6">
        <f t="shared" si="122"/>
        <v>0.15384615384615385</v>
      </c>
      <c r="EF20" s="6">
        <f t="shared" si="105"/>
        <v>4.1666666666666664E-2</v>
      </c>
      <c r="EG20" s="6">
        <f t="shared" si="106"/>
        <v>0.12037037037037036</v>
      </c>
      <c r="EH20" s="6">
        <f t="shared" si="107"/>
        <v>0.1721311475409836</v>
      </c>
      <c r="EI20" s="6">
        <f t="shared" si="108"/>
        <v>6.7567567567567571E-2</v>
      </c>
      <c r="EJ20" s="6">
        <f t="shared" si="109"/>
        <v>5.3571428571428568E-2</v>
      </c>
      <c r="EK20" s="6">
        <f t="shared" si="110"/>
        <v>0.03</v>
      </c>
      <c r="EL20" s="6">
        <f t="shared" si="111"/>
        <v>0.10040983606557377</v>
      </c>
      <c r="EM20" s="249">
        <f>COUNTIFS('DETALLES UNIDADES'!$BC$8:$BC$987,"&lt;1991",'DETALLES UNIDADES'!$AO$8:$AO$987,"&lt;30001")-EM19-EM18-EM17-EM16</f>
        <v>16</v>
      </c>
      <c r="EN20" s="249">
        <f>COUNTIFS('DETALLES UNIDADES'!$BC$8:$BC$987,"&lt;1994",'DETALLES UNIDADES'!$AO$8:$AO$987,"&lt;30001")-EM20-EN19-EM19-EN18-EM18-EN17-EM17-EN16-EM16</f>
        <v>2</v>
      </c>
      <c r="EO20" s="249">
        <f>COUNTIFS('DETALLES UNIDADES'!$BC$8:$BC$987,"&lt;1998",'DETALLES UNIDADES'!$AO$8:$AO$987,"&lt;30001")-EN20-EM20-EO19-EN19-EM19-EO18-EN18-EM18-EO17-EN17-EM17-EO16-EN16-EM16</f>
        <v>13</v>
      </c>
      <c r="EP20" s="249">
        <f>COUNTIFS('DETALLES UNIDADES'!$BC$8:$BC$987,"&lt;2004",'DETALLES UNIDADES'!$AO$8:$AO$987,"&lt;30001")-EO20-EN20-EM20-EP19-EO19-EN19-EM19-EP18-EO18-EN18-EM18-EP17-EO17-EN17-EM17-EP16-EO16-EN16-EM16</f>
        <v>42</v>
      </c>
      <c r="EQ20" s="249">
        <f>COUNTIFS('DETALLES UNIDADES'!$BC$8:$BC$987,"&lt;2007",'DETALLES UNIDADES'!$AO$8:$AO$987,"&lt;30001")-EP20-EO20-EN20-EM20-EQ19-EP19-EO19-EN19-EM19-EQ18-EP18-EO18-EN18-EM18-EQ17-EP17-EO17-EN17-EM17-EQ16-EP16-EO16-EN16-EM16</f>
        <v>10</v>
      </c>
      <c r="ER20" s="249">
        <f>COUNTIFS('DETALLES UNIDADES'!$BC$8:$BC$987,"&lt;2011",'DETALLES UNIDADES'!$AO$8:$AO$987,"&lt;30001")-EQ20-EP20-EO20-EN20-EM20-ER19-EQ19-EP19-EO19-EN19-EM19-ER18-EQ18-EP18-EO18-EN18-EM18-ER17-EQ17-EP17-EO17-EN17-EM17-ER16-EQ16-EP16-EO16-EN16-EM16</f>
        <v>12</v>
      </c>
      <c r="ES20" s="249">
        <f>COUNTIFS('DETALLES UNIDADES'!$BC$8:$BC$987,"&gt;2010",'DETALLES UNIDADES'!$AO$8:$AO$987,"&lt;30001")-ES19-ES18-ES17-ES16</f>
        <v>3</v>
      </c>
      <c r="ET20" s="249">
        <f t="shared" si="112"/>
        <v>98</v>
      </c>
      <c r="EV20" s="137" t="s">
        <v>892</v>
      </c>
      <c r="EW20" s="6">
        <f t="shared" si="123"/>
        <v>7.4889867841409691E-2</v>
      </c>
      <c r="EX20" s="6">
        <f t="shared" si="113"/>
        <v>4.7619047619047616E-2</v>
      </c>
      <c r="EY20" s="6">
        <f t="shared" si="114"/>
        <v>4.5045045045045043E-2</v>
      </c>
      <c r="EZ20" s="6">
        <f t="shared" si="115"/>
        <v>6.9767441860465115E-2</v>
      </c>
      <c r="FA20" s="6">
        <f t="shared" si="116"/>
        <v>6.1728395061728392E-2</v>
      </c>
      <c r="FB20" s="249">
        <f>COUNTIFS('ENCUESTA PROPIETARIOS'!$N$7:$N$417,"1",'ENCUESTA PROPIETARIOS'!$CL$7:$CL$417,"X")</f>
        <v>17</v>
      </c>
      <c r="FC20" s="249">
        <f>COUNTIFS('ENCUESTA PROPIETARIOS'!$N$7:$N$417,"2",'ENCUESTA PROPIETARIOS'!$CL$7:$CL$417,"X")</f>
        <v>5</v>
      </c>
      <c r="FD20" s="249">
        <f>COUNTIFS('ENCUESTA PROPIETARIOS'!$N$7:$N$417,"3",'ENCUESTA PROPIETARIOS'!$CL$7:$CL$417,"X")+COUNTIFS('ENCUESTA PROPIETARIOS'!$N$7:$N$417,"4",'ENCUESTA PROPIETARIOS'!$CL$7:$CL$417,"X")+COUNTIFS('ENCUESTA PROPIETARIOS'!$N$7:$N$417,"5",'ENCUESTA PROPIETARIOS'!$CL$7:$CL$417,"X")</f>
        <v>5</v>
      </c>
      <c r="FE20" s="249">
        <f>COUNTIFS('ENCUESTA PROPIETARIOS'!$N$7:$N$417,"&gt;5",'ENCUESTA PROPIETARIOS'!$CL$7:$CL$417,"X")</f>
        <v>3</v>
      </c>
      <c r="FF20" s="249">
        <f>SUM(FB20:FE20)</f>
        <v>30</v>
      </c>
      <c r="FM20" s="11" t="s">
        <v>2538</v>
      </c>
      <c r="FN20" s="6">
        <f t="shared" si="124"/>
        <v>0.23333333333333334</v>
      </c>
      <c r="FO20" s="249">
        <f t="shared" si="125"/>
        <v>49</v>
      </c>
      <c r="FY20" s="11" t="s">
        <v>1706</v>
      </c>
      <c r="FZ20" s="121">
        <f t="shared" si="136"/>
        <v>0.12166172106824925</v>
      </c>
      <c r="GA20" s="249">
        <f>+'[1]ENCUESTA CONDUCTORES'!$Y$461++'[1]ENCUESTA CONDUCTORES'!$Z$461</f>
        <v>41</v>
      </c>
      <c r="GB20" s="11">
        <f>SUM('ENCUESTA PROPIETARIOS'!$S$7:$S$417)+SUM('ENCUESTA PROPIETARIOS'!$T$7:$T$417)</f>
        <v>91</v>
      </c>
      <c r="GC20" s="249">
        <f>+'[1]ENCUESTA CONDUCTORES'!$Y$461++'[1]ENCUESTA CONDUCTORES'!$Z$461</f>
        <v>41</v>
      </c>
      <c r="GE20" s="11" t="s">
        <v>2724</v>
      </c>
      <c r="GF20" s="6">
        <f t="shared" si="117"/>
        <v>0</v>
      </c>
      <c r="GG20" s="249">
        <f>COUNTIFS('DETALLES UNIDADES'!$C$8:$C$987,"C3",'DETALLES UNIDADES'!$R$8:$R$987,"&gt;12500")</f>
        <v>0</v>
      </c>
      <c r="GK20" s="11"/>
      <c r="GL20" s="6"/>
      <c r="GM20" s="249"/>
    </row>
    <row r="21" spans="1:195" x14ac:dyDescent="0.25">
      <c r="B21" s="249" t="s">
        <v>348</v>
      </c>
      <c r="C21" s="189">
        <f>+D21/$D$25</f>
        <v>0.32500000000000001</v>
      </c>
      <c r="D21" s="249">
        <f>COUNTIFS('DETALLES UNIDADES'!$C$8:$C$987,"C2",'DETALLES UNIDADES'!$BA$8:$BA$987,"2")</f>
        <v>52</v>
      </c>
      <c r="N21" s="7"/>
      <c r="O21" s="252">
        <f>+S21/$V$21</f>
        <v>1</v>
      </c>
      <c r="P21" s="252">
        <f t="shared" ref="P21:R21" si="137">+T21/$V$21</f>
        <v>0</v>
      </c>
      <c r="Q21" s="252">
        <f t="shared" si="137"/>
        <v>0</v>
      </c>
      <c r="R21" s="252">
        <f t="shared" si="137"/>
        <v>1</v>
      </c>
      <c r="S21" s="253">
        <f>COUNTIFS('DETALLES UNIDADES'!$C$8:$C$987,"T2",'DETALLES UNIDADES'!$S$8:$S$987,"D")</f>
        <v>43</v>
      </c>
      <c r="T21" s="253">
        <f>COUNTIFS('DETALLES UNIDADES'!$C$8:$C$987,"T2",'DETALLES UNIDADES'!$S$8:$S$987,"G")</f>
        <v>0</v>
      </c>
      <c r="U21" s="253">
        <f>COUNTIFS('DETALLES UNIDADES'!$C$8:$C$987,"T2",'DETALLES UNIDADES'!$S$8:$S$987,"GAS")</f>
        <v>0</v>
      </c>
      <c r="V21" s="161">
        <f>SUM(S21:U21)</f>
        <v>43</v>
      </c>
      <c r="X21" s="19" t="s">
        <v>1731</v>
      </c>
      <c r="Y21" s="6">
        <f t="shared" ref="Y21:Y28" si="138">+Z21/$Z$28</f>
        <v>0.16444444444444445</v>
      </c>
      <c r="Z21" s="9">
        <f>COUNTIFS('DETALLES UNIDADES'!$S$8:$S$987,"D",'DETALLES UNIDADES'!$U$8:$U$987,"&lt;2.21")-Z20</f>
        <v>148</v>
      </c>
      <c r="AK21" s="11" t="s">
        <v>2540</v>
      </c>
      <c r="AL21" s="6">
        <f t="shared" si="102"/>
        <v>6.6666666666666666E-2</v>
      </c>
      <c r="AM21" s="249">
        <f t="shared" si="103"/>
        <v>14</v>
      </c>
      <c r="BD21" s="112" t="s">
        <v>1714</v>
      </c>
      <c r="BE21" s="6">
        <f t="shared" si="119"/>
        <v>0.1206896551724138</v>
      </c>
      <c r="BF21" s="249">
        <f t="shared" si="120"/>
        <v>21</v>
      </c>
      <c r="CH21" s="17" t="s">
        <v>2735</v>
      </c>
      <c r="CT21" s="17" t="s">
        <v>2611</v>
      </c>
      <c r="DF21" s="17" t="s">
        <v>2623</v>
      </c>
      <c r="DS21" s="11" t="s">
        <v>814</v>
      </c>
      <c r="DT21" s="11" t="s">
        <v>815</v>
      </c>
      <c r="DU21" s="11" t="s">
        <v>1780</v>
      </c>
      <c r="DV21" s="11" t="s">
        <v>1781</v>
      </c>
      <c r="DW21" s="11"/>
      <c r="DX21" s="11" t="s">
        <v>814</v>
      </c>
      <c r="DY21" s="11" t="s">
        <v>815</v>
      </c>
      <c r="DZ21" s="11" t="s">
        <v>1780</v>
      </c>
      <c r="EA21" s="11" t="s">
        <v>1781</v>
      </c>
      <c r="EB21" s="11"/>
      <c r="ED21" s="17" t="s">
        <v>2663</v>
      </c>
      <c r="EE21" s="6">
        <f t="shared" si="122"/>
        <v>4.807692307692308E-2</v>
      </c>
      <c r="EF21" s="6">
        <f t="shared" si="105"/>
        <v>0.14583333333333334</v>
      </c>
      <c r="EG21" s="6">
        <f t="shared" si="106"/>
        <v>0.12037037037037036</v>
      </c>
      <c r="EH21" s="6">
        <f t="shared" si="107"/>
        <v>9.8360655737704916E-2</v>
      </c>
      <c r="EI21" s="6">
        <f t="shared" si="108"/>
        <v>0.14864864864864866</v>
      </c>
      <c r="EJ21" s="6">
        <f t="shared" si="109"/>
        <v>8.9285714285714288E-2</v>
      </c>
      <c r="EK21" s="6">
        <f t="shared" si="110"/>
        <v>0.1</v>
      </c>
      <c r="EL21" s="6">
        <f t="shared" si="111"/>
        <v>0.10348360655737705</v>
      </c>
      <c r="EM21" s="249">
        <f>COUNTIFS('DETALLES UNIDADES'!$BC$8:$BC$987,"&lt;1991",'DETALLES UNIDADES'!$AO$8:$AO$987,"&lt;40001")-EM20-EM19-EM18-EM17-EM16</f>
        <v>5</v>
      </c>
      <c r="EN21" s="249">
        <f>COUNTIFS('DETALLES UNIDADES'!$BC$8:$BC$987,"&lt;1994",'DETALLES UNIDADES'!$AO$8:$AO$987,"&lt;40001")-EM21-EN20-EM20-EN19-EM19-EN18-EM18-EN17-EM17-EN16-EM16</f>
        <v>7</v>
      </c>
      <c r="EO21" s="249">
        <f>COUNTIFS('DETALLES UNIDADES'!$BC$8:$BC$987,"&lt;1998",'DETALLES UNIDADES'!$AO$8:$AO$987,"&lt;40001")-EN21-EM21-EO20-EN20-EM20-EO19-EN19-EM19-EO18-EN18-EM18-EO17-EN17-EM17-EO16-EN16-EM16</f>
        <v>13</v>
      </c>
      <c r="EP21" s="249">
        <f>COUNTIFS('DETALLES UNIDADES'!$BC$8:$BC$987,"&lt;2004",'DETALLES UNIDADES'!$AO$8:$AO$987,"&lt;40001")-EO21-EN21-EM21-EP20-EO20-EN20-EM20-EP19-EO19-EN19-EM19-EP18-EO18-EN18-EM18-EP17-EO17-EN17-EM17-EP16-EO16-EN16-EM16</f>
        <v>24</v>
      </c>
      <c r="EQ21" s="249">
        <f>COUNTIFS('DETALLES UNIDADES'!$BC$8:$BC$987,"&lt;2007",'DETALLES UNIDADES'!$AO$8:$AO$987,"&lt;40001")-EP21-EO21-EN21-EM21-EQ20-EP20-EO20-EN20-EM20-EQ19-EP19-EO19-EN19-EM19-EQ18-EP18-EO18-EN18-EM18-EQ17-EP17-EO17-EN17-EM17-EQ16-EP16-EO16-EN16-EM16</f>
        <v>22</v>
      </c>
      <c r="ER21" s="249">
        <f>COUNTIFS('DETALLES UNIDADES'!$BC$8:$BC$987,"&lt;2011",'DETALLES UNIDADES'!$AO$8:$AO$987,"&lt;40001")-EQ21-EP21-EO21-EN21-EM21-ER20-EQ20-EP20-EO20-EN20-EM20-ER19-EQ19-EP19-EO19-EN19-EM19-ER18-EQ18-EP18-EO18-EN18-EM18-ER17-EQ17-EP17-EO17-EN17-EM17-ER16-EQ16-EP16-EO16-EN16-EM16</f>
        <v>20</v>
      </c>
      <c r="ES21" s="249">
        <f>COUNTIFS('DETALLES UNIDADES'!$BC$8:$BC$987,"&gt;2010",'DETALLES UNIDADES'!$AO$8:$AO$987,"&lt;40001")-ES20-ES19-ES18-ES17-ES16</f>
        <v>10</v>
      </c>
      <c r="ET21" s="249">
        <f t="shared" si="112"/>
        <v>101</v>
      </c>
      <c r="EV21" s="137" t="s">
        <v>1662</v>
      </c>
      <c r="EW21" s="6">
        <f t="shared" si="123"/>
        <v>1</v>
      </c>
      <c r="EX21" s="6">
        <f t="shared" si="113"/>
        <v>1</v>
      </c>
      <c r="EY21" s="6">
        <f t="shared" si="114"/>
        <v>1</v>
      </c>
      <c r="EZ21" s="6">
        <f t="shared" si="115"/>
        <v>1</v>
      </c>
      <c r="FA21" s="6">
        <f t="shared" si="116"/>
        <v>1</v>
      </c>
      <c r="FB21" s="249">
        <f>SUM(FB16:FB20)</f>
        <v>227</v>
      </c>
      <c r="FC21" s="249">
        <f t="shared" ref="FC21:FF21" si="139">SUM(FC16:FC20)</f>
        <v>105</v>
      </c>
      <c r="FD21" s="249">
        <f t="shared" si="139"/>
        <v>111</v>
      </c>
      <c r="FE21" s="249">
        <f t="shared" si="139"/>
        <v>43</v>
      </c>
      <c r="FF21" s="249">
        <f t="shared" si="139"/>
        <v>486</v>
      </c>
      <c r="FM21" s="11" t="s">
        <v>2539</v>
      </c>
      <c r="FN21" s="6">
        <f t="shared" si="124"/>
        <v>0.21904761904761905</v>
      </c>
      <c r="FO21" s="249">
        <f t="shared" si="125"/>
        <v>46</v>
      </c>
      <c r="FY21" s="11" t="s">
        <v>824</v>
      </c>
      <c r="FZ21" s="121">
        <f t="shared" si="136"/>
        <v>0</v>
      </c>
      <c r="GA21" s="249">
        <f>+'[1]ENCUESTA CONDUCTORES'!$AG$464</f>
        <v>0</v>
      </c>
      <c r="GB21" s="11">
        <f>SUM('ENCUESTA PROPIETARIOS'!$V$7:$V$417)</f>
        <v>125</v>
      </c>
      <c r="GC21" s="249">
        <f>+'[1]ENCUESTA CONDUCTORES'!$AG$464</f>
        <v>0</v>
      </c>
      <c r="GE21" s="11" t="s">
        <v>1662</v>
      </c>
      <c r="GF21" s="6">
        <f t="shared" si="117"/>
        <v>1</v>
      </c>
      <c r="GG21" s="249">
        <f>SUM(GG15:GG20)</f>
        <v>191</v>
      </c>
      <c r="GK21" s="11"/>
      <c r="GL21" s="6"/>
      <c r="GM21" s="249"/>
    </row>
    <row r="22" spans="1:195" x14ac:dyDescent="0.25">
      <c r="B22" s="249" t="s">
        <v>351</v>
      </c>
      <c r="C22" s="189">
        <f t="shared" ref="C22:C25" si="140">+D22/$D$25</f>
        <v>0.22500000000000001</v>
      </c>
      <c r="D22" s="249">
        <f>COUNTIFS('DETALLES UNIDADES'!$C$8:$C$987,"C3",'DETALLES UNIDADES'!$BA$8:$BA$987,"2")</f>
        <v>36</v>
      </c>
      <c r="N22" s="7"/>
      <c r="O22" s="252"/>
      <c r="P22" s="252"/>
      <c r="Q22" s="252"/>
      <c r="R22" s="252"/>
      <c r="S22" s="253"/>
      <c r="T22" s="253"/>
      <c r="U22" s="253"/>
      <c r="V22" s="161"/>
      <c r="X22" s="11" t="s">
        <v>1732</v>
      </c>
      <c r="Y22" s="6">
        <f t="shared" si="138"/>
        <v>0.13666666666666666</v>
      </c>
      <c r="Z22" s="9">
        <f>COUNTIFS('DETALLES UNIDADES'!$S$8:$S$987,"D",'DETALLES UNIDADES'!$U$8:$U$987,"&lt;2.41")-Z21-Z20</f>
        <v>123</v>
      </c>
      <c r="AK22" s="11" t="s">
        <v>715</v>
      </c>
      <c r="AL22" s="6">
        <f t="shared" si="102"/>
        <v>1</v>
      </c>
      <c r="AM22" s="249">
        <f t="shared" si="103"/>
        <v>210</v>
      </c>
      <c r="BD22" s="112" t="s">
        <v>1715</v>
      </c>
      <c r="BE22" s="6">
        <f t="shared" si="119"/>
        <v>9.1954022988505746E-2</v>
      </c>
      <c r="BF22" s="249">
        <f t="shared" si="120"/>
        <v>16</v>
      </c>
      <c r="BV22" s="17" t="s">
        <v>2596</v>
      </c>
      <c r="CI22" s="11" t="s">
        <v>814</v>
      </c>
      <c r="CJ22" s="11" t="s">
        <v>815</v>
      </c>
      <c r="CK22" s="11" t="s">
        <v>1780</v>
      </c>
      <c r="CL22" s="11" t="s">
        <v>1781</v>
      </c>
      <c r="CM22" s="11"/>
      <c r="CN22" s="11" t="s">
        <v>814</v>
      </c>
      <c r="CO22" s="11" t="s">
        <v>815</v>
      </c>
      <c r="CP22" s="11" t="s">
        <v>1780</v>
      </c>
      <c r="CQ22" s="11" t="s">
        <v>1781</v>
      </c>
      <c r="CR22" s="11"/>
      <c r="CV22" s="17" t="str">
        <f>+DA3</f>
        <v>DOS UNIDADES</v>
      </c>
      <c r="DG22" s="11" t="s">
        <v>814</v>
      </c>
      <c r="DH22" s="11" t="s">
        <v>815</v>
      </c>
      <c r="DI22" s="11" t="s">
        <v>1780</v>
      </c>
      <c r="DJ22" s="11" t="s">
        <v>1781</v>
      </c>
      <c r="DK22" s="11"/>
      <c r="DL22" s="11" t="s">
        <v>814</v>
      </c>
      <c r="DM22" s="11" t="s">
        <v>815</v>
      </c>
      <c r="DN22" s="11" t="s">
        <v>1780</v>
      </c>
      <c r="DO22" s="11" t="s">
        <v>1781</v>
      </c>
      <c r="DP22" s="11"/>
      <c r="DR22" s="11" t="s">
        <v>882</v>
      </c>
      <c r="DS22" s="6">
        <f>+DX22/DX$25</f>
        <v>5.5555555555555552E-2</v>
      </c>
      <c r="DT22" s="6">
        <f t="shared" ref="DT22:DT25" si="141">+DY22/DY$25</f>
        <v>0.55555555555555558</v>
      </c>
      <c r="DU22" s="6">
        <f t="shared" ref="DU22:DU25" si="142">+DZ22/DZ$25</f>
        <v>0.43478260869565216</v>
      </c>
      <c r="DV22" s="6">
        <f t="shared" ref="DV22:DV25" si="143">+EA22/EA$25</f>
        <v>0.27272727272727271</v>
      </c>
      <c r="DW22" s="6">
        <f t="shared" ref="DW22:DW25" si="144">+EB22/EB$25</f>
        <v>0.310126582278481</v>
      </c>
      <c r="DX22" s="249">
        <f>COUNTIFS('ENCUESTA PROPIETARIOS'!$N$7:$N$417,"1",'ENCUESTA PROPIETARIOS'!$BY$7:$BY$417,"X")</f>
        <v>3</v>
      </c>
      <c r="DY22" s="249">
        <f>COUNTIFS('ENCUESTA PROPIETARIOS'!$N$7:$N$417,"2",'ENCUESTA PROPIETARIOS'!$BY$7:$BY$417,"X")</f>
        <v>20</v>
      </c>
      <c r="DZ22" s="249">
        <f>COUNTIFS('ENCUESTA PROPIETARIOS'!$N$7:$N$417,"3",'ENCUESTA PROPIETARIOS'!$BY$7:$BY$417,"X")+COUNTIFS('ENCUESTA PROPIETARIOS'!$N$7:$N$417,"4",'ENCUESTA PROPIETARIOS'!$BY$7:$BY$417,"X")+COUNTIFS('ENCUESTA PROPIETARIOS'!$N$7:$N$417,"5",'ENCUESTA PROPIETARIOS'!$BY$7:$BY$417,"X")</f>
        <v>20</v>
      </c>
      <c r="EA22" s="249">
        <f>COUNTIFS('ENCUESTA PROPIETARIOS'!$N$7:$N$417,"&gt;5",'ENCUESTA PROPIETARIOS'!$BY$7:$BY$417,"X")</f>
        <v>6</v>
      </c>
      <c r="EB22" s="249">
        <f>SUM(DX22:EA22)</f>
        <v>49</v>
      </c>
      <c r="ED22" s="17" t="s">
        <v>2664</v>
      </c>
      <c r="EE22" s="6">
        <f t="shared" si="122"/>
        <v>0.23076923076923078</v>
      </c>
      <c r="EF22" s="6">
        <f t="shared" si="105"/>
        <v>0.29166666666666669</v>
      </c>
      <c r="EG22" s="6">
        <f t="shared" si="106"/>
        <v>0.16666666666666666</v>
      </c>
      <c r="EH22" s="6">
        <f t="shared" si="107"/>
        <v>0.17622950819672131</v>
      </c>
      <c r="EI22" s="6">
        <f t="shared" si="108"/>
        <v>0.19594594594594594</v>
      </c>
      <c r="EJ22" s="6">
        <f t="shared" si="109"/>
        <v>0.13839285714285715</v>
      </c>
      <c r="EK22" s="6">
        <f t="shared" si="110"/>
        <v>0.16</v>
      </c>
      <c r="EL22" s="6">
        <f t="shared" si="111"/>
        <v>0.17930327868852458</v>
      </c>
      <c r="EM22" s="249">
        <f>COUNTIFS('DETALLES UNIDADES'!$BC$8:$BC$987,"&lt;1991",'DETALLES UNIDADES'!$AO$8:$AO$987,"&gt;40000")</f>
        <v>24</v>
      </c>
      <c r="EN22" s="249">
        <f>COUNTIFS('DETALLES UNIDADES'!$BC$8:$BC$987,"&lt;1994",'DETALLES UNIDADES'!$AO$8:$AO$987,"&gt;40000")-EM22</f>
        <v>14</v>
      </c>
      <c r="EO22" s="249">
        <f>COUNTIFS('DETALLES UNIDADES'!$BC$8:$BC$987,"&lt;1998",'DETALLES UNIDADES'!$AO$8:$AO$987,"&gt;40000")-EN22-EM22</f>
        <v>18</v>
      </c>
      <c r="EP22" s="249">
        <f>COUNTIFS('DETALLES UNIDADES'!$BC$8:$BC$987,"&lt;2004",'DETALLES UNIDADES'!$AO$8:$AO$987,"&gt;40000")-EO22-EN22-EM22</f>
        <v>43</v>
      </c>
      <c r="EQ22" s="249">
        <f>COUNTIFS('DETALLES UNIDADES'!$BC$8:$BC$987,"&lt;2007",'DETALLES UNIDADES'!$AO$8:$AO$987,"&gt;40000")-EP22-EO22-EN22-EM22</f>
        <v>29</v>
      </c>
      <c r="ER22" s="249">
        <f>COUNTIFS('DETALLES UNIDADES'!$BC$8:$BC$987,"&lt;2011",'DETALLES UNIDADES'!$AO$8:$AO$987,"&gt;40000")-EQ22-EP22-EO22-EN22-EM22</f>
        <v>31</v>
      </c>
      <c r="ES22" s="249">
        <f>COUNTIFS('DETALLES UNIDADES'!$BC$8:$BC$987,"&gt;2010",'DETALLES UNIDADES'!$AO$8:$AO$987,"&gt;40000")</f>
        <v>16</v>
      </c>
      <c r="ET22" s="249">
        <f t="shared" si="112"/>
        <v>175</v>
      </c>
      <c r="FF22" s="249">
        <f>SUM(FB21:FE21)</f>
        <v>486</v>
      </c>
      <c r="FM22" s="11" t="s">
        <v>2540</v>
      </c>
      <c r="FN22" s="6">
        <f t="shared" si="124"/>
        <v>6.6666666666666666E-2</v>
      </c>
      <c r="FO22" s="249">
        <f t="shared" si="125"/>
        <v>14</v>
      </c>
      <c r="FY22" s="11" t="s">
        <v>1709</v>
      </c>
      <c r="FZ22" s="121">
        <f t="shared" si="136"/>
        <v>0</v>
      </c>
      <c r="GA22" s="249">
        <f>+'[1]ENCUESTA CONDUCTORES'!$AG$468++'[1]ENCUESTA CONDUCTORES'!$AG$471++'[1]ENCUESTA CONDUCTORES'!$AG$465</f>
        <v>0</v>
      </c>
      <c r="GB22" s="11">
        <f>SUM('ENCUESTA PROPIETARIOS'!$Y$7:$Y$417)+SUM('ENCUESTA PROPIETARIOS'!$U$7:$U$417)+SUM('ENCUESTA PROPIETARIOS'!$W$7:$W$417)</f>
        <v>63</v>
      </c>
      <c r="GC22" s="249">
        <f>+'[1]ENCUESTA CONDUCTORES'!$AG$468++'[1]ENCUESTA CONDUCTORES'!$AG$471++'[1]ENCUESTA CONDUCTORES'!$AG$465</f>
        <v>0</v>
      </c>
      <c r="GE22" s="11" t="s">
        <v>396</v>
      </c>
      <c r="GG22" s="138">
        <f>COUNTIFS('DETALLES UNIDADES'!$C$8:$C$987,"C3",'DETALLES UNIDADES'!$R$8:$R$987,"NO SABE")+COUNTIFS('DETALLES UNIDADES'!$C$8:$C$987,"C3",'DETALLES UNIDADES'!$R$8:$R$987,"VARIABLE")+COUNTIFS('DETALLES UNIDADES'!$C$8:$C$987,"C3",'DETALLES UNIDADES'!$R$8:$R$987,"NO CONTESTA")</f>
        <v>5</v>
      </c>
      <c r="GK22" s="11"/>
      <c r="GM22" s="138"/>
    </row>
    <row r="23" spans="1:195" x14ac:dyDescent="0.25">
      <c r="B23" s="249" t="s">
        <v>359</v>
      </c>
      <c r="C23" s="189">
        <f t="shared" si="140"/>
        <v>4.3749999999999997E-2</v>
      </c>
      <c r="D23" s="249">
        <f>COUNTIFS('DETALLES UNIDADES'!$C$8:$C$987,"T2",'DETALLES UNIDADES'!$BA$8:$BA$987,"2")</f>
        <v>7</v>
      </c>
      <c r="N23" s="179" t="s">
        <v>2505</v>
      </c>
      <c r="O23" s="9"/>
      <c r="P23" s="179"/>
      <c r="Q23" s="179"/>
      <c r="R23" s="179"/>
      <c r="S23" s="179"/>
      <c r="T23" s="179"/>
      <c r="U23" s="179"/>
      <c r="V23" s="179"/>
      <c r="X23" s="19" t="s">
        <v>1737</v>
      </c>
      <c r="Y23" s="6">
        <f t="shared" si="138"/>
        <v>0.17888888888888888</v>
      </c>
      <c r="Z23" s="9">
        <f>COUNTIFS('DETALLES UNIDADES'!$S$8:$S$987,"D",'DETALLES UNIDADES'!$U$8:$U$987,"&lt;2.61")-Z22-Z21-Z20</f>
        <v>161</v>
      </c>
      <c r="BD23" s="11" t="s">
        <v>715</v>
      </c>
      <c r="BE23" s="6">
        <f t="shared" si="119"/>
        <v>1</v>
      </c>
      <c r="BF23" s="249">
        <f t="shared" si="120"/>
        <v>174</v>
      </c>
      <c r="BW23" s="17" t="s">
        <v>814</v>
      </c>
      <c r="BX23" s="17" t="s">
        <v>815</v>
      </c>
      <c r="BY23" s="17" t="s">
        <v>1780</v>
      </c>
      <c r="BZ23" s="17" t="s">
        <v>1781</v>
      </c>
      <c r="CB23" s="17" t="s">
        <v>814</v>
      </c>
      <c r="CC23" s="17" t="s">
        <v>815</v>
      </c>
      <c r="CD23" s="17" t="s">
        <v>1780</v>
      </c>
      <c r="CE23" s="17" t="s">
        <v>1781</v>
      </c>
      <c r="CH23" s="17" t="s">
        <v>851</v>
      </c>
      <c r="CI23" s="6">
        <f>+CN23/$CR$27</f>
        <v>0.21707317073170732</v>
      </c>
      <c r="CJ23" s="6">
        <f t="shared" ref="CJ23:CJ27" si="145">+CO23/$CR$27</f>
        <v>0.10731707317073171</v>
      </c>
      <c r="CK23" s="6">
        <f t="shared" ref="CK23:CK27" si="146">+CP23/$CR$27</f>
        <v>7.3170731707317069E-2</v>
      </c>
      <c r="CL23" s="6">
        <f t="shared" ref="CL23:CL27" si="147">+CQ23/$CR$27</f>
        <v>4.8780487804878049E-3</v>
      </c>
      <c r="CM23" s="6">
        <f t="shared" ref="CM23:CM27" si="148">+CR23/$CR$27</f>
        <v>0.40243902439024393</v>
      </c>
      <c r="CN23" s="249">
        <f>COUNTIFS('ENCUESTA PROPIETARIOS'!$AX$7:$AX$417,"1",'ENCUESTA PROPIETARIOS'!$N$7:$N$417,"1")</f>
        <v>89</v>
      </c>
      <c r="CO23" s="249">
        <f>COUNTIFS('ENCUESTA PROPIETARIOS'!$AX$7:$AX$417,"1",'ENCUESTA PROPIETARIOS'!$N$7:$N$417,"2")</f>
        <v>44</v>
      </c>
      <c r="CP23" s="249">
        <f>COUNTIFS('ENCUESTA PROPIETARIOS'!$AX$7:$AX$417,"1",'ENCUESTA PROPIETARIOS'!$N$7:$N$417,"3")+COUNTIFS('ENCUESTA PROPIETARIOS'!$AX$7:$AX$417,"1",'ENCUESTA PROPIETARIOS'!$N$7:$N$417,"4")+COUNTIFS('ENCUESTA PROPIETARIOS'!$AX$7:$AX$417,"1",'ENCUESTA PROPIETARIOS'!$N$7:$N$417,"5")</f>
        <v>30</v>
      </c>
      <c r="CQ23" s="249">
        <f>COUNTIFS('ENCUESTA PROPIETARIOS'!$AX$7:$AX$417,"1",'ENCUESTA PROPIETARIOS'!$N$7:$N$417,"&gt;5")</f>
        <v>2</v>
      </c>
      <c r="CR23" s="249">
        <f>SUM(CN23:CQ23)</f>
        <v>165</v>
      </c>
      <c r="CT23" s="17" t="s">
        <v>2605</v>
      </c>
      <c r="CU23" s="6">
        <f>+CV23/$CV$28</f>
        <v>0.54430379746835444</v>
      </c>
      <c r="CV23" s="249">
        <f t="shared" ref="CV23:CV28" si="149">+DA4</f>
        <v>86</v>
      </c>
      <c r="DF23" s="17" t="s">
        <v>2616</v>
      </c>
      <c r="DG23" s="6">
        <f>+DL23/DL$26</f>
        <v>0.9138755980861244</v>
      </c>
      <c r="DH23" s="6">
        <f t="shared" ref="DH23:DH26" si="150">+DM23/DM$26</f>
        <v>0.8125</v>
      </c>
      <c r="DI23" s="6">
        <f t="shared" ref="DI23:DI26" si="151">+DN23/DN$26</f>
        <v>0.69969040247678016</v>
      </c>
      <c r="DJ23" s="6">
        <f t="shared" ref="DJ23:DJ26" si="152">+DO23/DO$26</f>
        <v>0.84375</v>
      </c>
      <c r="DK23" s="6">
        <f t="shared" ref="DK23:DK26" si="153">+DP23/DP$26</f>
        <v>0.80612244897959184</v>
      </c>
      <c r="DL23" s="249">
        <f>COUNTIFS('DETALLES UNIDADES'!$BA$8:$BA$987,"1",'DETALLES UNIDADES'!$AT$8:$AT$987,"&lt;50000")</f>
        <v>191</v>
      </c>
      <c r="DM23" s="249">
        <f>COUNTIFS('DETALLES UNIDADES'!$BA$8:$BA$987,"2",'DETALLES UNIDADES'!$AT$8:$AT$987,"&lt;50000")</f>
        <v>130</v>
      </c>
      <c r="DN23" s="249">
        <f>COUNTIFS('DETALLES UNIDADES'!$BA$8:$BA$987,"3",'DETALLES UNIDADES'!$AT$8:$AT$987,"&lt;50000")+COUNTIFS('DETALLES UNIDADES'!$BA$8:$BA$987,"4",'DETALLES UNIDADES'!$AT$8:$AT$987,"&lt;50000")+COUNTIFS('DETALLES UNIDADES'!$BA$8:$BA$987,"5",'DETALLES UNIDADES'!$AT$8:$AT$987,"&lt;50000")</f>
        <v>226</v>
      </c>
      <c r="DO23" s="249">
        <f>COUNTIFS('DETALLES UNIDADES'!$BA$8:$BA$987,"&gt;5",'DETALLES UNIDADES'!$AT$8:$AT$987,"&lt;50000")</f>
        <v>243</v>
      </c>
      <c r="DP23" s="249">
        <f>SUM(DL23:DO23)</f>
        <v>790</v>
      </c>
      <c r="DR23" s="17" t="s">
        <v>2649</v>
      </c>
      <c r="DS23" s="6">
        <f t="shared" ref="DS23:DS25" si="154">+DX23/DX$25</f>
        <v>5.5555555555555552E-2</v>
      </c>
      <c r="DT23" s="6">
        <f t="shared" si="141"/>
        <v>0</v>
      </c>
      <c r="DU23" s="6">
        <f t="shared" si="142"/>
        <v>0.17391304347826086</v>
      </c>
      <c r="DV23" s="6">
        <f t="shared" si="143"/>
        <v>0.18181818181818182</v>
      </c>
      <c r="DW23" s="6">
        <f t="shared" si="144"/>
        <v>9.49367088607595E-2</v>
      </c>
      <c r="DX23" s="249">
        <f>COUNTIFS('ENCUESTA PROPIETARIOS'!$N$7:$N$417,"1",'ENCUESTA PROPIETARIOS'!$BZ$7:$BZ$417,"X")</f>
        <v>3</v>
      </c>
      <c r="DY23" s="249">
        <f>COUNTIFS('ENCUESTA PROPIETARIOS'!$N$7:$N$417,"2",'ENCUESTA PROPIETARIOS'!$BZ$7:$BZ$417,"X")</f>
        <v>0</v>
      </c>
      <c r="DZ23" s="249">
        <f>COUNTIFS('ENCUESTA PROPIETARIOS'!$N$7:$N$417,"3",'ENCUESTA PROPIETARIOS'!$BZ$7:$BZ$417,"X")+COUNTIFS('ENCUESTA PROPIETARIOS'!$N$7:$N$417,"4",'ENCUESTA PROPIETARIOS'!$BZ$7:$BZ$417,"X")+COUNTIFS('ENCUESTA PROPIETARIOS'!$N$7:$N$417,"5",'ENCUESTA PROPIETARIOS'!$BZ$7:$BZ$417,"X")</f>
        <v>8</v>
      </c>
      <c r="EA23" s="249">
        <f>COUNTIFS('ENCUESTA PROPIETARIOS'!$N$7:$N$417,"&gt;5",'ENCUESTA PROPIETARIOS'!$BZ$7:$BZ$417,"X")</f>
        <v>4</v>
      </c>
      <c r="EB23" s="249">
        <f>SUM(DX23:EA23)</f>
        <v>15</v>
      </c>
      <c r="ED23" s="17" t="s">
        <v>1662</v>
      </c>
      <c r="EE23" s="6">
        <f t="shared" si="122"/>
        <v>1</v>
      </c>
      <c r="EF23" s="6">
        <f t="shared" si="105"/>
        <v>1</v>
      </c>
      <c r="EG23" s="6">
        <f t="shared" si="106"/>
        <v>1</v>
      </c>
      <c r="EH23" s="6">
        <f t="shared" si="107"/>
        <v>1</v>
      </c>
      <c r="EI23" s="6">
        <f t="shared" si="108"/>
        <v>1</v>
      </c>
      <c r="EJ23" s="6">
        <f t="shared" si="109"/>
        <v>1</v>
      </c>
      <c r="EK23" s="6">
        <f t="shared" si="110"/>
        <v>1</v>
      </c>
      <c r="EL23" s="6">
        <f t="shared" si="111"/>
        <v>1</v>
      </c>
      <c r="EM23" s="249">
        <f>SUM(EM16:EM22)</f>
        <v>104</v>
      </c>
      <c r="EN23" s="249">
        <f t="shared" ref="EN23" si="155">SUM(EN16:EN22)</f>
        <v>48</v>
      </c>
      <c r="EO23" s="249">
        <f t="shared" ref="EO23" si="156">SUM(EO16:EO22)</f>
        <v>108</v>
      </c>
      <c r="EP23" s="249">
        <f t="shared" ref="EP23" si="157">SUM(EP16:EP22)</f>
        <v>244</v>
      </c>
      <c r="EQ23" s="249">
        <f t="shared" ref="EQ23" si="158">SUM(EQ16:EQ22)</f>
        <v>148</v>
      </c>
      <c r="ER23" s="249">
        <f t="shared" ref="ER23" si="159">SUM(ER16:ER22)</f>
        <v>224</v>
      </c>
      <c r="ES23" s="249">
        <f t="shared" ref="ES23" si="160">SUM(ES16:ES22)</f>
        <v>100</v>
      </c>
      <c r="ET23" s="249">
        <f t="shared" ref="ET23" si="161">SUM(ET16:ET22)</f>
        <v>976</v>
      </c>
      <c r="EV23" s="200" t="s">
        <v>925</v>
      </c>
      <c r="FM23" s="11" t="s">
        <v>1662</v>
      </c>
      <c r="FN23" s="6">
        <f t="shared" si="124"/>
        <v>1</v>
      </c>
      <c r="FO23" s="249">
        <f t="shared" si="125"/>
        <v>210</v>
      </c>
      <c r="FY23" s="11" t="s">
        <v>1707</v>
      </c>
      <c r="FZ23" s="121">
        <f t="shared" si="136"/>
        <v>2.967359050445104E-3</v>
      </c>
      <c r="GA23" s="249">
        <f>+'[1]ENCUESTA CONDUCTORES'!$AG$463++'[1]ENCUESTA CONDUCTORES'!$AG$469</f>
        <v>1</v>
      </c>
      <c r="GB23" s="11">
        <f>SUM('ENCUESTA PROPIETARIOS'!$Z$7:$Z$417)+SUM('ENCUESTA PROPIETARIOS'!$X$7:$X$417)</f>
        <v>147</v>
      </c>
      <c r="GC23" s="249">
        <f>+'[1]ENCUESTA CONDUCTORES'!$AG$463++'[1]ENCUESTA CONDUCTORES'!$AG$469</f>
        <v>1</v>
      </c>
      <c r="GE23" s="11" t="s">
        <v>480</v>
      </c>
      <c r="GG23" s="138"/>
      <c r="GK23" s="11"/>
      <c r="GM23" s="138"/>
    </row>
    <row r="24" spans="1:195" x14ac:dyDescent="0.25">
      <c r="B24" s="249" t="s">
        <v>337</v>
      </c>
      <c r="C24" s="189">
        <f t="shared" si="140"/>
        <v>0.40625</v>
      </c>
      <c r="D24" s="249">
        <f>COUNTIFS('DETALLES UNIDADES'!$C$8:$C$987,"T3",'DETALLES UNIDADES'!$BA$8:$BA$987,"2")</f>
        <v>65</v>
      </c>
      <c r="O24" s="179" t="s">
        <v>1002</v>
      </c>
      <c r="P24" s="179" t="s">
        <v>1004</v>
      </c>
      <c r="Q24" s="179" t="s">
        <v>430</v>
      </c>
      <c r="R24" s="179"/>
      <c r="S24" s="179" t="s">
        <v>1002</v>
      </c>
      <c r="T24" s="179" t="s">
        <v>1004</v>
      </c>
      <c r="U24" s="179" t="s">
        <v>430</v>
      </c>
      <c r="V24" s="179"/>
      <c r="X24" s="19" t="s">
        <v>1007</v>
      </c>
      <c r="Y24" s="6">
        <f t="shared" si="138"/>
        <v>0.18222222222222223</v>
      </c>
      <c r="Z24" s="9">
        <f>COUNTIFS('DETALLES UNIDADES'!$S$8:$S$987,"D",'DETALLES UNIDADES'!$U$8:$U$987,"&lt;2.81")-Z23-Z22-Z21-Z20</f>
        <v>164</v>
      </c>
      <c r="AK24" s="17" t="s">
        <v>2542</v>
      </c>
      <c r="BD24" s="11"/>
      <c r="BT24" s="17" t="s">
        <v>584</v>
      </c>
      <c r="BU24" s="249">
        <f>+CF24</f>
        <v>16</v>
      </c>
      <c r="BV24" s="17" t="s">
        <v>584</v>
      </c>
      <c r="BW24" s="6">
        <f>+CB24/$CF$30</f>
        <v>3.4063260340632603E-2</v>
      </c>
      <c r="BX24" s="6">
        <f t="shared" ref="BX24:BX30" si="162">+CC24/$CF$30</f>
        <v>2.4330900243309003E-3</v>
      </c>
      <c r="BY24" s="6">
        <f t="shared" ref="BY24:BY30" si="163">+CD24/$CF$30</f>
        <v>2.4330900243309003E-3</v>
      </c>
      <c r="BZ24" s="6">
        <f t="shared" ref="BZ24:BZ30" si="164">+CE24/$CF$30</f>
        <v>0</v>
      </c>
      <c r="CA24" s="6">
        <f t="shared" ref="CA24:CA30" si="165">+CF24/$CF$30</f>
        <v>3.8929440389294405E-2</v>
      </c>
      <c r="CB24" s="249">
        <f>COUNTIFS('ENCUESTA PROPIETARIOS'!$N$7:$N$417,"1",'ENCUESTA PROPIETARIOS'!$I$7:$I$417,"SIN ESTUDIOS")</f>
        <v>14</v>
      </c>
      <c r="CC24" s="249">
        <f>COUNTIFS('ENCUESTA PROPIETARIOS'!$N$7:$N$417,"2",'ENCUESTA PROPIETARIOS'!$I$7:$I$417,"SIN ESTUDIOS")</f>
        <v>1</v>
      </c>
      <c r="CD24" s="249">
        <f>COUNTIFS('ENCUESTA PROPIETARIOS'!$N$7:$N$417,"3",'ENCUESTA PROPIETARIOS'!$I$7:$I$417,"SIN ESTUDIOS")+COUNTIFS('ENCUESTA PROPIETARIOS'!$N$7:$N$417,"4",'ENCUESTA PROPIETARIOS'!$I$7:$I$417,"SIN ESTUDIOS")+COUNTIFS('ENCUESTA PROPIETARIOS'!$N$7:$N$417,"5",'ENCUESTA PROPIETARIOS'!$I$7:$I$417,"SIN ESTUDIOS")</f>
        <v>1</v>
      </c>
      <c r="CE24" s="249">
        <f>COUNTIFS('ENCUESTA PROPIETARIOS'!$N$7:$N$417,"&gt;5",'ENCUESTA PROPIETARIOS'!$I$7:$I$417,"SIN ESTUDIOS")</f>
        <v>0</v>
      </c>
      <c r="CF24" s="249">
        <f>SUM(CB24:CE24)</f>
        <v>16</v>
      </c>
      <c r="CH24" s="17" t="s">
        <v>852</v>
      </c>
      <c r="CI24" s="6">
        <f t="shared" ref="CI24:CI27" si="166">+CN24/$CR$27</f>
        <v>8.5365853658536592E-2</v>
      </c>
      <c r="CJ24" s="6">
        <f t="shared" si="145"/>
        <v>2.1951219512195121E-2</v>
      </c>
      <c r="CK24" s="6">
        <f t="shared" si="146"/>
        <v>4.1463414634146344E-2</v>
      </c>
      <c r="CL24" s="6">
        <f t="shared" si="147"/>
        <v>1.9512195121951219E-2</v>
      </c>
      <c r="CM24" s="6">
        <f t="shared" si="148"/>
        <v>0.16829268292682928</v>
      </c>
      <c r="CN24" s="249">
        <f>COUNTIFS('ENCUESTA PROPIETARIOS'!$AY$7:$AY$417,"1",'ENCUESTA PROPIETARIOS'!$N$7:$N$417,"1")</f>
        <v>35</v>
      </c>
      <c r="CO24" s="249">
        <f>COUNTIFS('ENCUESTA PROPIETARIOS'!$AY$7:$AY$417,"1",'ENCUESTA PROPIETARIOS'!$N$7:$N$417,"2")</f>
        <v>9</v>
      </c>
      <c r="CP24" s="249">
        <f>COUNTIFS('ENCUESTA PROPIETARIOS'!$AY$7:$AY$417,"1",'ENCUESTA PROPIETARIOS'!$N$7:$N$417,"3")+COUNTIFS('ENCUESTA PROPIETARIOS'!$AY$7:$AY$417,"1",'ENCUESTA PROPIETARIOS'!$N$7:$N$417,"4")+COUNTIFS('ENCUESTA PROPIETARIOS'!$AY$7:$AY$417,"1",'ENCUESTA PROPIETARIOS'!$N$7:$N$417,"5")</f>
        <v>17</v>
      </c>
      <c r="CQ24" s="249">
        <f>COUNTIFS('ENCUESTA PROPIETARIOS'!$AY$7:$AY$417,"1",'ENCUESTA PROPIETARIOS'!$N$7:$N$417,"&gt;5")</f>
        <v>8</v>
      </c>
      <c r="CR24" s="249">
        <f t="shared" ref="CR24:CR27" si="167">SUM(CN24:CQ24)</f>
        <v>69</v>
      </c>
      <c r="CT24" s="17" t="s">
        <v>2606</v>
      </c>
      <c r="CU24" s="6">
        <f t="shared" ref="CU24:CU28" si="168">+CV24/$CV$28</f>
        <v>8.8607594936708861E-2</v>
      </c>
      <c r="CV24" s="249">
        <f t="shared" si="149"/>
        <v>14</v>
      </c>
      <c r="DF24" s="17" t="s">
        <v>2618</v>
      </c>
      <c r="DG24" s="6">
        <f t="shared" ref="DG24:DG26" si="169">+DL24/DL$26</f>
        <v>6.2200956937799042E-2</v>
      </c>
      <c r="DH24" s="6">
        <f t="shared" si="150"/>
        <v>0.1</v>
      </c>
      <c r="DI24" s="6">
        <f t="shared" si="151"/>
        <v>0.11764705882352941</v>
      </c>
      <c r="DJ24" s="6">
        <f t="shared" si="152"/>
        <v>4.8611111111111112E-2</v>
      </c>
      <c r="DK24" s="6">
        <f t="shared" si="153"/>
        <v>8.2653061224489802E-2</v>
      </c>
      <c r="DL24" s="249">
        <f>COUNTIFS('DETALLES UNIDADES'!$BA$8:$BA$987,"1",'DETALLES UNIDADES'!$AT$8:$AT$987,"&lt;75001")-DL23</f>
        <v>13</v>
      </c>
      <c r="DM24" s="249">
        <f>COUNTIFS('DETALLES UNIDADES'!$BA$8:$BA$987,"2",'DETALLES UNIDADES'!$AT$8:$AT$987,"&lt;75001")-DM23</f>
        <v>16</v>
      </c>
      <c r="DN24" s="249">
        <f>COUNTIFS('DETALLES UNIDADES'!$BA$8:$BA$987,"3",'DETALLES UNIDADES'!$AT$8:$AT$987,"&lt;75001")+COUNTIFS('DETALLES UNIDADES'!$BA$8:$BA$987,"4",'DETALLES UNIDADES'!$AT$8:$AT$987,"&lt;75001")+COUNTIFS('DETALLES UNIDADES'!$BA$8:$BA$987,"5",'DETALLES UNIDADES'!$AT$8:$AT$987,"&lt;75001")-DN23</f>
        <v>38</v>
      </c>
      <c r="DO24" s="249">
        <f>COUNTIFS('DETALLES UNIDADES'!$BA$8:$BA$987,"&gt;5",'DETALLES UNIDADES'!$AT$8:$AT$987,"&lt;75001")-DO23</f>
        <v>14</v>
      </c>
      <c r="DP24" s="249">
        <f>SUM(DL24:DO24)</f>
        <v>81</v>
      </c>
      <c r="DR24" s="17" t="s">
        <v>892</v>
      </c>
      <c r="DS24" s="6">
        <f t="shared" si="154"/>
        <v>0.88888888888888884</v>
      </c>
      <c r="DT24" s="6">
        <f t="shared" si="141"/>
        <v>0.44444444444444442</v>
      </c>
      <c r="DU24" s="6">
        <f t="shared" si="142"/>
        <v>0.39130434782608697</v>
      </c>
      <c r="DV24" s="6">
        <f t="shared" si="143"/>
        <v>0.54545454545454541</v>
      </c>
      <c r="DW24" s="6">
        <f t="shared" si="144"/>
        <v>0.59493670886075944</v>
      </c>
      <c r="DX24" s="249">
        <f>COUNTIFS('ENCUESTA PROPIETARIOS'!$N$7:$N$417,"1",'ENCUESTA PROPIETARIOS'!$CH$7:$CH$417,"NINGUNO")</f>
        <v>48</v>
      </c>
      <c r="DY24" s="249">
        <f>COUNTIFS('ENCUESTA PROPIETARIOS'!$N$7:$N$417,"2",'ENCUESTA PROPIETARIOS'!$CH$7:$CH$417,"NINGUNO")</f>
        <v>16</v>
      </c>
      <c r="DZ24" s="249">
        <f>COUNTIFS('ENCUESTA PROPIETARIOS'!$N$7:$N$417,"3",'ENCUESTA PROPIETARIOS'!$CH$7:$CH$417,"NINGUNO")+COUNTIFS('ENCUESTA PROPIETARIOS'!$N$7:$N$417,"4",'ENCUESTA PROPIETARIOS'!$CH$7:$CH$417,"NINGUNO")+COUNTIFS('ENCUESTA PROPIETARIOS'!$N$7:$N$417,"5",'ENCUESTA PROPIETARIOS'!$CH$7:$CH$417,"NINGUNO")</f>
        <v>18</v>
      </c>
      <c r="EA24" s="249">
        <f>COUNTIFS('ENCUESTA PROPIETARIOS'!$N$7:$N$417,"&gt;5",'ENCUESTA PROPIETARIOS'!$CH$7:$CH$417,"NINGUNO")</f>
        <v>12</v>
      </c>
      <c r="EB24" s="249">
        <f>SUM(DX24:EA24)</f>
        <v>94</v>
      </c>
      <c r="EM24" s="249">
        <v>104</v>
      </c>
      <c r="EN24" s="249">
        <v>50</v>
      </c>
      <c r="EO24" s="249">
        <v>109</v>
      </c>
      <c r="EP24" s="249">
        <v>245</v>
      </c>
      <c r="EQ24" s="249">
        <v>148</v>
      </c>
      <c r="ER24" s="249">
        <v>224</v>
      </c>
      <c r="ES24" s="249">
        <v>100</v>
      </c>
      <c r="ET24" s="249">
        <v>980</v>
      </c>
      <c r="EW24" s="11" t="s">
        <v>814</v>
      </c>
      <c r="EX24" s="11" t="s">
        <v>815</v>
      </c>
      <c r="EY24" s="11" t="s">
        <v>1780</v>
      </c>
      <c r="EZ24" s="11" t="s">
        <v>1781</v>
      </c>
      <c r="FA24" s="11"/>
      <c r="FB24" s="11" t="s">
        <v>814</v>
      </c>
      <c r="FC24" s="11" t="s">
        <v>815</v>
      </c>
      <c r="FD24" s="11" t="s">
        <v>1780</v>
      </c>
      <c r="FE24" s="11" t="s">
        <v>1781</v>
      </c>
      <c r="FF24" s="11"/>
      <c r="FY24" s="11" t="s">
        <v>1708</v>
      </c>
      <c r="FZ24" s="121">
        <f t="shared" si="136"/>
        <v>1.7804154302670624E-2</v>
      </c>
      <c r="GA24" s="249">
        <f>+'[1]ENCUESTA CONDUCTORES'!$AG$470++'[1]ENCUESTA CONDUCTORES'!$W$461</f>
        <v>6</v>
      </c>
      <c r="GB24" s="11">
        <f>SUM('ENCUESTA PROPIETARIOS'!$AA$7:$AA$417)+SUM('ENCUESTA PROPIETARIOS'!$Q$7:$Q$417)+COUNTA('ENCUESTA PROPIETARIOS'!$AA$7:$AA$417)-COUNTIF('ENCUESTA PROPIETARIOS'!$AA$7:$AA$417,"(REDILAS)")</f>
        <v>177</v>
      </c>
      <c r="GC24" s="249">
        <f>+'[1]ENCUESTA CONDUCTORES'!$AG$470++'[1]ENCUESTA CONDUCTORES'!$W$461</f>
        <v>6</v>
      </c>
      <c r="GF24" s="139"/>
      <c r="GG24" s="138">
        <f>+GG23+GG22+GG21</f>
        <v>196</v>
      </c>
      <c r="GL24" s="139"/>
      <c r="GM24" s="138"/>
    </row>
    <row r="25" spans="1:195" x14ac:dyDescent="0.25">
      <c r="B25" s="249" t="s">
        <v>1662</v>
      </c>
      <c r="C25" s="189">
        <f t="shared" si="140"/>
        <v>1</v>
      </c>
      <c r="D25" s="249">
        <f t="shared" ref="D25" si="170">SUM(D21:D24)</f>
        <v>160</v>
      </c>
      <c r="N25" s="7" t="s">
        <v>337</v>
      </c>
      <c r="O25" s="252">
        <f>+S25/$V$25</f>
        <v>1</v>
      </c>
      <c r="P25" s="252">
        <f t="shared" ref="P25:R25" si="171">+T25/$V$25</f>
        <v>0</v>
      </c>
      <c r="Q25" s="252">
        <f t="shared" si="171"/>
        <v>0</v>
      </c>
      <c r="R25" s="252">
        <f t="shared" si="171"/>
        <v>1</v>
      </c>
      <c r="S25" s="253">
        <f>COUNTIFS('DETALLES UNIDADES'!$C$8:$C$987,"T3",'DETALLES UNIDADES'!$S$8:$S$987,"D")</f>
        <v>531</v>
      </c>
      <c r="T25" s="253">
        <f>COUNTIFS('DETALLES UNIDADES'!$C$8:$C$987,"T3",'DETALLES UNIDADES'!$S$8:$S$987,"G")</f>
        <v>0</v>
      </c>
      <c r="U25" s="253">
        <f>COUNTIFS('DETALLES UNIDADES'!$C$8:$C$987,"T3",'DETALLES UNIDADES'!$S$8:$S$987,"GAS")</f>
        <v>0</v>
      </c>
      <c r="V25" s="161">
        <f>SUM(S25:U25)</f>
        <v>531</v>
      </c>
      <c r="X25" s="19" t="s">
        <v>1733</v>
      </c>
      <c r="Y25" s="6">
        <f t="shared" si="138"/>
        <v>0.13666666666666666</v>
      </c>
      <c r="Z25" s="9">
        <f>COUNTIFS('DETALLES UNIDADES'!$S$8:$S$987,"D",'DETALLES UNIDADES'!$U$8:$U$987,"&lt;3.21")-Z24-Z23-Z22-Z21-Z20</f>
        <v>123</v>
      </c>
      <c r="AK25" s="11"/>
      <c r="AM25" s="249" t="s">
        <v>351</v>
      </c>
      <c r="BD25" s="11" t="s">
        <v>2569</v>
      </c>
      <c r="BT25" s="17" t="s">
        <v>353</v>
      </c>
      <c r="BU25" s="249">
        <f t="shared" ref="BU25:BU29" si="172">+CF25</f>
        <v>74</v>
      </c>
      <c r="BV25" s="17" t="s">
        <v>353</v>
      </c>
      <c r="BW25" s="6">
        <f t="shared" ref="BW25:BW30" si="173">+CB25/$CF$30</f>
        <v>0.11678832116788321</v>
      </c>
      <c r="BX25" s="6">
        <f t="shared" si="162"/>
        <v>3.6496350364963501E-2</v>
      </c>
      <c r="BY25" s="6">
        <f t="shared" si="163"/>
        <v>2.1897810218978103E-2</v>
      </c>
      <c r="BZ25" s="6">
        <f t="shared" si="164"/>
        <v>4.8661800486618006E-3</v>
      </c>
      <c r="CA25" s="6">
        <f t="shared" si="165"/>
        <v>0.18004866180048662</v>
      </c>
      <c r="CB25" s="249">
        <f>COUNTIFS('ENCUESTA PROPIETARIOS'!$N$7:$N$417,"1",'ENCUESTA PROPIETARIOS'!$I$7:$I$417,"PRIMARIA")</f>
        <v>48</v>
      </c>
      <c r="CC25" s="249">
        <f>COUNTIFS('ENCUESTA PROPIETARIOS'!$N$7:$N$417,"2",'ENCUESTA PROPIETARIOS'!$I$7:$I$417,"PRIMARIA")</f>
        <v>15</v>
      </c>
      <c r="CD25" s="249">
        <f>COUNTIFS('ENCUESTA PROPIETARIOS'!$N$7:$N$417,"3",'ENCUESTA PROPIETARIOS'!$I$7:$I$417,"PRIMARIA")+COUNTIFS('ENCUESTA PROPIETARIOS'!$N$7:$N$417,"4",'ENCUESTA PROPIETARIOS'!$I$7:$I$417,"PRIMARIA")+COUNTIFS('ENCUESTA PROPIETARIOS'!$N$7:$N$417,"5",'ENCUESTA PROPIETARIOS'!$I$7:$I$417,"PRIMARIA")</f>
        <v>9</v>
      </c>
      <c r="CE25" s="249">
        <f>COUNTIFS('ENCUESTA PROPIETARIOS'!$N$7:$N$417,"&gt;5",'ENCUESTA PROPIETARIOS'!$I$7:$I$417,"PRIMARIA")</f>
        <v>2</v>
      </c>
      <c r="CF25" s="249">
        <f t="shared" ref="CF25:CF30" si="174">SUM(CB25:CE25)</f>
        <v>74</v>
      </c>
      <c r="CH25" s="17" t="s">
        <v>853</v>
      </c>
      <c r="CI25" s="6">
        <f t="shared" si="166"/>
        <v>0.15609756097560976</v>
      </c>
      <c r="CJ25" s="6">
        <f t="shared" si="145"/>
        <v>2.4390243902439025E-2</v>
      </c>
      <c r="CK25" s="6">
        <f t="shared" si="146"/>
        <v>4.3902439024390241E-2</v>
      </c>
      <c r="CL25" s="6">
        <f t="shared" si="147"/>
        <v>2.6829268292682926E-2</v>
      </c>
      <c r="CM25" s="6">
        <f t="shared" si="148"/>
        <v>0.25121951219512195</v>
      </c>
      <c r="CN25" s="249">
        <f>COUNTIFS('ENCUESTA PROPIETARIOS'!$AZ$7:$AZ$417,"1",'ENCUESTA PROPIETARIOS'!$N$7:$N$417,"1")</f>
        <v>64</v>
      </c>
      <c r="CO25" s="249">
        <f>COUNTIFS('ENCUESTA PROPIETARIOS'!$AZ$7:$AZ$417,"1",'ENCUESTA PROPIETARIOS'!$N$7:$N$417,"2")</f>
        <v>10</v>
      </c>
      <c r="CP25" s="249">
        <f>COUNTIFS('ENCUESTA PROPIETARIOS'!$AZ$7:$AZ$417,"1",'ENCUESTA PROPIETARIOS'!$N$7:$N$417,"3")+COUNTIFS('ENCUESTA PROPIETARIOS'!$AZ$7:$AZ$417,"1",'ENCUESTA PROPIETARIOS'!$N$7:$N$417,"4")+COUNTIFS('ENCUESTA PROPIETARIOS'!$AZ$7:$AZ$417,"1",'ENCUESTA PROPIETARIOS'!$N$7:$N$417,"5")</f>
        <v>18</v>
      </c>
      <c r="CQ25" s="249">
        <f>COUNTIFS('ENCUESTA PROPIETARIOS'!$AZ$7:$AZ$417,"1",'ENCUESTA PROPIETARIOS'!$N$7:$N$417,"&gt;5")</f>
        <v>11</v>
      </c>
      <c r="CR25" s="249">
        <f t="shared" si="167"/>
        <v>103</v>
      </c>
      <c r="CT25" s="17" t="s">
        <v>2607</v>
      </c>
      <c r="CU25" s="6">
        <f t="shared" si="168"/>
        <v>0.13924050632911392</v>
      </c>
      <c r="CV25" s="249">
        <f t="shared" si="149"/>
        <v>22</v>
      </c>
      <c r="DF25" s="17" t="s">
        <v>2624</v>
      </c>
      <c r="DG25" s="6">
        <f t="shared" si="169"/>
        <v>2.3923444976076555E-2</v>
      </c>
      <c r="DH25" s="6">
        <f t="shared" si="150"/>
        <v>8.7499999999999994E-2</v>
      </c>
      <c r="DI25" s="6">
        <f t="shared" si="151"/>
        <v>0.1826625386996904</v>
      </c>
      <c r="DJ25" s="6">
        <f t="shared" si="152"/>
        <v>0.1076388888888889</v>
      </c>
      <c r="DK25" s="6">
        <f t="shared" si="153"/>
        <v>0.11122448979591837</v>
      </c>
      <c r="DL25" s="249">
        <f>COUNTIFS('DETALLES UNIDADES'!$BA$8:$BA$987,"1",'DETALLES UNIDADES'!$AT$8:$AT$987,"&gt;75000")</f>
        <v>5</v>
      </c>
      <c r="DM25" s="249">
        <f>COUNTIFS('DETALLES UNIDADES'!$BA$8:$BA$987,"2",'DETALLES UNIDADES'!$AT$8:$AT$987,"&gt;75000")</f>
        <v>14</v>
      </c>
      <c r="DN25" s="249">
        <f>COUNTIFS('DETALLES UNIDADES'!$BA$8:$BA$987,"3",'DETALLES UNIDADES'!$AT$8:$AT$987,"&gt;75000")+COUNTIFS('DETALLES UNIDADES'!$BA$8:$BA$987,"4",'DETALLES UNIDADES'!$AT$8:$AT$987,"&gt;75000")+COUNTIFS('DETALLES UNIDADES'!$BA$8:$BA$987,"5",'DETALLES UNIDADES'!$AT$8:$AT$987,"&gt;75000")</f>
        <v>59</v>
      </c>
      <c r="DO25" s="249">
        <f>COUNTIFS('DETALLES UNIDADES'!$BA$8:$BA$987,"&gt;5",'DETALLES UNIDADES'!$AT$8:$AT$987,"&gt;75000")</f>
        <v>31</v>
      </c>
      <c r="DP25" s="249">
        <f>SUM(DL25:DO25)</f>
        <v>109</v>
      </c>
      <c r="DR25" s="17" t="s">
        <v>2411</v>
      </c>
      <c r="DS25" s="6">
        <f t="shared" si="154"/>
        <v>1</v>
      </c>
      <c r="DT25" s="6">
        <f t="shared" si="141"/>
        <v>1</v>
      </c>
      <c r="DU25" s="6">
        <f t="shared" si="142"/>
        <v>1</v>
      </c>
      <c r="DV25" s="6">
        <f t="shared" si="143"/>
        <v>1</v>
      </c>
      <c r="DW25" s="6">
        <f t="shared" si="144"/>
        <v>1</v>
      </c>
      <c r="DX25" s="249">
        <f>SUM(DX22:DX24)</f>
        <v>54</v>
      </c>
      <c r="DY25" s="249">
        <f t="shared" ref="DY25:EB25" si="175">SUM(DY22:DY24)</f>
        <v>36</v>
      </c>
      <c r="DZ25" s="249">
        <f t="shared" si="175"/>
        <v>46</v>
      </c>
      <c r="EA25" s="249">
        <f t="shared" si="175"/>
        <v>22</v>
      </c>
      <c r="EB25" s="249">
        <f t="shared" si="175"/>
        <v>158</v>
      </c>
      <c r="EN25" s="249">
        <v>2</v>
      </c>
      <c r="EO25" s="249">
        <v>1</v>
      </c>
      <c r="EP25" s="249">
        <v>1</v>
      </c>
      <c r="EV25" s="17" t="s">
        <v>410</v>
      </c>
      <c r="EW25" s="6">
        <f>+FB25/FB$31</f>
        <v>0.58823529411764708</v>
      </c>
      <c r="EX25" s="6">
        <f t="shared" ref="EX25:EX31" si="176">+FC25/FC$31</f>
        <v>0.56000000000000005</v>
      </c>
      <c r="EY25" s="6">
        <f t="shared" ref="EY25:EY31" si="177">+FD25/FD$31</f>
        <v>0.52777777777777779</v>
      </c>
      <c r="EZ25" s="6">
        <f t="shared" ref="EZ25:EZ31" si="178">+FE25/FE$31</f>
        <v>0.42307692307692307</v>
      </c>
      <c r="FA25" s="6">
        <f t="shared" ref="FA25:FA31" si="179">+FF25/FF$31</f>
        <v>0.52892561983471076</v>
      </c>
      <c r="FB25" s="249">
        <f>COUNTIFS('ENCUESTA PROPIETARIOS'!$N$7:$N$417,"1",'ENCUESTA PROPIETARIOS'!$DR$7:$DR$417,"X",'ENCUESTA PROPIETARIOS'!$DW$7:$DW$417,"BAJOS ESTÍMULOS")+COUNTIFS('ENCUESTA PROPIETARIOS'!$N$7:$N$417,"1",'ENCUESTA PROPIETARIOS'!$DR$7:$DR$417,"X",'ENCUESTA PROPIETARIOS'!$DW$7:$DW$417,"PAGAN POCO")+COUNTIFS('ENCUESTA PROPIETARIOS'!$N$7:$N$417,"1",'ENCUESTA PROPIETARIOS'!$DR$7:$DR$417,"X",'ENCUESTA PROPIETARIOS'!$DW$7:$DW$417,"DAN MUY POCO")+COUNTIFS('ENCUESTA PROPIETARIOS'!$N$7:$N$417,"1",'ENCUESTA PROPIETARIOS'!$DR$7:$DR$417,"X",'ENCUESTA PROPIETARIOS'!$DW$7:$DW$417,"DEBERÍAN DAR MAS")</f>
        <v>20</v>
      </c>
      <c r="FC25" s="249">
        <f>COUNTIFS('ENCUESTA PROPIETARIOS'!$N$7:$N$417,"2",'ENCUESTA PROPIETARIOS'!$DR$7:$DR$417,"X",'ENCUESTA PROPIETARIOS'!$DW$7:$DW$417,"BAJOS ESTÍMULOS")+COUNTIFS('ENCUESTA PROPIETARIOS'!$N$7:$N$417,"2",'ENCUESTA PROPIETARIOS'!$DR$7:$DR$417,"X",'ENCUESTA PROPIETARIOS'!$DW$7:$DW$417,"PAGAN POCO")+COUNTIFS('ENCUESTA PROPIETARIOS'!$N$7:$N$417,"2",'ENCUESTA PROPIETARIOS'!$DR$7:$DR$417,"X",'ENCUESTA PROPIETARIOS'!$DW$7:$DW$417,"DAN MUY POCO")+COUNTIFS('ENCUESTA PROPIETARIOS'!$N$7:$N$417,"2",'ENCUESTA PROPIETARIOS'!$DR$7:$DR$417,"X",'ENCUESTA PROPIETARIOS'!$DW$7:$DW$417,"DEBERÍAN DAR MAS")</f>
        <v>14</v>
      </c>
      <c r="FD25" s="249">
        <f>COUNTIFS('ENCUESTA PROPIETARIOS'!$N$7:$N$417,"3",'ENCUESTA PROPIETARIOS'!$DR$7:$DR$417,"X",'ENCUESTA PROPIETARIOS'!$DW$7:$DW$417,"BAJOS ESTÍMULOS")+COUNTIFS('ENCUESTA PROPIETARIOS'!$N$7:$N$417,"3",'ENCUESTA PROPIETARIOS'!$DR$7:$DR$417,"X",'ENCUESTA PROPIETARIOS'!$DW$7:$DW$417,"PAGAN POCO")+COUNTIFS('ENCUESTA PROPIETARIOS'!$N$7:$N$417,"3",'ENCUESTA PROPIETARIOS'!$DR$7:$DR$417,"X",'ENCUESTA PROPIETARIOS'!$DW$7:$DW$417,"DAN MUY POCO")+COUNTIFS('ENCUESTA PROPIETARIOS'!$N$7:$N$417,"3",'ENCUESTA PROPIETARIOS'!$DR$7:$DR$417,"X",'ENCUESTA PROPIETARIOS'!$DW$7:$DW$417,"DEBERÍAN DAR MAS")+COUNTIFS('ENCUESTA PROPIETARIOS'!$N$7:$N$417,"4",'ENCUESTA PROPIETARIOS'!$DR$7:$DR$417,"X",'ENCUESTA PROPIETARIOS'!$DW$7:$DW$417,"BAJOS ESTÍMULOS")+COUNTIFS('ENCUESTA PROPIETARIOS'!$N$7:$N$417,"4",'ENCUESTA PROPIETARIOS'!$DR$7:$DR$417,"X",'ENCUESTA PROPIETARIOS'!$DW$7:$DW$417,"PAGAN POCO")+COUNTIFS('ENCUESTA PROPIETARIOS'!$N$7:$N$417,"4",'ENCUESTA PROPIETARIOS'!$DR$7:$DR$417,"X",'ENCUESTA PROPIETARIOS'!$DW$7:$DW$417,"DAN MUY POCO")+COUNTIFS('ENCUESTA PROPIETARIOS'!$N$7:$N$417,"4",'ENCUESTA PROPIETARIOS'!$DR$7:$DR$417,"X",'ENCUESTA PROPIETARIOS'!$DW$7:$DW$417,"DEBERÍAN DAR MAS")+COUNTIFS('ENCUESTA PROPIETARIOS'!$N$7:$N$417,"5",'ENCUESTA PROPIETARIOS'!$DR$7:$DR$417,"X",'ENCUESTA PROPIETARIOS'!$DW$7:$DW$417,"BAJOS ESTÍMULOS")+COUNTIFS('ENCUESTA PROPIETARIOS'!$N$7:$N$417,"5",'ENCUESTA PROPIETARIOS'!$DR$7:$DR$417,"X",'ENCUESTA PROPIETARIOS'!$DW$7:$DW$417,"PAGAN POCO")+COUNTIFS('ENCUESTA PROPIETARIOS'!$N$7:$N$417,"5",'ENCUESTA PROPIETARIOS'!$DR$7:$DR$417,"X",'ENCUESTA PROPIETARIOS'!$DW$7:$DW$417,"DAN MUY POCO")+COUNTIFS('ENCUESTA PROPIETARIOS'!$N$7:$N$417,"5",'ENCUESTA PROPIETARIOS'!$DR$7:$DR$417,"X",'ENCUESTA PROPIETARIOS'!$DW$7:$DW$417,"DEBERÍAN DAR MAS")</f>
        <v>19</v>
      </c>
      <c r="FE25" s="249">
        <f>COUNTIFS('ENCUESTA PROPIETARIOS'!$N$7:$N$417,"&gt;5",'ENCUESTA PROPIETARIOS'!$DR$7:$DR$417,"X",'ENCUESTA PROPIETARIOS'!$DW$7:$DW$417,"BAJOS ESTÍMULOS")+COUNTIFS('ENCUESTA PROPIETARIOS'!$N$7:$N$417,"&gt;5",'ENCUESTA PROPIETARIOS'!$DR$7:$DR$417,"X",'ENCUESTA PROPIETARIOS'!$DW$7:$DW$417,"PAGAN POCO")+COUNTIFS('ENCUESTA PROPIETARIOS'!$N$7:$N$417,"&gt;5",'ENCUESTA PROPIETARIOS'!$DR$7:$DR$417,"X",'ENCUESTA PROPIETARIOS'!$DW$7:$DW$417,"DAN MUY POCO")+COUNTIFS('ENCUESTA PROPIETARIOS'!$N$7:$N$417,"&gt;5",'ENCUESTA PROPIETARIOS'!$DR$7:$DR$417,"X",'ENCUESTA PROPIETARIOS'!$DW$7:$DW$417,"DEBERÍAN DAR MAS")</f>
        <v>11</v>
      </c>
      <c r="FF25" s="249">
        <f t="shared" ref="FF25:FF30" si="180">SUM(FB25:FE25)</f>
        <v>64</v>
      </c>
      <c r="FM25" s="17" t="s">
        <v>2707</v>
      </c>
      <c r="FY25" s="11"/>
      <c r="FZ25" s="11"/>
      <c r="GA25" s="249"/>
      <c r="GB25" s="11"/>
      <c r="GC25" s="249"/>
    </row>
    <row r="26" spans="1:195" x14ac:dyDescent="0.25">
      <c r="N26" s="7"/>
      <c r="O26" s="252"/>
      <c r="P26" s="252"/>
      <c r="Q26" s="252"/>
      <c r="R26" s="252"/>
      <c r="S26" s="253"/>
      <c r="T26" s="253"/>
      <c r="U26" s="253"/>
      <c r="V26" s="161"/>
      <c r="X26" s="19" t="s">
        <v>1734</v>
      </c>
      <c r="Y26" s="6">
        <f t="shared" si="138"/>
        <v>0.11</v>
      </c>
      <c r="Z26" s="9">
        <f>COUNTIFS('DETALLES UNIDADES'!$S$8:$S$987,"D",'DETALLES UNIDADES'!$U$8:$U$987,"&lt;4.01")-Z25-Z24-Z23-Z22-Z21-Z20</f>
        <v>99</v>
      </c>
      <c r="AK26" s="11" t="s">
        <v>2534</v>
      </c>
      <c r="AL26" s="6">
        <f>+AM26/$AM$33</f>
        <v>0.23469387755102042</v>
      </c>
      <c r="AM26" s="249">
        <f>+AR3</f>
        <v>46</v>
      </c>
      <c r="BD26" s="11"/>
      <c r="BE26" s="11" t="s">
        <v>2570</v>
      </c>
      <c r="BT26" s="17" t="s">
        <v>330</v>
      </c>
      <c r="BU26" s="249">
        <f t="shared" si="172"/>
        <v>117</v>
      </c>
      <c r="BV26" s="17" t="s">
        <v>330</v>
      </c>
      <c r="BW26" s="6">
        <f t="shared" si="173"/>
        <v>0.19221411192214111</v>
      </c>
      <c r="BX26" s="6">
        <f t="shared" si="162"/>
        <v>5.3527980535279802E-2</v>
      </c>
      <c r="BY26" s="6">
        <f t="shared" si="163"/>
        <v>2.6763990267639901E-2</v>
      </c>
      <c r="BZ26" s="6">
        <f t="shared" si="164"/>
        <v>1.2165450121654502E-2</v>
      </c>
      <c r="CA26" s="6">
        <f t="shared" si="165"/>
        <v>0.28467153284671531</v>
      </c>
      <c r="CB26" s="249">
        <f>COUNTIFS('ENCUESTA PROPIETARIOS'!$N$7:$N$417,"1",'ENCUESTA PROPIETARIOS'!$I$7:$I$417,"SECUNDARIA")</f>
        <v>79</v>
      </c>
      <c r="CC26" s="249">
        <f>COUNTIFS('ENCUESTA PROPIETARIOS'!$N$7:$N$417,"2",'ENCUESTA PROPIETARIOS'!$I$7:$I$417,"SECUNDARIA")</f>
        <v>22</v>
      </c>
      <c r="CD26" s="249">
        <f>COUNTIFS('ENCUESTA PROPIETARIOS'!$N$7:$N$417,"3",'ENCUESTA PROPIETARIOS'!$I$7:$I$417,"SECUNDARIA")+COUNTIFS('ENCUESTA PROPIETARIOS'!$N$7:$N$417,"4",'ENCUESTA PROPIETARIOS'!$I$7:$I$417,"SECUNDARIA")+COUNTIFS('ENCUESTA PROPIETARIOS'!$N$7:$N$417,"5",'ENCUESTA PROPIETARIOS'!$I$7:$I$417,"SECUNDARIA")</f>
        <v>11</v>
      </c>
      <c r="CE26" s="249">
        <f>COUNTIFS('ENCUESTA PROPIETARIOS'!$N$7:$N$417,"&gt;5",'ENCUESTA PROPIETARIOS'!$I$7:$I$417,"SECUNDARIA")</f>
        <v>5</v>
      </c>
      <c r="CF26" s="249">
        <f t="shared" si="174"/>
        <v>117</v>
      </c>
      <c r="CH26" s="17" t="s">
        <v>346</v>
      </c>
      <c r="CI26" s="6">
        <f t="shared" si="166"/>
        <v>3.4146341463414637E-2</v>
      </c>
      <c r="CJ26" s="6">
        <f t="shared" si="145"/>
        <v>5.1219512195121948E-2</v>
      </c>
      <c r="CK26" s="6">
        <f t="shared" si="146"/>
        <v>6.097560975609756E-2</v>
      </c>
      <c r="CL26" s="6">
        <f t="shared" si="147"/>
        <v>3.1707317073170732E-2</v>
      </c>
      <c r="CM26" s="6">
        <f t="shared" si="148"/>
        <v>0.17804878048780487</v>
      </c>
      <c r="CN26" s="249">
        <f>COUNTIFS('ENCUESTA PROPIETARIOS'!$BA$7:$BA$417,"SEGURIDAD",'ENCUESTA PROPIETARIOS'!$N$7:$N$417,"1")</f>
        <v>14</v>
      </c>
      <c r="CO26" s="249">
        <f>COUNTIFS('ENCUESTA PROPIETARIOS'!$BA$7:$BA$417,"SEGURIDAD",'ENCUESTA PROPIETARIOS'!$N$7:$N$417,"2")</f>
        <v>21</v>
      </c>
      <c r="CP26" s="249">
        <f>COUNTIFS('ENCUESTA PROPIETARIOS'!$BA$7:$BA$417,"SEGURIDAD",'ENCUESTA PROPIETARIOS'!$N$7:$N$417,"3")+COUNTIFS('ENCUESTA PROPIETARIOS'!$BA$7:$BA$417,"SEGURIDAD",'ENCUESTA PROPIETARIOS'!$N$7:$N$417,"4")+COUNTIFS('ENCUESTA PROPIETARIOS'!$BA$7:$BA$417,"SEGURIDAD",'ENCUESTA PROPIETARIOS'!$N$7:$N$417,"5")</f>
        <v>25</v>
      </c>
      <c r="CQ26" s="249">
        <f>COUNTIFS('ENCUESTA PROPIETARIOS'!$BA$7:$BA$417,"SEGURIDAD",'ENCUESTA PROPIETARIOS'!$N$7:$N$417,"&gt;5")</f>
        <v>13</v>
      </c>
      <c r="CR26" s="249">
        <f t="shared" si="167"/>
        <v>73</v>
      </c>
      <c r="CT26" s="17" t="s">
        <v>2608</v>
      </c>
      <c r="CU26" s="6">
        <f t="shared" si="168"/>
        <v>0.11392405063291139</v>
      </c>
      <c r="CV26" s="249">
        <f t="shared" si="149"/>
        <v>18</v>
      </c>
      <c r="DF26" s="17" t="s">
        <v>1662</v>
      </c>
      <c r="DG26" s="6">
        <f t="shared" si="169"/>
        <v>1</v>
      </c>
      <c r="DH26" s="6">
        <f t="shared" si="150"/>
        <v>1</v>
      </c>
      <c r="DI26" s="6">
        <f t="shared" si="151"/>
        <v>1</v>
      </c>
      <c r="DJ26" s="6">
        <f t="shared" si="152"/>
        <v>1</v>
      </c>
      <c r="DK26" s="6">
        <f t="shared" si="153"/>
        <v>1</v>
      </c>
      <c r="DL26" s="249">
        <f>SUM(DL23:DL25)</f>
        <v>209</v>
      </c>
      <c r="DM26" s="249">
        <f>SUM(DM23:DM25)</f>
        <v>160</v>
      </c>
      <c r="DN26" s="249">
        <f>SUM(DN23:DN25)</f>
        <v>323</v>
      </c>
      <c r="DO26" s="249">
        <f>SUM(DO23:DO25)</f>
        <v>288</v>
      </c>
      <c r="DP26" s="249">
        <f>SUM(DP23:DP25)</f>
        <v>980</v>
      </c>
      <c r="EB26" s="249">
        <f>SUM(EB22:EB24)</f>
        <v>158</v>
      </c>
      <c r="EV26" s="17" t="s">
        <v>428</v>
      </c>
      <c r="EW26" s="6">
        <f t="shared" ref="EW26:EW31" si="181">+FB26/FB$31</f>
        <v>0.20588235294117646</v>
      </c>
      <c r="EX26" s="6">
        <f t="shared" si="176"/>
        <v>0.16</v>
      </c>
      <c r="EY26" s="6">
        <f t="shared" si="177"/>
        <v>0.19444444444444445</v>
      </c>
      <c r="EZ26" s="6">
        <f t="shared" si="178"/>
        <v>0.26923076923076922</v>
      </c>
      <c r="FA26" s="6">
        <f t="shared" si="179"/>
        <v>0.20661157024793389</v>
      </c>
      <c r="FB26" s="249">
        <f>COUNTIFS('ENCUESTA PROPIETARIOS'!$N$7:$N$417,"1",'ENCUESTA PROPIETARIOS'!$DR$7:$DR$417,"X",'ENCUESTA PROPIETARIOS'!$DW$7:$DW$417,"ES BUEN PROGRAMA")+COUNTIFS('ENCUESTA PROPIETARIOS'!$N$7:$N$417,"1",'ENCUESTA PROPIETARIOS'!$DR$7:$DR$417,"X",'ENCUESTA PROPIETARIOS'!$DW$7:$DW$417,"BUENO")</f>
        <v>7</v>
      </c>
      <c r="FC26" s="249">
        <f>COUNTIFS('ENCUESTA PROPIETARIOS'!$N$7:$N$417,"2",'ENCUESTA PROPIETARIOS'!$DR$7:$DR$417,"X",'ENCUESTA PROPIETARIOS'!$DW$7:$DW$417,"ES BUEN PROGRAMA")+COUNTIFS('ENCUESTA PROPIETARIOS'!$N$7:$N$417,"2",'ENCUESTA PROPIETARIOS'!$DR$7:$DR$417,"X",'ENCUESTA PROPIETARIOS'!$DW$7:$DW$417,"BUENO")</f>
        <v>4</v>
      </c>
      <c r="FD26" s="249">
        <f>COUNTIFS('ENCUESTA PROPIETARIOS'!$N$7:$N$417,"3",'ENCUESTA PROPIETARIOS'!$DR$7:$DR$417,"X",'ENCUESTA PROPIETARIOS'!$DW$7:$DW$417,"ES BUEN PROGRAMA")+COUNTIFS('ENCUESTA PROPIETARIOS'!$N$7:$N$417,"3",'ENCUESTA PROPIETARIOS'!$DR$7:$DR$417,"X",'ENCUESTA PROPIETARIOS'!$DW$7:$DW$417,"BUENO")+COUNTIFS('ENCUESTA PROPIETARIOS'!$N$7:$N$417,"4",'ENCUESTA PROPIETARIOS'!$DR$7:$DR$417,"X",'ENCUESTA PROPIETARIOS'!$DW$7:$DW$417,"ES BUEN PROGRAMA")+COUNTIFS('ENCUESTA PROPIETARIOS'!$N$7:$N$417,"4",'ENCUESTA PROPIETARIOS'!$DR$7:$DR$417,"X",'ENCUESTA PROPIETARIOS'!$DW$7:$DW$417,"BUENO")+COUNTIFS('ENCUESTA PROPIETARIOS'!$N$7:$N$417,"5",'ENCUESTA PROPIETARIOS'!$DR$7:$DR$417,"X",'ENCUESTA PROPIETARIOS'!$DW$7:$DW$417,"ES BUEN PROGRAMA")+COUNTIFS('ENCUESTA PROPIETARIOS'!$N$7:$N$417,"5",'ENCUESTA PROPIETARIOS'!$DR$7:$DR$417,"X",'ENCUESTA PROPIETARIOS'!$DW$7:$DW$417,"BUENO")</f>
        <v>7</v>
      </c>
      <c r="FE26" s="249">
        <f>COUNTIFS('ENCUESTA PROPIETARIOS'!$N$7:$N$417,"&gt;5",'ENCUESTA PROPIETARIOS'!$DR$7:$DR$417,"X",'ENCUESTA PROPIETARIOS'!$DW$7:$DW$417,"ES BUEN PROGRAMA")+COUNTIFS('ENCUESTA PROPIETARIOS'!$N$7:$N$417,"&gt;5",'ENCUESTA PROPIETARIOS'!$DR$7:$DR$417,"X",'ENCUESTA PROPIETARIOS'!$DW$7:$DW$417,"BUENO")</f>
        <v>7</v>
      </c>
      <c r="FF26" s="249">
        <f t="shared" si="180"/>
        <v>25</v>
      </c>
      <c r="FN26" s="249" t="s">
        <v>351</v>
      </c>
      <c r="FY26" s="11" t="s">
        <v>1704</v>
      </c>
      <c r="FZ26" s="121">
        <f>+GA26/$GA$26</f>
        <v>1</v>
      </c>
      <c r="GA26" s="249">
        <f>SUM(GA18:GA24)</f>
        <v>337</v>
      </c>
      <c r="GB26" s="11">
        <f>SUM(GB18:GB24)</f>
        <v>1362</v>
      </c>
      <c r="GC26" s="249">
        <f>SUM(GC18:GC24)</f>
        <v>337</v>
      </c>
      <c r="GE26" s="11" t="s">
        <v>2722</v>
      </c>
      <c r="GK26" s="11"/>
    </row>
    <row r="27" spans="1:195" x14ac:dyDescent="0.25">
      <c r="A27" s="17" t="s">
        <v>2499</v>
      </c>
      <c r="N27" s="7"/>
      <c r="O27" s="252"/>
      <c r="P27" s="252"/>
      <c r="Q27" s="252"/>
      <c r="R27" s="252"/>
      <c r="S27" s="253"/>
      <c r="T27" s="253"/>
      <c r="U27" s="253"/>
      <c r="V27" s="161"/>
      <c r="X27" s="19" t="s">
        <v>2510</v>
      </c>
      <c r="Y27" s="6">
        <f t="shared" si="138"/>
        <v>7.5555555555555556E-2</v>
      </c>
      <c r="Z27" s="9">
        <f>COUNTIFS('DETALLES UNIDADES'!$S$8:$S$987,"D",'DETALLES UNIDADES'!$U$8:$U$987,"&gt;4.0")</f>
        <v>68</v>
      </c>
      <c r="AK27" s="11" t="s">
        <v>2535</v>
      </c>
      <c r="AL27" s="6">
        <f t="shared" ref="AL27:AL33" si="182">+AM27/$AM$33</f>
        <v>3.5714285714285712E-2</v>
      </c>
      <c r="AM27" s="249">
        <f t="shared" ref="AM27:AM33" si="183">+AR4</f>
        <v>7</v>
      </c>
      <c r="BD27" s="112" t="s">
        <v>1712</v>
      </c>
      <c r="BE27" s="6">
        <f>+BF27/$BF$34</f>
        <v>4.0816326530612242E-2</v>
      </c>
      <c r="BF27" s="138">
        <f>+BN4</f>
        <v>2</v>
      </c>
      <c r="BT27" s="17" t="s">
        <v>2597</v>
      </c>
      <c r="BU27" s="249">
        <f t="shared" si="172"/>
        <v>110</v>
      </c>
      <c r="BV27" s="17" t="s">
        <v>2597</v>
      </c>
      <c r="BW27" s="6">
        <f t="shared" si="173"/>
        <v>0.10462287104622871</v>
      </c>
      <c r="BX27" s="6">
        <f t="shared" si="162"/>
        <v>7.2992700729927001E-2</v>
      </c>
      <c r="BY27" s="6">
        <f t="shared" si="163"/>
        <v>6.8126520681265207E-2</v>
      </c>
      <c r="BZ27" s="6">
        <f t="shared" si="164"/>
        <v>2.1897810218978103E-2</v>
      </c>
      <c r="CA27" s="6">
        <f t="shared" si="165"/>
        <v>0.26763990267639903</v>
      </c>
      <c r="CB27" s="249">
        <f>COUNTIFS('ENCUESTA PROPIETARIOS'!$N$7:$N$417,"1",'ENCUESTA PROPIETARIOS'!$I$7:$I$417,"PREPARATORIA")+COUNTIFS('ENCUESTA PROPIETARIOS'!$N$7:$N$417,"1",'ENCUESTA PROPIETARIOS'!$I$7:$I$417,"BACHILLERATO")</f>
        <v>43</v>
      </c>
      <c r="CC27" s="249">
        <f>COUNTIFS('ENCUESTA PROPIETARIOS'!$N$7:$N$417,"2",'ENCUESTA PROPIETARIOS'!$I$7:$I$417,"PREPARATORIA")+COUNTIFS('ENCUESTA PROPIETARIOS'!$N$7:$N$417,"2",'ENCUESTA PROPIETARIOS'!$I$7:$I$417,"BACHILLERATO")</f>
        <v>30</v>
      </c>
      <c r="CD27" s="249">
        <f>COUNTIFS('ENCUESTA PROPIETARIOS'!$N$7:$N$417,"3",'ENCUESTA PROPIETARIOS'!$I$7:$I$417,"PREPARATORIA")+COUNTIFS('ENCUESTA PROPIETARIOS'!$N$7:$N$417,"4",'ENCUESTA PROPIETARIOS'!$I$7:$I$417,"PREPARATORIA")+COUNTIFS('ENCUESTA PROPIETARIOS'!$N$7:$N$417,"5",'ENCUESTA PROPIETARIOS'!$I$7:$I$417,"PREPARATORIA")+COUNTIFS('ENCUESTA PROPIETARIOS'!$N$7:$N$417,"3",'ENCUESTA PROPIETARIOS'!$I$7:$I$417,"BACHILLERATO")+COUNTIFS('ENCUESTA PROPIETARIOS'!$N$7:$N$417,"4",'ENCUESTA PROPIETARIOS'!$I$7:$I$417,"BACHILLERATO")+COUNTIFS('ENCUESTA PROPIETARIOS'!$N$7:$N$417,"5",'ENCUESTA PROPIETARIOS'!$I$7:$I$417,"BACHILLERATO")</f>
        <v>28</v>
      </c>
      <c r="CE27" s="249">
        <f>COUNTIFS('ENCUESTA PROPIETARIOS'!$N$7:$N$417,"&gt;5",'ENCUESTA PROPIETARIOS'!$I$7:$I$417,"PREPARATORIA")+COUNTIFS('ENCUESTA PROPIETARIOS'!$N$7:$N$417,"&gt;5",'ENCUESTA PROPIETARIOS'!$I$7:$I$417,"BACHILLERATO")</f>
        <v>9</v>
      </c>
      <c r="CF27" s="249">
        <f t="shared" si="174"/>
        <v>110</v>
      </c>
      <c r="CH27" s="17" t="s">
        <v>1662</v>
      </c>
      <c r="CI27" s="6">
        <f t="shared" si="166"/>
        <v>0.49268292682926829</v>
      </c>
      <c r="CJ27" s="6">
        <f t="shared" si="145"/>
        <v>0.20487804878048779</v>
      </c>
      <c r="CK27" s="6">
        <f t="shared" si="146"/>
        <v>0.21951219512195122</v>
      </c>
      <c r="CL27" s="6">
        <f t="shared" si="147"/>
        <v>8.2926829268292687E-2</v>
      </c>
      <c r="CM27" s="6">
        <f t="shared" si="148"/>
        <v>1</v>
      </c>
      <c r="CN27" s="249">
        <f>SUM(CN23:CN26)</f>
        <v>202</v>
      </c>
      <c r="CO27" s="249">
        <f t="shared" ref="CO27" si="184">SUM(CO23:CO26)</f>
        <v>84</v>
      </c>
      <c r="CP27" s="249">
        <f t="shared" ref="CP27" si="185">SUM(CP23:CP26)</f>
        <v>90</v>
      </c>
      <c r="CQ27" s="249">
        <f t="shared" ref="CQ27" si="186">SUM(CQ23:CQ26)</f>
        <v>34</v>
      </c>
      <c r="CR27" s="249">
        <f t="shared" si="167"/>
        <v>410</v>
      </c>
      <c r="CT27" s="17" t="s">
        <v>2609</v>
      </c>
      <c r="CU27" s="6">
        <f t="shared" si="168"/>
        <v>0.11392405063291139</v>
      </c>
      <c r="CV27" s="249">
        <f t="shared" si="149"/>
        <v>18</v>
      </c>
      <c r="DP27" s="249">
        <f>SUM(DP23:DP25)</f>
        <v>980</v>
      </c>
      <c r="DR27" s="17" t="s">
        <v>2650</v>
      </c>
      <c r="ED27" s="17" t="s">
        <v>2667</v>
      </c>
      <c r="EV27" s="17" t="s">
        <v>457</v>
      </c>
      <c r="EW27" s="6">
        <f t="shared" si="181"/>
        <v>5.8823529411764705E-2</v>
      </c>
      <c r="EX27" s="6">
        <f t="shared" si="176"/>
        <v>0.12</v>
      </c>
      <c r="EY27" s="6">
        <f t="shared" si="177"/>
        <v>5.5555555555555552E-2</v>
      </c>
      <c r="EZ27" s="6">
        <f t="shared" si="178"/>
        <v>0.23076923076923078</v>
      </c>
      <c r="FA27" s="6">
        <f t="shared" si="179"/>
        <v>0.10743801652892562</v>
      </c>
      <c r="FB27" s="249">
        <f>COUNTIFS('ENCUESTA PROPIETARIOS'!$N$7:$N$417,"1",'ENCUESTA PROPIETARIOS'!$DR$7:$DR$417,"X",'ENCUESTA PROPIETARIOS'!$DW$7:$DW$417,"NO ES BUENO")+COUNTIFS('ENCUESTA PROPIETARIOS'!$N$7:$N$417,"1",'ENCUESTA PROPIETARIOS'!$DR$7:$DR$417,"X",'ENCUESTA PROPIETARIOS'!$DW$7:$DW$417,"NO SIRVE")</f>
        <v>2</v>
      </c>
      <c r="FC27" s="249">
        <f>COUNTIFS('ENCUESTA PROPIETARIOS'!$N$7:$N$417,"2",'ENCUESTA PROPIETARIOS'!$DR$7:$DR$417,"X",'ENCUESTA PROPIETARIOS'!$DW$7:$DW$417,"NO ES BUENO")+COUNTIFS('ENCUESTA PROPIETARIOS'!$N$7:$N$417,"2",'ENCUESTA PROPIETARIOS'!$DR$7:$DR$417,"X",'ENCUESTA PROPIETARIOS'!$DW$7:$DW$417,"NO SIRVE")</f>
        <v>3</v>
      </c>
      <c r="FD27" s="249">
        <f>COUNTIFS('ENCUESTA PROPIETARIOS'!$N$7:$N$417,"3",'ENCUESTA PROPIETARIOS'!$DR$7:$DR$417,"X",'ENCUESTA PROPIETARIOS'!$DW$7:$DW$417,"NO ES BUENO")+COUNTIFS('ENCUESTA PROPIETARIOS'!$N$7:$N$417,"3",'ENCUESTA PROPIETARIOS'!$DR$7:$DR$417,"X",'ENCUESTA PROPIETARIOS'!$DW$7:$DW$417,"NO SIRVE")+COUNTIFS('ENCUESTA PROPIETARIOS'!$N$7:$N$417,"4",'ENCUESTA PROPIETARIOS'!$DR$7:$DR$417,"X",'ENCUESTA PROPIETARIOS'!$DW$7:$DW$417,"NO ES BUENO")+COUNTIFS('ENCUESTA PROPIETARIOS'!$N$7:$N$417,"4",'ENCUESTA PROPIETARIOS'!$DR$7:$DR$417,"X",'ENCUESTA PROPIETARIOS'!$DW$7:$DW$417,"NO SIRVE")+COUNTIFS('ENCUESTA PROPIETARIOS'!$N$7:$N$417,"5",'ENCUESTA PROPIETARIOS'!$DR$7:$DR$417,"X",'ENCUESTA PROPIETARIOS'!$DW$7:$DW$417,"NO ES BUENO")+COUNTIFS('ENCUESTA PROPIETARIOS'!$N$7:$N$417,"5",'ENCUESTA PROPIETARIOS'!$DR$7:$DR$417,"X",'ENCUESTA PROPIETARIOS'!$DW$7:$DW$417,"NO SIRVE")</f>
        <v>2</v>
      </c>
      <c r="FE27" s="249">
        <f>COUNTIFS('ENCUESTA PROPIETARIOS'!$N$7:$N$417,"&gt;5",'ENCUESTA PROPIETARIOS'!$DR$7:$DR$417,"X",'ENCUESTA PROPIETARIOS'!$DW$7:$DW$417,"NO ES BUENO")+COUNTIFS('ENCUESTA PROPIETARIOS'!$N$7:$N$417,"&gt;5",'ENCUESTA PROPIETARIOS'!$DR$7:$DR$417,"X",'ENCUESTA PROPIETARIOS'!$DW$7:$DW$417,"NO SIRVE")</f>
        <v>6</v>
      </c>
      <c r="FF27" s="249">
        <f t="shared" si="180"/>
        <v>13</v>
      </c>
      <c r="FM27" s="11" t="s">
        <v>2534</v>
      </c>
      <c r="FN27" s="6">
        <f>+FO27/$FO$34</f>
        <v>0.23469387755102042</v>
      </c>
      <c r="FO27" s="249">
        <f>+FT4</f>
        <v>46</v>
      </c>
      <c r="GE27" s="11" t="s">
        <v>2374</v>
      </c>
      <c r="GF27" s="6">
        <f>+GG27/$GG$33</f>
        <v>0.18604651162790697</v>
      </c>
      <c r="GG27" s="249">
        <f>COUNTIFS('DETALLES UNIDADES'!$C$8:$C$987,"T2",'DETALLES UNIDADES'!$R$8:$R$987,"&lt;2500")</f>
        <v>8</v>
      </c>
      <c r="GK27" s="11"/>
      <c r="GL27" s="6"/>
      <c r="GM27" s="249"/>
    </row>
    <row r="28" spans="1:195" x14ac:dyDescent="0.25">
      <c r="D28" s="17" t="s">
        <v>1780</v>
      </c>
      <c r="N28" s="7"/>
      <c r="O28" s="252"/>
      <c r="P28" s="252"/>
      <c r="Q28" s="252"/>
      <c r="R28" s="252"/>
      <c r="S28" s="253"/>
      <c r="T28" s="253"/>
      <c r="U28" s="253"/>
      <c r="V28" s="161"/>
      <c r="X28" s="19" t="s">
        <v>715</v>
      </c>
      <c r="Y28" s="6">
        <f t="shared" si="138"/>
        <v>1</v>
      </c>
      <c r="Z28" s="9">
        <f>SUM(Z20:Z27)</f>
        <v>900</v>
      </c>
      <c r="AK28" s="11" t="s">
        <v>2536</v>
      </c>
      <c r="AL28" s="6">
        <f t="shared" si="182"/>
        <v>0.18367346938775511</v>
      </c>
      <c r="AM28" s="249">
        <f t="shared" si="183"/>
        <v>36</v>
      </c>
      <c r="BD28" s="112" t="s">
        <v>1716</v>
      </c>
      <c r="BE28" s="6">
        <f t="shared" ref="BE28:BE34" si="187">+BF28/$BF$34</f>
        <v>6.1224489795918366E-2</v>
      </c>
      <c r="BF28" s="138">
        <f t="shared" ref="BF28:BF34" si="188">+BN5</f>
        <v>3</v>
      </c>
      <c r="BT28" s="17" t="s">
        <v>399</v>
      </c>
      <c r="BU28" s="249">
        <f t="shared" si="172"/>
        <v>89</v>
      </c>
      <c r="BV28" s="17" t="s">
        <v>399</v>
      </c>
      <c r="BW28" s="6">
        <f t="shared" si="173"/>
        <v>3.8929440389294405E-2</v>
      </c>
      <c r="BX28" s="6">
        <f t="shared" si="162"/>
        <v>4.1362530413625302E-2</v>
      </c>
      <c r="BY28" s="6">
        <f t="shared" si="163"/>
        <v>9.7323600973236016E-2</v>
      </c>
      <c r="BZ28" s="6">
        <f t="shared" si="164"/>
        <v>3.8929440389294405E-2</v>
      </c>
      <c r="CA28" s="6">
        <f t="shared" si="165"/>
        <v>0.21654501216545013</v>
      </c>
      <c r="CB28" s="249">
        <f>COUNTIFS('ENCUESTA PROPIETARIOS'!$N$7:$N$417,"1",'ENCUESTA PROPIETARIOS'!$I$7:$I$417,"LICENCIATURA")+COUNTIFS('ENCUESTA PROPIETARIOS'!$N$7:$N$417,"1",'ENCUESTA PROPIETARIOS'!$I$7:$I$417,"INGENIERIA")</f>
        <v>16</v>
      </c>
      <c r="CC28" s="249">
        <f>COUNTIFS('ENCUESTA PROPIETARIOS'!$N$7:$N$417,"2",'ENCUESTA PROPIETARIOS'!$I$7:$I$417,"LICENCIATURA")+COUNTIFS('ENCUESTA PROPIETARIOS'!$N$7:$N$417,"2",'ENCUESTA PROPIETARIOS'!$I$7:$I$417,"INGENIERIA")</f>
        <v>17</v>
      </c>
      <c r="CD28" s="249">
        <f>COUNTIFS('ENCUESTA PROPIETARIOS'!$N$7:$N$417,"3",'ENCUESTA PROPIETARIOS'!$I$7:$I$417,"LICENCIATURA")+COUNTIFS('ENCUESTA PROPIETARIOS'!$N$7:$N$417,"4",'ENCUESTA PROPIETARIOS'!$I$7:$I$417,"LICENCIATURA")+COUNTIFS('ENCUESTA PROPIETARIOS'!$N$7:$N$417,"5",'ENCUESTA PROPIETARIOS'!$I$7:$I$417,"LICENCIATURA")+COUNTIFS('ENCUESTA PROPIETARIOS'!$N$7:$N$417,"3",'ENCUESTA PROPIETARIOS'!$I$7:$I$417,"INGENIERIA")+COUNTIFS('ENCUESTA PROPIETARIOS'!$N$7:$N$417,"4",'ENCUESTA PROPIETARIOS'!$I$7:$I$417,"INGENIERIA")+COUNTIFS('ENCUESTA PROPIETARIOS'!$N$7:$N$417,"5",'ENCUESTA PROPIETARIOS'!$I$7:$I$417,"INGENIERIA")</f>
        <v>40</v>
      </c>
      <c r="CE28" s="249">
        <f>COUNTIFS('ENCUESTA PROPIETARIOS'!$N$7:$N$417,"&gt;5",'ENCUESTA PROPIETARIOS'!$I$7:$I$417,"LICENCIATURA")+COUNTIFS('ENCUESTA PROPIETARIOS'!$N$7:$N$417,"&gt;5",'ENCUESTA PROPIETARIOS'!$I$7:$I$417,"INGENIERIA")</f>
        <v>16</v>
      </c>
      <c r="CF28" s="249">
        <f t="shared" si="174"/>
        <v>89</v>
      </c>
      <c r="CM28" s="249">
        <f>SUM(CM23:CM26)</f>
        <v>1</v>
      </c>
      <c r="CR28" s="249">
        <f>SUM(CR23:CR26)</f>
        <v>410</v>
      </c>
      <c r="CT28" s="17" t="s">
        <v>1662</v>
      </c>
      <c r="CU28" s="6">
        <f t="shared" si="168"/>
        <v>1</v>
      </c>
      <c r="CV28" s="249">
        <f t="shared" si="149"/>
        <v>158</v>
      </c>
      <c r="DS28" s="11" t="s">
        <v>2534</v>
      </c>
      <c r="DT28" s="11" t="s">
        <v>2535</v>
      </c>
      <c r="DU28" s="11" t="s">
        <v>2536</v>
      </c>
      <c r="DV28" s="11" t="s">
        <v>2537</v>
      </c>
      <c r="DW28" s="11" t="s">
        <v>2538</v>
      </c>
      <c r="DX28" s="11" t="s">
        <v>2539</v>
      </c>
      <c r="DY28" s="11" t="s">
        <v>2540</v>
      </c>
      <c r="EE28" s="11" t="s">
        <v>2534</v>
      </c>
      <c r="EF28" s="11" t="s">
        <v>2535</v>
      </c>
      <c r="EG28" s="11" t="s">
        <v>2536</v>
      </c>
      <c r="EH28" s="11" t="s">
        <v>2537</v>
      </c>
      <c r="EI28" s="11" t="s">
        <v>2538</v>
      </c>
      <c r="EJ28" s="11" t="s">
        <v>2539</v>
      </c>
      <c r="EK28" s="11" t="s">
        <v>2540</v>
      </c>
      <c r="EM28" s="11" t="s">
        <v>2534</v>
      </c>
      <c r="EN28" s="11" t="s">
        <v>2535</v>
      </c>
      <c r="EO28" s="11" t="s">
        <v>2536</v>
      </c>
      <c r="EP28" s="11" t="s">
        <v>2537</v>
      </c>
      <c r="EQ28" s="11" t="s">
        <v>2538</v>
      </c>
      <c r="ER28" s="11" t="s">
        <v>2539</v>
      </c>
      <c r="ES28" s="11" t="s">
        <v>2540</v>
      </c>
      <c r="EV28" s="11" t="s">
        <v>453</v>
      </c>
      <c r="EW28" s="6">
        <f t="shared" si="181"/>
        <v>2.9411764705882353E-2</v>
      </c>
      <c r="EX28" s="6">
        <f t="shared" si="176"/>
        <v>0.08</v>
      </c>
      <c r="EY28" s="6">
        <f t="shared" si="177"/>
        <v>5.5555555555555552E-2</v>
      </c>
      <c r="EZ28" s="6">
        <f t="shared" si="178"/>
        <v>3.8461538461538464E-2</v>
      </c>
      <c r="FA28" s="6">
        <f t="shared" si="179"/>
        <v>4.9586776859504134E-2</v>
      </c>
      <c r="FB28" s="249">
        <f>COUNTIFS('ENCUESTA PROPIETARIOS'!$N$7:$N$417,"1",'ENCUESTA PROPIETARIOS'!$DR$7:$DR$417,"X",'ENCUESTA PROPIETARIOS'!$DW$7:$DW$417,"DEBE MEJORAR")+COUNTIFS('ENCUESTA PROPIETARIOS'!$N$7:$N$417,"1",'ENCUESTA PROPIETARIOS'!$DR$7:$DR$417,"X",'ENCUESTA PROPIETARIOS'!$DW$7:$DW$417,"DEBERIA AMPLIARSE")+COUNTIFS('ENCUESTA PROPIETARIOS'!$N$7:$N$417,"1",'ENCUESTA PROPIETARIOS'!$DR$7:$DR$417,"X",'ENCUESTA PROPIETARIOS'!$DW$7:$DW$417,"NO FUNCIONA")+COUNTIFS('ENCUESTA PROPIETARIOS'!$N$7:$N$417,"1",'ENCUESTA PROPIETARIOS'!$DR$7:$DR$417,"X",'ENCUESTA PROPIETARIOS'!$DW$7:$DW$417,"DAR EN ESPECIE Y NO UN PAPEL")+COUNTIFS('ENCUESTA PROPIETARIOS'!$N$7:$N$417,"1",'ENCUESTA PROPIETARIOS'!$DR$7:$DR$417,"X",'ENCUESTA PROPIETARIOS'!$DW$7:$DW$417,"LAS UNIDADES ESTAN MUY CARAS")+COUNTIFS('ENCUESTA PROPIETARIOS'!$N$7:$N$417,"1",'ENCUESTA PROPIETARIOS'!$DR$7:$DR$417,"X",'ENCUESTA PROPIETARIOS'!$DW$7:$DW$417,"TENDRIA QUE SER OBLIGATORIO PARA TODOS")</f>
        <v>1</v>
      </c>
      <c r="FC28" s="249">
        <f>COUNTIFS('ENCUESTA PROPIETARIOS'!$N$7:$N$417,"2",'ENCUESTA PROPIETARIOS'!$DR$7:$DR$417,"X",'ENCUESTA PROPIETARIOS'!$DW$7:$DW$417,"DEBE MEJORAR")+COUNTIFS('ENCUESTA PROPIETARIOS'!$N$7:$N$417,"2",'ENCUESTA PROPIETARIOS'!$DR$7:$DR$417,"X",'ENCUESTA PROPIETARIOS'!$DW$7:$DW$417,"DEBERIA AMPLIARSE")+COUNTIFS('ENCUESTA PROPIETARIOS'!$N$7:$N$417,"2",'ENCUESTA PROPIETARIOS'!$DR$7:$DR$417,"X",'ENCUESTA PROPIETARIOS'!$DW$7:$DW$417,"NO FUNCIONA")+COUNTIFS('ENCUESTA PROPIETARIOS'!$N$7:$N$417,"2",'ENCUESTA PROPIETARIOS'!$DR$7:$DR$417,"X",'ENCUESTA PROPIETARIOS'!$DW$7:$DW$417,"DAR EN ESPECIE Y NO UN PAPEL")+COUNTIFS('ENCUESTA PROPIETARIOS'!$N$7:$N$417,"2",'ENCUESTA PROPIETARIOS'!$DR$7:$DR$417,"X",'ENCUESTA PROPIETARIOS'!$DW$7:$DW$417,"LAS UNIDADES ESTAN MUY CARAS")+COUNTIFS('ENCUESTA PROPIETARIOS'!$N$7:$N$417,"2",'ENCUESTA PROPIETARIOS'!$DR$7:$DR$417,"X",'ENCUESTA PROPIETARIOS'!$DW$7:$DW$417,"TENDRIA QUE SER OBLIGATORIO PARA TODOS")</f>
        <v>2</v>
      </c>
      <c r="FD28" s="249">
        <f>COUNTIFS('ENCUESTA PROPIETARIOS'!$N$7:$N$417,"3",'ENCUESTA PROPIETARIOS'!$DR$7:$DR$417,"X",'ENCUESTA PROPIETARIOS'!$DW$7:$DW$417,"DEBE MEJORAR")+COUNTIFS('ENCUESTA PROPIETARIOS'!$N$7:$N$417,"3",'ENCUESTA PROPIETARIOS'!$DR$7:$DR$417,"X",'ENCUESTA PROPIETARIOS'!$DW$7:$DW$417,"DEBERIA AMPLIARSE")+COUNTIFS('ENCUESTA PROPIETARIOS'!$N$7:$N$417,"4",'ENCUESTA PROPIETARIOS'!$DR$7:$DR$417,"X",'ENCUESTA PROPIETARIOS'!$DW$7:$DW$417,"DEBE MEJORAR")+COUNTIFS('ENCUESTA PROPIETARIOS'!$N$7:$N$417,"4",'ENCUESTA PROPIETARIOS'!$DR$7:$DR$417,"X",'ENCUESTA PROPIETARIOS'!$DW$7:$DW$417,"DEBERIA AMPLIARSE")+COUNTIFS('ENCUESTA PROPIETARIOS'!$N$7:$N$417,"5",'ENCUESTA PROPIETARIOS'!$DR$7:$DR$417,"X",'ENCUESTA PROPIETARIOS'!$DW$7:$DW$417,"DEBE MEJORAR")+COUNTIFS('ENCUESTA PROPIETARIOS'!$N$7:$N$417,"5",'ENCUESTA PROPIETARIOS'!$DR$7:$DR$417,"X",'ENCUESTA PROPIETARIOS'!$DW$7:$DW$417,"DEBERIA AMPLIARSE")+COUNTIFS('ENCUESTA PROPIETARIOS'!$N$7:$N$417,"3",'ENCUESTA PROPIETARIOS'!$DR$7:$DR$417,"X",'ENCUESTA PROPIETARIOS'!$DW$7:$DW$417,"NO FUNCIONA")+COUNTIFS('ENCUESTA PROPIETARIOS'!$N$7:$N$417,"4",'ENCUESTA PROPIETARIOS'!$DR$7:$DR$417,"X",'ENCUESTA PROPIETARIOS'!$DW$7:$DW$417,"NO FUNCIONA")+COUNTIFS('ENCUESTA PROPIETARIOS'!$N$7:$N$417,"5",'ENCUESTA PROPIETARIOS'!$DR$7:$DR$417,"X",'ENCUESTA PROPIETARIOS'!$DW$7:$DW$417,"NO FUNCIONA")+COUNTIFS('ENCUESTA PROPIETARIOS'!$N$7:$N$417,"3",'ENCUESTA PROPIETARIOS'!$DR$7:$DR$417,"X",'ENCUESTA PROPIETARIOS'!$DW$7:$DW$417,"DAR EN ESPECIE Y NO UN PAPEL")+COUNTIFS('ENCUESTA PROPIETARIOS'!$N$7:$N$417,"4",'ENCUESTA PROPIETARIOS'!$DR$7:$DR$417,"X",'ENCUESTA PROPIETARIOS'!$DW$7:$DW$417,"DAR EN ESPECIE Y NO UN PAPEL")+COUNTIFS('ENCUESTA PROPIETARIOS'!$N$7:$N$417,"5",'ENCUESTA PROPIETARIOS'!$DR$7:$DR$417,"X",'ENCUESTA PROPIETARIOS'!$DW$7:$DW$417,"DAR EN ESPECIE Y NO UN PAPEL")+COUNTIFS('ENCUESTA PROPIETARIOS'!$N$7:$N$417,"3",'ENCUESTA PROPIETARIOS'!$DR$7:$DR$417,"X",'ENCUESTA PROPIETARIOS'!$DW$7:$DW$417,"LAS UNIDADES ESTAN MUY CARAS")+COUNTIFS('ENCUESTA PROPIETARIOS'!$N$7:$N$417,"4",'ENCUESTA PROPIETARIOS'!$DR$7:$DR$417,"X",'ENCUESTA PROPIETARIOS'!$DW$7:$DW$417,"LAS UNIDADES ESTAN MUY CARAS")+COUNTIFS('ENCUESTA PROPIETARIOS'!$N$7:$N$417,"5",'ENCUESTA PROPIETARIOS'!$DR$7:$DR$417,"X",'ENCUESTA PROPIETARIOS'!$DW$7:$DW$417,"LAS UNIDADES ESTAN MUY CARAS")+COUNTIFS('ENCUESTA PROPIETARIOS'!$N$7:$N$417,"3",'ENCUESTA PROPIETARIOS'!$DR$7:$DR$417,"X",'ENCUESTA PROPIETARIOS'!$DW$7:$DW$417,"TENDRIA QUE SER OBLIGATORIO PARA TODOS")+COUNTIFS('ENCUESTA PROPIETARIOS'!$N$7:$N$417,"4",'ENCUESTA PROPIETARIOS'!$DR$7:$DR$417,"X",'ENCUESTA PROPIETARIOS'!$DW$7:$DW$417,"TENDRIA QUE SER OBLIGATORIO PARA TODOS")+COUNTIFS('ENCUESTA PROPIETARIOS'!$N$7:$N$417,"5",'ENCUESTA PROPIETARIOS'!$DR$7:$DR$417,"X",'ENCUESTA PROPIETARIOS'!$DW$7:$DW$417,"TENDRIA QUE SER OBLIGATORIO PARA TODOS")</f>
        <v>2</v>
      </c>
      <c r="FE28" s="249">
        <f>COUNTIFS('ENCUESTA PROPIETARIOS'!$N$7:$N$417,"&gt;5",'ENCUESTA PROPIETARIOS'!$DR$7:$DR$417,"X",'ENCUESTA PROPIETARIOS'!$DW$7:$DW$417,"DEBE MEJORAR")+COUNTIFS('ENCUESTA PROPIETARIOS'!$N$7:$N$417,"&gt;5",'ENCUESTA PROPIETARIOS'!$DR$7:$DR$417,"X",'ENCUESTA PROPIETARIOS'!$DW$7:$DW$417,"DEBERIA AMPLIARSE")+COUNTIFS('ENCUESTA PROPIETARIOS'!$N$7:$N$417,"&gt;5",'ENCUESTA PROPIETARIOS'!$DR$7:$DR$417,"X",'ENCUESTA PROPIETARIOS'!$DW$7:$DW$417,"NO FUNCIONA")+COUNTIFS('ENCUESTA PROPIETARIOS'!$N$7:$N$417,"&gt;5",'ENCUESTA PROPIETARIOS'!$DR$7:$DR$417,"X",'ENCUESTA PROPIETARIOS'!$DW$7:$DW$417,"DAR EN ESPECIE Y NO UN PAPEL")+COUNTIFS('ENCUESTA PROPIETARIOS'!$N$7:$N$417,"&gt;5",'ENCUESTA PROPIETARIOS'!$DR$7:$DR$417,"X",'ENCUESTA PROPIETARIOS'!$DW$7:$DW$417,"LAS UNIDADES ESTAN MUY CARAS")+COUNTIFS('ENCUESTA PROPIETARIOS'!$N$7:$N$417,"&gt;5",'ENCUESTA PROPIETARIOS'!$DR$7:$DR$417,"X",'ENCUESTA PROPIETARIOS'!$DW$7:$DW$417,"TENDRIA QUE SER OBLIGATORIO PARA TODOS")</f>
        <v>1</v>
      </c>
      <c r="FF28" s="249">
        <f t="shared" si="180"/>
        <v>6</v>
      </c>
      <c r="FM28" s="11" t="s">
        <v>2535</v>
      </c>
      <c r="FN28" s="6">
        <f t="shared" ref="FN28:FN34" si="189">+FO28/$FO$34</f>
        <v>3.5714285714285712E-2</v>
      </c>
      <c r="FO28" s="249">
        <f t="shared" ref="FO28:FO34" si="190">+FT5</f>
        <v>7</v>
      </c>
      <c r="GE28" s="11" t="s">
        <v>2375</v>
      </c>
      <c r="GF28" s="6">
        <f t="shared" ref="GF28:GF33" si="191">+GG28/$GG$33</f>
        <v>0.72093023255813948</v>
      </c>
      <c r="GG28" s="249">
        <f>COUNTIFS('DETALLES UNIDADES'!$C$8:$C$987,"T2",'DETALLES UNIDADES'!$R$8:$R$987,"&lt;5001")-GG27</f>
        <v>31</v>
      </c>
      <c r="GK28" s="11"/>
      <c r="GL28" s="6"/>
      <c r="GM28" s="249"/>
    </row>
    <row r="29" spans="1:195" x14ac:dyDescent="0.25">
      <c r="B29" s="249" t="s">
        <v>348</v>
      </c>
      <c r="C29" s="189">
        <f>+D29/$D$33</f>
        <v>0.21362229102167182</v>
      </c>
      <c r="D29" s="249">
        <f>+J5</f>
        <v>69</v>
      </c>
      <c r="N29" s="249"/>
      <c r="X29" s="11"/>
      <c r="Z29" s="9"/>
      <c r="AK29" s="11" t="s">
        <v>2537</v>
      </c>
      <c r="AL29" s="6">
        <f t="shared" si="182"/>
        <v>0.23469387755102042</v>
      </c>
      <c r="AM29" s="249">
        <f t="shared" si="183"/>
        <v>46</v>
      </c>
      <c r="BD29" s="112" t="s">
        <v>1713</v>
      </c>
      <c r="BE29" s="6">
        <f t="shared" si="187"/>
        <v>0.34693877551020408</v>
      </c>
      <c r="BF29" s="138">
        <f t="shared" si="188"/>
        <v>17</v>
      </c>
      <c r="BT29" s="17" t="s">
        <v>711</v>
      </c>
      <c r="BU29" s="249">
        <f t="shared" si="172"/>
        <v>5</v>
      </c>
      <c r="BV29" s="17" t="s">
        <v>711</v>
      </c>
      <c r="BW29" s="6">
        <f t="shared" si="173"/>
        <v>4.8661800486618006E-3</v>
      </c>
      <c r="BX29" s="6">
        <f t="shared" si="162"/>
        <v>0</v>
      </c>
      <c r="BY29" s="6">
        <f t="shared" si="163"/>
        <v>2.4330900243309003E-3</v>
      </c>
      <c r="BZ29" s="6">
        <f t="shared" si="164"/>
        <v>4.8661800486618006E-3</v>
      </c>
      <c r="CA29" s="6">
        <f t="shared" si="165"/>
        <v>1.2165450121654502E-2</v>
      </c>
      <c r="CB29" s="249">
        <f>COUNTIFS('ENCUESTA PROPIETARIOS'!$N$7:$N$417,"1",'ENCUESTA PROPIETARIOS'!$I$7:$I$417,"POSGRADO")+COUNTIFS('ENCUESTA PROPIETARIOS'!$N$7:$N$417,"1",'ENCUESTA PROPIETARIOS'!$I$7:$I$417,"MAESTRIA")+COUNTIFS('ENCUESTA PROPIETARIOS'!$N$7:$N$417,"1",'ENCUESTA PROPIETARIOS'!$I$7:$I$417,"TECNICA")</f>
        <v>2</v>
      </c>
      <c r="CC29" s="249">
        <f>COUNTIFS('ENCUESTA PROPIETARIOS'!$N$7:$N$417,"2",'ENCUESTA PROPIETARIOS'!$I$7:$I$417,"POSGRADO")+COUNTIFS('ENCUESTA PROPIETARIOS'!$N$7:$N$417,"2",'ENCUESTA PROPIETARIOS'!$I$7:$I$417,"MAESTRIA")+COUNTIFS('ENCUESTA PROPIETARIOS'!$N$7:$N$417,"2",'ENCUESTA PROPIETARIOS'!$I$7:$I$417,"TECNICA")</f>
        <v>0</v>
      </c>
      <c r="CD29" s="249">
        <f>COUNTIFS('ENCUESTA PROPIETARIOS'!$N$7:$N$417,"3",'ENCUESTA PROPIETARIOS'!$I$7:$I$417,"POSGRADO")+COUNTIFS('ENCUESTA PROPIETARIOS'!$N$7:$N$417,"4",'ENCUESTA PROPIETARIOS'!$I$7:$I$417,"POSGRADO")+COUNTIFS('ENCUESTA PROPIETARIOS'!$N$7:$N$417,"5",'ENCUESTA PROPIETARIOS'!$I$7:$I$417,"POSGRADO")+COUNTIFS('ENCUESTA PROPIETARIOS'!$N$7:$N$417,"3",'ENCUESTA PROPIETARIOS'!$I$7:$I$417,"MAESTRIA")+COUNTIFS('ENCUESTA PROPIETARIOS'!$N$7:$N$417,"4",'ENCUESTA PROPIETARIOS'!$I$7:$I$417,"MAESTRIA")+COUNTIFS('ENCUESTA PROPIETARIOS'!$N$7:$N$417,"5",'ENCUESTA PROPIETARIOS'!$I$7:$I$417,"MAESTRIA")+COUNTIFS('ENCUESTA PROPIETARIOS'!$N$7:$N$417,"3",'ENCUESTA PROPIETARIOS'!$I$7:$I$417,"TECNICA")+COUNTIFS('ENCUESTA PROPIETARIOS'!$N$7:$N$417,"4",'ENCUESTA PROPIETARIOS'!$I$7:$I$417,"TECNICA")+COUNTIFS('ENCUESTA PROPIETARIOS'!$N$7:$N$417,"5",'ENCUESTA PROPIETARIOS'!$I$7:$I$417,"TECNICA")</f>
        <v>1</v>
      </c>
      <c r="CE29" s="249">
        <f>COUNTIFS('ENCUESTA PROPIETARIOS'!$N$7:$N$417,"&gt;5",'ENCUESTA PROPIETARIOS'!$I$7:$I$417,"POSGRADO")+COUNTIFS('ENCUESTA PROPIETARIOS'!$N$7:$N$417,"&gt;5",'ENCUESTA PROPIETARIOS'!$I$7:$I$417,"MAESTRIA")+COUNTIFS('ENCUESTA PROPIETARIOS'!$N$7:$N$417,"&gt;5",'ENCUESTA PROPIETARIOS'!$I$7:$I$417,"TECNICA")</f>
        <v>2</v>
      </c>
      <c r="CF29" s="249">
        <f t="shared" si="174"/>
        <v>5</v>
      </c>
      <c r="DF29" s="17" t="s">
        <v>2625</v>
      </c>
      <c r="DR29" s="17" t="s">
        <v>2651</v>
      </c>
      <c r="DS29" s="249">
        <f>COUNTIFS('DETALLES UNIDADES'!$D$8:$D$987,"&lt;1991",'DETALLES UNIDADES'!$AD$8:$AD$987,"X")</f>
        <v>39</v>
      </c>
      <c r="DT29" s="249">
        <f>COUNTIFS('DETALLES UNIDADES'!$D$8:$D$987,"&lt;1994",'DETALLES UNIDADES'!$AD$8:$AD$987,"X")-DS29</f>
        <v>15</v>
      </c>
      <c r="DU29" s="249">
        <f>COUNTIFS('DETALLES UNIDADES'!$D$8:$D$987,"&lt;1998",'DETALLES UNIDADES'!$AD$8:$AD$987,"X")-DT29-DS29</f>
        <v>46</v>
      </c>
      <c r="DV29" s="249">
        <f>COUNTIFS('DETALLES UNIDADES'!$D$8:$D$987,"&lt;2004",'DETALLES UNIDADES'!$AD$8:$AD$987,"X")-DU29-DT29-DS29</f>
        <v>139</v>
      </c>
      <c r="DW29" s="249">
        <f>COUNTIFS('DETALLES UNIDADES'!$D$8:$D$987,"&lt;2007",'DETALLES UNIDADES'!$AD$8:$AD$987,"X")-DV29-DU29-DT29-DS29</f>
        <v>91</v>
      </c>
      <c r="DX29" s="249">
        <f>COUNTIFS('DETALLES UNIDADES'!$D$8:$D$987,"&lt;2011",'DETALLES UNIDADES'!$AD$8:$AD$987,"X")-DW29-DV29-DU29-DT29-DS29</f>
        <v>162</v>
      </c>
      <c r="DY29" s="249">
        <f>COUNTIFS('DETALLES UNIDADES'!$D$8:$D$987,"&gt;2010",'DETALLES UNIDADES'!$AD$8:$AD$987,"X")</f>
        <v>77</v>
      </c>
      <c r="DZ29" s="249">
        <f t="shared" ref="DZ29:DZ35" si="192">SUM(DS29:DY29)</f>
        <v>569</v>
      </c>
      <c r="ED29" s="11" t="s">
        <v>2658</v>
      </c>
      <c r="EE29" s="6">
        <f>+EM29/EM$36</f>
        <v>0.15384615384615385</v>
      </c>
      <c r="EF29" s="6">
        <f t="shared" ref="EF29:EF36" si="193">+EN29/EN$36</f>
        <v>0.1276595744680851</v>
      </c>
      <c r="EG29" s="6">
        <f t="shared" ref="EG29:EG36" si="194">+EO29/EO$36</f>
        <v>5.7142857142857141E-2</v>
      </c>
      <c r="EH29" s="6">
        <f t="shared" ref="EH29:EH36" si="195">+EP29/EP$36</f>
        <v>5.3497942386831275E-2</v>
      </c>
      <c r="EI29" s="6">
        <f t="shared" ref="EI29:EI36" si="196">+EQ29/EQ$36</f>
        <v>0.1095890410958904</v>
      </c>
      <c r="EJ29" s="6">
        <f t="shared" ref="EJ29:EJ36" si="197">+ER29/ER$36</f>
        <v>6.6964285714285712E-2</v>
      </c>
      <c r="EK29" s="6">
        <f t="shared" ref="EK29:EK36" si="198">+ES29/ES$36</f>
        <v>7.0000000000000007E-2</v>
      </c>
      <c r="EL29" s="6">
        <f t="shared" ref="EL29:EL36" si="199">+ET29/ET$36</f>
        <v>8.1527347781217757E-2</v>
      </c>
      <c r="EM29" s="249">
        <f>COUNTIFS('DETALLES UNIDADES'!$BC$8:$BC$987,"&lt;1991",'DETALLES UNIDADES'!$AP$8:$AP$987,"&lt;10000")</f>
        <v>16</v>
      </c>
      <c r="EN29" s="249">
        <f>COUNTIFS('DETALLES UNIDADES'!$BC$8:$BC$987,"&lt;1994",'DETALLES UNIDADES'!$AP$8:$AP$987,"&lt;10000")-EM29</f>
        <v>6</v>
      </c>
      <c r="EO29" s="249">
        <f>COUNTIFS('DETALLES UNIDADES'!$BC$8:$BC$987,"&lt;1998",'DETALLES UNIDADES'!$AP$8:$AP$987,"&lt;10000")-EN29-EM29</f>
        <v>6</v>
      </c>
      <c r="EP29" s="249">
        <f>COUNTIFS('DETALLES UNIDADES'!$BC$8:$BC$987,"&lt;2004",'DETALLES UNIDADES'!$AP$8:$AP$987,"&lt;10000")-EO29-EN29-EM29</f>
        <v>13</v>
      </c>
      <c r="EQ29" s="249">
        <f>COUNTIFS('DETALLES UNIDADES'!$BC$8:$BC$987,"&lt;2007",'DETALLES UNIDADES'!$AP$8:$AP$987,"&lt;10000")-EP29-EO29-EN29-EM29</f>
        <v>16</v>
      </c>
      <c r="ER29" s="249">
        <f>COUNTIFS('DETALLES UNIDADES'!$BC$8:$BC$987,"&lt;2011",'DETALLES UNIDADES'!$AP$8:$AP$987,"&lt;10000")-EQ29-EP29-EO29-EN29-EM29</f>
        <v>15</v>
      </c>
      <c r="ES29" s="249">
        <f>COUNTIFS('DETALLES UNIDADES'!$BC$8:$BC$987,"&gt;2010",'DETALLES UNIDADES'!$AP$8:$AP$987,"&lt;10000")</f>
        <v>7</v>
      </c>
      <c r="ET29" s="249">
        <f t="shared" ref="ET29:ET35" si="200">SUM(EM29:ES29)</f>
        <v>79</v>
      </c>
      <c r="EV29" s="17" t="s">
        <v>373</v>
      </c>
      <c r="EW29" s="6">
        <f t="shared" si="181"/>
        <v>0</v>
      </c>
      <c r="EX29" s="6">
        <f t="shared" si="176"/>
        <v>0.08</v>
      </c>
      <c r="EY29" s="6">
        <f t="shared" si="177"/>
        <v>5.5555555555555552E-2</v>
      </c>
      <c r="EZ29" s="6">
        <f t="shared" si="178"/>
        <v>0</v>
      </c>
      <c r="FA29" s="6">
        <f t="shared" si="179"/>
        <v>3.3057851239669422E-2</v>
      </c>
      <c r="FB29" s="249">
        <f>COUNTIFS('ENCUESTA PROPIETARIOS'!$N$7:$N$417,"1",'ENCUESTA PROPIETARIOS'!$DR$7:$DR$417,"X",'ENCUESTA PROPIETARIOS'!$DW$7:$DW$417,"SE NECESITA CAPITAL")+COUNTIFS('ENCUESTA PROPIETARIOS'!$N$7:$N$417,"1",'ENCUESTA PROPIETARIOS'!$DR$7:$DR$417,"X",'ENCUESTA PROPIETARIOS'!$DW$7:$DW$417,"DAR EN ESPECIE Y NO UN PAPEL")+COUNTIFS('ENCUESTA PROPIETARIOS'!$N$7:$N$417,"1",'ENCUESTA PROPIETARIOS'!$DR$7:$DR$417,"X",'ENCUESTA PROPIETARIOS'!$DW$7:$DW$417,"NO ES JUSTO")+COUNTIFS('ENCUESTA PROPIETARIOS'!$N$7:$N$417,"1",'ENCUESTA PROPIETARIOS'!$DR$7:$DR$417,"X",'ENCUESTA PROPIETARIOS'!$DW$7:$DW$417,"ME LO OFRECIO MERCEDES BENZ")</f>
        <v>0</v>
      </c>
      <c r="FC29" s="249">
        <f>COUNTIFS('ENCUESTA PROPIETARIOS'!$N$7:$N$417,"2",'ENCUESTA PROPIETARIOS'!$DR$7:$DR$417,"X",'ENCUESTA PROPIETARIOS'!$DW$7:$DW$417,"SE NECESITA CAPITAL")+COUNTIFS('ENCUESTA PROPIETARIOS'!$N$7:$N$417,"2",'ENCUESTA PROPIETARIOS'!$DR$7:$DR$417,"X",'ENCUESTA PROPIETARIOS'!$DW$7:$DW$417,"DAR EN ESPECIE Y NO UN PAPEL")+COUNTIFS('ENCUESTA PROPIETARIOS'!$N$7:$N$417,"2",'ENCUESTA PROPIETARIOS'!$DR$7:$DR$417,"X",'ENCUESTA PROPIETARIOS'!$DW$7:$DW$417,"NO ES JUSTO")+COUNTIFS('ENCUESTA PROPIETARIOS'!$N$7:$N$417,"2",'ENCUESTA PROPIETARIOS'!$DR$7:$DR$417,"X",'ENCUESTA PROPIETARIOS'!$DW$7:$DW$417,"ME LO OFRECIO MERCEDES BENZ")</f>
        <v>2</v>
      </c>
      <c r="FD29" s="249">
        <f>COUNTIFS('ENCUESTA PROPIETARIOS'!$N$7:$N$417,"3",'ENCUESTA PROPIETARIOS'!$DR$7:$DR$417,"X",'ENCUESTA PROPIETARIOS'!$DW$7:$DW$417,"SE NECESITA CAPITAL")+COUNTIFS('ENCUESTA PROPIETARIOS'!$N$7:$N$417,"3",'ENCUESTA PROPIETARIOS'!$DR$7:$DR$417,"X",'ENCUESTA PROPIETARIOS'!$DW$7:$DW$417,"DAR EN ESPECIE Y NO UN PAPEL")+COUNTIFS('ENCUESTA PROPIETARIOS'!$N$7:$N$417,"4",'ENCUESTA PROPIETARIOS'!$DR$7:$DR$417,"X",'ENCUESTA PROPIETARIOS'!$DW$7:$DW$417,"SE NECESITA CAPITAL")+COUNTIFS('ENCUESTA PROPIETARIOS'!$N$7:$N$417,"4",'ENCUESTA PROPIETARIOS'!$DR$7:$DR$417,"X",'ENCUESTA PROPIETARIOS'!$DW$7:$DW$417,"DAR EN ESPECIE Y NO UN PAPEL")+COUNTIFS('ENCUESTA PROPIETARIOS'!$N$7:$N$417,"5",'ENCUESTA PROPIETARIOS'!$DR$7:$DR$417,"X",'ENCUESTA PROPIETARIOS'!$DW$7:$DW$417,"SE NECESITA CAPITAL")+COUNTIFS('ENCUESTA PROPIETARIOS'!$N$7:$N$417,"5",'ENCUESTA PROPIETARIOS'!$DR$7:$DR$417,"X",'ENCUESTA PROPIETARIOS'!$DW$7:$DW$417,"DAR EN ESPECIE Y NO UN PAPEL")+COUNTIFS('ENCUESTA PROPIETARIOS'!$N$7:$N$417,"3",'ENCUESTA PROPIETARIOS'!$DR$7:$DR$417,"X",'ENCUESTA PROPIETARIOS'!$DW$7:$DW$417,"NO ES JUSTO")+COUNTIFS('ENCUESTA PROPIETARIOS'!$N$7:$N$417,"4",'ENCUESTA PROPIETARIOS'!$DR$7:$DR$417,"X",'ENCUESTA PROPIETARIOS'!$DW$7:$DW$417,"NO ES JUSTO")+COUNTIFS('ENCUESTA PROPIETARIOS'!$N$7:$N$417,"5",'ENCUESTA PROPIETARIOS'!$DR$7:$DR$417,"X",'ENCUESTA PROPIETARIOS'!$DW$7:$DW$417,"NO ES JUSTO")</f>
        <v>2</v>
      </c>
      <c r="FE29" s="249">
        <f>COUNTIFS('ENCUESTA PROPIETARIOS'!$N$7:$N$417,"&gt;5",'ENCUESTA PROPIETARIOS'!$DR$7:$DR$417,"X",'ENCUESTA PROPIETARIOS'!$DW$7:$DW$417,"SE NECESITA CAPITAL")+COUNTIFS('ENCUESTA PROPIETARIOS'!$N$7:$N$417,"&gt;5",'ENCUESTA PROPIETARIOS'!$DR$7:$DR$417,"X",'ENCUESTA PROPIETARIOS'!$DW$7:$DW$417,"DAR EN ESPECIE Y NO UN PAPEL")+COUNTIFS('ENCUESTA PROPIETARIOS'!$N$7:$N$417,"&gt;5",'ENCUESTA PROPIETARIOS'!$DR$7:$DR$417,"X",'ENCUESTA PROPIETARIOS'!$DW$7:$DW$417,"NO ES JUSTO")</f>
        <v>0</v>
      </c>
      <c r="FF29" s="249">
        <f t="shared" si="180"/>
        <v>4</v>
      </c>
      <c r="FM29" s="11" t="s">
        <v>2536</v>
      </c>
      <c r="FN29" s="6">
        <f t="shared" si="189"/>
        <v>0.18367346938775511</v>
      </c>
      <c r="FO29" s="249">
        <f t="shared" si="190"/>
        <v>36</v>
      </c>
      <c r="GE29" s="11" t="s">
        <v>952</v>
      </c>
      <c r="GF29" s="6">
        <f t="shared" si="191"/>
        <v>4.6511627906976744E-2</v>
      </c>
      <c r="GG29" s="249">
        <f>COUNTIFS('DETALLES UNIDADES'!$C$8:$C$987,"T2",'DETALLES UNIDADES'!$R$8:$R$987,"&lt;7501")-GG28-GG27</f>
        <v>2</v>
      </c>
      <c r="GK29" s="11"/>
      <c r="GL29" s="6"/>
      <c r="GM29" s="249"/>
    </row>
    <row r="30" spans="1:195" x14ac:dyDescent="0.25">
      <c r="B30" s="249" t="s">
        <v>351</v>
      </c>
      <c r="C30" s="189">
        <f t="shared" ref="C30:C33" si="201">+D30/$D$33</f>
        <v>0.17956656346749225</v>
      </c>
      <c r="D30" s="249">
        <f t="shared" ref="D30:D33" si="202">+J6</f>
        <v>58</v>
      </c>
      <c r="N30" s="249"/>
      <c r="X30" s="179" t="s">
        <v>2512</v>
      </c>
      <c r="Z30" s="9"/>
      <c r="AK30" s="11" t="s">
        <v>2538</v>
      </c>
      <c r="AL30" s="6">
        <f t="shared" si="182"/>
        <v>0.12755102040816327</v>
      </c>
      <c r="AM30" s="249">
        <f t="shared" si="183"/>
        <v>25</v>
      </c>
      <c r="BD30" s="112" t="s">
        <v>943</v>
      </c>
      <c r="BE30" s="6">
        <f t="shared" si="187"/>
        <v>0.16326530612244897</v>
      </c>
      <c r="BF30" s="138">
        <f t="shared" si="188"/>
        <v>8</v>
      </c>
      <c r="BV30" s="17" t="s">
        <v>1662</v>
      </c>
      <c r="BW30" s="6">
        <f t="shared" si="173"/>
        <v>0.49148418491484186</v>
      </c>
      <c r="BX30" s="6">
        <f t="shared" si="162"/>
        <v>0.20681265206812652</v>
      </c>
      <c r="BY30" s="6">
        <f t="shared" si="163"/>
        <v>0.21897810218978103</v>
      </c>
      <c r="BZ30" s="6">
        <f t="shared" si="164"/>
        <v>8.2725060827250604E-2</v>
      </c>
      <c r="CA30" s="6">
        <f t="shared" si="165"/>
        <v>1</v>
      </c>
      <c r="CB30" s="249">
        <f>SUM(CB24:CB29)</f>
        <v>202</v>
      </c>
      <c r="CC30" s="249">
        <f t="shared" ref="CC30:CE30" si="203">SUM(CC24:CC29)</f>
        <v>85</v>
      </c>
      <c r="CD30" s="249">
        <f t="shared" si="203"/>
        <v>90</v>
      </c>
      <c r="CE30" s="249">
        <f t="shared" si="203"/>
        <v>34</v>
      </c>
      <c r="CF30" s="249">
        <f t="shared" si="174"/>
        <v>411</v>
      </c>
      <c r="CH30" s="17" t="s">
        <v>2736</v>
      </c>
      <c r="CT30" s="17" t="s">
        <v>2612</v>
      </c>
      <c r="DG30" s="11" t="s">
        <v>814</v>
      </c>
      <c r="DH30" s="11" t="s">
        <v>815</v>
      </c>
      <c r="DI30" s="11" t="s">
        <v>1780</v>
      </c>
      <c r="DJ30" s="11" t="s">
        <v>1781</v>
      </c>
      <c r="DK30" s="11"/>
      <c r="DL30" s="11" t="s">
        <v>814</v>
      </c>
      <c r="DM30" s="11" t="s">
        <v>815</v>
      </c>
      <c r="DN30" s="11" t="s">
        <v>1780</v>
      </c>
      <c r="DO30" s="11" t="s">
        <v>1781</v>
      </c>
      <c r="DP30" s="11"/>
      <c r="DR30" s="11" t="s">
        <v>2652</v>
      </c>
      <c r="DS30" s="249">
        <f>COUNTIFS('DETALLES UNIDADES'!$D$8:$D$987,"&lt;1991",'DETALLES UNIDADES'!$AF$8:$AF$987,"X")</f>
        <v>0</v>
      </c>
      <c r="DT30" s="249">
        <f>COUNTIFS('DETALLES UNIDADES'!$D$8:$D$987,"&lt;1994",'DETALLES UNIDADES'!$AF$8:$AF$987,"X")-DS30</f>
        <v>0</v>
      </c>
      <c r="DU30" s="249">
        <f>COUNTIFS('DETALLES UNIDADES'!$D$8:$D$987,"&lt;1998",'DETALLES UNIDADES'!$AF$8:$AF$987,"X")-DT30-DS30</f>
        <v>0</v>
      </c>
      <c r="DV30" s="249">
        <f>COUNTIFS('DETALLES UNIDADES'!$D$8:$D$987,"&lt;2004",'DETALLES UNIDADES'!$AF$8:$AF$987,"X")-DU30-DT30-DS30</f>
        <v>8</v>
      </c>
      <c r="DW30" s="249">
        <f>COUNTIFS('DETALLES UNIDADES'!$D$8:$D$987,"&lt;2007",'DETALLES UNIDADES'!$AF$8:$AF$987,"X")-DV30-DU30-DT30-DS30</f>
        <v>14</v>
      </c>
      <c r="DX30" s="249">
        <f>COUNTIFS('DETALLES UNIDADES'!$D$8:$D$987,"&lt;2011",'DETALLES UNIDADES'!$AF$8:$AF$987,"X")-DW30-DV30-DU30-DT30-DS30</f>
        <v>33</v>
      </c>
      <c r="DY30" s="249">
        <f>COUNTIFS('DETALLES UNIDADES'!$D$8:$D$987,"&gt;2010",'DETALLES UNIDADES'!$AF$8:$AF$987,"X")</f>
        <v>31</v>
      </c>
      <c r="DZ30" s="249">
        <f t="shared" si="192"/>
        <v>86</v>
      </c>
      <c r="ED30" s="17" t="s">
        <v>2659</v>
      </c>
      <c r="EE30" s="6">
        <f t="shared" ref="EE30:EE36" si="204">+EM30/EM$36</f>
        <v>5.7692307692307696E-2</v>
      </c>
      <c r="EF30" s="6">
        <f t="shared" si="193"/>
        <v>6.3829787234042548E-2</v>
      </c>
      <c r="EG30" s="6">
        <f t="shared" si="194"/>
        <v>6.6666666666666666E-2</v>
      </c>
      <c r="EH30" s="6">
        <f t="shared" si="195"/>
        <v>7.8189300411522639E-2</v>
      </c>
      <c r="EI30" s="6">
        <f t="shared" si="196"/>
        <v>0.1095890410958904</v>
      </c>
      <c r="EJ30" s="6">
        <f t="shared" si="197"/>
        <v>0.1875</v>
      </c>
      <c r="EK30" s="6">
        <f t="shared" si="198"/>
        <v>0.22</v>
      </c>
      <c r="EL30" s="6">
        <f t="shared" si="199"/>
        <v>0.11867905056759546</v>
      </c>
      <c r="EM30" s="249">
        <f>COUNTIFS('DETALLES UNIDADES'!$BC$8:$BC$987,"&lt;1991",'DETALLES UNIDADES'!$AP$8:$AP$987,"&lt;15001")-EM29</f>
        <v>6</v>
      </c>
      <c r="EN30" s="249">
        <f>COUNTIFS('DETALLES UNIDADES'!$BC$8:$BC$987,"&lt;1994",'DETALLES UNIDADES'!$AP$8:$AP$987,"&lt;15001")-EM30-EN29-EM29</f>
        <v>3</v>
      </c>
      <c r="EO30" s="249">
        <f>COUNTIFS('DETALLES UNIDADES'!$BC$8:$BC$987,"&lt;1998",'DETALLES UNIDADES'!$AP$8:$AP$987,"&lt;15001")-EN30-EM30-EO29-EN29-EM29</f>
        <v>7</v>
      </c>
      <c r="EP30" s="249">
        <f>COUNTIFS('DETALLES UNIDADES'!$BC$8:$BC$987,"&lt;2004",'DETALLES UNIDADES'!$AP$8:$AP$987,"&lt;15001")-EO30-EN30-EM30-EP29-EO29-EN29-EM29</f>
        <v>19</v>
      </c>
      <c r="EQ30" s="249">
        <f>COUNTIFS('DETALLES UNIDADES'!$BC$8:$BC$987,"&lt;2007",'DETALLES UNIDADES'!$AP$8:$AP$987,"&lt;15001")-EP30-EO30-EN30-EM30-EQ29-EP29-EO29-EN29-EM29</f>
        <v>16</v>
      </c>
      <c r="ER30" s="249">
        <f>COUNTIFS('DETALLES UNIDADES'!$BC$8:$BC$987,"&lt;2011",'DETALLES UNIDADES'!$AP$8:$AP$987,"&lt;15001")-EQ30-EP30-EO30-EN30-EM30-ER29-EQ29-EP29-EO29-EN29-EM29</f>
        <v>42</v>
      </c>
      <c r="ES30" s="249">
        <f>COUNTIFS('DETALLES UNIDADES'!$BC$8:$BC$987,"&gt;2010",'DETALLES UNIDADES'!$AP$8:$AP$987,"&lt;15001")-ES29</f>
        <v>22</v>
      </c>
      <c r="ET30" s="249">
        <f t="shared" si="200"/>
        <v>115</v>
      </c>
      <c r="EV30" s="17" t="s">
        <v>2689</v>
      </c>
      <c r="EW30" s="6">
        <f t="shared" si="181"/>
        <v>0.11764705882352941</v>
      </c>
      <c r="EX30" s="6">
        <f t="shared" si="176"/>
        <v>0</v>
      </c>
      <c r="EY30" s="6">
        <f t="shared" si="177"/>
        <v>0.1111111111111111</v>
      </c>
      <c r="EZ30" s="6">
        <f t="shared" si="178"/>
        <v>3.8461538461538464E-2</v>
      </c>
      <c r="FA30" s="6">
        <f t="shared" si="179"/>
        <v>7.43801652892562E-2</v>
      </c>
      <c r="FB30" s="249">
        <f>COUNTIFS('ENCUESTA PROPIETARIOS'!$N$7:$N$417,"1",'ENCUESTA PROPIETARIOS'!$DR$7:$DR$417,"X",'ENCUESTA PROPIETARIOS'!$DW$7:$DW$417,"NO LE CONVIENE")+COUNTIFS('ENCUESTA PROPIETARIOS'!$N$7:$N$417,"1",'ENCUESTA PROPIETARIOS'!$DR$7:$DR$417,"X",'ENCUESTA PROPIETARIOS'!$DW$7:$DW$417,"ES UN ROBO")</f>
        <v>4</v>
      </c>
      <c r="FC30" s="249">
        <f>COUNTIFS('ENCUESTA PROPIETARIOS'!$N$7:$N$417,"2",'ENCUESTA PROPIETARIOS'!$DR$7:$DR$417,"X",'ENCUESTA PROPIETARIOS'!$DW$7:$DW$417,"NO LE CONVIENE")+COUNTIFS('ENCUESTA PROPIETARIOS'!$N$7:$N$417,"2",'ENCUESTA PROPIETARIOS'!$DR$7:$DR$417,"X",'ENCUESTA PROPIETARIOS'!$DW$7:$DW$417,"ES UN ROBO")</f>
        <v>0</v>
      </c>
      <c r="FD30" s="249">
        <f>COUNTIFS('ENCUESTA PROPIETARIOS'!$N$7:$N$417,"3",'ENCUESTA PROPIETARIOS'!$DR$7:$DR$417,"X",'ENCUESTA PROPIETARIOS'!$DW$7:$DW$417,"NO LE CONVIENE")+COUNTIFS('ENCUESTA PROPIETARIOS'!$N$7:$N$417,"3",'ENCUESTA PROPIETARIOS'!$DR$7:$DR$417,"X",'ENCUESTA PROPIETARIOS'!$DW$7:$DW$417,"ES UN ROBO")+COUNTIFS('ENCUESTA PROPIETARIOS'!$N$7:$N$417,"4",'ENCUESTA PROPIETARIOS'!$DR$7:$DR$417,"X",'ENCUESTA PROPIETARIOS'!$DW$7:$DW$417,"NO LE CONVIENE")+COUNTIFS('ENCUESTA PROPIETARIOS'!$N$7:$N$417,"4",'ENCUESTA PROPIETARIOS'!$DR$7:$DR$417,"X",'ENCUESTA PROPIETARIOS'!$DW$7:$DW$417,"ES UN ROBO")+COUNTIFS('ENCUESTA PROPIETARIOS'!$N$7:$N$417,"5",'ENCUESTA PROPIETARIOS'!$DR$7:$DR$417,"X",'ENCUESTA PROPIETARIOS'!$DW$7:$DW$417,"NO LE CONVIENE")+COUNTIFS('ENCUESTA PROPIETARIOS'!$N$7:$N$417,"5",'ENCUESTA PROPIETARIOS'!$DR$7:$DR$417,"X",'ENCUESTA PROPIETARIOS'!$DW$7:$DW$417,"ES UN ROBO")</f>
        <v>4</v>
      </c>
      <c r="FE30" s="249">
        <f>COUNTIFS('ENCUESTA PROPIETARIOS'!$N$7:$N$417,"&gt;5",'ENCUESTA PROPIETARIOS'!$DR$7:$DR$417,"X",'ENCUESTA PROPIETARIOS'!$DW$7:$DW$417,"NO LE CONVIENE")+COUNTIFS('ENCUESTA PROPIETARIOS'!$N$7:$N$417,"&gt;5",'ENCUESTA PROPIETARIOS'!$DR$7:$DR$417,"X",'ENCUESTA PROPIETARIOS'!$DW$7:$DW$417,"ES UN ROBO")</f>
        <v>1</v>
      </c>
      <c r="FF30" s="249">
        <f t="shared" si="180"/>
        <v>9</v>
      </c>
      <c r="FM30" s="11" t="s">
        <v>2537</v>
      </c>
      <c r="FN30" s="6">
        <f t="shared" si="189"/>
        <v>0.23469387755102042</v>
      </c>
      <c r="FO30" s="249">
        <f t="shared" si="190"/>
        <v>46</v>
      </c>
      <c r="GE30" s="11" t="s">
        <v>953</v>
      </c>
      <c r="GF30" s="6">
        <f t="shared" si="191"/>
        <v>4.6511627906976744E-2</v>
      </c>
      <c r="GG30" s="249">
        <f>COUNTIFS('DETALLES UNIDADES'!$C$8:$C$987,"T2",'DETALLES UNIDADES'!$R$8:$R$987,"&lt;10001")-GG29-GG28-GG27</f>
        <v>2</v>
      </c>
      <c r="GK30" s="11"/>
      <c r="GL30" s="6"/>
      <c r="GM30" s="249"/>
    </row>
    <row r="31" spans="1:195" x14ac:dyDescent="0.25">
      <c r="B31" s="249" t="s">
        <v>359</v>
      </c>
      <c r="C31" s="189">
        <f t="shared" si="201"/>
        <v>8.6687306501547989E-2</v>
      </c>
      <c r="D31" s="249">
        <f t="shared" si="202"/>
        <v>28</v>
      </c>
      <c r="N31" s="249"/>
      <c r="AB31" s="17" t="s">
        <v>1717</v>
      </c>
      <c r="AC31" s="17" t="s">
        <v>1718</v>
      </c>
      <c r="AK31" s="11" t="s">
        <v>2539</v>
      </c>
      <c r="AL31" s="6">
        <f t="shared" si="182"/>
        <v>0.13775510204081631</v>
      </c>
      <c r="AM31" s="249">
        <f t="shared" si="183"/>
        <v>27</v>
      </c>
      <c r="BD31" s="112" t="s">
        <v>944</v>
      </c>
      <c r="BE31" s="6">
        <f t="shared" si="187"/>
        <v>0.2857142857142857</v>
      </c>
      <c r="BF31" s="138">
        <f t="shared" si="188"/>
        <v>14</v>
      </c>
      <c r="CF31" s="249">
        <f>SUM(CF24:CF29)</f>
        <v>411</v>
      </c>
      <c r="CI31" s="11" t="s">
        <v>814</v>
      </c>
      <c r="CJ31" s="11" t="s">
        <v>815</v>
      </c>
      <c r="CK31" s="11" t="s">
        <v>1780</v>
      </c>
      <c r="CL31" s="11" t="s">
        <v>1781</v>
      </c>
      <c r="CM31" s="11"/>
      <c r="CN31" s="11" t="s">
        <v>814</v>
      </c>
      <c r="CO31" s="11" t="s">
        <v>815</v>
      </c>
      <c r="CP31" s="11" t="s">
        <v>1780</v>
      </c>
      <c r="CQ31" s="11" t="s">
        <v>1781</v>
      </c>
      <c r="CR31" s="11"/>
      <c r="CV31" s="17" t="str">
        <f>+DB3</f>
        <v>TRES A CINCO UNIDADES</v>
      </c>
      <c r="DF31" s="17" t="s">
        <v>2616</v>
      </c>
      <c r="DG31" s="6">
        <f>+DL31/DL$38</f>
        <v>0.5</v>
      </c>
      <c r="DH31" s="6">
        <f t="shared" ref="DH31:DH38" si="205">+DM31/DM$38</f>
        <v>0.33116883116883117</v>
      </c>
      <c r="DI31" s="6">
        <f t="shared" ref="DI31:DI38" si="206">+DN31/DN$38</f>
        <v>0.42452830188679247</v>
      </c>
      <c r="DJ31" s="6">
        <f t="shared" ref="DJ31:DJ38" si="207">+DO31/DO$38</f>
        <v>0.30303030303030304</v>
      </c>
      <c r="DK31" s="6">
        <f t="shared" ref="DK31:DK38" si="208">+DP31/DP$38</f>
        <v>0.39171974522292996</v>
      </c>
      <c r="DL31" s="249">
        <f>COUNTIFS('DETALLES UNIDADES'!$BA$8:$BA$987,"1",'DETALLES UNIDADES'!$AU$8:$AU$987,"&lt;50000")</f>
        <v>103</v>
      </c>
      <c r="DM31" s="249">
        <f>COUNTIFS('DETALLES UNIDADES'!$BA$8:$BA$987,"2",'DETALLES UNIDADES'!$AU$8:$AU$987,"&lt;50000")</f>
        <v>51</v>
      </c>
      <c r="DN31" s="249">
        <f>COUNTIFS('DETALLES UNIDADES'!$BA$8:$BA$987,"3",'DETALLES UNIDADES'!$AU$8:$AU$987,"&lt;50000")+COUNTIFS('DETALLES UNIDADES'!$BA$8:$BA$987,"4",'DETALLES UNIDADES'!$AU$8:$AU$987,"&lt;50000")+COUNTIFS('DETALLES UNIDADES'!$BA$8:$BA$987,"5",'DETALLES UNIDADES'!$AU$8:$AU$987,"&lt;50000")</f>
        <v>135</v>
      </c>
      <c r="DO31" s="249">
        <f>COUNTIFS('DETALLES UNIDADES'!$BA$8:$BA$987,"&gt;5",'DETALLES UNIDADES'!$AU$8:$AU$987,"&lt;50000")</f>
        <v>80</v>
      </c>
      <c r="DP31" s="249">
        <f t="shared" ref="DP31:DP37" si="209">SUM(DL31:DO31)</f>
        <v>369</v>
      </c>
      <c r="DR31" s="17" t="s">
        <v>2656</v>
      </c>
      <c r="DS31" s="249">
        <f>COUNTIFS('DETALLES UNIDADES'!$D$8:$D$987,"&lt;1991",'DETALLES UNIDADES'!$AI$8:$AI$987,"X")</f>
        <v>36</v>
      </c>
      <c r="DT31" s="249">
        <f>COUNTIFS('DETALLES UNIDADES'!$D$8:$D$987,"&lt;1994",'DETALLES UNIDADES'!$AI$8:$AI$987,"X")-DS31</f>
        <v>9</v>
      </c>
      <c r="DU31" s="249">
        <f>COUNTIFS('DETALLES UNIDADES'!$D$8:$D$987,"&lt;1998",'DETALLES UNIDADES'!$AI$8:$AI$987,"X")-DT31-DS31</f>
        <v>11</v>
      </c>
      <c r="DV31" s="249">
        <f>COUNTIFS('DETALLES UNIDADES'!$D$8:$D$987,"&lt;2004",'DETALLES UNIDADES'!$AI$8:$AI$987,"X")-DU31-DT31-DS31</f>
        <v>51</v>
      </c>
      <c r="DW31" s="249">
        <f>COUNTIFS('DETALLES UNIDADES'!$D$8:$D$987,"&lt;2007",'DETALLES UNIDADES'!$AI$8:$AI$987,"X")-DV31-DU31-DT31-DS31</f>
        <v>39</v>
      </c>
      <c r="DX31" s="249">
        <f>COUNTIFS('DETALLES UNIDADES'!$D$8:$D$987,"&lt;2011",'DETALLES UNIDADES'!$AI$8:$AI$987,"X")-DW31-DV31-DU31-DT31-DS31</f>
        <v>91</v>
      </c>
      <c r="DY31" s="249">
        <f>COUNTIFS('DETALLES UNIDADES'!$D$8:$D$987,"&gt;2010",'DETALLES UNIDADES'!$AI$8:$AI$987,"X")</f>
        <v>88</v>
      </c>
      <c r="DZ31" s="249">
        <f t="shared" si="192"/>
        <v>325</v>
      </c>
      <c r="ED31" s="17" t="s">
        <v>2660</v>
      </c>
      <c r="EE31" s="6">
        <f t="shared" si="204"/>
        <v>7.6923076923076927E-2</v>
      </c>
      <c r="EF31" s="6">
        <f t="shared" si="193"/>
        <v>0.10638297872340426</v>
      </c>
      <c r="EG31" s="6">
        <f t="shared" si="194"/>
        <v>0.14285714285714285</v>
      </c>
      <c r="EH31" s="6">
        <f t="shared" si="195"/>
        <v>7.407407407407407E-2</v>
      </c>
      <c r="EI31" s="6">
        <f t="shared" si="196"/>
        <v>5.4794520547945202E-2</v>
      </c>
      <c r="EJ31" s="6">
        <f t="shared" si="197"/>
        <v>3.125E-2</v>
      </c>
      <c r="EK31" s="6">
        <f t="shared" si="198"/>
        <v>0</v>
      </c>
      <c r="EL31" s="6">
        <f t="shared" si="199"/>
        <v>6.2951496388028896E-2</v>
      </c>
      <c r="EM31" s="249">
        <f>COUNTIFS('DETALLES UNIDADES'!$BC$8:$BC$987,"&lt;1991",'DETALLES UNIDADES'!$AP$8:$AP$987,"&lt;20001")-EM30-EM29</f>
        <v>8</v>
      </c>
      <c r="EN31" s="249">
        <f>COUNTIFS('DETALLES UNIDADES'!$BC$8:$BC$987,"&lt;1994",'DETALLES UNIDADES'!$AP$8:$AP$987,"&lt;20001")-EM31-EN30-EM30-EN29-EM29</f>
        <v>5</v>
      </c>
      <c r="EO31" s="249">
        <f>COUNTIFS('DETALLES UNIDADES'!$BC$8:$BC$987,"&lt;1998",'DETALLES UNIDADES'!$AP$8:$AP$987,"&lt;20001")-EN31-EM31-EO30-EN30-EM30-EO29-EN29-EM29</f>
        <v>15</v>
      </c>
      <c r="EP31" s="249">
        <f>COUNTIFS('DETALLES UNIDADES'!$BC$8:$BC$987,"&lt;2004",'DETALLES UNIDADES'!$AP$8:$AP$987,"&lt;20001")-EO31-EN31-EM31-EP30-EO30-EN30-EM30-EP29-EO29-EN29-EM29</f>
        <v>18</v>
      </c>
      <c r="EQ31" s="249">
        <f>COUNTIFS('DETALLES UNIDADES'!$BC$8:$BC$987,"&lt;2007",'DETALLES UNIDADES'!$AP$8:$AP$987,"&lt;20001")-EP31-EO31-EN31-EM31-EQ30-EP30-EO30-EN30-EM30-EQ29-EP29-EO29-EN29-EM29</f>
        <v>8</v>
      </c>
      <c r="ER31" s="249">
        <f>COUNTIFS('DETALLES UNIDADES'!$BC$8:$BC$987,"&lt;2011",'DETALLES UNIDADES'!$AP$8:$AP$987,"&lt;20001")-EQ31-EP31-EO31-EN31-EM31-ER30-EQ30-EP30-EO30-EN30-EM30-ER29-EQ29-EP29-EO29-EN29-EM29</f>
        <v>7</v>
      </c>
      <c r="ES31" s="249">
        <f>COUNTIFS('DETALLES UNIDADES'!$BC$8:$BC$987,"&gt;2010",'DETALLES UNIDADES'!$AP$8:$AP$987,"&lt;20001")-ES30-ES29</f>
        <v>0</v>
      </c>
      <c r="ET31" s="249">
        <f t="shared" si="200"/>
        <v>61</v>
      </c>
      <c r="EV31" s="17" t="s">
        <v>1662</v>
      </c>
      <c r="EW31" s="6">
        <f t="shared" si="181"/>
        <v>1</v>
      </c>
      <c r="EX31" s="6">
        <f t="shared" si="176"/>
        <v>1</v>
      </c>
      <c r="EY31" s="6">
        <f t="shared" si="177"/>
        <v>1</v>
      </c>
      <c r="EZ31" s="6">
        <f t="shared" si="178"/>
        <v>1</v>
      </c>
      <c r="FA31" s="6">
        <f t="shared" si="179"/>
        <v>1</v>
      </c>
      <c r="FB31" s="249">
        <f>SUM(FB25:FB30)</f>
        <v>34</v>
      </c>
      <c r="FC31" s="249">
        <f t="shared" ref="FC31:FF31" si="210">SUM(FC25:FC30)</f>
        <v>25</v>
      </c>
      <c r="FD31" s="249">
        <f t="shared" si="210"/>
        <v>36</v>
      </c>
      <c r="FE31" s="249">
        <f t="shared" si="210"/>
        <v>26</v>
      </c>
      <c r="FF31" s="249">
        <f t="shared" si="210"/>
        <v>121</v>
      </c>
      <c r="FM31" s="11" t="s">
        <v>2538</v>
      </c>
      <c r="FN31" s="6">
        <f t="shared" si="189"/>
        <v>0.12755102040816327</v>
      </c>
      <c r="FO31" s="249">
        <f t="shared" si="190"/>
        <v>25</v>
      </c>
      <c r="GE31" s="11" t="s">
        <v>2376</v>
      </c>
      <c r="GF31" s="6">
        <f t="shared" si="191"/>
        <v>0</v>
      </c>
      <c r="GG31" s="249">
        <f>COUNTIFS('DETALLES UNIDADES'!$C$8:$C$987,"T2",'DETALLES UNIDADES'!$R$8:$R$987,"&lt;12501")-GG30-GG29-GG28-GG27</f>
        <v>0</v>
      </c>
      <c r="GK31" s="11"/>
      <c r="GL31" s="6"/>
      <c r="GM31" s="249"/>
    </row>
    <row r="32" spans="1:195" x14ac:dyDescent="0.25">
      <c r="B32" s="249" t="s">
        <v>337</v>
      </c>
      <c r="C32" s="189">
        <f t="shared" si="201"/>
        <v>0.52012383900928794</v>
      </c>
      <c r="D32" s="249">
        <f t="shared" si="202"/>
        <v>168</v>
      </c>
      <c r="N32" s="249"/>
      <c r="X32" s="179"/>
      <c r="Y32" s="179" t="s">
        <v>1717</v>
      </c>
      <c r="Z32" s="249" t="s">
        <v>1718</v>
      </c>
      <c r="AB32" s="9" t="s">
        <v>1002</v>
      </c>
      <c r="AC32" s="17" t="s">
        <v>1002</v>
      </c>
      <c r="AK32" s="11" t="s">
        <v>2540</v>
      </c>
      <c r="AL32" s="6">
        <f t="shared" si="182"/>
        <v>4.5918367346938778E-2</v>
      </c>
      <c r="AM32" s="249">
        <f t="shared" si="183"/>
        <v>9</v>
      </c>
      <c r="BD32" s="112" t="s">
        <v>1714</v>
      </c>
      <c r="BE32" s="6">
        <f t="shared" si="187"/>
        <v>2.0408163265306121E-2</v>
      </c>
      <c r="BF32" s="138">
        <f t="shared" si="188"/>
        <v>1</v>
      </c>
      <c r="CH32" s="17" t="s">
        <v>851</v>
      </c>
      <c r="CI32" s="6">
        <f>+CN32/$CR$36</f>
        <v>0.13658536585365855</v>
      </c>
      <c r="CJ32" s="6">
        <f t="shared" ref="CJ32:CJ36" si="211">+CO32/$CR$36</f>
        <v>5.1219512195121948E-2</v>
      </c>
      <c r="CK32" s="6">
        <f t="shared" ref="CK32:CK36" si="212">+CP32/$CR$36</f>
        <v>6.8292682926829273E-2</v>
      </c>
      <c r="CL32" s="6">
        <f t="shared" ref="CL32:CL36" si="213">+CQ32/$CR$36</f>
        <v>4.1463414634146344E-2</v>
      </c>
      <c r="CM32" s="6">
        <f t="shared" ref="CM32:CM36" si="214">+CR32/$CR$36</f>
        <v>0.29756097560975608</v>
      </c>
      <c r="CN32" s="249">
        <f>COUNTIFS('ENCUESTA PROPIETARIOS'!$AX$7:$AX$417,"2",'ENCUESTA PROPIETARIOS'!$N$7:$N$417,"1")</f>
        <v>56</v>
      </c>
      <c r="CO32" s="249">
        <f>COUNTIFS('ENCUESTA PROPIETARIOS'!$AX$7:$AX$417,"2",'ENCUESTA PROPIETARIOS'!$N$7:$N$417,"2")</f>
        <v>21</v>
      </c>
      <c r="CP32" s="249">
        <f>COUNTIFS('ENCUESTA PROPIETARIOS'!$AX$7:$AX$417,"2",'ENCUESTA PROPIETARIOS'!$N$7:$N$417,"3")+COUNTIFS('ENCUESTA PROPIETARIOS'!$AX$7:$AX$417,"2",'ENCUESTA PROPIETARIOS'!$N$7:$N$417,"4")+COUNTIFS('ENCUESTA PROPIETARIOS'!$AX$7:$AX$417,"2",'ENCUESTA PROPIETARIOS'!$N$7:$N$417,"5")</f>
        <v>28</v>
      </c>
      <c r="CQ32" s="249">
        <f>COUNTIFS('ENCUESTA PROPIETARIOS'!$AX$7:$AX$417,"2",'ENCUESTA PROPIETARIOS'!$N$7:$N$417,"&gt;5")</f>
        <v>17</v>
      </c>
      <c r="CR32" s="249">
        <f>SUM(CN32:CQ32)</f>
        <v>122</v>
      </c>
      <c r="CT32" s="17" t="s">
        <v>2605</v>
      </c>
      <c r="CU32" s="6">
        <f>+CV32/$CV$37</f>
        <v>0.66139240506329111</v>
      </c>
      <c r="CV32" s="249">
        <f t="shared" ref="CV32:CV37" si="215">+DB4</f>
        <v>209</v>
      </c>
      <c r="DF32" s="17" t="s">
        <v>2618</v>
      </c>
      <c r="DG32" s="6">
        <f t="shared" ref="DG32:DG38" si="216">+DL32/DL$38</f>
        <v>0.32524271844660196</v>
      </c>
      <c r="DH32" s="6">
        <f t="shared" si="205"/>
        <v>0.33766233766233766</v>
      </c>
      <c r="DI32" s="6">
        <f t="shared" si="206"/>
        <v>0.18867924528301888</v>
      </c>
      <c r="DJ32" s="6">
        <f t="shared" si="207"/>
        <v>0.24621212121212122</v>
      </c>
      <c r="DK32" s="6">
        <f t="shared" si="208"/>
        <v>0.25902335456475584</v>
      </c>
      <c r="DL32" s="249">
        <f>COUNTIFS('DETALLES UNIDADES'!$BA$8:$BA$987,"1",'DETALLES UNIDADES'!$AU$8:$AU$987,"&lt;75001")-DL31</f>
        <v>67</v>
      </c>
      <c r="DM32" s="249">
        <f>COUNTIFS('DETALLES UNIDADES'!$BA$8:$BA$987,"2",'DETALLES UNIDADES'!$AU$8:$AU$987,"&lt;75001")-DM31</f>
        <v>52</v>
      </c>
      <c r="DN32" s="249">
        <f>COUNTIFS('DETALLES UNIDADES'!$BA$8:$BA$987,"3",'DETALLES UNIDADES'!$AU$8:$AU$987,"&lt;75001")+COUNTIFS('DETALLES UNIDADES'!$BA$8:$BA$987,"4",'DETALLES UNIDADES'!$AU$8:$AU$987,"&lt;75001")+COUNTIFS('DETALLES UNIDADES'!$BA$8:$BA$987,"5",'DETALLES UNIDADES'!$AU$8:$AU$987,"&lt;75001")-DN31</f>
        <v>60</v>
      </c>
      <c r="DO32" s="249">
        <f>COUNTIFS('DETALLES UNIDADES'!$BA$8:$BA$987,"&gt;5",'DETALLES UNIDADES'!$AU$8:$AU$987,"&lt;75001")-DO31</f>
        <v>65</v>
      </c>
      <c r="DP32" s="249">
        <f t="shared" si="209"/>
        <v>244</v>
      </c>
      <c r="DR32" s="17" t="s">
        <v>2653</v>
      </c>
      <c r="DS32" s="249">
        <f>COUNTIFS('DETALLES UNIDADES'!$D$8:$D$987,"&lt;1991",'DETALLES UNIDADES'!$AJ$8:$AJ$987,"X")</f>
        <v>14</v>
      </c>
      <c r="DT32" s="249">
        <f>COUNTIFS('DETALLES UNIDADES'!$D$8:$D$987,"&lt;1994",'DETALLES UNIDADES'!$AJ$8:$AJ$987,"X")-DS32</f>
        <v>0</v>
      </c>
      <c r="DU32" s="249">
        <f>COUNTIFS('DETALLES UNIDADES'!$D$8:$D$987,"&lt;1998",'DETALLES UNIDADES'!$AJ$8:$AJ$987,"X")-DT32-DS32</f>
        <v>4</v>
      </c>
      <c r="DV32" s="249">
        <f>COUNTIFS('DETALLES UNIDADES'!$D$8:$D$987,"&lt;2004",'DETALLES UNIDADES'!$AJ$8:$AJ$987,"X")-DU32-DT32-DS32</f>
        <v>8</v>
      </c>
      <c r="DW32" s="249">
        <f>COUNTIFS('DETALLES UNIDADES'!$D$8:$D$987,"&lt;2007",'DETALLES UNIDADES'!$AJ$8:$AJ$987,"X")-DV32-DU32-DT32-DS32</f>
        <v>6</v>
      </c>
      <c r="DX32" s="249">
        <f>COUNTIFS('DETALLES UNIDADES'!$D$8:$D$987,"&lt;2011",'DETALLES UNIDADES'!$AJ$8:$AJ$987,"X")-DW32-DV32-DU32-DT32-DS32</f>
        <v>21</v>
      </c>
      <c r="DY32" s="249">
        <f>COUNTIFS('DETALLES UNIDADES'!$D$8:$D$987,"&gt;2010",'DETALLES UNIDADES'!$AJ$8:$AJ$987,"X")</f>
        <v>28</v>
      </c>
      <c r="DZ32" s="249">
        <f t="shared" si="192"/>
        <v>81</v>
      </c>
      <c r="ED32" s="17" t="s">
        <v>2661</v>
      </c>
      <c r="EE32" s="6">
        <f t="shared" si="204"/>
        <v>3.8461538461538464E-2</v>
      </c>
      <c r="EF32" s="6">
        <f t="shared" si="193"/>
        <v>2.1276595744680851E-2</v>
      </c>
      <c r="EG32" s="6">
        <f t="shared" si="194"/>
        <v>0.10476190476190476</v>
      </c>
      <c r="EH32" s="6">
        <f t="shared" si="195"/>
        <v>3.7037037037037035E-2</v>
      </c>
      <c r="EI32" s="6">
        <f t="shared" si="196"/>
        <v>2.0547945205479451E-2</v>
      </c>
      <c r="EJ32" s="6">
        <f t="shared" si="197"/>
        <v>1.3392857142857142E-2</v>
      </c>
      <c r="EK32" s="6">
        <f t="shared" si="198"/>
        <v>0</v>
      </c>
      <c r="EL32" s="6">
        <f t="shared" si="199"/>
        <v>3.1991744066047469E-2</v>
      </c>
      <c r="EM32" s="249">
        <f>COUNTIFS('DETALLES UNIDADES'!$BC$8:$BC$987,"&lt;1991",'DETALLES UNIDADES'!$AP$8:$AP$987,"&lt;25001")-EM31-EM30-EM29</f>
        <v>4</v>
      </c>
      <c r="EN32" s="249">
        <f>COUNTIFS('DETALLES UNIDADES'!$BC$8:$BC$987,"&lt;1994",'DETALLES UNIDADES'!$AP$8:$AP$987,"&lt;25001")-EM32-EN31-EM31-EN30-EM30-EN29-EM29</f>
        <v>1</v>
      </c>
      <c r="EO32" s="249">
        <f>COUNTIFS('DETALLES UNIDADES'!$BC$8:$BC$987,"&lt;1998",'DETALLES UNIDADES'!$AP$8:$AP$987,"&lt;25001")-EN32-EM32-EO31-EN31-EM31-EO30-EN30-EM30-EO29-EN29-EM29</f>
        <v>11</v>
      </c>
      <c r="EP32" s="249">
        <f>COUNTIFS('DETALLES UNIDADES'!$BC$8:$BC$987,"&lt;2004",'DETALLES UNIDADES'!$AP$8:$AP$987,"&lt;25001")-EO32-EN32-EM32-EP31-EO31-EN31-EM31-EP30-EO30-EN30-EM30-EP29-EO29-EN29-EM29</f>
        <v>9</v>
      </c>
      <c r="EQ32" s="249">
        <f>COUNTIFS('DETALLES UNIDADES'!$BC$8:$BC$987,"&lt;2007",'DETALLES UNIDADES'!$AP$8:$AP$987,"&lt;25001")-EP32-EO32-EN32-EM32-EQ31-EP31-EO31-EN31-EM31-EQ30-EP30-EO30-EN30-EM30-EQ29-EP29-EO29-EN29-EM29</f>
        <v>3</v>
      </c>
      <c r="ER32" s="249">
        <f>COUNTIFS('DETALLES UNIDADES'!$BC$8:$BC$987,"&lt;2011",'DETALLES UNIDADES'!$AP$8:$AP$987,"&lt;25001")-EQ32-EP32-EO32-EN32-EM32-ER31-EQ31-EP31-EO31-EN31-EM31-ER30-EQ30-EP30-EO30-EN30-EM30-ER29-EQ29-EP29-EO29-EN29-EM29</f>
        <v>3</v>
      </c>
      <c r="ES32" s="249">
        <f>COUNTIFS('DETALLES UNIDADES'!$BC$8:$BC$987,"&gt;2010",'DETALLES UNIDADES'!$AP$8:$AP$987,"&lt;25001")-ES31-ES30-ES29</f>
        <v>0</v>
      </c>
      <c r="ET32" s="249">
        <f t="shared" si="200"/>
        <v>31</v>
      </c>
      <c r="FM32" s="11" t="s">
        <v>2539</v>
      </c>
      <c r="FN32" s="6">
        <f t="shared" si="189"/>
        <v>0.13775510204081631</v>
      </c>
      <c r="FO32" s="249">
        <f t="shared" si="190"/>
        <v>27</v>
      </c>
      <c r="GE32" s="11" t="s">
        <v>2725</v>
      </c>
      <c r="GF32" s="6">
        <f t="shared" si="191"/>
        <v>0</v>
      </c>
      <c r="GG32" s="249">
        <f>COUNTIFS('DETALLES UNIDADES'!$C$8:$C$987,"T2",'DETALLES UNIDADES'!$R$8:$R$987,"&gt;12500")</f>
        <v>0</v>
      </c>
      <c r="GK32" s="11"/>
      <c r="GL32" s="6"/>
      <c r="GM32" s="249"/>
    </row>
    <row r="33" spans="1:195" x14ac:dyDescent="0.25">
      <c r="B33" s="249" t="s">
        <v>1662</v>
      </c>
      <c r="C33" s="189">
        <f t="shared" si="201"/>
        <v>1</v>
      </c>
      <c r="D33" s="249">
        <f t="shared" si="202"/>
        <v>323</v>
      </c>
      <c r="N33" s="249"/>
      <c r="X33" s="19" t="s">
        <v>1719</v>
      </c>
      <c r="Y33" s="254">
        <f t="shared" ref="Y33:Y41" si="217">+AB33/$Z$13</f>
        <v>4.6666666666666669E-2</v>
      </c>
      <c r="Z33" s="6">
        <f>+AC33/$AC$41</f>
        <v>7.4941451990632318E-2</v>
      </c>
      <c r="AB33" s="9">
        <f>COUNTIFS('DETALLES UNIDADES'!$S$8:$S$987,"D",'DETALLES UNIDADES'!$T$8:$T$987,"&lt;1.6")</f>
        <v>42</v>
      </c>
      <c r="AC33" s="249">
        <v>32</v>
      </c>
      <c r="AK33" s="11" t="s">
        <v>715</v>
      </c>
      <c r="AL33" s="6">
        <f t="shared" si="182"/>
        <v>1</v>
      </c>
      <c r="AM33" s="249">
        <f t="shared" si="183"/>
        <v>196</v>
      </c>
      <c r="BD33" s="112" t="s">
        <v>1715</v>
      </c>
      <c r="BE33" s="6">
        <f t="shared" si="187"/>
        <v>8.1632653061224483E-2</v>
      </c>
      <c r="BF33" s="138">
        <f t="shared" si="188"/>
        <v>4</v>
      </c>
      <c r="CH33" s="17" t="s">
        <v>852</v>
      </c>
      <c r="CI33" s="6">
        <f t="shared" ref="CI33:CI36" si="218">+CN33/$CR$36</f>
        <v>0.17073170731707318</v>
      </c>
      <c r="CJ33" s="6">
        <f t="shared" si="211"/>
        <v>6.8292682926829273E-2</v>
      </c>
      <c r="CK33" s="6">
        <f t="shared" si="212"/>
        <v>7.0731707317073164E-2</v>
      </c>
      <c r="CL33" s="6">
        <f t="shared" si="213"/>
        <v>1.9512195121951219E-2</v>
      </c>
      <c r="CM33" s="6">
        <f t="shared" si="214"/>
        <v>0.32926829268292684</v>
      </c>
      <c r="CN33" s="249">
        <f>COUNTIFS('ENCUESTA PROPIETARIOS'!$AY$7:$AY$417,"2",'ENCUESTA PROPIETARIOS'!$N$7:$N$417,"1")</f>
        <v>70</v>
      </c>
      <c r="CO33" s="249">
        <f>COUNTIFS('ENCUESTA PROPIETARIOS'!$AY$7:$AY$417,"2",'ENCUESTA PROPIETARIOS'!$N$7:$N$417,"2")</f>
        <v>28</v>
      </c>
      <c r="CP33" s="249">
        <f>COUNTIFS('ENCUESTA PROPIETARIOS'!$AY$7:$AY$417,"2",'ENCUESTA PROPIETARIOS'!$N$7:$N$417,"3")+COUNTIFS('ENCUESTA PROPIETARIOS'!$AY$7:$AY$417,"2",'ENCUESTA PROPIETARIOS'!$N$7:$N$417,"4")+COUNTIFS('ENCUESTA PROPIETARIOS'!$AY$7:$AY$417,"2",'ENCUESTA PROPIETARIOS'!$N$7:$N$417,"5")</f>
        <v>29</v>
      </c>
      <c r="CQ33" s="249">
        <f>COUNTIFS('ENCUESTA PROPIETARIOS'!$AY$7:$AY$417,"2",'ENCUESTA PROPIETARIOS'!$N$7:$N$417,"&gt;5")</f>
        <v>8</v>
      </c>
      <c r="CR33" s="249">
        <f t="shared" ref="CR33:CR36" si="219">SUM(CN33:CQ33)</f>
        <v>135</v>
      </c>
      <c r="CT33" s="17" t="s">
        <v>2606</v>
      </c>
      <c r="CU33" s="6">
        <f t="shared" ref="CU33:CU37" si="220">+CV33/$CV$37</f>
        <v>0.18037974683544303</v>
      </c>
      <c r="CV33" s="249">
        <f t="shared" si="215"/>
        <v>57</v>
      </c>
      <c r="DF33" s="17" t="s">
        <v>2617</v>
      </c>
      <c r="DG33" s="6">
        <f t="shared" si="216"/>
        <v>0.11650485436893204</v>
      </c>
      <c r="DH33" s="6">
        <f t="shared" si="205"/>
        <v>0.19480519480519481</v>
      </c>
      <c r="DI33" s="6">
        <f t="shared" si="206"/>
        <v>0.1918238993710692</v>
      </c>
      <c r="DJ33" s="6">
        <f t="shared" si="207"/>
        <v>0.24621212121212122</v>
      </c>
      <c r="DK33" s="6">
        <f t="shared" si="208"/>
        <v>0.19108280254777071</v>
      </c>
      <c r="DL33" s="249">
        <f>COUNTIFS('DETALLES UNIDADES'!$BA$8:$BA$987,"1",'DETALLES UNIDADES'!$AU$8:$AU$987,"&lt;100001")-DL32-DL31</f>
        <v>24</v>
      </c>
      <c r="DM33" s="249">
        <f>COUNTIFS('DETALLES UNIDADES'!$BA$8:$BA$987,"2",'DETALLES UNIDADES'!$AU$8:$AU$987,"&lt;100001")-DM32-DM31</f>
        <v>30</v>
      </c>
      <c r="DN33" s="249">
        <f>COUNTIFS('DETALLES UNIDADES'!$BA$8:$BA$987,"3",'DETALLES UNIDADES'!$AU$8:$AU$987,"&lt;100001")+COUNTIFS('DETALLES UNIDADES'!$BA$8:$BA$987,"4",'DETALLES UNIDADES'!$AU$8:$AU$987,"&lt;100001")+COUNTIFS('DETALLES UNIDADES'!$BA$8:$BA$987,"5",'DETALLES UNIDADES'!$AU$8:$AU$987,"&lt;100001")-DN32-DN31</f>
        <v>61</v>
      </c>
      <c r="DO33" s="249">
        <f>COUNTIFS('DETALLES UNIDADES'!$BA$8:$BA$987,"&gt;5",'DETALLES UNIDADES'!$AU$8:$AU$987,"&lt;100001")-DO32-DO31</f>
        <v>65</v>
      </c>
      <c r="DP33" s="249">
        <f t="shared" si="209"/>
        <v>180</v>
      </c>
      <c r="DR33" s="17" t="s">
        <v>2654</v>
      </c>
      <c r="DS33" s="249">
        <f>COUNTIFS('DETALLES UNIDADES'!$D$8:$D$987,"&lt;1991",'DETALLES UNIDADES'!$AL$8:$AL$987,"X")</f>
        <v>71</v>
      </c>
      <c r="DT33" s="249">
        <f>COUNTIFS('DETALLES UNIDADES'!$D$8:$D$987,"&lt;1994",'DETALLES UNIDADES'!$AL$8:$AL$987,"X")-DS33</f>
        <v>18</v>
      </c>
      <c r="DU33" s="249">
        <f>COUNTIFS('DETALLES UNIDADES'!$D$8:$D$987,"&lt;1998",'DETALLES UNIDADES'!$AL$8:$AL$987,"X")-DT33-DS33</f>
        <v>35</v>
      </c>
      <c r="DV33" s="249">
        <f>COUNTIFS('DETALLES UNIDADES'!$D$8:$D$987,"&lt;2004",'DETALLES UNIDADES'!$AL$8:$AL$987,"X")-DU33-DT33-DS33</f>
        <v>87</v>
      </c>
      <c r="DW33" s="249">
        <f>COUNTIFS('DETALLES UNIDADES'!$D$8:$D$987,"&lt;2007",'DETALLES UNIDADES'!$AL$8:$AL$987,"X")-DV33-DU33-DT33-DS33</f>
        <v>60</v>
      </c>
      <c r="DX33" s="249">
        <f>COUNTIFS('DETALLES UNIDADES'!$D$8:$D$987,"&lt;2011",'DETALLES UNIDADES'!$AL$8:$AL$987,"X")-DW33-DV33-DU33-DT33-DS33</f>
        <v>163</v>
      </c>
      <c r="DY33" s="249">
        <f>COUNTIFS('DETALLES UNIDADES'!$D$8:$D$987,"&gt;2010",'DETALLES UNIDADES'!$AL$8:$AL$987,"X")</f>
        <v>96</v>
      </c>
      <c r="DZ33" s="249">
        <f t="shared" si="192"/>
        <v>530</v>
      </c>
      <c r="ED33" s="17" t="s">
        <v>2662</v>
      </c>
      <c r="EE33" s="6">
        <f t="shared" si="204"/>
        <v>0.17307692307692307</v>
      </c>
      <c r="EF33" s="6">
        <f t="shared" si="193"/>
        <v>0.1276595744680851</v>
      </c>
      <c r="EG33" s="6">
        <f t="shared" si="194"/>
        <v>9.5238095238095233E-2</v>
      </c>
      <c r="EH33" s="6">
        <f t="shared" si="195"/>
        <v>0.1111111111111111</v>
      </c>
      <c r="EI33" s="6">
        <f t="shared" si="196"/>
        <v>6.1643835616438353E-2</v>
      </c>
      <c r="EJ33" s="6">
        <f t="shared" si="197"/>
        <v>3.125E-2</v>
      </c>
      <c r="EK33" s="6">
        <f t="shared" si="198"/>
        <v>0.14000000000000001</v>
      </c>
      <c r="EL33" s="6">
        <f t="shared" si="199"/>
        <v>9.3911248710010317E-2</v>
      </c>
      <c r="EM33" s="249">
        <f>COUNTIFS('DETALLES UNIDADES'!$BC$8:$BC$987,"&lt;1991",'DETALLES UNIDADES'!$AP$8:$AP$987,"&lt;30001")-EM32-EM31-EM30-EM29</f>
        <v>18</v>
      </c>
      <c r="EN33" s="249">
        <f>COUNTIFS('DETALLES UNIDADES'!$BC$8:$BC$987,"&lt;1994",'DETALLES UNIDADES'!$AP$8:$AP$987,"&lt;30001")-EM33-EN32-EM32-EN31-EM31-EN30-EM30-EN29-EM29</f>
        <v>6</v>
      </c>
      <c r="EO33" s="249">
        <f>COUNTIFS('DETALLES UNIDADES'!$BC$8:$BC$987,"&lt;1998",'DETALLES UNIDADES'!$AP$8:$AP$987,"&lt;30001")-EN33-EM33-EO32-EN32-EM32-EO31-EN31-EM31-EO30-EN30-EM30-EO29-EN29-EM29</f>
        <v>10</v>
      </c>
      <c r="EP33" s="249">
        <f>COUNTIFS('DETALLES UNIDADES'!$BC$8:$BC$987,"&lt;2004",'DETALLES UNIDADES'!$AP$8:$AP$987,"&lt;30001")-EO33-EN33-EM33-EP32-EO32-EN32-EM32-EP31-EO31-EN31-EM31-EP30-EO30-EN30-EM30-EP29-EO29-EN29-EM29</f>
        <v>27</v>
      </c>
      <c r="EQ33" s="249">
        <f>COUNTIFS('DETALLES UNIDADES'!$BC$8:$BC$987,"&lt;2007",'DETALLES UNIDADES'!$AP$8:$AP$987,"&lt;30001")-EP33-EO33-EN33-EM33-EQ32-EP32-EO32-EN32-EM32-EQ31-EP31-EO31-EN31-EM31-EQ30-EP30-EO30-EN30-EM30-EQ29-EP29-EO29-EN29-EM29</f>
        <v>9</v>
      </c>
      <c r="ER33" s="249">
        <f>COUNTIFS('DETALLES UNIDADES'!$BC$8:$BC$987,"&lt;2011",'DETALLES UNIDADES'!$AP$8:$AP$987,"&lt;30001")-EQ33-EP33-EO33-EN33-EM33-ER32-EQ32-EP32-EO32-EN32-EM32-ER31-EQ31-EP31-EO31-EN31-EM31-ER30-EQ30-EP30-EO30-EN30-EM30-ER29-EQ29-EP29-EO29-EN29-EM29</f>
        <v>7</v>
      </c>
      <c r="ES33" s="249">
        <f>COUNTIFS('DETALLES UNIDADES'!$BC$8:$BC$987,"&gt;2010",'DETALLES UNIDADES'!$AP$8:$AP$987,"&lt;30001")-ES32-ES31-ES30-ES29</f>
        <v>14</v>
      </c>
      <c r="ET33" s="249">
        <f t="shared" si="200"/>
        <v>91</v>
      </c>
      <c r="EV33" s="17" t="s">
        <v>2690</v>
      </c>
      <c r="FB33" s="17" t="s">
        <v>2690</v>
      </c>
      <c r="FM33" s="11" t="s">
        <v>2540</v>
      </c>
      <c r="FN33" s="6">
        <f t="shared" si="189"/>
        <v>4.5918367346938778E-2</v>
      </c>
      <c r="FO33" s="249">
        <f t="shared" si="190"/>
        <v>9</v>
      </c>
      <c r="GE33" s="11" t="s">
        <v>1662</v>
      </c>
      <c r="GF33" s="6">
        <f t="shared" si="191"/>
        <v>1</v>
      </c>
      <c r="GG33" s="249">
        <f>SUM(GG27:GG32)</f>
        <v>43</v>
      </c>
      <c r="GK33" s="11"/>
      <c r="GL33" s="6"/>
      <c r="GM33" s="249"/>
    </row>
    <row r="34" spans="1:195" x14ac:dyDescent="0.25">
      <c r="N34" s="249"/>
      <c r="X34" s="19" t="s">
        <v>1720</v>
      </c>
      <c r="Y34" s="254">
        <f t="shared" si="217"/>
        <v>0.15</v>
      </c>
      <c r="Z34" s="6">
        <f t="shared" ref="Z34:Z41" si="221">+AC34/$AC$41</f>
        <v>0.13348946135831383</v>
      </c>
      <c r="AB34" s="9">
        <f>COUNTIFS('DETALLES UNIDADES'!$S$8:$S$987,"D",'DETALLES UNIDADES'!$T$8:$T$987,"&lt;1.91")-AB33</f>
        <v>135</v>
      </c>
      <c r="AC34" s="249">
        <v>57</v>
      </c>
      <c r="BD34" s="11" t="s">
        <v>715</v>
      </c>
      <c r="BE34" s="6">
        <f t="shared" si="187"/>
        <v>1</v>
      </c>
      <c r="BF34" s="138">
        <f t="shared" si="188"/>
        <v>49</v>
      </c>
      <c r="BV34" s="17" t="s">
        <v>2596</v>
      </c>
      <c r="CH34" s="17" t="s">
        <v>853</v>
      </c>
      <c r="CI34" s="6">
        <f t="shared" si="218"/>
        <v>0.18536585365853658</v>
      </c>
      <c r="CJ34" s="6">
        <f t="shared" si="211"/>
        <v>8.5365853658536592E-2</v>
      </c>
      <c r="CK34" s="6">
        <f t="shared" si="212"/>
        <v>8.0487804878048783E-2</v>
      </c>
      <c r="CL34" s="6">
        <f t="shared" si="213"/>
        <v>2.1951219512195121E-2</v>
      </c>
      <c r="CM34" s="6">
        <f t="shared" si="214"/>
        <v>0.37317073170731707</v>
      </c>
      <c r="CN34" s="249">
        <f>COUNTIFS('ENCUESTA PROPIETARIOS'!$AZ$7:$AZ$417,"2",'ENCUESTA PROPIETARIOS'!$N$7:$N$417,"1")</f>
        <v>76</v>
      </c>
      <c r="CO34" s="249">
        <f>COUNTIFS('ENCUESTA PROPIETARIOS'!$AZ$7:$AZ$417,"2",'ENCUESTA PROPIETARIOS'!$N$7:$N$417,"2")</f>
        <v>35</v>
      </c>
      <c r="CP34" s="249">
        <f>COUNTIFS('ENCUESTA PROPIETARIOS'!$AZ$7:$AZ$417,"2",'ENCUESTA PROPIETARIOS'!$N$7:$N$417,"3")+COUNTIFS('ENCUESTA PROPIETARIOS'!$AZ$7:$AZ$417,"2",'ENCUESTA PROPIETARIOS'!$N$7:$N$417,"4")+COUNTIFS('ENCUESTA PROPIETARIOS'!$AZ$7:$AZ$417,"2",'ENCUESTA PROPIETARIOS'!$N$7:$N$417,"5")</f>
        <v>33</v>
      </c>
      <c r="CQ34" s="249">
        <f>COUNTIFS('ENCUESTA PROPIETARIOS'!$AZ$7:$AZ$417,"2",'ENCUESTA PROPIETARIOS'!$N$7:$N$417,"&gt;5")</f>
        <v>9</v>
      </c>
      <c r="CR34" s="249">
        <f t="shared" si="219"/>
        <v>153</v>
      </c>
      <c r="CT34" s="17" t="s">
        <v>2607</v>
      </c>
      <c r="CU34" s="6">
        <f t="shared" si="220"/>
        <v>4.746835443037975E-2</v>
      </c>
      <c r="CV34" s="249">
        <f t="shared" si="215"/>
        <v>15</v>
      </c>
      <c r="DF34" s="17" t="s">
        <v>2619</v>
      </c>
      <c r="DG34" s="6">
        <f t="shared" si="216"/>
        <v>4.8543689320388345E-3</v>
      </c>
      <c r="DH34" s="6">
        <f t="shared" si="205"/>
        <v>5.844155844155844E-2</v>
      </c>
      <c r="DI34" s="6">
        <f t="shared" si="206"/>
        <v>1.2578616352201259E-2</v>
      </c>
      <c r="DJ34" s="6">
        <f t="shared" si="207"/>
        <v>1.893939393939394E-2</v>
      </c>
      <c r="DK34" s="6">
        <f t="shared" si="208"/>
        <v>2.0169851380042462E-2</v>
      </c>
      <c r="DL34" s="249">
        <f>COUNTIFS('DETALLES UNIDADES'!$BA$8:$BA$987,"1",'DETALLES UNIDADES'!$AU$8:$AU$987,"&lt;125001")-DL33-DL32-DL31</f>
        <v>1</v>
      </c>
      <c r="DM34" s="249">
        <f>COUNTIFS('DETALLES UNIDADES'!$BA$8:$BA$987,"2",'DETALLES UNIDADES'!$AU$8:$AU$987,"&lt;125001")-DM33-DM32-DM31</f>
        <v>9</v>
      </c>
      <c r="DN34" s="249">
        <f>COUNTIFS('DETALLES UNIDADES'!$BA$8:$BA$987,"3",'DETALLES UNIDADES'!$AU$8:$AU$987,"&lt;125001")+COUNTIFS('DETALLES UNIDADES'!$BA$8:$BA$987,"4",'DETALLES UNIDADES'!$AU$8:$AU$987,"&lt;125001")+COUNTIFS('DETALLES UNIDADES'!$BA$8:$BA$987,"5",'DETALLES UNIDADES'!$AU$8:$AU$987,"&lt;125001")-DN33-DN32-DN31</f>
        <v>4</v>
      </c>
      <c r="DO34" s="249">
        <f>COUNTIFS('DETALLES UNIDADES'!$BA$8:$BA$987,"&gt;5",'DETALLES UNIDADES'!$AU$8:$AU$987,"&lt;125001")-DO33-DO32-DO31</f>
        <v>5</v>
      </c>
      <c r="DP34" s="249">
        <f t="shared" si="209"/>
        <v>19</v>
      </c>
      <c r="DR34" s="17" t="s">
        <v>2655</v>
      </c>
      <c r="DS34" s="249">
        <f>COUNTIFS('DETALLES UNIDADES'!$D$8:$D$987,"&lt;1991",'DETALLES UNIDADES'!$AM$8:$AM$987,"X")</f>
        <v>1</v>
      </c>
      <c r="DT34" s="249">
        <f>COUNTIFS('DETALLES UNIDADES'!$D$8:$D$987,"&lt;1994",'DETALLES UNIDADES'!$AM$8:$AM$987,"X")-DS34</f>
        <v>6</v>
      </c>
      <c r="DU34" s="249">
        <f>COUNTIFS('DETALLES UNIDADES'!$D$8:$D$987,"&lt;1998",'DETALLES UNIDADES'!$AM$8:$AM$987,"X")-DT34-DS34</f>
        <v>1</v>
      </c>
      <c r="DV34" s="249">
        <f>COUNTIFS('DETALLES UNIDADES'!$D$8:$D$987,"&lt;2004",'DETALLES UNIDADES'!$AM$8:$AM$987,"X")-DU34-DT34-DS34</f>
        <v>23</v>
      </c>
      <c r="DW34" s="249">
        <f>COUNTIFS('DETALLES UNIDADES'!$D$8:$D$987,"&lt;2007",'DETALLES UNIDADES'!$AM$8:$AM$987,"X")-DV34-DU34-DT34-DS34</f>
        <v>11</v>
      </c>
      <c r="DX34" s="249">
        <f>COUNTIFS('DETALLES UNIDADES'!$D$8:$D$987,"&lt;2011",'DETALLES UNIDADES'!$AM$8:$AM$987,"X")-DW34-DV34-DU34-DT34-DS34</f>
        <v>48</v>
      </c>
      <c r="DY34" s="249">
        <f>COUNTIFS('DETALLES UNIDADES'!$D$8:$D$987,"&gt;2010",'DETALLES UNIDADES'!$AM$8:$AM$987,"X")</f>
        <v>67</v>
      </c>
      <c r="DZ34" s="249">
        <f t="shared" si="192"/>
        <v>157</v>
      </c>
      <c r="ED34" s="17" t="s">
        <v>2663</v>
      </c>
      <c r="EE34" s="6">
        <f t="shared" si="204"/>
        <v>3.8461538461538464E-2</v>
      </c>
      <c r="EF34" s="6">
        <f t="shared" si="193"/>
        <v>8.5106382978723402E-2</v>
      </c>
      <c r="EG34" s="6">
        <f t="shared" si="194"/>
        <v>7.6190476190476197E-2</v>
      </c>
      <c r="EH34" s="6">
        <f t="shared" si="195"/>
        <v>8.2304526748971193E-2</v>
      </c>
      <c r="EI34" s="6">
        <f t="shared" si="196"/>
        <v>3.4246575342465752E-2</v>
      </c>
      <c r="EJ34" s="6">
        <f t="shared" si="197"/>
        <v>2.2321428571428572E-2</v>
      </c>
      <c r="EK34" s="6">
        <f t="shared" si="198"/>
        <v>0.13</v>
      </c>
      <c r="EL34" s="6">
        <f t="shared" si="199"/>
        <v>6.0887512899896801E-2</v>
      </c>
      <c r="EM34" s="249">
        <f>COUNTIFS('DETALLES UNIDADES'!$BC$8:$BC$987,"&lt;1991",'DETALLES UNIDADES'!$AP$8:$AP$987,"&lt;40001")-EM33-EM32-EM31-EM30-EM29</f>
        <v>4</v>
      </c>
      <c r="EN34" s="249">
        <f>COUNTIFS('DETALLES UNIDADES'!$BC$8:$BC$987,"&lt;1994",'DETALLES UNIDADES'!$AP$8:$AP$987,"&lt;40001")-EM34-EN33-EM33-EN32-EM32-EN31-EM31-EN30-EM30-EN29-EM29</f>
        <v>4</v>
      </c>
      <c r="EO34" s="249">
        <f>COUNTIFS('DETALLES UNIDADES'!$BC$8:$BC$987,"&lt;1998",'DETALLES UNIDADES'!$AP$8:$AP$987,"&lt;40001")-EN34-EM34-EO33-EN33-EM33-EO32-EN32-EM32-EO31-EN31-EM31-EO30-EN30-EM30-EO29-EN29-EM29</f>
        <v>8</v>
      </c>
      <c r="EP34" s="249">
        <f>COUNTIFS('DETALLES UNIDADES'!$BC$8:$BC$987,"&lt;2004",'DETALLES UNIDADES'!$AP$8:$AP$987,"&lt;40001")-EO34-EN34-EM34-EP33-EO33-EN33-EM33-EP32-EO32-EN32-EM32-EP31-EO31-EN31-EM31-EP30-EO30-EN30-EM30-EP29-EO29-EN29-EM29</f>
        <v>20</v>
      </c>
      <c r="EQ34" s="249">
        <f>COUNTIFS('DETALLES UNIDADES'!$BC$8:$BC$987,"&lt;2007",'DETALLES UNIDADES'!$AP$8:$AP$987,"&lt;40001")-EP34-EO34-EN34-EM34-EQ33-EP33-EO33-EN33-EM33-EQ32-EP32-EO32-EN32-EM32-EQ31-EP31-EO31-EN31-EM31-EQ30-EP30-EO30-EN30-EM30-EQ29-EP29-EO29-EN29-EM29</f>
        <v>5</v>
      </c>
      <c r="ER34" s="249">
        <f>COUNTIFS('DETALLES UNIDADES'!$BC$8:$BC$987,"&lt;2011",'DETALLES UNIDADES'!$AP$8:$AP$987,"&lt;40001")-EQ34-EP34-EO34-EN34-EM34-ER33-EQ33-EP33-EO33-EN33-EM33-ER32-EQ32-EP32-EO32-EN32-EM32-ER31-EQ31-EP31-EO31-EN31-EM31-ER30-EQ30-EP30-EO30-EN30-EM30-ER29-EQ29-EP29-EO29-EN29-EM29</f>
        <v>5</v>
      </c>
      <c r="ES34" s="249">
        <f>COUNTIFS('DETALLES UNIDADES'!$BC$8:$BC$987,"&gt;2010",'DETALLES UNIDADES'!$AP$8:$AP$987,"&lt;40001")-ES33-ES32-ES31-ES30-ES29</f>
        <v>13</v>
      </c>
      <c r="ET34" s="249">
        <f t="shared" si="200"/>
        <v>59</v>
      </c>
      <c r="EW34" s="17" t="s">
        <v>2691</v>
      </c>
      <c r="EX34" s="17" t="s">
        <v>2693</v>
      </c>
      <c r="EY34" s="17" t="s">
        <v>2692</v>
      </c>
      <c r="EZ34" s="17" t="s">
        <v>2694</v>
      </c>
      <c r="FC34" s="17" t="s">
        <v>2691</v>
      </c>
      <c r="FD34" s="17" t="s">
        <v>2693</v>
      </c>
      <c r="FE34" s="17" t="s">
        <v>2692</v>
      </c>
      <c r="FF34" s="17" t="s">
        <v>2694</v>
      </c>
      <c r="FM34" s="11" t="s">
        <v>1662</v>
      </c>
      <c r="FN34" s="6">
        <f t="shared" si="189"/>
        <v>1</v>
      </c>
      <c r="FO34" s="249">
        <f t="shared" si="190"/>
        <v>196</v>
      </c>
      <c r="GE34" s="11" t="s">
        <v>396</v>
      </c>
      <c r="GG34" s="138">
        <f>COUNTIFS('DETALLES UNIDADES'!$C$8:$C$987,"T2",'DETALLES UNIDADES'!$R$8:$R$987,"NO SABE")+COUNTIFS('DETALLES UNIDADES'!$C$8:$C$987,"T2",'DETALLES UNIDADES'!$R$8:$R$987,"VARIABLE")+COUNTIFS('DETALLES UNIDADES'!$C$8:$C$987,"T2",'DETALLES UNIDADES'!$R$8:$R$987,"NO CONTESTA")</f>
        <v>0</v>
      </c>
      <c r="GK34" s="11"/>
      <c r="GM34" s="138"/>
    </row>
    <row r="35" spans="1:195" x14ac:dyDescent="0.25">
      <c r="A35" s="17" t="s">
        <v>2500</v>
      </c>
      <c r="N35" s="249"/>
      <c r="X35" s="19" t="s">
        <v>1721</v>
      </c>
      <c r="Y35" s="254">
        <f t="shared" si="217"/>
        <v>0.19444444444444445</v>
      </c>
      <c r="Z35" s="6">
        <f t="shared" si="221"/>
        <v>9.3676814988290405E-2</v>
      </c>
      <c r="AB35" s="9">
        <f>COUNTIFS('DETALLES UNIDADES'!$S$8:$S$987,"D",'DETALLES UNIDADES'!$T$8:$T$987,"&lt;2.01")-AB34-AB33</f>
        <v>175</v>
      </c>
      <c r="AC35" s="249">
        <v>40</v>
      </c>
      <c r="AK35" s="17" t="s">
        <v>2543</v>
      </c>
      <c r="BW35" s="17" t="s">
        <v>814</v>
      </c>
      <c r="BX35" s="17" t="s">
        <v>815</v>
      </c>
      <c r="BY35" s="17" t="s">
        <v>1780</v>
      </c>
      <c r="BZ35" s="17" t="s">
        <v>1781</v>
      </c>
      <c r="CB35" s="17" t="s">
        <v>814</v>
      </c>
      <c r="CC35" s="17" t="s">
        <v>815</v>
      </c>
      <c r="CD35" s="17" t="s">
        <v>1780</v>
      </c>
      <c r="CE35" s="17" t="s">
        <v>1781</v>
      </c>
      <c r="CH35" s="17" t="s">
        <v>346</v>
      </c>
      <c r="CI35" s="6">
        <f t="shared" si="218"/>
        <v>0</v>
      </c>
      <c r="CJ35" s="6">
        <f t="shared" si="211"/>
        <v>0</v>
      </c>
      <c r="CK35" s="6">
        <f t="shared" si="212"/>
        <v>0</v>
      </c>
      <c r="CL35" s="6">
        <f t="shared" si="213"/>
        <v>0</v>
      </c>
      <c r="CM35" s="6">
        <f t="shared" si="214"/>
        <v>0</v>
      </c>
      <c r="CN35" s="249">
        <v>0</v>
      </c>
      <c r="CO35" s="249">
        <v>0</v>
      </c>
      <c r="CP35" s="249">
        <v>0</v>
      </c>
      <c r="CQ35" s="249">
        <v>0</v>
      </c>
      <c r="CR35" s="249">
        <f t="shared" si="219"/>
        <v>0</v>
      </c>
      <c r="CT35" s="17" t="s">
        <v>2608</v>
      </c>
      <c r="CU35" s="6">
        <f t="shared" si="220"/>
        <v>8.2278481012658222E-2</v>
      </c>
      <c r="CV35" s="249">
        <f t="shared" si="215"/>
        <v>26</v>
      </c>
      <c r="DF35" s="17" t="s">
        <v>2620</v>
      </c>
      <c r="DG35" s="6">
        <f t="shared" si="216"/>
        <v>1.9417475728155338E-2</v>
      </c>
      <c r="DH35" s="6">
        <f t="shared" si="205"/>
        <v>5.1948051948051951E-2</v>
      </c>
      <c r="DI35" s="6">
        <f t="shared" si="206"/>
        <v>7.5471698113207544E-2</v>
      </c>
      <c r="DJ35" s="6">
        <f t="shared" si="207"/>
        <v>0.14393939393939395</v>
      </c>
      <c r="DK35" s="6">
        <f t="shared" si="208"/>
        <v>7.8556263269639062E-2</v>
      </c>
      <c r="DL35" s="249">
        <f>COUNTIFS('DETALLES UNIDADES'!$BA$8:$BA$987,"1",'DETALLES UNIDADES'!$AU$8:$AU$987,"&lt;150001")-DL34-DL33-DL32-DL31</f>
        <v>4</v>
      </c>
      <c r="DM35" s="249">
        <f>COUNTIFS('DETALLES UNIDADES'!$BA$8:$BA$987,"2",'DETALLES UNIDADES'!$AU$8:$AU$987,"&lt;150001")-DM34-DM33-DM32-DM31</f>
        <v>8</v>
      </c>
      <c r="DN35" s="249">
        <f>COUNTIFS('DETALLES UNIDADES'!$BA$8:$BA$987,"3",'DETALLES UNIDADES'!$AU$8:$AU$987,"&lt;150001")+COUNTIFS('DETALLES UNIDADES'!$BA$8:$BA$987,"4",'DETALLES UNIDADES'!$AU$8:$AU$987,"&lt;150001")+COUNTIFS('DETALLES UNIDADES'!$BA$8:$BA$987,"5",'DETALLES UNIDADES'!$AU$8:$AU$987,"&lt;150001")-DN34-DN33-DN32-DN31</f>
        <v>24</v>
      </c>
      <c r="DO35" s="249">
        <f>COUNTIFS('DETALLES UNIDADES'!$BA$8:$BA$987,"&gt;5",'DETALLES UNIDADES'!$AU$8:$AU$987,"&lt;150001")-DO34-DO33-DO32-DO31</f>
        <v>38</v>
      </c>
      <c r="DP35" s="249">
        <f t="shared" si="209"/>
        <v>74</v>
      </c>
      <c r="DR35" s="17" t="s">
        <v>332</v>
      </c>
      <c r="DS35" s="249">
        <f>COUNTIFS('DETALLES UNIDADES'!$D$8:$D$987,"&lt;1991",'DETALLES UNIDADES'!$AD$8:$AD$987,"NINGUNO")</f>
        <v>22</v>
      </c>
      <c r="DT35" s="249">
        <f>COUNTIFS('DETALLES UNIDADES'!$D$8:$D$987,"&lt;1994",'DETALLES UNIDADES'!$AD$8:$AD$987,"NINGUNO")-DS35</f>
        <v>4</v>
      </c>
      <c r="DU35" s="249">
        <f>COUNTIFS('DETALLES UNIDADES'!$D$8:$D$987,"&lt;1998",'DETALLES UNIDADES'!$AD$8:$AD$987,"NINGUNO")-DT35-DS35</f>
        <v>22</v>
      </c>
      <c r="DV35" s="249">
        <f>COUNTIFS('DETALLES UNIDADES'!$D$8:$D$987,"&lt;2004",'DETALLES UNIDADES'!$AD$8:$AD$987,"NINGUNO")-DU35-DT35-DS35</f>
        <v>38</v>
      </c>
      <c r="DW35" s="249">
        <f>COUNTIFS('DETALLES UNIDADES'!$D$8:$D$987,"&lt;2007",'DETALLES UNIDADES'!$AD$8:$AD$987,"NINGUNO")-DV35-DU35-DT35-DS35</f>
        <v>7</v>
      </c>
      <c r="DX35" s="249">
        <f>COUNTIFS('DETALLES UNIDADES'!$D$8:$D$987,"&lt;2011",'DETALLES UNIDADES'!$AD$8:$AD$987,"NINGUNO")-DW35-DV35-DU35-DT35-DS35</f>
        <v>3</v>
      </c>
      <c r="DY35" s="249">
        <f>COUNTIFS('DETALLES UNIDADES'!$D$8:$D$987,"&gt;2010",'DETALLES UNIDADES'!$AD$8:$AD$987,"NINGUNO")</f>
        <v>0</v>
      </c>
      <c r="DZ35" s="249">
        <f t="shared" si="192"/>
        <v>96</v>
      </c>
      <c r="ED35" s="17" t="s">
        <v>2664</v>
      </c>
      <c r="EE35" s="6">
        <f t="shared" si="204"/>
        <v>0.46153846153846156</v>
      </c>
      <c r="EF35" s="6">
        <f t="shared" si="193"/>
        <v>0.46808510638297873</v>
      </c>
      <c r="EG35" s="6">
        <f t="shared" si="194"/>
        <v>0.45714285714285713</v>
      </c>
      <c r="EH35" s="6">
        <f t="shared" si="195"/>
        <v>0.56378600823045266</v>
      </c>
      <c r="EI35" s="6">
        <f t="shared" si="196"/>
        <v>0.6095890410958904</v>
      </c>
      <c r="EJ35" s="6">
        <f t="shared" si="197"/>
        <v>0.6473214285714286</v>
      </c>
      <c r="EK35" s="6">
        <f t="shared" si="198"/>
        <v>0.44</v>
      </c>
      <c r="EL35" s="6">
        <f t="shared" si="199"/>
        <v>0.55005159958720329</v>
      </c>
      <c r="EM35" s="249">
        <f>COUNTIFS('DETALLES UNIDADES'!$BC$8:$BC$987,"&lt;1991",'DETALLES UNIDADES'!$AP$8:$AP$987,"&gt;40000")</f>
        <v>48</v>
      </c>
      <c r="EN35" s="249">
        <f>COUNTIFS('DETALLES UNIDADES'!$BC$8:$BC$987,"&lt;1994",'DETALLES UNIDADES'!$AP$8:$AP$987,"&gt;40000")-EM35</f>
        <v>22</v>
      </c>
      <c r="EO35" s="249">
        <f>COUNTIFS('DETALLES UNIDADES'!$BC$8:$BC$987,"&lt;1998",'DETALLES UNIDADES'!$AP$8:$AP$987,"&gt;40000")-EN35-EM35</f>
        <v>48</v>
      </c>
      <c r="EP35" s="249">
        <f>COUNTIFS('DETALLES UNIDADES'!$BC$8:$BC$987,"&lt;2004",'DETALLES UNIDADES'!$AP$8:$AP$987,"&gt;40000")-EO35-EN35-EM35</f>
        <v>137</v>
      </c>
      <c r="EQ35" s="249">
        <f>COUNTIFS('DETALLES UNIDADES'!$BC$8:$BC$987,"&lt;2007",'DETALLES UNIDADES'!$AP$8:$AP$987,"&gt;40000")-EP35-EO35-EN35-EM35</f>
        <v>89</v>
      </c>
      <c r="ER35" s="249">
        <f>COUNTIFS('DETALLES UNIDADES'!$BC$8:$BC$987,"&lt;2011",'DETALLES UNIDADES'!$AP$8:$AP$987,"&gt;40000")-EQ35-EP35-EO35-EN35-EM35</f>
        <v>145</v>
      </c>
      <c r="ES35" s="249">
        <f>COUNTIFS('DETALLES UNIDADES'!$BC$8:$BC$987,"&gt;2010",'DETALLES UNIDADES'!$AP$8:$AP$987,"&gt;40000")</f>
        <v>44</v>
      </c>
      <c r="ET35" s="249">
        <f t="shared" si="200"/>
        <v>533</v>
      </c>
      <c r="EV35" s="112" t="s">
        <v>584</v>
      </c>
      <c r="EW35" s="249">
        <f>COUNTIFS('ENCUESTA PROPIETARIOS'!$I$7:$I$417,"SIN ESTUDIOS",'ENCUESTA PROPIETARIOS'!$BN$7:$BN$417,"X")</f>
        <v>0</v>
      </c>
      <c r="EX35" s="249">
        <f>COUNTIFS('ENCUESTA PROPIETARIOS'!$I$7:$I$417,"SIN ESTUDIOS",'ENCUESTA PROPIETARIOS'!$BO$7:$BO$417,"X")</f>
        <v>16</v>
      </c>
      <c r="EY35" s="249">
        <f>COUNTIFS('ENCUESTA PROPIETARIOS'!$I$7:$I$417,"SIN ESTUDIOS",'ENCUESTA PROPIETARIOS'!$BP$7:$BP$417,"X")</f>
        <v>1</v>
      </c>
      <c r="EZ35" s="249">
        <f>COUNTIFS('ENCUESTA PROPIETARIOS'!$I$7:$I$417,"SIN ESTUDIOS",'ENCUESTA PROPIETARIOS'!$BQ$7:$BQ$417,"X")</f>
        <v>15</v>
      </c>
      <c r="FA35" s="249">
        <f>+EZ35+EY35</f>
        <v>16</v>
      </c>
      <c r="FB35" s="112" t="s">
        <v>584</v>
      </c>
      <c r="FC35" s="6">
        <f>+EW35/($EW35+$EX35)</f>
        <v>0</v>
      </c>
      <c r="FD35" s="6">
        <f>+EX35/($EW35+$EX35)</f>
        <v>1</v>
      </c>
      <c r="FE35" s="6">
        <f>+EY35/($EY35+$EZ35)</f>
        <v>6.25E-2</v>
      </c>
      <c r="FF35" s="6">
        <f>+EZ35/($EY35+$EZ35)</f>
        <v>0.9375</v>
      </c>
      <c r="FG35" s="190">
        <f>SUM(FE35:FF35)</f>
        <v>1</v>
      </c>
      <c r="GE35" s="11" t="s">
        <v>480</v>
      </c>
      <c r="GG35" s="138"/>
      <c r="GK35" s="11"/>
      <c r="GM35" s="138"/>
    </row>
    <row r="36" spans="1:195" x14ac:dyDescent="0.25">
      <c r="D36" s="17" t="s">
        <v>1781</v>
      </c>
      <c r="N36" s="249"/>
      <c r="X36" s="19" t="s">
        <v>1722</v>
      </c>
      <c r="Y36" s="254">
        <f t="shared" si="217"/>
        <v>0.17</v>
      </c>
      <c r="Z36" s="6">
        <f t="shared" si="221"/>
        <v>7.2599531615925056E-2</v>
      </c>
      <c r="AB36" s="9">
        <f>COUNTIFS('DETALLES UNIDADES'!$S$8:$S$987,"D",'DETALLES UNIDADES'!$T$8:$T$987,"&lt;2.21")-AB35-AB34-AB33</f>
        <v>153</v>
      </c>
      <c r="AC36" s="249">
        <v>31</v>
      </c>
      <c r="AK36" s="11"/>
      <c r="AM36" s="249" t="s">
        <v>359</v>
      </c>
      <c r="BD36" s="11" t="s">
        <v>2571</v>
      </c>
      <c r="BV36" s="17" t="s">
        <v>584</v>
      </c>
      <c r="BW36" s="6">
        <f>+CB36/CB$42</f>
        <v>6.9306930693069313E-2</v>
      </c>
      <c r="BX36" s="6">
        <f t="shared" ref="BX36:BX42" si="222">+CC36/CC$42</f>
        <v>1.1764705882352941E-2</v>
      </c>
      <c r="BY36" s="6">
        <f t="shared" ref="BY36:BY42" si="223">+CD36/CD$42</f>
        <v>1.1111111111111112E-2</v>
      </c>
      <c r="BZ36" s="6">
        <f t="shared" ref="BZ36:BZ42" si="224">+CE36/CE$42</f>
        <v>0</v>
      </c>
      <c r="CA36" s="6">
        <f t="shared" ref="CA36:CA42" si="225">+CF36/CF$42</f>
        <v>3.8929440389294405E-2</v>
      </c>
      <c r="CB36" s="249">
        <f>COUNTIFS('ENCUESTA PROPIETARIOS'!$N$7:$N$417,"1",'ENCUESTA PROPIETARIOS'!$I$7:$I$417,"SIN ESTUDIOS")</f>
        <v>14</v>
      </c>
      <c r="CC36" s="249">
        <f>COUNTIFS('ENCUESTA PROPIETARIOS'!$N$7:$N$417,"2",'ENCUESTA PROPIETARIOS'!$I$7:$I$417,"SIN ESTUDIOS")</f>
        <v>1</v>
      </c>
      <c r="CD36" s="249">
        <f>COUNTIFS('ENCUESTA PROPIETARIOS'!$N$7:$N$417,"3",'ENCUESTA PROPIETARIOS'!$I$7:$I$417,"SIN ESTUDIOS")+COUNTIFS('ENCUESTA PROPIETARIOS'!$N$7:$N$417,"4",'ENCUESTA PROPIETARIOS'!$I$7:$I$417,"SIN ESTUDIOS")+COUNTIFS('ENCUESTA PROPIETARIOS'!$N$7:$N$417,"5",'ENCUESTA PROPIETARIOS'!$I$7:$I$417,"SIN ESTUDIOS")</f>
        <v>1</v>
      </c>
      <c r="CE36" s="249">
        <f>COUNTIFS('ENCUESTA PROPIETARIOS'!$N$7:$N$417,"&gt;5",'ENCUESTA PROPIETARIOS'!$I$7:$I$417,"SIN ESTUDIOS")</f>
        <v>0</v>
      </c>
      <c r="CF36" s="249">
        <f>SUM(CB36:CE36)</f>
        <v>16</v>
      </c>
      <c r="CH36" s="17" t="s">
        <v>1662</v>
      </c>
      <c r="CI36" s="6">
        <f t="shared" si="218"/>
        <v>0.49268292682926829</v>
      </c>
      <c r="CJ36" s="6">
        <f t="shared" si="211"/>
        <v>0.20487804878048779</v>
      </c>
      <c r="CK36" s="6">
        <f t="shared" si="212"/>
        <v>0.21951219512195122</v>
      </c>
      <c r="CL36" s="6">
        <f t="shared" si="213"/>
        <v>8.2926829268292687E-2</v>
      </c>
      <c r="CM36" s="6">
        <f t="shared" si="214"/>
        <v>1</v>
      </c>
      <c r="CN36" s="249">
        <f>SUM(CN32:CN35)</f>
        <v>202</v>
      </c>
      <c r="CO36" s="249">
        <f t="shared" ref="CO36" si="226">SUM(CO32:CO35)</f>
        <v>84</v>
      </c>
      <c r="CP36" s="249">
        <f t="shared" ref="CP36" si="227">SUM(CP32:CP35)</f>
        <v>90</v>
      </c>
      <c r="CQ36" s="249">
        <f t="shared" ref="CQ36" si="228">SUM(CQ32:CQ35)</f>
        <v>34</v>
      </c>
      <c r="CR36" s="249">
        <f t="shared" si="219"/>
        <v>410</v>
      </c>
      <c r="CT36" s="17" t="s">
        <v>2609</v>
      </c>
      <c r="CU36" s="6">
        <f t="shared" si="220"/>
        <v>2.8481012658227847E-2</v>
      </c>
      <c r="CV36" s="249">
        <f t="shared" si="215"/>
        <v>9</v>
      </c>
      <c r="DF36" s="17" t="s">
        <v>2621</v>
      </c>
      <c r="DG36" s="6">
        <f t="shared" si="216"/>
        <v>4.8543689320388345E-3</v>
      </c>
      <c r="DH36" s="6">
        <f t="shared" si="205"/>
        <v>0</v>
      </c>
      <c r="DI36" s="6">
        <f t="shared" si="206"/>
        <v>0</v>
      </c>
      <c r="DJ36" s="6">
        <f t="shared" si="207"/>
        <v>0</v>
      </c>
      <c r="DK36" s="6">
        <f t="shared" si="208"/>
        <v>1.0615711252653928E-3</v>
      </c>
      <c r="DL36" s="249">
        <f>COUNTIFS('DETALLES UNIDADES'!$BA$8:$BA$987,"1",'DETALLES UNIDADES'!$AU$8:$AU$987,"&lt;175001")-DL35-DL34-DL33-DL32-DL31</f>
        <v>1</v>
      </c>
      <c r="DM36" s="249">
        <f>COUNTIFS('DETALLES UNIDADES'!$BA$8:$BA$987,"2",'DETALLES UNIDADES'!$AU$8:$AU$987,"&lt;175001")-DM35-DM34-DM33-DM32-DM31</f>
        <v>0</v>
      </c>
      <c r="DN36" s="249">
        <f>COUNTIFS('DETALLES UNIDADES'!$BA$8:$BA$987,"3",'DETALLES UNIDADES'!$AU$8:$AU$987,"&lt;175001")+COUNTIFS('DETALLES UNIDADES'!$BA$8:$BA$987,"4",'DETALLES UNIDADES'!$AU$8:$AU$987,"&lt;175001")+COUNTIFS('DETALLES UNIDADES'!$BA$8:$BA$987,"5",'DETALLES UNIDADES'!$AU$8:$AU$987,"&lt;175001")-DN35-DN34-DN33-DN32-DN31</f>
        <v>0</v>
      </c>
      <c r="DO36" s="249">
        <f>COUNTIFS('DETALLES UNIDADES'!$BA$8:$BA$987,"&gt;5",'DETALLES UNIDADES'!$AU$8:$AU$987,"&lt;175001")-DO35-DO34-DO33-DO32-DO31</f>
        <v>0</v>
      </c>
      <c r="DP36" s="249">
        <f t="shared" si="209"/>
        <v>1</v>
      </c>
      <c r="DR36" s="17" t="s">
        <v>1662</v>
      </c>
      <c r="DS36" s="249">
        <f>SUM(DS29:DS35)</f>
        <v>183</v>
      </c>
      <c r="DT36" s="249">
        <f t="shared" ref="DT36:DZ36" si="229">SUM(DT29:DT35)</f>
        <v>52</v>
      </c>
      <c r="DU36" s="249">
        <f t="shared" si="229"/>
        <v>119</v>
      </c>
      <c r="DV36" s="249">
        <f t="shared" si="229"/>
        <v>354</v>
      </c>
      <c r="DW36" s="249">
        <f t="shared" si="229"/>
        <v>228</v>
      </c>
      <c r="DX36" s="249">
        <f t="shared" si="229"/>
        <v>521</v>
      </c>
      <c r="DY36" s="249">
        <f t="shared" si="229"/>
        <v>387</v>
      </c>
      <c r="DZ36" s="249">
        <f t="shared" si="229"/>
        <v>1844</v>
      </c>
      <c r="ED36" s="17" t="s">
        <v>1662</v>
      </c>
      <c r="EE36" s="6">
        <f t="shared" si="204"/>
        <v>1</v>
      </c>
      <c r="EF36" s="6">
        <f t="shared" si="193"/>
        <v>1</v>
      </c>
      <c r="EG36" s="6">
        <f t="shared" si="194"/>
        <v>1</v>
      </c>
      <c r="EH36" s="6">
        <f t="shared" si="195"/>
        <v>1</v>
      </c>
      <c r="EI36" s="6">
        <f t="shared" si="196"/>
        <v>1</v>
      </c>
      <c r="EJ36" s="6">
        <f t="shared" si="197"/>
        <v>1</v>
      </c>
      <c r="EK36" s="6">
        <f t="shared" si="198"/>
        <v>1</v>
      </c>
      <c r="EL36" s="6">
        <f t="shared" si="199"/>
        <v>1</v>
      </c>
      <c r="EM36" s="249">
        <f>SUM(EM29:EM35)</f>
        <v>104</v>
      </c>
      <c r="EN36" s="249">
        <f t="shared" ref="EN36" si="230">SUM(EN29:EN35)</f>
        <v>47</v>
      </c>
      <c r="EO36" s="249">
        <f t="shared" ref="EO36" si="231">SUM(EO29:EO35)</f>
        <v>105</v>
      </c>
      <c r="EP36" s="249">
        <f t="shared" ref="EP36" si="232">SUM(EP29:EP35)</f>
        <v>243</v>
      </c>
      <c r="EQ36" s="249">
        <f t="shared" ref="EQ36" si="233">SUM(EQ29:EQ35)</f>
        <v>146</v>
      </c>
      <c r="ER36" s="249">
        <f t="shared" ref="ER36" si="234">SUM(ER29:ER35)</f>
        <v>224</v>
      </c>
      <c r="ES36" s="249">
        <f t="shared" ref="ES36" si="235">SUM(ES29:ES35)</f>
        <v>100</v>
      </c>
      <c r="ET36" s="249">
        <f t="shared" ref="ET36" si="236">SUM(ET29:ET35)</f>
        <v>969</v>
      </c>
      <c r="EV36" s="112" t="s">
        <v>353</v>
      </c>
      <c r="EW36" s="249">
        <f>COUNTIFS('ENCUESTA PROPIETARIOS'!$I$7:$I$417,"PRIMARIA",'ENCUESTA PROPIETARIOS'!$BN$7:$BN$417,"X")</f>
        <v>13</v>
      </c>
      <c r="EX36" s="249">
        <f>COUNTIFS('ENCUESTA PROPIETARIOS'!$I$7:$I$417,"PRIMARIA",'ENCUESTA PROPIETARIOS'!$BO$7:$BO$417,"X")</f>
        <v>61</v>
      </c>
      <c r="EY36" s="249">
        <f>COUNTIFS('ENCUESTA PROPIETARIOS'!$I$7:$I$417,"PRIMARIA",'ENCUESTA PROPIETARIOS'!$BP$7:$BP$417,"X")</f>
        <v>31</v>
      </c>
      <c r="EZ36" s="249">
        <f>COUNTIFS('ENCUESTA PROPIETARIOS'!$I$7:$I$417,"PRIMARIA",'ENCUESTA PROPIETARIOS'!$BQ$7:$BQ$417,"X")</f>
        <v>43</v>
      </c>
      <c r="FA36" s="249">
        <f t="shared" ref="FA36:FA41" si="237">+EZ36+EY36</f>
        <v>74</v>
      </c>
      <c r="FB36" s="112" t="s">
        <v>353</v>
      </c>
      <c r="FC36" s="6">
        <f t="shared" ref="FC36:FC41" si="238">+EW36/($EW36+$EX36)</f>
        <v>0.17567567567567569</v>
      </c>
      <c r="FD36" s="6">
        <f t="shared" ref="FD36:FD41" si="239">+EX36/($EW36+$EX36)</f>
        <v>0.82432432432432434</v>
      </c>
      <c r="FE36" s="6">
        <f t="shared" ref="FE36:FE41" si="240">+EY36/($EY36+$EZ36)</f>
        <v>0.41891891891891891</v>
      </c>
      <c r="FF36" s="6">
        <f t="shared" ref="FF36:FF41" si="241">+EZ36/($EY36+$EZ36)</f>
        <v>0.58108108108108103</v>
      </c>
      <c r="FG36" s="190">
        <f t="shared" ref="FG36:FG41" si="242">SUM(FE36:FF36)</f>
        <v>1</v>
      </c>
      <c r="FM36" s="17" t="s">
        <v>2708</v>
      </c>
      <c r="GF36" s="139"/>
      <c r="GG36" s="138">
        <f>+GG35+GG34+GG33</f>
        <v>43</v>
      </c>
      <c r="GL36" s="139"/>
      <c r="GM36" s="138"/>
    </row>
    <row r="37" spans="1:195" x14ac:dyDescent="0.25">
      <c r="B37" s="249" t="s">
        <v>348</v>
      </c>
      <c r="C37" s="189">
        <f>+D37/$D$41</f>
        <v>0.16319444444444445</v>
      </c>
      <c r="D37" s="249">
        <f>COUNTIFS('DETALLES UNIDADES'!$C$8:$C$987,"C2",'DETALLES UNIDADES'!$BA$8:$BA$987,"&gt;5")</f>
        <v>47</v>
      </c>
      <c r="N37" s="249"/>
      <c r="X37" s="19" t="s">
        <v>1723</v>
      </c>
      <c r="Y37" s="254">
        <f t="shared" si="217"/>
        <v>0.20444444444444446</v>
      </c>
      <c r="Z37" s="6">
        <f t="shared" si="221"/>
        <v>0.37704918032786883</v>
      </c>
      <c r="AB37" s="9">
        <f>COUNTIFS('DETALLES UNIDADES'!$S$8:$S$987,"D",'DETALLES UNIDADES'!$T$8:$T$987,"&lt;2.51")-AB36-AB35-AB34-AB33</f>
        <v>184</v>
      </c>
      <c r="AC37" s="249">
        <v>161</v>
      </c>
      <c r="AK37" s="11" t="s">
        <v>2534</v>
      </c>
      <c r="AL37" s="6">
        <f>+AM37/$AM$44</f>
        <v>0</v>
      </c>
      <c r="AM37" s="249">
        <f>+AS3</f>
        <v>0</v>
      </c>
      <c r="BD37" s="11"/>
      <c r="BE37" s="11" t="s">
        <v>2572</v>
      </c>
      <c r="BV37" s="17" t="s">
        <v>353</v>
      </c>
      <c r="BW37" s="6">
        <f t="shared" ref="BW37:BW42" si="243">+CB37/CB$42</f>
        <v>0.23762376237623761</v>
      </c>
      <c r="BX37" s="6">
        <f t="shared" si="222"/>
        <v>0.17647058823529413</v>
      </c>
      <c r="BY37" s="6">
        <f t="shared" si="223"/>
        <v>0.1</v>
      </c>
      <c r="BZ37" s="6">
        <f t="shared" si="224"/>
        <v>5.8823529411764705E-2</v>
      </c>
      <c r="CA37" s="6">
        <f t="shared" si="225"/>
        <v>0.18004866180048662</v>
      </c>
      <c r="CB37" s="249">
        <f>COUNTIFS('ENCUESTA PROPIETARIOS'!$N$7:$N$417,"1",'ENCUESTA PROPIETARIOS'!$I$7:$I$417,"PRIMARIA")</f>
        <v>48</v>
      </c>
      <c r="CC37" s="249">
        <f>COUNTIFS('ENCUESTA PROPIETARIOS'!$N$7:$N$417,"2",'ENCUESTA PROPIETARIOS'!$I$7:$I$417,"PRIMARIA")</f>
        <v>15</v>
      </c>
      <c r="CD37" s="249">
        <f>COUNTIFS('ENCUESTA PROPIETARIOS'!$N$7:$N$417,"3",'ENCUESTA PROPIETARIOS'!$I$7:$I$417,"PRIMARIA")+COUNTIFS('ENCUESTA PROPIETARIOS'!$N$7:$N$417,"4",'ENCUESTA PROPIETARIOS'!$I$7:$I$417,"PRIMARIA")+COUNTIFS('ENCUESTA PROPIETARIOS'!$N$7:$N$417,"5",'ENCUESTA PROPIETARIOS'!$I$7:$I$417,"PRIMARIA")</f>
        <v>9</v>
      </c>
      <c r="CE37" s="249">
        <f>COUNTIFS('ENCUESTA PROPIETARIOS'!$N$7:$N$417,"&gt;5",'ENCUESTA PROPIETARIOS'!$I$7:$I$417,"PRIMARIA")</f>
        <v>2</v>
      </c>
      <c r="CF37" s="249">
        <f t="shared" ref="CF37:CF42" si="244">SUM(CB37:CE37)</f>
        <v>74</v>
      </c>
      <c r="CM37" s="249">
        <f>SUM(CM32:CM35)</f>
        <v>1</v>
      </c>
      <c r="CR37" s="249">
        <f>SUM(CR32:CR35)</f>
        <v>410</v>
      </c>
      <c r="CT37" s="17" t="s">
        <v>1662</v>
      </c>
      <c r="CU37" s="6">
        <f t="shared" si="220"/>
        <v>1</v>
      </c>
      <c r="CV37" s="249">
        <f t="shared" si="215"/>
        <v>316</v>
      </c>
      <c r="DF37" s="17" t="s">
        <v>2622</v>
      </c>
      <c r="DG37" s="6">
        <f t="shared" si="216"/>
        <v>2.9126213592233011E-2</v>
      </c>
      <c r="DH37" s="6">
        <f t="shared" si="205"/>
        <v>2.5974025974025976E-2</v>
      </c>
      <c r="DI37" s="6">
        <f t="shared" si="206"/>
        <v>0.1069182389937107</v>
      </c>
      <c r="DJ37" s="6">
        <f t="shared" si="207"/>
        <v>4.1666666666666664E-2</v>
      </c>
      <c r="DK37" s="6">
        <f t="shared" si="208"/>
        <v>5.8386411889596604E-2</v>
      </c>
      <c r="DL37" s="249">
        <f>COUNTIFS('DETALLES UNIDADES'!$BA$8:$BA$987,"1",'DETALLES UNIDADES'!$AU$8:$AU$987,"&gt;175000")</f>
        <v>6</v>
      </c>
      <c r="DM37" s="249">
        <f>COUNTIFS('DETALLES UNIDADES'!$BA$8:$BA$987,"2",'DETALLES UNIDADES'!$AU$8:$AU$987,"&gt;175000")</f>
        <v>4</v>
      </c>
      <c r="DN37" s="249">
        <f>COUNTIFS('DETALLES UNIDADES'!$BA$8:$BA$987,"3",'DETALLES UNIDADES'!$AU$8:$AU$987,"&gt;175000")+COUNTIFS('DETALLES UNIDADES'!$BA$8:$BA$987,"4",'DETALLES UNIDADES'!$AU$8:$AU$987,"&gt;175000")+COUNTIFS('DETALLES UNIDADES'!$BA$8:$BA$987,"5",'DETALLES UNIDADES'!$AU$8:$AU$987,"&gt;175000")</f>
        <v>34</v>
      </c>
      <c r="DO37" s="249">
        <f>COUNTIFS('DETALLES UNIDADES'!$BA$8:$BA$987,"&gt;5",'DETALLES UNIDADES'!$AU$8:$AU$987,"&gt;175000")</f>
        <v>11</v>
      </c>
      <c r="DP37" s="249">
        <f t="shared" si="209"/>
        <v>55</v>
      </c>
      <c r="EM37" s="249">
        <v>104</v>
      </c>
      <c r="EN37" s="249">
        <v>50</v>
      </c>
      <c r="EO37" s="249">
        <v>109</v>
      </c>
      <c r="EP37" s="249">
        <v>245</v>
      </c>
      <c r="EQ37" s="249">
        <v>148</v>
      </c>
      <c r="ER37" s="249">
        <v>224</v>
      </c>
      <c r="ES37" s="249">
        <v>100</v>
      </c>
      <c r="ET37" s="249">
        <v>980</v>
      </c>
      <c r="EV37" s="112" t="s">
        <v>330</v>
      </c>
      <c r="EW37" s="249">
        <f>COUNTIFS('ENCUESTA PROPIETARIOS'!$I$7:$I$417,"SECUNDARIA",'ENCUESTA PROPIETARIOS'!$BN$7:$BN$417,"X")</f>
        <v>25</v>
      </c>
      <c r="EX37" s="249">
        <f>COUNTIFS('ENCUESTA PROPIETARIOS'!$I$7:$I$417,"SECUNDARIA",'ENCUESTA PROPIETARIOS'!$BO$7:$BO$417,"X")</f>
        <v>92</v>
      </c>
      <c r="EY37" s="249">
        <f>COUNTIFS('ENCUESTA PROPIETARIOS'!$I$7:$I$417,"SECUNDARIA",'ENCUESTA PROPIETARIOS'!$BP$7:$BP$417,"X")</f>
        <v>46</v>
      </c>
      <c r="EZ37" s="249">
        <f>COUNTIFS('ENCUESTA PROPIETARIOS'!$I$7:$I$417,"SECUNDARIA",'ENCUESTA PROPIETARIOS'!$BQ$7:$BQ$417,"X")</f>
        <v>71</v>
      </c>
      <c r="FA37" s="249">
        <f t="shared" si="237"/>
        <v>117</v>
      </c>
      <c r="FB37" s="112" t="s">
        <v>330</v>
      </c>
      <c r="FC37" s="6">
        <f t="shared" si="238"/>
        <v>0.21367521367521367</v>
      </c>
      <c r="FD37" s="6">
        <f t="shared" si="239"/>
        <v>0.78632478632478631</v>
      </c>
      <c r="FE37" s="6">
        <f t="shared" si="240"/>
        <v>0.39316239316239315</v>
      </c>
      <c r="FF37" s="6">
        <f t="shared" si="241"/>
        <v>0.60683760683760679</v>
      </c>
      <c r="FG37" s="190">
        <f t="shared" si="242"/>
        <v>1</v>
      </c>
      <c r="FN37" s="249" t="s">
        <v>359</v>
      </c>
    </row>
    <row r="38" spans="1:195" ht="30" x14ac:dyDescent="0.25">
      <c r="B38" s="249" t="s">
        <v>351</v>
      </c>
      <c r="C38" s="189">
        <f t="shared" ref="C38:C41" si="245">+D38/$D$41</f>
        <v>6.9444444444444448E-2</v>
      </c>
      <c r="D38" s="249">
        <f>COUNTIFS('DETALLES UNIDADES'!$C$8:$C$987,"C3",'DETALLES UNIDADES'!$BA$8:$BA$987,"&gt;5")</f>
        <v>20</v>
      </c>
      <c r="N38" s="249"/>
      <c r="X38" s="19" t="s">
        <v>1724</v>
      </c>
      <c r="Y38" s="254">
        <f t="shared" si="217"/>
        <v>9.8888888888888887E-2</v>
      </c>
      <c r="Z38" s="6">
        <f t="shared" si="221"/>
        <v>0.15690866510538642</v>
      </c>
      <c r="AB38" s="9">
        <f>COUNTIFS('DETALLES UNIDADES'!$S$8:$S$987,"D",'DETALLES UNIDADES'!$T$8:$T$987,"&lt;3.01")-AB37-AB36-AB35-AB34-AB33</f>
        <v>89</v>
      </c>
      <c r="AC38" s="249">
        <v>67</v>
      </c>
      <c r="AK38" s="11" t="s">
        <v>2535</v>
      </c>
      <c r="AL38" s="6">
        <f t="shared" ref="AL38:AL44" si="246">+AM38/$AM$44</f>
        <v>2.3255813953488372E-2</v>
      </c>
      <c r="AM38" s="249">
        <f t="shared" ref="AM38:AM44" si="247">+AS4</f>
        <v>1</v>
      </c>
      <c r="BD38" s="112" t="s">
        <v>1712</v>
      </c>
      <c r="BE38" s="6">
        <f>+BF38/$BF$45</f>
        <v>0.04</v>
      </c>
      <c r="BF38" s="138">
        <f>+BO4</f>
        <v>4</v>
      </c>
      <c r="BV38" s="17" t="s">
        <v>330</v>
      </c>
      <c r="BW38" s="6">
        <f t="shared" si="243"/>
        <v>0.3910891089108911</v>
      </c>
      <c r="BX38" s="6">
        <f t="shared" si="222"/>
        <v>0.25882352941176473</v>
      </c>
      <c r="BY38" s="6">
        <f t="shared" si="223"/>
        <v>0.12222222222222222</v>
      </c>
      <c r="BZ38" s="6">
        <f t="shared" si="224"/>
        <v>0.14705882352941177</v>
      </c>
      <c r="CA38" s="6">
        <f t="shared" si="225"/>
        <v>0.28467153284671531</v>
      </c>
      <c r="CB38" s="249">
        <f>COUNTIFS('ENCUESTA PROPIETARIOS'!$N$7:$N$417,"1",'ENCUESTA PROPIETARIOS'!$I$7:$I$417,"SECUNDARIA")</f>
        <v>79</v>
      </c>
      <c r="CC38" s="249">
        <f>COUNTIFS('ENCUESTA PROPIETARIOS'!$N$7:$N$417,"2",'ENCUESTA PROPIETARIOS'!$I$7:$I$417,"SECUNDARIA")</f>
        <v>22</v>
      </c>
      <c r="CD38" s="249">
        <f>COUNTIFS('ENCUESTA PROPIETARIOS'!$N$7:$N$417,"3",'ENCUESTA PROPIETARIOS'!$I$7:$I$417,"SECUNDARIA")+COUNTIFS('ENCUESTA PROPIETARIOS'!$N$7:$N$417,"4",'ENCUESTA PROPIETARIOS'!$I$7:$I$417,"SECUNDARIA")+COUNTIFS('ENCUESTA PROPIETARIOS'!$N$7:$N$417,"5",'ENCUESTA PROPIETARIOS'!$I$7:$I$417,"SECUNDARIA")</f>
        <v>11</v>
      </c>
      <c r="CE38" s="249">
        <f>COUNTIFS('ENCUESTA PROPIETARIOS'!$N$7:$N$417,"&gt;5",'ENCUESTA PROPIETARIOS'!$I$7:$I$417,"SECUNDARIA")</f>
        <v>5</v>
      </c>
      <c r="CF38" s="249">
        <f t="shared" si="244"/>
        <v>117</v>
      </c>
      <c r="DF38" s="17" t="s">
        <v>1662</v>
      </c>
      <c r="DG38" s="6">
        <f t="shared" si="216"/>
        <v>1</v>
      </c>
      <c r="DH38" s="6">
        <f t="shared" si="205"/>
        <v>1</v>
      </c>
      <c r="DI38" s="6">
        <f t="shared" si="206"/>
        <v>1</v>
      </c>
      <c r="DJ38" s="6">
        <f t="shared" si="207"/>
        <v>1</v>
      </c>
      <c r="DK38" s="6">
        <f t="shared" si="208"/>
        <v>1</v>
      </c>
      <c r="DL38" s="249">
        <f>SUM(DL31:DL37)</f>
        <v>206</v>
      </c>
      <c r="DM38" s="249">
        <f t="shared" ref="DM38" si="248">SUM(DM31:DM37)</f>
        <v>154</v>
      </c>
      <c r="DN38" s="249">
        <f t="shared" ref="DN38" si="249">SUM(DN31:DN37)</f>
        <v>318</v>
      </c>
      <c r="DO38" s="249">
        <f t="shared" ref="DO38" si="250">SUM(DO31:DO37)</f>
        <v>264</v>
      </c>
      <c r="DP38" s="249">
        <f t="shared" ref="DP38" si="251">SUM(DP31:DP37)</f>
        <v>942</v>
      </c>
      <c r="DR38" s="17" t="s">
        <v>2657</v>
      </c>
      <c r="EN38" s="249">
        <v>3</v>
      </c>
      <c r="EO38" s="249">
        <v>4</v>
      </c>
      <c r="EP38" s="249">
        <v>2</v>
      </c>
      <c r="EQ38" s="249">
        <v>2</v>
      </c>
      <c r="EV38" s="157" t="s">
        <v>723</v>
      </c>
      <c r="EW38" s="249">
        <f>COUNTIFS('ENCUESTA PROPIETARIOS'!$I$7:$I$417,"PREPARATORIA",'ENCUESTA PROPIETARIOS'!$BN$7:$BN$417,"X")+COUNTIFS('ENCUESTA PROPIETARIOS'!$I$7:$I$417,"BACHILLERATO",'ENCUESTA PROPIETARIOS'!$BN$7:$BN$417,"X")</f>
        <v>41</v>
      </c>
      <c r="EX38" s="249">
        <f>COUNTIFS('ENCUESTA PROPIETARIOS'!$I$7:$I$417,"PREPARATORIA",'ENCUESTA PROPIETARIOS'!$BO$7:$BO$417,"X")+COUNTIFS('ENCUESTA PROPIETARIOS'!$I$7:$I$417,"BACHILLERATO",'ENCUESTA PROPIETARIOS'!$BO$7:$BO$417,"X")</f>
        <v>69</v>
      </c>
      <c r="EY38" s="249">
        <f>COUNTIFS('ENCUESTA PROPIETARIOS'!$I$7:$I$417,"PREPARATORIA",'ENCUESTA PROPIETARIOS'!$BP$7:$BP$417,"X")+COUNTIFS('ENCUESTA PROPIETARIOS'!$I$7:$I$417,"BACHILLERATO",'ENCUESTA PROPIETARIOS'!$BP$7:$BP$417,"X")</f>
        <v>65</v>
      </c>
      <c r="EZ38" s="249">
        <f>COUNTIFS('ENCUESTA PROPIETARIOS'!$I$7:$I$417,"PREPARATORIA",'ENCUESTA PROPIETARIOS'!$BQ$7:$BQ$417,"X")+COUNTIFS('ENCUESTA PROPIETARIOS'!$I$7:$I$417,"BACHILLERATO",'ENCUESTA PROPIETARIOS'!$BQ$7:$BQ$417,"X")</f>
        <v>45</v>
      </c>
      <c r="FA38" s="249">
        <f t="shared" si="237"/>
        <v>110</v>
      </c>
      <c r="FB38" s="157" t="s">
        <v>723</v>
      </c>
      <c r="FC38" s="6">
        <f t="shared" si="238"/>
        <v>0.37272727272727274</v>
      </c>
      <c r="FD38" s="6">
        <f t="shared" si="239"/>
        <v>0.62727272727272732</v>
      </c>
      <c r="FE38" s="6">
        <f t="shared" si="240"/>
        <v>0.59090909090909094</v>
      </c>
      <c r="FF38" s="6">
        <f t="shared" si="241"/>
        <v>0.40909090909090912</v>
      </c>
      <c r="FG38" s="190">
        <f t="shared" si="242"/>
        <v>1</v>
      </c>
      <c r="FM38" s="11" t="s">
        <v>2534</v>
      </c>
      <c r="FN38" s="6">
        <f>+FO38/$FO$45</f>
        <v>0</v>
      </c>
      <c r="FO38" s="249">
        <f>+FU4</f>
        <v>0</v>
      </c>
      <c r="GE38" s="11" t="s">
        <v>2723</v>
      </c>
      <c r="GK38" s="11"/>
    </row>
    <row r="39" spans="1:195" x14ac:dyDescent="0.25">
      <c r="B39" s="249" t="s">
        <v>359</v>
      </c>
      <c r="C39" s="189">
        <f t="shared" si="245"/>
        <v>2.0833333333333332E-2</v>
      </c>
      <c r="D39" s="249">
        <f>COUNTIFS('DETALLES UNIDADES'!$C$8:$C$987,"T2",'DETALLES UNIDADES'!$BA$8:$BA$987,"&gt;5")</f>
        <v>6</v>
      </c>
      <c r="N39" s="249"/>
      <c r="X39" s="19" t="s">
        <v>1725</v>
      </c>
      <c r="Y39" s="254">
        <f t="shared" si="217"/>
        <v>0.10666666666666667</v>
      </c>
      <c r="Z39" s="6">
        <f t="shared" si="221"/>
        <v>7.9625292740046844E-2</v>
      </c>
      <c r="AB39" s="9">
        <f>COUNTIFS('DETALLES UNIDADES'!$S$8:$S$987,"D",'DETALLES UNIDADES'!$T$8:$T$987,"&lt;4.01")-AB38-AB37-AB36-AB35-AB34-AB33</f>
        <v>96</v>
      </c>
      <c r="AC39" s="249">
        <v>34</v>
      </c>
      <c r="AK39" s="11" t="s">
        <v>2536</v>
      </c>
      <c r="AL39" s="6">
        <f t="shared" si="246"/>
        <v>0.11627906976744186</v>
      </c>
      <c r="AM39" s="249">
        <f t="shared" si="247"/>
        <v>5</v>
      </c>
      <c r="BD39" s="112" t="s">
        <v>1716</v>
      </c>
      <c r="BE39" s="6">
        <f t="shared" ref="BE39:BE45" si="252">+BF39/$BF$45</f>
        <v>0.19</v>
      </c>
      <c r="BF39" s="138">
        <f t="shared" ref="BF39:BF45" si="253">+BO5</f>
        <v>19</v>
      </c>
      <c r="BV39" s="17" t="s">
        <v>2597</v>
      </c>
      <c r="BW39" s="6">
        <f t="shared" si="243"/>
        <v>0.21287128712871287</v>
      </c>
      <c r="BX39" s="6">
        <f t="shared" si="222"/>
        <v>0.35294117647058826</v>
      </c>
      <c r="BY39" s="6">
        <f t="shared" si="223"/>
        <v>0.31111111111111112</v>
      </c>
      <c r="BZ39" s="6">
        <f t="shared" si="224"/>
        <v>0.26470588235294118</v>
      </c>
      <c r="CA39" s="6">
        <f t="shared" si="225"/>
        <v>0.26763990267639903</v>
      </c>
      <c r="CB39" s="249">
        <f>COUNTIFS('ENCUESTA PROPIETARIOS'!$N$7:$N$417,"1",'ENCUESTA PROPIETARIOS'!$I$7:$I$417,"PREPARATORIA")+COUNTIFS('ENCUESTA PROPIETARIOS'!$N$7:$N$417,"1",'ENCUESTA PROPIETARIOS'!$I$7:$I$417,"BACHILLERATO")</f>
        <v>43</v>
      </c>
      <c r="CC39" s="249">
        <f>COUNTIFS('ENCUESTA PROPIETARIOS'!$N$7:$N$417,"2",'ENCUESTA PROPIETARIOS'!$I$7:$I$417,"PREPARATORIA")+COUNTIFS('ENCUESTA PROPIETARIOS'!$N$7:$N$417,"2",'ENCUESTA PROPIETARIOS'!$I$7:$I$417,"BACHILLERATO")</f>
        <v>30</v>
      </c>
      <c r="CD39" s="249">
        <f>COUNTIFS('ENCUESTA PROPIETARIOS'!$N$7:$N$417,"3",'ENCUESTA PROPIETARIOS'!$I$7:$I$417,"PREPARATORIA")+COUNTIFS('ENCUESTA PROPIETARIOS'!$N$7:$N$417,"4",'ENCUESTA PROPIETARIOS'!$I$7:$I$417,"PREPARATORIA")+COUNTIFS('ENCUESTA PROPIETARIOS'!$N$7:$N$417,"5",'ENCUESTA PROPIETARIOS'!$I$7:$I$417,"PREPARATORIA")+COUNTIFS('ENCUESTA PROPIETARIOS'!$N$7:$N$417,"3",'ENCUESTA PROPIETARIOS'!$I$7:$I$417,"BACHILLERATO")+COUNTIFS('ENCUESTA PROPIETARIOS'!$N$7:$N$417,"4",'ENCUESTA PROPIETARIOS'!$I$7:$I$417,"BACHILLERATO")+COUNTIFS('ENCUESTA PROPIETARIOS'!$N$7:$N$417,"5",'ENCUESTA PROPIETARIOS'!$I$7:$I$417,"BACHILLERATO")</f>
        <v>28</v>
      </c>
      <c r="CE39" s="249">
        <f>COUNTIFS('ENCUESTA PROPIETARIOS'!$N$7:$N$417,"&gt;5",'ENCUESTA PROPIETARIOS'!$I$7:$I$417,"PREPARATORIA")+COUNTIFS('ENCUESTA PROPIETARIOS'!$N$7:$N$417,"&gt;5",'ENCUESTA PROPIETARIOS'!$I$7:$I$417,"BACHILLERATO")</f>
        <v>9</v>
      </c>
      <c r="CF39" s="249">
        <f t="shared" si="244"/>
        <v>110</v>
      </c>
      <c r="CH39" s="17" t="s">
        <v>2737</v>
      </c>
      <c r="CT39" s="17" t="s">
        <v>2613</v>
      </c>
      <c r="DF39" s="17" t="s">
        <v>1013</v>
      </c>
      <c r="DL39" s="138">
        <f>+'DETALLES UNIDADES'!AU989</f>
        <v>38</v>
      </c>
      <c r="DM39" s="249"/>
      <c r="DN39" s="249"/>
      <c r="DO39" s="249"/>
      <c r="DP39" s="249">
        <f>SUM(DP31:DP37)</f>
        <v>942</v>
      </c>
      <c r="DS39" s="249" t="s">
        <v>348</v>
      </c>
      <c r="DT39" s="249" t="s">
        <v>351</v>
      </c>
      <c r="DU39" s="249" t="s">
        <v>359</v>
      </c>
      <c r="DV39" s="249" t="s">
        <v>337</v>
      </c>
      <c r="EV39" s="112" t="s">
        <v>399</v>
      </c>
      <c r="EW39" s="249">
        <f>COUNTIFS('ENCUESTA PROPIETARIOS'!$I$7:$I$417,"LICENCIATURA",'ENCUESTA PROPIETARIOS'!$BN$7:$BN$417,"X")+COUNTIFS('ENCUESTA PROPIETARIOS'!$I$7:$I$417,"INGENIERIA",'ENCUESTA PROPIETARIOS'!$BN$7:$BN$417,"X")</f>
        <v>50</v>
      </c>
      <c r="EX39" s="249">
        <f>COUNTIFS('ENCUESTA PROPIETARIOS'!$I$7:$I$417,"LICENCIATURA",'ENCUESTA PROPIETARIOS'!$BO$7:$BO$417,"X")+COUNTIFS('ENCUESTA PROPIETARIOS'!$I$7:$I$417,"INGENIERIA",'ENCUESTA PROPIETARIOS'!$BO$7:$BO$417,"X")</f>
        <v>39</v>
      </c>
      <c r="EY39" s="249">
        <f>COUNTIFS('ENCUESTA PROPIETARIOS'!$I$7:$I$417,"LICENCIATURA",'ENCUESTA PROPIETARIOS'!$BP$7:$BP$417,"X")+COUNTIFS('ENCUESTA PROPIETARIOS'!$I$7:$I$417,"INGENIERIA",'ENCUESTA PROPIETARIOS'!$BP$7:$BP$417,"X")</f>
        <v>76</v>
      </c>
      <c r="EZ39" s="249">
        <f>COUNTIFS('ENCUESTA PROPIETARIOS'!$I$7:$I$417,"LICENCIATURA",'ENCUESTA PROPIETARIOS'!$BQ$7:$BQ$417,"X")+COUNTIFS('ENCUESTA PROPIETARIOS'!$I$7:$I$417,"INGENIERIA",'ENCUESTA PROPIETARIOS'!$BQ$7:$BQ$417,"X")</f>
        <v>13</v>
      </c>
      <c r="FA39" s="249">
        <f t="shared" si="237"/>
        <v>89</v>
      </c>
      <c r="FB39" s="112" t="s">
        <v>399</v>
      </c>
      <c r="FC39" s="6">
        <f t="shared" si="238"/>
        <v>0.5617977528089888</v>
      </c>
      <c r="FD39" s="6">
        <f t="shared" si="239"/>
        <v>0.43820224719101125</v>
      </c>
      <c r="FE39" s="6">
        <f t="shared" si="240"/>
        <v>0.8539325842696629</v>
      </c>
      <c r="FF39" s="6">
        <f t="shared" si="241"/>
        <v>0.14606741573033707</v>
      </c>
      <c r="FG39" s="190">
        <f t="shared" si="242"/>
        <v>1</v>
      </c>
      <c r="FM39" s="11" t="s">
        <v>2535</v>
      </c>
      <c r="FN39" s="6">
        <f t="shared" ref="FN39:FN45" si="254">+FO39/$FO$45</f>
        <v>2.3255813953488372E-2</v>
      </c>
      <c r="FO39" s="249">
        <f t="shared" ref="FO39:FO45" si="255">+FU5</f>
        <v>1</v>
      </c>
      <c r="GE39" s="11" t="s">
        <v>2374</v>
      </c>
      <c r="GF39" s="6">
        <f>+GG39/$GG$45</f>
        <v>0.45038167938931295</v>
      </c>
      <c r="GG39" s="249">
        <f>COUNTIFS('DETALLES UNIDADES'!$C$8:$C$987,"T3",'DETALLES UNIDADES'!$R$8:$R$987,"&lt;2500")</f>
        <v>236</v>
      </c>
      <c r="GK39" s="11"/>
      <c r="GL39" s="6"/>
      <c r="GM39" s="249"/>
    </row>
    <row r="40" spans="1:195" x14ac:dyDescent="0.25">
      <c r="B40" s="249" t="s">
        <v>337</v>
      </c>
      <c r="C40" s="189">
        <f t="shared" si="245"/>
        <v>0.74652777777777779</v>
      </c>
      <c r="D40" s="249">
        <f>COUNTIFS('DETALLES UNIDADES'!$C$8:$C$987,"T3",'DETALLES UNIDADES'!$BA$8:$BA$987,"&gt;5")</f>
        <v>215</v>
      </c>
      <c r="N40" s="249"/>
      <c r="X40" s="19" t="s">
        <v>2510</v>
      </c>
      <c r="Y40" s="254">
        <f t="shared" si="217"/>
        <v>2.8888888888888888E-2</v>
      </c>
      <c r="Z40" s="6">
        <f t="shared" si="221"/>
        <v>1.1709601873536301E-2</v>
      </c>
      <c r="AB40" s="9">
        <f>COUNTIFS('DETALLES UNIDADES'!$S$8:$S$987,"D",'DETALLES UNIDADES'!$T$8:$T$987,"&gt;4.0")</f>
        <v>26</v>
      </c>
      <c r="AC40" s="249">
        <v>5</v>
      </c>
      <c r="AK40" s="11" t="s">
        <v>2537</v>
      </c>
      <c r="AL40" s="6">
        <f t="shared" si="246"/>
        <v>0</v>
      </c>
      <c r="AM40" s="249">
        <f t="shared" si="247"/>
        <v>0</v>
      </c>
      <c r="BD40" s="112" t="s">
        <v>1713</v>
      </c>
      <c r="BE40" s="6">
        <f t="shared" si="252"/>
        <v>0.36</v>
      </c>
      <c r="BF40" s="138">
        <f t="shared" si="253"/>
        <v>36</v>
      </c>
      <c r="BV40" s="17" t="s">
        <v>399</v>
      </c>
      <c r="BW40" s="6">
        <f t="shared" si="243"/>
        <v>7.9207920792079209E-2</v>
      </c>
      <c r="BX40" s="6">
        <f t="shared" si="222"/>
        <v>0.2</v>
      </c>
      <c r="BY40" s="6">
        <f t="shared" si="223"/>
        <v>0.44444444444444442</v>
      </c>
      <c r="BZ40" s="6">
        <f t="shared" si="224"/>
        <v>0.47058823529411764</v>
      </c>
      <c r="CA40" s="6">
        <f t="shared" si="225"/>
        <v>0.21654501216545013</v>
      </c>
      <c r="CB40" s="249">
        <f>COUNTIFS('ENCUESTA PROPIETARIOS'!$N$7:$N$417,"1",'ENCUESTA PROPIETARIOS'!$I$7:$I$417,"LICENCIATURA")+COUNTIFS('ENCUESTA PROPIETARIOS'!$N$7:$N$417,"1",'ENCUESTA PROPIETARIOS'!$I$7:$I$417,"INGENIERIA")</f>
        <v>16</v>
      </c>
      <c r="CC40" s="249">
        <f>COUNTIFS('ENCUESTA PROPIETARIOS'!$N$7:$N$417,"2",'ENCUESTA PROPIETARIOS'!$I$7:$I$417,"LICENCIATURA")+COUNTIFS('ENCUESTA PROPIETARIOS'!$N$7:$N$417,"2",'ENCUESTA PROPIETARIOS'!$I$7:$I$417,"INGENIERIA")</f>
        <v>17</v>
      </c>
      <c r="CD40" s="249">
        <f>COUNTIFS('ENCUESTA PROPIETARIOS'!$N$7:$N$417,"3",'ENCUESTA PROPIETARIOS'!$I$7:$I$417,"LICENCIATURA")+COUNTIFS('ENCUESTA PROPIETARIOS'!$N$7:$N$417,"4",'ENCUESTA PROPIETARIOS'!$I$7:$I$417,"LICENCIATURA")+COUNTIFS('ENCUESTA PROPIETARIOS'!$N$7:$N$417,"5",'ENCUESTA PROPIETARIOS'!$I$7:$I$417,"LICENCIATURA")+COUNTIFS('ENCUESTA PROPIETARIOS'!$N$7:$N$417,"3",'ENCUESTA PROPIETARIOS'!$I$7:$I$417,"INGENIERIA")+COUNTIFS('ENCUESTA PROPIETARIOS'!$N$7:$N$417,"4",'ENCUESTA PROPIETARIOS'!$I$7:$I$417,"INGENIERIA")+COUNTIFS('ENCUESTA PROPIETARIOS'!$N$7:$N$417,"5",'ENCUESTA PROPIETARIOS'!$I$7:$I$417,"INGENIERIA")</f>
        <v>40</v>
      </c>
      <c r="CE40" s="249">
        <f>COUNTIFS('ENCUESTA PROPIETARIOS'!$N$7:$N$417,"&gt;5",'ENCUESTA PROPIETARIOS'!$I$7:$I$417,"LICENCIATURA")+COUNTIFS('ENCUESTA PROPIETARIOS'!$N$7:$N$417,"&gt;5",'ENCUESTA PROPIETARIOS'!$I$7:$I$417,"INGENIERIA")</f>
        <v>16</v>
      </c>
      <c r="CF40" s="249">
        <f t="shared" si="244"/>
        <v>89</v>
      </c>
      <c r="CI40" s="11" t="s">
        <v>814</v>
      </c>
      <c r="CJ40" s="11" t="s">
        <v>815</v>
      </c>
      <c r="CK40" s="11" t="s">
        <v>1780</v>
      </c>
      <c r="CL40" s="11" t="s">
        <v>1781</v>
      </c>
      <c r="CM40" s="11"/>
      <c r="CN40" s="11" t="s">
        <v>814</v>
      </c>
      <c r="CO40" s="11" t="s">
        <v>815</v>
      </c>
      <c r="CP40" s="11" t="s">
        <v>1780</v>
      </c>
      <c r="CQ40" s="11" t="s">
        <v>1781</v>
      </c>
      <c r="CR40" s="11"/>
      <c r="CV40" s="17" t="str">
        <f>+DC3</f>
        <v>SEIS A TREINTA UNIDADES</v>
      </c>
      <c r="DP40" s="249">
        <f>+DP39+DL39</f>
        <v>980</v>
      </c>
      <c r="DR40" s="17" t="s">
        <v>2651</v>
      </c>
      <c r="DS40" s="249">
        <f>COUNTIFS('DETALLES UNIDADES'!$C$8:$C$987,"C2",'DETALLES UNIDADES'!$AD$8:$AD$987,"X")</f>
        <v>83</v>
      </c>
      <c r="DT40" s="249">
        <f>COUNTIFS('DETALLES UNIDADES'!$C$8:$C$987,"C3",'DETALLES UNIDADES'!$AD$8:$AD$987,"X")</f>
        <v>82</v>
      </c>
      <c r="DU40" s="249">
        <f>COUNTIFS('DETALLES UNIDADES'!$C$8:$C$987,"T2",'DETALLES UNIDADES'!$AD$8:$AD$987,"X")</f>
        <v>38</v>
      </c>
      <c r="DV40" s="249">
        <f>COUNTIFS('DETALLES UNIDADES'!$C$8:$C$987,"T3",'DETALLES UNIDADES'!$AD$8:$AD$987,"X")</f>
        <v>366</v>
      </c>
      <c r="DW40" s="249">
        <f t="shared" ref="DW40:DW46" si="256">SUM(DS40:DV40)</f>
        <v>569</v>
      </c>
      <c r="ED40" s="17" t="s">
        <v>2668</v>
      </c>
      <c r="EV40" s="112" t="s">
        <v>711</v>
      </c>
      <c r="EW40" s="249">
        <f>COUNTIFS('ENCUESTA PROPIETARIOS'!$I$7:$I$417,"TECNICA",'ENCUESTA PROPIETARIOS'!$BN$7:$BN$417,"X")+COUNTIFS('ENCUESTA PROPIETARIOS'!$I$7:$I$417,"POSGRADO",'ENCUESTA PROPIETARIOS'!$BN$7:$BN$417,"X")</f>
        <v>1</v>
      </c>
      <c r="EX40" s="249">
        <f>COUNTIFS('ENCUESTA PROPIETARIOS'!$I$7:$I$417,"TECNICA",'ENCUESTA PROPIETARIOS'!$BO$7:$BO$417,"X")+COUNTIFS('ENCUESTA PROPIETARIOS'!$I$7:$I$417,"POSGRADO",'ENCUESTA PROPIETARIOS'!$BO$7:$BO$417,"X")</f>
        <v>2</v>
      </c>
      <c r="EY40" s="249">
        <f>COUNTIFS('ENCUESTA PROPIETARIOS'!$I$7:$I$417,"TECNICA",'ENCUESTA PROPIETARIOS'!$BP$7:$BP$417,"X")+COUNTIFS('ENCUESTA PROPIETARIOS'!$I$7:$I$417,"POSGRADO",'ENCUESTA PROPIETARIOS'!$BP$7:$BP$417,"X")</f>
        <v>3</v>
      </c>
      <c r="EZ40" s="249">
        <f>COUNTIFS('ENCUESTA PROPIETARIOS'!$I$7:$I$417,"TECNICA",'ENCUESTA PROPIETARIOS'!$BQ$7:$BQ$417,"X")+COUNTIFS('ENCUESTA PROPIETARIOS'!$I$7:$I$417,"POSGRADO",'ENCUESTA PROPIETARIOS'!$BQ$7:$BQ$417,"X")</f>
        <v>0</v>
      </c>
      <c r="FA40" s="249">
        <f t="shared" si="237"/>
        <v>3</v>
      </c>
      <c r="FB40" s="112" t="s">
        <v>711</v>
      </c>
      <c r="FC40" s="6">
        <f t="shared" si="238"/>
        <v>0.33333333333333331</v>
      </c>
      <c r="FD40" s="6">
        <f t="shared" si="239"/>
        <v>0.66666666666666663</v>
      </c>
      <c r="FE40" s="6">
        <f t="shared" si="240"/>
        <v>1</v>
      </c>
      <c r="FF40" s="6">
        <f t="shared" si="241"/>
        <v>0</v>
      </c>
      <c r="FG40" s="190">
        <f t="shared" si="242"/>
        <v>1</v>
      </c>
      <c r="FM40" s="11" t="s">
        <v>2536</v>
      </c>
      <c r="FN40" s="6">
        <f t="shared" si="254"/>
        <v>0.11627906976744186</v>
      </c>
      <c r="FO40" s="249">
        <f t="shared" si="255"/>
        <v>5</v>
      </c>
      <c r="GE40" s="11" t="s">
        <v>2375</v>
      </c>
      <c r="GF40" s="6">
        <f t="shared" ref="GF40:GF45" si="257">+GG40/$GG$45</f>
        <v>0.42748091603053434</v>
      </c>
      <c r="GG40" s="249">
        <f>COUNTIFS('DETALLES UNIDADES'!$C$8:$C$987,"T3",'DETALLES UNIDADES'!$R$8:$R$987,"&lt;5001")-GG39</f>
        <v>224</v>
      </c>
      <c r="GK40" s="11"/>
      <c r="GL40" s="6"/>
      <c r="GM40" s="249"/>
    </row>
    <row r="41" spans="1:195" x14ac:dyDescent="0.25">
      <c r="B41" s="249" t="s">
        <v>1662</v>
      </c>
      <c r="C41" s="189">
        <f t="shared" si="245"/>
        <v>1</v>
      </c>
      <c r="D41" s="249">
        <f t="shared" ref="D41" si="258">SUM(D37:D40)</f>
        <v>288</v>
      </c>
      <c r="N41" s="249"/>
      <c r="X41" s="19" t="s">
        <v>715</v>
      </c>
      <c r="Y41" s="254">
        <f t="shared" si="217"/>
        <v>1</v>
      </c>
      <c r="Z41" s="6">
        <f t="shared" si="221"/>
        <v>1</v>
      </c>
      <c r="AB41" s="9">
        <f>SUM(AB33:AB40)</f>
        <v>900</v>
      </c>
      <c r="AC41" s="249">
        <v>427</v>
      </c>
      <c r="AK41" s="11" t="s">
        <v>2538</v>
      </c>
      <c r="AL41" s="6">
        <f t="shared" si="246"/>
        <v>0.11627906976744186</v>
      </c>
      <c r="AM41" s="249">
        <f t="shared" si="247"/>
        <v>5</v>
      </c>
      <c r="BD41" s="112" t="s">
        <v>943</v>
      </c>
      <c r="BE41" s="6">
        <f t="shared" si="252"/>
        <v>0.34</v>
      </c>
      <c r="BF41" s="138">
        <f t="shared" si="253"/>
        <v>34</v>
      </c>
      <c r="BV41" s="17" t="s">
        <v>711</v>
      </c>
      <c r="BW41" s="6">
        <f t="shared" si="243"/>
        <v>9.9009900990099011E-3</v>
      </c>
      <c r="BX41" s="6">
        <f t="shared" si="222"/>
        <v>0</v>
      </c>
      <c r="BY41" s="6">
        <f t="shared" si="223"/>
        <v>1.1111111111111112E-2</v>
      </c>
      <c r="BZ41" s="6">
        <f t="shared" si="224"/>
        <v>5.8823529411764705E-2</v>
      </c>
      <c r="CA41" s="6">
        <f t="shared" si="225"/>
        <v>1.2165450121654502E-2</v>
      </c>
      <c r="CB41" s="249">
        <f>COUNTIFS('ENCUESTA PROPIETARIOS'!$N$7:$N$417,"1",'ENCUESTA PROPIETARIOS'!$I$7:$I$417,"POSGRADO")+COUNTIFS('ENCUESTA PROPIETARIOS'!$N$7:$N$417,"1",'ENCUESTA PROPIETARIOS'!$I$7:$I$417,"MAESTRIA")+COUNTIFS('ENCUESTA PROPIETARIOS'!$N$7:$N$417,"1",'ENCUESTA PROPIETARIOS'!$I$7:$I$417,"TECNICA")</f>
        <v>2</v>
      </c>
      <c r="CC41" s="249">
        <f>COUNTIFS('ENCUESTA PROPIETARIOS'!$N$7:$N$417,"2",'ENCUESTA PROPIETARIOS'!$I$7:$I$417,"POSGRADO")+COUNTIFS('ENCUESTA PROPIETARIOS'!$N$7:$N$417,"2",'ENCUESTA PROPIETARIOS'!$I$7:$I$417,"MAESTRIA")+COUNTIFS('ENCUESTA PROPIETARIOS'!$N$7:$N$417,"2",'ENCUESTA PROPIETARIOS'!$I$7:$I$417,"TECNICA")</f>
        <v>0</v>
      </c>
      <c r="CD41" s="249">
        <f>COUNTIFS('ENCUESTA PROPIETARIOS'!$N$7:$N$417,"3",'ENCUESTA PROPIETARIOS'!$I$7:$I$417,"POSGRADO")+COUNTIFS('ENCUESTA PROPIETARIOS'!$N$7:$N$417,"4",'ENCUESTA PROPIETARIOS'!$I$7:$I$417,"POSGRADO")+COUNTIFS('ENCUESTA PROPIETARIOS'!$N$7:$N$417,"5",'ENCUESTA PROPIETARIOS'!$I$7:$I$417,"POSGRADO")+COUNTIFS('ENCUESTA PROPIETARIOS'!$N$7:$N$417,"3",'ENCUESTA PROPIETARIOS'!$I$7:$I$417,"MAESTRIA")+COUNTIFS('ENCUESTA PROPIETARIOS'!$N$7:$N$417,"4",'ENCUESTA PROPIETARIOS'!$I$7:$I$417,"MAESTRIA")+COUNTIFS('ENCUESTA PROPIETARIOS'!$N$7:$N$417,"5",'ENCUESTA PROPIETARIOS'!$I$7:$I$417,"MAESTRIA")+COUNTIFS('ENCUESTA PROPIETARIOS'!$N$7:$N$417,"3",'ENCUESTA PROPIETARIOS'!$I$7:$I$417,"TECNICA")+COUNTIFS('ENCUESTA PROPIETARIOS'!$N$7:$N$417,"4",'ENCUESTA PROPIETARIOS'!$I$7:$I$417,"TECNICA")+COUNTIFS('ENCUESTA PROPIETARIOS'!$N$7:$N$417,"5",'ENCUESTA PROPIETARIOS'!$I$7:$I$417,"TECNICA")</f>
        <v>1</v>
      </c>
      <c r="CE41" s="249">
        <f>COUNTIFS('ENCUESTA PROPIETARIOS'!$N$7:$N$417,"&gt;5",'ENCUESTA PROPIETARIOS'!$I$7:$I$417,"POSGRADO")+COUNTIFS('ENCUESTA PROPIETARIOS'!$N$7:$N$417,"&gt;5",'ENCUESTA PROPIETARIOS'!$I$7:$I$417,"MAESTRIA")+COUNTIFS('ENCUESTA PROPIETARIOS'!$N$7:$N$417,"&gt;5",'ENCUESTA PROPIETARIOS'!$I$7:$I$417,"TECNICA")</f>
        <v>2</v>
      </c>
      <c r="CF41" s="249">
        <f t="shared" si="244"/>
        <v>5</v>
      </c>
      <c r="CH41" s="17" t="s">
        <v>851</v>
      </c>
      <c r="CI41" s="6">
        <f>+CN41/$CR$45</f>
        <v>0.12195121951219512</v>
      </c>
      <c r="CJ41" s="6">
        <f t="shared" ref="CJ41:CJ45" si="259">+CO41/$CR$45</f>
        <v>3.9024390243902439E-2</v>
      </c>
      <c r="CK41" s="6">
        <f t="shared" ref="CK41:CK45" si="260">+CP41/$CR$45</f>
        <v>6.3414634146341464E-2</v>
      </c>
      <c r="CL41" s="6">
        <f t="shared" ref="CL41:CL45" si="261">+CQ41/$CR$45</f>
        <v>2.9268292682926831E-2</v>
      </c>
      <c r="CM41" s="6">
        <f t="shared" ref="CM41:CM45" si="262">+CR41/$CR$45</f>
        <v>0.25365853658536586</v>
      </c>
      <c r="CN41" s="249">
        <f>COUNTIFS('ENCUESTA PROPIETARIOS'!$AX$7:$AX$417,"3",'ENCUESTA PROPIETARIOS'!$N$7:$N$417,"1")</f>
        <v>50</v>
      </c>
      <c r="CO41" s="249">
        <f>COUNTIFS('ENCUESTA PROPIETARIOS'!$AX$7:$AX$417,"3",'ENCUESTA PROPIETARIOS'!$N$7:$N$417,"2")</f>
        <v>16</v>
      </c>
      <c r="CP41" s="249">
        <f>COUNTIFS('ENCUESTA PROPIETARIOS'!$AX$7:$AX$417,"3",'ENCUESTA PROPIETARIOS'!$N$7:$N$417,"3")+COUNTIFS('ENCUESTA PROPIETARIOS'!$AX$7:$AX$417,"3",'ENCUESTA PROPIETARIOS'!$N$7:$N$417,"4")+COUNTIFS('ENCUESTA PROPIETARIOS'!$AX$7:$AX$417,"3",'ENCUESTA PROPIETARIOS'!$N$7:$N$417,"5")</f>
        <v>26</v>
      </c>
      <c r="CQ41" s="249">
        <f>COUNTIFS('ENCUESTA PROPIETARIOS'!$AX$7:$AX$417,"3",'ENCUESTA PROPIETARIOS'!$N$7:$N$417,"&gt;5")</f>
        <v>12</v>
      </c>
      <c r="CR41" s="249">
        <f>SUM(CN41:CQ41)</f>
        <v>104</v>
      </c>
      <c r="CT41" s="17" t="s">
        <v>2605</v>
      </c>
      <c r="CU41" s="6">
        <f>+CV41/$CV$46</f>
        <v>0.71014492753623193</v>
      </c>
      <c r="CV41" s="249">
        <f t="shared" ref="CV41:CV46" si="263">+DC4</f>
        <v>196</v>
      </c>
      <c r="DR41" s="11" t="s">
        <v>2652</v>
      </c>
      <c r="DS41" s="249">
        <f>COUNTIFS('DETALLES UNIDADES'!$C$8:$C$987,"C2",'DETALLES UNIDADES'!$AF$8:$AF$987,"X")</f>
        <v>0</v>
      </c>
      <c r="DT41" s="249">
        <f>COUNTIFS('DETALLES UNIDADES'!$C$8:$C$987,"C3",'DETALLES UNIDADES'!$AF$8:$AF$987,"X")</f>
        <v>8</v>
      </c>
      <c r="DU41" s="249">
        <f>COUNTIFS('DETALLES UNIDADES'!$C$8:$C$987,"T2",'DETALLES UNIDADES'!$AF$8:$AF$987,"X")</f>
        <v>6</v>
      </c>
      <c r="DV41" s="249">
        <f>COUNTIFS('DETALLES UNIDADES'!$C$8:$C$987,"T3",'DETALLES UNIDADES'!$AF$8:$AF$987,"X")</f>
        <v>72</v>
      </c>
      <c r="DW41" s="249">
        <f t="shared" si="256"/>
        <v>86</v>
      </c>
      <c r="EE41" s="11" t="s">
        <v>2534</v>
      </c>
      <c r="EF41" s="11" t="s">
        <v>2535</v>
      </c>
      <c r="EG41" s="11" t="s">
        <v>2536</v>
      </c>
      <c r="EH41" s="11" t="s">
        <v>2537</v>
      </c>
      <c r="EI41" s="11" t="s">
        <v>2538</v>
      </c>
      <c r="EJ41" s="11" t="s">
        <v>2539</v>
      </c>
      <c r="EK41" s="11" t="s">
        <v>2540</v>
      </c>
      <c r="EM41" s="11" t="s">
        <v>2534</v>
      </c>
      <c r="EN41" s="11" t="s">
        <v>2535</v>
      </c>
      <c r="EO41" s="11" t="s">
        <v>2536</v>
      </c>
      <c r="EP41" s="11" t="s">
        <v>2537</v>
      </c>
      <c r="EQ41" s="11" t="s">
        <v>2538</v>
      </c>
      <c r="ER41" s="11" t="s">
        <v>2539</v>
      </c>
      <c r="ES41" s="11" t="s">
        <v>2540</v>
      </c>
      <c r="EV41" s="112" t="s">
        <v>715</v>
      </c>
      <c r="EW41" s="249">
        <f>SUM(EW35:EW40)</f>
        <v>130</v>
      </c>
      <c r="EX41" s="249">
        <f>SUM(EX35:EX40)</f>
        <v>279</v>
      </c>
      <c r="EY41" s="249">
        <f>SUM(EY35:EY40)</f>
        <v>222</v>
      </c>
      <c r="EZ41" s="249">
        <f>SUM(EZ35:EZ40)</f>
        <v>187</v>
      </c>
      <c r="FA41" s="249">
        <f t="shared" si="237"/>
        <v>409</v>
      </c>
      <c r="FB41" s="112" t="s">
        <v>715</v>
      </c>
      <c r="FC41" s="6">
        <f t="shared" si="238"/>
        <v>0.31784841075794623</v>
      </c>
      <c r="FD41" s="6">
        <f t="shared" si="239"/>
        <v>0.68215158924205377</v>
      </c>
      <c r="FE41" s="6">
        <f t="shared" si="240"/>
        <v>0.54278728606356963</v>
      </c>
      <c r="FF41" s="6">
        <f t="shared" si="241"/>
        <v>0.45721271393643031</v>
      </c>
      <c r="FG41" s="190">
        <f t="shared" si="242"/>
        <v>1</v>
      </c>
      <c r="FM41" s="11" t="s">
        <v>2537</v>
      </c>
      <c r="FN41" s="6">
        <f t="shared" si="254"/>
        <v>0</v>
      </c>
      <c r="FO41" s="249">
        <f t="shared" si="255"/>
        <v>0</v>
      </c>
      <c r="GE41" s="11" t="s">
        <v>952</v>
      </c>
      <c r="GF41" s="6">
        <f t="shared" si="257"/>
        <v>7.8244274809160311E-2</v>
      </c>
      <c r="GG41" s="249">
        <f>COUNTIFS('DETALLES UNIDADES'!$C$8:$C$987,"T3",'DETALLES UNIDADES'!$R$8:$R$987,"&lt;7501")-GG40-GG39</f>
        <v>41</v>
      </c>
      <c r="GK41" s="11"/>
      <c r="GL41" s="6"/>
      <c r="GM41" s="249"/>
    </row>
    <row r="42" spans="1:195" x14ac:dyDescent="0.25">
      <c r="N42" s="249"/>
      <c r="X42" s="11" t="s">
        <v>1004</v>
      </c>
      <c r="Y42" s="254"/>
      <c r="AB42" s="9">
        <f>COUNTIF('DETALLES UNIDADES'!$S$8:$S$987,"G")</f>
        <v>73</v>
      </c>
      <c r="AC42" s="249">
        <v>1</v>
      </c>
      <c r="AK42" s="11" t="s">
        <v>2539</v>
      </c>
      <c r="AL42" s="6">
        <f t="shared" si="246"/>
        <v>0.55813953488372092</v>
      </c>
      <c r="AM42" s="249">
        <f t="shared" si="247"/>
        <v>24</v>
      </c>
      <c r="BD42" s="112" t="s">
        <v>944</v>
      </c>
      <c r="BE42" s="6">
        <f t="shared" si="252"/>
        <v>0.06</v>
      </c>
      <c r="BF42" s="138">
        <f t="shared" si="253"/>
        <v>6</v>
      </c>
      <c r="BV42" s="17" t="s">
        <v>1662</v>
      </c>
      <c r="BW42" s="6">
        <f t="shared" si="243"/>
        <v>1</v>
      </c>
      <c r="BX42" s="6">
        <f t="shared" si="222"/>
        <v>1</v>
      </c>
      <c r="BY42" s="6">
        <f t="shared" si="223"/>
        <v>1</v>
      </c>
      <c r="BZ42" s="6">
        <f t="shared" si="224"/>
        <v>1</v>
      </c>
      <c r="CA42" s="6">
        <f t="shared" si="225"/>
        <v>1</v>
      </c>
      <c r="CB42" s="249">
        <f>SUM(CB36:CB41)</f>
        <v>202</v>
      </c>
      <c r="CC42" s="249">
        <f t="shared" ref="CC42:CE42" si="264">SUM(CC36:CC41)</f>
        <v>85</v>
      </c>
      <c r="CD42" s="249">
        <f t="shared" si="264"/>
        <v>90</v>
      </c>
      <c r="CE42" s="249">
        <f t="shared" si="264"/>
        <v>34</v>
      </c>
      <c r="CF42" s="249">
        <f t="shared" si="244"/>
        <v>411</v>
      </c>
      <c r="CH42" s="17" t="s">
        <v>852</v>
      </c>
      <c r="CI42" s="6">
        <f t="shared" ref="CI42:CI45" si="265">+CN42/$CR$45</f>
        <v>0.22682926829268293</v>
      </c>
      <c r="CJ42" s="6">
        <f t="shared" si="259"/>
        <v>9.2682926829268292E-2</v>
      </c>
      <c r="CK42" s="6">
        <f t="shared" si="260"/>
        <v>9.0243902439024387E-2</v>
      </c>
      <c r="CL42" s="6">
        <f t="shared" si="261"/>
        <v>3.4146341463414637E-2</v>
      </c>
      <c r="CM42" s="6">
        <f t="shared" si="262"/>
        <v>0.44390243902439025</v>
      </c>
      <c r="CN42" s="249">
        <f>COUNTIFS('ENCUESTA PROPIETARIOS'!$AY$7:$AY$417,"3",'ENCUESTA PROPIETARIOS'!$N$7:$N$417,"1")</f>
        <v>93</v>
      </c>
      <c r="CO42" s="249">
        <f>COUNTIFS('ENCUESTA PROPIETARIOS'!$AY$7:$AY$417,"3",'ENCUESTA PROPIETARIOS'!$N$7:$N$417,"2")</f>
        <v>38</v>
      </c>
      <c r="CP42" s="249">
        <f>COUNTIFS('ENCUESTA PROPIETARIOS'!$AY$7:$AY$417,"3",'ENCUESTA PROPIETARIOS'!$N$7:$N$417,"3")+COUNTIFS('ENCUESTA PROPIETARIOS'!$AY$7:$AY$417,"3",'ENCUESTA PROPIETARIOS'!$N$7:$N$417,"4")+COUNTIFS('ENCUESTA PROPIETARIOS'!$AY$7:$AY$417,"3",'ENCUESTA PROPIETARIOS'!$N$7:$N$417,"5")</f>
        <v>37</v>
      </c>
      <c r="CQ42" s="249">
        <f>COUNTIFS('ENCUESTA PROPIETARIOS'!$AY$7:$AY$417,"3",'ENCUESTA PROPIETARIOS'!$N$7:$N$417,"&gt;5")</f>
        <v>14</v>
      </c>
      <c r="CR42" s="249">
        <f t="shared" ref="CR42:CR45" si="266">SUM(CN42:CQ42)</f>
        <v>182</v>
      </c>
      <c r="CT42" s="17" t="s">
        <v>2606</v>
      </c>
      <c r="CU42" s="6">
        <f t="shared" ref="CU42:CU46" si="267">+CV42/$CV$46</f>
        <v>0.10144927536231885</v>
      </c>
      <c r="CV42" s="249">
        <f t="shared" si="263"/>
        <v>28</v>
      </c>
      <c r="DF42" s="17" t="s">
        <v>2626</v>
      </c>
      <c r="DR42" s="17" t="s">
        <v>2656</v>
      </c>
      <c r="DS42" s="249">
        <f>COUNTIFS('DETALLES UNIDADES'!$C$8:$C$987,"C2",'DETALLES UNIDADES'!$AI$8:$AI$987,"X")</f>
        <v>61</v>
      </c>
      <c r="DT42" s="249">
        <f>COUNTIFS('DETALLES UNIDADES'!$C$8:$C$987,"C3",'DETALLES UNIDADES'!$AI$8:$AI$987,"X")</f>
        <v>55</v>
      </c>
      <c r="DU42" s="249">
        <f>COUNTIFS('DETALLES UNIDADES'!$C$8:$C$987,"T2",'DETALLES UNIDADES'!$AI$8:$AI$987,"X")</f>
        <v>34</v>
      </c>
      <c r="DV42" s="249">
        <f>COUNTIFS('DETALLES UNIDADES'!$C$8:$C$987,"T3",'DETALLES UNIDADES'!$AI$8:$AI$987,"X")</f>
        <v>175</v>
      </c>
      <c r="DW42" s="249">
        <f t="shared" si="256"/>
        <v>325</v>
      </c>
      <c r="ED42" s="11" t="s">
        <v>2669</v>
      </c>
      <c r="EE42" s="6">
        <f>+EM42/EM$49</f>
        <v>7.6923076923076927E-2</v>
      </c>
      <c r="EF42" s="6">
        <f t="shared" ref="EF42:EF49" si="268">+EN42/EN$49</f>
        <v>0.125</v>
      </c>
      <c r="EG42" s="6">
        <f t="shared" ref="EG42:EG49" si="269">+EO42/EO$49</f>
        <v>7.6190476190476197E-2</v>
      </c>
      <c r="EH42" s="6">
        <f t="shared" ref="EH42:EH49" si="270">+EP42/EP$49</f>
        <v>4.5081967213114756E-2</v>
      </c>
      <c r="EI42" s="6">
        <f t="shared" ref="EI42:EI49" si="271">+EQ42/EQ$49</f>
        <v>5.4794520547945202E-2</v>
      </c>
      <c r="EJ42" s="6">
        <f t="shared" ref="EJ42:EJ49" si="272">+ER42/ER$49</f>
        <v>4.9107142857142856E-2</v>
      </c>
      <c r="EK42" s="6">
        <f t="shared" ref="EK42:EK49" si="273">+ES42/ES$49</f>
        <v>2.6315789473684209E-2</v>
      </c>
      <c r="EL42" s="6">
        <f t="shared" ref="EL42:EL49" si="274">+ET42/ET$49</f>
        <v>5.7022175290390706E-2</v>
      </c>
      <c r="EM42" s="249">
        <f>COUNTIFS('DETALLES UNIDADES'!$BC$8:$BC$987,"&lt;1991",'DETALLES UNIDADES'!$AQ$8:$AQ$987,"&lt;50000")</f>
        <v>8</v>
      </c>
      <c r="EN42" s="249">
        <f>COUNTIFS('DETALLES UNIDADES'!$BC$8:$BC$987,"&lt;1994",'DETALLES UNIDADES'!$AQ$8:$AQ$987,"&lt;50000")-EM42</f>
        <v>6</v>
      </c>
      <c r="EO42" s="249">
        <f>COUNTIFS('DETALLES UNIDADES'!$BC$8:$BC$987,"&lt;1998",'DETALLES UNIDADES'!$AQ$8:$AQ$987,"&lt;50000")-EN42-EM42</f>
        <v>8</v>
      </c>
      <c r="EP42" s="249">
        <f>COUNTIFS('DETALLES UNIDADES'!$BC$8:$BC$987,"&lt;2004",'DETALLES UNIDADES'!$AQ$8:$AQ$987,"&lt;50000")-EO42-EN42-EM42</f>
        <v>11</v>
      </c>
      <c r="EQ42" s="249">
        <f>COUNTIFS('DETALLES UNIDADES'!$BC$8:$BC$987,"&lt;2007",'DETALLES UNIDADES'!$AQ$8:$AQ$987,"&lt;50000")-EP42-EO42-EN42-EM42</f>
        <v>8</v>
      </c>
      <c r="ER42" s="249">
        <f>COUNTIFS('DETALLES UNIDADES'!$BC$8:$BC$987,"&lt;2011",'DETALLES UNIDADES'!$AQ$8:$AQ$987,"&lt;50000")-EQ42-EP42-EO42-EN42-EM42</f>
        <v>11</v>
      </c>
      <c r="ES42" s="249">
        <f>COUNTIFS('DETALLES UNIDADES'!$BC$8:$BC$987,"&gt;2010",'DETALLES UNIDADES'!$AQ$8:$AQ$987,"&lt;50000")</f>
        <v>2</v>
      </c>
      <c r="ET42" s="249">
        <f t="shared" ref="ET42:ET48" si="275">SUM(EM42:ES42)</f>
        <v>54</v>
      </c>
      <c r="EX42" s="249">
        <f>+EX41+EW41</f>
        <v>409</v>
      </c>
      <c r="EZ42" s="249">
        <f>+EZ41+EY41</f>
        <v>409</v>
      </c>
      <c r="FM42" s="11" t="s">
        <v>2538</v>
      </c>
      <c r="FN42" s="6">
        <f t="shared" si="254"/>
        <v>0.11627906976744186</v>
      </c>
      <c r="FO42" s="249">
        <f t="shared" si="255"/>
        <v>5</v>
      </c>
      <c r="GE42" s="11" t="s">
        <v>953</v>
      </c>
      <c r="GF42" s="6">
        <f t="shared" si="257"/>
        <v>4.3893129770992363E-2</v>
      </c>
      <c r="GG42" s="249">
        <f>COUNTIFS('DETALLES UNIDADES'!$C$8:$C$987,"T3",'DETALLES UNIDADES'!$R$8:$R$987,"&lt;10001")-GG41-GG40-GG39</f>
        <v>23</v>
      </c>
      <c r="GK42" s="11"/>
      <c r="GL42" s="6"/>
      <c r="GM42" s="249"/>
    </row>
    <row r="43" spans="1:195" x14ac:dyDescent="0.25">
      <c r="N43" s="249"/>
      <c r="X43" s="11" t="s">
        <v>430</v>
      </c>
      <c r="Y43" s="254"/>
      <c r="AB43" s="9">
        <f>COUNTIF('DETALLES UNIDADES'!$S$8:$S$987,"GAS")</f>
        <v>7</v>
      </c>
      <c r="AC43" s="249">
        <v>428</v>
      </c>
      <c r="AK43" s="11" t="s">
        <v>2540</v>
      </c>
      <c r="AL43" s="6">
        <f t="shared" si="246"/>
        <v>0.18604651162790697</v>
      </c>
      <c r="AM43" s="249">
        <f t="shared" si="247"/>
        <v>8</v>
      </c>
      <c r="BD43" s="112" t="s">
        <v>1714</v>
      </c>
      <c r="BE43" s="6">
        <f t="shared" si="252"/>
        <v>0.01</v>
      </c>
      <c r="BF43" s="138">
        <f t="shared" si="253"/>
        <v>1</v>
      </c>
      <c r="CF43" s="249">
        <f>SUM(CF36:CF41)</f>
        <v>411</v>
      </c>
      <c r="CH43" s="17" t="s">
        <v>853</v>
      </c>
      <c r="CI43" s="6">
        <f t="shared" si="265"/>
        <v>0.14390243902439023</v>
      </c>
      <c r="CJ43" s="6">
        <f t="shared" si="259"/>
        <v>7.3170731707317069E-2</v>
      </c>
      <c r="CK43" s="6">
        <f t="shared" si="260"/>
        <v>6.5853658536585369E-2</v>
      </c>
      <c r="CL43" s="6">
        <f t="shared" si="261"/>
        <v>1.9512195121951219E-2</v>
      </c>
      <c r="CM43" s="6">
        <f t="shared" si="262"/>
        <v>0.30243902439024389</v>
      </c>
      <c r="CN43" s="249">
        <f>COUNTIFS('ENCUESTA PROPIETARIOS'!$AZ$7:$AZ$417,"3",'ENCUESTA PROPIETARIOS'!$N$7:$N$417,"1")</f>
        <v>59</v>
      </c>
      <c r="CO43" s="249">
        <f>COUNTIFS('ENCUESTA PROPIETARIOS'!$AZ$7:$AZ$417,"3",'ENCUESTA PROPIETARIOS'!$N$7:$N$417,"2")</f>
        <v>30</v>
      </c>
      <c r="CP43" s="249">
        <f>COUNTIFS('ENCUESTA PROPIETARIOS'!$AZ$7:$AZ$417,"3",'ENCUESTA PROPIETARIOS'!$N$7:$N$417,"3")+COUNTIFS('ENCUESTA PROPIETARIOS'!$AZ$7:$AZ$417,"3",'ENCUESTA PROPIETARIOS'!$N$7:$N$417,"4")+COUNTIFS('ENCUESTA PROPIETARIOS'!$AZ$7:$AZ$417,"3",'ENCUESTA PROPIETARIOS'!$N$7:$N$417,"5")</f>
        <v>27</v>
      </c>
      <c r="CQ43" s="249">
        <f>COUNTIFS('ENCUESTA PROPIETARIOS'!$AZ$7:$AZ$417,"3",'ENCUESTA PROPIETARIOS'!$N$7:$N$417,"&gt;5")</f>
        <v>8</v>
      </c>
      <c r="CR43" s="249">
        <f t="shared" si="266"/>
        <v>124</v>
      </c>
      <c r="CT43" s="17" t="s">
        <v>2607</v>
      </c>
      <c r="CU43" s="6">
        <f t="shared" si="267"/>
        <v>0.11956521739130435</v>
      </c>
      <c r="CV43" s="249">
        <f t="shared" si="263"/>
        <v>33</v>
      </c>
      <c r="DG43" s="11" t="s">
        <v>814</v>
      </c>
      <c r="DH43" s="11" t="s">
        <v>815</v>
      </c>
      <c r="DI43" s="11" t="s">
        <v>1780</v>
      </c>
      <c r="DJ43" s="11" t="s">
        <v>1781</v>
      </c>
      <c r="DK43" s="11"/>
      <c r="DL43" s="11" t="s">
        <v>814</v>
      </c>
      <c r="DM43" s="11" t="s">
        <v>815</v>
      </c>
      <c r="DN43" s="11" t="s">
        <v>1780</v>
      </c>
      <c r="DO43" s="11" t="s">
        <v>1781</v>
      </c>
      <c r="DP43" s="11"/>
      <c r="DR43" s="17" t="s">
        <v>2653</v>
      </c>
      <c r="DS43" s="249">
        <f>COUNTIFS('DETALLES UNIDADES'!$C$8:$C$987,"C2",'DETALLES UNIDADES'!$AJ$8:$AJ$987,"X")</f>
        <v>4</v>
      </c>
      <c r="DT43" s="249">
        <f>COUNTIFS('DETALLES UNIDADES'!$C$8:$C$987,"C3",'DETALLES UNIDADES'!$AJ$8:$AJ$987,"X")</f>
        <v>18</v>
      </c>
      <c r="DU43" s="249">
        <f>COUNTIFS('DETALLES UNIDADES'!$C$8:$C$987,"T2",'DETALLES UNIDADES'!$AJ$8:$AJ$987,"X")</f>
        <v>3</v>
      </c>
      <c r="DV43" s="249">
        <f>COUNTIFS('DETALLES UNIDADES'!$C$8:$C$987,"T3",'DETALLES UNIDADES'!$AJ$8:$AJ$987,"X")</f>
        <v>56</v>
      </c>
      <c r="DW43" s="249">
        <f t="shared" si="256"/>
        <v>81</v>
      </c>
      <c r="ED43" s="17" t="s">
        <v>2670</v>
      </c>
      <c r="EE43" s="6">
        <f t="shared" ref="EE43:EE49" si="276">+EM43/EM$49</f>
        <v>0.23076923076923078</v>
      </c>
      <c r="EF43" s="6">
        <f t="shared" si="268"/>
        <v>4.1666666666666664E-2</v>
      </c>
      <c r="EG43" s="6">
        <f t="shared" si="269"/>
        <v>5.7142857142857141E-2</v>
      </c>
      <c r="EH43" s="6">
        <f t="shared" si="270"/>
        <v>4.9180327868852458E-2</v>
      </c>
      <c r="EI43" s="6">
        <f t="shared" si="271"/>
        <v>0.15753424657534246</v>
      </c>
      <c r="EJ43" s="6">
        <f t="shared" si="272"/>
        <v>9.8214285714285712E-2</v>
      </c>
      <c r="EK43" s="6">
        <f t="shared" si="273"/>
        <v>0.14473684210526316</v>
      </c>
      <c r="EL43" s="6">
        <f t="shared" si="274"/>
        <v>0.10559662090813093</v>
      </c>
      <c r="EM43" s="249">
        <f>COUNTIFS('DETALLES UNIDADES'!$BC$8:$BC$987,"&lt;1991",'DETALLES UNIDADES'!$AQ$8:$AQ$987,"&lt;75001")-EM42</f>
        <v>24</v>
      </c>
      <c r="EN43" s="249">
        <f>COUNTIFS('DETALLES UNIDADES'!$BC$8:$BC$987,"&lt;1994",'DETALLES UNIDADES'!$AQ$8:$AQ$987,"&lt;75001")-EM43-EN42-EM42</f>
        <v>2</v>
      </c>
      <c r="EO43" s="249">
        <f>COUNTIFS('DETALLES UNIDADES'!$BC$8:$BC$987,"&lt;1998",'DETALLES UNIDADES'!$AQ$8:$AQ$987,"&lt;75001")-EN43-EM43-EO42-EN42-EM42</f>
        <v>6</v>
      </c>
      <c r="EP43" s="249">
        <f>COUNTIFS('DETALLES UNIDADES'!$BC$8:$BC$987,"&lt;2004",'DETALLES UNIDADES'!$AQ$8:$AQ$987,"&lt;75001")-EO43-EN43-EM43-EP42-EO42-EN42-EM42</f>
        <v>12</v>
      </c>
      <c r="EQ43" s="249">
        <f>COUNTIFS('DETALLES UNIDADES'!$BC$8:$BC$987,"&lt;2007",'DETALLES UNIDADES'!$AQ$8:$AQ$987,"&lt;75001")-EP43-EO43-EN43-EM43-EQ42-EP42-EO42-EN42-EM42</f>
        <v>23</v>
      </c>
      <c r="ER43" s="249">
        <f>COUNTIFS('DETALLES UNIDADES'!$BC$8:$BC$987,"&lt;2011",'DETALLES UNIDADES'!$AQ$8:$AQ$987,"&lt;75001")-EQ43-EP43-EO43-EN43-EM43-ER42-EQ42-EP42-EO42-EN42-EM42</f>
        <v>22</v>
      </c>
      <c r="ES43" s="249">
        <f>COUNTIFS('DETALLES UNIDADES'!$BC$8:$BC$987,"&gt;2010",'DETALLES UNIDADES'!$AQ$8:$AQ$987,"&lt;75001")-ES42</f>
        <v>11</v>
      </c>
      <c r="ET43" s="249">
        <f t="shared" si="275"/>
        <v>100</v>
      </c>
      <c r="EV43" s="112" t="s">
        <v>2695</v>
      </c>
      <c r="FM43" s="11" t="s">
        <v>2539</v>
      </c>
      <c r="FN43" s="6">
        <f t="shared" si="254"/>
        <v>0.55813953488372092</v>
      </c>
      <c r="FO43" s="249">
        <f t="shared" si="255"/>
        <v>24</v>
      </c>
      <c r="GE43" s="11" t="s">
        <v>2376</v>
      </c>
      <c r="GF43" s="6">
        <f t="shared" si="257"/>
        <v>0</v>
      </c>
      <c r="GG43" s="249">
        <f>COUNTIFS('DETALLES UNIDADES'!$C$8:$C$987,"T3",'DETALLES UNIDADES'!$R$8:$R$987,"&lt;12501")-GG42-GG41-GG40-GG39</f>
        <v>0</v>
      </c>
      <c r="GK43" s="11"/>
      <c r="GL43" s="6"/>
      <c r="GM43" s="249"/>
    </row>
    <row r="44" spans="1:195" ht="38.25" x14ac:dyDescent="0.25">
      <c r="A44" s="17" t="s">
        <v>2727</v>
      </c>
      <c r="B44" s="17"/>
      <c r="N44" s="17" t="s">
        <v>2727</v>
      </c>
      <c r="X44" s="179"/>
      <c r="Y44" s="179"/>
      <c r="AB44" s="9">
        <f>+AB43+AB42+AB41</f>
        <v>980</v>
      </c>
      <c r="AK44" s="11" t="s">
        <v>715</v>
      </c>
      <c r="AL44" s="6">
        <f t="shared" si="246"/>
        <v>1</v>
      </c>
      <c r="AM44" s="249">
        <f t="shared" si="247"/>
        <v>43</v>
      </c>
      <c r="BD44" s="112" t="s">
        <v>1715</v>
      </c>
      <c r="BE44" s="6">
        <f t="shared" si="252"/>
        <v>0</v>
      </c>
      <c r="BF44" s="138">
        <f t="shared" si="253"/>
        <v>0</v>
      </c>
      <c r="CH44" s="17" t="s">
        <v>346</v>
      </c>
      <c r="CI44" s="6">
        <f t="shared" si="265"/>
        <v>0</v>
      </c>
      <c r="CJ44" s="6">
        <f t="shared" si="259"/>
        <v>0</v>
      </c>
      <c r="CK44" s="6">
        <f t="shared" si="260"/>
        <v>0</v>
      </c>
      <c r="CL44" s="6">
        <f t="shared" si="261"/>
        <v>0</v>
      </c>
      <c r="CM44" s="6">
        <f t="shared" si="262"/>
        <v>0</v>
      </c>
      <c r="CN44" s="249">
        <v>0</v>
      </c>
      <c r="CO44" s="249">
        <v>0</v>
      </c>
      <c r="CP44" s="249">
        <v>0</v>
      </c>
      <c r="CQ44" s="249">
        <v>0</v>
      </c>
      <c r="CR44" s="249">
        <f t="shared" si="266"/>
        <v>0</v>
      </c>
      <c r="CT44" s="17" t="s">
        <v>2608</v>
      </c>
      <c r="CU44" s="6">
        <f t="shared" si="267"/>
        <v>1.8115942028985508E-2</v>
      </c>
      <c r="CV44" s="249">
        <f t="shared" si="263"/>
        <v>5</v>
      </c>
      <c r="DF44" s="17" t="s">
        <v>2616</v>
      </c>
      <c r="DG44" s="6">
        <f>+DL44/DL$51</f>
        <v>0.6097560975609756</v>
      </c>
      <c r="DH44" s="6">
        <f t="shared" ref="DH44:DH51" si="277">+DM44/DM$51</f>
        <v>0.52083333333333337</v>
      </c>
      <c r="DI44" s="6">
        <f t="shared" ref="DI44:DI51" si="278">+DN44/DN$51</f>
        <v>0.86956521739130432</v>
      </c>
      <c r="DJ44" s="6">
        <f t="shared" ref="DJ44:DJ51" si="279">+DO44/DO$51</f>
        <v>0.46808510638297873</v>
      </c>
      <c r="DK44" s="6">
        <f t="shared" ref="DK44:DK51" si="280">+DP44/DP$51</f>
        <v>0.64390243902439026</v>
      </c>
      <c r="DL44" s="249">
        <f>COUNTIFS('DETALLES UNIDADES'!$BA$8:$BA$987,"1",'DETALLES UNIDADES'!$AU$8:$AU$987,"&lt;50000",'DETALLES UNIDADES'!$C$8:$C$987,"C2")</f>
        <v>25</v>
      </c>
      <c r="DM44" s="249">
        <f>COUNTIFS('DETALLES UNIDADES'!$BA$8:$BA$987,"2",'DETALLES UNIDADES'!$AU$8:$AU$987,"&lt;50000",'DETALLES UNIDADES'!$C$8:$C$987,"C2")</f>
        <v>25</v>
      </c>
      <c r="DN44" s="249">
        <f>COUNTIFS('DETALLES UNIDADES'!$BA$8:$BA$987,"3",'DETALLES UNIDADES'!$AU$8:$AU$987,"&lt;50000",'DETALLES UNIDADES'!$C$8:$C$987,"C2")+COUNTIFS('DETALLES UNIDADES'!$BA$8:$BA$987,"4",'DETALLES UNIDADES'!$AU$8:$AU$987,"&lt;50000",'DETALLES UNIDADES'!$C$8:$C$987,"C2")+COUNTIFS('DETALLES UNIDADES'!$BA$8:$BA$987,"5",'DETALLES UNIDADES'!$AU$8:$AU$987,"&lt;50000",'DETALLES UNIDADES'!$C$8:$C$987,"C2")</f>
        <v>60</v>
      </c>
      <c r="DO44" s="249">
        <f>COUNTIFS('DETALLES UNIDADES'!$BA$8:$BA$987,"&gt;5",'DETALLES UNIDADES'!$AU$8:$AU$987,"&lt;50000",'DETALLES UNIDADES'!$C$8:$C$987,"C2")</f>
        <v>22</v>
      </c>
      <c r="DP44" s="249">
        <f t="shared" ref="DP44:DP50" si="281">SUM(DL44:DO44)</f>
        <v>132</v>
      </c>
      <c r="DR44" s="17" t="s">
        <v>2654</v>
      </c>
      <c r="DS44" s="249">
        <f>COUNTIFS('DETALLES UNIDADES'!$C$8:$C$987,"C2",'DETALLES UNIDADES'!$AL$8:$AL$987,"X")</f>
        <v>95</v>
      </c>
      <c r="DT44" s="249">
        <f>COUNTIFS('DETALLES UNIDADES'!$C$8:$C$987,"C3",'DETALLES UNIDADES'!$AL$8:$AL$987,"X")</f>
        <v>65</v>
      </c>
      <c r="DU44" s="249">
        <f>COUNTIFS('DETALLES UNIDADES'!$C$8:$C$987,"T2",'DETALLES UNIDADES'!$AL$8:$AL$987,"X")</f>
        <v>41</v>
      </c>
      <c r="DV44" s="249">
        <f>COUNTIFS('DETALLES UNIDADES'!$C$8:$C$987,"T3",'DETALLES UNIDADES'!$AL$8:$AL$987,"X")</f>
        <v>329</v>
      </c>
      <c r="DW44" s="249">
        <f t="shared" si="256"/>
        <v>530</v>
      </c>
      <c r="ED44" s="17" t="s">
        <v>2671</v>
      </c>
      <c r="EE44" s="6">
        <f t="shared" si="276"/>
        <v>0.16346153846153846</v>
      </c>
      <c r="EF44" s="6">
        <f t="shared" si="268"/>
        <v>0.16666666666666666</v>
      </c>
      <c r="EG44" s="6">
        <f t="shared" si="269"/>
        <v>0.24761904761904763</v>
      </c>
      <c r="EH44" s="6">
        <f t="shared" si="270"/>
        <v>0.26229508196721313</v>
      </c>
      <c r="EI44" s="6">
        <f t="shared" si="271"/>
        <v>0.29452054794520549</v>
      </c>
      <c r="EJ44" s="6">
        <f t="shared" si="272"/>
        <v>0.23214285714285715</v>
      </c>
      <c r="EK44" s="6">
        <f t="shared" si="273"/>
        <v>0.21052631578947367</v>
      </c>
      <c r="EL44" s="6">
        <f t="shared" si="274"/>
        <v>0.23864836325237593</v>
      </c>
      <c r="EM44" s="249">
        <f>COUNTIFS('DETALLES UNIDADES'!$BC$8:$BC$987,"&lt;1991",'DETALLES UNIDADES'!$AQ$8:$AQ$987,"&lt;100001")-EM43-EM42</f>
        <v>17</v>
      </c>
      <c r="EN44" s="249">
        <f>COUNTIFS('DETALLES UNIDADES'!$BC$8:$BC$987,"&lt;1994",'DETALLES UNIDADES'!$AQ$8:$AQ$987,"&lt;100001")-EM44-EN43-EM43-EN42-EM42</f>
        <v>8</v>
      </c>
      <c r="EO44" s="249">
        <f>COUNTIFS('DETALLES UNIDADES'!$BC$8:$BC$987,"&lt;1998",'DETALLES UNIDADES'!$AQ$8:$AQ$987,"&lt;100001")-EN44-EM44-EO43-EN43-EM43-EO42-EN42-EM42</f>
        <v>26</v>
      </c>
      <c r="EP44" s="249">
        <f>COUNTIFS('DETALLES UNIDADES'!$BC$8:$BC$987,"&lt;2004",'DETALLES UNIDADES'!$AQ$8:$AQ$987,"&lt;100001")-EO44-EN44-EM44-EP43-EO43-EN43-EM43-EP42-EO42-EN42-EM42</f>
        <v>64</v>
      </c>
      <c r="EQ44" s="249">
        <f>COUNTIFS('DETALLES UNIDADES'!$BC$8:$BC$987,"&lt;2007",'DETALLES UNIDADES'!$AQ$8:$AQ$987,"&lt;100001")-EP44-EO44-EN44-EM44-EQ43-EP43-EO43-EN43-EM43-EQ42-EP42-EO42-EN42-EM42</f>
        <v>43</v>
      </c>
      <c r="ER44" s="249">
        <f>COUNTIFS('DETALLES UNIDADES'!$BC$8:$BC$987,"&lt;2011",'DETALLES UNIDADES'!$AQ$8:$AQ$987,"&lt;100001")-EQ44-EP44-EO44-EN44-EM44-ER43-EQ43-EP43-EO43-EN43-EM43-ER42-EQ42-EP42-EO42-EN42-EM42</f>
        <v>52</v>
      </c>
      <c r="ES44" s="249">
        <f>COUNTIFS('DETALLES UNIDADES'!$BC$8:$BC$987,"&gt;2010",'DETALLES UNIDADES'!$AQ$8:$AQ$987,"&lt;100001")-ES43-ES42</f>
        <v>16</v>
      </c>
      <c r="ET44" s="249">
        <f t="shared" si="275"/>
        <v>226</v>
      </c>
      <c r="EW44" s="137" t="s">
        <v>2685</v>
      </c>
      <c r="EX44" s="137" t="s">
        <v>2686</v>
      </c>
      <c r="EY44" s="137" t="s">
        <v>2687</v>
      </c>
      <c r="EZ44" s="137" t="s">
        <v>899</v>
      </c>
      <c r="FA44" s="137" t="s">
        <v>892</v>
      </c>
      <c r="FC44" s="137" t="s">
        <v>2685</v>
      </c>
      <c r="FD44" s="137" t="s">
        <v>2686</v>
      </c>
      <c r="FE44" s="137" t="s">
        <v>2687</v>
      </c>
      <c r="FF44" s="137" t="s">
        <v>899</v>
      </c>
      <c r="FG44" s="137" t="s">
        <v>892</v>
      </c>
      <c r="FM44" s="11" t="s">
        <v>2540</v>
      </c>
      <c r="FN44" s="6">
        <f t="shared" si="254"/>
        <v>0.18604651162790697</v>
      </c>
      <c r="FO44" s="249">
        <f t="shared" si="255"/>
        <v>8</v>
      </c>
      <c r="GE44" s="11" t="s">
        <v>2724</v>
      </c>
      <c r="GF44" s="6">
        <f t="shared" si="257"/>
        <v>0</v>
      </c>
      <c r="GG44" s="249">
        <f>COUNTIFS('DETALLES UNIDADES'!$C$8:$C$987,"T3",'DETALLES UNIDADES'!$R$8:$R$987,"&gt;12500")</f>
        <v>0</v>
      </c>
      <c r="GK44" s="11"/>
      <c r="GL44" s="6"/>
      <c r="GM44" s="249"/>
    </row>
    <row r="45" spans="1:195" x14ac:dyDescent="0.25">
      <c r="B45" s="17" t="s">
        <v>814</v>
      </c>
      <c r="C45" s="17" t="s">
        <v>815</v>
      </c>
      <c r="D45" s="17" t="s">
        <v>1780</v>
      </c>
      <c r="E45" s="17" t="s">
        <v>1781</v>
      </c>
      <c r="G45" s="17" t="s">
        <v>814</v>
      </c>
      <c r="H45" s="17" t="s">
        <v>815</v>
      </c>
      <c r="I45" s="17" t="s">
        <v>1780</v>
      </c>
      <c r="J45" s="17" t="s">
        <v>1781</v>
      </c>
      <c r="O45" s="17" t="s">
        <v>814</v>
      </c>
      <c r="P45" s="17" t="s">
        <v>815</v>
      </c>
      <c r="Q45" s="17" t="s">
        <v>1780</v>
      </c>
      <c r="R45" s="17" t="s">
        <v>1781</v>
      </c>
      <c r="BD45" s="11" t="s">
        <v>715</v>
      </c>
      <c r="BE45" s="6">
        <f t="shared" si="252"/>
        <v>1</v>
      </c>
      <c r="BF45" s="138">
        <f t="shared" si="253"/>
        <v>100</v>
      </c>
      <c r="CH45" s="17" t="s">
        <v>1662</v>
      </c>
      <c r="CI45" s="6">
        <f t="shared" si="265"/>
        <v>0.49268292682926829</v>
      </c>
      <c r="CJ45" s="6">
        <f t="shared" si="259"/>
        <v>0.20487804878048779</v>
      </c>
      <c r="CK45" s="6">
        <f t="shared" si="260"/>
        <v>0.21951219512195122</v>
      </c>
      <c r="CL45" s="6">
        <f t="shared" si="261"/>
        <v>8.2926829268292687E-2</v>
      </c>
      <c r="CM45" s="6">
        <f t="shared" si="262"/>
        <v>1</v>
      </c>
      <c r="CN45" s="249">
        <f>SUM(CN41:CN44)</f>
        <v>202</v>
      </c>
      <c r="CO45" s="249">
        <f t="shared" ref="CO45" si="282">SUM(CO41:CO44)</f>
        <v>84</v>
      </c>
      <c r="CP45" s="249">
        <f t="shared" ref="CP45" si="283">SUM(CP41:CP44)</f>
        <v>90</v>
      </c>
      <c r="CQ45" s="249">
        <f t="shared" ref="CQ45" si="284">SUM(CQ41:CQ44)</f>
        <v>34</v>
      </c>
      <c r="CR45" s="249">
        <f t="shared" si="266"/>
        <v>410</v>
      </c>
      <c r="CT45" s="17" t="s">
        <v>2609</v>
      </c>
      <c r="CU45" s="6">
        <f t="shared" si="267"/>
        <v>5.0724637681159424E-2</v>
      </c>
      <c r="CV45" s="249">
        <f t="shared" si="263"/>
        <v>14</v>
      </c>
      <c r="DF45" s="17" t="s">
        <v>2618</v>
      </c>
      <c r="DG45" s="6">
        <f t="shared" ref="DG45:DG51" si="285">+DL45/DL$51</f>
        <v>0.24390243902439024</v>
      </c>
      <c r="DH45" s="6">
        <f t="shared" si="277"/>
        <v>0.33333333333333331</v>
      </c>
      <c r="DI45" s="6">
        <f t="shared" si="278"/>
        <v>8.6956521739130432E-2</v>
      </c>
      <c r="DJ45" s="6">
        <f t="shared" si="279"/>
        <v>0.21276595744680851</v>
      </c>
      <c r="DK45" s="6">
        <f t="shared" si="280"/>
        <v>0.20487804878048779</v>
      </c>
      <c r="DL45" s="249">
        <f>COUNTIFS('DETALLES UNIDADES'!$BA$8:$BA$987,"1",'DETALLES UNIDADES'!$AU$8:$AU$987,"&lt;75001",'DETALLES UNIDADES'!$C$8:$C$987,"C2")-DL44</f>
        <v>10</v>
      </c>
      <c r="DM45" s="249">
        <f>COUNTIFS('DETALLES UNIDADES'!$BA$8:$BA$987,"2",'DETALLES UNIDADES'!$AU$8:$AU$987,"&lt;75001",'DETALLES UNIDADES'!$C$8:$C$987,"C2")-DM44</f>
        <v>16</v>
      </c>
      <c r="DN45" s="249">
        <f>COUNTIFS('DETALLES UNIDADES'!$BA$8:$BA$987,"3",'DETALLES UNIDADES'!$AU$8:$AU$987,"&lt;75001",'DETALLES UNIDADES'!$C$8:$C$987,"C2")+COUNTIFS('DETALLES UNIDADES'!$BA$8:$BA$987,"4",'DETALLES UNIDADES'!$AU$8:$AU$987,"&lt;75001",'DETALLES UNIDADES'!$C$8:$C$987,"C2")+COUNTIFS('DETALLES UNIDADES'!$BA$8:$BA$987,"5",'DETALLES UNIDADES'!$AU$8:$AU$987,"&lt;75001",'DETALLES UNIDADES'!$C$8:$C$987,"C2")-DN44</f>
        <v>6</v>
      </c>
      <c r="DO45" s="249">
        <f>COUNTIFS('DETALLES UNIDADES'!$BA$8:$BA$987,"&gt;5",'DETALLES UNIDADES'!$AU$8:$AU$987,"&lt;75001",'DETALLES UNIDADES'!$C$8:$C$987,"C2")-DO44</f>
        <v>10</v>
      </c>
      <c r="DP45" s="249">
        <f t="shared" si="281"/>
        <v>42</v>
      </c>
      <c r="DR45" s="17" t="s">
        <v>2655</v>
      </c>
      <c r="DS45" s="249">
        <f>COUNTIFS('DETALLES UNIDADES'!$C$8:$C$987,"C2",'DETALLES UNIDADES'!$AM$8:$AM$987,"X")</f>
        <v>25</v>
      </c>
      <c r="DT45" s="249">
        <f>COUNTIFS('DETALLES UNIDADES'!$C$8:$C$987,"C3",'DETALLES UNIDADES'!$AM$8:$AM$987,"X")</f>
        <v>9</v>
      </c>
      <c r="DU45" s="249">
        <f>COUNTIFS('DETALLES UNIDADES'!$C$8:$C$987,"T2",'DETALLES UNIDADES'!$AM$8:$AM$987,"X")</f>
        <v>8</v>
      </c>
      <c r="DV45" s="249">
        <f>COUNTIFS('DETALLES UNIDADES'!$C$8:$C$987,"T3",'DETALLES UNIDADES'!$AM$8:$AM$987,"X")</f>
        <v>115</v>
      </c>
      <c r="DW45" s="249">
        <f t="shared" si="256"/>
        <v>157</v>
      </c>
      <c r="ED45" s="17" t="s">
        <v>2672</v>
      </c>
      <c r="EE45" s="6">
        <f t="shared" si="276"/>
        <v>3.8461538461538464E-2</v>
      </c>
      <c r="EF45" s="6">
        <f t="shared" si="268"/>
        <v>0</v>
      </c>
      <c r="EG45" s="6">
        <f t="shared" si="269"/>
        <v>2.8571428571428571E-2</v>
      </c>
      <c r="EH45" s="6">
        <f t="shared" si="270"/>
        <v>3.2786885245901641E-2</v>
      </c>
      <c r="EI45" s="6">
        <f t="shared" si="271"/>
        <v>4.7945205479452052E-2</v>
      </c>
      <c r="EJ45" s="6">
        <f t="shared" si="272"/>
        <v>4.0178571428571432E-2</v>
      </c>
      <c r="EK45" s="6">
        <f t="shared" si="273"/>
        <v>5.2631578947368418E-2</v>
      </c>
      <c r="EL45" s="6">
        <f t="shared" si="274"/>
        <v>3.6958817317845831E-2</v>
      </c>
      <c r="EM45" s="249">
        <f>COUNTIFS('DETALLES UNIDADES'!$BC$8:$BC$987,"&lt;1991",'DETALLES UNIDADES'!$AQ$8:$AQ$987,"&lt;115001")-EM44-EM43-EM42</f>
        <v>4</v>
      </c>
      <c r="EN45" s="249">
        <f>COUNTIFS('DETALLES UNIDADES'!$BC$8:$BC$987,"&lt;1994",'DETALLES UNIDADES'!$AQ$8:$AQ$987,"&lt;115001")-EM45-EN44-EM44-EN43-EM43-EN42-EM42</f>
        <v>0</v>
      </c>
      <c r="EO45" s="249">
        <f>COUNTIFS('DETALLES UNIDADES'!$BC$8:$BC$987,"&lt;1998",'DETALLES UNIDADES'!$AQ$8:$AQ$987,"&lt;115001")-EN45-EM45-EO44-EN44-EM44-EO43-EN43-EM43-EO42-EN42-EM42</f>
        <v>3</v>
      </c>
      <c r="EP45" s="249">
        <f>COUNTIFS('DETALLES UNIDADES'!$BC$8:$BC$987,"&lt;2004",'DETALLES UNIDADES'!$AQ$8:$AQ$987,"&lt;115001")-EO45-EN45-EM45-EP44-EO44-EN44-EM44-EP43-EO43-EN43-EM43-EP42-EO42-EN42-EM42</f>
        <v>8</v>
      </c>
      <c r="EQ45" s="249">
        <f>COUNTIFS('DETALLES UNIDADES'!$BC$8:$BC$987,"&lt;2007",'DETALLES UNIDADES'!$AQ$8:$AQ$987,"&lt;115001")-EP45-EO45-EN45-EM45-EQ44-EP44-EO44-EN44-EM44-EQ43-EP43-EO43-EN43-EM43-EQ42-EP42-EO42-EN42-EM42</f>
        <v>7</v>
      </c>
      <c r="ER45" s="249">
        <f>COUNTIFS('DETALLES UNIDADES'!$BC$8:$BC$987,"&lt;2011",'DETALLES UNIDADES'!$AQ$8:$AQ$987,"&lt;115001")-EQ45-EP45-EO45-EN45-EM45-ER44-EQ44-EP44-EO44-EN44-EM44-ER43-EQ43-EP43-EO43-EN43-EM43-ER42-EQ42-EP42-EO42-EN42-EM42</f>
        <v>9</v>
      </c>
      <c r="ES45" s="249">
        <f>COUNTIFS('DETALLES UNIDADES'!$BC$8:$BC$987,"&gt;2010",'DETALLES UNIDADES'!$AQ$8:$AQ$987,"&lt;115001")-ES44-ES43-ES42</f>
        <v>4</v>
      </c>
      <c r="ET45" s="249">
        <f t="shared" si="275"/>
        <v>35</v>
      </c>
      <c r="EV45" s="112" t="s">
        <v>584</v>
      </c>
      <c r="EW45" s="6">
        <f>+FC45/FC$51</f>
        <v>3.0303030303030304E-2</v>
      </c>
      <c r="EX45" s="6">
        <f t="shared" ref="EX45:EX51" si="286">+FD45/FD$51</f>
        <v>6.7796610169491525E-2</v>
      </c>
      <c r="EY45" s="6">
        <f t="shared" ref="EY45:EY51" si="287">+FE45/FE$51</f>
        <v>1.4285714285714285E-2</v>
      </c>
      <c r="EZ45" s="6">
        <f t="shared" ref="EZ45:EZ51" si="288">+FF45/FF$51</f>
        <v>0</v>
      </c>
      <c r="FA45" s="6">
        <f t="shared" ref="FA45:FA51" si="289">+FG45/FG$51</f>
        <v>0</v>
      </c>
      <c r="FB45" s="6">
        <f t="shared" ref="FB45:FB51" si="290">+FH45/FH$51</f>
        <v>3.3057851239669422E-2</v>
      </c>
      <c r="FC45" s="249">
        <f>COUNTIFS('ENCUESTA PROPIETARIOS'!$I$7:$I$417,"SIN ESTUDIOS",'ENCUESTA PROPIETARIOS'!$CI$7:$CI$417,"X")</f>
        <v>7</v>
      </c>
      <c r="FD45" s="249">
        <f>COUNTIFS('ENCUESTA PROPIETARIOS'!$I$7:$I$417,"SIN ESTUDIOS",'ENCUESTA PROPIETARIOS'!$CJ$7:$CJ$417,"X")</f>
        <v>8</v>
      </c>
      <c r="FE45" s="249">
        <f>COUNTIFS('ENCUESTA PROPIETARIOS'!$I$7:$I$417,"SIN ESTUDIOS",'ENCUESTA PROPIETARIOS'!$CK$7:$CK$417,"X")</f>
        <v>1</v>
      </c>
      <c r="FF45" s="249">
        <f>COUNTIFS('ENCUESTA PROPIETARIOS'!$I$7:$I$417,"SIN ESTUDIOS",'ENCUESTA PROPIETARIOS'!$CM$7:$CM$417,"X")</f>
        <v>0</v>
      </c>
      <c r="FG45" s="249">
        <f>COUNTIFS('ENCUESTA PROPIETARIOS'!$I$7:$I$417,"SIN ESTUDIOS",'ENCUESTA PROPIETARIOS'!$CL$7:$CL$417,"X")</f>
        <v>0</v>
      </c>
      <c r="FH45" s="249">
        <f t="shared" ref="FH45:FH50" si="291">SUM(FC45:FG45)</f>
        <v>16</v>
      </c>
      <c r="FM45" s="11" t="s">
        <v>1662</v>
      </c>
      <c r="FN45" s="6">
        <f t="shared" si="254"/>
        <v>1</v>
      </c>
      <c r="FO45" s="249">
        <f t="shared" si="255"/>
        <v>43</v>
      </c>
      <c r="GE45" s="11" t="s">
        <v>1662</v>
      </c>
      <c r="GF45" s="6">
        <f t="shared" si="257"/>
        <v>1</v>
      </c>
      <c r="GG45" s="249">
        <f>SUM(GG39:GG44)</f>
        <v>524</v>
      </c>
      <c r="GK45" s="11"/>
      <c r="GL45" s="6"/>
      <c r="GM45" s="249"/>
    </row>
    <row r="46" spans="1:195" x14ac:dyDescent="0.25">
      <c r="A46" s="137" t="s">
        <v>19</v>
      </c>
      <c r="B46" s="6">
        <f>+G46/$K$54</f>
        <v>0.10358565737051793</v>
      </c>
      <c r="C46" s="6">
        <f t="shared" ref="C46:C54" si="292">+H46/$K$54</f>
        <v>3.1872509960159362E-2</v>
      </c>
      <c r="D46" s="6">
        <f t="shared" ref="D46:D54" si="293">+I46/$K$54</f>
        <v>3.9840637450199202E-2</v>
      </c>
      <c r="E46" s="6">
        <f t="shared" ref="E46:E54" si="294">+J46/$K$54</f>
        <v>1.0624169986719787E-2</v>
      </c>
      <c r="F46" s="6">
        <f t="shared" ref="F46:F54" si="295">+K46/$K$54</f>
        <v>0.18592297476759628</v>
      </c>
      <c r="G46" s="249">
        <f>COUNTIFS('ENCUESTA PROPIETARIOS'!$N$7:$N$417,"1",'ENCUESTA PROPIETARIOS'!$AB$7:$AB$417,"X")</f>
        <v>78</v>
      </c>
      <c r="H46" s="249">
        <f>COUNTIFS('ENCUESTA PROPIETARIOS'!$N$7:$N$417,"2",'ENCUESTA PROPIETARIOS'!$AB$7:$AB$417,"X")</f>
        <v>24</v>
      </c>
      <c r="I46" s="249">
        <f>COUNTIFS('ENCUESTA PROPIETARIOS'!$N$7:$N$417,"3",'ENCUESTA PROPIETARIOS'!$AB$7:$AB$417,"X")+COUNTIFS('ENCUESTA PROPIETARIOS'!$N$7:$N$417,"4",'ENCUESTA PROPIETARIOS'!$AB$7:$AB$417,"X")+COUNTIFS('ENCUESTA PROPIETARIOS'!$N$7:$N$417,"5",'ENCUESTA PROPIETARIOS'!$AB$7:$AB$417,"X")</f>
        <v>30</v>
      </c>
      <c r="J46" s="249">
        <f>COUNTIFS('ENCUESTA PROPIETARIOS'!$N$7:$N$417,"&gt;5",'ENCUESTA PROPIETARIOS'!$AB$7:$AB$417,"X")</f>
        <v>8</v>
      </c>
      <c r="K46" s="249">
        <f t="shared" ref="K46:K53" si="296">SUM(G46:J46)</f>
        <v>140</v>
      </c>
      <c r="N46" s="137" t="s">
        <v>19</v>
      </c>
      <c r="O46" s="249">
        <f>COUNTIFS('ENCUESTA PROPIETARIOS'!$N$7:$N$417,"1",'ENCUESTA PROPIETARIOS'!$AB$7:$AB$417,"X")</f>
        <v>78</v>
      </c>
      <c r="P46" s="249">
        <f>COUNTIFS('ENCUESTA PROPIETARIOS'!$N$7:$N$417,"2",'ENCUESTA PROPIETARIOS'!$AB$7:$AB$417,"X")</f>
        <v>24</v>
      </c>
      <c r="Q46" s="249">
        <f>COUNTIFS('ENCUESTA PROPIETARIOS'!$N$7:$N$417,"3",'ENCUESTA PROPIETARIOS'!$AB$7:$AB$417,"X")+COUNTIFS('ENCUESTA PROPIETARIOS'!$N$7:$N$417,"4",'ENCUESTA PROPIETARIOS'!$AB$7:$AB$417,"X")+COUNTIFS('ENCUESTA PROPIETARIOS'!$N$7:$N$417,"5",'ENCUESTA PROPIETARIOS'!$AB$7:$AB$417,"X")</f>
        <v>30</v>
      </c>
      <c r="R46" s="249">
        <f>COUNTIFS('ENCUESTA PROPIETARIOS'!$N$7:$N$417,"&gt;5",'ENCUESTA PROPIETARIOS'!$AB$7:$AB$417,"X")</f>
        <v>8</v>
      </c>
      <c r="S46" s="249">
        <f t="shared" ref="S46:S53" si="297">SUM(O46:R46)</f>
        <v>140</v>
      </c>
      <c r="X46" s="179" t="s">
        <v>2513</v>
      </c>
      <c r="Y46" s="179"/>
      <c r="Z46" s="9"/>
      <c r="AK46" s="17" t="s">
        <v>2544</v>
      </c>
      <c r="CM46" s="249">
        <f>SUM(CM41:CM44)</f>
        <v>1</v>
      </c>
      <c r="CR46" s="249">
        <f>SUM(CR41:CR44)</f>
        <v>410</v>
      </c>
      <c r="CT46" s="17" t="s">
        <v>1662</v>
      </c>
      <c r="CU46" s="6">
        <f t="shared" si="267"/>
        <v>1</v>
      </c>
      <c r="CV46" s="249">
        <f t="shared" si="263"/>
        <v>276</v>
      </c>
      <c r="DF46" s="17" t="s">
        <v>2617</v>
      </c>
      <c r="DG46" s="6">
        <f t="shared" si="285"/>
        <v>7.3170731707317069E-2</v>
      </c>
      <c r="DH46" s="6">
        <f t="shared" si="277"/>
        <v>4.1666666666666664E-2</v>
      </c>
      <c r="DI46" s="6">
        <f t="shared" si="278"/>
        <v>4.3478260869565216E-2</v>
      </c>
      <c r="DJ46" s="6">
        <f t="shared" si="279"/>
        <v>0.1702127659574468</v>
      </c>
      <c r="DK46" s="6">
        <f t="shared" si="280"/>
        <v>7.8048780487804878E-2</v>
      </c>
      <c r="DL46" s="249">
        <f>COUNTIFS('DETALLES UNIDADES'!$BA$8:$BA$987,"1",'DETALLES UNIDADES'!$AU$8:$AU$987,"&lt;100001",'DETALLES UNIDADES'!$C$8:$C$987,"C2")-DL45-DL44</f>
        <v>3</v>
      </c>
      <c r="DM46" s="249">
        <f>COUNTIFS('DETALLES UNIDADES'!$BA$8:$BA$987,"2",'DETALLES UNIDADES'!$AU$8:$AU$987,"&lt;100001",'DETALLES UNIDADES'!$C$8:$C$987,"C2")-DM45-DM44</f>
        <v>2</v>
      </c>
      <c r="DN46" s="249">
        <f>COUNTIFS('DETALLES UNIDADES'!$BA$8:$BA$987,"3",'DETALLES UNIDADES'!$AU$8:$AU$987,"&lt;100001",'DETALLES UNIDADES'!$C$8:$C$987,"C2")+COUNTIFS('DETALLES UNIDADES'!$BA$8:$BA$987,"4",'DETALLES UNIDADES'!$AU$8:$AU$987,"&lt;100001",'DETALLES UNIDADES'!$C$8:$C$987,"C2")+COUNTIFS('DETALLES UNIDADES'!$BA$8:$BA$987,"5",'DETALLES UNIDADES'!$AU$8:$AU$987,"&lt;100001",'DETALLES UNIDADES'!$C$8:$C$987,"C2")-DN45-DN44</f>
        <v>3</v>
      </c>
      <c r="DO46" s="249">
        <f>COUNTIFS('DETALLES UNIDADES'!$BA$8:$BA$987,"&gt;5",'DETALLES UNIDADES'!$AU$8:$AU$987,"&lt;100001",'DETALLES UNIDADES'!$C$8:$C$987,"C2")-DO45-DO44</f>
        <v>8</v>
      </c>
      <c r="DP46" s="249">
        <f t="shared" si="281"/>
        <v>16</v>
      </c>
      <c r="DR46" s="17" t="s">
        <v>332</v>
      </c>
      <c r="DS46" s="249">
        <f>COUNTIFS('DETALLES UNIDADES'!$C$8:$C$987,"C2",'DETALLES UNIDADES'!$AD$8:$AD$987,"NINGUNO")</f>
        <v>29</v>
      </c>
      <c r="DT46" s="249">
        <f>COUNTIFS('DETALLES UNIDADES'!$C$8:$C$987,"C3",'DETALLES UNIDADES'!$AD$8:$AD$987,"NINGUNO")</f>
        <v>38</v>
      </c>
      <c r="DU46" s="249">
        <f>COUNTIFS('DETALLES UNIDADES'!$C$8:$C$987,"T2",'DETALLES UNIDADES'!$AD$8:$AD$987,"NINGUNO")</f>
        <v>0</v>
      </c>
      <c r="DV46" s="249">
        <f>COUNTIFS('DETALLES UNIDADES'!$C$8:$C$987,"T3",'DETALLES UNIDADES'!$AD$8:$AD$987,"NINGUNO")</f>
        <v>29</v>
      </c>
      <c r="DW46" s="249">
        <f t="shared" si="256"/>
        <v>96</v>
      </c>
      <c r="ED46" s="17" t="s">
        <v>2673</v>
      </c>
      <c r="EE46" s="6">
        <f t="shared" si="276"/>
        <v>0.25961538461538464</v>
      </c>
      <c r="EF46" s="6">
        <f t="shared" si="268"/>
        <v>0.41666666666666669</v>
      </c>
      <c r="EG46" s="6">
        <f t="shared" si="269"/>
        <v>0.16190476190476191</v>
      </c>
      <c r="EH46" s="6">
        <f t="shared" si="270"/>
        <v>0.27049180327868855</v>
      </c>
      <c r="EI46" s="6">
        <f t="shared" si="271"/>
        <v>0.19863013698630136</v>
      </c>
      <c r="EJ46" s="6">
        <f t="shared" si="272"/>
        <v>0.26339285714285715</v>
      </c>
      <c r="EK46" s="6">
        <f t="shared" si="273"/>
        <v>0.28947368421052633</v>
      </c>
      <c r="EL46" s="6">
        <f t="shared" si="274"/>
        <v>0.25343189017951423</v>
      </c>
      <c r="EM46" s="249">
        <f>COUNTIFS('DETALLES UNIDADES'!$BC$8:$BC$987,"&lt;1991",'DETALLES UNIDADES'!$AQ$8:$AQ$987,"&lt;125001")-EM45-EM44-EM43-EM42</f>
        <v>27</v>
      </c>
      <c r="EN46" s="249">
        <f>COUNTIFS('DETALLES UNIDADES'!$BC$8:$BC$987,"&lt;1994",'DETALLES UNIDADES'!$AQ$8:$AQ$987,"&lt;125001")-EM46-EN45-EM45-EN44-EM44-EN43-EM43-EN42-EM42</f>
        <v>20</v>
      </c>
      <c r="EO46" s="249">
        <f>COUNTIFS('DETALLES UNIDADES'!$BC$8:$BC$987,"&lt;1998",'DETALLES UNIDADES'!$AQ$8:$AQ$987,"&lt;125001")-EN46-EM46-EO45-EN45-EM45-EO44-EN44-EM44-EO43-EN43-EM43-EO42-EN42-EM42</f>
        <v>17</v>
      </c>
      <c r="EP46" s="249">
        <f>COUNTIFS('DETALLES UNIDADES'!$BC$8:$BC$987,"&lt;2004",'DETALLES UNIDADES'!$AQ$8:$AQ$987,"&lt;125001")-EO46-EN46-EM46-EP45-EO45-EN45-EM45-EP44-EO44-EN44-EM44-EP43-EO43-EN43-EM43-EP42-EO42-EN42-EM42</f>
        <v>66</v>
      </c>
      <c r="EQ46" s="249">
        <f>COUNTIFS('DETALLES UNIDADES'!$BC$8:$BC$987,"&lt;2007",'DETALLES UNIDADES'!$AQ$8:$AQ$987,"&lt;125001")-EP46-EO46-EN46-EM46-EQ45-EP45-EO45-EN45-EM45-EQ44-EP44-EO44-EN44-EM44-EQ43-EP43-EO43-EN43-EM43-EQ42-EP42-EO42-EN42-EM42</f>
        <v>29</v>
      </c>
      <c r="ER46" s="249">
        <f>COUNTIFS('DETALLES UNIDADES'!$BC$8:$BC$987,"&lt;2011",'DETALLES UNIDADES'!$AQ$8:$AQ$987,"&lt;125001")-EQ46-EP46-EO46-EN46-EM46-ER45-EQ45-EP45-EO45-EN45-EM45-ER44-EQ44-EP44-EO44-EN44-EM44-ER43-EQ43-EP43-EO43-EN43-EM43-ER42-EQ42-EP42-EO42-EN42-EM42</f>
        <v>59</v>
      </c>
      <c r="ES46" s="249">
        <f>COUNTIFS('DETALLES UNIDADES'!$BC$8:$BC$987,"&gt;2010",'DETALLES UNIDADES'!$AQ$8:$AQ$987,"&lt;125001")-ES45-ES44-ES43-ES42</f>
        <v>22</v>
      </c>
      <c r="ET46" s="249">
        <f t="shared" si="275"/>
        <v>240</v>
      </c>
      <c r="EV46" s="112" t="s">
        <v>353</v>
      </c>
      <c r="EW46" s="6">
        <f t="shared" ref="EW46:EW51" si="298">+FC46/FC$51</f>
        <v>8.6580086580086577E-2</v>
      </c>
      <c r="EX46" s="6">
        <f t="shared" si="286"/>
        <v>0.34745762711864409</v>
      </c>
      <c r="EY46" s="6">
        <f t="shared" si="287"/>
        <v>0.17142857142857143</v>
      </c>
      <c r="EZ46" s="6">
        <f t="shared" si="288"/>
        <v>0.11428571428571428</v>
      </c>
      <c r="FA46" s="6">
        <f t="shared" si="289"/>
        <v>0.16666666666666666</v>
      </c>
      <c r="FB46" s="6">
        <f t="shared" si="290"/>
        <v>0.16942148760330578</v>
      </c>
      <c r="FC46" s="249">
        <f>COUNTIFS('ENCUESTA PROPIETARIOS'!$I$7:$I$417,"PRIMARIA",'ENCUESTA PROPIETARIOS'!$CI$7:$CI$417,"X")</f>
        <v>20</v>
      </c>
      <c r="FD46" s="249">
        <f>COUNTIFS('ENCUESTA PROPIETARIOS'!$I$7:$I$417,"PRIMARIA",'ENCUESTA PROPIETARIOS'!$CJ$7:$CJ$417,"X")</f>
        <v>41</v>
      </c>
      <c r="FE46" s="249">
        <f>COUNTIFS('ENCUESTA PROPIETARIOS'!$I$7:$I$417,"PRIMARIA",'ENCUESTA PROPIETARIOS'!$CK$7:$CK$417,"X")</f>
        <v>12</v>
      </c>
      <c r="FF46" s="249">
        <f>COUNTIFS('ENCUESTA PROPIETARIOS'!$I$7:$I$417,"PRIMARIA",'ENCUESTA PROPIETARIOS'!$CM$7:$CM$417,"X")</f>
        <v>4</v>
      </c>
      <c r="FG46" s="249">
        <f>COUNTIFS('ENCUESTA PROPIETARIOS'!$I$7:$I$417,"PRIMARIA",'ENCUESTA PROPIETARIOS'!$CL$7:$CL$417,"X")</f>
        <v>5</v>
      </c>
      <c r="FH46" s="249">
        <f t="shared" si="291"/>
        <v>82</v>
      </c>
      <c r="GE46" s="11" t="s">
        <v>396</v>
      </c>
      <c r="GG46" s="138">
        <f>COUNTIFS('DETALLES UNIDADES'!$C$8:$C$987,"T3",'DETALLES UNIDADES'!$R$8:$R$987,"NO SABE")+COUNTIFS('DETALLES UNIDADES'!$C$8:$C$987,"T3",'DETALLES UNIDADES'!$R$8:$R$987,"VARIABLE")+COUNTIFS('DETALLES UNIDADES'!$C$8:$C$987,"T3",'DETALLES UNIDADES'!$R$8:$R$987,"NO CONTESTA")</f>
        <v>7</v>
      </c>
      <c r="GK46" s="11"/>
      <c r="GM46" s="138"/>
    </row>
    <row r="47" spans="1:195" x14ac:dyDescent="0.25">
      <c r="A47" s="137" t="s">
        <v>20</v>
      </c>
      <c r="B47" s="6">
        <f t="shared" ref="B47:B54" si="299">+G47/$K$54</f>
        <v>6.5073041168658696E-2</v>
      </c>
      <c r="C47" s="6">
        <f t="shared" si="292"/>
        <v>2.3904382470119521E-2</v>
      </c>
      <c r="D47" s="6">
        <f t="shared" si="293"/>
        <v>2.1248339973439574E-2</v>
      </c>
      <c r="E47" s="6">
        <f t="shared" si="294"/>
        <v>9.2961487383798145E-3</v>
      </c>
      <c r="F47" s="6">
        <f t="shared" si="295"/>
        <v>0.11952191235059761</v>
      </c>
      <c r="G47" s="249">
        <f>COUNTIFS('ENCUESTA PROPIETARIOS'!$N$7:$N$417,"1",'ENCUESTA PROPIETARIOS'!$AC$7:$AC$417,"X")</f>
        <v>49</v>
      </c>
      <c r="H47" s="249">
        <f>COUNTIFS('ENCUESTA PROPIETARIOS'!$N$7:$N$417,"2",'ENCUESTA PROPIETARIOS'!$AC$7:$AC$417,"X")</f>
        <v>18</v>
      </c>
      <c r="I47" s="249">
        <f>COUNTIFS('ENCUESTA PROPIETARIOS'!$N$7:$N$417,"3",'ENCUESTA PROPIETARIOS'!$AC$7:$AC$417,"X")+COUNTIFS('ENCUESTA PROPIETARIOS'!$N$7:$N$417,"4",'ENCUESTA PROPIETARIOS'!$AC$7:$AC$417,"X")+COUNTIFS('ENCUESTA PROPIETARIOS'!$N$7:$N$417,"5",'ENCUESTA PROPIETARIOS'!$AC$7:$AC$417,"X")</f>
        <v>16</v>
      </c>
      <c r="J47" s="249">
        <f>COUNTIFS('ENCUESTA PROPIETARIOS'!$N$7:$N$417,"&gt;5",'ENCUESTA PROPIETARIOS'!$AC$7:$AC$417,"X")</f>
        <v>7</v>
      </c>
      <c r="K47" s="249">
        <f t="shared" si="296"/>
        <v>90</v>
      </c>
      <c r="N47" s="137" t="s">
        <v>20</v>
      </c>
      <c r="O47" s="249">
        <f>COUNTIFS('ENCUESTA PROPIETARIOS'!$N$7:$N$417,"1",'ENCUESTA PROPIETARIOS'!$AC$7:$AC$417,"X")</f>
        <v>49</v>
      </c>
      <c r="P47" s="249">
        <f>COUNTIFS('ENCUESTA PROPIETARIOS'!$N$7:$N$417,"2",'ENCUESTA PROPIETARIOS'!$AC$7:$AC$417,"X")</f>
        <v>18</v>
      </c>
      <c r="Q47" s="249">
        <f>COUNTIFS('ENCUESTA PROPIETARIOS'!$N$7:$N$417,"3",'ENCUESTA PROPIETARIOS'!$AC$7:$AC$417,"X")+COUNTIFS('ENCUESTA PROPIETARIOS'!$N$7:$N$417,"4",'ENCUESTA PROPIETARIOS'!$AC$7:$AC$417,"X")+COUNTIFS('ENCUESTA PROPIETARIOS'!$N$7:$N$417,"5",'ENCUESTA PROPIETARIOS'!$AC$7:$AC$417,"X")</f>
        <v>16</v>
      </c>
      <c r="R47" s="249">
        <f>COUNTIFS('ENCUESTA PROPIETARIOS'!$N$7:$N$417,"&gt;5",'ENCUESTA PROPIETARIOS'!$AC$7:$AC$417,"X")</f>
        <v>7</v>
      </c>
      <c r="S47" s="249">
        <f t="shared" si="297"/>
        <v>90</v>
      </c>
      <c r="AB47" s="17" t="s">
        <v>1717</v>
      </c>
      <c r="AC47" s="17" t="s">
        <v>1718</v>
      </c>
      <c r="AK47" s="11"/>
      <c r="AM47" s="249" t="s">
        <v>337</v>
      </c>
      <c r="BD47" s="11" t="s">
        <v>2573</v>
      </c>
      <c r="DF47" s="17" t="s">
        <v>2619</v>
      </c>
      <c r="DG47" s="6">
        <f t="shared" si="285"/>
        <v>0</v>
      </c>
      <c r="DH47" s="6">
        <f t="shared" si="277"/>
        <v>6.25E-2</v>
      </c>
      <c r="DI47" s="6">
        <f t="shared" si="278"/>
        <v>0</v>
      </c>
      <c r="DJ47" s="6">
        <f t="shared" si="279"/>
        <v>0</v>
      </c>
      <c r="DK47" s="6">
        <f t="shared" si="280"/>
        <v>1.4634146341463415E-2</v>
      </c>
      <c r="DL47" s="249">
        <f>COUNTIFS('DETALLES UNIDADES'!$BA$8:$BA$987,"1",'DETALLES UNIDADES'!$AU$8:$AU$987,"&lt;125001",'DETALLES UNIDADES'!$C$8:$C$987,"C2")-DL46-DL45-DL44</f>
        <v>0</v>
      </c>
      <c r="DM47" s="249">
        <f>COUNTIFS('DETALLES UNIDADES'!$BA$8:$BA$987,"2",'DETALLES UNIDADES'!$AU$8:$AU$987,"&lt;125001",'DETALLES UNIDADES'!$C$8:$C$987,"C2")-DM46-DM45-DM44</f>
        <v>3</v>
      </c>
      <c r="DN47" s="249">
        <f>COUNTIFS('DETALLES UNIDADES'!$BA$8:$BA$987,"3",'DETALLES UNIDADES'!$AU$8:$AU$987,"&lt;125001",'DETALLES UNIDADES'!$C$8:$C$987,"C2")+COUNTIFS('DETALLES UNIDADES'!$BA$8:$BA$987,"4",'DETALLES UNIDADES'!$AU$8:$AU$987,"&lt;125001",'DETALLES UNIDADES'!$C$8:$C$987,"C2")+COUNTIFS('DETALLES UNIDADES'!$BA$8:$BA$987,"5",'DETALLES UNIDADES'!$AU$8:$AU$987,"&lt;125001",'DETALLES UNIDADES'!$C$8:$C$987,"C2")-DN46-DN45-DN44</f>
        <v>0</v>
      </c>
      <c r="DO47" s="249">
        <f>COUNTIFS('DETALLES UNIDADES'!$BA$8:$BA$987,"&gt;5",'DETALLES UNIDADES'!$AU$8:$AU$987,"&lt;125001",'DETALLES UNIDADES'!$C$8:$C$987,"C2")-DO46-DO45-DO44</f>
        <v>0</v>
      </c>
      <c r="DP47" s="249">
        <f t="shared" si="281"/>
        <v>3</v>
      </c>
      <c r="DR47" s="17" t="s">
        <v>1662</v>
      </c>
      <c r="DS47" s="249">
        <f>SUM(DS40:DS46)</f>
        <v>297</v>
      </c>
      <c r="DT47" s="249">
        <f t="shared" ref="DT47" si="300">SUM(DT40:DT46)</f>
        <v>275</v>
      </c>
      <c r="DU47" s="249">
        <f t="shared" ref="DU47" si="301">SUM(DU40:DU46)</f>
        <v>130</v>
      </c>
      <c r="DV47" s="249">
        <f t="shared" ref="DV47" si="302">SUM(DV40:DV46)</f>
        <v>1142</v>
      </c>
      <c r="DW47" s="249">
        <f t="shared" ref="DW47" si="303">SUM(DW40:DW46)</f>
        <v>1844</v>
      </c>
      <c r="ED47" s="17" t="s">
        <v>2674</v>
      </c>
      <c r="EE47" s="6">
        <f t="shared" si="276"/>
        <v>0.16346153846153846</v>
      </c>
      <c r="EF47" s="6">
        <f t="shared" si="268"/>
        <v>0.20833333333333334</v>
      </c>
      <c r="EG47" s="6">
        <f t="shared" si="269"/>
        <v>0.35238095238095241</v>
      </c>
      <c r="EH47" s="6">
        <f t="shared" si="270"/>
        <v>0.26229508196721313</v>
      </c>
      <c r="EI47" s="6">
        <f t="shared" si="271"/>
        <v>0.17123287671232876</v>
      </c>
      <c r="EJ47" s="6">
        <f t="shared" si="272"/>
        <v>0.17857142857142858</v>
      </c>
      <c r="EK47" s="6">
        <f t="shared" si="273"/>
        <v>0.22368421052631579</v>
      </c>
      <c r="EL47" s="6">
        <f t="shared" si="274"/>
        <v>0.22175290390707497</v>
      </c>
      <c r="EM47" s="249">
        <f>COUNTIFS('DETALLES UNIDADES'!$BC$8:$BC$987,"&lt;1991",'DETALLES UNIDADES'!$AQ$8:$AQ$987,"&lt;150001")-EM46-EM45-EM44-EM43-EM42</f>
        <v>17</v>
      </c>
      <c r="EN47" s="249">
        <f>COUNTIFS('DETALLES UNIDADES'!$BC$8:$BC$987,"&lt;1994",'DETALLES UNIDADES'!$AQ$8:$AQ$987,"&lt;150001")-EM47-EN46-EM46-EN45-EM45-EN44-EM44-EN43-EM43-EN42-EM42</f>
        <v>10</v>
      </c>
      <c r="EO47" s="249">
        <f>COUNTIFS('DETALLES UNIDADES'!$BC$8:$BC$987,"&lt;1998",'DETALLES UNIDADES'!$AQ$8:$AQ$987,"&lt;150001")-EN47-EM47-EO46-EN46-EM46-EO45-EN45-EM45-EO44-EN44-EM44-EO43-EN43-EM43-EO42-EN42-EM42</f>
        <v>37</v>
      </c>
      <c r="EP47" s="249">
        <f>COUNTIFS('DETALLES UNIDADES'!$BC$8:$BC$987,"&lt;2004",'DETALLES UNIDADES'!$AQ$8:$AQ$987,"&lt;150001")-EO47-EN47-EM47-EP46-EO46-EN46-EM46-EP45-EO45-EN45-EM45-EP44-EO44-EN44-EM44-EP43-EO43-EN43-EM43-EP42-EO42-EN42-EM42</f>
        <v>64</v>
      </c>
      <c r="EQ47" s="249">
        <f>COUNTIFS('DETALLES UNIDADES'!$BC$8:$BC$987,"&lt;2007",'DETALLES UNIDADES'!$AQ$8:$AQ$987,"&lt;150001")-EP47-EO47-EN47-EM47-EQ46-EP46-EO46-EN46-EM46-EQ45-EP45-EO45-EN45-EM45-EQ44-EP44-EO44-EN44-EM44-EQ43-EP43-EO43-EN43-EM43-EQ42-EP42-EO42-EN42-EM42</f>
        <v>25</v>
      </c>
      <c r="ER47" s="249">
        <f>COUNTIFS('DETALLES UNIDADES'!$BC$8:$BC$987,"&lt;2011",'DETALLES UNIDADES'!$AQ$8:$AQ$987,"&lt;150001")-EQ47-EP47-EO47-EN47-EM47-ER46-EQ46-EP46-EO46-EN46-EM46-ER45-EQ45-EP45-EO45-EN45-EM45-ER44-EQ44-EP44-EO44-EN44-EM44-ER43-EQ43-EP43-EO43-EN43-EM43-ER42-EQ42-EP42-EO42-EN42-EM42</f>
        <v>40</v>
      </c>
      <c r="ES47" s="249">
        <f>COUNTIFS('DETALLES UNIDADES'!$BC$8:$BC$987,"&gt;2010",'DETALLES UNIDADES'!$AQ$8:$AQ$987,"&lt;150001")-ES46-ES45-ES44-ES43-ES42</f>
        <v>17</v>
      </c>
      <c r="ET47" s="249">
        <f t="shared" si="275"/>
        <v>210</v>
      </c>
      <c r="EV47" s="112" t="s">
        <v>330</v>
      </c>
      <c r="EW47" s="6">
        <f t="shared" si="298"/>
        <v>0.22510822510822512</v>
      </c>
      <c r="EX47" s="6">
        <f t="shared" si="286"/>
        <v>0.36440677966101692</v>
      </c>
      <c r="EY47" s="6">
        <f t="shared" si="287"/>
        <v>0.2</v>
      </c>
      <c r="EZ47" s="6">
        <f t="shared" si="288"/>
        <v>0.14285714285714285</v>
      </c>
      <c r="FA47" s="6">
        <f t="shared" si="289"/>
        <v>0.5</v>
      </c>
      <c r="FB47" s="6">
        <f t="shared" si="290"/>
        <v>0.26652892561983471</v>
      </c>
      <c r="FC47" s="249">
        <f>COUNTIFS('ENCUESTA PROPIETARIOS'!$I$7:$I$417,"SECUNDARIA",'ENCUESTA PROPIETARIOS'!$CI$7:$CI$417,"X")</f>
        <v>52</v>
      </c>
      <c r="FD47" s="249">
        <f>COUNTIFS('ENCUESTA PROPIETARIOS'!$I$7:$I$417,"SECUNDARIA",'ENCUESTA PROPIETARIOS'!$CJ$7:$CJ$417,"X")</f>
        <v>43</v>
      </c>
      <c r="FE47" s="249">
        <f>COUNTIFS('ENCUESTA PROPIETARIOS'!$I$7:$I$417,"SECUNDARIA",'ENCUESTA PROPIETARIOS'!$CK$7:$CK$417,"X")</f>
        <v>14</v>
      </c>
      <c r="FF47" s="249">
        <f>COUNTIFS('ENCUESTA PROPIETARIOS'!$I$7:$I$417,"SECUNDARIA",'ENCUESTA PROPIETARIOS'!$CM$7:$CM$417,"X")</f>
        <v>5</v>
      </c>
      <c r="FG47" s="249">
        <f>COUNTIFS('ENCUESTA PROPIETARIOS'!$I$7:$I$417,"SECUNDARIA",'ENCUESTA PROPIETARIOS'!$CL$7:$CL$417,"X")</f>
        <v>15</v>
      </c>
      <c r="FH47" s="249">
        <f t="shared" si="291"/>
        <v>129</v>
      </c>
      <c r="FM47" s="17" t="s">
        <v>2709</v>
      </c>
      <c r="GE47" s="11" t="s">
        <v>480</v>
      </c>
      <c r="GG47" s="138"/>
      <c r="GK47" s="11"/>
      <c r="GM47" s="138"/>
    </row>
    <row r="48" spans="1:195" x14ac:dyDescent="0.25">
      <c r="A48" s="137" t="s">
        <v>2409</v>
      </c>
      <c r="B48" s="6">
        <f t="shared" si="299"/>
        <v>2.2576361221779549E-2</v>
      </c>
      <c r="C48" s="6">
        <f t="shared" si="292"/>
        <v>1.0624169986719787E-2</v>
      </c>
      <c r="D48" s="6">
        <f t="shared" si="293"/>
        <v>2.5232403718459494E-2</v>
      </c>
      <c r="E48" s="6">
        <f t="shared" si="294"/>
        <v>9.2961487383798145E-3</v>
      </c>
      <c r="F48" s="6">
        <f t="shared" si="295"/>
        <v>6.7729083665338641E-2</v>
      </c>
      <c r="G48" s="249">
        <f>COUNTIFS('ENCUESTA PROPIETARIOS'!$N$7:$N$417,"1",'ENCUESTA PROPIETARIOS'!$AD$7:$AD$417,"X")+COUNTIFS('ENCUESTA PROPIETARIOS'!$N$7:$N$417,"1",'ENCUESTA PROPIETARIOS'!$AJ$7:$AJ$417,"X")</f>
        <v>17</v>
      </c>
      <c r="H48" s="249">
        <f>COUNTIFS('ENCUESTA PROPIETARIOS'!$N$7:$N$417,"2",'ENCUESTA PROPIETARIOS'!$AD$7:$AD$417,"X")+COUNTIFS('ENCUESTA PROPIETARIOS'!$N$7:$N$417,"2",'ENCUESTA PROPIETARIOS'!$AJ$7:$AJ$417,"X")</f>
        <v>8</v>
      </c>
      <c r="I48" s="249">
        <f>COUNTIFS('ENCUESTA PROPIETARIOS'!$N$7:$N$417,"3",'ENCUESTA PROPIETARIOS'!$AD$7:$AD$417,"X")+COUNTIFS('ENCUESTA PROPIETARIOS'!$N$7:$N$417,"4",'ENCUESTA PROPIETARIOS'!$AD$7:$AD$417,"X")+COUNTIFS('ENCUESTA PROPIETARIOS'!$N$7:$N$417,"5",'ENCUESTA PROPIETARIOS'!$AD$7:$AD$417,"X")+COUNTIFS('ENCUESTA PROPIETARIOS'!$N$7:$N$417,"3",'ENCUESTA PROPIETARIOS'!$AJ$7:$AJ$417,"X")+COUNTIFS('ENCUESTA PROPIETARIOS'!$N$7:$N$417,"4",'ENCUESTA PROPIETARIOS'!$AJ$7:$AJ$417,"X")+COUNTIFS('ENCUESTA PROPIETARIOS'!$N$7:$N$417,"5",'ENCUESTA PROPIETARIOS'!$AJ$7:$AJ$417,"X")</f>
        <v>19</v>
      </c>
      <c r="J48" s="249">
        <f>COUNTIFS('ENCUESTA PROPIETARIOS'!$N$7:$N$417,"&gt;5",'ENCUESTA PROPIETARIOS'!$AD$7:$AD$417,"X")+COUNTIFS('ENCUESTA PROPIETARIOS'!$N$7:$N$417,"&gt;5",'ENCUESTA PROPIETARIOS'!$AJ$7:$AJ$417,"X")</f>
        <v>7</v>
      </c>
      <c r="K48" s="249">
        <f t="shared" si="296"/>
        <v>51</v>
      </c>
      <c r="N48" s="137" t="s">
        <v>2409</v>
      </c>
      <c r="O48" s="249">
        <f>COUNTIFS('ENCUESTA PROPIETARIOS'!$N$7:$N$417,"1",'ENCUESTA PROPIETARIOS'!$AD$7:$AD$417,"X")+COUNTIFS('ENCUESTA PROPIETARIOS'!$N$7:$N$417,"1",'ENCUESTA PROPIETARIOS'!$AJ$7:$AJ$417,"X")</f>
        <v>17</v>
      </c>
      <c r="P48" s="249">
        <f>COUNTIFS('ENCUESTA PROPIETARIOS'!$N$7:$N$417,"2",'ENCUESTA PROPIETARIOS'!$AD$7:$AD$417,"X")+COUNTIFS('ENCUESTA PROPIETARIOS'!$N$7:$N$417,"2",'ENCUESTA PROPIETARIOS'!$AJ$7:$AJ$417,"X")</f>
        <v>8</v>
      </c>
      <c r="Q48" s="249">
        <f>COUNTIFS('ENCUESTA PROPIETARIOS'!$N$7:$N$417,"3",'ENCUESTA PROPIETARIOS'!$AD$7:$AD$417,"X")+COUNTIFS('ENCUESTA PROPIETARIOS'!$N$7:$N$417,"4",'ENCUESTA PROPIETARIOS'!$AD$7:$AD$417,"X")+COUNTIFS('ENCUESTA PROPIETARIOS'!$N$7:$N$417,"5",'ENCUESTA PROPIETARIOS'!$AD$7:$AD$417,"X")+COUNTIFS('ENCUESTA PROPIETARIOS'!$N$7:$N$417,"3",'ENCUESTA PROPIETARIOS'!$AJ$7:$AJ$417,"X")+COUNTIFS('ENCUESTA PROPIETARIOS'!$N$7:$N$417,"4",'ENCUESTA PROPIETARIOS'!$AJ$7:$AJ$417,"X")+COUNTIFS('ENCUESTA PROPIETARIOS'!$N$7:$N$417,"5",'ENCUESTA PROPIETARIOS'!$AJ$7:$AJ$417,"X")</f>
        <v>19</v>
      </c>
      <c r="R48" s="249">
        <f>COUNTIFS('ENCUESTA PROPIETARIOS'!$N$7:$N$417,"&gt;5",'ENCUESTA PROPIETARIOS'!$AD$7:$AD$417,"X")+COUNTIFS('ENCUESTA PROPIETARIOS'!$N$7:$N$417,"&gt;5",'ENCUESTA PROPIETARIOS'!$AJ$7:$AJ$417,"X")</f>
        <v>7</v>
      </c>
      <c r="S48" s="249">
        <f t="shared" si="297"/>
        <v>51</v>
      </c>
      <c r="X48" s="179"/>
      <c r="Y48" s="179" t="s">
        <v>1717</v>
      </c>
      <c r="Z48" s="249" t="s">
        <v>1718</v>
      </c>
      <c r="AB48" s="9" t="s">
        <v>1002</v>
      </c>
      <c r="AC48" s="17" t="s">
        <v>1002</v>
      </c>
      <c r="AK48" s="11" t="s">
        <v>2534</v>
      </c>
      <c r="AL48" s="6">
        <f>+AM48/$AM$55</f>
        <v>8.0979284369114876E-2</v>
      </c>
      <c r="AM48" s="249">
        <f>+AT3</f>
        <v>43</v>
      </c>
      <c r="BD48" s="11"/>
      <c r="BE48" s="11" t="s">
        <v>2574</v>
      </c>
      <c r="CH48" s="17" t="s">
        <v>2738</v>
      </c>
      <c r="DF48" s="17" t="s">
        <v>2620</v>
      </c>
      <c r="DG48" s="6">
        <f t="shared" si="285"/>
        <v>0</v>
      </c>
      <c r="DH48" s="6">
        <f t="shared" si="277"/>
        <v>0</v>
      </c>
      <c r="DI48" s="6">
        <f t="shared" si="278"/>
        <v>0</v>
      </c>
      <c r="DJ48" s="6">
        <f t="shared" si="279"/>
        <v>0.14893617021276595</v>
      </c>
      <c r="DK48" s="6">
        <f t="shared" si="280"/>
        <v>3.4146341463414637E-2</v>
      </c>
      <c r="DL48" s="249">
        <f>COUNTIFS('DETALLES UNIDADES'!$BA$8:$BA$987,"1",'DETALLES UNIDADES'!$AU$8:$AU$987,"&lt;150001",'DETALLES UNIDADES'!$C$8:$C$987,"C2")-DL47-DL46-DL45-DL44</f>
        <v>0</v>
      </c>
      <c r="DM48" s="249">
        <f>COUNTIFS('DETALLES UNIDADES'!$BA$8:$BA$987,"2",'DETALLES UNIDADES'!$AU$8:$AU$987,"&lt;150001",'DETALLES UNIDADES'!$C$8:$C$987,"C2")-DM47-DM46-DM45-DM44</f>
        <v>0</v>
      </c>
      <c r="DN48" s="249">
        <f>COUNTIFS('DETALLES UNIDADES'!$BA$8:$BA$987,"3",'DETALLES UNIDADES'!$AU$8:$AU$987,"&lt;150001",'DETALLES UNIDADES'!$C$8:$C$987,"C2")+COUNTIFS('DETALLES UNIDADES'!$BA$8:$BA$987,"4",'DETALLES UNIDADES'!$AU$8:$AU$987,"&lt;150001",'DETALLES UNIDADES'!$C$8:$C$987,"C2")+COUNTIFS('DETALLES UNIDADES'!$BA$8:$BA$987,"5",'DETALLES UNIDADES'!$AU$8:$AU$987,"&lt;150001",'DETALLES UNIDADES'!$C$8:$C$987,"C2")-DN47-DN46-DN45-DN44</f>
        <v>0</v>
      </c>
      <c r="DO48" s="249">
        <f>COUNTIFS('DETALLES UNIDADES'!$BA$8:$BA$987,"&gt;5",'DETALLES UNIDADES'!$AU$8:$AU$987,"&lt;150001",'DETALLES UNIDADES'!$C$8:$C$987,"C2")-DO47-DO46-DO45-DO44</f>
        <v>7</v>
      </c>
      <c r="DP48" s="249">
        <f t="shared" si="281"/>
        <v>7</v>
      </c>
      <c r="ED48" s="17" t="s">
        <v>2675</v>
      </c>
      <c r="EE48" s="6">
        <f t="shared" si="276"/>
        <v>6.7307692307692304E-2</v>
      </c>
      <c r="EF48" s="6">
        <f t="shared" si="268"/>
        <v>4.1666666666666664E-2</v>
      </c>
      <c r="EG48" s="6">
        <f t="shared" si="269"/>
        <v>7.6190476190476197E-2</v>
      </c>
      <c r="EH48" s="6">
        <f t="shared" si="270"/>
        <v>7.7868852459016397E-2</v>
      </c>
      <c r="EI48" s="6">
        <f t="shared" si="271"/>
        <v>7.5342465753424653E-2</v>
      </c>
      <c r="EJ48" s="6">
        <f t="shared" si="272"/>
        <v>0.13839285714285715</v>
      </c>
      <c r="EK48" s="6">
        <f t="shared" si="273"/>
        <v>5.2631578947368418E-2</v>
      </c>
      <c r="EL48" s="6">
        <f t="shared" si="274"/>
        <v>8.6589229144667365E-2</v>
      </c>
      <c r="EM48" s="249">
        <f>COUNTIFS('DETALLES UNIDADES'!$BC$8:$BC$987,"&lt;1991",'DETALLES UNIDADES'!$AQ$8:$AQ$987,"&gt;150000")</f>
        <v>7</v>
      </c>
      <c r="EN48" s="249">
        <f>COUNTIFS('DETALLES UNIDADES'!$BC$8:$BC$987,"&lt;1994",'DETALLES UNIDADES'!$AQ$8:$AQ$987,"&gt;150000")-EM48</f>
        <v>2</v>
      </c>
      <c r="EO48" s="249">
        <f>COUNTIFS('DETALLES UNIDADES'!$BC$8:$BC$987,"&lt;1998",'DETALLES UNIDADES'!$AQ$8:$AQ$987,"&gt;150000")-EN48-EM48</f>
        <v>8</v>
      </c>
      <c r="EP48" s="249">
        <f>COUNTIFS('DETALLES UNIDADES'!$BC$8:$BC$987,"&lt;2004",'DETALLES UNIDADES'!$AQ$8:$AQ$987,"&gt;150000")-EO48-EN48-EM48</f>
        <v>19</v>
      </c>
      <c r="EQ48" s="249">
        <f>COUNTIFS('DETALLES UNIDADES'!$BC$8:$BC$987,"&lt;2007",'DETALLES UNIDADES'!$AQ$8:$AQ$987,"&gt;150000")-EP48-EO48-EN48-EM48</f>
        <v>11</v>
      </c>
      <c r="ER48" s="249">
        <f>COUNTIFS('DETALLES UNIDADES'!$BC$8:$BC$987,"&lt;2011",'DETALLES UNIDADES'!$AQ$8:$AQ$987,"&gt;150000")-EQ48-EP48-EO48-EN48-EM48</f>
        <v>31</v>
      </c>
      <c r="ES48" s="249">
        <f>COUNTIFS('DETALLES UNIDADES'!$BC$8:$BC$987,"&gt;2010",'DETALLES UNIDADES'!$AQ$8:$AQ$987,"&gt;150000")</f>
        <v>4</v>
      </c>
      <c r="ET48" s="249">
        <f t="shared" si="275"/>
        <v>82</v>
      </c>
      <c r="EV48" s="157" t="s">
        <v>723</v>
      </c>
      <c r="EW48" s="6">
        <f t="shared" si="298"/>
        <v>0.31601731601731603</v>
      </c>
      <c r="EX48" s="6">
        <f t="shared" si="286"/>
        <v>0.1440677966101695</v>
      </c>
      <c r="EY48" s="6">
        <f t="shared" si="287"/>
        <v>0.45714285714285713</v>
      </c>
      <c r="EZ48" s="6">
        <f t="shared" si="288"/>
        <v>0.34285714285714286</v>
      </c>
      <c r="FA48" s="6">
        <f t="shared" si="289"/>
        <v>0.2</v>
      </c>
      <c r="FB48" s="6">
        <f t="shared" si="290"/>
        <v>0.28925619834710742</v>
      </c>
      <c r="FC48" s="249">
        <f>COUNTIFS('ENCUESTA PROPIETARIOS'!$I$7:$I$417,"PREPARATORIA",'ENCUESTA PROPIETARIOS'!$CI$7:$CI$417,"X")+COUNTIFS('ENCUESTA PROPIETARIOS'!$I$7:$I$417,"BACHILLERATO",'ENCUESTA PROPIETARIOS'!$CI$7:$CI$417,"X")</f>
        <v>73</v>
      </c>
      <c r="FD48" s="249">
        <f>COUNTIFS('ENCUESTA PROPIETARIOS'!$I$7:$I$417,"PREPARATORIA",'ENCUESTA PROPIETARIOS'!$CJ$7:$CJ$417,"X")+COUNTIFS('ENCUESTA PROPIETARIOS'!$I$7:$I$417,"BACHILLERATO",'ENCUESTA PROPIETARIOS'!$CJ$7:$CJ$417,"X")</f>
        <v>17</v>
      </c>
      <c r="FE48" s="249">
        <f>COUNTIFS('ENCUESTA PROPIETARIOS'!$I$7:$I$417,"PREPARATORIA",'ENCUESTA PROPIETARIOS'!$CK$7:$CK$417,"X")+COUNTIFS('ENCUESTA PROPIETARIOS'!$I$7:$I$417,"BACHILLERATO",'ENCUESTA PROPIETARIOS'!$CK$7:$CK$417,"X")</f>
        <v>32</v>
      </c>
      <c r="FF48" s="249">
        <f>COUNTIFS('ENCUESTA PROPIETARIOS'!$I$7:$I$417,"PREPARATORIA",'ENCUESTA PROPIETARIOS'!$CM$7:$CM$417,"X")+COUNTIFS('ENCUESTA PROPIETARIOS'!$I$7:$I$417,"BACHILLERATO",'ENCUESTA PROPIETARIOS'!$CM$7:$CM$417,"X")</f>
        <v>12</v>
      </c>
      <c r="FG48" s="249">
        <f>COUNTIFS('ENCUESTA PROPIETARIOS'!$I$7:$I$417,"PREPARATORIA",'ENCUESTA PROPIETARIOS'!$CL$7:$CL$417,"X")+COUNTIFS('ENCUESTA PROPIETARIOS'!$I$7:$I$417,"BACHILLERATO",'ENCUESTA PROPIETARIOS'!$CL$7:$CL$417,"X")</f>
        <v>6</v>
      </c>
      <c r="FH48" s="249">
        <f t="shared" si="291"/>
        <v>140</v>
      </c>
      <c r="FN48" s="249" t="s">
        <v>337</v>
      </c>
      <c r="GF48" s="139"/>
      <c r="GG48" s="138">
        <f>+GG47+GG46+GG45</f>
        <v>531</v>
      </c>
      <c r="GL48" s="139"/>
      <c r="GM48" s="138"/>
    </row>
    <row r="49" spans="1:189" x14ac:dyDescent="0.25">
      <c r="A49" s="137" t="s">
        <v>22</v>
      </c>
      <c r="B49" s="6">
        <f t="shared" si="299"/>
        <v>4.5152722443559098E-2</v>
      </c>
      <c r="C49" s="6">
        <f t="shared" si="292"/>
        <v>1.7264276228419653E-2</v>
      </c>
      <c r="D49" s="6">
        <f t="shared" si="293"/>
        <v>2.5232403718459494E-2</v>
      </c>
      <c r="E49" s="6">
        <f t="shared" si="294"/>
        <v>1.0624169986719787E-2</v>
      </c>
      <c r="F49" s="6">
        <f t="shared" si="295"/>
        <v>9.8273572377158031E-2</v>
      </c>
      <c r="G49" s="249">
        <f>COUNTIFS('ENCUESTA PROPIETARIOS'!$N$7:$N$417,"1",'ENCUESTA PROPIETARIOS'!$AE$7:$AE$417,"X")</f>
        <v>34</v>
      </c>
      <c r="H49" s="249">
        <f>COUNTIFS('ENCUESTA PROPIETARIOS'!$N$7:$N$417,"2",'ENCUESTA PROPIETARIOS'!$AE$7:$AE$417,"X")</f>
        <v>13</v>
      </c>
      <c r="I49" s="249">
        <f>COUNTIFS('ENCUESTA PROPIETARIOS'!$N$7:$N$417,"3",'ENCUESTA PROPIETARIOS'!$AE$7:$AE$417,"X")+COUNTIFS('ENCUESTA PROPIETARIOS'!$N$7:$N$417,"4",'ENCUESTA PROPIETARIOS'!$AE$7:$AE$417,"X")+COUNTIFS('ENCUESTA PROPIETARIOS'!$N$7:$N$417,"5",'ENCUESTA PROPIETARIOS'!$AE$7:$AE$417,"X")</f>
        <v>19</v>
      </c>
      <c r="J49" s="249">
        <f>COUNTIFS('ENCUESTA PROPIETARIOS'!$N$7:$N$417,"&gt;5",'ENCUESTA PROPIETARIOS'!$AE$7:$AE$417,"X")</f>
        <v>8</v>
      </c>
      <c r="K49" s="249">
        <f t="shared" si="296"/>
        <v>74</v>
      </c>
      <c r="N49" s="137" t="s">
        <v>22</v>
      </c>
      <c r="O49" s="249">
        <f>COUNTIFS('ENCUESTA PROPIETARIOS'!$N$7:$N$417,"1",'ENCUESTA PROPIETARIOS'!$AE$7:$AE$417,"X")</f>
        <v>34</v>
      </c>
      <c r="P49" s="249">
        <f>COUNTIFS('ENCUESTA PROPIETARIOS'!$N$7:$N$417,"2",'ENCUESTA PROPIETARIOS'!$AE$7:$AE$417,"X")</f>
        <v>13</v>
      </c>
      <c r="Q49" s="249">
        <f>COUNTIFS('ENCUESTA PROPIETARIOS'!$N$7:$N$417,"3",'ENCUESTA PROPIETARIOS'!$AE$7:$AE$417,"X")+COUNTIFS('ENCUESTA PROPIETARIOS'!$N$7:$N$417,"4",'ENCUESTA PROPIETARIOS'!$AE$7:$AE$417,"X")+COUNTIFS('ENCUESTA PROPIETARIOS'!$N$7:$N$417,"5",'ENCUESTA PROPIETARIOS'!$AE$7:$AE$417,"X")</f>
        <v>19</v>
      </c>
      <c r="R49" s="249">
        <f>COUNTIFS('ENCUESTA PROPIETARIOS'!$N$7:$N$417,"&gt;5",'ENCUESTA PROPIETARIOS'!$AE$7:$AE$417,"X")</f>
        <v>8</v>
      </c>
      <c r="S49" s="249">
        <f t="shared" si="297"/>
        <v>74</v>
      </c>
      <c r="X49" s="19" t="s">
        <v>1730</v>
      </c>
      <c r="Y49" s="6">
        <f t="shared" ref="Y49:Y57" si="304">+AB49/$Z$28</f>
        <v>1.5555555555555555E-2</v>
      </c>
      <c r="Z49" s="6">
        <f>+AC49/$AC$57</f>
        <v>4.9180327868852458E-2</v>
      </c>
      <c r="AB49" s="9">
        <f>COUNTIFS('DETALLES UNIDADES'!$S$8:$S$987,"D",'DETALLES UNIDADES'!$U$8:$U$987,"&lt;1.9")</f>
        <v>14</v>
      </c>
      <c r="AC49" s="249">
        <v>21</v>
      </c>
      <c r="AK49" s="11" t="s">
        <v>2535</v>
      </c>
      <c r="AL49" s="6">
        <f t="shared" ref="AL49:AL55" si="305">+AM49/$AM$55</f>
        <v>5.2730696798493411E-2</v>
      </c>
      <c r="AM49" s="249">
        <f t="shared" ref="AM49:AM55" si="306">+AT4</f>
        <v>28</v>
      </c>
      <c r="BD49" s="112" t="s">
        <v>1712</v>
      </c>
      <c r="BE49" s="6">
        <f>+BF49/$BF$56</f>
        <v>3.2258064516129031E-2</v>
      </c>
      <c r="BF49" s="138">
        <f>+BP4</f>
        <v>7</v>
      </c>
      <c r="CI49" s="11" t="s">
        <v>814</v>
      </c>
      <c r="CJ49" s="11" t="s">
        <v>815</v>
      </c>
      <c r="CK49" s="11" t="s">
        <v>1780</v>
      </c>
      <c r="CL49" s="11" t="s">
        <v>1781</v>
      </c>
      <c r="CM49" s="11"/>
      <c r="CN49" s="11" t="s">
        <v>814</v>
      </c>
      <c r="CO49" s="11" t="s">
        <v>815</v>
      </c>
      <c r="CP49" s="11" t="s">
        <v>1780</v>
      </c>
      <c r="CQ49" s="11" t="s">
        <v>1781</v>
      </c>
      <c r="CR49" s="11"/>
      <c r="DF49" s="17" t="s">
        <v>2621</v>
      </c>
      <c r="DG49" s="6">
        <f t="shared" si="285"/>
        <v>0</v>
      </c>
      <c r="DH49" s="6">
        <f t="shared" si="277"/>
        <v>0</v>
      </c>
      <c r="DI49" s="6">
        <f t="shared" si="278"/>
        <v>0</v>
      </c>
      <c r="DJ49" s="6">
        <f t="shared" si="279"/>
        <v>0</v>
      </c>
      <c r="DK49" s="6">
        <f t="shared" si="280"/>
        <v>0</v>
      </c>
      <c r="DL49" s="249">
        <f>COUNTIFS('DETALLES UNIDADES'!$BA$8:$BA$987,"1",'DETALLES UNIDADES'!$AU$8:$AU$987,"&lt;175001",'DETALLES UNIDADES'!$C$8:$C$987,"C2")-DL48-DL47-DL46-DL45-DL44</f>
        <v>0</v>
      </c>
      <c r="DM49" s="249">
        <f>COUNTIFS('DETALLES UNIDADES'!$BA$8:$BA$987,"2",'DETALLES UNIDADES'!$AU$8:$AU$987,"&lt;175001",'DETALLES UNIDADES'!$C$8:$C$987,"C2")-DM48-DM47-DM46-DM45-DM44</f>
        <v>0</v>
      </c>
      <c r="DN49" s="249">
        <f>COUNTIFS('DETALLES UNIDADES'!$BA$8:$BA$987,"3",'DETALLES UNIDADES'!$AU$8:$AU$987,"&lt;175001",'DETALLES UNIDADES'!$C$8:$C$987,"C2")+COUNTIFS('DETALLES UNIDADES'!$BA$8:$BA$987,"4",'DETALLES UNIDADES'!$AU$8:$AU$987,"&lt;175001",'DETALLES UNIDADES'!$C$8:$C$987,"C2")+COUNTIFS('DETALLES UNIDADES'!$BA$8:$BA$987,"5",'DETALLES UNIDADES'!$AU$8:$AU$987,"&lt;175001",'DETALLES UNIDADES'!$C$8:$C$987,"C2")-DN48-DN47-DN46-DN45-DN44</f>
        <v>0</v>
      </c>
      <c r="DO49" s="249">
        <f>COUNTIFS('DETALLES UNIDADES'!$BA$8:$BA$987,"&gt;5",'DETALLES UNIDADES'!$AU$8:$AU$987,"&lt;175001",'DETALLES UNIDADES'!$C$8:$C$987,"C2")-DO48-DO47-DO46-DO45-DO44</f>
        <v>0</v>
      </c>
      <c r="DP49" s="249">
        <f t="shared" si="281"/>
        <v>0</v>
      </c>
      <c r="DR49" s="11"/>
      <c r="DS49" s="11"/>
      <c r="DT49" s="249"/>
      <c r="DU49" s="249"/>
      <c r="DV49" s="249"/>
      <c r="DW49" s="11"/>
      <c r="ED49" s="17" t="s">
        <v>1662</v>
      </c>
      <c r="EE49" s="6">
        <f t="shared" si="276"/>
        <v>1</v>
      </c>
      <c r="EF49" s="6">
        <f t="shared" si="268"/>
        <v>1</v>
      </c>
      <c r="EG49" s="6">
        <f t="shared" si="269"/>
        <v>1</v>
      </c>
      <c r="EH49" s="6">
        <f t="shared" si="270"/>
        <v>1</v>
      </c>
      <c r="EI49" s="6">
        <f t="shared" si="271"/>
        <v>1</v>
      </c>
      <c r="EJ49" s="6">
        <f t="shared" si="272"/>
        <v>1</v>
      </c>
      <c r="EK49" s="6">
        <f t="shared" si="273"/>
        <v>1</v>
      </c>
      <c r="EL49" s="6">
        <f t="shared" si="274"/>
        <v>1</v>
      </c>
      <c r="EM49" s="249">
        <f>SUM(EM42:EM48)</f>
        <v>104</v>
      </c>
      <c r="EN49" s="249">
        <f t="shared" ref="EN49" si="307">SUM(EN42:EN48)</f>
        <v>48</v>
      </c>
      <c r="EO49" s="249">
        <f t="shared" ref="EO49" si="308">SUM(EO42:EO48)</f>
        <v>105</v>
      </c>
      <c r="EP49" s="249">
        <f t="shared" ref="EP49" si="309">SUM(EP42:EP48)</f>
        <v>244</v>
      </c>
      <c r="EQ49" s="249">
        <f t="shared" ref="EQ49" si="310">SUM(EQ42:EQ48)</f>
        <v>146</v>
      </c>
      <c r="ER49" s="249">
        <f t="shared" ref="ER49" si="311">SUM(ER42:ER48)</f>
        <v>224</v>
      </c>
      <c r="ES49" s="249">
        <f t="shared" ref="ES49" si="312">SUM(ES42:ES48)</f>
        <v>76</v>
      </c>
      <c r="ET49" s="249">
        <f t="shared" ref="ET49" si="313">SUM(ET42:ET48)</f>
        <v>947</v>
      </c>
      <c r="EV49" s="112" t="s">
        <v>399</v>
      </c>
      <c r="EW49" s="6">
        <f t="shared" si="298"/>
        <v>0.33333333333333331</v>
      </c>
      <c r="EX49" s="6">
        <f t="shared" si="286"/>
        <v>6.7796610169491525E-2</v>
      </c>
      <c r="EY49" s="6">
        <f t="shared" si="287"/>
        <v>0.15714285714285714</v>
      </c>
      <c r="EZ49" s="6">
        <f t="shared" si="288"/>
        <v>0.37142857142857144</v>
      </c>
      <c r="FA49" s="6">
        <f t="shared" si="289"/>
        <v>0.13333333333333333</v>
      </c>
      <c r="FB49" s="6">
        <f t="shared" si="290"/>
        <v>0.23347107438016529</v>
      </c>
      <c r="FC49" s="249">
        <f>COUNTIFS('ENCUESTA PROPIETARIOS'!$I$7:$I$417,"LICENCIATURA",'ENCUESTA PROPIETARIOS'!$CI$7:$CI$417,"X")+COUNTIFS('ENCUESTA PROPIETARIOS'!$I$7:$I$417,"INGENIERIA",'ENCUESTA PROPIETARIOS'!$CI$7:$CI$417,"X")</f>
        <v>77</v>
      </c>
      <c r="FD49" s="249">
        <f>COUNTIFS('ENCUESTA PROPIETARIOS'!$I$7:$I$417,"LICENCIATURA",'ENCUESTA PROPIETARIOS'!$CJ$7:$CJ$417,"X")+COUNTIFS('ENCUESTA PROPIETARIOS'!$I$7:$I$417,"INGENIERIA",'ENCUESTA PROPIETARIOS'!$CJ$7:$CJ$417,"X")</f>
        <v>8</v>
      </c>
      <c r="FE49" s="249">
        <f>COUNTIFS('ENCUESTA PROPIETARIOS'!$I$7:$I$417,"LICENCIATURA",'ENCUESTA PROPIETARIOS'!$CK$7:$CK$417,"X")+COUNTIFS('ENCUESTA PROPIETARIOS'!$I$7:$I$417,"INGENIERIA",'ENCUESTA PROPIETARIOS'!$CK$7:$CK$417,"X")</f>
        <v>11</v>
      </c>
      <c r="FF49" s="249">
        <f>COUNTIFS('ENCUESTA PROPIETARIOS'!$I$7:$I$417,"LICENCIATURA",'ENCUESTA PROPIETARIOS'!$CM$7:$CM$417,"X")+COUNTIFS('ENCUESTA PROPIETARIOS'!$I$7:$I$417,"INGENIERIA",'ENCUESTA PROPIETARIOS'!$CM$7:$CM$417,"X")</f>
        <v>13</v>
      </c>
      <c r="FG49" s="249">
        <f>COUNTIFS('ENCUESTA PROPIETARIOS'!$I$7:$I$417,"LICENCIATURA",'ENCUESTA PROPIETARIOS'!$CL$7:$CL$417,"X")+COUNTIFS('ENCUESTA PROPIETARIOS'!$I$7:$I$417,"INGENIERIA",'ENCUESTA PROPIETARIOS'!$CL$7:$CL$417,"X")</f>
        <v>4</v>
      </c>
      <c r="FH49" s="249">
        <f t="shared" si="291"/>
        <v>113</v>
      </c>
      <c r="FM49" s="11" t="s">
        <v>2534</v>
      </c>
      <c r="FN49" s="6">
        <f>+FO49/$FO$56</f>
        <v>8.0979284369114876E-2</v>
      </c>
      <c r="FO49" s="249">
        <f>+FV4</f>
        <v>43</v>
      </c>
    </row>
    <row r="50" spans="1:189" ht="25.5" x14ac:dyDescent="0.25">
      <c r="A50" s="137" t="s">
        <v>2410</v>
      </c>
      <c r="B50" s="6">
        <f t="shared" si="299"/>
        <v>6.3745019920318724E-2</v>
      </c>
      <c r="C50" s="6">
        <f t="shared" si="292"/>
        <v>4.1168658698539175E-2</v>
      </c>
      <c r="D50" s="6">
        <f t="shared" si="293"/>
        <v>5.5776892430278883E-2</v>
      </c>
      <c r="E50" s="6">
        <f t="shared" si="294"/>
        <v>2.3904382470119521E-2</v>
      </c>
      <c r="F50" s="6">
        <f t="shared" si="295"/>
        <v>0.18459495351925631</v>
      </c>
      <c r="G50" s="249">
        <f>COUNTIFS('ENCUESTA PROPIETARIOS'!$N$7:$N$417,"1",'ENCUESTA PROPIETARIOS'!$AF$7:$AF$417,"X")+COUNTIFS('ENCUESTA PROPIETARIOS'!$N$7:$N$417,"1",'ENCUESTA PROPIETARIOS'!$AH$7:$AH$417,"X")</f>
        <v>48</v>
      </c>
      <c r="H50" s="249">
        <f>COUNTIFS('ENCUESTA PROPIETARIOS'!$N$7:$N$417,"2",'ENCUESTA PROPIETARIOS'!$AF$7:$AF$417,"X")+COUNTIFS('ENCUESTA PROPIETARIOS'!$N$7:$N$417,"2",'ENCUESTA PROPIETARIOS'!$AH$7:$AH$417,"X")</f>
        <v>31</v>
      </c>
      <c r="I50" s="249">
        <f>COUNTIFS('ENCUESTA PROPIETARIOS'!$N$7:$N$417,"3",'ENCUESTA PROPIETARIOS'!$AF$7:$AF$417,"X")+COUNTIFS('ENCUESTA PROPIETARIOS'!$N$7:$N$417,"4",'ENCUESTA PROPIETARIOS'!$AF$7:$AF$417,"X")+COUNTIFS('ENCUESTA PROPIETARIOS'!$N$7:$N$417,"5",'ENCUESTA PROPIETARIOS'!$AF$7:$AF$417,"X")+COUNTIFS('ENCUESTA PROPIETARIOS'!$N$7:$N$417,"3",'ENCUESTA PROPIETARIOS'!$AH$7:$AH$417,"X")+COUNTIFS('ENCUESTA PROPIETARIOS'!$N$7:$N$417,"4",'ENCUESTA PROPIETARIOS'!$AH$7:$AH$417,"X")+COUNTIFS('ENCUESTA PROPIETARIOS'!$N$7:$N$417,"5",'ENCUESTA PROPIETARIOS'!$AH$7:$AH$417,"X")</f>
        <v>42</v>
      </c>
      <c r="J50" s="249">
        <f>COUNTIFS('ENCUESTA PROPIETARIOS'!$N$7:$N$417,"&gt;5",'ENCUESTA PROPIETARIOS'!$AF$7:$AF$417,"X")+COUNTIFS('ENCUESTA PROPIETARIOS'!$N$7:$N$417,"&gt;5",'ENCUESTA PROPIETARIOS'!$AH$7:$AH$417,"X")</f>
        <v>18</v>
      </c>
      <c r="K50" s="249">
        <f t="shared" si="296"/>
        <v>139</v>
      </c>
      <c r="N50" s="137" t="s">
        <v>2410</v>
      </c>
      <c r="O50" s="249">
        <f>COUNTIFS('ENCUESTA PROPIETARIOS'!$N$7:$N$417,"1",'ENCUESTA PROPIETARIOS'!$AF$7:$AF$417,"X")+COUNTIFS('ENCUESTA PROPIETARIOS'!$N$7:$N$417,"1",'ENCUESTA PROPIETARIOS'!$AH$7:$AH$417,"X")</f>
        <v>48</v>
      </c>
      <c r="P50" s="249">
        <f>COUNTIFS('ENCUESTA PROPIETARIOS'!$N$7:$N$417,"2",'ENCUESTA PROPIETARIOS'!$AF$7:$AF$417,"X")+COUNTIFS('ENCUESTA PROPIETARIOS'!$N$7:$N$417,"2",'ENCUESTA PROPIETARIOS'!$AH$7:$AH$417,"X")</f>
        <v>31</v>
      </c>
      <c r="Q50" s="249">
        <f>COUNTIFS('ENCUESTA PROPIETARIOS'!$N$7:$N$417,"3",'ENCUESTA PROPIETARIOS'!$AF$7:$AF$417,"X")+COUNTIFS('ENCUESTA PROPIETARIOS'!$N$7:$N$417,"4",'ENCUESTA PROPIETARIOS'!$AF$7:$AF$417,"X")+COUNTIFS('ENCUESTA PROPIETARIOS'!$N$7:$N$417,"5",'ENCUESTA PROPIETARIOS'!$AF$7:$AF$417,"X")+COUNTIFS('ENCUESTA PROPIETARIOS'!$N$7:$N$417,"3",'ENCUESTA PROPIETARIOS'!$AH$7:$AH$417,"X")+COUNTIFS('ENCUESTA PROPIETARIOS'!$N$7:$N$417,"4",'ENCUESTA PROPIETARIOS'!$AH$7:$AH$417,"X")+COUNTIFS('ENCUESTA PROPIETARIOS'!$N$7:$N$417,"5",'ENCUESTA PROPIETARIOS'!$AH$7:$AH$417,"X")</f>
        <v>42</v>
      </c>
      <c r="R50" s="249">
        <f>COUNTIFS('ENCUESTA PROPIETARIOS'!$N$7:$N$417,"&gt;5",'ENCUESTA PROPIETARIOS'!$AF$7:$AF$417,"X")+COUNTIFS('ENCUESTA PROPIETARIOS'!$N$7:$N$417,"&gt;5",'ENCUESTA PROPIETARIOS'!$AH$7:$AH$417,"X")</f>
        <v>18</v>
      </c>
      <c r="S50" s="249">
        <f t="shared" si="297"/>
        <v>139</v>
      </c>
      <c r="X50" s="19" t="s">
        <v>1731</v>
      </c>
      <c r="Y50" s="6">
        <f t="shared" si="304"/>
        <v>0.16444444444444445</v>
      </c>
      <c r="Z50" s="6">
        <f t="shared" ref="Z50:Z57" si="314">+AC50/$AC$57</f>
        <v>0.14519906323185011</v>
      </c>
      <c r="AB50" s="9">
        <f>COUNTIFS('DETALLES UNIDADES'!$S$8:$S$987,"D",'DETALLES UNIDADES'!$U$8:$U$987,"&lt;2.21")-AB49</f>
        <v>148</v>
      </c>
      <c r="AC50" s="249">
        <v>62</v>
      </c>
      <c r="AK50" s="11" t="s">
        <v>2536</v>
      </c>
      <c r="AL50" s="6">
        <f t="shared" si="305"/>
        <v>9.4161958568738227E-2</v>
      </c>
      <c r="AM50" s="249">
        <f t="shared" si="306"/>
        <v>50</v>
      </c>
      <c r="BD50" s="112" t="s">
        <v>1716</v>
      </c>
      <c r="BE50" s="6">
        <f t="shared" ref="BE50:BE56" si="315">+BF50/$BF$56</f>
        <v>7.8341013824884786E-2</v>
      </c>
      <c r="BF50" s="138">
        <f t="shared" ref="BF50:BF56" si="316">+BP5</f>
        <v>17</v>
      </c>
      <c r="CH50" s="17" t="s">
        <v>851</v>
      </c>
      <c r="CI50" s="6">
        <f>+CN50/$CR$54</f>
        <v>9.8591549295774641E-2</v>
      </c>
      <c r="CJ50" s="6">
        <f t="shared" ref="CJ50:CJ54" si="317">+CO50/$CR$54</f>
        <v>4.2253521126760563E-2</v>
      </c>
      <c r="CK50" s="6">
        <f t="shared" ref="CK50:CK54" si="318">+CP50/$CR$54</f>
        <v>8.4507042253521125E-2</v>
      </c>
      <c r="CL50" s="6">
        <f t="shared" ref="CL50:CL54" si="319">+CQ50/$CR$54</f>
        <v>4.2253521126760563E-2</v>
      </c>
      <c r="CM50" s="6">
        <f t="shared" ref="CM50:CM54" si="320">+CR50/$CR$54</f>
        <v>0.26760563380281688</v>
      </c>
      <c r="CN50" s="249">
        <f>COUNTIFS('ENCUESTA PROPIETARIOS'!$AX$7:$AX$417,"4",'ENCUESTA PROPIETARIOS'!$N$7:$N$417,"1")</f>
        <v>7</v>
      </c>
      <c r="CO50" s="249">
        <f>COUNTIFS('ENCUESTA PROPIETARIOS'!$AX$7:$AX$417,"4",'ENCUESTA PROPIETARIOS'!$N$7:$N$417,"2")</f>
        <v>3</v>
      </c>
      <c r="CP50" s="249">
        <f>COUNTIFS('ENCUESTA PROPIETARIOS'!$AX$7:$AX$417,"4",'ENCUESTA PROPIETARIOS'!$N$7:$N$417,"3")+COUNTIFS('ENCUESTA PROPIETARIOS'!$AX$7:$AX$417,"4",'ENCUESTA PROPIETARIOS'!$N$7:$N$417,"4")+COUNTIFS('ENCUESTA PROPIETARIOS'!$AX$7:$AX$417,"4",'ENCUESTA PROPIETARIOS'!$N$7:$N$417,"5")</f>
        <v>6</v>
      </c>
      <c r="CQ50" s="249">
        <f>COUNTIFS('ENCUESTA PROPIETARIOS'!$AX$7:$AX$417,"4",'ENCUESTA PROPIETARIOS'!$N$7:$N$417,"&gt;5")</f>
        <v>3</v>
      </c>
      <c r="CR50" s="249">
        <f>SUM(CN50:CQ50)</f>
        <v>19</v>
      </c>
      <c r="DF50" s="17" t="s">
        <v>2622</v>
      </c>
      <c r="DG50" s="6">
        <f t="shared" si="285"/>
        <v>7.3170731707317069E-2</v>
      </c>
      <c r="DH50" s="6">
        <f t="shared" si="277"/>
        <v>4.1666666666666664E-2</v>
      </c>
      <c r="DI50" s="6">
        <f t="shared" si="278"/>
        <v>0</v>
      </c>
      <c r="DJ50" s="6">
        <f t="shared" si="279"/>
        <v>0</v>
      </c>
      <c r="DK50" s="6">
        <f t="shared" si="280"/>
        <v>2.4390243902439025E-2</v>
      </c>
      <c r="DL50" s="249">
        <f>COUNTIFS('DETALLES UNIDADES'!$BA$8:$BA$987,"1",'DETALLES UNIDADES'!$AU$8:$AU$987,"&gt;175000",'DETALLES UNIDADES'!$C$8:$C$987,"C2")</f>
        <v>3</v>
      </c>
      <c r="DM50" s="249">
        <f>COUNTIFS('DETALLES UNIDADES'!$BA$8:$BA$987,"2",'DETALLES UNIDADES'!$AU$8:$AU$987,"&gt;175000",'DETALLES UNIDADES'!$C$8:$C$987,"C2")</f>
        <v>2</v>
      </c>
      <c r="DN50" s="249">
        <f>COUNTIFS('DETALLES UNIDADES'!$BA$8:$BA$987,"3",'DETALLES UNIDADES'!$AU$8:$AU$987,"&gt;175000",'DETALLES UNIDADES'!$C$8:$C$987,"C2")+COUNTIFS('DETALLES UNIDADES'!$BA$8:$BA$987,"4",'DETALLES UNIDADES'!$AU$8:$AU$987,"&gt;175000",'DETALLES UNIDADES'!$C$8:$C$987,"C2")+COUNTIFS('DETALLES UNIDADES'!$BA$8:$BA$987,"5",'DETALLES UNIDADES'!$AU$8:$AU$987,"&gt;175000",'DETALLES UNIDADES'!$C$8:$C$987,"C2")</f>
        <v>0</v>
      </c>
      <c r="DO50" s="249">
        <f>COUNTIFS('DETALLES UNIDADES'!$BA$8:$BA$987,"&gt;5",'DETALLES UNIDADES'!$AU$8:$AU$987,"&gt;175000",'DETALLES UNIDADES'!$C$8:$C$987,"C2")</f>
        <v>0</v>
      </c>
      <c r="DP50" s="249">
        <f t="shared" si="281"/>
        <v>5</v>
      </c>
      <c r="DR50" s="137"/>
      <c r="DS50" s="138"/>
      <c r="DT50" s="138"/>
      <c r="DU50" s="138"/>
      <c r="DV50" s="6"/>
      <c r="DW50" s="138"/>
      <c r="EM50" s="249">
        <v>104</v>
      </c>
      <c r="EN50" s="249">
        <v>50</v>
      </c>
      <c r="EO50" s="249">
        <v>109</v>
      </c>
      <c r="EP50" s="249">
        <v>245</v>
      </c>
      <c r="EQ50" s="249">
        <v>148</v>
      </c>
      <c r="ER50" s="249">
        <v>224</v>
      </c>
      <c r="ES50" s="249">
        <v>100</v>
      </c>
      <c r="ET50" s="249">
        <v>980</v>
      </c>
      <c r="EV50" s="112" t="s">
        <v>711</v>
      </c>
      <c r="EW50" s="6">
        <f t="shared" si="298"/>
        <v>8.658008658008658E-3</v>
      </c>
      <c r="EX50" s="6">
        <f t="shared" si="286"/>
        <v>8.4745762711864406E-3</v>
      </c>
      <c r="EY50" s="6">
        <f t="shared" si="287"/>
        <v>0</v>
      </c>
      <c r="EZ50" s="6">
        <f t="shared" si="288"/>
        <v>2.8571428571428571E-2</v>
      </c>
      <c r="FA50" s="6">
        <f t="shared" si="289"/>
        <v>0</v>
      </c>
      <c r="FB50" s="6">
        <f t="shared" si="290"/>
        <v>8.2644628099173556E-3</v>
      </c>
      <c r="FC50" s="249">
        <f>COUNTIFS('ENCUESTA PROPIETARIOS'!$I$7:$I$417,"POSGRADO",'ENCUESTA PROPIETARIOS'!$CI$7:$CI$417,"X")+COUNTIFS('ENCUESTA PROPIETARIOS'!$I$7:$I$417,"TECNICA",'ENCUESTA PROPIETARIOS'!$CI$7:$CI$417,"X")</f>
        <v>2</v>
      </c>
      <c r="FD50" s="249">
        <f>COUNTIFS('ENCUESTA PROPIETARIOS'!$I$7:$I$417,"POSGRADO",'ENCUESTA PROPIETARIOS'!$CJ$7:$CJ$417,"X")+COUNTIFS('ENCUESTA PROPIETARIOS'!$I$7:$I$417,"TECNICA",'ENCUESTA PROPIETARIOS'!$CJ$7:$CJ$417,"X")</f>
        <v>1</v>
      </c>
      <c r="FE50" s="249">
        <f>COUNTIFS('ENCUESTA PROPIETARIOS'!$I$7:$I$417,"POSGRADO",'ENCUESTA PROPIETARIOS'!$CK$7:$CK$417,"X")+COUNTIFS('ENCUESTA PROPIETARIOS'!$I$7:$I$417,"TECNICA",'ENCUESTA PROPIETARIOS'!$CK$7:$CK$417,"X")</f>
        <v>0</v>
      </c>
      <c r="FF50" s="249">
        <f>COUNTIFS('ENCUESTA PROPIETARIOS'!$I$7:$I$417,"POSGRADO",'ENCUESTA PROPIETARIOS'!$CM$7:$CM$417,"X")+COUNTIFS('ENCUESTA PROPIETARIOS'!$I$7:$I$417,"TECNICA",'ENCUESTA PROPIETARIOS'!$CM$7:$CM$417,"X")</f>
        <v>1</v>
      </c>
      <c r="FG50" s="249">
        <f>COUNTIFS('ENCUESTA PROPIETARIOS'!$I$7:$I$417,"POSGRADO",'ENCUESTA PROPIETARIOS'!$CL$7:$CL$417,"X")+COUNTIFS('ENCUESTA PROPIETARIOS'!$I$7:$I$417,"TECNICA",'ENCUESTA PROPIETARIOS'!$CL$7:$CL$417,"X")</f>
        <v>0</v>
      </c>
      <c r="FH50" s="249">
        <f t="shared" si="291"/>
        <v>4</v>
      </c>
      <c r="FM50" s="11" t="s">
        <v>2535</v>
      </c>
      <c r="FN50" s="6">
        <f t="shared" ref="FN50:FN56" si="321">+FO50/$FO$56</f>
        <v>5.2730696798493411E-2</v>
      </c>
      <c r="FO50" s="249">
        <f t="shared" ref="FO50:FO56" si="322">+FV5</f>
        <v>28</v>
      </c>
      <c r="GG50" s="28">
        <f>+GG48+GG36+GG24+GG12</f>
        <v>980</v>
      </c>
    </row>
    <row r="51" spans="1:189" x14ac:dyDescent="0.25">
      <c r="A51" s="137" t="s">
        <v>193</v>
      </c>
      <c r="B51" s="6">
        <f t="shared" si="299"/>
        <v>8.3665338645418322E-2</v>
      </c>
      <c r="C51" s="6">
        <f t="shared" si="292"/>
        <v>2.2576361221779549E-2</v>
      </c>
      <c r="D51" s="6">
        <f t="shared" si="293"/>
        <v>1.7264276228419653E-2</v>
      </c>
      <c r="E51" s="6">
        <f t="shared" si="294"/>
        <v>1.0624169986719787E-2</v>
      </c>
      <c r="F51" s="6">
        <f t="shared" si="295"/>
        <v>0.13413014608233731</v>
      </c>
      <c r="G51" s="249">
        <f>COUNTIFS('ENCUESTA PROPIETARIOS'!$N$7:$N$417,"1",'ENCUESTA PROPIETARIOS'!$AG$7:$AG$417,"X")</f>
        <v>63</v>
      </c>
      <c r="H51" s="249">
        <f>COUNTIFS('ENCUESTA PROPIETARIOS'!$N$7:$N$417,"2",'ENCUESTA PROPIETARIOS'!$AG$7:$AG$417,"X")</f>
        <v>17</v>
      </c>
      <c r="I51" s="249">
        <f>COUNTIFS('ENCUESTA PROPIETARIOS'!$N$7:$N$417,"3",'ENCUESTA PROPIETARIOS'!$AG$7:$AG$417,"X")+COUNTIFS('ENCUESTA PROPIETARIOS'!$N$7:$N$417,"4",'ENCUESTA PROPIETARIOS'!$AG$7:$AG$417,"X")+COUNTIFS('ENCUESTA PROPIETARIOS'!$N$7:$N$417,"5",'ENCUESTA PROPIETARIOS'!$AG$7:$AG$417,"X")</f>
        <v>13</v>
      </c>
      <c r="J51" s="249">
        <f>COUNTIFS('ENCUESTA PROPIETARIOS'!$N$7:$N$417,"&gt;5",'ENCUESTA PROPIETARIOS'!$AG$7:$AG$417,"X")</f>
        <v>8</v>
      </c>
      <c r="K51" s="249">
        <f t="shared" si="296"/>
        <v>101</v>
      </c>
      <c r="N51" s="137" t="s">
        <v>193</v>
      </c>
      <c r="O51" s="249">
        <f>COUNTIFS('ENCUESTA PROPIETARIOS'!$N$7:$N$417,"1",'ENCUESTA PROPIETARIOS'!$AG$7:$AG$417,"X")</f>
        <v>63</v>
      </c>
      <c r="P51" s="249">
        <f>COUNTIFS('ENCUESTA PROPIETARIOS'!$N$7:$N$417,"2",'ENCUESTA PROPIETARIOS'!$AG$7:$AG$417,"X")</f>
        <v>17</v>
      </c>
      <c r="Q51" s="249">
        <f>COUNTIFS('ENCUESTA PROPIETARIOS'!$N$7:$N$417,"3",'ENCUESTA PROPIETARIOS'!$AG$7:$AG$417,"X")+COUNTIFS('ENCUESTA PROPIETARIOS'!$N$7:$N$417,"4",'ENCUESTA PROPIETARIOS'!$AG$7:$AG$417,"X")+COUNTIFS('ENCUESTA PROPIETARIOS'!$N$7:$N$417,"5",'ENCUESTA PROPIETARIOS'!$AG$7:$AG$417,"X")</f>
        <v>13</v>
      </c>
      <c r="R51" s="249">
        <f>COUNTIFS('ENCUESTA PROPIETARIOS'!$N$7:$N$417,"&gt;5",'ENCUESTA PROPIETARIOS'!$AG$7:$AG$417,"X")</f>
        <v>8</v>
      </c>
      <c r="S51" s="249">
        <f t="shared" si="297"/>
        <v>101</v>
      </c>
      <c r="X51" s="11" t="s">
        <v>1732</v>
      </c>
      <c r="Y51" s="6">
        <f t="shared" si="304"/>
        <v>0.13666666666666666</v>
      </c>
      <c r="Z51" s="6">
        <f t="shared" si="314"/>
        <v>4.6838407494145202E-2</v>
      </c>
      <c r="AB51" s="9">
        <f>COUNTIFS('DETALLES UNIDADES'!$S$8:$S$987,"D",'DETALLES UNIDADES'!$U$8:$U$987,"&lt;2.41")-AB50-AB49</f>
        <v>123</v>
      </c>
      <c r="AC51" s="249">
        <v>20</v>
      </c>
      <c r="AK51" s="11" t="s">
        <v>2537</v>
      </c>
      <c r="AL51" s="6">
        <f t="shared" si="305"/>
        <v>0.27306967984934089</v>
      </c>
      <c r="AM51" s="249">
        <f t="shared" si="306"/>
        <v>145</v>
      </c>
      <c r="BD51" s="112" t="s">
        <v>1713</v>
      </c>
      <c r="BE51" s="6">
        <f t="shared" si="315"/>
        <v>0.56682027649769584</v>
      </c>
      <c r="BF51" s="138">
        <f t="shared" si="316"/>
        <v>123</v>
      </c>
      <c r="CH51" s="17" t="s">
        <v>852</v>
      </c>
      <c r="CI51" s="6">
        <f t="shared" ref="CI51:CI54" si="323">+CN51/$CR$54</f>
        <v>5.6338028169014086E-2</v>
      </c>
      <c r="CJ51" s="6">
        <f t="shared" si="317"/>
        <v>0.12676056338028169</v>
      </c>
      <c r="CK51" s="6">
        <f t="shared" si="318"/>
        <v>9.8591549295774641E-2</v>
      </c>
      <c r="CL51" s="6">
        <f t="shared" si="319"/>
        <v>5.6338028169014086E-2</v>
      </c>
      <c r="CM51" s="6">
        <f t="shared" si="320"/>
        <v>0.3380281690140845</v>
      </c>
      <c r="CN51" s="249">
        <f>COUNTIFS('ENCUESTA PROPIETARIOS'!$AY$7:$AY$417,"4",'ENCUESTA PROPIETARIOS'!$N$7:$N$417,"1")</f>
        <v>4</v>
      </c>
      <c r="CO51" s="249">
        <f>COUNTIFS('ENCUESTA PROPIETARIOS'!$AY$7:$AY$417,"4",'ENCUESTA PROPIETARIOS'!$N$7:$N$417,"2")</f>
        <v>9</v>
      </c>
      <c r="CP51" s="249">
        <f>COUNTIFS('ENCUESTA PROPIETARIOS'!$AY$7:$AY$417,"4",'ENCUESTA PROPIETARIOS'!$N$7:$N$417,"3")+COUNTIFS('ENCUESTA PROPIETARIOS'!$AY$7:$AY$417,"4",'ENCUESTA PROPIETARIOS'!$N$7:$N$417,"4")+COUNTIFS('ENCUESTA PROPIETARIOS'!$AY$7:$AY$417,"4",'ENCUESTA PROPIETARIOS'!$N$7:$N$417,"5")</f>
        <v>7</v>
      </c>
      <c r="CQ51" s="249">
        <f>COUNTIFS('ENCUESTA PROPIETARIOS'!$AY$7:$AY$417,"4",'ENCUESTA PROPIETARIOS'!$N$7:$N$417,"&gt;5")</f>
        <v>4</v>
      </c>
      <c r="CR51" s="249">
        <f t="shared" ref="CR51:CR54" si="324">SUM(CN51:CQ51)</f>
        <v>24</v>
      </c>
      <c r="DF51" s="17" t="s">
        <v>1662</v>
      </c>
      <c r="DG51" s="6">
        <f t="shared" si="285"/>
        <v>1</v>
      </c>
      <c r="DH51" s="6">
        <f t="shared" si="277"/>
        <v>1</v>
      </c>
      <c r="DI51" s="6">
        <f t="shared" si="278"/>
        <v>1</v>
      </c>
      <c r="DJ51" s="6">
        <f t="shared" si="279"/>
        <v>1</v>
      </c>
      <c r="DK51" s="6">
        <f t="shared" si="280"/>
        <v>1</v>
      </c>
      <c r="DL51" s="249">
        <f>SUM(DL44:DL50)</f>
        <v>41</v>
      </c>
      <c r="DM51" s="249">
        <f t="shared" ref="DM51" si="325">SUM(DM44:DM50)</f>
        <v>48</v>
      </c>
      <c r="DN51" s="249">
        <f t="shared" ref="DN51" si="326">SUM(DN44:DN50)</f>
        <v>69</v>
      </c>
      <c r="DO51" s="249">
        <f t="shared" ref="DO51" si="327">SUM(DO44:DO50)</f>
        <v>47</v>
      </c>
      <c r="DP51" s="249">
        <f t="shared" ref="DP51" si="328">SUM(DP44:DP50)</f>
        <v>205</v>
      </c>
      <c r="DR51" s="137"/>
      <c r="DS51" s="138"/>
      <c r="DT51" s="138"/>
      <c r="DU51" s="138"/>
      <c r="DV51" s="6"/>
      <c r="DW51" s="138"/>
      <c r="EN51" s="249">
        <v>2</v>
      </c>
      <c r="EO51" s="249">
        <v>4</v>
      </c>
      <c r="EP51" s="249">
        <v>1</v>
      </c>
      <c r="EQ51" s="249">
        <v>2</v>
      </c>
      <c r="ES51" s="249">
        <v>24</v>
      </c>
      <c r="EV51" s="112" t="s">
        <v>715</v>
      </c>
      <c r="EW51" s="6">
        <f t="shared" si="298"/>
        <v>1</v>
      </c>
      <c r="EX51" s="6">
        <f t="shared" si="286"/>
        <v>1</v>
      </c>
      <c r="EY51" s="6">
        <f t="shared" si="287"/>
        <v>1</v>
      </c>
      <c r="EZ51" s="6">
        <f t="shared" si="288"/>
        <v>1</v>
      </c>
      <c r="FA51" s="6">
        <f t="shared" si="289"/>
        <v>1</v>
      </c>
      <c r="FB51" s="6">
        <f t="shared" si="290"/>
        <v>1</v>
      </c>
      <c r="FC51" s="249">
        <f>SUM(FC45:FC50)</f>
        <v>231</v>
      </c>
      <c r="FD51" s="249">
        <f t="shared" ref="FD51:FH51" si="329">SUM(FD45:FD50)</f>
        <v>118</v>
      </c>
      <c r="FE51" s="249">
        <f t="shared" si="329"/>
        <v>70</v>
      </c>
      <c r="FF51" s="249">
        <f t="shared" si="329"/>
        <v>35</v>
      </c>
      <c r="FG51" s="249">
        <f t="shared" si="329"/>
        <v>30</v>
      </c>
      <c r="FH51" s="249">
        <f t="shared" si="329"/>
        <v>484</v>
      </c>
      <c r="FM51" s="11" t="s">
        <v>2536</v>
      </c>
      <c r="FN51" s="6">
        <f t="shared" si="321"/>
        <v>9.4161958568738227E-2</v>
      </c>
      <c r="FO51" s="249">
        <f t="shared" si="322"/>
        <v>50</v>
      </c>
    </row>
    <row r="52" spans="1:189" x14ac:dyDescent="0.25">
      <c r="A52" s="137" t="s">
        <v>26</v>
      </c>
      <c r="B52" s="6">
        <f t="shared" si="299"/>
        <v>2.7888446215139442E-2</v>
      </c>
      <c r="C52" s="6">
        <f t="shared" si="292"/>
        <v>1.0624169986719787E-2</v>
      </c>
      <c r="D52" s="6">
        <f t="shared" si="293"/>
        <v>3.3200531208499334E-2</v>
      </c>
      <c r="E52" s="6">
        <f t="shared" si="294"/>
        <v>1.1952191235059761E-2</v>
      </c>
      <c r="F52" s="6">
        <f t="shared" si="295"/>
        <v>8.3665338645418322E-2</v>
      </c>
      <c r="G52" s="249">
        <f>COUNTIFS('ENCUESTA PROPIETARIOS'!$N$7:$N$417,"1",'ENCUESTA PROPIETARIOS'!$AI$7:$AI$417,"X")</f>
        <v>21</v>
      </c>
      <c r="H52" s="249">
        <f>COUNTIFS('ENCUESTA PROPIETARIOS'!$N$7:$N$417,"2",'ENCUESTA PROPIETARIOS'!$AI$7:$AI$417,"X")</f>
        <v>8</v>
      </c>
      <c r="I52" s="249">
        <f>COUNTIFS('ENCUESTA PROPIETARIOS'!$N$7:$N$417,"3",'ENCUESTA PROPIETARIOS'!$AI$7:$AI$417,"X")+COUNTIFS('ENCUESTA PROPIETARIOS'!$N$7:$N$417,"4",'ENCUESTA PROPIETARIOS'!$AI$7:$AI$417,"X")+COUNTIFS('ENCUESTA PROPIETARIOS'!$N$7:$N$417,"5",'ENCUESTA PROPIETARIOS'!$AI$7:$AI$417,"X")</f>
        <v>25</v>
      </c>
      <c r="J52" s="249">
        <f>COUNTIFS('ENCUESTA PROPIETARIOS'!$N$7:$N$417,"&gt;5",'ENCUESTA PROPIETARIOS'!$AI$7:$AI$417,"X")</f>
        <v>9</v>
      </c>
      <c r="K52" s="249">
        <f t="shared" si="296"/>
        <v>63</v>
      </c>
      <c r="N52" s="137" t="s">
        <v>26</v>
      </c>
      <c r="O52" s="249">
        <f>COUNTIFS('ENCUESTA PROPIETARIOS'!$N$7:$N$417,"1",'ENCUESTA PROPIETARIOS'!$AI$7:$AI$417,"X")</f>
        <v>21</v>
      </c>
      <c r="P52" s="249">
        <f>COUNTIFS('ENCUESTA PROPIETARIOS'!$N$7:$N$417,"2",'ENCUESTA PROPIETARIOS'!$AI$7:$AI$417,"X")</f>
        <v>8</v>
      </c>
      <c r="Q52" s="249">
        <f>COUNTIFS('ENCUESTA PROPIETARIOS'!$N$7:$N$417,"3",'ENCUESTA PROPIETARIOS'!$AI$7:$AI$417,"X")+COUNTIFS('ENCUESTA PROPIETARIOS'!$N$7:$N$417,"4",'ENCUESTA PROPIETARIOS'!$AI$7:$AI$417,"X")+COUNTIFS('ENCUESTA PROPIETARIOS'!$N$7:$N$417,"5",'ENCUESTA PROPIETARIOS'!$AI$7:$AI$417,"X")</f>
        <v>25</v>
      </c>
      <c r="R52" s="249">
        <f>COUNTIFS('ENCUESTA PROPIETARIOS'!$N$7:$N$417,"&gt;5",'ENCUESTA PROPIETARIOS'!$AI$7:$AI$417,"X")</f>
        <v>9</v>
      </c>
      <c r="S52" s="249">
        <f t="shared" si="297"/>
        <v>63</v>
      </c>
      <c r="X52" s="19" t="s">
        <v>1737</v>
      </c>
      <c r="Y52" s="6">
        <f t="shared" si="304"/>
        <v>0.17888888888888888</v>
      </c>
      <c r="Z52" s="6">
        <f t="shared" si="314"/>
        <v>0.10070257611241218</v>
      </c>
      <c r="AB52" s="9">
        <f>COUNTIFS('DETALLES UNIDADES'!$S$8:$S$987,"D",'DETALLES UNIDADES'!$U$8:$U$987,"&lt;2.61")-AB51-AB50-AB49</f>
        <v>161</v>
      </c>
      <c r="AC52" s="249">
        <v>43</v>
      </c>
      <c r="AK52" s="11" t="s">
        <v>2538</v>
      </c>
      <c r="AL52" s="6">
        <f t="shared" si="305"/>
        <v>0.12994350282485875</v>
      </c>
      <c r="AM52" s="249">
        <f t="shared" si="306"/>
        <v>69</v>
      </c>
      <c r="BD52" s="112" t="s">
        <v>943</v>
      </c>
      <c r="BE52" s="6">
        <f t="shared" si="315"/>
        <v>0.22580645161290322</v>
      </c>
      <c r="BF52" s="138">
        <f t="shared" si="316"/>
        <v>49</v>
      </c>
      <c r="CH52" s="17" t="s">
        <v>853</v>
      </c>
      <c r="CI52" s="6">
        <f t="shared" si="323"/>
        <v>4.2253521126760563E-2</v>
      </c>
      <c r="CJ52" s="6">
        <f t="shared" si="317"/>
        <v>0.11267605633802817</v>
      </c>
      <c r="CK52" s="6">
        <f t="shared" si="318"/>
        <v>0.15492957746478872</v>
      </c>
      <c r="CL52" s="6">
        <f t="shared" si="319"/>
        <v>8.4507042253521125E-2</v>
      </c>
      <c r="CM52" s="6">
        <f t="shared" si="320"/>
        <v>0.39436619718309857</v>
      </c>
      <c r="CN52" s="249">
        <f>COUNTIFS('ENCUESTA PROPIETARIOS'!$AZ$7:$AZ$417,"4",'ENCUESTA PROPIETARIOS'!$N$7:$N$417,"1")</f>
        <v>3</v>
      </c>
      <c r="CO52" s="249">
        <f>COUNTIFS('ENCUESTA PROPIETARIOS'!$AZ$7:$AZ$417,"4",'ENCUESTA PROPIETARIOS'!$N$7:$N$417,"2")</f>
        <v>8</v>
      </c>
      <c r="CP52" s="249">
        <f>COUNTIFS('ENCUESTA PROPIETARIOS'!$AZ$7:$AZ$417,"4",'ENCUESTA PROPIETARIOS'!$N$7:$N$417,"3")+COUNTIFS('ENCUESTA PROPIETARIOS'!$AZ$7:$AZ$417,"4",'ENCUESTA PROPIETARIOS'!$N$7:$N$417,"4")+COUNTIFS('ENCUESTA PROPIETARIOS'!$AZ$7:$AZ$417,"4",'ENCUESTA PROPIETARIOS'!$N$7:$N$417,"5")</f>
        <v>11</v>
      </c>
      <c r="CQ52" s="249">
        <f>COUNTIFS('ENCUESTA PROPIETARIOS'!$AZ$7:$AZ$417,"4",'ENCUESTA PROPIETARIOS'!$N$7:$N$417,"&gt;5")</f>
        <v>6</v>
      </c>
      <c r="CR52" s="249">
        <f t="shared" si="324"/>
        <v>28</v>
      </c>
      <c r="DF52" s="17" t="s">
        <v>1013</v>
      </c>
      <c r="DL52" s="138">
        <f>+'DETALLES UNIDADES'!AU1002</f>
        <v>0</v>
      </c>
      <c r="DM52" s="249"/>
      <c r="DN52" s="249"/>
      <c r="DO52" s="249"/>
      <c r="DP52" s="249">
        <f>SUM(DP44:DP50)</f>
        <v>205</v>
      </c>
      <c r="DR52" s="140"/>
      <c r="DS52" s="138"/>
      <c r="DT52" s="138"/>
      <c r="DU52" s="138"/>
      <c r="DV52" s="6"/>
      <c r="DW52" s="138"/>
      <c r="FH52" s="249">
        <f>SUM(FC51:FG51)</f>
        <v>484</v>
      </c>
      <c r="FM52" s="11" t="s">
        <v>2537</v>
      </c>
      <c r="FN52" s="6">
        <f t="shared" si="321"/>
        <v>0.27306967984934089</v>
      </c>
      <c r="FO52" s="249">
        <f t="shared" si="322"/>
        <v>145</v>
      </c>
    </row>
    <row r="53" spans="1:189" x14ac:dyDescent="0.25">
      <c r="A53" s="137" t="s">
        <v>2408</v>
      </c>
      <c r="B53" s="6">
        <f t="shared" si="299"/>
        <v>5.1792828685258967E-2</v>
      </c>
      <c r="C53" s="6">
        <f t="shared" si="292"/>
        <v>3.3200531208499334E-2</v>
      </c>
      <c r="D53" s="6">
        <f t="shared" si="293"/>
        <v>2.5232403718459494E-2</v>
      </c>
      <c r="E53" s="6">
        <f t="shared" si="294"/>
        <v>1.5936254980079681E-2</v>
      </c>
      <c r="F53" s="6">
        <f t="shared" si="295"/>
        <v>0.12616201859229748</v>
      </c>
      <c r="G53" s="249">
        <f>COUNTIFS('ENCUESTA PROPIETARIOS'!$N$7:$N$417,"1",'ENCUESTA PROPIETARIOS'!$AK$7:$AK$417,"MAQUINARIA")+COUNTIFS('ENCUESTA PROPIETARIOS'!$N$7:$N$417,"1",'ENCUESTA PROPIETARIOS'!$AK$7:$AK$417,"GENERAL")+COUNTIFS('ENCUESTA PROPIETARIOS'!$N$7:$N$417,"1",'ENCUESTA PROPIETARIOS'!$AK$7:$AK$417,"CARTÓN Y PAPEL")+COUNTIFS('ENCUESTA PROPIETARIOS'!$N$7:$N$417,"1",'ENCUESTA PROPIETARIOS'!$AK$7:$AK$417,"PAQUETERIA")+COUNTIFS('ENCUESTA PROPIETARIOS'!$N$7:$N$417,"1",'ENCUESTA PROPIETARIOS'!$AK$7:$AK$417,"CONTENEDORES")+COUNTIFS('ENCUESTA PROPIETARIOS'!$N$7:$N$417,"1",'ENCUESTA PROPIETARIOS'!$AK$7:$AK$417,"ELECTRODOMESTICOS")+COUNTIFS('ENCUESTA PROPIETARIOS'!$N$7:$N$417,"1",'ENCUESTA PROPIETARIOS'!$AK$7:$AK$417,"FERTILIZANTE")+COUNTIFS('ENCUESTA PROPIETARIOS'!$N$7:$N$417,"1",'ENCUESTA PROPIETARIOS'!$AK$7:$AK$417,"AGUA")+COUNTIFS('ENCUESTA PROPIETARIOS'!$N$7:$N$417,"1",'ENCUESTA PROPIETARIOS'!$AK$7:$AK$417,"GANADO EN PIE")</f>
        <v>39</v>
      </c>
      <c r="H53" s="249">
        <f>COUNTIFS('ENCUESTA PROPIETARIOS'!$N$7:$N$417,"2",'ENCUESTA PROPIETARIOS'!$AK$7:$AK$417,"MAQUINARIA")+COUNTIFS('ENCUESTA PROPIETARIOS'!$N$7:$N$417,"2",'ENCUESTA PROPIETARIOS'!$AK$7:$AK$417,"GENERAL")+COUNTIFS('ENCUESTA PROPIETARIOS'!$N$7:$N$417,"2",'ENCUESTA PROPIETARIOS'!$AK$7:$AK$417,"CARTÓN Y PAPEL")+COUNTIFS('ENCUESTA PROPIETARIOS'!$N$7:$N$417,"2",'ENCUESTA PROPIETARIOS'!$AK$7:$AK$417,"PAQUETERIA")+COUNTIFS('ENCUESTA PROPIETARIOS'!$N$7:$N$417,"2",'ENCUESTA PROPIETARIOS'!$AK$7:$AK$417,"CONTENEDORES")+COUNTIFS('ENCUESTA PROPIETARIOS'!$N$7:$N$417,"2",'ENCUESTA PROPIETARIOS'!$AK$7:$AK$417,"ELECTRODOMESTICOS")+COUNTIFS('ENCUESTA PROPIETARIOS'!$N$7:$N$417,"2",'ENCUESTA PROPIETARIOS'!$AK$7:$AK$417,"FERTILIZANTE")+COUNTIFS('ENCUESTA PROPIETARIOS'!$N$7:$N$417,"2",'ENCUESTA PROPIETARIOS'!$AK$7:$AK$417,"AGUA")+COUNTIFS('ENCUESTA PROPIETARIOS'!$N$7:$N$417,"2",'ENCUESTA PROPIETARIOS'!$AK$7:$AK$417,"GANADO EN PIE")</f>
        <v>25</v>
      </c>
      <c r="I53" s="249">
        <f>COUNTIFS('ENCUESTA PROPIETARIOS'!$N$7:$N$417,"3",'ENCUESTA PROPIETARIOS'!$AK$7:$AK$417,"MAQUINARIA")+COUNTIFS('ENCUESTA PROPIETARIOS'!$N$7:$N$417,"3",'ENCUESTA PROPIETARIOS'!$AK$7:$AK$417,"GENERAL")+COUNTIFS('ENCUESTA PROPIETARIOS'!$N$7:$N$417,"3",'ENCUESTA PROPIETARIOS'!$AK$7:$AK$417,"CARTÓN Y PAPEL")+COUNTIFS('ENCUESTA PROPIETARIOS'!$N$7:$N$417,"3",'ENCUESTA PROPIETARIOS'!$AK$7:$AK$417,"PAQUETERIA")+COUNTIFS('ENCUESTA PROPIETARIOS'!$N$7:$N$417,"3",'ENCUESTA PROPIETARIOS'!$AK$7:$AK$417,"CONTENEDORES")+COUNTIFS('ENCUESTA PROPIETARIOS'!$N$7:$N$417,"3",'ENCUESTA PROPIETARIOS'!$AK$7:$AK$417,"ELECTRODOMESTICOS")+COUNTIFS('ENCUESTA PROPIETARIOS'!$N$7:$N$417,"3",'ENCUESTA PROPIETARIOS'!$AK$7:$AK$417,"FERTILIZANTE")+COUNTIFS('ENCUESTA PROPIETARIOS'!$N$7:$N$417,"3",'ENCUESTA PROPIETARIOS'!$AK$7:$AK$417,"AGUA")+COUNTIFS('ENCUESTA PROPIETARIOS'!$N$7:$N$417,"3",'ENCUESTA PROPIETARIOS'!$AK$7:$AK$417,"GANADO EN PIE")+COUNTIFS('ENCUESTA PROPIETARIOS'!$N$7:$N$417,"4",'ENCUESTA PROPIETARIOS'!$AK$7:$AK$417,"MAQUINARIA")+COUNTIFS('ENCUESTA PROPIETARIOS'!$N$7:$N$417,"4",'ENCUESTA PROPIETARIOS'!$AK$7:$AK$417,"GENERAL")+COUNTIFS('ENCUESTA PROPIETARIOS'!$N$7:$N$417,"4",'ENCUESTA PROPIETARIOS'!$AK$7:$AK$417,"CARTÓN Y PAPEL")+COUNTIFS('ENCUESTA PROPIETARIOS'!$N$7:$N$417,"4",'ENCUESTA PROPIETARIOS'!$AK$7:$AK$417,"PAQUETERIA")+COUNTIFS('ENCUESTA PROPIETARIOS'!$N$7:$N$417,"4",'ENCUESTA PROPIETARIOS'!$AK$7:$AK$417,"CONTENEDORES")+COUNTIFS('ENCUESTA PROPIETARIOS'!$N$7:$N$417,"4",'ENCUESTA PROPIETARIOS'!$AK$7:$AK$417,"ELECTRODOMESTICOS")+COUNTIFS('ENCUESTA PROPIETARIOS'!$N$7:$N$417,"4",'ENCUESTA PROPIETARIOS'!$AK$7:$AK$417,"FERTILIZANTE")+COUNTIFS('ENCUESTA PROPIETARIOS'!$N$7:$N$417,"4",'ENCUESTA PROPIETARIOS'!$AK$7:$AK$417,"AGUA")+COUNTIFS('ENCUESTA PROPIETARIOS'!$N$7:$N$417,"4",'ENCUESTA PROPIETARIOS'!$AK$7:$AK$417,"GANADO EN PIE")+COUNTIFS('ENCUESTA PROPIETARIOS'!$N$7:$N$417,"5",'ENCUESTA PROPIETARIOS'!$AK$7:$AK$417,"MAQUINARIA")+COUNTIFS('ENCUESTA PROPIETARIOS'!$N$7:$N$417,"5",'ENCUESTA PROPIETARIOS'!$AK$7:$AK$417,"GENERAL")+COUNTIFS('ENCUESTA PROPIETARIOS'!$N$7:$N$417,"5",'ENCUESTA PROPIETARIOS'!$AK$7:$AK$417,"CARTÓN Y PAPEL")+COUNTIFS('ENCUESTA PROPIETARIOS'!$N$7:$N$417,"5",'ENCUESTA PROPIETARIOS'!$AK$7:$AK$417,"PAQUETERIA")+COUNTIFS('ENCUESTA PROPIETARIOS'!$N$7:$N$417,"5",'ENCUESTA PROPIETARIOS'!$AK$7:$AK$417,"CONTENEDORES")+COUNTIFS('ENCUESTA PROPIETARIOS'!$N$7:$N$417,"5",'ENCUESTA PROPIETARIOS'!$AK$7:$AK$417,"ELECTRODOMESTICOS")+COUNTIFS('ENCUESTA PROPIETARIOS'!$N$7:$N$417,"5",'ENCUESTA PROPIETARIOS'!$AK$7:$AK$417,"FERTILIZANTE")+COUNTIFS('ENCUESTA PROPIETARIOS'!$N$7:$N$417,"5",'ENCUESTA PROPIETARIOS'!$AK$7:$AK$417,"AGUA")+COUNTIFS('ENCUESTA PROPIETARIOS'!$N$7:$N$417,"5",'ENCUESTA PROPIETARIOS'!$AK$7:$AK$417,"GANADO EN PIE")</f>
        <v>19</v>
      </c>
      <c r="J53" s="249">
        <f>COUNTIFS('ENCUESTA PROPIETARIOS'!$N$7:$N$417,"&gt;5",'ENCUESTA PROPIETARIOS'!$AK$7:$AK$417,"MAQUINARIA")+COUNTIFS('ENCUESTA PROPIETARIOS'!$N$7:$N$417,"&gt;5",'ENCUESTA PROPIETARIOS'!$AK$7:$AK$417,"GENERAL")+COUNTIFS('ENCUESTA PROPIETARIOS'!$N$7:$N$417,"&gt;5",'ENCUESTA PROPIETARIOS'!$AK$7:$AK$417,"CARTÓN Y PAPEL")+COUNTIFS('ENCUESTA PROPIETARIOS'!$N$7:$N$417,"&gt;5",'ENCUESTA PROPIETARIOS'!$AK$7:$AK$417,"PAQUETERIA")+COUNTIFS('ENCUESTA PROPIETARIOS'!$N$7:$N$417,"&gt;5",'ENCUESTA PROPIETARIOS'!$AK$7:$AK$417,"CONTENEDORES")+COUNTIFS('ENCUESTA PROPIETARIOS'!$N$7:$N$417,"&gt;5",'ENCUESTA PROPIETARIOS'!$AK$7:$AK$417,"ELECTRODOMESTICOS")+COUNTIFS('ENCUESTA PROPIETARIOS'!$N$7:$N$417,"&gt;5",'ENCUESTA PROPIETARIOS'!$AK$7:$AK$417,"FERTILIZANTE")+COUNTIFS('ENCUESTA PROPIETARIOS'!$N$7:$N$417,"&gt;5",'ENCUESTA PROPIETARIOS'!$AK$7:$AK$417,"AGUA")+COUNTIFS('ENCUESTA PROPIETARIOS'!$N$7:$N$417,"&gt;5",'ENCUESTA PROPIETARIOS'!$AK$7:$AK$417,"GANADO EN PIE")</f>
        <v>12</v>
      </c>
      <c r="K53" s="249">
        <f t="shared" si="296"/>
        <v>95</v>
      </c>
      <c r="N53" s="137" t="s">
        <v>2408</v>
      </c>
      <c r="O53" s="249">
        <f>COUNTIFS('ENCUESTA PROPIETARIOS'!$N$7:$N$417,"1",'ENCUESTA PROPIETARIOS'!$AK$7:$AK$417,"MAQUINARIA")+COUNTIFS('ENCUESTA PROPIETARIOS'!$N$7:$N$417,"1",'ENCUESTA PROPIETARIOS'!$AK$7:$AK$417,"GENERAL")+COUNTIFS('ENCUESTA PROPIETARIOS'!$N$7:$N$417,"1",'ENCUESTA PROPIETARIOS'!$AK$7:$AK$417,"CARTÓN Y PAPEL")+COUNTIFS('ENCUESTA PROPIETARIOS'!$N$7:$N$417,"1",'ENCUESTA PROPIETARIOS'!$AK$7:$AK$417,"PAQUETERIA")+COUNTIFS('ENCUESTA PROPIETARIOS'!$N$7:$N$417,"1",'ENCUESTA PROPIETARIOS'!$AK$7:$AK$417,"CONTENEDORES")+COUNTIFS('ENCUESTA PROPIETARIOS'!$N$7:$N$417,"1",'ENCUESTA PROPIETARIOS'!$AK$7:$AK$417,"ELECTRODOMESTICOS")+COUNTIFS('ENCUESTA PROPIETARIOS'!$N$7:$N$417,"1",'ENCUESTA PROPIETARIOS'!$AK$7:$AK$417,"FERTILIZANTE")+COUNTIFS('ENCUESTA PROPIETARIOS'!$N$7:$N$417,"1",'ENCUESTA PROPIETARIOS'!$AK$7:$AK$417,"AGUA")+COUNTIFS('ENCUESTA PROPIETARIOS'!$N$7:$N$417,"1",'ENCUESTA PROPIETARIOS'!$AK$7:$AK$417,"GANADO EN PIE")</f>
        <v>39</v>
      </c>
      <c r="P53" s="249">
        <f>COUNTIFS('ENCUESTA PROPIETARIOS'!$N$7:$N$417,"2",'ENCUESTA PROPIETARIOS'!$AK$7:$AK$417,"MAQUINARIA")+COUNTIFS('ENCUESTA PROPIETARIOS'!$N$7:$N$417,"2",'ENCUESTA PROPIETARIOS'!$AK$7:$AK$417,"GENERAL")+COUNTIFS('ENCUESTA PROPIETARIOS'!$N$7:$N$417,"2",'ENCUESTA PROPIETARIOS'!$AK$7:$AK$417,"CARTÓN Y PAPEL")+COUNTIFS('ENCUESTA PROPIETARIOS'!$N$7:$N$417,"2",'ENCUESTA PROPIETARIOS'!$AK$7:$AK$417,"PAQUETERIA")+COUNTIFS('ENCUESTA PROPIETARIOS'!$N$7:$N$417,"2",'ENCUESTA PROPIETARIOS'!$AK$7:$AK$417,"CONTENEDORES")+COUNTIFS('ENCUESTA PROPIETARIOS'!$N$7:$N$417,"2",'ENCUESTA PROPIETARIOS'!$AK$7:$AK$417,"ELECTRODOMESTICOS")+COUNTIFS('ENCUESTA PROPIETARIOS'!$N$7:$N$417,"2",'ENCUESTA PROPIETARIOS'!$AK$7:$AK$417,"FERTILIZANTE")+COUNTIFS('ENCUESTA PROPIETARIOS'!$N$7:$N$417,"2",'ENCUESTA PROPIETARIOS'!$AK$7:$AK$417,"AGUA")+COUNTIFS('ENCUESTA PROPIETARIOS'!$N$7:$N$417,"2",'ENCUESTA PROPIETARIOS'!$AK$7:$AK$417,"GANADO EN PIE")</f>
        <v>25</v>
      </c>
      <c r="Q53" s="249">
        <f>COUNTIFS('ENCUESTA PROPIETARIOS'!$N$7:$N$417,"3",'ENCUESTA PROPIETARIOS'!$AK$7:$AK$417,"MAQUINARIA")+COUNTIFS('ENCUESTA PROPIETARIOS'!$N$7:$N$417,"3",'ENCUESTA PROPIETARIOS'!$AK$7:$AK$417,"GENERAL")+COUNTIFS('ENCUESTA PROPIETARIOS'!$N$7:$N$417,"3",'ENCUESTA PROPIETARIOS'!$AK$7:$AK$417,"CARTÓN Y PAPEL")+COUNTIFS('ENCUESTA PROPIETARIOS'!$N$7:$N$417,"3",'ENCUESTA PROPIETARIOS'!$AK$7:$AK$417,"PAQUETERIA")+COUNTIFS('ENCUESTA PROPIETARIOS'!$N$7:$N$417,"3",'ENCUESTA PROPIETARIOS'!$AK$7:$AK$417,"CONTENEDORES")+COUNTIFS('ENCUESTA PROPIETARIOS'!$N$7:$N$417,"3",'ENCUESTA PROPIETARIOS'!$AK$7:$AK$417,"ELECTRODOMESTICOS")+COUNTIFS('ENCUESTA PROPIETARIOS'!$N$7:$N$417,"3",'ENCUESTA PROPIETARIOS'!$AK$7:$AK$417,"FERTILIZANTE")+COUNTIFS('ENCUESTA PROPIETARIOS'!$N$7:$N$417,"3",'ENCUESTA PROPIETARIOS'!$AK$7:$AK$417,"AGUA")+COUNTIFS('ENCUESTA PROPIETARIOS'!$N$7:$N$417,"3",'ENCUESTA PROPIETARIOS'!$AK$7:$AK$417,"GANADO EN PIE")+COUNTIFS('ENCUESTA PROPIETARIOS'!$N$7:$N$417,"4",'ENCUESTA PROPIETARIOS'!$AK$7:$AK$417,"MAQUINARIA")+COUNTIFS('ENCUESTA PROPIETARIOS'!$N$7:$N$417,"4",'ENCUESTA PROPIETARIOS'!$AK$7:$AK$417,"GENERAL")+COUNTIFS('ENCUESTA PROPIETARIOS'!$N$7:$N$417,"4",'ENCUESTA PROPIETARIOS'!$AK$7:$AK$417,"CARTÓN Y PAPEL")+COUNTIFS('ENCUESTA PROPIETARIOS'!$N$7:$N$417,"4",'ENCUESTA PROPIETARIOS'!$AK$7:$AK$417,"PAQUETERIA")+COUNTIFS('ENCUESTA PROPIETARIOS'!$N$7:$N$417,"4",'ENCUESTA PROPIETARIOS'!$AK$7:$AK$417,"CONTENEDORES")+COUNTIFS('ENCUESTA PROPIETARIOS'!$N$7:$N$417,"4",'ENCUESTA PROPIETARIOS'!$AK$7:$AK$417,"ELECTRODOMESTICOS")+COUNTIFS('ENCUESTA PROPIETARIOS'!$N$7:$N$417,"4",'ENCUESTA PROPIETARIOS'!$AK$7:$AK$417,"FERTILIZANTE")+COUNTIFS('ENCUESTA PROPIETARIOS'!$N$7:$N$417,"4",'ENCUESTA PROPIETARIOS'!$AK$7:$AK$417,"AGUA")+COUNTIFS('ENCUESTA PROPIETARIOS'!$N$7:$N$417,"4",'ENCUESTA PROPIETARIOS'!$AK$7:$AK$417,"GANADO EN PIE")+COUNTIFS('ENCUESTA PROPIETARIOS'!$N$7:$N$417,"5",'ENCUESTA PROPIETARIOS'!$AK$7:$AK$417,"MAQUINARIA")+COUNTIFS('ENCUESTA PROPIETARIOS'!$N$7:$N$417,"5",'ENCUESTA PROPIETARIOS'!$AK$7:$AK$417,"GENERAL")+COUNTIFS('ENCUESTA PROPIETARIOS'!$N$7:$N$417,"5",'ENCUESTA PROPIETARIOS'!$AK$7:$AK$417,"CARTÓN Y PAPEL")+COUNTIFS('ENCUESTA PROPIETARIOS'!$N$7:$N$417,"5",'ENCUESTA PROPIETARIOS'!$AK$7:$AK$417,"PAQUETERIA")+COUNTIFS('ENCUESTA PROPIETARIOS'!$N$7:$N$417,"5",'ENCUESTA PROPIETARIOS'!$AK$7:$AK$417,"CONTENEDORES")+COUNTIFS('ENCUESTA PROPIETARIOS'!$N$7:$N$417,"5",'ENCUESTA PROPIETARIOS'!$AK$7:$AK$417,"ELECTRODOMESTICOS")+COUNTIFS('ENCUESTA PROPIETARIOS'!$N$7:$N$417,"5",'ENCUESTA PROPIETARIOS'!$AK$7:$AK$417,"FERTILIZANTE")+COUNTIFS('ENCUESTA PROPIETARIOS'!$N$7:$N$417,"5",'ENCUESTA PROPIETARIOS'!$AK$7:$AK$417,"AGUA")+COUNTIFS('ENCUESTA PROPIETARIOS'!$N$7:$N$417,"5",'ENCUESTA PROPIETARIOS'!$AK$7:$AK$417,"GANADO EN PIE")</f>
        <v>19</v>
      </c>
      <c r="R53" s="249">
        <f>COUNTIFS('ENCUESTA PROPIETARIOS'!$N$7:$N$417,"&gt;5",'ENCUESTA PROPIETARIOS'!$AK$7:$AK$417,"MAQUINARIA")+COUNTIFS('ENCUESTA PROPIETARIOS'!$N$7:$N$417,"&gt;5",'ENCUESTA PROPIETARIOS'!$AK$7:$AK$417,"GENERAL")+COUNTIFS('ENCUESTA PROPIETARIOS'!$N$7:$N$417,"&gt;5",'ENCUESTA PROPIETARIOS'!$AK$7:$AK$417,"CARTÓN Y PAPEL")+COUNTIFS('ENCUESTA PROPIETARIOS'!$N$7:$N$417,"&gt;5",'ENCUESTA PROPIETARIOS'!$AK$7:$AK$417,"PAQUETERIA")+COUNTIFS('ENCUESTA PROPIETARIOS'!$N$7:$N$417,"&gt;5",'ENCUESTA PROPIETARIOS'!$AK$7:$AK$417,"CONTENEDORES")+COUNTIFS('ENCUESTA PROPIETARIOS'!$N$7:$N$417,"&gt;5",'ENCUESTA PROPIETARIOS'!$AK$7:$AK$417,"ELECTRODOMESTICOS")+COUNTIFS('ENCUESTA PROPIETARIOS'!$N$7:$N$417,"&gt;5",'ENCUESTA PROPIETARIOS'!$AK$7:$AK$417,"FERTILIZANTE")+COUNTIFS('ENCUESTA PROPIETARIOS'!$N$7:$N$417,"&gt;5",'ENCUESTA PROPIETARIOS'!$AK$7:$AK$417,"AGUA")+COUNTIFS('ENCUESTA PROPIETARIOS'!$N$7:$N$417,"&gt;5",'ENCUESTA PROPIETARIOS'!$AK$7:$AK$417,"GANADO EN PIE")</f>
        <v>12</v>
      </c>
      <c r="S53" s="249">
        <f t="shared" si="297"/>
        <v>95</v>
      </c>
      <c r="X53" s="19" t="s">
        <v>1007</v>
      </c>
      <c r="Y53" s="6">
        <f t="shared" si="304"/>
        <v>0.18222222222222223</v>
      </c>
      <c r="Z53" s="6">
        <f t="shared" si="314"/>
        <v>0.31615925058548011</v>
      </c>
      <c r="AB53" s="9">
        <f>COUNTIFS('DETALLES UNIDADES'!$S$8:$S$987,"D",'DETALLES UNIDADES'!$U$8:$U$987,"&lt;2.81")-AB52-AB51-AB50-AB49</f>
        <v>164</v>
      </c>
      <c r="AC53" s="249">
        <v>135</v>
      </c>
      <c r="AK53" s="11" t="s">
        <v>2539</v>
      </c>
      <c r="AL53" s="6">
        <f t="shared" si="305"/>
        <v>0.2391713747645951</v>
      </c>
      <c r="AM53" s="249">
        <f t="shared" si="306"/>
        <v>127</v>
      </c>
      <c r="BD53" s="112" t="s">
        <v>944</v>
      </c>
      <c r="BE53" s="6">
        <f t="shared" si="315"/>
        <v>7.8341013824884786E-2</v>
      </c>
      <c r="BF53" s="138">
        <f t="shared" si="316"/>
        <v>17</v>
      </c>
      <c r="CH53" s="17" t="s">
        <v>346</v>
      </c>
      <c r="CI53" s="6">
        <f t="shared" si="323"/>
        <v>0</v>
      </c>
      <c r="CJ53" s="6">
        <f t="shared" si="317"/>
        <v>0</v>
      </c>
      <c r="CK53" s="6">
        <f t="shared" si="318"/>
        <v>0</v>
      </c>
      <c r="CL53" s="6">
        <f t="shared" si="319"/>
        <v>0</v>
      </c>
      <c r="CM53" s="6">
        <f t="shared" si="320"/>
        <v>0</v>
      </c>
      <c r="CN53" s="249">
        <v>0</v>
      </c>
      <c r="CO53" s="249">
        <v>0</v>
      </c>
      <c r="CP53" s="249">
        <v>0</v>
      </c>
      <c r="CQ53" s="249">
        <v>0</v>
      </c>
      <c r="CR53" s="249">
        <f t="shared" si="324"/>
        <v>0</v>
      </c>
      <c r="DP53" s="249">
        <f>+DP52+DL52</f>
        <v>205</v>
      </c>
      <c r="DR53" s="11"/>
      <c r="DS53" s="138"/>
      <c r="DT53" s="138"/>
      <c r="DU53" s="138"/>
      <c r="DV53" s="6"/>
      <c r="DW53" s="138"/>
      <c r="ED53" s="17" t="s">
        <v>2676</v>
      </c>
      <c r="FM53" s="11" t="s">
        <v>2538</v>
      </c>
      <c r="FN53" s="6">
        <f t="shared" si="321"/>
        <v>0.12994350282485875</v>
      </c>
      <c r="FO53" s="249">
        <f t="shared" si="322"/>
        <v>69</v>
      </c>
    </row>
    <row r="54" spans="1:189" x14ac:dyDescent="0.25">
      <c r="A54" s="137" t="s">
        <v>1662</v>
      </c>
      <c r="B54" s="6">
        <f t="shared" si="299"/>
        <v>0.46347941567065071</v>
      </c>
      <c r="C54" s="6">
        <f t="shared" si="292"/>
        <v>0.19123505976095617</v>
      </c>
      <c r="D54" s="6">
        <f t="shared" si="293"/>
        <v>0.24302788844621515</v>
      </c>
      <c r="E54" s="6">
        <f t="shared" si="294"/>
        <v>0.10225763612217796</v>
      </c>
      <c r="F54" s="6">
        <f t="shared" si="295"/>
        <v>1</v>
      </c>
      <c r="G54" s="249">
        <f>SUM(G46:G53)</f>
        <v>349</v>
      </c>
      <c r="H54" s="249">
        <f>SUM(H46:H53)</f>
        <v>144</v>
      </c>
      <c r="I54" s="249">
        <f>SUM(I46:I53)</f>
        <v>183</v>
      </c>
      <c r="J54" s="249">
        <f>SUM(J46:J53)</f>
        <v>77</v>
      </c>
      <c r="K54" s="249">
        <f>SUM(K46:K53)</f>
        <v>753</v>
      </c>
      <c r="N54" s="137" t="s">
        <v>1662</v>
      </c>
      <c r="O54" s="249">
        <f>SUM(O46:O53)</f>
        <v>349</v>
      </c>
      <c r="P54" s="249">
        <f>SUM(P46:P53)</f>
        <v>144</v>
      </c>
      <c r="Q54" s="249">
        <f>SUM(Q46:Q53)</f>
        <v>183</v>
      </c>
      <c r="R54" s="249">
        <f>SUM(R46:R53)</f>
        <v>77</v>
      </c>
      <c r="S54" s="249">
        <f>SUM(S46:S53)</f>
        <v>753</v>
      </c>
      <c r="X54" s="19" t="s">
        <v>1733</v>
      </c>
      <c r="Y54" s="6">
        <f t="shared" si="304"/>
        <v>0.13666666666666666</v>
      </c>
      <c r="Z54" s="6">
        <f t="shared" si="314"/>
        <v>0.19437939110070257</v>
      </c>
      <c r="AB54" s="9">
        <f>COUNTIFS('DETALLES UNIDADES'!$S$8:$S$987,"D",'DETALLES UNIDADES'!$U$8:$U$987,"&lt;3.21")-AB53-AB52-AB51-AB50-AB49</f>
        <v>123</v>
      </c>
      <c r="AC54" s="249">
        <v>83</v>
      </c>
      <c r="AK54" s="11" t="s">
        <v>2540</v>
      </c>
      <c r="AL54" s="6">
        <f t="shared" si="305"/>
        <v>0.12994350282485875</v>
      </c>
      <c r="AM54" s="249">
        <f t="shared" si="306"/>
        <v>69</v>
      </c>
      <c r="BD54" s="112" t="s">
        <v>1714</v>
      </c>
      <c r="BE54" s="6">
        <f t="shared" si="315"/>
        <v>4.608294930875576E-3</v>
      </c>
      <c r="BF54" s="138">
        <f t="shared" si="316"/>
        <v>1</v>
      </c>
      <c r="CH54" s="17" t="s">
        <v>1662</v>
      </c>
      <c r="CI54" s="6">
        <f t="shared" si="323"/>
        <v>0.19718309859154928</v>
      </c>
      <c r="CJ54" s="6">
        <f t="shared" si="317"/>
        <v>0.28169014084507044</v>
      </c>
      <c r="CK54" s="6">
        <f t="shared" si="318"/>
        <v>0.3380281690140845</v>
      </c>
      <c r="CL54" s="6">
        <f t="shared" si="319"/>
        <v>0.18309859154929578</v>
      </c>
      <c r="CM54" s="6">
        <f t="shared" si="320"/>
        <v>1</v>
      </c>
      <c r="CN54" s="249">
        <f>SUM(CN50:CN53)</f>
        <v>14</v>
      </c>
      <c r="CO54" s="249">
        <f t="shared" ref="CO54" si="330">SUM(CO50:CO53)</f>
        <v>20</v>
      </c>
      <c r="CP54" s="249">
        <f t="shared" ref="CP54" si="331">SUM(CP50:CP53)</f>
        <v>24</v>
      </c>
      <c r="CQ54" s="249">
        <f t="shared" ref="CQ54" si="332">SUM(CQ50:CQ53)</f>
        <v>13</v>
      </c>
      <c r="CR54" s="249">
        <f t="shared" si="324"/>
        <v>71</v>
      </c>
      <c r="EE54" s="249" t="s">
        <v>348</v>
      </c>
      <c r="EF54" s="249" t="s">
        <v>351</v>
      </c>
      <c r="EG54" s="249" t="s">
        <v>359</v>
      </c>
      <c r="EH54" s="249" t="s">
        <v>337</v>
      </c>
      <c r="EJ54" s="249" t="s">
        <v>348</v>
      </c>
      <c r="EK54" s="249" t="s">
        <v>351</v>
      </c>
      <c r="EL54" s="249" t="s">
        <v>359</v>
      </c>
      <c r="EM54" s="249" t="s">
        <v>337</v>
      </c>
      <c r="EV54" s="112" t="s">
        <v>2696</v>
      </c>
      <c r="FM54" s="11" t="s">
        <v>2539</v>
      </c>
      <c r="FN54" s="6">
        <f t="shared" si="321"/>
        <v>0.2391713747645951</v>
      </c>
      <c r="FO54" s="249">
        <f t="shared" si="322"/>
        <v>127</v>
      </c>
    </row>
    <row r="55" spans="1:189" x14ac:dyDescent="0.25">
      <c r="A55" s="11"/>
      <c r="C55" s="249"/>
      <c r="D55" s="249"/>
      <c r="E55" s="249"/>
      <c r="F55" s="249"/>
      <c r="G55" s="249"/>
      <c r="H55" s="249"/>
      <c r="I55" s="249"/>
      <c r="J55" s="249"/>
      <c r="K55" s="249"/>
      <c r="N55" s="249"/>
      <c r="X55" s="19" t="s">
        <v>1734</v>
      </c>
      <c r="Y55" s="6">
        <f t="shared" si="304"/>
        <v>0.11</v>
      </c>
      <c r="Z55" s="6">
        <f t="shared" si="314"/>
        <v>0.12177985948477751</v>
      </c>
      <c r="AB55" s="9">
        <f>COUNTIFS('DETALLES UNIDADES'!$S$8:$S$987,"D",'DETALLES UNIDADES'!$U$8:$U$987,"&lt;4.01")-AB54-AB53-AB52-AB51-AB50-AB49</f>
        <v>99</v>
      </c>
      <c r="AC55" s="249">
        <v>52</v>
      </c>
      <c r="AK55" s="11" t="s">
        <v>715</v>
      </c>
      <c r="AL55" s="6">
        <f t="shared" si="305"/>
        <v>1</v>
      </c>
      <c r="AM55" s="249">
        <f t="shared" si="306"/>
        <v>531</v>
      </c>
      <c r="BD55" s="112" t="s">
        <v>1715</v>
      </c>
      <c r="BE55" s="6">
        <f t="shared" si="315"/>
        <v>1.3824884792626729E-2</v>
      </c>
      <c r="BF55" s="138">
        <f t="shared" si="316"/>
        <v>3</v>
      </c>
      <c r="CM55" s="249">
        <f>SUM(CM50:CM53)</f>
        <v>1</v>
      </c>
      <c r="CR55" s="249">
        <f>SUM(CR50:CR53)</f>
        <v>71</v>
      </c>
      <c r="DF55" s="17" t="s">
        <v>2627</v>
      </c>
      <c r="ED55" s="11" t="s">
        <v>2658</v>
      </c>
      <c r="EE55" s="6">
        <f>+EJ55/EJ$62</f>
        <v>0.21904761904761905</v>
      </c>
      <c r="EF55" s="6">
        <f t="shared" ref="EF55:EF62" si="333">+EK55/EK$62</f>
        <v>0.12244897959183673</v>
      </c>
      <c r="EG55" s="6">
        <f t="shared" ref="EG55:EG62" si="334">+EL55/EL$62</f>
        <v>0.16279069767441862</v>
      </c>
      <c r="EH55" s="6">
        <f t="shared" ref="EH55:EH62" si="335">+EM55/EM$62</f>
        <v>6.2146892655367235E-2</v>
      </c>
      <c r="EI55" s="6">
        <f t="shared" ref="EI55:EI62" si="336">+EN55/EN$62</f>
        <v>0.11224489795918367</v>
      </c>
      <c r="EJ55" s="249">
        <f>COUNTIFS('DETALLES UNIDADES'!$C$8:$C$987,"C2",'DETALLES UNIDADES'!$AN$8:$AN$987,"&lt;10000")</f>
        <v>46</v>
      </c>
      <c r="EK55" s="249">
        <f>COUNTIFS('DETALLES UNIDADES'!$C$8:$C$987,"C3",'DETALLES UNIDADES'!$AN$8:$AN$987,"&lt;10000")</f>
        <v>24</v>
      </c>
      <c r="EL55" s="249">
        <f>COUNTIFS('DETALLES UNIDADES'!$C$8:$C$987,"T2",'DETALLES UNIDADES'!$AN$8:$AN$987,"&lt;10000")</f>
        <v>7</v>
      </c>
      <c r="EM55" s="249">
        <f>COUNTIFS('DETALLES UNIDADES'!$C$8:$C$987,"T3",'DETALLES UNIDADES'!$AN$8:$AN$987,"&lt;10000")</f>
        <v>33</v>
      </c>
      <c r="EN55" s="249">
        <f t="shared" ref="EN55:EN61" si="337">SUM(EJ55:EM55)</f>
        <v>110</v>
      </c>
      <c r="EW55" s="11" t="s">
        <v>2534</v>
      </c>
      <c r="EX55" s="11" t="s">
        <v>2535</v>
      </c>
      <c r="EY55" s="11" t="s">
        <v>2536</v>
      </c>
      <c r="EZ55" s="11" t="s">
        <v>2537</v>
      </c>
      <c r="FA55" s="11" t="s">
        <v>2538</v>
      </c>
      <c r="FB55" s="11" t="s">
        <v>2539</v>
      </c>
      <c r="FC55" s="11" t="s">
        <v>2540</v>
      </c>
      <c r="FD55" s="11" t="s">
        <v>2534</v>
      </c>
      <c r="FE55" s="11" t="s">
        <v>2535</v>
      </c>
      <c r="FF55" s="11" t="s">
        <v>2536</v>
      </c>
      <c r="FG55" s="11" t="s">
        <v>2537</v>
      </c>
      <c r="FH55" s="11" t="s">
        <v>2538</v>
      </c>
      <c r="FI55" s="11" t="s">
        <v>2539</v>
      </c>
      <c r="FJ55" s="11" t="s">
        <v>2540</v>
      </c>
      <c r="FM55" s="11" t="s">
        <v>2540</v>
      </c>
      <c r="FN55" s="6">
        <f t="shared" si="321"/>
        <v>0.12994350282485875</v>
      </c>
      <c r="FO55" s="249">
        <f t="shared" si="322"/>
        <v>69</v>
      </c>
    </row>
    <row r="56" spans="1:189" x14ac:dyDescent="0.25">
      <c r="A56" s="17" t="s">
        <v>2501</v>
      </c>
      <c r="B56" s="17"/>
      <c r="E56" s="112" t="s">
        <v>2726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X56" s="19" t="s">
        <v>2510</v>
      </c>
      <c r="Y56" s="6">
        <f t="shared" si="304"/>
        <v>7.5555555555555556E-2</v>
      </c>
      <c r="Z56" s="6">
        <f t="shared" si="314"/>
        <v>2.576112412177986E-2</v>
      </c>
      <c r="AB56" s="9">
        <f>COUNTIFS('DETALLES UNIDADES'!$S$8:$S$987,"D",'DETALLES UNIDADES'!$U$8:$U$987,"&gt;4.0")</f>
        <v>68</v>
      </c>
      <c r="AC56" s="249">
        <v>11</v>
      </c>
      <c r="BD56" s="11" t="s">
        <v>715</v>
      </c>
      <c r="BE56" s="6">
        <f t="shared" si="315"/>
        <v>1</v>
      </c>
      <c r="BF56" s="138">
        <f t="shared" si="316"/>
        <v>217</v>
      </c>
      <c r="DG56" s="11" t="s">
        <v>814</v>
      </c>
      <c r="DH56" s="11" t="s">
        <v>815</v>
      </c>
      <c r="DI56" s="11" t="s">
        <v>1780</v>
      </c>
      <c r="DJ56" s="11" t="s">
        <v>1781</v>
      </c>
      <c r="DK56" s="11"/>
      <c r="DL56" s="11" t="s">
        <v>814</v>
      </c>
      <c r="DM56" s="11" t="s">
        <v>815</v>
      </c>
      <c r="DN56" s="11" t="s">
        <v>1780</v>
      </c>
      <c r="DO56" s="11" t="s">
        <v>1781</v>
      </c>
      <c r="DP56" s="11"/>
      <c r="ED56" s="17" t="s">
        <v>2659</v>
      </c>
      <c r="EE56" s="6">
        <f t="shared" ref="EE56:EE62" si="338">+EJ56/EJ$62</f>
        <v>0.31904761904761902</v>
      </c>
      <c r="EF56" s="6">
        <f t="shared" si="333"/>
        <v>0.26020408163265307</v>
      </c>
      <c r="EG56" s="6">
        <f t="shared" si="334"/>
        <v>0.48837209302325579</v>
      </c>
      <c r="EH56" s="6">
        <f t="shared" si="335"/>
        <v>0.26177024482109229</v>
      </c>
      <c r="EI56" s="6">
        <f t="shared" si="336"/>
        <v>0.28367346938775512</v>
      </c>
      <c r="EJ56" s="249">
        <f>COUNTIFS('DETALLES UNIDADES'!$C$8:$C$987,"C2",'DETALLES UNIDADES'!$AN$8:$AN$987,"&lt;15001")-EJ55</f>
        <v>67</v>
      </c>
      <c r="EK56" s="249">
        <f>COUNTIFS('DETALLES UNIDADES'!$C$8:$C$987,"C3",'DETALLES UNIDADES'!$AN$8:$AN$987,"&lt;15001")-EK55</f>
        <v>51</v>
      </c>
      <c r="EL56" s="249">
        <f>COUNTIFS('DETALLES UNIDADES'!$C$8:$C$987,"T2",'DETALLES UNIDADES'!$AN$8:$AN$987,"&lt;15001")-EL55</f>
        <v>21</v>
      </c>
      <c r="EM56" s="249">
        <f>COUNTIFS('DETALLES UNIDADES'!$C$8:$C$987,"T3",'DETALLES UNIDADES'!$AN$8:$AN$987,"&lt;15001")-EM55</f>
        <v>139</v>
      </c>
      <c r="EN56" s="249">
        <f t="shared" si="337"/>
        <v>278</v>
      </c>
      <c r="EV56" s="17" t="s">
        <v>2697</v>
      </c>
      <c r="EW56" s="6">
        <f>+FD56/FD$62</f>
        <v>0.13636363636363635</v>
      </c>
      <c r="EX56" s="6">
        <f t="shared" ref="EX56:EX62" si="339">+FE56/FE$62</f>
        <v>3.8461538461538464E-2</v>
      </c>
      <c r="EY56" s="6">
        <f t="shared" ref="EY56:EY62" si="340">+FF56/FF$62</f>
        <v>0.16831683168316833</v>
      </c>
      <c r="EZ56" s="6">
        <f t="shared" ref="EZ56:EZ62" si="341">+FG56/FG$62</f>
        <v>2.3041474654377881E-2</v>
      </c>
      <c r="FA56" s="6">
        <f t="shared" ref="FA56:FA62" si="342">+FH56/FH$62</f>
        <v>0.13178294573643412</v>
      </c>
      <c r="FB56" s="6">
        <f t="shared" ref="FB56:FB62" si="343">+FI56/FI$62</f>
        <v>9.2233009708737865E-2</v>
      </c>
      <c r="FC56" s="6">
        <f t="shared" ref="FC56:FC62" si="344">+FJ56/FJ$62</f>
        <v>7.0707070707070704E-2</v>
      </c>
      <c r="FD56" s="249">
        <f>COUNTIFS('DETALLES UNIDADES'!$D$8:$D$987,"&lt;1991",'DETALLES UNIDADES'!$X$8:$X$987,"X")</f>
        <v>24</v>
      </c>
      <c r="FE56" s="249">
        <f>COUNTIFS('DETALLES UNIDADES'!$D$8:$D$987,"&lt;1994",'DETALLES UNIDADES'!$X$8:$X$987,"X")-FD56</f>
        <v>2</v>
      </c>
      <c r="FF56" s="249">
        <f>COUNTIFS('DETALLES UNIDADES'!$D$8:$D$987,"&lt;1998",'DETALLES UNIDADES'!$X$8:$X$987,"X")-FE56-FD56</f>
        <v>17</v>
      </c>
      <c r="FG56" s="249">
        <f>COUNTIFS('DETALLES UNIDADES'!$D$8:$D$987,"&lt;2004",'DETALLES UNIDADES'!$X$8:$X$987,"X")-FF56-FE56-FD56</f>
        <v>5</v>
      </c>
      <c r="FH56" s="249">
        <f>COUNTIFS('DETALLES UNIDADES'!$D$8:$D$987,"&lt;2007",'DETALLES UNIDADES'!$X$8:$X$987,"X")-FG56-FF56-FE56-FD56</f>
        <v>17</v>
      </c>
      <c r="FI56" s="249">
        <f>COUNTIFS('DETALLES UNIDADES'!$D$8:$D$987,"&lt;2011",'DETALLES UNIDADES'!$X$8:$X$987,"X")-FH56-FG56-FF56-FE56-FD56</f>
        <v>19</v>
      </c>
      <c r="FJ56" s="249">
        <f>COUNTIFS('DETALLES UNIDADES'!$D$8:$D$987,"&gt;2010",'DETALLES UNIDADES'!$X$8:$X$987,"X")</f>
        <v>7</v>
      </c>
      <c r="FK56" s="249">
        <f t="shared" ref="FK56:FK61" si="345">SUM(FD56:FJ56)</f>
        <v>91</v>
      </c>
      <c r="FM56" s="11" t="s">
        <v>1662</v>
      </c>
      <c r="FN56" s="6">
        <f t="shared" si="321"/>
        <v>1</v>
      </c>
      <c r="FO56" s="249">
        <f t="shared" si="322"/>
        <v>531</v>
      </c>
    </row>
    <row r="57" spans="1:189" x14ac:dyDescent="0.25">
      <c r="B57" s="17" t="s">
        <v>814</v>
      </c>
      <c r="C57" s="17" t="s">
        <v>814</v>
      </c>
      <c r="E57" s="11"/>
      <c r="F57" s="11" t="s">
        <v>814</v>
      </c>
      <c r="G57" s="11" t="s">
        <v>815</v>
      </c>
      <c r="H57" s="11" t="s">
        <v>1780</v>
      </c>
      <c r="I57" s="11" t="s">
        <v>1781</v>
      </c>
      <c r="J57" s="11" t="s">
        <v>715</v>
      </c>
      <c r="K57" s="11" t="s">
        <v>814</v>
      </c>
      <c r="L57" s="11" t="s">
        <v>815</v>
      </c>
      <c r="M57" s="11" t="s">
        <v>1780</v>
      </c>
      <c r="N57" s="11" t="s">
        <v>1781</v>
      </c>
      <c r="O57" s="11" t="s">
        <v>715</v>
      </c>
      <c r="X57" s="19" t="s">
        <v>715</v>
      </c>
      <c r="Y57" s="6">
        <f t="shared" si="304"/>
        <v>1</v>
      </c>
      <c r="Z57" s="6">
        <f t="shared" si="314"/>
        <v>1</v>
      </c>
      <c r="AB57" s="9">
        <f>SUM(AB49:AB56)</f>
        <v>900</v>
      </c>
      <c r="AC57" s="249">
        <v>427</v>
      </c>
      <c r="AK57" s="17" t="s">
        <v>2545</v>
      </c>
      <c r="DF57" s="17" t="s">
        <v>2616</v>
      </c>
      <c r="DG57" s="6">
        <f>+DL57/DL$64</f>
        <v>0.65853658536585369</v>
      </c>
      <c r="DH57" s="6">
        <f t="shared" ref="DH57:DH64" si="346">+DM57/DM$64</f>
        <v>0.61111111111111116</v>
      </c>
      <c r="DI57" s="6">
        <f t="shared" ref="DI57:DI64" si="347">+DN57/DN$64</f>
        <v>0.53448275862068961</v>
      </c>
      <c r="DJ57" s="6">
        <f t="shared" ref="DJ57:DJ64" si="348">+DO57/DO$64</f>
        <v>0.65</v>
      </c>
      <c r="DK57" s="6">
        <f t="shared" ref="DK57:DK64" si="349">+DP57/DP$64</f>
        <v>0.61224489795918369</v>
      </c>
      <c r="DL57" s="249">
        <f>COUNTIFS('DETALLES UNIDADES'!$BA$8:$BA$987,"1",'DETALLES UNIDADES'!$AU$8:$AU$987,"&lt;50000",'DETALLES UNIDADES'!$C$8:$C$987,"C3")</f>
        <v>54</v>
      </c>
      <c r="DM57" s="249">
        <f>COUNTIFS('DETALLES UNIDADES'!$BA$8:$BA$987,"2",'DETALLES UNIDADES'!$AU$8:$AU$987,"&lt;50000",'DETALLES UNIDADES'!$C$8:$C$987,"C3")</f>
        <v>22</v>
      </c>
      <c r="DN57" s="249">
        <f>COUNTIFS('DETALLES UNIDADES'!$BA$8:$BA$987,"3",'DETALLES UNIDADES'!$AU$8:$AU$987,"&lt;50000",'DETALLES UNIDADES'!$C$8:$C$987,"C3")+COUNTIFS('DETALLES UNIDADES'!$BA$8:$BA$987,"4",'DETALLES UNIDADES'!$AU$8:$AU$987,"&lt;50000",'DETALLES UNIDADES'!$C$8:$C$987,"C3")+COUNTIFS('DETALLES UNIDADES'!$BA$8:$BA$987,"5",'DETALLES UNIDADES'!$AU$8:$AU$987,"&lt;50000",'DETALLES UNIDADES'!$C$8:$C$987,"C3")</f>
        <v>31</v>
      </c>
      <c r="DO57" s="249">
        <f>COUNTIFS('DETALLES UNIDADES'!$BA$8:$BA$987,"&gt;5",'DETALLES UNIDADES'!$AU$8:$AU$987,"&lt;50000",'DETALLES UNIDADES'!$C$8:$C$987,"C3")</f>
        <v>13</v>
      </c>
      <c r="DP57" s="249">
        <f t="shared" ref="DP57:DP63" si="350">SUM(DL57:DO57)</f>
        <v>120</v>
      </c>
      <c r="ED57" s="17" t="s">
        <v>2660</v>
      </c>
      <c r="EE57" s="6">
        <f t="shared" si="338"/>
        <v>0.22857142857142856</v>
      </c>
      <c r="EF57" s="6">
        <f t="shared" si="333"/>
        <v>0.23469387755102042</v>
      </c>
      <c r="EG57" s="6">
        <f t="shared" si="334"/>
        <v>0.23255813953488372</v>
      </c>
      <c r="EH57" s="6">
        <f t="shared" si="335"/>
        <v>0.31073446327683618</v>
      </c>
      <c r="EI57" s="6">
        <f t="shared" si="336"/>
        <v>0.27448979591836736</v>
      </c>
      <c r="EJ57" s="249">
        <f>COUNTIFS('DETALLES UNIDADES'!$C$8:$C$987,"C2",'DETALLES UNIDADES'!$AN$8:$AN$987,"&lt;20001")-EJ56-EJ55</f>
        <v>48</v>
      </c>
      <c r="EK57" s="249">
        <f>COUNTIFS('DETALLES UNIDADES'!$C$8:$C$987,"C3",'DETALLES UNIDADES'!$AN$8:$AN$987,"&lt;20001")-EK56-EK55</f>
        <v>46</v>
      </c>
      <c r="EL57" s="249">
        <f>COUNTIFS('DETALLES UNIDADES'!$C$8:$C$987,"T2",'DETALLES UNIDADES'!$AN$8:$AN$987,"&lt;20001")-EL56-EL55</f>
        <v>10</v>
      </c>
      <c r="EM57" s="249">
        <f>COUNTIFS('DETALLES UNIDADES'!$C$8:$C$987,"T3",'DETALLES UNIDADES'!$AN$8:$AN$987,"&lt;20001")-EM56-EM55</f>
        <v>165</v>
      </c>
      <c r="EN57" s="249">
        <f t="shared" si="337"/>
        <v>269</v>
      </c>
      <c r="EV57" s="17" t="s">
        <v>2698</v>
      </c>
      <c r="EW57" s="6">
        <f t="shared" ref="EW57:EW62" si="351">+FD57/FD$62</f>
        <v>0.47727272727272729</v>
      </c>
      <c r="EX57" s="6">
        <f t="shared" si="339"/>
        <v>0.30769230769230771</v>
      </c>
      <c r="EY57" s="6">
        <f t="shared" si="340"/>
        <v>0.30693069306930693</v>
      </c>
      <c r="EZ57" s="6">
        <f t="shared" si="341"/>
        <v>0.24884792626728111</v>
      </c>
      <c r="FA57" s="6">
        <f t="shared" si="342"/>
        <v>0.24806201550387597</v>
      </c>
      <c r="FB57" s="6">
        <f t="shared" si="343"/>
        <v>0.3155339805825243</v>
      </c>
      <c r="FC57" s="6">
        <f t="shared" si="344"/>
        <v>0.45454545454545453</v>
      </c>
      <c r="FD57" s="249">
        <f>COUNTIFS('DETALLES UNIDADES'!$D$8:$D$987,"&lt;1991",'DETALLES UNIDADES'!$Y$8:$Y$987,"X")</f>
        <v>84</v>
      </c>
      <c r="FE57" s="249">
        <f>COUNTIFS('DETALLES UNIDADES'!$D$8:$D$987,"&lt;1994",'DETALLES UNIDADES'!$Y$8:$Y$987,"X")-FD57</f>
        <v>16</v>
      </c>
      <c r="FF57" s="249">
        <f>COUNTIFS('DETALLES UNIDADES'!$D$8:$D$987,"&lt;1998",'DETALLES UNIDADES'!$Y$8:$Y$987,"X")-FE57-FD57</f>
        <v>31</v>
      </c>
      <c r="FG57" s="249">
        <f>COUNTIFS('DETALLES UNIDADES'!$D$8:$D$987,"&lt;2004",'DETALLES UNIDADES'!$Y$8:$Y$987,"X")-FF57-FE57-FD57</f>
        <v>54</v>
      </c>
      <c r="FH57" s="249">
        <f>COUNTIFS('DETALLES UNIDADES'!$D$8:$D$987,"&lt;2007",'DETALLES UNIDADES'!$Y$8:$Y$987,"X")-FG57-FF57-FE57-FD57</f>
        <v>32</v>
      </c>
      <c r="FI57" s="249">
        <f>COUNTIFS('DETALLES UNIDADES'!$D$8:$D$987,"&lt;2011",'DETALLES UNIDADES'!$Y$8:$Y$987,"X")-FH57-FG57-FF57-FE57-FD57</f>
        <v>65</v>
      </c>
      <c r="FJ57" s="249">
        <f>COUNTIFS('DETALLES UNIDADES'!$D$8:$D$987,"&gt;2010",'DETALLES UNIDADES'!$Y$8:$Y$987,"X")</f>
        <v>45</v>
      </c>
      <c r="FK57" s="249">
        <f t="shared" si="345"/>
        <v>327</v>
      </c>
    </row>
    <row r="58" spans="1:189" ht="25.5" x14ac:dyDescent="0.25">
      <c r="A58" s="137" t="s">
        <v>19</v>
      </c>
      <c r="B58" s="6">
        <f>+C58/$C$66</f>
        <v>0.22349570200573066</v>
      </c>
      <c r="C58" s="249">
        <f>COUNTIFS('ENCUESTA PROPIETARIOS'!$N$7:$N$417,"1",'ENCUESTA PROPIETARIOS'!$AB$7:$AB$417,"X")</f>
        <v>78</v>
      </c>
      <c r="D58" s="6"/>
      <c r="E58" s="137" t="s">
        <v>19</v>
      </c>
      <c r="F58" s="6">
        <f>+K58/$O$58</f>
        <v>0.55714285714285716</v>
      </c>
      <c r="G58" s="6">
        <f t="shared" ref="G58:J58" si="352">+L58/$O$58</f>
        <v>0.17142857142857143</v>
      </c>
      <c r="H58" s="6">
        <f t="shared" si="352"/>
        <v>0.21428571428571427</v>
      </c>
      <c r="I58" s="6">
        <f t="shared" si="352"/>
        <v>5.7142857142857141E-2</v>
      </c>
      <c r="J58" s="6">
        <f t="shared" si="352"/>
        <v>1</v>
      </c>
      <c r="K58" s="249">
        <f>COUNTIFS('ENCUESTA PROPIETARIOS'!$N$7:$N$417,"1",'ENCUESTA PROPIETARIOS'!$AB$7:$AB$417,"X")</f>
        <v>78</v>
      </c>
      <c r="L58" s="249">
        <f>COUNTIFS('ENCUESTA PROPIETARIOS'!$N$7:$N$417,"2",'ENCUESTA PROPIETARIOS'!$AB$7:$AB$417,"X")</f>
        <v>24</v>
      </c>
      <c r="M58" s="249">
        <f>COUNTIFS('ENCUESTA PROPIETARIOS'!$N$7:$N$417,"3",'ENCUESTA PROPIETARIOS'!$AB$7:$AB$417,"X")+COUNTIFS('ENCUESTA PROPIETARIOS'!$N$7:$N$417,"4",'ENCUESTA PROPIETARIOS'!$AB$7:$AB$417,"X")+COUNTIFS('ENCUESTA PROPIETARIOS'!$N$7:$N$417,"5",'ENCUESTA PROPIETARIOS'!$AB$7:$AB$417,"X")</f>
        <v>30</v>
      </c>
      <c r="N58" s="249">
        <f>COUNTIFS('ENCUESTA PROPIETARIOS'!$N$7:$N$417,"&gt;5",'ENCUESTA PROPIETARIOS'!$AB$7:$AB$417,"X")</f>
        <v>8</v>
      </c>
      <c r="O58" s="249">
        <f t="shared" ref="O58" si="353">SUM(K58:N58)</f>
        <v>140</v>
      </c>
      <c r="AC58" s="249">
        <v>1</v>
      </c>
      <c r="AK58" s="11"/>
      <c r="AL58" s="249" t="s">
        <v>814</v>
      </c>
      <c r="AM58" s="249" t="s">
        <v>815</v>
      </c>
      <c r="AN58" s="249" t="s">
        <v>1780</v>
      </c>
      <c r="AO58" s="249" t="s">
        <v>1781</v>
      </c>
      <c r="AQ58" s="249" t="s">
        <v>814</v>
      </c>
      <c r="AR58" s="249" t="s">
        <v>815</v>
      </c>
      <c r="AS58" s="249" t="s">
        <v>1780</v>
      </c>
      <c r="AT58" s="249" t="s">
        <v>1781</v>
      </c>
      <c r="BD58" s="11" t="s">
        <v>2575</v>
      </c>
      <c r="DF58" s="17" t="s">
        <v>2618</v>
      </c>
      <c r="DG58" s="6">
        <f t="shared" ref="DG58:DG64" si="354">+DL58/DL$64</f>
        <v>0.26829268292682928</v>
      </c>
      <c r="DH58" s="6">
        <f t="shared" si="346"/>
        <v>0.30555555555555558</v>
      </c>
      <c r="DI58" s="6">
        <f t="shared" si="347"/>
        <v>0.15517241379310345</v>
      </c>
      <c r="DJ58" s="6">
        <f t="shared" si="348"/>
        <v>0.1</v>
      </c>
      <c r="DK58" s="6">
        <f t="shared" si="349"/>
        <v>0.22448979591836735</v>
      </c>
      <c r="DL58" s="249">
        <f>COUNTIFS('DETALLES UNIDADES'!$BA$8:$BA$987,"1",'DETALLES UNIDADES'!$AU$8:$AU$987,"&lt;75001",'DETALLES UNIDADES'!$C$8:$C$987,"C3")-DL57</f>
        <v>22</v>
      </c>
      <c r="DM58" s="249">
        <f>COUNTIFS('DETALLES UNIDADES'!$BA$8:$BA$987,"2",'DETALLES UNIDADES'!$AU$8:$AU$987,"&lt;75001",'DETALLES UNIDADES'!$C$8:$C$987,"C3")-DM57</f>
        <v>11</v>
      </c>
      <c r="DN58" s="249">
        <f>COUNTIFS('DETALLES UNIDADES'!$BA$8:$BA$987,"3",'DETALLES UNIDADES'!$AU$8:$AU$987,"&lt;75001",'DETALLES UNIDADES'!$C$8:$C$987,"C3")+COUNTIFS('DETALLES UNIDADES'!$BA$8:$BA$987,"4",'DETALLES UNIDADES'!$AU$8:$AU$987,"&lt;75001",'DETALLES UNIDADES'!$C$8:$C$987,"C3")+COUNTIFS('DETALLES UNIDADES'!$BA$8:$BA$987,"5",'DETALLES UNIDADES'!$AU$8:$AU$987,"&lt;75001",'DETALLES UNIDADES'!$C$8:$C$987,"C3")-DN57</f>
        <v>9</v>
      </c>
      <c r="DO58" s="249">
        <f>COUNTIFS('DETALLES UNIDADES'!$BA$8:$BA$987,"&gt;5",'DETALLES UNIDADES'!$AU$8:$AU$987,"&lt;75001",'DETALLES UNIDADES'!$C$8:$C$987,"C3")-DO57</f>
        <v>2</v>
      </c>
      <c r="DP58" s="249">
        <f t="shared" si="350"/>
        <v>44</v>
      </c>
      <c r="ED58" s="17" t="s">
        <v>2661</v>
      </c>
      <c r="EE58" s="6">
        <f t="shared" si="338"/>
        <v>0.12380952380952381</v>
      </c>
      <c r="EF58" s="6">
        <f t="shared" si="333"/>
        <v>0.19897959183673469</v>
      </c>
      <c r="EG58" s="6">
        <f t="shared" si="334"/>
        <v>0</v>
      </c>
      <c r="EH58" s="6">
        <f t="shared" si="335"/>
        <v>0.19397363465160075</v>
      </c>
      <c r="EI58" s="6">
        <f t="shared" si="336"/>
        <v>0.17142857142857143</v>
      </c>
      <c r="EJ58" s="249">
        <f>COUNTIFS('DETALLES UNIDADES'!$C$8:$C$987,"C2",'DETALLES UNIDADES'!$AN$8:$AN$987,"&lt;25001")-EJ57-EJ56-EJ55</f>
        <v>26</v>
      </c>
      <c r="EK58" s="249">
        <f>COUNTIFS('DETALLES UNIDADES'!$C$8:$C$987,"C3",'DETALLES UNIDADES'!$AN$8:$AN$987,"&lt;25001")-EK57-EK56-EK55</f>
        <v>39</v>
      </c>
      <c r="EL58" s="249">
        <f>COUNTIFS('DETALLES UNIDADES'!$C$8:$C$987,"T2",'DETALLES UNIDADES'!$AN$8:$AN$987,"&lt;25001")-EL57-EL56-EL55</f>
        <v>0</v>
      </c>
      <c r="EM58" s="249">
        <f>COUNTIFS('DETALLES UNIDADES'!$C$8:$C$987,"T3",'DETALLES UNIDADES'!$AN$8:$AN$987,"&lt;25001")-EM57-EM56-EM55</f>
        <v>103</v>
      </c>
      <c r="EN58" s="249">
        <f t="shared" si="337"/>
        <v>168</v>
      </c>
      <c r="EV58" s="17" t="s">
        <v>2699</v>
      </c>
      <c r="EW58" s="6">
        <f t="shared" si="351"/>
        <v>5.681818181818182E-3</v>
      </c>
      <c r="EX58" s="6">
        <f t="shared" si="339"/>
        <v>0</v>
      </c>
      <c r="EY58" s="6">
        <f t="shared" si="340"/>
        <v>9.9009900990099011E-3</v>
      </c>
      <c r="EZ58" s="6">
        <f t="shared" si="341"/>
        <v>4.608294930875576E-3</v>
      </c>
      <c r="FA58" s="6">
        <f t="shared" si="342"/>
        <v>7.7519379844961239E-3</v>
      </c>
      <c r="FB58" s="6">
        <f t="shared" si="343"/>
        <v>4.8543689320388345E-3</v>
      </c>
      <c r="FC58" s="6">
        <f t="shared" si="344"/>
        <v>0.16161616161616163</v>
      </c>
      <c r="FD58" s="249">
        <f>COUNTIFS('DETALLES UNIDADES'!$D$8:$D$987,"&lt;1991",'DETALLES UNIDADES'!$Z$8:$Z$987,"X")</f>
        <v>1</v>
      </c>
      <c r="FE58" s="249">
        <f>COUNTIFS('DETALLES UNIDADES'!$D$8:$D$987,"&lt;1994",'DETALLES UNIDADES'!$Z$8:$Z$987,"X")-FD58</f>
        <v>0</v>
      </c>
      <c r="FF58" s="249">
        <f>COUNTIFS('DETALLES UNIDADES'!$D$8:$D$987,"&lt;1998",'DETALLES UNIDADES'!$Z$8:$Z$987,"X")-FE58-FD58</f>
        <v>1</v>
      </c>
      <c r="FG58" s="249">
        <f>COUNTIFS('DETALLES UNIDADES'!$D$8:$D$987,"&lt;2004",'DETALLES UNIDADES'!$Z$8:$Z$987,"X")-FF58-FE58-FD58</f>
        <v>1</v>
      </c>
      <c r="FH58" s="249">
        <f>COUNTIFS('DETALLES UNIDADES'!$D$8:$D$987,"&lt;2007",'DETALLES UNIDADES'!$Z$8:$Z$987,"X")-FG58-FF58-FE58-FD58</f>
        <v>1</v>
      </c>
      <c r="FI58" s="249">
        <f>COUNTIFS('DETALLES UNIDADES'!$D$8:$D$987,"&lt;2011",'DETALLES UNIDADES'!$Z$8:$Z$987,"X")-FH58-FG58-FF58-FE58-FD58</f>
        <v>1</v>
      </c>
      <c r="FJ58" s="249">
        <f>COUNTIFS('DETALLES UNIDADES'!$D$8:$D$987,"&gt;2010",'DETALLES UNIDADES'!$Z$8:$Z$987,"X")</f>
        <v>16</v>
      </c>
      <c r="FK58" s="249">
        <f t="shared" si="345"/>
        <v>21</v>
      </c>
    </row>
    <row r="59" spans="1:189" x14ac:dyDescent="0.25">
      <c r="A59" s="137" t="s">
        <v>20</v>
      </c>
      <c r="B59" s="6">
        <f t="shared" ref="B59:B66" si="355">+C59/$C$66</f>
        <v>0.14040114613180515</v>
      </c>
      <c r="C59" s="249">
        <f>COUNTIFS('ENCUESTA PROPIETARIOS'!$N$7:$N$417,"1",'ENCUESTA PROPIETARIOS'!$AC$7:$AC$417,"X")</f>
        <v>49</v>
      </c>
      <c r="D59" s="6"/>
      <c r="E59" s="6"/>
      <c r="F59" s="6"/>
      <c r="H59" s="249"/>
      <c r="I59" s="249"/>
      <c r="J59" s="249"/>
      <c r="K59" s="249"/>
      <c r="N59" s="249"/>
      <c r="AC59" s="249">
        <v>428</v>
      </c>
      <c r="AK59" s="11" t="s">
        <v>2534</v>
      </c>
      <c r="AL59" s="6">
        <f>+AQ59/$AU$10</f>
        <v>3.0612244897959183E-2</v>
      </c>
      <c r="AM59" s="6">
        <f t="shared" ref="AM59:AM66" si="356">+AR59/$AU$10</f>
        <v>1.8367346938775512E-2</v>
      </c>
      <c r="AN59" s="6">
        <f t="shared" ref="AN59:AN66" si="357">+AS59/$AU$10</f>
        <v>3.8775510204081633E-2</v>
      </c>
      <c r="AO59" s="6">
        <f t="shared" ref="AO59:AO66" si="358">+AT59/$AU$10</f>
        <v>1.8367346938775512E-2</v>
      </c>
      <c r="AP59" s="6">
        <f t="shared" ref="AP59:AP66" si="359">+AU59/$AU$10</f>
        <v>0.10612244897959183</v>
      </c>
      <c r="AQ59" s="249">
        <f>COUNTIFS('DETALLES UNIDADES'!$BC$8:$BC$987,"&lt;1991",'DETALLES UNIDADES'!$BA$8:$BA$987,"1")</f>
        <v>30</v>
      </c>
      <c r="AR59" s="249">
        <f>COUNTIFS('DETALLES UNIDADES'!$BC$8:$BC$987,"&lt;1991",'DETALLES UNIDADES'!$BA$8:$BA$987,"2")</f>
        <v>18</v>
      </c>
      <c r="AS59" s="249">
        <f>COUNTIFS('DETALLES UNIDADES'!$BC$8:$BC$987,"&lt;1991",'DETALLES UNIDADES'!$BA$8:$BA$987,"&lt;6")-AR59-AQ59</f>
        <v>38</v>
      </c>
      <c r="AT59" s="249">
        <f>COUNTIFS('DETALLES UNIDADES'!$BC$8:$BC$987,"&lt;1991",'DETALLES UNIDADES'!$BA$8:$BA$987,"&gt;5")</f>
        <v>18</v>
      </c>
      <c r="AU59" s="249">
        <f>SUM(AQ59:AT59)</f>
        <v>104</v>
      </c>
      <c r="AV59" s="249">
        <v>104</v>
      </c>
      <c r="BD59" s="11"/>
      <c r="BE59" s="11" t="s">
        <v>2576</v>
      </c>
      <c r="DF59" s="17" t="s">
        <v>2617</v>
      </c>
      <c r="DG59" s="6">
        <f t="shared" si="354"/>
        <v>4.878048780487805E-2</v>
      </c>
      <c r="DH59" s="6">
        <f t="shared" si="346"/>
        <v>2.7777777777777776E-2</v>
      </c>
      <c r="DI59" s="6">
        <f t="shared" si="347"/>
        <v>0.18965517241379309</v>
      </c>
      <c r="DJ59" s="6">
        <f t="shared" si="348"/>
        <v>0</v>
      </c>
      <c r="DK59" s="6">
        <f t="shared" si="349"/>
        <v>8.1632653061224483E-2</v>
      </c>
      <c r="DL59" s="249">
        <f>COUNTIFS('DETALLES UNIDADES'!$BA$8:$BA$987,"1",'DETALLES UNIDADES'!$AU$8:$AU$987,"&lt;100001",'DETALLES UNIDADES'!$C$8:$C$987,"C3")-DL58-DL57</f>
        <v>4</v>
      </c>
      <c r="DM59" s="249">
        <f>COUNTIFS('DETALLES UNIDADES'!$BA$8:$BA$987,"2",'DETALLES UNIDADES'!$AU$8:$AU$987,"&lt;100001",'DETALLES UNIDADES'!$C$8:$C$987,"C3")-DM58-DM57</f>
        <v>1</v>
      </c>
      <c r="DN59" s="249">
        <f>COUNTIFS('DETALLES UNIDADES'!$BA$8:$BA$987,"3",'DETALLES UNIDADES'!$AU$8:$AU$987,"&lt;100001",'DETALLES UNIDADES'!$C$8:$C$987,"C3")+COUNTIFS('DETALLES UNIDADES'!$BA$8:$BA$987,"4",'DETALLES UNIDADES'!$AU$8:$AU$987,"&lt;100001",'DETALLES UNIDADES'!$C$8:$C$987,"C3")+COUNTIFS('DETALLES UNIDADES'!$BA$8:$BA$987,"5",'DETALLES UNIDADES'!$AU$8:$AU$987,"&lt;100001",'DETALLES UNIDADES'!$C$8:$C$987,"C3")-DN58-DN57</f>
        <v>11</v>
      </c>
      <c r="DO59" s="249">
        <f>COUNTIFS('DETALLES UNIDADES'!$BA$8:$BA$987,"&gt;5",'DETALLES UNIDADES'!$AU$8:$AU$987,"&lt;100001",'DETALLES UNIDADES'!$C$8:$C$987,"C3")-DO58-DO57</f>
        <v>0</v>
      </c>
      <c r="DP59" s="249">
        <f t="shared" si="350"/>
        <v>16</v>
      </c>
      <c r="ED59" s="17" t="s">
        <v>2662</v>
      </c>
      <c r="EE59" s="6">
        <f t="shared" si="338"/>
        <v>4.7619047619047616E-2</v>
      </c>
      <c r="EF59" s="6">
        <f t="shared" si="333"/>
        <v>0.1683673469387755</v>
      </c>
      <c r="EG59" s="6">
        <f t="shared" si="334"/>
        <v>0</v>
      </c>
      <c r="EH59" s="6">
        <f t="shared" si="335"/>
        <v>7.1563088512241052E-2</v>
      </c>
      <c r="EI59" s="6">
        <f t="shared" si="336"/>
        <v>8.2653061224489802E-2</v>
      </c>
      <c r="EJ59" s="249">
        <f>COUNTIFS('DETALLES UNIDADES'!$C$8:$C$987,"C2",'DETALLES UNIDADES'!$AN$8:$AN$987,"&lt;30001")-EJ58-EJ57-EJ56-EJ55</f>
        <v>10</v>
      </c>
      <c r="EK59" s="249">
        <f>COUNTIFS('DETALLES UNIDADES'!$C$8:$C$987,"C3",'DETALLES UNIDADES'!$AN$8:$AN$987,"&lt;30001")-EK58-EK57-EK56-EK55</f>
        <v>33</v>
      </c>
      <c r="EL59" s="249">
        <f>COUNTIFS('DETALLES UNIDADES'!$C$8:$C$987,"T2",'DETALLES UNIDADES'!$AN$8:$AN$987,"&lt;30001")-EL58-EL57-EL56-EL55</f>
        <v>0</v>
      </c>
      <c r="EM59" s="249">
        <f>COUNTIFS('DETALLES UNIDADES'!$C$8:$C$987,"T3",'DETALLES UNIDADES'!$AN$8:$AN$987,"&lt;30001")-EM58-EM57-EM56-EM55</f>
        <v>38</v>
      </c>
      <c r="EN59" s="249">
        <f t="shared" si="337"/>
        <v>81</v>
      </c>
      <c r="EV59" s="17" t="s">
        <v>2700</v>
      </c>
      <c r="EW59" s="6">
        <f t="shared" si="351"/>
        <v>6.25E-2</v>
      </c>
      <c r="EX59" s="6">
        <f t="shared" si="339"/>
        <v>0</v>
      </c>
      <c r="EY59" s="6">
        <f t="shared" si="340"/>
        <v>1.9801980198019802E-2</v>
      </c>
      <c r="EZ59" s="6">
        <f t="shared" si="341"/>
        <v>9.2165898617511521E-3</v>
      </c>
      <c r="FA59" s="6">
        <f t="shared" si="342"/>
        <v>7.7519379844961239E-3</v>
      </c>
      <c r="FB59" s="6">
        <f t="shared" si="343"/>
        <v>4.8543689320388345E-3</v>
      </c>
      <c r="FC59" s="6">
        <f t="shared" si="344"/>
        <v>8.0808080808080815E-2</v>
      </c>
      <c r="FD59" s="249">
        <f>COUNTIFS('DETALLES UNIDADES'!$D$8:$D$987,"&lt;1991",'DETALLES UNIDADES'!$AA$8:$AA$987,"X")</f>
        <v>11</v>
      </c>
      <c r="FE59" s="249">
        <f>COUNTIFS('DETALLES UNIDADES'!$D$8:$D$987,"&lt;1994",'DETALLES UNIDADES'!$AA$8:$AA$987,"X")-FD59</f>
        <v>0</v>
      </c>
      <c r="FF59" s="249">
        <f>COUNTIFS('DETALLES UNIDADES'!$D$8:$D$987,"&lt;1998",'DETALLES UNIDADES'!$AA$8:$AA$987,"X")-FE59-FD59</f>
        <v>2</v>
      </c>
      <c r="FG59" s="249">
        <f>COUNTIFS('DETALLES UNIDADES'!$D$8:$D$987,"&lt;2004",'DETALLES UNIDADES'!$AA$8:$AA$987,"X")-FF59-FE59-FD59</f>
        <v>2</v>
      </c>
      <c r="FH59" s="249">
        <f>COUNTIFS('DETALLES UNIDADES'!$D$8:$D$987,"&lt;2007",'DETALLES UNIDADES'!$AA$8:$AA$987,"X")-FG59-FF59-FE59-FD59</f>
        <v>1</v>
      </c>
      <c r="FI59" s="249">
        <f>COUNTIFS('DETALLES UNIDADES'!$D$8:$D$987,"&lt;2011",'DETALLES UNIDADES'!$AA$8:$AA$987,"X")-FH59-FG59-FF59-FE59-FD59</f>
        <v>1</v>
      </c>
      <c r="FJ59" s="249">
        <f>COUNTIFS('DETALLES UNIDADES'!$D$8:$D$987,"&gt;2010",'DETALLES UNIDADES'!$AA$8:$AA$987,"X")</f>
        <v>8</v>
      </c>
      <c r="FK59" s="249">
        <f t="shared" si="345"/>
        <v>25</v>
      </c>
      <c r="FM59" s="11" t="s">
        <v>2710</v>
      </c>
    </row>
    <row r="60" spans="1:189" x14ac:dyDescent="0.25">
      <c r="A60" s="137" t="s">
        <v>2409</v>
      </c>
      <c r="B60" s="6">
        <f t="shared" si="355"/>
        <v>4.8710601719197708E-2</v>
      </c>
      <c r="C60" s="249">
        <f>COUNTIFS('ENCUESTA PROPIETARIOS'!$N$7:$N$417,"1",'ENCUESTA PROPIETARIOS'!$AD$7:$AD$417,"X")+COUNTIFS('ENCUESTA PROPIETARIOS'!$N$7:$N$417,"1",'ENCUESTA PROPIETARIOS'!$AJ$7:$AJ$417,"X")</f>
        <v>17</v>
      </c>
      <c r="D60" s="6"/>
      <c r="E60" s="112" t="s">
        <v>2728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AK60" s="11" t="s">
        <v>2535</v>
      </c>
      <c r="AL60" s="6">
        <f t="shared" ref="AL60:AL66" si="360">+AQ60/$AU$10</f>
        <v>9.1836734693877559E-3</v>
      </c>
      <c r="AM60" s="6">
        <f t="shared" si="356"/>
        <v>8.1632653061224497E-3</v>
      </c>
      <c r="AN60" s="6">
        <f t="shared" si="357"/>
        <v>1.6326530612244899E-2</v>
      </c>
      <c r="AO60" s="6">
        <f t="shared" si="358"/>
        <v>1.7346938775510204E-2</v>
      </c>
      <c r="AP60" s="6">
        <f t="shared" si="359"/>
        <v>5.1020408163265307E-2</v>
      </c>
      <c r="AQ60" s="249">
        <f>COUNTIFS('DETALLES UNIDADES'!$BC$8:$BC$987,"&lt;1994",'DETALLES UNIDADES'!$BA$8:$BA$987,"1")-AQ59</f>
        <v>9</v>
      </c>
      <c r="AR60" s="249">
        <f>COUNTIFS('DETALLES UNIDADES'!$BC$8:$BC$987,"&lt;1994",'DETALLES UNIDADES'!$BA$8:$BA$987,"2")-AR59</f>
        <v>8</v>
      </c>
      <c r="AS60" s="249">
        <f>COUNTIFS('DETALLES UNIDADES'!$BC$8:$BC$987,"&lt;1994",'DETALLES UNIDADES'!$BA$8:$BA$987,"&lt;6")-AR60-AQ60-AS59-AR59-AQ59</f>
        <v>16</v>
      </c>
      <c r="AT60" s="249">
        <f>COUNTIFS('DETALLES UNIDADES'!$BC$8:$BC$987,"&lt;1994",'DETALLES UNIDADES'!$BA$8:$BA$987,"&gt;5")-AT59</f>
        <v>17</v>
      </c>
      <c r="AU60" s="249">
        <f>SUM(AQ60:AT60)</f>
        <v>50</v>
      </c>
      <c r="AV60" s="249">
        <v>50</v>
      </c>
      <c r="BD60" s="112" t="s">
        <v>1712</v>
      </c>
      <c r="BE60" s="6">
        <f>+BF60/$BF$67</f>
        <v>0.14285714285714285</v>
      </c>
      <c r="BF60" s="138">
        <f>+BQ4</f>
        <v>18</v>
      </c>
      <c r="DF60" s="17" t="s">
        <v>2619</v>
      </c>
      <c r="DG60" s="6">
        <f t="shared" si="354"/>
        <v>0</v>
      </c>
      <c r="DH60" s="6">
        <f t="shared" si="346"/>
        <v>5.5555555555555552E-2</v>
      </c>
      <c r="DI60" s="6">
        <f t="shared" si="347"/>
        <v>0</v>
      </c>
      <c r="DJ60" s="6">
        <f t="shared" si="348"/>
        <v>0</v>
      </c>
      <c r="DK60" s="6">
        <f t="shared" si="349"/>
        <v>1.020408163265306E-2</v>
      </c>
      <c r="DL60" s="249">
        <f>COUNTIFS('DETALLES UNIDADES'!$BA$8:$BA$987,"1",'DETALLES UNIDADES'!$AU$8:$AU$987,"&lt;125001",'DETALLES UNIDADES'!$C$8:$C$987,"C3")-DL59-DL58-DL57</f>
        <v>0</v>
      </c>
      <c r="DM60" s="249">
        <f>COUNTIFS('DETALLES UNIDADES'!$BA$8:$BA$987,"2",'DETALLES UNIDADES'!$AU$8:$AU$987,"&lt;125001",'DETALLES UNIDADES'!$C$8:$C$987,"C3")-DM59-DM58-DM57</f>
        <v>2</v>
      </c>
      <c r="DN60" s="249">
        <f>COUNTIFS('DETALLES UNIDADES'!$BA$8:$BA$987,"3",'DETALLES UNIDADES'!$AU$8:$AU$987,"&lt;125001",'DETALLES UNIDADES'!$C$8:$C$987,"C3")+COUNTIFS('DETALLES UNIDADES'!$BA$8:$BA$987,"4",'DETALLES UNIDADES'!$AU$8:$AU$987,"&lt;125001",'DETALLES UNIDADES'!$C$8:$C$987,"C3")+COUNTIFS('DETALLES UNIDADES'!$BA$8:$BA$987,"5",'DETALLES UNIDADES'!$AU$8:$AU$987,"&lt;125001",'DETALLES UNIDADES'!$C$8:$C$987,"C3")-DN59-DN58-DN57</f>
        <v>0</v>
      </c>
      <c r="DO60" s="249">
        <f>COUNTIFS('DETALLES UNIDADES'!$BA$8:$BA$987,"&gt;5",'DETALLES UNIDADES'!$AU$8:$AU$987,"&lt;125001",'DETALLES UNIDADES'!$C$8:$C$987,"C3")-DO59-DO58-DO57</f>
        <v>0</v>
      </c>
      <c r="DP60" s="249">
        <f t="shared" si="350"/>
        <v>2</v>
      </c>
      <c r="ED60" s="17" t="s">
        <v>2663</v>
      </c>
      <c r="EE60" s="6">
        <f t="shared" si="338"/>
        <v>4.7619047619047616E-2</v>
      </c>
      <c r="EF60" s="6">
        <f t="shared" si="333"/>
        <v>1.020408163265306E-2</v>
      </c>
      <c r="EG60" s="6">
        <f t="shared" si="334"/>
        <v>0</v>
      </c>
      <c r="EH60" s="6">
        <f t="shared" si="335"/>
        <v>3.7664783427495289E-2</v>
      </c>
      <c r="EI60" s="6">
        <f t="shared" si="336"/>
        <v>3.2653061224489799E-2</v>
      </c>
      <c r="EJ60" s="249">
        <f>COUNTIFS('DETALLES UNIDADES'!$C$8:$C$987,"C2",'DETALLES UNIDADES'!$AN$8:$AN$987,"&lt;40001")-EJ59-EJ58-EJ57-EJ56-EJ55</f>
        <v>10</v>
      </c>
      <c r="EK60" s="249">
        <f>COUNTIFS('DETALLES UNIDADES'!$C$8:$C$987,"C3",'DETALLES UNIDADES'!$AN$8:$AN$987,"&lt;40001")-EK59-EK58-EK57-EK56-EK55</f>
        <v>2</v>
      </c>
      <c r="EL60" s="249">
        <f>COUNTIFS('DETALLES UNIDADES'!$C$8:$C$987,"T2",'DETALLES UNIDADES'!$AN$8:$AN$987,"&lt;40001")-EL59-EL58-EL57-EL56-EL55</f>
        <v>0</v>
      </c>
      <c r="EM60" s="249">
        <f>COUNTIFS('DETALLES UNIDADES'!$C$8:$C$987,"T3",'DETALLES UNIDADES'!$AN$8:$AN$987,"&lt;40001")-EM59-EM58-EM57-EM56-EM55</f>
        <v>20</v>
      </c>
      <c r="EN60" s="249">
        <f t="shared" si="337"/>
        <v>32</v>
      </c>
      <c r="EV60" s="17" t="s">
        <v>2701</v>
      </c>
      <c r="EW60" s="6">
        <f t="shared" si="351"/>
        <v>0.28409090909090912</v>
      </c>
      <c r="EX60" s="6">
        <f t="shared" si="339"/>
        <v>0.57692307692307687</v>
      </c>
      <c r="EY60" s="6">
        <f t="shared" si="340"/>
        <v>0.44554455445544555</v>
      </c>
      <c r="EZ60" s="6">
        <f t="shared" si="341"/>
        <v>0.68663594470046085</v>
      </c>
      <c r="FA60" s="6">
        <f t="shared" si="342"/>
        <v>0.54263565891472865</v>
      </c>
      <c r="FB60" s="6">
        <f t="shared" si="343"/>
        <v>0.39805825242718446</v>
      </c>
      <c r="FC60" s="6">
        <f t="shared" si="344"/>
        <v>5.0505050505050504E-2</v>
      </c>
      <c r="FD60" s="249">
        <f>COUNTIFS('DETALLES UNIDADES'!$D$8:$D$987,"&lt;1991",'DETALLES UNIDADES'!$AB$8:$AB$987,"X")</f>
        <v>50</v>
      </c>
      <c r="FE60" s="249">
        <f>COUNTIFS('DETALLES UNIDADES'!$D$8:$D$987,"&lt;1994",'DETALLES UNIDADES'!$AB$8:$AB$987,"X")-FD60</f>
        <v>30</v>
      </c>
      <c r="FF60" s="249">
        <f>COUNTIFS('DETALLES UNIDADES'!$D$8:$D$987,"&lt;1998",'DETALLES UNIDADES'!$AB$8:$AB$987,"X")-FE60-FD60</f>
        <v>45</v>
      </c>
      <c r="FG60" s="249">
        <f>COUNTIFS('DETALLES UNIDADES'!$D$8:$D$987,"&lt;2004",'DETALLES UNIDADES'!$AB$8:$AB$987,"X")-FF60-FE60-FD60</f>
        <v>149</v>
      </c>
      <c r="FH60" s="249">
        <f>COUNTIFS('DETALLES UNIDADES'!$D$8:$D$987,"&lt;2007",'DETALLES UNIDADES'!$AB$8:$AB$987,"X")-FG60-FF60-FE60-FD60</f>
        <v>70</v>
      </c>
      <c r="FI60" s="249">
        <f>COUNTIFS('DETALLES UNIDADES'!$D$8:$D$987,"&lt;2011",'DETALLES UNIDADES'!$AB$8:$AB$987,"X")-FH60-FG60-FF60-FE60-FD60</f>
        <v>82</v>
      </c>
      <c r="FJ60" s="249">
        <f>COUNTIFS('DETALLES UNIDADES'!$D$8:$D$987,"&gt;2010",'DETALLES UNIDADES'!$AB$8:$AB$987,"X")</f>
        <v>5</v>
      </c>
      <c r="FK60" s="249">
        <f t="shared" si="345"/>
        <v>431</v>
      </c>
      <c r="FN60" s="17" t="s">
        <v>814</v>
      </c>
      <c r="FO60" s="17" t="s">
        <v>815</v>
      </c>
      <c r="FP60" s="17" t="s">
        <v>1780</v>
      </c>
      <c r="FQ60" s="17" t="s">
        <v>1781</v>
      </c>
      <c r="FS60" s="17" t="s">
        <v>814</v>
      </c>
      <c r="FT60" s="17" t="s">
        <v>815</v>
      </c>
      <c r="FU60" s="17" t="s">
        <v>1780</v>
      </c>
      <c r="FV60" s="17" t="s">
        <v>1781</v>
      </c>
    </row>
    <row r="61" spans="1:189" x14ac:dyDescent="0.25">
      <c r="A61" s="137" t="s">
        <v>22</v>
      </c>
      <c r="B61" s="6">
        <f t="shared" si="355"/>
        <v>9.7421203438395415E-2</v>
      </c>
      <c r="C61" s="249">
        <f>COUNTIFS('ENCUESTA PROPIETARIOS'!$N$7:$N$417,"1",'ENCUESTA PROPIETARIOS'!$AE$7:$AE$417,"X")</f>
        <v>34</v>
      </c>
      <c r="D61" s="6"/>
      <c r="E61" s="11"/>
      <c r="F61" s="11" t="s">
        <v>814</v>
      </c>
      <c r="G61" s="11" t="s">
        <v>815</v>
      </c>
      <c r="H61" s="11" t="s">
        <v>1780</v>
      </c>
      <c r="I61" s="11" t="s">
        <v>1781</v>
      </c>
      <c r="J61" s="11" t="s">
        <v>715</v>
      </c>
      <c r="K61" s="11" t="s">
        <v>814</v>
      </c>
      <c r="L61" s="11" t="s">
        <v>815</v>
      </c>
      <c r="M61" s="11" t="s">
        <v>1780</v>
      </c>
      <c r="N61" s="11" t="s">
        <v>1781</v>
      </c>
      <c r="O61" s="11" t="s">
        <v>715</v>
      </c>
      <c r="X61" s="17" t="s">
        <v>2514</v>
      </c>
      <c r="AK61" s="11" t="s">
        <v>2536</v>
      </c>
      <c r="AL61" s="6">
        <f t="shared" si="360"/>
        <v>2.6530612244897958E-2</v>
      </c>
      <c r="AM61" s="6">
        <f t="shared" si="356"/>
        <v>1.8367346938775512E-2</v>
      </c>
      <c r="AN61" s="6">
        <f t="shared" si="357"/>
        <v>3.7755102040816328E-2</v>
      </c>
      <c r="AO61" s="6">
        <f t="shared" si="358"/>
        <v>2.8571428571428571E-2</v>
      </c>
      <c r="AP61" s="6">
        <f t="shared" si="359"/>
        <v>0.11122448979591837</v>
      </c>
      <c r="AQ61" s="249">
        <f>COUNTIFS('DETALLES UNIDADES'!$BC$8:$BC$987,"&lt;1998",'DETALLES UNIDADES'!$BA$8:$BA$987,"1")-AQ60-AQ59</f>
        <v>26</v>
      </c>
      <c r="AR61" s="249">
        <f>COUNTIFS('DETALLES UNIDADES'!$BC$8:$BC$987,"&lt;1998",'DETALLES UNIDADES'!$BA$8:$BA$987,"2")-AR60-AR59</f>
        <v>18</v>
      </c>
      <c r="AS61" s="249">
        <f>COUNTIFS('DETALLES UNIDADES'!$BC$8:$BC$987,"&lt;1998",'DETALLES UNIDADES'!$BA$8:$BA$987,"&lt;6")-AR61-AQ61-AS60-AR60-AQ60-AS59-AR59-AQ59</f>
        <v>37</v>
      </c>
      <c r="AT61" s="249">
        <f>COUNTIFS('DETALLES UNIDADES'!$BC$8:$BC$987,"&lt;1998",'DETALLES UNIDADES'!$BA$8:$BA$987,"&gt;5")-AT60-AT59</f>
        <v>28</v>
      </c>
      <c r="AU61" s="249">
        <f t="shared" ref="AU61:AU66" si="361">SUM(AQ61:AT61)</f>
        <v>109</v>
      </c>
      <c r="AV61" s="249">
        <v>109</v>
      </c>
      <c r="BD61" s="112" t="s">
        <v>1716</v>
      </c>
      <c r="BE61" s="6">
        <f t="shared" ref="BE61:BE67" si="362">+BF61/$BF$67</f>
        <v>0.24603174603174602</v>
      </c>
      <c r="BF61" s="138">
        <f t="shared" ref="BF61:BF67" si="363">+BQ5</f>
        <v>31</v>
      </c>
      <c r="DF61" s="17" t="s">
        <v>2620</v>
      </c>
      <c r="DG61" s="6">
        <f t="shared" si="354"/>
        <v>1.2195121951219513E-2</v>
      </c>
      <c r="DH61" s="6">
        <f t="shared" si="346"/>
        <v>0</v>
      </c>
      <c r="DI61" s="6">
        <f t="shared" si="347"/>
        <v>0</v>
      </c>
      <c r="DJ61" s="6">
        <f t="shared" si="348"/>
        <v>0.25</v>
      </c>
      <c r="DK61" s="6">
        <f t="shared" si="349"/>
        <v>3.0612244897959183E-2</v>
      </c>
      <c r="DL61" s="249">
        <f>COUNTIFS('DETALLES UNIDADES'!$BA$8:$BA$987,"1",'DETALLES UNIDADES'!$AU$8:$AU$987,"&lt;150001",'DETALLES UNIDADES'!$C$8:$C$987,"C3")-DL60-DL59-DL58-DL57</f>
        <v>1</v>
      </c>
      <c r="DM61" s="249">
        <f>COUNTIFS('DETALLES UNIDADES'!$BA$8:$BA$987,"2",'DETALLES UNIDADES'!$AU$8:$AU$987,"&lt;150001",'DETALLES UNIDADES'!$C$8:$C$987,"C3")-DM60-DM59-DM58-DM57</f>
        <v>0</v>
      </c>
      <c r="DN61" s="249">
        <f>COUNTIFS('DETALLES UNIDADES'!$BA$8:$BA$987,"3",'DETALLES UNIDADES'!$AU$8:$AU$987,"&lt;150001",'DETALLES UNIDADES'!$C$8:$C$987,"C3")+COUNTIFS('DETALLES UNIDADES'!$BA$8:$BA$987,"4",'DETALLES UNIDADES'!$AU$8:$AU$987,"&lt;150001",'DETALLES UNIDADES'!$C$8:$C$987,"C3")+COUNTIFS('DETALLES UNIDADES'!$BA$8:$BA$987,"5",'DETALLES UNIDADES'!$AU$8:$AU$987,"&lt;150001",'DETALLES UNIDADES'!$C$8:$C$987,"C3")-DN60-DN59-DN58-DN57</f>
        <v>0</v>
      </c>
      <c r="DO61" s="249">
        <f>COUNTIFS('DETALLES UNIDADES'!$BA$8:$BA$987,"&gt;5",'DETALLES UNIDADES'!$AU$8:$AU$987,"&lt;150001",'DETALLES UNIDADES'!$C$8:$C$987,"C3")-DO60-DO59-DO58-DO57</f>
        <v>5</v>
      </c>
      <c r="DP61" s="249">
        <f t="shared" si="350"/>
        <v>6</v>
      </c>
      <c r="ED61" s="17" t="s">
        <v>2664</v>
      </c>
      <c r="EE61" s="6">
        <f t="shared" si="338"/>
        <v>1.4285714285714285E-2</v>
      </c>
      <c r="EF61" s="6">
        <f t="shared" si="333"/>
        <v>5.1020408163265302E-3</v>
      </c>
      <c r="EG61" s="6">
        <f t="shared" si="334"/>
        <v>0.11627906976744186</v>
      </c>
      <c r="EH61" s="6">
        <f t="shared" si="335"/>
        <v>6.2146892655367235E-2</v>
      </c>
      <c r="EI61" s="6">
        <f t="shared" si="336"/>
        <v>4.2857142857142858E-2</v>
      </c>
      <c r="EJ61" s="249">
        <f>COUNTIFS('DETALLES UNIDADES'!$C$8:$C$987,"C2",'DETALLES UNIDADES'!$AN$8:$AN$987,"&gt;40000")</f>
        <v>3</v>
      </c>
      <c r="EK61" s="249">
        <f>COUNTIFS('DETALLES UNIDADES'!$C$8:$C$987,"C3",'DETALLES UNIDADES'!$AN$8:$AN$987,"&gt;40000")</f>
        <v>1</v>
      </c>
      <c r="EL61" s="249">
        <f>COUNTIFS('DETALLES UNIDADES'!$C$8:$C$987,"T2",'DETALLES UNIDADES'!$AN$8:$AN$987,"&gt;40000")</f>
        <v>5</v>
      </c>
      <c r="EM61" s="249">
        <f>COUNTIFS('DETALLES UNIDADES'!$C$8:$C$987,"T3",'DETALLES UNIDADES'!$AN$8:$AN$987,"&gt;40000")</f>
        <v>33</v>
      </c>
      <c r="EN61" s="249">
        <f t="shared" si="337"/>
        <v>42</v>
      </c>
      <c r="EV61" s="17" t="s">
        <v>2702</v>
      </c>
      <c r="EW61" s="6">
        <f t="shared" si="351"/>
        <v>3.4090909090909088E-2</v>
      </c>
      <c r="EX61" s="6">
        <f t="shared" si="339"/>
        <v>7.6923076923076927E-2</v>
      </c>
      <c r="EY61" s="6">
        <f t="shared" si="340"/>
        <v>4.9504950495049507E-2</v>
      </c>
      <c r="EZ61" s="6">
        <f t="shared" si="341"/>
        <v>2.7649769585253458E-2</v>
      </c>
      <c r="FA61" s="6">
        <f t="shared" si="342"/>
        <v>6.2015503875968991E-2</v>
      </c>
      <c r="FB61" s="6">
        <f t="shared" si="343"/>
        <v>0.18446601941747573</v>
      </c>
      <c r="FC61" s="6">
        <f t="shared" si="344"/>
        <v>0.18181818181818182</v>
      </c>
      <c r="FD61" s="249">
        <f>COUNTIFS('DETALLES UNIDADES'!$D$8:$D$987,"&lt;1991",'DETALLES UNIDADES'!$AC$8:$AC$987,"X")</f>
        <v>6</v>
      </c>
      <c r="FE61" s="249">
        <f>COUNTIFS('DETALLES UNIDADES'!$D$8:$D$987,"&lt;1994",'DETALLES UNIDADES'!$AC$8:$AC$987,"X")-FD61</f>
        <v>4</v>
      </c>
      <c r="FF61" s="249">
        <f>COUNTIFS('DETALLES UNIDADES'!$D$8:$D$987,"&lt;1998",'DETALLES UNIDADES'!$AC$8:$AC$987,"X")-FE61-FD61</f>
        <v>5</v>
      </c>
      <c r="FG61" s="249">
        <f>COUNTIFS('DETALLES UNIDADES'!$D$8:$D$987,"&lt;2004",'DETALLES UNIDADES'!$AC$8:$AC$987,"X")-FF61-FE61-FD61</f>
        <v>6</v>
      </c>
      <c r="FH61" s="249">
        <f>COUNTIFS('DETALLES UNIDADES'!$D$8:$D$987,"&lt;2007",'DETALLES UNIDADES'!$AC$8:$AC$987,"X")-FG61-FF61-FE61-FD61</f>
        <v>8</v>
      </c>
      <c r="FI61" s="249">
        <f>COUNTIFS('DETALLES UNIDADES'!$D$8:$D$987,"&lt;2011",'DETALLES UNIDADES'!$AC$8:$AC$987,"X")-FH61-FG61-FF61-FE61-FD61</f>
        <v>38</v>
      </c>
      <c r="FJ61" s="249">
        <f>COUNTIFS('DETALLES UNIDADES'!$D$8:$D$987,"&gt;2010",'DETALLES UNIDADES'!$AC$8:$AC$987,"X")</f>
        <v>18</v>
      </c>
      <c r="FK61" s="249">
        <f t="shared" si="345"/>
        <v>85</v>
      </c>
      <c r="FM61" s="112" t="s">
        <v>1712</v>
      </c>
      <c r="FN61" s="6">
        <f>+FS61/$FW$68</f>
        <v>1.132852729145211E-2</v>
      </c>
      <c r="FO61" s="6">
        <f t="shared" ref="FO61:FO68" si="364">+FT61/$FW$68</f>
        <v>1.7507723995880537E-2</v>
      </c>
      <c r="FP61" s="6">
        <f t="shared" ref="FP61:FP68" si="365">+FU61/$FW$68</f>
        <v>7.5180226570545836E-2</v>
      </c>
      <c r="FQ61" s="6">
        <f t="shared" ref="FQ61:FQ68" si="366">+FV61/$FW$68</f>
        <v>6.591143151390319E-2</v>
      </c>
      <c r="FR61" s="6">
        <f t="shared" ref="FR61:FR68" si="367">+FW61/$FW$68</f>
        <v>0.16992790937178168</v>
      </c>
      <c r="FS61" s="249">
        <f>COUNTIFS('DETALLES UNIDADES'!$BA$8:$BA$987,"1",'DETALLES UNIDADES'!$J$8:$J$987,"&lt;250000")</f>
        <v>11</v>
      </c>
      <c r="FT61" s="249">
        <f>COUNTIFS('DETALLES UNIDADES'!$BA$8:$BA$987,"2",'DETALLES UNIDADES'!$J$8:$J$987,"&lt;250000")</f>
        <v>17</v>
      </c>
      <c r="FU61" s="249">
        <f>COUNTIFS('DETALLES UNIDADES'!$BA$8:$BA$987,"3",'DETALLES UNIDADES'!$J$8:$J$987,"&lt;250000")+COUNTIFS('DETALLES UNIDADES'!$BA$8:$BA$987,"4",'DETALLES UNIDADES'!$J$8:$J$987,"&lt;250000")+COUNTIFS('DETALLES UNIDADES'!$BA$8:$BA$987,"5",'DETALLES UNIDADES'!$J$8:$J$987,"&lt;250000")</f>
        <v>73</v>
      </c>
      <c r="FV61" s="249">
        <f>COUNTIFS('DETALLES UNIDADES'!$BA$8:$BA$987,"&gt;5",'DETALLES UNIDADES'!$J$8:$J$987,"&lt;250000")</f>
        <v>64</v>
      </c>
      <c r="FW61" s="249">
        <f t="shared" ref="FW61:FW67" si="368">SUM(FS61:FV61)</f>
        <v>165</v>
      </c>
    </row>
    <row r="62" spans="1:189" ht="25.5" x14ac:dyDescent="0.25">
      <c r="A62" s="137" t="s">
        <v>2410</v>
      </c>
      <c r="B62" s="6">
        <f t="shared" si="355"/>
        <v>0.13753581661891118</v>
      </c>
      <c r="C62" s="249">
        <f>COUNTIFS('ENCUESTA PROPIETARIOS'!$N$7:$N$417,"1",'ENCUESTA PROPIETARIOS'!$AF$7:$AF$417,"X")+COUNTIFS('ENCUESTA PROPIETARIOS'!$N$7:$N$417,"1",'ENCUESTA PROPIETARIOS'!$AH$7:$AH$417,"X")</f>
        <v>48</v>
      </c>
      <c r="D62" s="6"/>
      <c r="E62" s="137" t="s">
        <v>20</v>
      </c>
      <c r="F62" s="6">
        <f>+K62/$O$62</f>
        <v>0.5444444444444444</v>
      </c>
      <c r="G62" s="6">
        <f t="shared" ref="G62:J62" si="369">+L62/$O$62</f>
        <v>0.2</v>
      </c>
      <c r="H62" s="6">
        <f t="shared" si="369"/>
        <v>0.17777777777777778</v>
      </c>
      <c r="I62" s="6">
        <f t="shared" si="369"/>
        <v>7.7777777777777779E-2</v>
      </c>
      <c r="J62" s="6">
        <f t="shared" si="369"/>
        <v>1</v>
      </c>
      <c r="K62" s="249">
        <f>COUNTIFS('ENCUESTA PROPIETARIOS'!$N$7:$N$417,"1",'ENCUESTA PROPIETARIOS'!$AC$7:$AC$417,"X")</f>
        <v>49</v>
      </c>
      <c r="L62" s="249">
        <f>COUNTIFS('ENCUESTA PROPIETARIOS'!$N$7:$N$417,"2",'ENCUESTA PROPIETARIOS'!$AC$7:$AC$417,"X")</f>
        <v>18</v>
      </c>
      <c r="M62" s="249">
        <f>COUNTIFS('ENCUESTA PROPIETARIOS'!$N$7:$N$417,"3",'ENCUESTA PROPIETARIOS'!$AC$7:$AC$417,"X")+COUNTIFS('ENCUESTA PROPIETARIOS'!$N$7:$N$417,"4",'ENCUESTA PROPIETARIOS'!$AC$7:$AC$417,"X")+COUNTIFS('ENCUESTA PROPIETARIOS'!$N$7:$N$417,"5",'ENCUESTA PROPIETARIOS'!$AC$7:$AC$417,"X")</f>
        <v>16</v>
      </c>
      <c r="N62" s="249">
        <f>COUNTIFS('ENCUESTA PROPIETARIOS'!$N$7:$N$417,"&gt;5",'ENCUESTA PROPIETARIOS'!$AC$7:$AC$417,"X")</f>
        <v>7</v>
      </c>
      <c r="O62" s="249">
        <f t="shared" ref="O62" si="370">SUM(K62:N62)</f>
        <v>90</v>
      </c>
      <c r="X62" s="179"/>
      <c r="Y62" s="249" t="s">
        <v>348</v>
      </c>
      <c r="Z62" s="249" t="s">
        <v>351</v>
      </c>
      <c r="AA62" s="249" t="s">
        <v>359</v>
      </c>
      <c r="AB62" s="249" t="s">
        <v>337</v>
      </c>
      <c r="AD62" s="249" t="s">
        <v>348</v>
      </c>
      <c r="AE62" s="249" t="s">
        <v>351</v>
      </c>
      <c r="AF62" s="249" t="s">
        <v>359</v>
      </c>
      <c r="AG62" s="249" t="s">
        <v>337</v>
      </c>
      <c r="AK62" s="11" t="s">
        <v>2537</v>
      </c>
      <c r="AL62" s="6">
        <f t="shared" si="360"/>
        <v>8.4693877551020411E-2</v>
      </c>
      <c r="AM62" s="6">
        <f t="shared" si="356"/>
        <v>4.1836734693877553E-2</v>
      </c>
      <c r="AN62" s="6">
        <f t="shared" si="357"/>
        <v>5.2040816326530612E-2</v>
      </c>
      <c r="AO62" s="6">
        <f t="shared" si="358"/>
        <v>7.1428571428571425E-2</v>
      </c>
      <c r="AP62" s="6">
        <f t="shared" si="359"/>
        <v>0.25</v>
      </c>
      <c r="AQ62" s="249">
        <f>COUNTIFS('DETALLES UNIDADES'!$BC$8:$BC$987,"&lt;2004",'DETALLES UNIDADES'!$BA$8:$BA$987,"1")-AQ61-AQ60-AQ59</f>
        <v>83</v>
      </c>
      <c r="AR62" s="249">
        <f>COUNTIFS('DETALLES UNIDADES'!$BC$8:$BC$987,"&lt;2004",'DETALLES UNIDADES'!$BA$8:$BA$987,"2")-AR61-AR60-AR59</f>
        <v>41</v>
      </c>
      <c r="AS62" s="249">
        <f>COUNTIFS('DETALLES UNIDADES'!$BC$8:$BC$987,"&lt;2004",'DETALLES UNIDADES'!$BA$8:$BA$987,"&lt;6")-AR62-AQ62-AS61-AR61-AQ61-AS60-AR60-AQ60-AS59-AR59-AQ59</f>
        <v>51</v>
      </c>
      <c r="AT62" s="249">
        <f>COUNTIFS('DETALLES UNIDADES'!$BC$8:$BC$987,"&lt;2004",'DETALLES UNIDADES'!$BA$8:$BA$987,"&gt;5")-AT61-AT60-AT59</f>
        <v>70</v>
      </c>
      <c r="AU62" s="249">
        <f t="shared" si="361"/>
        <v>245</v>
      </c>
      <c r="AV62" s="249">
        <v>245</v>
      </c>
      <c r="BD62" s="112" t="s">
        <v>1713</v>
      </c>
      <c r="BE62" s="6">
        <f t="shared" si="362"/>
        <v>0.58730158730158732</v>
      </c>
      <c r="BF62" s="138">
        <f t="shared" si="363"/>
        <v>74</v>
      </c>
      <c r="DF62" s="17" t="s">
        <v>2621</v>
      </c>
      <c r="DG62" s="6">
        <f t="shared" si="354"/>
        <v>0</v>
      </c>
      <c r="DH62" s="6">
        <f t="shared" si="346"/>
        <v>0</v>
      </c>
      <c r="DI62" s="6">
        <f t="shared" si="347"/>
        <v>0</v>
      </c>
      <c r="DJ62" s="6">
        <f t="shared" si="348"/>
        <v>0</v>
      </c>
      <c r="DK62" s="6">
        <f t="shared" si="349"/>
        <v>0</v>
      </c>
      <c r="DL62" s="249">
        <f>COUNTIFS('DETALLES UNIDADES'!$BA$8:$BA$987,"1",'DETALLES UNIDADES'!$AU$8:$AU$987,"&lt;175001",'DETALLES UNIDADES'!$C$8:$C$987,"C3")-DL61-DL60-DL59-DL58-DL57</f>
        <v>0</v>
      </c>
      <c r="DM62" s="249">
        <f>COUNTIFS('DETALLES UNIDADES'!$BA$8:$BA$987,"2",'DETALLES UNIDADES'!$AU$8:$AU$987,"&lt;175001",'DETALLES UNIDADES'!$C$8:$C$987,"C3")-DM61-DM60-DM59-DM58-DM57</f>
        <v>0</v>
      </c>
      <c r="DN62" s="249">
        <f>COUNTIFS('DETALLES UNIDADES'!$BA$8:$BA$987,"3",'DETALLES UNIDADES'!$AU$8:$AU$987,"&lt;175001",'DETALLES UNIDADES'!$C$8:$C$987,"C3")+COUNTIFS('DETALLES UNIDADES'!$BA$8:$BA$987,"4",'DETALLES UNIDADES'!$AU$8:$AU$987,"&lt;175001",'DETALLES UNIDADES'!$C$8:$C$987,"C3")+COUNTIFS('DETALLES UNIDADES'!$BA$8:$BA$987,"5",'DETALLES UNIDADES'!$AU$8:$AU$987,"&lt;175001",'DETALLES UNIDADES'!$C$8:$C$987,"C3")-DN61-DN60-DN59-DN58-DN57</f>
        <v>0</v>
      </c>
      <c r="DO62" s="249">
        <f>COUNTIFS('DETALLES UNIDADES'!$BA$8:$BA$987,"&gt;5",'DETALLES UNIDADES'!$AU$8:$AU$987,"&lt;175001",'DETALLES UNIDADES'!$C$8:$C$987,"C3")-DO61-DO60-DO59-DO58-DO57</f>
        <v>0</v>
      </c>
      <c r="DP62" s="249">
        <f t="shared" si="350"/>
        <v>0</v>
      </c>
      <c r="ED62" s="17" t="s">
        <v>1662</v>
      </c>
      <c r="EE62" s="6">
        <f t="shared" si="338"/>
        <v>1</v>
      </c>
      <c r="EF62" s="6">
        <f t="shared" si="333"/>
        <v>1</v>
      </c>
      <c r="EG62" s="6">
        <f t="shared" si="334"/>
        <v>1</v>
      </c>
      <c r="EH62" s="6">
        <f t="shared" si="335"/>
        <v>1</v>
      </c>
      <c r="EI62" s="6">
        <f t="shared" si="336"/>
        <v>1</v>
      </c>
      <c r="EJ62" s="249">
        <f>SUM(EJ55:EJ61)</f>
        <v>210</v>
      </c>
      <c r="EK62" s="249">
        <f t="shared" ref="EK62:EN62" si="371">SUM(EK55:EK61)</f>
        <v>196</v>
      </c>
      <c r="EL62" s="249">
        <f t="shared" si="371"/>
        <v>43</v>
      </c>
      <c r="EM62" s="249">
        <f t="shared" si="371"/>
        <v>531</v>
      </c>
      <c r="EN62" s="249">
        <f t="shared" si="371"/>
        <v>980</v>
      </c>
      <c r="EV62" s="17" t="s">
        <v>1662</v>
      </c>
      <c r="EW62" s="6">
        <f t="shared" si="351"/>
        <v>1</v>
      </c>
      <c r="EX62" s="6">
        <f t="shared" si="339"/>
        <v>1</v>
      </c>
      <c r="EY62" s="6">
        <f t="shared" si="340"/>
        <v>1</v>
      </c>
      <c r="EZ62" s="6">
        <f t="shared" si="341"/>
        <v>1</v>
      </c>
      <c r="FA62" s="6">
        <f t="shared" si="342"/>
        <v>1</v>
      </c>
      <c r="FB62" s="6">
        <f t="shared" si="343"/>
        <v>1</v>
      </c>
      <c r="FC62" s="6">
        <f t="shared" si="344"/>
        <v>1</v>
      </c>
      <c r="FD62" s="249">
        <f>SUM(FD56:FD61)</f>
        <v>176</v>
      </c>
      <c r="FE62" s="249">
        <f t="shared" ref="FE62:FK62" si="372">SUM(FE56:FE61)</f>
        <v>52</v>
      </c>
      <c r="FF62" s="249">
        <f t="shared" si="372"/>
        <v>101</v>
      </c>
      <c r="FG62" s="249">
        <f t="shared" si="372"/>
        <v>217</v>
      </c>
      <c r="FH62" s="249">
        <f t="shared" si="372"/>
        <v>129</v>
      </c>
      <c r="FI62" s="249">
        <f t="shared" si="372"/>
        <v>206</v>
      </c>
      <c r="FJ62" s="249">
        <f t="shared" si="372"/>
        <v>99</v>
      </c>
      <c r="FK62" s="249">
        <f t="shared" si="372"/>
        <v>980</v>
      </c>
      <c r="FM62" s="112" t="s">
        <v>1716</v>
      </c>
      <c r="FN62" s="6">
        <f t="shared" ref="FN62:FN68" si="373">+FS62/$FW$68</f>
        <v>2.7806385169927908E-2</v>
      </c>
      <c r="FO62" s="6">
        <f t="shared" si="364"/>
        <v>1.9567456230690009E-2</v>
      </c>
      <c r="FP62" s="6">
        <f t="shared" si="365"/>
        <v>7.1060762100926878E-2</v>
      </c>
      <c r="FQ62" s="6">
        <f t="shared" si="366"/>
        <v>6.6941297631307933E-2</v>
      </c>
      <c r="FR62" s="6">
        <f t="shared" si="367"/>
        <v>0.18537590113285274</v>
      </c>
      <c r="FS62" s="249">
        <f>COUNTIFS('DETALLES UNIDADES'!$BA$8:$BA$987,"1",'DETALLES UNIDADES'!$J$8:$J$987,"&lt;500001")-FS61</f>
        <v>27</v>
      </c>
      <c r="FT62" s="249">
        <f>COUNTIFS('DETALLES UNIDADES'!$BA$8:$BA$987,"2",'DETALLES UNIDADES'!$J$8:$J$987,"&lt;500001")-FT61</f>
        <v>19</v>
      </c>
      <c r="FU62" s="249">
        <f>COUNTIFS('DETALLES UNIDADES'!$BA$8:$BA$987,"3",'DETALLES UNIDADES'!$J$8:$J$987,"&lt;500001")+COUNTIFS('DETALLES UNIDADES'!$BA$8:$BA$987,"4",'DETALLES UNIDADES'!$J$8:$J$987,"&lt;500001")+COUNTIFS('DETALLES UNIDADES'!$BA$8:$BA$987,"5",'DETALLES UNIDADES'!$J$8:$J$987,"&lt;500001")-FU61</f>
        <v>69</v>
      </c>
      <c r="FV62" s="249">
        <f>COUNTIFS('DETALLES UNIDADES'!$BA$8:$BA$987,"&gt;5",'DETALLES UNIDADES'!$J$8:$J$987,"&lt;500001")-FV61</f>
        <v>65</v>
      </c>
      <c r="FW62" s="249">
        <f t="shared" si="368"/>
        <v>180</v>
      </c>
    </row>
    <row r="63" spans="1:189" x14ac:dyDescent="0.25">
      <c r="A63" s="137" t="s">
        <v>193</v>
      </c>
      <c r="B63" s="6">
        <f t="shared" si="355"/>
        <v>0.18051575931232092</v>
      </c>
      <c r="C63" s="249">
        <f>COUNTIFS('ENCUESTA PROPIETARIOS'!$N$7:$N$417,"1",'ENCUESTA PROPIETARIOS'!$AG$7:$AG$417,"X")</f>
        <v>63</v>
      </c>
      <c r="D63" s="6"/>
      <c r="E63" s="6"/>
      <c r="F63" s="6"/>
      <c r="H63" s="249"/>
      <c r="I63" s="249"/>
      <c r="J63" s="249"/>
      <c r="K63" s="249"/>
      <c r="N63" s="249"/>
      <c r="X63" s="19" t="s">
        <v>1719</v>
      </c>
      <c r="Y63" s="254">
        <f>+AD63/$AH$71</f>
        <v>6.6666666666666671E-3</v>
      </c>
      <c r="Z63" s="254">
        <f t="shared" ref="Z63:Z71" si="374">+AE63/$AH$71</f>
        <v>1.5555555555555555E-2</v>
      </c>
      <c r="AA63" s="254">
        <f t="shared" ref="AA63:AA71" si="375">+AF63/$AH$71</f>
        <v>0</v>
      </c>
      <c r="AB63" s="254">
        <f t="shared" ref="AB63:AB71" si="376">+AG63/$AH$71</f>
        <v>2.4444444444444446E-2</v>
      </c>
      <c r="AC63" s="254">
        <f t="shared" ref="AC63:AC71" si="377">+AH63/$AH$71</f>
        <v>4.6666666666666669E-2</v>
      </c>
      <c r="AD63" s="9">
        <f>COUNTIFS('DETALLES UNIDADES'!$C$8:$C$987,"C2",'DETALLES UNIDADES'!$T$8:$T$987,"&lt;1.6",'DETALLES UNIDADES'!$S$8:$S$987,"D")</f>
        <v>6</v>
      </c>
      <c r="AE63" s="9">
        <f>COUNTIFS('DETALLES UNIDADES'!$C$8:$C$987,"C3",'DETALLES UNIDADES'!$T$8:$T$987,"&lt;1.6",'DETALLES UNIDADES'!$S$8:$S$987,"D")</f>
        <v>14</v>
      </c>
      <c r="AF63" s="9">
        <f>COUNTIFS('DETALLES UNIDADES'!$C$8:$C$987,"T2",'DETALLES UNIDADES'!$T$8:$T$987,"&lt;1.6",'DETALLES UNIDADES'!$S$8:$S$987,"D")</f>
        <v>0</v>
      </c>
      <c r="AG63" s="9">
        <f>COUNTIFS('DETALLES UNIDADES'!$C$8:$C$987,"T3",'DETALLES UNIDADES'!$T$8:$T$987,"&lt;1.6",'DETALLES UNIDADES'!$S$8:$S$987,"D")</f>
        <v>22</v>
      </c>
      <c r="AH63" s="249">
        <f t="shared" ref="AH63:AH70" si="378">SUM(AD63:AG63)</f>
        <v>42</v>
      </c>
      <c r="AI63" s="17">
        <v>42</v>
      </c>
      <c r="AK63" s="11" t="s">
        <v>2538</v>
      </c>
      <c r="AL63" s="6">
        <f t="shared" si="360"/>
        <v>2.8571428571428571E-2</v>
      </c>
      <c r="AM63" s="6">
        <f t="shared" si="356"/>
        <v>3.4693877551020408E-2</v>
      </c>
      <c r="AN63" s="6">
        <f t="shared" si="357"/>
        <v>4.7959183673469387E-2</v>
      </c>
      <c r="AO63" s="6">
        <f t="shared" si="358"/>
        <v>3.9795918367346937E-2</v>
      </c>
      <c r="AP63" s="6">
        <f t="shared" si="359"/>
        <v>0.15102040816326531</v>
      </c>
      <c r="AQ63" s="249">
        <f>COUNTIFS('DETALLES UNIDADES'!$BC$8:$BC$987,"&lt;2007",'DETALLES UNIDADES'!$BA$8:$BA$987,"1")-AQ62-AQ61-AQ60-AQ59</f>
        <v>28</v>
      </c>
      <c r="AR63" s="249">
        <f>COUNTIFS('DETALLES UNIDADES'!$BC$8:$BC$987,"&lt;2007",'DETALLES UNIDADES'!$BA$8:$BA$987,"2")-AR62-AR61-AR60-AR59</f>
        <v>34</v>
      </c>
      <c r="AS63" s="249">
        <f>COUNTIFS('DETALLES UNIDADES'!$BC$8:$BC$987,"&lt;2007",'DETALLES UNIDADES'!$BA$8:$BA$987,"&lt;6")-AR63-AQ63-AS62-AR62-AQ62-AS61-AR61-AQ61-AS60-AR60-AQ60-AS59-AR59-AQ59</f>
        <v>47</v>
      </c>
      <c r="AT63" s="249">
        <f>COUNTIFS('DETALLES UNIDADES'!$BC$8:$BC$987,"&lt;2007",'DETALLES UNIDADES'!$BA$8:$BA$987,"&gt;5")-AT62-AT61-AT60-AT59</f>
        <v>39</v>
      </c>
      <c r="AU63" s="249">
        <f t="shared" si="361"/>
        <v>148</v>
      </c>
      <c r="AV63" s="249">
        <v>148</v>
      </c>
      <c r="BD63" s="112" t="s">
        <v>943</v>
      </c>
      <c r="BE63" s="6">
        <f t="shared" si="362"/>
        <v>2.3809523809523808E-2</v>
      </c>
      <c r="BF63" s="138">
        <f t="shared" si="363"/>
        <v>3</v>
      </c>
      <c r="DF63" s="17" t="s">
        <v>2622</v>
      </c>
      <c r="DG63" s="6">
        <f t="shared" si="354"/>
        <v>1.2195121951219513E-2</v>
      </c>
      <c r="DH63" s="6">
        <f t="shared" si="346"/>
        <v>0</v>
      </c>
      <c r="DI63" s="6">
        <f t="shared" si="347"/>
        <v>0.1206896551724138</v>
      </c>
      <c r="DJ63" s="6">
        <f t="shared" si="348"/>
        <v>0</v>
      </c>
      <c r="DK63" s="6">
        <f t="shared" si="349"/>
        <v>4.0816326530612242E-2</v>
      </c>
      <c r="DL63" s="249">
        <f>COUNTIFS('DETALLES UNIDADES'!$BA$8:$BA$987,"1",'DETALLES UNIDADES'!$AU$8:$AU$987,"&gt;175000",'DETALLES UNIDADES'!$C$8:$C$987,"C3")</f>
        <v>1</v>
      </c>
      <c r="DM63" s="249">
        <f>COUNTIFS('DETALLES UNIDADES'!$BA$8:$BA$987,"2",'DETALLES UNIDADES'!$AU$8:$AU$987,"&gt;175000",'DETALLES UNIDADES'!$C$8:$C$987,"C3")</f>
        <v>0</v>
      </c>
      <c r="DN63" s="249">
        <f>COUNTIFS('DETALLES UNIDADES'!$BA$8:$BA$987,"3",'DETALLES UNIDADES'!$AU$8:$AU$987,"&gt;175000",'DETALLES UNIDADES'!$C$8:$C$987,"C3")+COUNTIFS('DETALLES UNIDADES'!$BA$8:$BA$987,"4",'DETALLES UNIDADES'!$AU$8:$AU$987,"&gt;175000",'DETALLES UNIDADES'!$C$8:$C$987,"C3")+COUNTIFS('DETALLES UNIDADES'!$BA$8:$BA$987,"5",'DETALLES UNIDADES'!$AU$8:$AU$987,"&gt;175000",'DETALLES UNIDADES'!$C$8:$C$987,"C3")</f>
        <v>7</v>
      </c>
      <c r="DO63" s="249">
        <f>COUNTIFS('DETALLES UNIDADES'!$BA$8:$BA$987,"&gt;5",'DETALLES UNIDADES'!$AU$8:$AU$987,"&gt;175000",'DETALLES UNIDADES'!$C$8:$C$987,"C3")</f>
        <v>0</v>
      </c>
      <c r="DP63" s="249">
        <f t="shared" si="350"/>
        <v>8</v>
      </c>
      <c r="FK63" s="249">
        <f>SUM(FD62:FJ62)</f>
        <v>980</v>
      </c>
      <c r="FM63" s="112" t="s">
        <v>1713</v>
      </c>
      <c r="FN63" s="6">
        <f t="shared" si="373"/>
        <v>8.8568486096807411E-2</v>
      </c>
      <c r="FO63" s="6">
        <f t="shared" si="364"/>
        <v>7.312049433573635E-2</v>
      </c>
      <c r="FP63" s="6">
        <f t="shared" si="365"/>
        <v>0.1101956745623069</v>
      </c>
      <c r="FQ63" s="6">
        <f t="shared" si="366"/>
        <v>8.4449021627188467E-2</v>
      </c>
      <c r="FR63" s="6">
        <f t="shared" si="367"/>
        <v>0.35633367662203913</v>
      </c>
      <c r="FS63" s="249">
        <f>COUNTIFS('DETALLES UNIDADES'!$BA$8:$BA$987,"1",'DETALLES UNIDADES'!$J$8:$J$987,"&lt;1000001")-FS62-FS61</f>
        <v>86</v>
      </c>
      <c r="FT63" s="249">
        <f>COUNTIFS('DETALLES UNIDADES'!$BA$8:$BA$987,"2",'DETALLES UNIDADES'!$J$8:$J$987,"&lt;1000001")-FT62-FT61</f>
        <v>71</v>
      </c>
      <c r="FU63" s="249">
        <f>COUNTIFS('DETALLES UNIDADES'!$BA$8:$BA$987,"3",'DETALLES UNIDADES'!$J$8:$J$987,"&lt;1000001")+COUNTIFS('DETALLES UNIDADES'!$BA$8:$BA$987,"4",'DETALLES UNIDADES'!$J$8:$J$987,"&lt;1000001")+COUNTIFS('DETALLES UNIDADES'!$BA$8:$BA$987,"5",'DETALLES UNIDADES'!$J$8:$J$987,"&lt;1000001")-FU62-FU61</f>
        <v>107</v>
      </c>
      <c r="FV63" s="249">
        <f>COUNTIFS('DETALLES UNIDADES'!$BA$8:$BA$987,"&gt;5",'DETALLES UNIDADES'!$J$8:$J$987,"&lt;1000001")-FV62-FV61</f>
        <v>82</v>
      </c>
      <c r="FW63" s="249">
        <f t="shared" si="368"/>
        <v>346</v>
      </c>
    </row>
    <row r="64" spans="1:189" x14ac:dyDescent="0.25">
      <c r="A64" s="137" t="s">
        <v>26</v>
      </c>
      <c r="B64" s="6">
        <f t="shared" si="355"/>
        <v>6.0171919770773637E-2</v>
      </c>
      <c r="C64" s="249">
        <f>COUNTIFS('ENCUESTA PROPIETARIOS'!$N$7:$N$417,"1",'ENCUESTA PROPIETARIOS'!$AI$7:$AI$417,"X")</f>
        <v>21</v>
      </c>
      <c r="D64" s="6"/>
      <c r="E64" s="112" t="s">
        <v>2729</v>
      </c>
      <c r="F64" s="11"/>
      <c r="G64" s="11"/>
      <c r="H64" s="11"/>
      <c r="I64" s="11"/>
      <c r="J64" s="11"/>
      <c r="K64" s="11"/>
      <c r="L64" s="11"/>
      <c r="M64" s="11"/>
      <c r="N64" s="11"/>
      <c r="O64" s="11"/>
      <c r="X64" s="19" t="s">
        <v>1720</v>
      </c>
      <c r="Y64" s="254">
        <f t="shared" ref="Y64:Y71" si="379">+AD64/$AH$71</f>
        <v>2.2222222222222223E-2</v>
      </c>
      <c r="Z64" s="254">
        <f t="shared" si="374"/>
        <v>0.02</v>
      </c>
      <c r="AA64" s="254">
        <f t="shared" si="375"/>
        <v>3.3333333333333335E-3</v>
      </c>
      <c r="AB64" s="254">
        <f t="shared" si="376"/>
        <v>0.10444444444444445</v>
      </c>
      <c r="AC64" s="254">
        <f t="shared" si="377"/>
        <v>0.15</v>
      </c>
      <c r="AD64" s="9">
        <f>COUNTIFS('DETALLES UNIDADES'!$C$8:$C$987,"C2",'DETALLES UNIDADES'!$T$8:$T$987,"&lt;1.91",'DETALLES UNIDADES'!$S$8:$S$987,"D")-AD63</f>
        <v>20</v>
      </c>
      <c r="AE64" s="9">
        <f>COUNTIFS('DETALLES UNIDADES'!$C$8:$C$987,"C3",'DETALLES UNIDADES'!$T$8:$T$987,"&lt;1.91",'DETALLES UNIDADES'!$S$8:$S$987,"D")-AE63</f>
        <v>18</v>
      </c>
      <c r="AF64" s="9">
        <f>COUNTIFS('DETALLES UNIDADES'!$C$8:$C$987,"T2",'DETALLES UNIDADES'!$T$8:$T$987,"&lt;1.91",'DETALLES UNIDADES'!$S$8:$S$987,"D")-AF63</f>
        <v>3</v>
      </c>
      <c r="AG64" s="9">
        <f>COUNTIFS('DETALLES UNIDADES'!$C$8:$C$987,"T3",'DETALLES UNIDADES'!$T$8:$T$987,"&lt;1.91",'DETALLES UNIDADES'!$S$8:$S$987,"D")-AG63</f>
        <v>94</v>
      </c>
      <c r="AH64" s="249">
        <f t="shared" si="378"/>
        <v>135</v>
      </c>
      <c r="AI64" s="17">
        <v>135</v>
      </c>
      <c r="AK64" s="11" t="s">
        <v>2539</v>
      </c>
      <c r="AL64" s="6">
        <f t="shared" si="360"/>
        <v>2.3469387755102041E-2</v>
      </c>
      <c r="AM64" s="6">
        <f t="shared" si="356"/>
        <v>3.5714285714285712E-2</v>
      </c>
      <c r="AN64" s="6">
        <f t="shared" si="357"/>
        <v>0.10408163265306122</v>
      </c>
      <c r="AO64" s="6">
        <f t="shared" si="358"/>
        <v>6.5306122448979598E-2</v>
      </c>
      <c r="AP64" s="6">
        <f t="shared" si="359"/>
        <v>0.22857142857142856</v>
      </c>
      <c r="AQ64" s="249">
        <f>COUNTIFS('DETALLES UNIDADES'!$BC$8:$BC$987,"&lt;2011",'DETALLES UNIDADES'!$BA$8:$BA$987,"1")-AQ63-AQ62-AQ61-AQ60-AQ59</f>
        <v>23</v>
      </c>
      <c r="AR64" s="249">
        <f>COUNTIFS('DETALLES UNIDADES'!$BC$8:$BC$987,"&lt;2011",'DETALLES UNIDADES'!$BA$8:$BA$987,"2")-AR63-AR62-AR61-AR60-AR59</f>
        <v>35</v>
      </c>
      <c r="AS64" s="249">
        <f>COUNTIFS('DETALLES UNIDADES'!$BC$8:$BC$987,"&lt;2011",'DETALLES UNIDADES'!$BA$8:$BA$987,"&lt;6")-AR64-AQ64-AS63-AR63-AQ63-AS62-AR62-AQ62-AS61-AR61-AQ61-AS60-AR60-AQ60-AS59-AR59-AQ59</f>
        <v>102</v>
      </c>
      <c r="AT64" s="249">
        <f>COUNTIFS('DETALLES UNIDADES'!$BC$8:$BC$987,"&lt;2011",'DETALLES UNIDADES'!$BA$8:$BA$987,"&gt;5")-AT63-AT62-AT61-AT60-AT59</f>
        <v>64</v>
      </c>
      <c r="AU64" s="249">
        <f t="shared" si="361"/>
        <v>224</v>
      </c>
      <c r="AV64" s="249">
        <v>224</v>
      </c>
      <c r="BD64" s="112" t="s">
        <v>944</v>
      </c>
      <c r="BE64" s="6">
        <f t="shared" si="362"/>
        <v>0</v>
      </c>
      <c r="BF64" s="138">
        <f t="shared" si="363"/>
        <v>0</v>
      </c>
      <c r="DF64" s="17" t="s">
        <v>1662</v>
      </c>
      <c r="DG64" s="6">
        <f t="shared" si="354"/>
        <v>1</v>
      </c>
      <c r="DH64" s="6">
        <f t="shared" si="346"/>
        <v>1</v>
      </c>
      <c r="DI64" s="6">
        <f t="shared" si="347"/>
        <v>1</v>
      </c>
      <c r="DJ64" s="6">
        <f t="shared" si="348"/>
        <v>1</v>
      </c>
      <c r="DK64" s="6">
        <f t="shared" si="349"/>
        <v>1</v>
      </c>
      <c r="DL64" s="249">
        <f>SUM(DL57:DL63)</f>
        <v>82</v>
      </c>
      <c r="DM64" s="249">
        <f t="shared" ref="DM64" si="380">SUM(DM57:DM63)</f>
        <v>36</v>
      </c>
      <c r="DN64" s="249">
        <f t="shared" ref="DN64" si="381">SUM(DN57:DN63)</f>
        <v>58</v>
      </c>
      <c r="DO64" s="249">
        <f t="shared" ref="DO64" si="382">SUM(DO57:DO63)</f>
        <v>20</v>
      </c>
      <c r="DP64" s="249">
        <f t="shared" ref="DP64" si="383">SUM(DP57:DP63)</f>
        <v>196</v>
      </c>
      <c r="ED64" s="17" t="s">
        <v>2677</v>
      </c>
      <c r="FM64" s="112" t="s">
        <v>943</v>
      </c>
      <c r="FN64" s="6">
        <f t="shared" si="373"/>
        <v>4.325437693099897E-2</v>
      </c>
      <c r="FO64" s="6">
        <f t="shared" si="364"/>
        <v>2.4716786817713696E-2</v>
      </c>
      <c r="FP64" s="6">
        <f t="shared" si="365"/>
        <v>3.9134912461380018E-2</v>
      </c>
      <c r="FQ64" s="6">
        <f t="shared" si="366"/>
        <v>3.3985581874356331E-2</v>
      </c>
      <c r="FR64" s="6">
        <f t="shared" si="367"/>
        <v>0.14109165808444901</v>
      </c>
      <c r="FS64" s="249">
        <f>COUNTIFS('DETALLES UNIDADES'!$BA$8:$BA$987,"1",'DETALLES UNIDADES'!$J$8:$J$987,"&lt;1500001")-FS63-FS62-FS61</f>
        <v>42</v>
      </c>
      <c r="FT64" s="249">
        <f>COUNTIFS('DETALLES UNIDADES'!$BA$8:$BA$987,"2",'DETALLES UNIDADES'!$J$8:$J$987,"&lt;1500001")-FT63-FT62-FT61</f>
        <v>24</v>
      </c>
      <c r="FU64" s="249">
        <f>COUNTIFS('DETALLES UNIDADES'!$BA$8:$BA$987,"3",'DETALLES UNIDADES'!$J$8:$J$987,"&lt;1500001")+COUNTIFS('DETALLES UNIDADES'!$BA$8:$BA$987,"4",'DETALLES UNIDADES'!$J$8:$J$987,"&lt;1500001")+COUNTIFS('DETALLES UNIDADES'!$BA$8:$BA$987,"5",'DETALLES UNIDADES'!$J$8:$J$987,"&lt;1500001")-FU63-FU62-FU61</f>
        <v>38</v>
      </c>
      <c r="FV64" s="249">
        <f>COUNTIFS('DETALLES UNIDADES'!$BA$8:$BA$987,"&gt;5",'DETALLES UNIDADES'!$J$8:$J$987,"&lt;1500001")-FV63-FV62-FV61</f>
        <v>33</v>
      </c>
      <c r="FW64" s="249">
        <f t="shared" si="368"/>
        <v>137</v>
      </c>
    </row>
    <row r="65" spans="1:179" x14ac:dyDescent="0.25">
      <c r="A65" s="137" t="s">
        <v>2408</v>
      </c>
      <c r="B65" s="6">
        <f t="shared" si="355"/>
        <v>0.11174785100286533</v>
      </c>
      <c r="C65" s="249">
        <f>COUNTIFS('ENCUESTA PROPIETARIOS'!$N$7:$N$417,"1",'ENCUESTA PROPIETARIOS'!$AK$7:$AK$417,"MAQUINARIA")+COUNTIFS('ENCUESTA PROPIETARIOS'!$N$7:$N$417,"1",'ENCUESTA PROPIETARIOS'!$AK$7:$AK$417,"GENERAL")+COUNTIFS('ENCUESTA PROPIETARIOS'!$N$7:$N$417,"1",'ENCUESTA PROPIETARIOS'!$AK$7:$AK$417,"CARTÓN Y PAPEL")+COUNTIFS('ENCUESTA PROPIETARIOS'!$N$7:$N$417,"1",'ENCUESTA PROPIETARIOS'!$AK$7:$AK$417,"PAQUETERIA")+COUNTIFS('ENCUESTA PROPIETARIOS'!$N$7:$N$417,"1",'ENCUESTA PROPIETARIOS'!$AK$7:$AK$417,"CONTENEDORES")+COUNTIFS('ENCUESTA PROPIETARIOS'!$N$7:$N$417,"1",'ENCUESTA PROPIETARIOS'!$AK$7:$AK$417,"ELECTRODOMESTICOS")+COUNTIFS('ENCUESTA PROPIETARIOS'!$N$7:$N$417,"1",'ENCUESTA PROPIETARIOS'!$AK$7:$AK$417,"FERTILIZANTE")+COUNTIFS('ENCUESTA PROPIETARIOS'!$N$7:$N$417,"1",'ENCUESTA PROPIETARIOS'!$AK$7:$AK$417,"AGUA")+COUNTIFS('ENCUESTA PROPIETARIOS'!$N$7:$N$417,"1",'ENCUESTA PROPIETARIOS'!$AK$7:$AK$417,"GANADO EN PIE")</f>
        <v>39</v>
      </c>
      <c r="D65" s="6"/>
      <c r="E65" s="11"/>
      <c r="F65" s="11" t="s">
        <v>814</v>
      </c>
      <c r="G65" s="11" t="s">
        <v>815</v>
      </c>
      <c r="H65" s="11" t="s">
        <v>1780</v>
      </c>
      <c r="I65" s="11" t="s">
        <v>1781</v>
      </c>
      <c r="J65" s="11" t="s">
        <v>715</v>
      </c>
      <c r="K65" s="11" t="s">
        <v>814</v>
      </c>
      <c r="L65" s="11" t="s">
        <v>815</v>
      </c>
      <c r="M65" s="11" t="s">
        <v>1780</v>
      </c>
      <c r="N65" s="11" t="s">
        <v>1781</v>
      </c>
      <c r="O65" s="11" t="s">
        <v>715</v>
      </c>
      <c r="X65" s="19" t="s">
        <v>1721</v>
      </c>
      <c r="Y65" s="254">
        <f t="shared" si="379"/>
        <v>2.5555555555555557E-2</v>
      </c>
      <c r="Z65" s="254">
        <f t="shared" si="374"/>
        <v>3.3333333333333333E-2</v>
      </c>
      <c r="AA65" s="254">
        <f t="shared" si="375"/>
        <v>1.7777777777777778E-2</v>
      </c>
      <c r="AB65" s="254">
        <f t="shared" si="376"/>
        <v>0.11777777777777777</v>
      </c>
      <c r="AC65" s="254">
        <f t="shared" si="377"/>
        <v>0.19444444444444445</v>
      </c>
      <c r="AD65" s="9">
        <f>COUNTIFS('DETALLES UNIDADES'!$C$8:$C$987,"C2",'DETALLES UNIDADES'!$T$8:$T$987,"&lt;2.01",'DETALLES UNIDADES'!$S$8:$S$987,"D")-AD64-AD63</f>
        <v>23</v>
      </c>
      <c r="AE65" s="9">
        <f>COUNTIFS('DETALLES UNIDADES'!$C$8:$C$987,"C3",'DETALLES UNIDADES'!$T$8:$T$987,"&lt;2.01",'DETALLES UNIDADES'!$S$8:$S$987,"D")-AE64-AE63</f>
        <v>30</v>
      </c>
      <c r="AF65" s="9">
        <f>COUNTIFS('DETALLES UNIDADES'!$C$8:$C$987,"T2",'DETALLES UNIDADES'!$T$8:$T$987,"&lt;2.01",'DETALLES UNIDADES'!$S$8:$S$987,"D")-AF64-AF63</f>
        <v>16</v>
      </c>
      <c r="AG65" s="9">
        <f>COUNTIFS('DETALLES UNIDADES'!$C$8:$C$987,"T3",'DETALLES UNIDADES'!$T$8:$T$987,"&lt;2.01",'DETALLES UNIDADES'!$S$8:$S$987,"D")-AG64-AG63</f>
        <v>106</v>
      </c>
      <c r="AH65" s="249">
        <f t="shared" si="378"/>
        <v>175</v>
      </c>
      <c r="AI65" s="17">
        <v>175</v>
      </c>
      <c r="AK65" s="11" t="s">
        <v>2540</v>
      </c>
      <c r="AL65" s="6">
        <f t="shared" si="360"/>
        <v>1.020408163265306E-2</v>
      </c>
      <c r="AM65" s="6">
        <f t="shared" si="356"/>
        <v>6.1224489795918364E-3</v>
      </c>
      <c r="AN65" s="6">
        <f t="shared" si="357"/>
        <v>3.2653061224489799E-2</v>
      </c>
      <c r="AO65" s="6">
        <f t="shared" si="358"/>
        <v>5.3061224489795916E-2</v>
      </c>
      <c r="AP65" s="6">
        <f t="shared" si="359"/>
        <v>0.10204081632653061</v>
      </c>
      <c r="AQ65" s="249">
        <f>COUNTIFS('DETALLES UNIDADES'!$BC$8:$BC$987,"&gt;2010",'DETALLES UNIDADES'!$BA$8:$BA$987,"1")</f>
        <v>10</v>
      </c>
      <c r="AR65" s="249">
        <f>COUNTIFS('DETALLES UNIDADES'!$BC$8:$BC$987,"&gt;2010",'DETALLES UNIDADES'!$BA$8:$BA$987,"2")</f>
        <v>6</v>
      </c>
      <c r="AS65" s="249">
        <f>COUNTIFS('DETALLES UNIDADES'!$BC$8:$BC$987,"&gt;2010",'DETALLES UNIDADES'!$BA$8:$BA$987,"&lt;6")-AR65-AQ65</f>
        <v>32</v>
      </c>
      <c r="AT65" s="249">
        <f>COUNTIFS('DETALLES UNIDADES'!$BC$8:$BC$987,"&gt;2010",'DETALLES UNIDADES'!$BA$8:$BA$987,"&gt;5")</f>
        <v>52</v>
      </c>
      <c r="AU65" s="249">
        <f t="shared" si="361"/>
        <v>100</v>
      </c>
      <c r="AV65" s="249">
        <v>100</v>
      </c>
      <c r="BD65" s="112" t="s">
        <v>1714</v>
      </c>
      <c r="BE65" s="6">
        <f t="shared" si="362"/>
        <v>0</v>
      </c>
      <c r="BF65" s="138">
        <f t="shared" si="363"/>
        <v>0</v>
      </c>
      <c r="DF65" s="17" t="s">
        <v>1013</v>
      </c>
      <c r="DL65" s="138">
        <f>+'DETALLES UNIDADES'!AU1015</f>
        <v>0</v>
      </c>
      <c r="DM65" s="249"/>
      <c r="DN65" s="249"/>
      <c r="DO65" s="249"/>
      <c r="DP65" s="249">
        <f>SUM(DP57:DP63)</f>
        <v>196</v>
      </c>
      <c r="EE65" s="249" t="s">
        <v>348</v>
      </c>
      <c r="EF65" s="249" t="s">
        <v>351</v>
      </c>
      <c r="EG65" s="249" t="s">
        <v>359</v>
      </c>
      <c r="EH65" s="249" t="s">
        <v>337</v>
      </c>
      <c r="EJ65" s="249" t="s">
        <v>348</v>
      </c>
      <c r="EK65" s="249" t="s">
        <v>351</v>
      </c>
      <c r="EL65" s="249" t="s">
        <v>359</v>
      </c>
      <c r="EM65" s="249" t="s">
        <v>337</v>
      </c>
      <c r="EV65" s="17" t="s">
        <v>2703</v>
      </c>
      <c r="FM65" s="112" t="s">
        <v>944</v>
      </c>
      <c r="FN65" s="6">
        <f t="shared" si="373"/>
        <v>1.8537590113285273E-2</v>
      </c>
      <c r="FO65" s="6">
        <f t="shared" si="364"/>
        <v>9.2687950566426366E-3</v>
      </c>
      <c r="FP65" s="6">
        <f t="shared" si="365"/>
        <v>3.0895983522142123E-2</v>
      </c>
      <c r="FQ65" s="6">
        <f t="shared" si="366"/>
        <v>4.0164778578784761E-2</v>
      </c>
      <c r="FR65" s="6">
        <f t="shared" si="367"/>
        <v>9.8867147270854785E-2</v>
      </c>
      <c r="FS65" s="249">
        <f>COUNTIFS('DETALLES UNIDADES'!$BA$8:$BA$987,"1",'DETALLES UNIDADES'!$J$8:$J$987,"&lt;2000001")-FS64-FS63-FS62-FS61</f>
        <v>18</v>
      </c>
      <c r="FT65" s="249">
        <f>COUNTIFS('DETALLES UNIDADES'!$BA$8:$BA$987,"2",'DETALLES UNIDADES'!$J$8:$J$987,"&lt;2000001")-FT64-FT63-FT62-FT61</f>
        <v>9</v>
      </c>
      <c r="FU65" s="249">
        <f>COUNTIFS('DETALLES UNIDADES'!$BA$8:$BA$987,"3",'DETALLES UNIDADES'!$J$8:$J$987,"&lt;2000001")+COUNTIFS('DETALLES UNIDADES'!$BA$8:$BA$987,"4",'DETALLES UNIDADES'!$J$8:$J$987,"&lt;2000001")+COUNTIFS('DETALLES UNIDADES'!$BA$8:$BA$987,"5",'DETALLES UNIDADES'!$J$8:$J$987,"&lt;2000001")-FU64-FU63-FU62-FU61</f>
        <v>30</v>
      </c>
      <c r="FV65" s="249">
        <f>COUNTIFS('DETALLES UNIDADES'!$BA$8:$BA$987,"&gt;5",'DETALLES UNIDADES'!$J$8:$J$987,"&lt;2000001")-FV64-FV63-FV62-FV61</f>
        <v>39</v>
      </c>
      <c r="FW65" s="249">
        <f t="shared" si="368"/>
        <v>96</v>
      </c>
    </row>
    <row r="66" spans="1:179" ht="25.5" x14ac:dyDescent="0.25">
      <c r="A66" s="137" t="s">
        <v>1662</v>
      </c>
      <c r="B66" s="6">
        <f t="shared" si="355"/>
        <v>1</v>
      </c>
      <c r="C66" s="249">
        <f>SUM(C58:C65)</f>
        <v>349</v>
      </c>
      <c r="D66" s="6"/>
      <c r="E66" s="137" t="s">
        <v>2409</v>
      </c>
      <c r="F66" s="6">
        <f>+K66/$O$66</f>
        <v>0.33333333333333331</v>
      </c>
      <c r="G66" s="6">
        <f t="shared" ref="G66:J66" si="384">+L66/$O$66</f>
        <v>0.15686274509803921</v>
      </c>
      <c r="H66" s="6">
        <f t="shared" si="384"/>
        <v>0.37254901960784315</v>
      </c>
      <c r="I66" s="6">
        <f t="shared" si="384"/>
        <v>0.13725490196078433</v>
      </c>
      <c r="J66" s="6">
        <f t="shared" si="384"/>
        <v>1</v>
      </c>
      <c r="K66" s="249">
        <f>COUNTIFS('ENCUESTA PROPIETARIOS'!$N$7:$N$417,"1",'ENCUESTA PROPIETARIOS'!$AD$7:$AD$417,"X")+COUNTIFS('ENCUESTA PROPIETARIOS'!$N$7:$N$417,"1",'ENCUESTA PROPIETARIOS'!$AJ$7:$AJ$417,"X")</f>
        <v>17</v>
      </c>
      <c r="L66" s="249">
        <f>COUNTIFS('ENCUESTA PROPIETARIOS'!$N$7:$N$417,"2",'ENCUESTA PROPIETARIOS'!$AD$7:$AD$417,"X")+COUNTIFS('ENCUESTA PROPIETARIOS'!$N$7:$N$417,"2",'ENCUESTA PROPIETARIOS'!$AJ$7:$AJ$417,"X")</f>
        <v>8</v>
      </c>
      <c r="M66" s="249">
        <f>COUNTIFS('ENCUESTA PROPIETARIOS'!$N$7:$N$417,"3",'ENCUESTA PROPIETARIOS'!$AD$7:$AD$417,"X")+COUNTIFS('ENCUESTA PROPIETARIOS'!$N$7:$N$417,"4",'ENCUESTA PROPIETARIOS'!$AD$7:$AD$417,"X")+COUNTIFS('ENCUESTA PROPIETARIOS'!$N$7:$N$417,"5",'ENCUESTA PROPIETARIOS'!$AD$7:$AD$417,"X")+COUNTIFS('ENCUESTA PROPIETARIOS'!$N$7:$N$417,"3",'ENCUESTA PROPIETARIOS'!$AJ$7:$AJ$417,"X")+COUNTIFS('ENCUESTA PROPIETARIOS'!$N$7:$N$417,"4",'ENCUESTA PROPIETARIOS'!$AJ$7:$AJ$417,"X")+COUNTIFS('ENCUESTA PROPIETARIOS'!$N$7:$N$417,"5",'ENCUESTA PROPIETARIOS'!$AJ$7:$AJ$417,"X")</f>
        <v>19</v>
      </c>
      <c r="N66" s="249">
        <f>COUNTIFS('ENCUESTA PROPIETARIOS'!$N$7:$N$417,"&gt;5",'ENCUESTA PROPIETARIOS'!$AD$7:$AD$417,"X")+COUNTIFS('ENCUESTA PROPIETARIOS'!$N$7:$N$417,"&gt;5",'ENCUESTA PROPIETARIOS'!$AJ$7:$AJ$417,"X")</f>
        <v>7</v>
      </c>
      <c r="O66" s="249">
        <f t="shared" ref="O66" si="385">SUM(K66:N66)</f>
        <v>51</v>
      </c>
      <c r="X66" s="19" t="s">
        <v>1722</v>
      </c>
      <c r="Y66" s="254">
        <f t="shared" si="379"/>
        <v>2.2222222222222222E-3</v>
      </c>
      <c r="Z66" s="254">
        <f t="shared" si="374"/>
        <v>1.3333333333333334E-2</v>
      </c>
      <c r="AA66" s="254">
        <f t="shared" si="375"/>
        <v>1.1111111111111112E-2</v>
      </c>
      <c r="AB66" s="254">
        <f t="shared" si="376"/>
        <v>0.14333333333333334</v>
      </c>
      <c r="AC66" s="254">
        <f t="shared" si="377"/>
        <v>0.17</v>
      </c>
      <c r="AD66" s="9">
        <f>COUNTIFS('DETALLES UNIDADES'!$C$8:$C$987,"C2",'DETALLES UNIDADES'!$T$8:$T$987,"&lt;2.21",'DETALLES UNIDADES'!$S$8:$S$987,"D")-AD65-AD64-AD63</f>
        <v>2</v>
      </c>
      <c r="AE66" s="9">
        <f>COUNTIFS('DETALLES UNIDADES'!$C$8:$C$987,"C3",'DETALLES UNIDADES'!$T$8:$T$987,"&lt;2.21",'DETALLES UNIDADES'!$S$8:$S$987,"D")-AE65-AE64-AE63</f>
        <v>12</v>
      </c>
      <c r="AF66" s="9">
        <f>COUNTIFS('DETALLES UNIDADES'!$C$8:$C$987,"T2",'DETALLES UNIDADES'!$T$8:$T$987,"&lt;2.21",'DETALLES UNIDADES'!$S$8:$S$987,"D")-AF65-AF64-AF63</f>
        <v>10</v>
      </c>
      <c r="AG66" s="9">
        <f>COUNTIFS('DETALLES UNIDADES'!$C$8:$C$987,"T3",'DETALLES UNIDADES'!$T$8:$T$987,"&lt;2.21",'DETALLES UNIDADES'!$S$8:$S$987,"D")-AG65-AG64-AG63</f>
        <v>129</v>
      </c>
      <c r="AH66" s="249">
        <f t="shared" si="378"/>
        <v>153</v>
      </c>
      <c r="AI66" s="17">
        <v>153</v>
      </c>
      <c r="AK66" s="11" t="s">
        <v>715</v>
      </c>
      <c r="AL66" s="6">
        <f t="shared" si="360"/>
        <v>0.21326530612244898</v>
      </c>
      <c r="AM66" s="6">
        <f t="shared" si="356"/>
        <v>0.16326530612244897</v>
      </c>
      <c r="AN66" s="6">
        <f t="shared" si="357"/>
        <v>0.32959183673469389</v>
      </c>
      <c r="AO66" s="6">
        <f t="shared" si="358"/>
        <v>0.29387755102040819</v>
      </c>
      <c r="AP66" s="6">
        <f t="shared" si="359"/>
        <v>1</v>
      </c>
      <c r="AQ66" s="249">
        <f>SUM(AQ59:AQ65)</f>
        <v>209</v>
      </c>
      <c r="AR66" s="249">
        <f t="shared" ref="AR66" si="386">SUM(AR59:AR65)</f>
        <v>160</v>
      </c>
      <c r="AS66" s="249">
        <f t="shared" ref="AS66" si="387">SUM(AS59:AS65)</f>
        <v>323</v>
      </c>
      <c r="AT66" s="249">
        <f t="shared" ref="AT66" si="388">SUM(AT59:AT65)</f>
        <v>288</v>
      </c>
      <c r="AU66" s="249">
        <f t="shared" si="361"/>
        <v>980</v>
      </c>
      <c r="AV66" s="249">
        <v>980</v>
      </c>
      <c r="BD66" s="112" t="s">
        <v>1715</v>
      </c>
      <c r="BE66" s="6">
        <f t="shared" si="362"/>
        <v>0</v>
      </c>
      <c r="BF66" s="138">
        <f t="shared" si="363"/>
        <v>0</v>
      </c>
      <c r="DP66" s="249">
        <f>+DP65+DL65</f>
        <v>196</v>
      </c>
      <c r="ED66" s="11" t="s">
        <v>2658</v>
      </c>
      <c r="EE66" s="6">
        <f>+EJ66/EJ$73</f>
        <v>8.1339712918660281E-2</v>
      </c>
      <c r="EF66" s="6">
        <f t="shared" ref="EF66:EF73" si="389">+EK66/EK$73</f>
        <v>7.6923076923076927E-2</v>
      </c>
      <c r="EG66" s="6">
        <f t="shared" ref="EG66:EG73" si="390">+EL66/EL$73</f>
        <v>9.3023255813953487E-2</v>
      </c>
      <c r="EH66" s="6">
        <f t="shared" ref="EH66:EH73" si="391">+EM66/EM$73</f>
        <v>3.780718336483932E-3</v>
      </c>
      <c r="EI66" s="6">
        <f t="shared" ref="EI66:EI73" si="392">+EN66/EN$73</f>
        <v>3.8934426229508198E-2</v>
      </c>
      <c r="EJ66" s="249">
        <f>COUNTIFS('DETALLES UNIDADES'!$C$8:$C$987,"C2",'DETALLES UNIDADES'!$AO$8:$AO$987,"&lt;10000")</f>
        <v>17</v>
      </c>
      <c r="EK66" s="249">
        <f>COUNTIFS('DETALLES UNIDADES'!$C$8:$C$987,"C3",'DETALLES UNIDADES'!$AO$8:$AO$987,"&lt;10000")</f>
        <v>15</v>
      </c>
      <c r="EL66" s="249">
        <f>COUNTIFS('DETALLES UNIDADES'!$C$8:$C$987,"T2",'DETALLES UNIDADES'!$AO$8:$AO$987,"&lt;10000")</f>
        <v>4</v>
      </c>
      <c r="EM66" s="249">
        <f>COUNTIFS('DETALLES UNIDADES'!$C$8:$C$987,"T3",'DETALLES UNIDADES'!$AO$8:$AO$987,"&lt;10000")</f>
        <v>2</v>
      </c>
      <c r="EN66" s="249">
        <f t="shared" ref="EN66:EN72" si="393">SUM(EJ66:EM66)</f>
        <v>38</v>
      </c>
      <c r="EW66" s="17" t="s">
        <v>718</v>
      </c>
      <c r="EX66" s="17" t="s">
        <v>1717</v>
      </c>
      <c r="FM66" s="112" t="s">
        <v>1714</v>
      </c>
      <c r="FN66" s="6">
        <f t="shared" si="373"/>
        <v>9.2687950566426366E-3</v>
      </c>
      <c r="FO66" s="6">
        <f t="shared" si="364"/>
        <v>1.0298661174047374E-2</v>
      </c>
      <c r="FP66" s="6">
        <f t="shared" si="365"/>
        <v>2.0597322348094747E-3</v>
      </c>
      <c r="FQ66" s="6">
        <f t="shared" si="366"/>
        <v>3.089598352214212E-3</v>
      </c>
      <c r="FR66" s="6">
        <f t="shared" si="367"/>
        <v>2.4716786817713696E-2</v>
      </c>
      <c r="FS66" s="249">
        <f>COUNTIFS('DETALLES UNIDADES'!$BA$8:$BA$987,"1",'DETALLES UNIDADES'!$J$8:$J$987,"&lt;2500001")-FS65-FS64-FS63-FS62-FS61</f>
        <v>9</v>
      </c>
      <c r="FT66" s="249">
        <f>COUNTIFS('DETALLES UNIDADES'!$BA$8:$BA$987,"2",'DETALLES UNIDADES'!$J$8:$J$987,"&lt;2500001")-FT65-FT64-FT63-FT62-FT61</f>
        <v>10</v>
      </c>
      <c r="FU66" s="249">
        <f>COUNTIFS('DETALLES UNIDADES'!$BA$8:$BA$987,"3",'DETALLES UNIDADES'!$J$8:$J$987,"&lt;2500001")+COUNTIFS('DETALLES UNIDADES'!$BA$8:$BA$987,"4",'DETALLES UNIDADES'!$J$8:$J$987,"&lt;2500001")+COUNTIFS('DETALLES UNIDADES'!$BA$8:$BA$987,"5",'DETALLES UNIDADES'!$J$8:$J$987,"&lt;2500001")-FU65-FU64-FU63-FU62-FU61</f>
        <v>2</v>
      </c>
      <c r="FV66" s="249">
        <f>COUNTIFS('DETALLES UNIDADES'!$BA$8:$BA$987,"&gt;5",'DETALLES UNIDADES'!$J$8:$J$987,"&lt;2500001")-FV65-FV64-FV63-FV62-FV61</f>
        <v>3</v>
      </c>
      <c r="FW66" s="249">
        <f t="shared" si="368"/>
        <v>24</v>
      </c>
    </row>
    <row r="67" spans="1:179" x14ac:dyDescent="0.25">
      <c r="N67" s="249"/>
      <c r="X67" s="19" t="s">
        <v>1723</v>
      </c>
      <c r="Y67" s="254">
        <f t="shared" si="379"/>
        <v>1.1111111111111112E-2</v>
      </c>
      <c r="Z67" s="254">
        <f t="shared" si="374"/>
        <v>2.5555555555555557E-2</v>
      </c>
      <c r="AA67" s="254">
        <f t="shared" si="375"/>
        <v>6.6666666666666671E-3</v>
      </c>
      <c r="AB67" s="254">
        <f t="shared" si="376"/>
        <v>0.16111111111111112</v>
      </c>
      <c r="AC67" s="254">
        <f t="shared" si="377"/>
        <v>0.20444444444444446</v>
      </c>
      <c r="AD67" s="9">
        <f>COUNTIFS('DETALLES UNIDADES'!$C$8:$C$987,"C2",'DETALLES UNIDADES'!$T$8:$T$987,"&lt;2.51",'DETALLES UNIDADES'!$S$8:$S$987,"D")-AD66-AD65-AD64-AD63</f>
        <v>10</v>
      </c>
      <c r="AE67" s="9">
        <f>COUNTIFS('DETALLES UNIDADES'!$C$8:$C$987,"C3",'DETALLES UNIDADES'!$T$8:$T$987,"&lt;2.51",'DETALLES UNIDADES'!$S$8:$S$987,"D")-AE66-AE65-AE64-AE63</f>
        <v>23</v>
      </c>
      <c r="AF67" s="9">
        <f>COUNTIFS('DETALLES UNIDADES'!$C$8:$C$987,"T2",'DETALLES UNIDADES'!$T$8:$T$987,"&lt;2.51",'DETALLES UNIDADES'!$S$8:$S$987,"D")-AF66-AF65-AF64-AF63</f>
        <v>6</v>
      </c>
      <c r="AG67" s="9">
        <f>COUNTIFS('DETALLES UNIDADES'!$C$8:$C$987,"T3",'DETALLES UNIDADES'!$T$8:$T$987,"&lt;2.51",'DETALLES UNIDADES'!$S$8:$S$987,"D")-AG66-AG65-AG64-AG63</f>
        <v>145</v>
      </c>
      <c r="AH67" s="249">
        <f t="shared" si="378"/>
        <v>184</v>
      </c>
      <c r="AI67" s="17">
        <v>184</v>
      </c>
      <c r="AQ67" s="249">
        <v>209</v>
      </c>
      <c r="AR67" s="249">
        <v>160</v>
      </c>
      <c r="AS67" s="249">
        <v>323</v>
      </c>
      <c r="AT67" s="249">
        <v>288</v>
      </c>
      <c r="AU67" s="249">
        <v>980</v>
      </c>
      <c r="AV67" s="249">
        <f>SUM(AU59:AU65)</f>
        <v>980</v>
      </c>
      <c r="BD67" s="11" t="s">
        <v>715</v>
      </c>
      <c r="BE67" s="6">
        <f t="shared" si="362"/>
        <v>1</v>
      </c>
      <c r="BF67" s="138">
        <f t="shared" si="363"/>
        <v>126</v>
      </c>
      <c r="ED67" s="17" t="s">
        <v>2659</v>
      </c>
      <c r="EE67" s="6">
        <f t="shared" ref="EE67:EE73" si="394">+EJ67/EJ$73</f>
        <v>0.35885167464114831</v>
      </c>
      <c r="EF67" s="6">
        <f t="shared" si="389"/>
        <v>0.14871794871794872</v>
      </c>
      <c r="EG67" s="6">
        <f t="shared" si="390"/>
        <v>0.2558139534883721</v>
      </c>
      <c r="EH67" s="6">
        <f t="shared" si="391"/>
        <v>7.9395085066162566E-2</v>
      </c>
      <c r="EI67" s="6">
        <f t="shared" si="392"/>
        <v>0.16086065573770492</v>
      </c>
      <c r="EJ67" s="249">
        <f>COUNTIFS('DETALLES UNIDADES'!$C$8:$C$987,"C2",'DETALLES UNIDADES'!$AO$8:$AO$987,"&lt;15001")-EJ66</f>
        <v>75</v>
      </c>
      <c r="EK67" s="249">
        <f>COUNTIFS('DETALLES UNIDADES'!$C$8:$C$987,"C3",'DETALLES UNIDADES'!$AO$8:$AO$987,"&lt;15001")-EK66</f>
        <v>29</v>
      </c>
      <c r="EL67" s="249">
        <f>COUNTIFS('DETALLES UNIDADES'!$C$8:$C$987,"T2",'DETALLES UNIDADES'!$AO$8:$AO$987,"&lt;15001")-EL66</f>
        <v>11</v>
      </c>
      <c r="EM67" s="249">
        <f>COUNTIFS('DETALLES UNIDADES'!$C$8:$C$987,"T3",'DETALLES UNIDADES'!$AO$8:$AO$987,"&lt;15001")-EM66</f>
        <v>42</v>
      </c>
      <c r="EN67" s="249">
        <f t="shared" si="393"/>
        <v>157</v>
      </c>
      <c r="EV67" s="137" t="s">
        <v>19</v>
      </c>
      <c r="EW67" s="6">
        <f>+EX67/$EX$75</f>
        <v>0.13725490196078433</v>
      </c>
      <c r="EX67" s="249">
        <f>COUNTIFS('ENCUESTA PROPIETARIOS'!$DU$7:$DU$417,"X",'ENCUESTA PROPIETARIOS'!$AB$7:$AB$417,"X")</f>
        <v>7</v>
      </c>
      <c r="FM67" s="112" t="s">
        <v>2711</v>
      </c>
      <c r="FN67" s="6">
        <f t="shared" si="373"/>
        <v>1.3388259526261586E-2</v>
      </c>
      <c r="FO67" s="6">
        <f t="shared" si="364"/>
        <v>4.1194644696189494E-3</v>
      </c>
      <c r="FP67" s="6">
        <f t="shared" si="365"/>
        <v>4.1194644696189494E-3</v>
      </c>
      <c r="FQ67" s="6">
        <f t="shared" si="366"/>
        <v>2.0597322348094747E-3</v>
      </c>
      <c r="FR67" s="6">
        <f t="shared" si="367"/>
        <v>2.368692070030896E-2</v>
      </c>
      <c r="FS67" s="249">
        <f>COUNTIFS('DETALLES UNIDADES'!$BA$8:$BA$987,"1",'DETALLES UNIDADES'!$J$8:$J$987,"&gt;2500000")</f>
        <v>13</v>
      </c>
      <c r="FT67" s="249">
        <f>COUNTIFS('DETALLES UNIDADES'!$BA$8:$BA$987,"2",'DETALLES UNIDADES'!$J$8:$J$987,"&gt;2500000")</f>
        <v>4</v>
      </c>
      <c r="FU67" s="249">
        <f>COUNTIFS('DETALLES UNIDADES'!$BA$8:$BA$987,"3",'DETALLES UNIDADES'!$J$8:$J$987,"&gt;2500000")+COUNTIFS('DETALLES UNIDADES'!$BA$8:$BA$987,"4",'DETALLES UNIDADES'!$J$8:$J$987,"&gt;2500000")+COUNTIFS('DETALLES UNIDADES'!$BA$8:$BA$987,"5",'DETALLES UNIDADES'!$J$8:$J$987,"&gt;2500000")</f>
        <v>4</v>
      </c>
      <c r="FV67" s="249">
        <f>COUNTIFS('DETALLES UNIDADES'!$BA$8:$BA$987,"&gt;5",'DETALLES UNIDADES'!$J$8:$J$987,"&gt;2500000")</f>
        <v>2</v>
      </c>
      <c r="FW67" s="249">
        <f t="shared" si="368"/>
        <v>23</v>
      </c>
    </row>
    <row r="68" spans="1:179" x14ac:dyDescent="0.25">
      <c r="A68" s="17" t="s">
        <v>2502</v>
      </c>
      <c r="B68" s="17"/>
      <c r="E68" s="112" t="s">
        <v>2730</v>
      </c>
      <c r="F68" s="11"/>
      <c r="G68" s="11"/>
      <c r="H68" s="11"/>
      <c r="I68" s="11"/>
      <c r="J68" s="11"/>
      <c r="K68" s="11"/>
      <c r="L68" s="11"/>
      <c r="M68" s="11"/>
      <c r="N68" s="11"/>
      <c r="O68" s="11"/>
      <c r="X68" s="19" t="s">
        <v>1724</v>
      </c>
      <c r="Y68" s="254">
        <f t="shared" si="379"/>
        <v>1.8888888888888889E-2</v>
      </c>
      <c r="Z68" s="254">
        <f t="shared" si="374"/>
        <v>3.2222222222222222E-2</v>
      </c>
      <c r="AA68" s="254">
        <f t="shared" si="375"/>
        <v>8.8888888888888889E-3</v>
      </c>
      <c r="AB68" s="254">
        <f t="shared" si="376"/>
        <v>3.888888888888889E-2</v>
      </c>
      <c r="AC68" s="254">
        <f t="shared" si="377"/>
        <v>9.8888888888888887E-2</v>
      </c>
      <c r="AD68" s="9">
        <f>COUNTIFS('DETALLES UNIDADES'!$C$8:$C$987,"C2",'DETALLES UNIDADES'!$T$8:$T$987,"&lt;3.01",'DETALLES UNIDADES'!$S$8:$S$987,"D")-AD67-AD66-AD65-AD64-AD63</f>
        <v>17</v>
      </c>
      <c r="AE68" s="9">
        <f>COUNTIFS('DETALLES UNIDADES'!$C$8:$C$987,"C3",'DETALLES UNIDADES'!$T$8:$T$987,"&lt;3.01",'DETALLES UNIDADES'!$S$8:$S$987,"D")-AE67-AE66-AE65-AE64-AE63</f>
        <v>29</v>
      </c>
      <c r="AF68" s="9">
        <f>COUNTIFS('DETALLES UNIDADES'!$C$8:$C$987,"T2",'DETALLES UNIDADES'!$T$8:$T$987,"&lt;3.01",'DETALLES UNIDADES'!$S$8:$S$987,"D")-AF67-AF66-AF65-AF64-AF63</f>
        <v>8</v>
      </c>
      <c r="AG68" s="9">
        <f>COUNTIFS('DETALLES UNIDADES'!$C$8:$C$987,"T3",'DETALLES UNIDADES'!$T$8:$T$987,"&lt;3.01",'DETALLES UNIDADES'!$S$8:$S$987,"D")-AG67-AG66-AG65-AG64-AG63</f>
        <v>35</v>
      </c>
      <c r="AH68" s="249">
        <f t="shared" si="378"/>
        <v>89</v>
      </c>
      <c r="AI68" s="17">
        <v>89</v>
      </c>
      <c r="DF68" s="17" t="s">
        <v>2628</v>
      </c>
      <c r="ED68" s="17" t="s">
        <v>2660</v>
      </c>
      <c r="EE68" s="6">
        <f t="shared" si="394"/>
        <v>0.21052631578947367</v>
      </c>
      <c r="EF68" s="6">
        <f t="shared" si="389"/>
        <v>0.15384615384615385</v>
      </c>
      <c r="EG68" s="6">
        <f t="shared" si="390"/>
        <v>0.18604651162790697</v>
      </c>
      <c r="EH68" s="6">
        <f t="shared" si="391"/>
        <v>0.31190926275992437</v>
      </c>
      <c r="EI68" s="6">
        <f t="shared" si="392"/>
        <v>0.2530737704918033</v>
      </c>
      <c r="EJ68" s="249">
        <f>COUNTIFS('DETALLES UNIDADES'!$C$8:$C$987,"C2",'DETALLES UNIDADES'!$AO$8:$AO$987,"&lt;20001")-EJ67-EJ66</f>
        <v>44</v>
      </c>
      <c r="EK68" s="249">
        <f>COUNTIFS('DETALLES UNIDADES'!$C$8:$C$987,"C3",'DETALLES UNIDADES'!$AO$8:$AO$987,"&lt;20001")-EK67-EK66</f>
        <v>30</v>
      </c>
      <c r="EL68" s="249">
        <f>COUNTIFS('DETALLES UNIDADES'!$C$8:$C$987,"T2",'DETALLES UNIDADES'!$AO$8:$AO$987,"&lt;20001")-EL67-EL66</f>
        <v>8</v>
      </c>
      <c r="EM68" s="249">
        <f>COUNTIFS('DETALLES UNIDADES'!$C$8:$C$987,"T3",'DETALLES UNIDADES'!$AO$8:$AO$987,"&lt;20001")-EM67-EM66</f>
        <v>165</v>
      </c>
      <c r="EN68" s="249">
        <f t="shared" si="393"/>
        <v>247</v>
      </c>
      <c r="EV68" s="137" t="s">
        <v>20</v>
      </c>
      <c r="EW68" s="6">
        <f t="shared" ref="EW68:EW75" si="395">+EX68/$EX$75</f>
        <v>0.13725490196078433</v>
      </c>
      <c r="EX68" s="249">
        <f>COUNTIFS('ENCUESTA PROPIETARIOS'!$DU$7:$DU$417,"X",'ENCUESTA PROPIETARIOS'!$AC$7:$AC$417,"X")</f>
        <v>7</v>
      </c>
      <c r="FM68" s="11" t="s">
        <v>715</v>
      </c>
      <c r="FN68" s="6">
        <f t="shared" si="373"/>
        <v>0.21215242018537589</v>
      </c>
      <c r="FO68" s="6">
        <f t="shared" si="364"/>
        <v>0.15859938208032956</v>
      </c>
      <c r="FP68" s="6">
        <f t="shared" si="365"/>
        <v>0.33264675592173015</v>
      </c>
      <c r="FQ68" s="6">
        <f t="shared" si="366"/>
        <v>0.29660144181256437</v>
      </c>
      <c r="FR68" s="6">
        <f t="shared" si="367"/>
        <v>1</v>
      </c>
      <c r="FS68" s="249">
        <f>SUM(FS61:FS67)</f>
        <v>206</v>
      </c>
      <c r="FT68" s="249">
        <f t="shared" ref="FT68:FW68" si="396">SUM(FT61:FT67)</f>
        <v>154</v>
      </c>
      <c r="FU68" s="249">
        <f t="shared" si="396"/>
        <v>323</v>
      </c>
      <c r="FV68" s="249">
        <f t="shared" si="396"/>
        <v>288</v>
      </c>
      <c r="FW68" s="249">
        <f t="shared" si="396"/>
        <v>971</v>
      </c>
    </row>
    <row r="69" spans="1:179" x14ac:dyDescent="0.25">
      <c r="B69" s="17" t="s">
        <v>815</v>
      </c>
      <c r="C69" s="17" t="s">
        <v>815</v>
      </c>
      <c r="E69" s="11"/>
      <c r="F69" s="11" t="s">
        <v>814</v>
      </c>
      <c r="G69" s="11" t="s">
        <v>815</v>
      </c>
      <c r="H69" s="11" t="s">
        <v>1780</v>
      </c>
      <c r="I69" s="11" t="s">
        <v>1781</v>
      </c>
      <c r="J69" s="11" t="s">
        <v>715</v>
      </c>
      <c r="K69" s="11" t="s">
        <v>814</v>
      </c>
      <c r="L69" s="11" t="s">
        <v>815</v>
      </c>
      <c r="M69" s="11" t="s">
        <v>1780</v>
      </c>
      <c r="N69" s="11" t="s">
        <v>1781</v>
      </c>
      <c r="O69" s="11" t="s">
        <v>715</v>
      </c>
      <c r="X69" s="19" t="s">
        <v>1725</v>
      </c>
      <c r="Y69" s="254">
        <f t="shared" si="379"/>
        <v>3.888888888888889E-2</v>
      </c>
      <c r="Z69" s="254">
        <f t="shared" si="374"/>
        <v>6.7777777777777784E-2</v>
      </c>
      <c r="AA69" s="254">
        <f t="shared" si="375"/>
        <v>0</v>
      </c>
      <c r="AB69" s="254">
        <f t="shared" si="376"/>
        <v>0</v>
      </c>
      <c r="AC69" s="254">
        <f t="shared" si="377"/>
        <v>0.10666666666666667</v>
      </c>
      <c r="AD69" s="9">
        <f>COUNTIFS('DETALLES UNIDADES'!$C$8:$C$987,"C2",'DETALLES UNIDADES'!$T$8:$T$987,"&lt;4.01",'DETALLES UNIDADES'!$S$8:$S$987,"D")-AD68-AD67-AD66-AD65-AD64-AD63</f>
        <v>35</v>
      </c>
      <c r="AE69" s="9">
        <f>COUNTIFS('DETALLES UNIDADES'!$C$8:$C$987,"C3",'DETALLES UNIDADES'!$T$8:$T$987,"&lt;4.01",'DETALLES UNIDADES'!$S$8:$S$987,"D")-AE68-AE67-AE66-AE65-AE64-AE63</f>
        <v>61</v>
      </c>
      <c r="AF69" s="9">
        <f>COUNTIFS('DETALLES UNIDADES'!$C$8:$C$987,"T2",'DETALLES UNIDADES'!$T$8:$T$987,"&lt;4.01",'DETALLES UNIDADES'!$S$8:$S$987,"D")-AF68-AF67-AF66-AF65-AF64-AF63</f>
        <v>0</v>
      </c>
      <c r="AG69" s="9">
        <f>COUNTIFS('DETALLES UNIDADES'!$C$8:$C$987,"T3",'DETALLES UNIDADES'!$T$8:$T$987,"&lt;4.01",'DETALLES UNIDADES'!$S$8:$S$987,"D")-AG68-AG67-AG66-AG65-AG64-AG63</f>
        <v>0</v>
      </c>
      <c r="AH69" s="249">
        <f t="shared" si="378"/>
        <v>96</v>
      </c>
      <c r="AI69" s="17">
        <v>96</v>
      </c>
      <c r="AK69" s="17" t="s">
        <v>2546</v>
      </c>
      <c r="BD69" s="11" t="s">
        <v>2577</v>
      </c>
      <c r="DG69" s="11" t="s">
        <v>814</v>
      </c>
      <c r="DH69" s="11" t="s">
        <v>815</v>
      </c>
      <c r="DI69" s="11" t="s">
        <v>1780</v>
      </c>
      <c r="DJ69" s="11" t="s">
        <v>1781</v>
      </c>
      <c r="DK69" s="11"/>
      <c r="DL69" s="11" t="s">
        <v>814</v>
      </c>
      <c r="DM69" s="11" t="s">
        <v>815</v>
      </c>
      <c r="DN69" s="11" t="s">
        <v>1780</v>
      </c>
      <c r="DO69" s="11" t="s">
        <v>1781</v>
      </c>
      <c r="DP69" s="11"/>
      <c r="ED69" s="17" t="s">
        <v>2661</v>
      </c>
      <c r="EE69" s="6">
        <f t="shared" si="394"/>
        <v>8.6124401913875603E-2</v>
      </c>
      <c r="EF69" s="6">
        <f t="shared" si="389"/>
        <v>0.14871794871794872</v>
      </c>
      <c r="EG69" s="6">
        <f t="shared" si="390"/>
        <v>0.34883720930232559</v>
      </c>
      <c r="EH69" s="6">
        <f t="shared" si="391"/>
        <v>0.18525519848771266</v>
      </c>
      <c r="EI69" s="6">
        <f t="shared" si="392"/>
        <v>0.16393442622950818</v>
      </c>
      <c r="EJ69" s="249">
        <f>COUNTIFS('DETALLES UNIDADES'!$C$8:$C$987,"C2",'DETALLES UNIDADES'!$AO$8:$AO$987,"&lt;25001")-EJ68-EJ67-EJ66</f>
        <v>18</v>
      </c>
      <c r="EK69" s="249">
        <f>COUNTIFS('DETALLES UNIDADES'!$C$8:$C$987,"C3",'DETALLES UNIDADES'!$AO$8:$AO$987,"&lt;25001")-EK68-EK67-EK66</f>
        <v>29</v>
      </c>
      <c r="EL69" s="249">
        <f>COUNTIFS('DETALLES UNIDADES'!$C$8:$C$987,"T2",'DETALLES UNIDADES'!$AO$8:$AO$987,"&lt;25001")-EL68-EL67-EL66</f>
        <v>15</v>
      </c>
      <c r="EM69" s="249">
        <f>COUNTIFS('DETALLES UNIDADES'!$C$8:$C$987,"T3",'DETALLES UNIDADES'!$AO$8:$AO$987,"&lt;25001")-EM68-EM67-EM66</f>
        <v>98</v>
      </c>
      <c r="EN69" s="249">
        <f t="shared" si="393"/>
        <v>160</v>
      </c>
      <c r="EV69" s="137" t="s">
        <v>2409</v>
      </c>
      <c r="EW69" s="6">
        <f t="shared" si="395"/>
        <v>9.8039215686274508E-2</v>
      </c>
      <c r="EX69" s="249">
        <f>COUNTIFS('ENCUESTA PROPIETARIOS'!$DU$7:$DU$417,"X",'ENCUESTA PROPIETARIOS'!$AD$7:$AD$417,"X")+COUNTIFS('ENCUESTA PROPIETARIOS'!$DU$7:$DU$417,"X",'ENCUESTA PROPIETARIOS'!$AJ$7:$AJ$417,"X")</f>
        <v>5</v>
      </c>
      <c r="FW69" s="249">
        <f>SUM(FS68:FV68)</f>
        <v>971</v>
      </c>
    </row>
    <row r="70" spans="1:179" ht="38.25" x14ac:dyDescent="0.25">
      <c r="A70" s="137" t="s">
        <v>19</v>
      </c>
      <c r="B70" s="6">
        <f>+C70/$C$78</f>
        <v>0.16666666666666666</v>
      </c>
      <c r="C70" s="249">
        <f>COUNTIFS('ENCUESTA PROPIETARIOS'!$N$7:$N$417,"2",'ENCUESTA PROPIETARIOS'!$AB$7:$AB$417,"X")</f>
        <v>24</v>
      </c>
      <c r="E70" s="137" t="s">
        <v>22</v>
      </c>
      <c r="F70" s="6">
        <f>+K70/$O$70</f>
        <v>0.45945945945945948</v>
      </c>
      <c r="G70" s="6">
        <f t="shared" ref="G70:J70" si="397">+L70/$O$70</f>
        <v>0.17567567567567569</v>
      </c>
      <c r="H70" s="6">
        <f t="shared" si="397"/>
        <v>0.25675675675675674</v>
      </c>
      <c r="I70" s="6">
        <f t="shared" si="397"/>
        <v>0.10810810810810811</v>
      </c>
      <c r="J70" s="6">
        <f t="shared" si="397"/>
        <v>1</v>
      </c>
      <c r="K70" s="249">
        <f>COUNTIFS('ENCUESTA PROPIETARIOS'!$N$7:$N$417,"1",'ENCUESTA PROPIETARIOS'!$AE$7:$AE$417,"X")</f>
        <v>34</v>
      </c>
      <c r="L70" s="249">
        <f>COUNTIFS('ENCUESTA PROPIETARIOS'!$N$7:$N$417,"2",'ENCUESTA PROPIETARIOS'!$AE$7:$AE$417,"X")</f>
        <v>13</v>
      </c>
      <c r="M70" s="249">
        <f>COUNTIFS('ENCUESTA PROPIETARIOS'!$N$7:$N$417,"3",'ENCUESTA PROPIETARIOS'!$AE$7:$AE$417,"X")+COUNTIFS('ENCUESTA PROPIETARIOS'!$N$7:$N$417,"4",'ENCUESTA PROPIETARIOS'!$AE$7:$AE$417,"X")+COUNTIFS('ENCUESTA PROPIETARIOS'!$N$7:$N$417,"5",'ENCUESTA PROPIETARIOS'!$AE$7:$AE$417,"X")</f>
        <v>19</v>
      </c>
      <c r="N70" s="249">
        <f>COUNTIFS('ENCUESTA PROPIETARIOS'!$N$7:$N$417,"&gt;5",'ENCUESTA PROPIETARIOS'!$AE$7:$AE$417,"X")</f>
        <v>8</v>
      </c>
      <c r="O70" s="249">
        <f t="shared" ref="O70" si="398">SUM(K70:N70)</f>
        <v>74</v>
      </c>
      <c r="X70" s="19" t="s">
        <v>2510</v>
      </c>
      <c r="Y70" s="254">
        <f t="shared" si="379"/>
        <v>2.1111111111111112E-2</v>
      </c>
      <c r="Z70" s="254">
        <f t="shared" si="374"/>
        <v>7.7777777777777776E-3</v>
      </c>
      <c r="AA70" s="254">
        <f t="shared" si="375"/>
        <v>0</v>
      </c>
      <c r="AB70" s="254">
        <f t="shared" si="376"/>
        <v>0</v>
      </c>
      <c r="AC70" s="254">
        <f t="shared" si="377"/>
        <v>2.8888888888888888E-2</v>
      </c>
      <c r="AD70" s="9">
        <f>COUNTIFS('DETALLES UNIDADES'!$C$8:$C$987,"C2",'DETALLES UNIDADES'!$T$8:$T$987,"&gt;4.0",'DETALLES UNIDADES'!$S$8:$S$987,"D")</f>
        <v>19</v>
      </c>
      <c r="AE70" s="9">
        <f>COUNTIFS('DETALLES UNIDADES'!$C$8:$C$987,"C3",'DETALLES UNIDADES'!$T$8:$T$987,"&gt;4.0",'DETALLES UNIDADES'!$S$8:$S$987,"D")</f>
        <v>7</v>
      </c>
      <c r="AF70" s="9">
        <f>COUNTIFS('DETALLES UNIDADES'!$C$8:$C$987,"T2",'DETALLES UNIDADES'!$T$8:$T$987,"&gt;4.0",'DETALLES UNIDADES'!$S$8:$S$987,"D")</f>
        <v>0</v>
      </c>
      <c r="AG70" s="9">
        <f>COUNTIFS('DETALLES UNIDADES'!$C$8:$C$987,"T3",'DETALLES UNIDADES'!$T$8:$T$987,"&gt;4.0",'DETALLES UNIDADES'!$S$8:$S$987,"D")</f>
        <v>0</v>
      </c>
      <c r="AH70" s="249">
        <f t="shared" si="378"/>
        <v>26</v>
      </c>
      <c r="AI70" s="17">
        <v>26</v>
      </c>
      <c r="AK70" s="11"/>
      <c r="AL70" s="249" t="s">
        <v>814</v>
      </c>
      <c r="BD70" s="11"/>
      <c r="BE70" s="11" t="s">
        <v>2578</v>
      </c>
      <c r="DF70" s="17" t="s">
        <v>2616</v>
      </c>
      <c r="DG70" s="6">
        <f>+DL70/DL$77</f>
        <v>0</v>
      </c>
      <c r="DH70" s="6">
        <f t="shared" ref="DH70:DH77" si="399">+DM70/DM$77</f>
        <v>0</v>
      </c>
      <c r="DI70" s="6">
        <f t="shared" ref="DI70:DI77" si="400">+DN70/DN$77</f>
        <v>0.35714285714285715</v>
      </c>
      <c r="DJ70" s="6">
        <f t="shared" ref="DJ70:DJ77" si="401">+DO70/DO$77</f>
        <v>0</v>
      </c>
      <c r="DK70" s="6">
        <f t="shared" ref="DK70:DK77" si="402">+DP70/DP$77</f>
        <v>0.23255813953488372</v>
      </c>
      <c r="DL70" s="249">
        <f>COUNTIFS('DETALLES UNIDADES'!$BA$8:$BA$987,"1",'DETALLES UNIDADES'!$AU$8:$AU$987,"&lt;50000",'DETALLES UNIDADES'!$C$8:$C$987,"T2")</f>
        <v>0</v>
      </c>
      <c r="DM70" s="249">
        <f>COUNTIFS('DETALLES UNIDADES'!$BA$8:$BA$987,"2",'DETALLES UNIDADES'!$AU$8:$AU$987,"&lt;50000",'DETALLES UNIDADES'!$C$8:$C$987,"T2")</f>
        <v>0</v>
      </c>
      <c r="DN70" s="249">
        <f>COUNTIFS('DETALLES UNIDADES'!$BA$8:$BA$987,"3",'DETALLES UNIDADES'!$AU$8:$AU$987,"&lt;50000",'DETALLES UNIDADES'!$C$8:$C$987,"T2")+COUNTIFS('DETALLES UNIDADES'!$BA$8:$BA$987,"4",'DETALLES UNIDADES'!$AU$8:$AU$987,"&lt;50000",'DETALLES UNIDADES'!$C$8:$C$987,"T2")+COUNTIFS('DETALLES UNIDADES'!$BA$8:$BA$987,"5",'DETALLES UNIDADES'!$AU$8:$AU$987,"&lt;50000",'DETALLES UNIDADES'!$C$8:$C$987,"T2")</f>
        <v>10</v>
      </c>
      <c r="DO70" s="249">
        <f>COUNTIFS('DETALLES UNIDADES'!$BA$8:$BA$987,"&gt;5",'DETALLES UNIDADES'!$AU$8:$AU$987,"&lt;50000",'DETALLES UNIDADES'!$C$8:$C$987,"T2")</f>
        <v>0</v>
      </c>
      <c r="DP70" s="249">
        <f t="shared" ref="DP70:DP76" si="403">SUM(DL70:DO70)</f>
        <v>10</v>
      </c>
      <c r="ED70" s="17" t="s">
        <v>2662</v>
      </c>
      <c r="EE70" s="6">
        <f t="shared" si="394"/>
        <v>7.1770334928229665E-2</v>
      </c>
      <c r="EF70" s="6">
        <f t="shared" si="389"/>
        <v>0.2153846153846154</v>
      </c>
      <c r="EG70" s="6">
        <f t="shared" si="390"/>
        <v>0</v>
      </c>
      <c r="EH70" s="6">
        <f t="shared" si="391"/>
        <v>7.7504725897920609E-2</v>
      </c>
      <c r="EI70" s="6">
        <f t="shared" si="392"/>
        <v>0.10040983606557377</v>
      </c>
      <c r="EJ70" s="249">
        <f>COUNTIFS('DETALLES UNIDADES'!$C$8:$C$987,"C2",'DETALLES UNIDADES'!$AO$8:$AO$987,"&lt;30001")-EJ69-EJ68-EJ67-EJ66</f>
        <v>15</v>
      </c>
      <c r="EK70" s="249">
        <f>COUNTIFS('DETALLES UNIDADES'!$C$8:$C$987,"C3",'DETALLES UNIDADES'!$AO$8:$AO$987,"&lt;30001")-EK69-EK68-EK67-EK66</f>
        <v>42</v>
      </c>
      <c r="EL70" s="249">
        <f>COUNTIFS('DETALLES UNIDADES'!$C$8:$C$987,"T2",'DETALLES UNIDADES'!$AO$8:$AO$987,"&lt;30001")-EL69-EL68-EL67-EL66</f>
        <v>0</v>
      </c>
      <c r="EM70" s="249">
        <f>COUNTIFS('DETALLES UNIDADES'!$C$8:$C$987,"T3",'DETALLES UNIDADES'!$AO$8:$AO$987,"&lt;30001")-EM69-EM68-EM67-EM66</f>
        <v>41</v>
      </c>
      <c r="EN70" s="249">
        <f t="shared" si="393"/>
        <v>98</v>
      </c>
      <c r="EV70" s="137" t="s">
        <v>22</v>
      </c>
      <c r="EW70" s="6">
        <f t="shared" si="395"/>
        <v>1.9607843137254902E-2</v>
      </c>
      <c r="EX70" s="249">
        <f>COUNTIFS('ENCUESTA PROPIETARIOS'!$DU$7:$DU$417,"X",'ENCUESTA PROPIETARIOS'!$AE$7:$AE$417,"X")</f>
        <v>1</v>
      </c>
    </row>
    <row r="71" spans="1:179" ht="25.5" x14ac:dyDescent="0.25">
      <c r="A71" s="137" t="s">
        <v>20</v>
      </c>
      <c r="B71" s="6">
        <f t="shared" ref="B71:B78" si="404">+C71/$C$78</f>
        <v>0.125</v>
      </c>
      <c r="C71" s="249">
        <f>COUNTIFS('ENCUESTA PROPIETARIOS'!$N$7:$N$417,"2",'ENCUESTA PROPIETARIOS'!$AC$7:$AC$417,"X")</f>
        <v>18</v>
      </c>
      <c r="N71" s="249"/>
      <c r="X71" s="19" t="s">
        <v>715</v>
      </c>
      <c r="Y71" s="254">
        <f t="shared" si="379"/>
        <v>0.14666666666666667</v>
      </c>
      <c r="Z71" s="254">
        <f t="shared" si="374"/>
        <v>0.21555555555555556</v>
      </c>
      <c r="AA71" s="254">
        <f t="shared" si="375"/>
        <v>4.777777777777778E-2</v>
      </c>
      <c r="AB71" s="254">
        <f t="shared" si="376"/>
        <v>0.59</v>
      </c>
      <c r="AC71" s="254">
        <f t="shared" si="377"/>
        <v>1</v>
      </c>
      <c r="AD71" s="249">
        <f t="shared" ref="AD71:AG71" si="405">SUM(AD63:AD70)</f>
        <v>132</v>
      </c>
      <c r="AE71" s="249">
        <f t="shared" si="405"/>
        <v>194</v>
      </c>
      <c r="AF71" s="249">
        <f t="shared" si="405"/>
        <v>43</v>
      </c>
      <c r="AG71" s="249">
        <f t="shared" si="405"/>
        <v>531</v>
      </c>
      <c r="AH71" s="249">
        <f>SUM(AH63:AH70)</f>
        <v>900</v>
      </c>
      <c r="AI71" s="17">
        <v>900</v>
      </c>
      <c r="AK71" s="11" t="s">
        <v>2534</v>
      </c>
      <c r="AL71" s="6">
        <f>+AM71/$AM$78</f>
        <v>0.14354066985645933</v>
      </c>
      <c r="AM71" s="249">
        <f>+AQ59</f>
        <v>30</v>
      </c>
      <c r="BD71" s="112" t="s">
        <v>1712</v>
      </c>
      <c r="BE71" s="6">
        <f>+BF71/$BF$78</f>
        <v>0.20873786407766989</v>
      </c>
      <c r="BF71" s="138">
        <f>+BR4</f>
        <v>43</v>
      </c>
      <c r="DF71" s="17" t="s">
        <v>2618</v>
      </c>
      <c r="DG71" s="6">
        <f t="shared" ref="DG71:DG77" si="406">+DL71/DL$77</f>
        <v>0.5</v>
      </c>
      <c r="DH71" s="6">
        <f t="shared" si="399"/>
        <v>0</v>
      </c>
      <c r="DI71" s="6">
        <f t="shared" si="400"/>
        <v>0</v>
      </c>
      <c r="DJ71" s="6">
        <f t="shared" si="401"/>
        <v>1</v>
      </c>
      <c r="DK71" s="6">
        <f t="shared" si="402"/>
        <v>0.16279069767441862</v>
      </c>
      <c r="DL71" s="249">
        <f>COUNTIFS('DETALLES UNIDADES'!$BA$8:$BA$987,"1",'DETALLES UNIDADES'!$AU$8:$AU$987,"&lt;75001",'DETALLES UNIDADES'!$C$8:$C$987,"T2")-DL70</f>
        <v>1</v>
      </c>
      <c r="DM71" s="249">
        <f>COUNTIFS('DETALLES UNIDADES'!$BA$8:$BA$987,"2",'DETALLES UNIDADES'!$AU$8:$AU$987,"&lt;75001",'DETALLES UNIDADES'!$C$8:$C$987,"T2")-DM70</f>
        <v>0</v>
      </c>
      <c r="DN71" s="249">
        <f>COUNTIFS('DETALLES UNIDADES'!$BA$8:$BA$987,"3",'DETALLES UNIDADES'!$AU$8:$AU$987,"&lt;75001",'DETALLES UNIDADES'!$C$8:$C$987,"T2")+COUNTIFS('DETALLES UNIDADES'!$BA$8:$BA$987,"4",'DETALLES UNIDADES'!$AU$8:$AU$987,"&lt;75001",'DETALLES UNIDADES'!$C$8:$C$987,"T2")+COUNTIFS('DETALLES UNIDADES'!$BA$8:$BA$987,"5",'DETALLES UNIDADES'!$AU$8:$AU$987,"&lt;75001",'DETALLES UNIDADES'!$C$8:$C$987,"T2")-DN70</f>
        <v>0</v>
      </c>
      <c r="DO71" s="249">
        <f>COUNTIFS('DETALLES UNIDADES'!$BA$8:$BA$987,"&gt;5",'DETALLES UNIDADES'!$AU$8:$AU$987,"&lt;75001",'DETALLES UNIDADES'!$C$8:$C$987,"T2")-DO70</f>
        <v>6</v>
      </c>
      <c r="DP71" s="249">
        <f t="shared" si="403"/>
        <v>7</v>
      </c>
      <c r="ED71" s="17" t="s">
        <v>2663</v>
      </c>
      <c r="EE71" s="6">
        <f t="shared" si="394"/>
        <v>0.10526315789473684</v>
      </c>
      <c r="EF71" s="6">
        <f t="shared" si="389"/>
        <v>0.12820512820512819</v>
      </c>
      <c r="EG71" s="6">
        <f t="shared" si="390"/>
        <v>0</v>
      </c>
      <c r="EH71" s="6">
        <f t="shared" si="391"/>
        <v>0.10207939508506617</v>
      </c>
      <c r="EI71" s="6">
        <f t="shared" si="392"/>
        <v>0.10348360655737705</v>
      </c>
      <c r="EJ71" s="249">
        <f>COUNTIFS('DETALLES UNIDADES'!$C$8:$C$987,"C2",'DETALLES UNIDADES'!$AO$8:$AO$987,"&lt;40001")-EJ70-EJ69-EJ68-EJ67-EJ66</f>
        <v>22</v>
      </c>
      <c r="EK71" s="249">
        <f>COUNTIFS('DETALLES UNIDADES'!$C$8:$C$987,"C3",'DETALLES UNIDADES'!$AO$8:$AO$987,"&lt;40001")-EK70-EK69-EK68-EK67-EK66</f>
        <v>25</v>
      </c>
      <c r="EL71" s="249">
        <f>COUNTIFS('DETALLES UNIDADES'!$C$8:$C$987,"T2",'DETALLES UNIDADES'!$AO$8:$AO$987,"&lt;40001")-EL70-EL69-EL68-EL67-EL66</f>
        <v>0</v>
      </c>
      <c r="EM71" s="249">
        <f>COUNTIFS('DETALLES UNIDADES'!$C$8:$C$987,"T3",'DETALLES UNIDADES'!$AO$8:$AO$987,"&lt;40001")-EM70-EM69-EM68-EM67-EM66</f>
        <v>54</v>
      </c>
      <c r="EN71" s="249">
        <f t="shared" si="393"/>
        <v>101</v>
      </c>
      <c r="EV71" s="137" t="s">
        <v>2410</v>
      </c>
      <c r="EW71" s="6">
        <f t="shared" si="395"/>
        <v>0.11764705882352941</v>
      </c>
      <c r="EX71" s="249">
        <f>COUNTIFS('ENCUESTA PROPIETARIOS'!$DU$7:$DU$417,"X",'ENCUESTA PROPIETARIOS'!$AF$7:$AF$417,"X")+COUNTIFS('ENCUESTA PROPIETARIOS'!$DU$7:$DU$417,"X",'ENCUESTA PROPIETARIOS'!$AH$7:$AH$417,"X")</f>
        <v>6</v>
      </c>
      <c r="FM71" s="11" t="s">
        <v>2712</v>
      </c>
    </row>
    <row r="72" spans="1:179" x14ac:dyDescent="0.25">
      <c r="A72" s="137" t="s">
        <v>2409</v>
      </c>
      <c r="B72" s="6">
        <f t="shared" si="404"/>
        <v>5.5555555555555552E-2</v>
      </c>
      <c r="C72" s="249">
        <f>COUNTIFS('ENCUESTA PROPIETARIOS'!$N$7:$N$417,"2",'ENCUESTA PROPIETARIOS'!$AD$7:$AD$417,"X")+COUNTIFS('ENCUESTA PROPIETARIOS'!$N$7:$N$417,"2",'ENCUESTA PROPIETARIOS'!$AJ$7:$AJ$417,"X")</f>
        <v>8</v>
      </c>
      <c r="E72" s="112" t="s">
        <v>2731</v>
      </c>
      <c r="F72" s="11"/>
      <c r="G72" s="11"/>
      <c r="H72" s="11"/>
      <c r="I72" s="11"/>
      <c r="J72" s="11"/>
      <c r="K72" s="11"/>
      <c r="L72" s="11"/>
      <c r="M72" s="11"/>
      <c r="N72" s="11"/>
      <c r="O72" s="11"/>
      <c r="X72" s="11" t="s">
        <v>1004</v>
      </c>
      <c r="Y72" s="254"/>
      <c r="AD72" s="9"/>
      <c r="AK72" s="11" t="s">
        <v>2535</v>
      </c>
      <c r="AL72" s="6">
        <f t="shared" ref="AL72:AL78" si="407">+AM72/$AM$78</f>
        <v>4.3062200956937802E-2</v>
      </c>
      <c r="AM72" s="249">
        <f t="shared" ref="AM72:AM78" si="408">+AQ60</f>
        <v>9</v>
      </c>
      <c r="BD72" s="112" t="s">
        <v>1716</v>
      </c>
      <c r="BE72" s="6">
        <f t="shared" ref="BE72:BE78" si="409">+BF72/$BF$78</f>
        <v>0.45145631067961167</v>
      </c>
      <c r="BF72" s="138">
        <f t="shared" ref="BF72:BF78" si="410">+BR5</f>
        <v>93</v>
      </c>
      <c r="DF72" s="17" t="s">
        <v>2617</v>
      </c>
      <c r="DG72" s="6">
        <f t="shared" si="406"/>
        <v>0</v>
      </c>
      <c r="DH72" s="6">
        <f t="shared" si="399"/>
        <v>0.2857142857142857</v>
      </c>
      <c r="DI72" s="6">
        <f t="shared" si="400"/>
        <v>0.25</v>
      </c>
      <c r="DJ72" s="6">
        <f t="shared" si="401"/>
        <v>0</v>
      </c>
      <c r="DK72" s="6">
        <f t="shared" si="402"/>
        <v>0.20930232558139536</v>
      </c>
      <c r="DL72" s="249">
        <f>COUNTIFS('DETALLES UNIDADES'!$BA$8:$BA$987,"1",'DETALLES UNIDADES'!$AU$8:$AU$987,"&lt;100001",'DETALLES UNIDADES'!$C$8:$C$987,"T2")-DL71-DL70</f>
        <v>0</v>
      </c>
      <c r="DM72" s="249">
        <f>COUNTIFS('DETALLES UNIDADES'!$BA$8:$BA$987,"2",'DETALLES UNIDADES'!$AU$8:$AU$987,"&lt;100001",'DETALLES UNIDADES'!$C$8:$C$987,"T2")-DM71-DM70</f>
        <v>2</v>
      </c>
      <c r="DN72" s="249">
        <f>COUNTIFS('DETALLES UNIDADES'!$BA$8:$BA$987,"3",'DETALLES UNIDADES'!$AU$8:$AU$987,"&lt;100001",'DETALLES UNIDADES'!$C$8:$C$987,"T2")+COUNTIFS('DETALLES UNIDADES'!$BA$8:$BA$987,"4",'DETALLES UNIDADES'!$AU$8:$AU$987,"&lt;100001",'DETALLES UNIDADES'!$C$8:$C$987,"T2")+COUNTIFS('DETALLES UNIDADES'!$BA$8:$BA$987,"5",'DETALLES UNIDADES'!$AU$8:$AU$987,"&lt;100001",'DETALLES UNIDADES'!$C$8:$C$987,"T2")-DN71-DN70</f>
        <v>7</v>
      </c>
      <c r="DO72" s="249">
        <f>COUNTIFS('DETALLES UNIDADES'!$BA$8:$BA$987,"&gt;5",'DETALLES UNIDADES'!$AU$8:$AU$987,"&lt;100001",'DETALLES UNIDADES'!$C$8:$C$987,"T2")-DO71-DO70</f>
        <v>0</v>
      </c>
      <c r="DP72" s="249">
        <f t="shared" si="403"/>
        <v>9</v>
      </c>
      <c r="ED72" s="17" t="s">
        <v>2664</v>
      </c>
      <c r="EE72" s="6">
        <f t="shared" si="394"/>
        <v>8.6124401913875603E-2</v>
      </c>
      <c r="EF72" s="6">
        <f t="shared" si="389"/>
        <v>0.12820512820512819</v>
      </c>
      <c r="EG72" s="6">
        <f t="shared" si="390"/>
        <v>0.11627906976744186</v>
      </c>
      <c r="EH72" s="6">
        <f t="shared" si="391"/>
        <v>0.24007561436672967</v>
      </c>
      <c r="EI72" s="6">
        <f t="shared" si="392"/>
        <v>0.17930327868852458</v>
      </c>
      <c r="EJ72" s="249">
        <f>COUNTIFS('DETALLES UNIDADES'!$C$8:$C$987,"C2",'DETALLES UNIDADES'!$AO$8:$AO$987,"&gt;40000")</f>
        <v>18</v>
      </c>
      <c r="EK72" s="249">
        <f>COUNTIFS('DETALLES UNIDADES'!$C$8:$C$987,"C3",'DETALLES UNIDADES'!$AO$8:$AO$987,"&gt;40000")</f>
        <v>25</v>
      </c>
      <c r="EL72" s="249">
        <f>COUNTIFS('DETALLES UNIDADES'!$C$8:$C$987,"T2",'DETALLES UNIDADES'!$AO$8:$AO$987,"&gt;40000")</f>
        <v>5</v>
      </c>
      <c r="EM72" s="249">
        <f>COUNTIFS('DETALLES UNIDADES'!$C$8:$C$987,"T3",'DETALLES UNIDADES'!$AO$8:$AO$987,"&gt;40000")</f>
        <v>127</v>
      </c>
      <c r="EN72" s="249">
        <f t="shared" si="393"/>
        <v>175</v>
      </c>
      <c r="EV72" s="137" t="s">
        <v>193</v>
      </c>
      <c r="EW72" s="6">
        <f t="shared" si="395"/>
        <v>0.11764705882352941</v>
      </c>
      <c r="EX72" s="249">
        <f>COUNTIFS('ENCUESTA PROPIETARIOS'!$DU$7:$DU$417,"X",'ENCUESTA PROPIETARIOS'!$AG$7:$AG$417,"X")</f>
        <v>6</v>
      </c>
      <c r="FN72" s="17" t="s">
        <v>814</v>
      </c>
    </row>
    <row r="73" spans="1:179" x14ac:dyDescent="0.25">
      <c r="A73" s="137" t="s">
        <v>22</v>
      </c>
      <c r="B73" s="6">
        <f t="shared" si="404"/>
        <v>9.0277777777777776E-2</v>
      </c>
      <c r="C73" s="249">
        <f>COUNTIFS('ENCUESTA PROPIETARIOS'!$N$7:$N$417,"2",'ENCUESTA PROPIETARIOS'!$AE$7:$AE$417,"X")</f>
        <v>13</v>
      </c>
      <c r="E73" s="11"/>
      <c r="F73" s="11" t="s">
        <v>814</v>
      </c>
      <c r="G73" s="11" t="s">
        <v>815</v>
      </c>
      <c r="H73" s="11" t="s">
        <v>1780</v>
      </c>
      <c r="I73" s="11" t="s">
        <v>1781</v>
      </c>
      <c r="J73" s="11" t="s">
        <v>715</v>
      </c>
      <c r="K73" s="11" t="s">
        <v>814</v>
      </c>
      <c r="L73" s="11" t="s">
        <v>815</v>
      </c>
      <c r="M73" s="11" t="s">
        <v>1780</v>
      </c>
      <c r="N73" s="11" t="s">
        <v>1781</v>
      </c>
      <c r="O73" s="11" t="s">
        <v>715</v>
      </c>
      <c r="X73" s="11" t="s">
        <v>430</v>
      </c>
      <c r="Y73" s="254"/>
      <c r="AD73" s="9"/>
      <c r="AK73" s="11" t="s">
        <v>2536</v>
      </c>
      <c r="AL73" s="6">
        <f t="shared" si="407"/>
        <v>0.12440191387559808</v>
      </c>
      <c r="AM73" s="249">
        <f t="shared" si="408"/>
        <v>26</v>
      </c>
      <c r="BD73" s="112" t="s">
        <v>1713</v>
      </c>
      <c r="BE73" s="6">
        <f t="shared" si="409"/>
        <v>0.3300970873786408</v>
      </c>
      <c r="BF73" s="138">
        <f t="shared" si="410"/>
        <v>68</v>
      </c>
      <c r="DF73" s="17" t="s">
        <v>2619</v>
      </c>
      <c r="DG73" s="6">
        <f t="shared" si="406"/>
        <v>0</v>
      </c>
      <c r="DH73" s="6">
        <f t="shared" si="399"/>
        <v>0.14285714285714285</v>
      </c>
      <c r="DI73" s="6">
        <f t="shared" si="400"/>
        <v>0</v>
      </c>
      <c r="DJ73" s="6">
        <f t="shared" si="401"/>
        <v>0</v>
      </c>
      <c r="DK73" s="6">
        <f t="shared" si="402"/>
        <v>2.3255813953488372E-2</v>
      </c>
      <c r="DL73" s="249">
        <f>COUNTIFS('DETALLES UNIDADES'!$BA$8:$BA$987,"1",'DETALLES UNIDADES'!$AU$8:$AU$987,"&lt;125001",'DETALLES UNIDADES'!$C$8:$C$987,"T2")-DL72-DL71-DL70</f>
        <v>0</v>
      </c>
      <c r="DM73" s="249">
        <f>COUNTIFS('DETALLES UNIDADES'!$BA$8:$BA$987,"2",'DETALLES UNIDADES'!$AU$8:$AU$987,"&lt;125001",'DETALLES UNIDADES'!$C$8:$C$987,"T2")-DM72-DM71-DM70</f>
        <v>1</v>
      </c>
      <c r="DN73" s="249">
        <f>COUNTIFS('DETALLES UNIDADES'!$BA$8:$BA$987,"3",'DETALLES UNIDADES'!$AU$8:$AU$987,"&lt;125001",'DETALLES UNIDADES'!$C$8:$C$987,"T2")+COUNTIFS('DETALLES UNIDADES'!$BA$8:$BA$987,"4",'DETALLES UNIDADES'!$AU$8:$AU$987,"&lt;125001",'DETALLES UNIDADES'!$C$8:$C$987,"T2")+COUNTIFS('DETALLES UNIDADES'!$BA$8:$BA$987,"5",'DETALLES UNIDADES'!$AU$8:$AU$987,"&lt;125001",'DETALLES UNIDADES'!$C$8:$C$987,"T2")-DN72-DN71-DN70</f>
        <v>0</v>
      </c>
      <c r="DO73" s="249">
        <f>COUNTIFS('DETALLES UNIDADES'!$BA$8:$BA$987,"&gt;5",'DETALLES UNIDADES'!$AU$8:$AU$987,"&lt;125001",'DETALLES UNIDADES'!$C$8:$C$987,"T2")-DO72-DO71-DO70</f>
        <v>0</v>
      </c>
      <c r="DP73" s="249">
        <f t="shared" si="403"/>
        <v>1</v>
      </c>
      <c r="ED73" s="17" t="s">
        <v>1662</v>
      </c>
      <c r="EE73" s="6">
        <f t="shared" si="394"/>
        <v>1</v>
      </c>
      <c r="EF73" s="6">
        <f t="shared" si="389"/>
        <v>1</v>
      </c>
      <c r="EG73" s="6">
        <f t="shared" si="390"/>
        <v>1</v>
      </c>
      <c r="EH73" s="6">
        <f t="shared" si="391"/>
        <v>1</v>
      </c>
      <c r="EI73" s="6">
        <f t="shared" si="392"/>
        <v>1</v>
      </c>
      <c r="EJ73" s="249">
        <f>SUM(EJ66:EJ72)</f>
        <v>209</v>
      </c>
      <c r="EK73" s="249">
        <f t="shared" ref="EK73" si="411">SUM(EK66:EK72)</f>
        <v>195</v>
      </c>
      <c r="EL73" s="249">
        <f t="shared" ref="EL73" si="412">SUM(EL66:EL72)</f>
        <v>43</v>
      </c>
      <c r="EM73" s="249">
        <f t="shared" ref="EM73" si="413">SUM(EM66:EM72)</f>
        <v>529</v>
      </c>
      <c r="EN73" s="249">
        <f t="shared" ref="EN73" si="414">SUM(EN66:EN72)</f>
        <v>976</v>
      </c>
      <c r="EV73" s="137" t="s">
        <v>26</v>
      </c>
      <c r="EW73" s="6">
        <f t="shared" si="395"/>
        <v>9.8039215686274508E-2</v>
      </c>
      <c r="EX73" s="249">
        <f>COUNTIFS('ENCUESTA PROPIETARIOS'!$DU$7:$DU$417,"X",'ENCUESTA PROPIETARIOS'!$AI$7:$AI$417,"X")</f>
        <v>5</v>
      </c>
      <c r="FM73" s="112" t="s">
        <v>1712</v>
      </c>
      <c r="FN73" s="6">
        <f>+FO73/$FO$80</f>
        <v>5.3398058252427182E-2</v>
      </c>
      <c r="FO73" s="249">
        <f>+FS61</f>
        <v>11</v>
      </c>
    </row>
    <row r="74" spans="1:179" ht="51" x14ac:dyDescent="0.25">
      <c r="A74" s="137" t="s">
        <v>2410</v>
      </c>
      <c r="B74" s="6">
        <f t="shared" si="404"/>
        <v>0.21527777777777779</v>
      </c>
      <c r="C74" s="249">
        <f>COUNTIFS('ENCUESTA PROPIETARIOS'!$N$7:$N$417,"2",'ENCUESTA PROPIETARIOS'!$AF$7:$AF$417,"X")+COUNTIFS('ENCUESTA PROPIETARIOS'!$N$7:$N$417,"2",'ENCUESTA PROPIETARIOS'!$AH$7:$AH$417,"X")</f>
        <v>31</v>
      </c>
      <c r="E74" s="137" t="s">
        <v>2410</v>
      </c>
      <c r="F74" s="6">
        <f>+K74/$O$74</f>
        <v>0.34532374100719426</v>
      </c>
      <c r="G74" s="6">
        <f t="shared" ref="G74:J74" si="415">+L74/$O$74</f>
        <v>0.22302158273381295</v>
      </c>
      <c r="H74" s="6">
        <f t="shared" si="415"/>
        <v>0.30215827338129497</v>
      </c>
      <c r="I74" s="6">
        <f t="shared" si="415"/>
        <v>0.12949640287769784</v>
      </c>
      <c r="J74" s="6">
        <f t="shared" si="415"/>
        <v>1</v>
      </c>
      <c r="K74" s="249">
        <f>COUNTIFS('ENCUESTA PROPIETARIOS'!$N$7:$N$417,"1",'ENCUESTA PROPIETARIOS'!$AF$7:$AF$417,"X")+COUNTIFS('ENCUESTA PROPIETARIOS'!$N$7:$N$417,"1",'ENCUESTA PROPIETARIOS'!$AH$7:$AH$417,"X")</f>
        <v>48</v>
      </c>
      <c r="L74" s="249">
        <f>COUNTIFS('ENCUESTA PROPIETARIOS'!$N$7:$N$417,"2",'ENCUESTA PROPIETARIOS'!$AF$7:$AF$417,"X")+COUNTIFS('ENCUESTA PROPIETARIOS'!$N$7:$N$417,"2",'ENCUESTA PROPIETARIOS'!$AH$7:$AH$417,"X")</f>
        <v>31</v>
      </c>
      <c r="M74" s="249">
        <f>COUNTIFS('ENCUESTA PROPIETARIOS'!$N$7:$N$417,"3",'ENCUESTA PROPIETARIOS'!$AF$7:$AF$417,"X")+COUNTIFS('ENCUESTA PROPIETARIOS'!$N$7:$N$417,"4",'ENCUESTA PROPIETARIOS'!$AF$7:$AF$417,"X")+COUNTIFS('ENCUESTA PROPIETARIOS'!$N$7:$N$417,"5",'ENCUESTA PROPIETARIOS'!$AF$7:$AF$417,"X")+COUNTIFS('ENCUESTA PROPIETARIOS'!$N$7:$N$417,"3",'ENCUESTA PROPIETARIOS'!$AH$7:$AH$417,"X")+COUNTIFS('ENCUESTA PROPIETARIOS'!$N$7:$N$417,"4",'ENCUESTA PROPIETARIOS'!$AH$7:$AH$417,"X")+COUNTIFS('ENCUESTA PROPIETARIOS'!$N$7:$N$417,"5",'ENCUESTA PROPIETARIOS'!$AH$7:$AH$417,"X")</f>
        <v>42</v>
      </c>
      <c r="N74" s="249">
        <f>COUNTIFS('ENCUESTA PROPIETARIOS'!$N$7:$N$417,"&gt;5",'ENCUESTA PROPIETARIOS'!$AF$7:$AF$417,"X")+COUNTIFS('ENCUESTA PROPIETARIOS'!$N$7:$N$417,"&gt;5",'ENCUESTA PROPIETARIOS'!$AH$7:$AH$417,"X")</f>
        <v>18</v>
      </c>
      <c r="O74" s="249">
        <f t="shared" ref="O74" si="416">SUM(K74:N74)</f>
        <v>139</v>
      </c>
      <c r="X74" s="179"/>
      <c r="Y74" s="179"/>
      <c r="AD74" s="9"/>
      <c r="AK74" s="11" t="s">
        <v>2537</v>
      </c>
      <c r="AL74" s="6">
        <f t="shared" si="407"/>
        <v>0.39712918660287083</v>
      </c>
      <c r="AM74" s="249">
        <f t="shared" si="408"/>
        <v>83</v>
      </c>
      <c r="BD74" s="112" t="s">
        <v>943</v>
      </c>
      <c r="BE74" s="6">
        <f t="shared" si="409"/>
        <v>9.7087378640776691E-3</v>
      </c>
      <c r="BF74" s="138">
        <f t="shared" si="410"/>
        <v>2</v>
      </c>
      <c r="DF74" s="17" t="s">
        <v>2620</v>
      </c>
      <c r="DG74" s="6">
        <f t="shared" si="406"/>
        <v>0.5</v>
      </c>
      <c r="DH74" s="6">
        <f t="shared" si="399"/>
        <v>0.5714285714285714</v>
      </c>
      <c r="DI74" s="6">
        <f t="shared" si="400"/>
        <v>0.32142857142857145</v>
      </c>
      <c r="DJ74" s="6">
        <f t="shared" si="401"/>
        <v>0</v>
      </c>
      <c r="DK74" s="6">
        <f t="shared" si="402"/>
        <v>0.32558139534883723</v>
      </c>
      <c r="DL74" s="249">
        <f>COUNTIFS('DETALLES UNIDADES'!$BA$8:$BA$987,"1",'DETALLES UNIDADES'!$AU$8:$AU$987,"&lt;150001",'DETALLES UNIDADES'!$C$8:$C$987,"T2")-DL73-DL72-DL71-DL70</f>
        <v>1</v>
      </c>
      <c r="DM74" s="249">
        <f>COUNTIFS('DETALLES UNIDADES'!$BA$8:$BA$987,"2",'DETALLES UNIDADES'!$AU$8:$AU$987,"&lt;150001",'DETALLES UNIDADES'!$C$8:$C$987,"T2")-DM73-DM72-DM71-DM70</f>
        <v>4</v>
      </c>
      <c r="DN74" s="249">
        <f>COUNTIFS('DETALLES UNIDADES'!$BA$8:$BA$987,"3",'DETALLES UNIDADES'!$AU$8:$AU$987,"&lt;150001",'DETALLES UNIDADES'!$C$8:$C$987,"T2")+COUNTIFS('DETALLES UNIDADES'!$BA$8:$BA$987,"4",'DETALLES UNIDADES'!$AU$8:$AU$987,"&lt;150001",'DETALLES UNIDADES'!$C$8:$C$987,"T2")+COUNTIFS('DETALLES UNIDADES'!$BA$8:$BA$987,"5",'DETALLES UNIDADES'!$AU$8:$AU$987,"&lt;150001",'DETALLES UNIDADES'!$C$8:$C$987,"T2")-DN73-DN72-DN71-DN70</f>
        <v>9</v>
      </c>
      <c r="DO74" s="249">
        <f>COUNTIFS('DETALLES UNIDADES'!$BA$8:$BA$987,"&gt;5",'DETALLES UNIDADES'!$AU$8:$AU$987,"&lt;150001",'DETALLES UNIDADES'!$C$8:$C$987,"T2")-DO73-DO72-DO71-DO70</f>
        <v>0</v>
      </c>
      <c r="DP74" s="249">
        <f t="shared" si="403"/>
        <v>14</v>
      </c>
      <c r="EV74" s="137" t="s">
        <v>2408</v>
      </c>
      <c r="EW74" s="6">
        <f t="shared" si="395"/>
        <v>0.27450980392156865</v>
      </c>
      <c r="EX74" s="249">
        <f>COUNTIFS('ENCUESTA PROPIETARIOS'!$DU$7:$DU$417,"X",'ENCUESTA PROPIETARIOS'!$AK$7:$AK$417,"")</f>
        <v>14</v>
      </c>
      <c r="FM74" s="112" t="s">
        <v>1716</v>
      </c>
      <c r="FN74" s="6">
        <f t="shared" ref="FN74:FN80" si="417">+FO74/$FO$80</f>
        <v>0.13106796116504854</v>
      </c>
      <c r="FO74" s="249">
        <f t="shared" ref="FO74:FO80" si="418">+FS62</f>
        <v>27</v>
      </c>
    </row>
    <row r="75" spans="1:179" x14ac:dyDescent="0.25">
      <c r="A75" s="137" t="s">
        <v>193</v>
      </c>
      <c r="B75" s="6">
        <f t="shared" si="404"/>
        <v>0.11805555555555555</v>
      </c>
      <c r="C75" s="249">
        <f>COUNTIFS('ENCUESTA PROPIETARIOS'!$N$7:$N$417,"2",'ENCUESTA PROPIETARIOS'!$AG$7:$AG$417,"X")</f>
        <v>17</v>
      </c>
      <c r="N75" s="249"/>
      <c r="X75" s="17" t="s">
        <v>2515</v>
      </c>
      <c r="AE75" s="249"/>
      <c r="AK75" s="11" t="s">
        <v>2538</v>
      </c>
      <c r="AL75" s="6">
        <f t="shared" si="407"/>
        <v>0.13397129186602871</v>
      </c>
      <c r="AM75" s="249">
        <f t="shared" si="408"/>
        <v>28</v>
      </c>
      <c r="BD75" s="112" t="s">
        <v>944</v>
      </c>
      <c r="BE75" s="6">
        <f t="shared" si="409"/>
        <v>0</v>
      </c>
      <c r="BF75" s="138">
        <f t="shared" si="410"/>
        <v>0</v>
      </c>
      <c r="DF75" s="17" t="s">
        <v>2621</v>
      </c>
      <c r="DG75" s="6">
        <f t="shared" si="406"/>
        <v>0</v>
      </c>
      <c r="DH75" s="6">
        <f t="shared" si="399"/>
        <v>0</v>
      </c>
      <c r="DI75" s="6">
        <f t="shared" si="400"/>
        <v>0</v>
      </c>
      <c r="DJ75" s="6">
        <f t="shared" si="401"/>
        <v>0</v>
      </c>
      <c r="DK75" s="6">
        <f t="shared" si="402"/>
        <v>0</v>
      </c>
      <c r="DL75" s="249">
        <f>COUNTIFS('DETALLES UNIDADES'!$BA$8:$BA$987,"1",'DETALLES UNIDADES'!$AU$8:$AU$987,"&lt;175001",'DETALLES UNIDADES'!$C$8:$C$987,"T2")-DL74-DL73-DL72-DL71-DL70</f>
        <v>0</v>
      </c>
      <c r="DM75" s="249">
        <f>COUNTIFS('DETALLES UNIDADES'!$BA$8:$BA$987,"2",'DETALLES UNIDADES'!$AU$8:$AU$987,"&lt;175001",'DETALLES UNIDADES'!$C$8:$C$987,"T2")-DM74-DM73-DM72-DM71-DM70</f>
        <v>0</v>
      </c>
      <c r="DN75" s="249">
        <f>COUNTIFS('DETALLES UNIDADES'!$BA$8:$BA$987,"3",'DETALLES UNIDADES'!$AU$8:$AU$987,"&lt;175001",'DETALLES UNIDADES'!$C$8:$C$987,"T2")+COUNTIFS('DETALLES UNIDADES'!$BA$8:$BA$987,"4",'DETALLES UNIDADES'!$AU$8:$AU$987,"&lt;175001",'DETALLES UNIDADES'!$C$8:$C$987,"T2")+COUNTIFS('DETALLES UNIDADES'!$BA$8:$BA$987,"5",'DETALLES UNIDADES'!$AU$8:$AU$987,"&lt;175001",'DETALLES UNIDADES'!$C$8:$C$987,"T2")-DN74-DN73-DN72-DN71-DN70</f>
        <v>0</v>
      </c>
      <c r="DO75" s="249">
        <f>COUNTIFS('DETALLES UNIDADES'!$BA$8:$BA$987,"&gt;5",'DETALLES UNIDADES'!$AU$8:$AU$987,"&lt;175001",'DETALLES UNIDADES'!$C$8:$C$987,"T2")-DO74-DO73-DO72-DO71-DO70</f>
        <v>0</v>
      </c>
      <c r="DP75" s="249">
        <f t="shared" si="403"/>
        <v>0</v>
      </c>
      <c r="ED75" s="17" t="s">
        <v>2678</v>
      </c>
      <c r="EV75" s="137" t="s">
        <v>1662</v>
      </c>
      <c r="EW75" s="6">
        <f t="shared" si="395"/>
        <v>1</v>
      </c>
      <c r="EX75" s="249">
        <f>SUM(EX67:EX74)</f>
        <v>51</v>
      </c>
      <c r="FM75" s="112" t="s">
        <v>1713</v>
      </c>
      <c r="FN75" s="6">
        <f t="shared" si="417"/>
        <v>0.41747572815533979</v>
      </c>
      <c r="FO75" s="249">
        <f t="shared" si="418"/>
        <v>86</v>
      </c>
    </row>
    <row r="76" spans="1:179" x14ac:dyDescent="0.25">
      <c r="A76" s="137" t="s">
        <v>26</v>
      </c>
      <c r="B76" s="6">
        <f t="shared" si="404"/>
        <v>5.5555555555555552E-2</v>
      </c>
      <c r="C76" s="249">
        <f>COUNTIFS('ENCUESTA PROPIETARIOS'!$N$7:$N$417,"2",'ENCUESTA PROPIETARIOS'!$AI$7:$AI$417,"X")</f>
        <v>8</v>
      </c>
      <c r="E76" s="112" t="s">
        <v>2732</v>
      </c>
      <c r="F76" s="11"/>
      <c r="G76" s="11"/>
      <c r="H76" s="11"/>
      <c r="I76" s="11"/>
      <c r="J76" s="11"/>
      <c r="K76" s="11"/>
      <c r="L76" s="11"/>
      <c r="M76" s="11"/>
      <c r="N76" s="11"/>
      <c r="O76" s="11"/>
      <c r="X76" s="179"/>
      <c r="Y76" s="249" t="s">
        <v>348</v>
      </c>
      <c r="AK76" s="11" t="s">
        <v>2539</v>
      </c>
      <c r="AL76" s="6">
        <f t="shared" si="407"/>
        <v>0.11004784688995216</v>
      </c>
      <c r="AM76" s="249">
        <f t="shared" si="408"/>
        <v>23</v>
      </c>
      <c r="BD76" s="112" t="s">
        <v>1714</v>
      </c>
      <c r="BE76" s="6">
        <f t="shared" si="409"/>
        <v>0</v>
      </c>
      <c r="BF76" s="138">
        <f t="shared" si="410"/>
        <v>0</v>
      </c>
      <c r="DF76" s="17" t="s">
        <v>2622</v>
      </c>
      <c r="DG76" s="6">
        <f t="shared" si="406"/>
        <v>0</v>
      </c>
      <c r="DH76" s="6">
        <f t="shared" si="399"/>
        <v>0</v>
      </c>
      <c r="DI76" s="6">
        <f t="shared" si="400"/>
        <v>7.1428571428571425E-2</v>
      </c>
      <c r="DJ76" s="6">
        <f t="shared" si="401"/>
        <v>0</v>
      </c>
      <c r="DK76" s="6">
        <f t="shared" si="402"/>
        <v>4.6511627906976744E-2</v>
      </c>
      <c r="DL76" s="249">
        <f>COUNTIFS('DETALLES UNIDADES'!$BA$8:$BA$987,"1",'DETALLES UNIDADES'!$AU$8:$AU$987,"&gt;175000",'DETALLES UNIDADES'!$C$8:$C$987,"T2")</f>
        <v>0</v>
      </c>
      <c r="DM76" s="249">
        <f>COUNTIFS('DETALLES UNIDADES'!$BA$8:$BA$987,"2",'DETALLES UNIDADES'!$AU$8:$AU$987,"&gt;175000",'DETALLES UNIDADES'!$C$8:$C$987,"T2")</f>
        <v>0</v>
      </c>
      <c r="DN76" s="249">
        <f>COUNTIFS('DETALLES UNIDADES'!$BA$8:$BA$987,"3",'DETALLES UNIDADES'!$AU$8:$AU$987,"&gt;175000",'DETALLES UNIDADES'!$C$8:$C$987,"T2")+COUNTIFS('DETALLES UNIDADES'!$BA$8:$BA$987,"4",'DETALLES UNIDADES'!$AU$8:$AU$987,"&gt;175000",'DETALLES UNIDADES'!$C$8:$C$987,"T2")+COUNTIFS('DETALLES UNIDADES'!$BA$8:$BA$987,"5",'DETALLES UNIDADES'!$AU$8:$AU$987,"&gt;175000",'DETALLES UNIDADES'!$C$8:$C$987,"T2")</f>
        <v>2</v>
      </c>
      <c r="DO76" s="249">
        <f>COUNTIFS('DETALLES UNIDADES'!$BA$8:$BA$987,"&gt;5",'DETALLES UNIDADES'!$AU$8:$AU$987,"&gt;175000",'DETALLES UNIDADES'!$C$8:$C$987,"T2")</f>
        <v>0</v>
      </c>
      <c r="DP76" s="249">
        <f t="shared" si="403"/>
        <v>2</v>
      </c>
      <c r="EE76" s="249" t="s">
        <v>348</v>
      </c>
      <c r="EF76" s="249" t="s">
        <v>351</v>
      </c>
      <c r="EG76" s="249" t="s">
        <v>359</v>
      </c>
      <c r="EH76" s="249" t="s">
        <v>337</v>
      </c>
      <c r="EJ76" s="249" t="s">
        <v>348</v>
      </c>
      <c r="EK76" s="249" t="s">
        <v>351</v>
      </c>
      <c r="EL76" s="249" t="s">
        <v>359</v>
      </c>
      <c r="EM76" s="249" t="s">
        <v>337</v>
      </c>
      <c r="FM76" s="112" t="s">
        <v>943</v>
      </c>
      <c r="FN76" s="6">
        <f t="shared" si="417"/>
        <v>0.20388349514563106</v>
      </c>
      <c r="FO76" s="249">
        <f t="shared" si="418"/>
        <v>42</v>
      </c>
    </row>
    <row r="77" spans="1:179" x14ac:dyDescent="0.25">
      <c r="A77" s="137" t="s">
        <v>2408</v>
      </c>
      <c r="B77" s="6">
        <f t="shared" si="404"/>
        <v>0.1736111111111111</v>
      </c>
      <c r="C77" s="249">
        <f>COUNTIFS('ENCUESTA PROPIETARIOS'!$N$7:$N$417,"2",'ENCUESTA PROPIETARIOS'!$AK$7:$AK$417,"MAQUINARIA")+COUNTIFS('ENCUESTA PROPIETARIOS'!$N$7:$N$417,"2",'ENCUESTA PROPIETARIOS'!$AK$7:$AK$417,"GENERAL")+COUNTIFS('ENCUESTA PROPIETARIOS'!$N$7:$N$417,"2",'ENCUESTA PROPIETARIOS'!$AK$7:$AK$417,"CARTÓN Y PAPEL")+COUNTIFS('ENCUESTA PROPIETARIOS'!$N$7:$N$417,"2",'ENCUESTA PROPIETARIOS'!$AK$7:$AK$417,"PAQUETERIA")+COUNTIFS('ENCUESTA PROPIETARIOS'!$N$7:$N$417,"2",'ENCUESTA PROPIETARIOS'!$AK$7:$AK$417,"CONTENEDORES")+COUNTIFS('ENCUESTA PROPIETARIOS'!$N$7:$N$417,"2",'ENCUESTA PROPIETARIOS'!$AK$7:$AK$417,"ELECTRODOMESTICOS")+COUNTIFS('ENCUESTA PROPIETARIOS'!$N$7:$N$417,"2",'ENCUESTA PROPIETARIOS'!$AK$7:$AK$417,"FERTILIZANTE")+COUNTIFS('ENCUESTA PROPIETARIOS'!$N$7:$N$417,"2",'ENCUESTA PROPIETARIOS'!$AK$7:$AK$417,"AGUA")+COUNTIFS('ENCUESTA PROPIETARIOS'!$N$7:$N$417,"2",'ENCUESTA PROPIETARIOS'!$AK$7:$AK$417,"GANADO EN PIE")</f>
        <v>25</v>
      </c>
      <c r="E77" s="11"/>
      <c r="F77" s="11" t="s">
        <v>814</v>
      </c>
      <c r="G77" s="11" t="s">
        <v>815</v>
      </c>
      <c r="H77" s="11" t="s">
        <v>1780</v>
      </c>
      <c r="I77" s="11" t="s">
        <v>1781</v>
      </c>
      <c r="J77" s="11" t="s">
        <v>715</v>
      </c>
      <c r="K77" s="11" t="s">
        <v>814</v>
      </c>
      <c r="L77" s="11" t="s">
        <v>815</v>
      </c>
      <c r="M77" s="11" t="s">
        <v>1780</v>
      </c>
      <c r="N77" s="11" t="s">
        <v>1781</v>
      </c>
      <c r="O77" s="11" t="s">
        <v>715</v>
      </c>
      <c r="X77" s="19" t="s">
        <v>1719</v>
      </c>
      <c r="Y77" s="254">
        <f>+Z77/$Z$85</f>
        <v>4.5454545454545456E-2</v>
      </c>
      <c r="Z77" s="249">
        <f>+AD63</f>
        <v>6</v>
      </c>
      <c r="AK77" s="11" t="s">
        <v>2540</v>
      </c>
      <c r="AL77" s="6">
        <f t="shared" si="407"/>
        <v>4.784688995215311E-2</v>
      </c>
      <c r="AM77" s="249">
        <f t="shared" si="408"/>
        <v>10</v>
      </c>
      <c r="BD77" s="112" t="s">
        <v>1715</v>
      </c>
      <c r="BE77" s="6">
        <f t="shared" si="409"/>
        <v>0</v>
      </c>
      <c r="BF77" s="138">
        <f t="shared" si="410"/>
        <v>0</v>
      </c>
      <c r="DF77" s="17" t="s">
        <v>1662</v>
      </c>
      <c r="DG77" s="6">
        <f t="shared" si="406"/>
        <v>1</v>
      </c>
      <c r="DH77" s="6">
        <f t="shared" si="399"/>
        <v>1</v>
      </c>
      <c r="DI77" s="6">
        <f t="shared" si="400"/>
        <v>1</v>
      </c>
      <c r="DJ77" s="6">
        <f t="shared" si="401"/>
        <v>1</v>
      </c>
      <c r="DK77" s="6">
        <f t="shared" si="402"/>
        <v>1</v>
      </c>
      <c r="DL77" s="249">
        <f>SUM(DL70:DL76)</f>
        <v>2</v>
      </c>
      <c r="DM77" s="249">
        <f t="shared" ref="DM77" si="419">SUM(DM70:DM76)</f>
        <v>7</v>
      </c>
      <c r="DN77" s="249">
        <f t="shared" ref="DN77" si="420">SUM(DN70:DN76)</f>
        <v>28</v>
      </c>
      <c r="DO77" s="249">
        <f t="shared" ref="DO77" si="421">SUM(DO70:DO76)</f>
        <v>6</v>
      </c>
      <c r="DP77" s="249">
        <f t="shared" ref="DP77" si="422">SUM(DP70:DP76)</f>
        <v>43</v>
      </c>
      <c r="ED77" s="11" t="s">
        <v>2658</v>
      </c>
      <c r="EE77" s="6">
        <f>+EJ77/EJ$84</f>
        <v>0.14634146341463414</v>
      </c>
      <c r="EF77" s="6">
        <f t="shared" ref="EF77:EF84" si="423">+EK77/EK$84</f>
        <v>0.1134020618556701</v>
      </c>
      <c r="EG77" s="6">
        <f t="shared" ref="EG77:EG84" si="424">+EL77/EL$84</f>
        <v>2.3255813953488372E-2</v>
      </c>
      <c r="EH77" s="6">
        <f t="shared" ref="EH77:EH84" si="425">+EM77/EM$84</f>
        <v>4.9335863377609111E-2</v>
      </c>
      <c r="EI77" s="6">
        <f t="shared" ref="EI77:EI84" si="426">+EN77/EN$84</f>
        <v>8.1527347781217757E-2</v>
      </c>
      <c r="EJ77" s="249">
        <f>COUNTIFS('DETALLES UNIDADES'!$C$8:$C$987,"C2",'DETALLES UNIDADES'!$AP$8:$AP$987,"&lt;10000")</f>
        <v>30</v>
      </c>
      <c r="EK77" s="249">
        <f>COUNTIFS('DETALLES UNIDADES'!$C$8:$C$987,"C3",'DETALLES UNIDADES'!$AP$8:$AP$987,"&lt;10000")</f>
        <v>22</v>
      </c>
      <c r="EL77" s="249">
        <f>COUNTIFS('DETALLES UNIDADES'!$C$8:$C$987,"T2",'DETALLES UNIDADES'!$AP$8:$AP$987,"&lt;10000")</f>
        <v>1</v>
      </c>
      <c r="EM77" s="249">
        <f>COUNTIFS('DETALLES UNIDADES'!$C$8:$C$987,"T3",'DETALLES UNIDADES'!$AP$8:$AP$987,"&lt;10000")</f>
        <v>26</v>
      </c>
      <c r="EN77" s="249">
        <f t="shared" ref="EN77:EN83" si="427">SUM(EJ77:EM77)</f>
        <v>79</v>
      </c>
      <c r="FM77" s="112" t="s">
        <v>944</v>
      </c>
      <c r="FN77" s="6">
        <f t="shared" si="417"/>
        <v>8.7378640776699032E-2</v>
      </c>
      <c r="FO77" s="249">
        <f t="shared" si="418"/>
        <v>18</v>
      </c>
    </row>
    <row r="78" spans="1:179" ht="25.5" x14ac:dyDescent="0.25">
      <c r="A78" s="137" t="s">
        <v>1662</v>
      </c>
      <c r="B78" s="6">
        <f t="shared" si="404"/>
        <v>1</v>
      </c>
      <c r="C78" s="249">
        <f>SUM(C70:C77)</f>
        <v>144</v>
      </c>
      <c r="E78" s="137" t="s">
        <v>193</v>
      </c>
      <c r="F78" s="6">
        <f>+K78/$O$78</f>
        <v>0.62376237623762376</v>
      </c>
      <c r="G78" s="6">
        <f t="shared" ref="G78:J78" si="428">+L78/$O$78</f>
        <v>0.16831683168316833</v>
      </c>
      <c r="H78" s="6">
        <f t="shared" si="428"/>
        <v>0.12871287128712872</v>
      </c>
      <c r="I78" s="6">
        <f t="shared" si="428"/>
        <v>7.9207920792079209E-2</v>
      </c>
      <c r="J78" s="6">
        <f t="shared" si="428"/>
        <v>1</v>
      </c>
      <c r="K78" s="249">
        <f>COUNTIFS('ENCUESTA PROPIETARIOS'!$N$7:$N$417,"1",'ENCUESTA PROPIETARIOS'!$AG$7:$AG$417,"X")</f>
        <v>63</v>
      </c>
      <c r="L78" s="249">
        <f>COUNTIFS('ENCUESTA PROPIETARIOS'!$N$7:$N$417,"2",'ENCUESTA PROPIETARIOS'!$AG$7:$AG$417,"X")</f>
        <v>17</v>
      </c>
      <c r="M78" s="249">
        <f>COUNTIFS('ENCUESTA PROPIETARIOS'!$N$7:$N$417,"3",'ENCUESTA PROPIETARIOS'!$AG$7:$AG$417,"X")+COUNTIFS('ENCUESTA PROPIETARIOS'!$N$7:$N$417,"4",'ENCUESTA PROPIETARIOS'!$AG$7:$AG$417,"X")+COUNTIFS('ENCUESTA PROPIETARIOS'!$N$7:$N$417,"5",'ENCUESTA PROPIETARIOS'!$AG$7:$AG$417,"X")</f>
        <v>13</v>
      </c>
      <c r="N78" s="249">
        <f>COUNTIFS('ENCUESTA PROPIETARIOS'!$N$7:$N$417,"&gt;5",'ENCUESTA PROPIETARIOS'!$AG$7:$AG$417,"X")</f>
        <v>8</v>
      </c>
      <c r="O78" s="249">
        <f t="shared" ref="O78" si="429">SUM(K78:N78)</f>
        <v>101</v>
      </c>
      <c r="X78" s="19" t="s">
        <v>1720</v>
      </c>
      <c r="Y78" s="254">
        <f t="shared" ref="Y78:Y85" si="430">+Z78/$Z$85</f>
        <v>0.15151515151515152</v>
      </c>
      <c r="Z78" s="249">
        <f t="shared" ref="Z78:Z85" si="431">+AD64</f>
        <v>20</v>
      </c>
      <c r="AK78" s="11" t="s">
        <v>715</v>
      </c>
      <c r="AL78" s="6">
        <f t="shared" si="407"/>
        <v>1</v>
      </c>
      <c r="AM78" s="249">
        <f t="shared" si="408"/>
        <v>209</v>
      </c>
      <c r="BD78" s="11" t="s">
        <v>715</v>
      </c>
      <c r="BE78" s="6">
        <f t="shared" si="409"/>
        <v>1</v>
      </c>
      <c r="BF78" s="138">
        <f t="shared" si="410"/>
        <v>206</v>
      </c>
      <c r="DF78" s="17" t="s">
        <v>1013</v>
      </c>
      <c r="DL78" s="138">
        <f>+'DETALLES UNIDADES'!AU1028</f>
        <v>0</v>
      </c>
      <c r="DM78" s="249"/>
      <c r="DN78" s="249"/>
      <c r="DO78" s="249"/>
      <c r="DP78" s="249">
        <f>SUM(DP70:DP76)</f>
        <v>43</v>
      </c>
      <c r="ED78" s="17" t="s">
        <v>2659</v>
      </c>
      <c r="EE78" s="6">
        <f t="shared" ref="EE78:EE84" si="432">+EJ78/EJ$84</f>
        <v>0.29268292682926828</v>
      </c>
      <c r="EF78" s="6">
        <f t="shared" si="423"/>
        <v>6.1855670103092786E-2</v>
      </c>
      <c r="EG78" s="6">
        <f t="shared" si="424"/>
        <v>0.18604651162790697</v>
      </c>
      <c r="EH78" s="6">
        <f t="shared" si="425"/>
        <v>6.6413662239089177E-2</v>
      </c>
      <c r="EI78" s="6">
        <f t="shared" si="426"/>
        <v>0.11867905056759546</v>
      </c>
      <c r="EJ78" s="249">
        <f>COUNTIFS('DETALLES UNIDADES'!$C$8:$C$987,"C2",'DETALLES UNIDADES'!$AP$8:$AP$987,"&lt;15001")-EJ77</f>
        <v>60</v>
      </c>
      <c r="EK78" s="249">
        <f>COUNTIFS('DETALLES UNIDADES'!$C$8:$C$987,"C3",'DETALLES UNIDADES'!$AP$8:$AP$987,"&lt;15001")-EK77</f>
        <v>12</v>
      </c>
      <c r="EL78" s="249">
        <f>COUNTIFS('DETALLES UNIDADES'!$C$8:$C$987,"T2",'DETALLES UNIDADES'!$AP$8:$AP$987,"&lt;15001")-EL77</f>
        <v>8</v>
      </c>
      <c r="EM78" s="249">
        <f>COUNTIFS('DETALLES UNIDADES'!$C$8:$C$987,"T3",'DETALLES UNIDADES'!$AP$8:$AP$987,"&lt;15001")-EM77</f>
        <v>35</v>
      </c>
      <c r="EN78" s="249">
        <f t="shared" si="427"/>
        <v>115</v>
      </c>
      <c r="EV78" s="17" t="s">
        <v>2704</v>
      </c>
      <c r="FM78" s="112" t="s">
        <v>1714</v>
      </c>
      <c r="FN78" s="6">
        <f t="shared" si="417"/>
        <v>4.3689320388349516E-2</v>
      </c>
      <c r="FO78" s="249">
        <f t="shared" si="418"/>
        <v>9</v>
      </c>
    </row>
    <row r="79" spans="1:179" x14ac:dyDescent="0.25">
      <c r="N79" s="249"/>
      <c r="X79" s="19" t="s">
        <v>1721</v>
      </c>
      <c r="Y79" s="254">
        <f t="shared" si="430"/>
        <v>0.17424242424242425</v>
      </c>
      <c r="Z79" s="249">
        <f t="shared" si="431"/>
        <v>23</v>
      </c>
      <c r="DP79" s="249">
        <f>+DP78+DL78</f>
        <v>43</v>
      </c>
      <c r="ED79" s="17" t="s">
        <v>2660</v>
      </c>
      <c r="EE79" s="6">
        <f t="shared" si="432"/>
        <v>6.3414634146341464E-2</v>
      </c>
      <c r="EF79" s="6">
        <f t="shared" si="423"/>
        <v>6.7010309278350513E-2</v>
      </c>
      <c r="EG79" s="6">
        <f t="shared" si="424"/>
        <v>0.13953488372093023</v>
      </c>
      <c r="EH79" s="6">
        <f t="shared" si="425"/>
        <v>5.5028462998102469E-2</v>
      </c>
      <c r="EI79" s="6">
        <f t="shared" si="426"/>
        <v>6.2951496388028896E-2</v>
      </c>
      <c r="EJ79" s="249">
        <f>COUNTIFS('DETALLES UNIDADES'!$C$8:$C$987,"C2",'DETALLES UNIDADES'!$AP$8:$AP$987,"&lt;20001")-EJ78-EJ77</f>
        <v>13</v>
      </c>
      <c r="EK79" s="249">
        <f>COUNTIFS('DETALLES UNIDADES'!$C$8:$C$987,"C3",'DETALLES UNIDADES'!$AP$8:$AP$987,"&lt;20001")-EK78-EK77</f>
        <v>13</v>
      </c>
      <c r="EL79" s="249">
        <f>COUNTIFS('DETALLES UNIDADES'!$C$8:$C$987,"T2",'DETALLES UNIDADES'!$AP$8:$AP$987,"&lt;20001")-EL78-EL77</f>
        <v>6</v>
      </c>
      <c r="EM79" s="249">
        <f>COUNTIFS('DETALLES UNIDADES'!$C$8:$C$987,"T3",'DETALLES UNIDADES'!$AP$8:$AP$987,"&lt;20001")-EM78-EM77</f>
        <v>29</v>
      </c>
      <c r="EN79" s="249">
        <f t="shared" si="427"/>
        <v>61</v>
      </c>
      <c r="EW79" s="17" t="s">
        <v>814</v>
      </c>
      <c r="EX79" s="17" t="s">
        <v>815</v>
      </c>
      <c r="EY79" s="17" t="s">
        <v>1780</v>
      </c>
      <c r="EZ79" s="17" t="s">
        <v>1781</v>
      </c>
      <c r="FM79" s="112" t="s">
        <v>2711</v>
      </c>
      <c r="FN79" s="6">
        <f t="shared" si="417"/>
        <v>6.3106796116504854E-2</v>
      </c>
      <c r="FO79" s="249">
        <f t="shared" si="418"/>
        <v>13</v>
      </c>
    </row>
    <row r="80" spans="1:179" x14ac:dyDescent="0.25">
      <c r="A80" s="17" t="s">
        <v>2503</v>
      </c>
      <c r="B80" s="17"/>
      <c r="E80" s="112" t="s">
        <v>2733</v>
      </c>
      <c r="F80" s="11"/>
      <c r="G80" s="11"/>
      <c r="H80" s="11"/>
      <c r="I80" s="11"/>
      <c r="J80" s="11"/>
      <c r="K80" s="11"/>
      <c r="L80" s="11"/>
      <c r="M80" s="11"/>
      <c r="N80" s="11"/>
      <c r="O80" s="11"/>
      <c r="X80" s="19" t="s">
        <v>1722</v>
      </c>
      <c r="Y80" s="254">
        <f t="shared" si="430"/>
        <v>1.5151515151515152E-2</v>
      </c>
      <c r="Z80" s="249">
        <f t="shared" si="431"/>
        <v>2</v>
      </c>
      <c r="AK80" s="17" t="s">
        <v>2547</v>
      </c>
      <c r="BD80" s="11" t="s">
        <v>2579</v>
      </c>
      <c r="ED80" s="17" t="s">
        <v>2661</v>
      </c>
      <c r="EE80" s="6">
        <f t="shared" si="432"/>
        <v>1.9512195121951219E-2</v>
      </c>
      <c r="EF80" s="6">
        <f t="shared" si="423"/>
        <v>1.5463917525773196E-2</v>
      </c>
      <c r="EG80" s="6">
        <f t="shared" si="424"/>
        <v>0.16279069767441862</v>
      </c>
      <c r="EH80" s="6">
        <f t="shared" si="425"/>
        <v>3.2258064516129031E-2</v>
      </c>
      <c r="EI80" s="6">
        <f t="shared" si="426"/>
        <v>3.1991744066047469E-2</v>
      </c>
      <c r="EJ80" s="249">
        <f>COUNTIFS('DETALLES UNIDADES'!$C$8:$C$987,"C2",'DETALLES UNIDADES'!$AP$8:$AP$987,"&lt;25001")-EJ79-EJ78-EJ77</f>
        <v>4</v>
      </c>
      <c r="EK80" s="249">
        <f>COUNTIFS('DETALLES UNIDADES'!$C$8:$C$987,"C3",'DETALLES UNIDADES'!$AP$8:$AP$987,"&lt;25001")-EK79-EK78-EK77</f>
        <v>3</v>
      </c>
      <c r="EL80" s="249">
        <f>COUNTIFS('DETALLES UNIDADES'!$C$8:$C$987,"T2",'DETALLES UNIDADES'!$AP$8:$AP$987,"&lt;25001")-EL79-EL78-EL77</f>
        <v>7</v>
      </c>
      <c r="EM80" s="249">
        <f>COUNTIFS('DETALLES UNIDADES'!$C$8:$C$987,"T3",'DETALLES UNIDADES'!$AP$8:$AP$987,"&lt;25001")-EM79-EM78-EM77</f>
        <v>17</v>
      </c>
      <c r="EN80" s="249">
        <f t="shared" si="427"/>
        <v>31</v>
      </c>
      <c r="EV80" s="17" t="s">
        <v>913</v>
      </c>
      <c r="EW80" s="249">
        <f>COUNTIFS('ENCUESTA PROPIETARIOS'!$DU$7:$DU$417,"X",'ENCUESTA PROPIETARIOS'!$N$7:$N$417,"1")</f>
        <v>5</v>
      </c>
      <c r="EX80" s="249">
        <f>COUNTIFS('ENCUESTA PROPIETARIOS'!$DU$7:$DU$417,"X",'ENCUESTA PROPIETARIOS'!$N$7:$N$417,"2")</f>
        <v>2</v>
      </c>
      <c r="EY80" s="249">
        <f>COUNTIFS('ENCUESTA PROPIETARIOS'!$DU$7:$DU$417,"X",'ENCUESTA PROPIETARIOS'!$N$7:$N$417,"3")+COUNTIFS('ENCUESTA PROPIETARIOS'!$DU$7:$DU$417,"X",'ENCUESTA PROPIETARIOS'!$N$7:$N$417,"4")+COUNTIFS('ENCUESTA PROPIETARIOS'!$DU$7:$DU$417,"X",'ENCUESTA PROPIETARIOS'!$N$7:$N$417,"5")</f>
        <v>9</v>
      </c>
      <c r="EZ80" s="249">
        <f>COUNTIFS('ENCUESTA PROPIETARIOS'!$DU$7:$DU$417,"X",'ENCUESTA PROPIETARIOS'!$N$7:$N$417,"&gt;5")</f>
        <v>4</v>
      </c>
      <c r="FA80" s="249">
        <f>SUM(EW80:EZ80)</f>
        <v>20</v>
      </c>
      <c r="FM80" s="11" t="s">
        <v>715</v>
      </c>
      <c r="FN80" s="6">
        <f t="shared" si="417"/>
        <v>1</v>
      </c>
      <c r="FO80" s="249">
        <f t="shared" si="418"/>
        <v>206</v>
      </c>
    </row>
    <row r="81" spans="1:171" x14ac:dyDescent="0.25">
      <c r="B81" s="17" t="s">
        <v>1780</v>
      </c>
      <c r="C81" s="17" t="s">
        <v>1780</v>
      </c>
      <c r="E81" s="11"/>
      <c r="F81" s="11" t="s">
        <v>814</v>
      </c>
      <c r="G81" s="11" t="s">
        <v>815</v>
      </c>
      <c r="H81" s="11" t="s">
        <v>1780</v>
      </c>
      <c r="I81" s="11" t="s">
        <v>1781</v>
      </c>
      <c r="J81" s="11" t="s">
        <v>715</v>
      </c>
      <c r="K81" s="11" t="s">
        <v>814</v>
      </c>
      <c r="L81" s="11" t="s">
        <v>815</v>
      </c>
      <c r="M81" s="11" t="s">
        <v>1780</v>
      </c>
      <c r="N81" s="11" t="s">
        <v>1781</v>
      </c>
      <c r="O81" s="11" t="s">
        <v>715</v>
      </c>
      <c r="X81" s="19" t="s">
        <v>1723</v>
      </c>
      <c r="Y81" s="254">
        <f t="shared" si="430"/>
        <v>7.575757575757576E-2</v>
      </c>
      <c r="Z81" s="249">
        <f t="shared" si="431"/>
        <v>10</v>
      </c>
      <c r="AK81" s="11"/>
      <c r="AL81" s="249" t="s">
        <v>815</v>
      </c>
      <c r="BD81" s="11"/>
      <c r="BE81" s="11" t="s">
        <v>2580</v>
      </c>
      <c r="DF81" s="17" t="s">
        <v>2629</v>
      </c>
      <c r="ED81" s="17" t="s">
        <v>2662</v>
      </c>
      <c r="EE81" s="6">
        <f t="shared" si="432"/>
        <v>3.4146341463414637E-2</v>
      </c>
      <c r="EF81" s="6">
        <f t="shared" si="423"/>
        <v>9.2783505154639179E-2</v>
      </c>
      <c r="EG81" s="6">
        <f t="shared" si="424"/>
        <v>2.3255813953488372E-2</v>
      </c>
      <c r="EH81" s="6">
        <f t="shared" si="425"/>
        <v>0.12333965844402277</v>
      </c>
      <c r="EI81" s="6">
        <f t="shared" si="426"/>
        <v>9.3911248710010317E-2</v>
      </c>
      <c r="EJ81" s="249">
        <f>COUNTIFS('DETALLES UNIDADES'!$C$8:$C$987,"C2",'DETALLES UNIDADES'!$AP$8:$AP$987,"&lt;30001")-EJ80-EJ79-EJ78-EJ77</f>
        <v>7</v>
      </c>
      <c r="EK81" s="249">
        <f>COUNTIFS('DETALLES UNIDADES'!$C$8:$C$987,"C3",'DETALLES UNIDADES'!$AP$8:$AP$987,"&lt;30001")-EK80-EK79-EK78-EK77</f>
        <v>18</v>
      </c>
      <c r="EL81" s="249">
        <f>COUNTIFS('DETALLES UNIDADES'!$C$8:$C$987,"T2",'DETALLES UNIDADES'!$AP$8:$AP$987,"&lt;30001")-EL80-EL79-EL78-EL77</f>
        <v>1</v>
      </c>
      <c r="EM81" s="249">
        <f>COUNTIFS('DETALLES UNIDADES'!$C$8:$C$987,"T3",'DETALLES UNIDADES'!$AP$8:$AP$987,"&lt;30001")-EM80-EM79-EM78-EM77</f>
        <v>65</v>
      </c>
      <c r="EN81" s="249">
        <f t="shared" si="427"/>
        <v>91</v>
      </c>
    </row>
    <row r="82" spans="1:171" ht="25.5" x14ac:dyDescent="0.25">
      <c r="A82" s="137" t="s">
        <v>19</v>
      </c>
      <c r="B82" s="6">
        <f>+C82/$C$90</f>
        <v>0.16393442622950818</v>
      </c>
      <c r="C82" s="249">
        <f>COUNTIFS('ENCUESTA PROPIETARIOS'!$N$7:$N$417,"3",'ENCUESTA PROPIETARIOS'!$AB$7:$AB$417,"X")+COUNTIFS('ENCUESTA PROPIETARIOS'!$N$7:$N$417,"4",'ENCUESTA PROPIETARIOS'!$AB$7:$AB$417,"X")+COUNTIFS('ENCUESTA PROPIETARIOS'!$N$7:$N$417,"5",'ENCUESTA PROPIETARIOS'!$AB$7:$AB$417,"X")</f>
        <v>30</v>
      </c>
      <c r="E82" s="137" t="s">
        <v>26</v>
      </c>
      <c r="F82" s="6">
        <f>+K82/$O$82</f>
        <v>0.33333333333333331</v>
      </c>
      <c r="G82" s="6">
        <f t="shared" ref="G82:J82" si="433">+L82/$O$82</f>
        <v>0.12698412698412698</v>
      </c>
      <c r="H82" s="6">
        <f t="shared" si="433"/>
        <v>0.3968253968253968</v>
      </c>
      <c r="I82" s="6">
        <f t="shared" si="433"/>
        <v>0.14285714285714285</v>
      </c>
      <c r="J82" s="6">
        <f t="shared" si="433"/>
        <v>1</v>
      </c>
      <c r="K82" s="249">
        <f>COUNTIFS('ENCUESTA PROPIETARIOS'!$N$7:$N$417,"1",'ENCUESTA PROPIETARIOS'!$AI$7:$AI$417,"X")</f>
        <v>21</v>
      </c>
      <c r="L82" s="249">
        <f>COUNTIFS('ENCUESTA PROPIETARIOS'!$N$7:$N$417,"2",'ENCUESTA PROPIETARIOS'!$AI$7:$AI$417,"X")</f>
        <v>8</v>
      </c>
      <c r="M82" s="249">
        <f>COUNTIFS('ENCUESTA PROPIETARIOS'!$N$7:$N$417,"3",'ENCUESTA PROPIETARIOS'!$AI$7:$AI$417,"X")+COUNTIFS('ENCUESTA PROPIETARIOS'!$N$7:$N$417,"4",'ENCUESTA PROPIETARIOS'!$AI$7:$AI$417,"X")+COUNTIFS('ENCUESTA PROPIETARIOS'!$N$7:$N$417,"5",'ENCUESTA PROPIETARIOS'!$AI$7:$AI$417,"X")</f>
        <v>25</v>
      </c>
      <c r="N82" s="249">
        <f>COUNTIFS('ENCUESTA PROPIETARIOS'!$N$7:$N$417,"&gt;5",'ENCUESTA PROPIETARIOS'!$AI$7:$AI$417,"X")</f>
        <v>9</v>
      </c>
      <c r="O82" s="249">
        <f t="shared" ref="O82" si="434">SUM(K82:N82)</f>
        <v>63</v>
      </c>
      <c r="X82" s="19" t="s">
        <v>1724</v>
      </c>
      <c r="Y82" s="254">
        <f t="shared" si="430"/>
        <v>0.12878787878787878</v>
      </c>
      <c r="Z82" s="249">
        <f t="shared" si="431"/>
        <v>17</v>
      </c>
      <c r="AK82" s="11" t="s">
        <v>2534</v>
      </c>
      <c r="AL82" s="6">
        <f>+AM82/$AM$89</f>
        <v>0.1125</v>
      </c>
      <c r="AM82" s="249">
        <f>+AR59</f>
        <v>18</v>
      </c>
      <c r="BD82" s="112" t="s">
        <v>1712</v>
      </c>
      <c r="BE82" s="6">
        <f>+BF82/$BF$89</f>
        <v>0.86868686868686873</v>
      </c>
      <c r="BF82" s="138">
        <f>+BS4</f>
        <v>86</v>
      </c>
      <c r="DG82" s="11" t="s">
        <v>814</v>
      </c>
      <c r="DH82" s="11" t="s">
        <v>815</v>
      </c>
      <c r="DI82" s="11" t="s">
        <v>1780</v>
      </c>
      <c r="DJ82" s="11" t="s">
        <v>1781</v>
      </c>
      <c r="DK82" s="11"/>
      <c r="DL82" s="11" t="s">
        <v>814</v>
      </c>
      <c r="DM82" s="11" t="s">
        <v>815</v>
      </c>
      <c r="DN82" s="11" t="s">
        <v>1780</v>
      </c>
      <c r="DO82" s="11" t="s">
        <v>1781</v>
      </c>
      <c r="DP82" s="11"/>
      <c r="ED82" s="17" t="s">
        <v>2663</v>
      </c>
      <c r="EE82" s="6">
        <f t="shared" si="432"/>
        <v>6.3414634146341464E-2</v>
      </c>
      <c r="EF82" s="6">
        <f t="shared" si="423"/>
        <v>7.2164948453608241E-2</v>
      </c>
      <c r="EG82" s="6">
        <f t="shared" si="424"/>
        <v>0</v>
      </c>
      <c r="EH82" s="6">
        <f t="shared" si="425"/>
        <v>6.0721062618595827E-2</v>
      </c>
      <c r="EI82" s="6">
        <f t="shared" si="426"/>
        <v>6.0887512899896801E-2</v>
      </c>
      <c r="EJ82" s="249">
        <f>COUNTIFS('DETALLES UNIDADES'!$C$8:$C$987,"C2",'DETALLES UNIDADES'!$AP$8:$AP$987,"&lt;40001")-EJ81-EJ80-EJ79-EJ78-EJ77</f>
        <v>13</v>
      </c>
      <c r="EK82" s="249">
        <f>COUNTIFS('DETALLES UNIDADES'!$C$8:$C$987,"C3",'DETALLES UNIDADES'!$AP$8:$AP$987,"&lt;40001")-EK81-EK80-EK79-EK78-EK77</f>
        <v>14</v>
      </c>
      <c r="EL82" s="249">
        <f>COUNTIFS('DETALLES UNIDADES'!$C$8:$C$987,"T2",'DETALLES UNIDADES'!$AP$8:$AP$987,"&lt;40001")-EL81-EL80-EL79-EL78-EL77</f>
        <v>0</v>
      </c>
      <c r="EM82" s="249">
        <f>COUNTIFS('DETALLES UNIDADES'!$C$8:$C$987,"T3",'DETALLES UNIDADES'!$AP$8:$AP$987,"&lt;40001")-EM81-EM80-EM79-EM78-EM77</f>
        <v>32</v>
      </c>
      <c r="EN82" s="249">
        <f t="shared" si="427"/>
        <v>59</v>
      </c>
      <c r="FM82" s="11" t="s">
        <v>2713</v>
      </c>
    </row>
    <row r="83" spans="1:171" x14ac:dyDescent="0.25">
      <c r="A83" s="137" t="s">
        <v>20</v>
      </c>
      <c r="B83" s="6">
        <f t="shared" ref="B83:B90" si="435">+C83/$C$90</f>
        <v>8.7431693989071038E-2</v>
      </c>
      <c r="C83" s="249">
        <f>COUNTIFS('ENCUESTA PROPIETARIOS'!$N$7:$N$417,"3",'ENCUESTA PROPIETARIOS'!$AC$7:$AC$417,"X")+COUNTIFS('ENCUESTA PROPIETARIOS'!$N$7:$N$417,"4",'ENCUESTA PROPIETARIOS'!$AC$7:$AC$417,"X")+COUNTIFS('ENCUESTA PROPIETARIOS'!$N$7:$N$417,"5",'ENCUESTA PROPIETARIOS'!$AC$7:$AC$417,"X")</f>
        <v>16</v>
      </c>
      <c r="N83" s="249"/>
      <c r="X83" s="19" t="s">
        <v>1725</v>
      </c>
      <c r="Y83" s="254">
        <f t="shared" si="430"/>
        <v>0.26515151515151514</v>
      </c>
      <c r="Z83" s="249">
        <f t="shared" si="431"/>
        <v>35</v>
      </c>
      <c r="AK83" s="11" t="s">
        <v>2535</v>
      </c>
      <c r="AL83" s="6">
        <f t="shared" ref="AL83:AL89" si="436">+AM83/$AM$89</f>
        <v>0.05</v>
      </c>
      <c r="AM83" s="249">
        <f t="shared" ref="AM83:AM89" si="437">+AR60</f>
        <v>8</v>
      </c>
      <c r="BD83" s="112" t="s">
        <v>1716</v>
      </c>
      <c r="BE83" s="6">
        <f t="shared" ref="BE83:BE89" si="438">+BF83/$BF$89</f>
        <v>9.0909090909090912E-2</v>
      </c>
      <c r="BF83" s="138">
        <f t="shared" ref="BF83:BF89" si="439">+BS5</f>
        <v>9</v>
      </c>
      <c r="DF83" s="17" t="s">
        <v>2616</v>
      </c>
      <c r="DG83" s="6">
        <f>+DL83/DL$90</f>
        <v>0.29629629629629628</v>
      </c>
      <c r="DH83" s="6">
        <f t="shared" ref="DH83:DH90" si="440">+DM83/DM$90</f>
        <v>6.3492063492063489E-2</v>
      </c>
      <c r="DI83" s="6">
        <f t="shared" ref="DI83:DI90" si="441">+DN83/DN$90</f>
        <v>0.20858895705521471</v>
      </c>
      <c r="DJ83" s="6">
        <f t="shared" ref="DJ83:DJ90" si="442">+DO83/DO$90</f>
        <v>0.2356020942408377</v>
      </c>
      <c r="DK83" s="6">
        <f t="shared" ref="DK83:DK90" si="443">+DP83/DP$90</f>
        <v>0.21485943775100402</v>
      </c>
      <c r="DL83" s="249">
        <f>COUNTIFS('DETALLES UNIDADES'!$BA$8:$BA$987,"1",'DETALLES UNIDADES'!$AU$8:$AU$987,"&lt;50000",'DETALLES UNIDADES'!$C$8:$C$987,"T3")</f>
        <v>24</v>
      </c>
      <c r="DM83" s="249">
        <f>COUNTIFS('DETALLES UNIDADES'!$BA$8:$BA$987,"2",'DETALLES UNIDADES'!$AU$8:$AU$987,"&lt;50000",'DETALLES UNIDADES'!$C$8:$C$987,"T3")</f>
        <v>4</v>
      </c>
      <c r="DN83" s="249">
        <f>COUNTIFS('DETALLES UNIDADES'!$BA$8:$BA$987,"3",'DETALLES UNIDADES'!$AU$8:$AU$987,"&lt;50000",'DETALLES UNIDADES'!$C$8:$C$987,"T3")+COUNTIFS('DETALLES UNIDADES'!$BA$8:$BA$987,"4",'DETALLES UNIDADES'!$AU$8:$AU$987,"&lt;50000",'DETALLES UNIDADES'!$C$8:$C$987,"T3")+COUNTIFS('DETALLES UNIDADES'!$BA$8:$BA$987,"5",'DETALLES UNIDADES'!$AU$8:$AU$987,"&lt;50000",'DETALLES UNIDADES'!$C$8:$C$987,"T3")</f>
        <v>34</v>
      </c>
      <c r="DO83" s="249">
        <f>COUNTIFS('DETALLES UNIDADES'!$BA$8:$BA$987,"&gt;5",'DETALLES UNIDADES'!$AU$8:$AU$987,"&lt;50000",'DETALLES UNIDADES'!$C$8:$C$987,"T3")</f>
        <v>45</v>
      </c>
      <c r="DP83" s="249">
        <f t="shared" ref="DP83:DP89" si="444">SUM(DL83:DO83)</f>
        <v>107</v>
      </c>
      <c r="ED83" s="17" t="s">
        <v>2664</v>
      </c>
      <c r="EE83" s="6">
        <f t="shared" si="432"/>
        <v>0.38048780487804879</v>
      </c>
      <c r="EF83" s="6">
        <f t="shared" si="423"/>
        <v>0.57731958762886593</v>
      </c>
      <c r="EG83" s="6">
        <f t="shared" si="424"/>
        <v>0.46511627906976744</v>
      </c>
      <c r="EH83" s="6">
        <f t="shared" si="425"/>
        <v>0.61290322580645162</v>
      </c>
      <c r="EI83" s="6">
        <f t="shared" si="426"/>
        <v>0.55005159958720329</v>
      </c>
      <c r="EJ83" s="249">
        <f>COUNTIFS('DETALLES UNIDADES'!$C$8:$C$987,"C2",'DETALLES UNIDADES'!$AP$8:$AP$987,"&gt;40000")</f>
        <v>78</v>
      </c>
      <c r="EK83" s="249">
        <f>COUNTIFS('DETALLES UNIDADES'!$C$8:$C$987,"C3",'DETALLES UNIDADES'!$AP$8:$AP$987,"&gt;40000")</f>
        <v>112</v>
      </c>
      <c r="EL83" s="249">
        <f>COUNTIFS('DETALLES UNIDADES'!$C$8:$C$987,"T2",'DETALLES UNIDADES'!$AP$8:$AP$987,"&gt;40000")</f>
        <v>20</v>
      </c>
      <c r="EM83" s="249">
        <f>COUNTIFS('DETALLES UNIDADES'!$C$8:$C$987,"T3",'DETALLES UNIDADES'!$AP$8:$AP$987,"&gt;40000")</f>
        <v>323</v>
      </c>
      <c r="EN83" s="249">
        <f t="shared" si="427"/>
        <v>533</v>
      </c>
      <c r="EV83" s="112" t="s">
        <v>2696</v>
      </c>
      <c r="FN83" s="17" t="s">
        <v>815</v>
      </c>
    </row>
    <row r="84" spans="1:171" x14ac:dyDescent="0.25">
      <c r="A84" s="137" t="s">
        <v>2409</v>
      </c>
      <c r="B84" s="6">
        <f t="shared" si="435"/>
        <v>0.10382513661202186</v>
      </c>
      <c r="C84" s="249">
        <f>COUNTIFS('ENCUESTA PROPIETARIOS'!$N$7:$N$417,"3",'ENCUESTA PROPIETARIOS'!$AD$7:$AD$417,"X")+COUNTIFS('ENCUESTA PROPIETARIOS'!$N$7:$N$417,"4",'ENCUESTA PROPIETARIOS'!$AD$7:$AD$417,"X")+COUNTIFS('ENCUESTA PROPIETARIOS'!$N$7:$N$417,"5",'ENCUESTA PROPIETARIOS'!$AD$7:$AD$417,"X")+COUNTIFS('ENCUESTA PROPIETARIOS'!$N$7:$N$417,"3",'ENCUESTA PROPIETARIOS'!$AJ$7:$AJ$417,"X")+COUNTIFS('ENCUESTA PROPIETARIOS'!$N$7:$N$417,"4",'ENCUESTA PROPIETARIOS'!$AJ$7:$AJ$417,"X")+COUNTIFS('ENCUESTA PROPIETARIOS'!$N$7:$N$417,"5",'ENCUESTA PROPIETARIOS'!$AJ$7:$AJ$417,"X")</f>
        <v>19</v>
      </c>
      <c r="E84" s="112" t="s">
        <v>2734</v>
      </c>
      <c r="F84" s="11"/>
      <c r="G84" s="11"/>
      <c r="H84" s="11"/>
      <c r="I84" s="11"/>
      <c r="J84" s="11"/>
      <c r="K84" s="11"/>
      <c r="L84" s="11"/>
      <c r="M84" s="11"/>
      <c r="N84" s="11"/>
      <c r="O84" s="11"/>
      <c r="X84" s="19" t="s">
        <v>2510</v>
      </c>
      <c r="Y84" s="254">
        <f t="shared" si="430"/>
        <v>0.14393939393939395</v>
      </c>
      <c r="Z84" s="249">
        <f t="shared" si="431"/>
        <v>19</v>
      </c>
      <c r="AK84" s="11" t="s">
        <v>2536</v>
      </c>
      <c r="AL84" s="6">
        <f t="shared" si="436"/>
        <v>0.1125</v>
      </c>
      <c r="AM84" s="249">
        <f t="shared" si="437"/>
        <v>18</v>
      </c>
      <c r="BD84" s="112" t="s">
        <v>1713</v>
      </c>
      <c r="BE84" s="6">
        <f t="shared" si="438"/>
        <v>4.0404040404040407E-2</v>
      </c>
      <c r="BF84" s="138">
        <f t="shared" si="439"/>
        <v>4</v>
      </c>
      <c r="DF84" s="17" t="s">
        <v>2618</v>
      </c>
      <c r="DG84" s="6">
        <f t="shared" ref="DG84:DG90" si="445">+DL84/DL$90</f>
        <v>0.41975308641975306</v>
      </c>
      <c r="DH84" s="6">
        <f t="shared" si="440"/>
        <v>0.3968253968253968</v>
      </c>
      <c r="DI84" s="6">
        <f t="shared" si="441"/>
        <v>0.27607361963190186</v>
      </c>
      <c r="DJ84" s="6">
        <f t="shared" si="442"/>
        <v>0.24607329842931938</v>
      </c>
      <c r="DK84" s="6">
        <f t="shared" si="443"/>
        <v>0.30321285140562249</v>
      </c>
      <c r="DL84" s="249">
        <f>COUNTIFS('DETALLES UNIDADES'!$BA$8:$BA$987,"1",'DETALLES UNIDADES'!$AU$8:$AU$987,"&lt;75001",'DETALLES UNIDADES'!$C$8:$C$987,"T3")-DL83</f>
        <v>34</v>
      </c>
      <c r="DM84" s="249">
        <f>COUNTIFS('DETALLES UNIDADES'!$BA$8:$BA$987,"2",'DETALLES UNIDADES'!$AU$8:$AU$987,"&lt;75001",'DETALLES UNIDADES'!$C$8:$C$987,"T3")-DM83</f>
        <v>25</v>
      </c>
      <c r="DN84" s="249">
        <f>COUNTIFS('DETALLES UNIDADES'!$BA$8:$BA$987,"3",'DETALLES UNIDADES'!$AU$8:$AU$987,"&lt;75001",'DETALLES UNIDADES'!$C$8:$C$987,"T3")+COUNTIFS('DETALLES UNIDADES'!$BA$8:$BA$987,"4",'DETALLES UNIDADES'!$AU$8:$AU$987,"&lt;75001",'DETALLES UNIDADES'!$C$8:$C$987,"T3")+COUNTIFS('DETALLES UNIDADES'!$BA$8:$BA$987,"5",'DETALLES UNIDADES'!$AU$8:$AU$987,"&lt;75001",'DETALLES UNIDADES'!$C$8:$C$987,"T3")-DN83</f>
        <v>45</v>
      </c>
      <c r="DO84" s="249">
        <f>COUNTIFS('DETALLES UNIDADES'!$BA$8:$BA$987,"&gt;5",'DETALLES UNIDADES'!$AU$8:$AU$987,"&lt;75001",'DETALLES UNIDADES'!$C$8:$C$987,"T3")-DO83</f>
        <v>47</v>
      </c>
      <c r="DP84" s="249">
        <f t="shared" si="444"/>
        <v>151</v>
      </c>
      <c r="ED84" s="17" t="s">
        <v>1662</v>
      </c>
      <c r="EE84" s="6">
        <f t="shared" si="432"/>
        <v>1</v>
      </c>
      <c r="EF84" s="6">
        <f t="shared" si="423"/>
        <v>1</v>
      </c>
      <c r="EG84" s="6">
        <f t="shared" si="424"/>
        <v>1</v>
      </c>
      <c r="EH84" s="6">
        <f t="shared" si="425"/>
        <v>1</v>
      </c>
      <c r="EI84" s="6">
        <f t="shared" si="426"/>
        <v>1</v>
      </c>
      <c r="EJ84" s="249">
        <f>SUM(EJ77:EJ83)</f>
        <v>205</v>
      </c>
      <c r="EK84" s="249">
        <f t="shared" ref="EK84" si="446">SUM(EK77:EK83)</f>
        <v>194</v>
      </c>
      <c r="EL84" s="249">
        <f t="shared" ref="EL84" si="447">SUM(EL77:EL83)</f>
        <v>43</v>
      </c>
      <c r="EM84" s="249">
        <f t="shared" ref="EM84" si="448">SUM(EM77:EM83)</f>
        <v>527</v>
      </c>
      <c r="EN84" s="249">
        <f t="shared" ref="EN84" si="449">SUM(EN77:EN83)</f>
        <v>969</v>
      </c>
      <c r="EW84" s="11" t="s">
        <v>2534</v>
      </c>
      <c r="EX84" s="11" t="s">
        <v>2535</v>
      </c>
      <c r="EY84" s="11" t="s">
        <v>2536</v>
      </c>
      <c r="EZ84" s="11" t="s">
        <v>2537</v>
      </c>
      <c r="FA84" s="11" t="s">
        <v>2538</v>
      </c>
      <c r="FB84" s="11" t="s">
        <v>2539</v>
      </c>
      <c r="FC84" s="11" t="s">
        <v>2540</v>
      </c>
      <c r="FD84" s="11" t="s">
        <v>2534</v>
      </c>
      <c r="FE84" s="11" t="s">
        <v>2535</v>
      </c>
      <c r="FF84" s="11" t="s">
        <v>2536</v>
      </c>
      <c r="FG84" s="11" t="s">
        <v>2537</v>
      </c>
      <c r="FH84" s="11" t="s">
        <v>2538</v>
      </c>
      <c r="FI84" s="11" t="s">
        <v>2539</v>
      </c>
      <c r="FJ84" s="11" t="s">
        <v>2540</v>
      </c>
      <c r="FM84" s="112" t="s">
        <v>1712</v>
      </c>
      <c r="FN84" s="6">
        <f>+FO84/$FO$91</f>
        <v>0.11038961038961038</v>
      </c>
      <c r="FO84" s="249">
        <f>+FT61</f>
        <v>17</v>
      </c>
    </row>
    <row r="85" spans="1:171" x14ac:dyDescent="0.25">
      <c r="A85" s="137" t="s">
        <v>22</v>
      </c>
      <c r="B85" s="6">
        <f t="shared" si="435"/>
        <v>0.10382513661202186</v>
      </c>
      <c r="C85" s="249">
        <f>COUNTIFS('ENCUESTA PROPIETARIOS'!$N$7:$N$417,"3",'ENCUESTA PROPIETARIOS'!$AE$7:$AE$417,"X")+COUNTIFS('ENCUESTA PROPIETARIOS'!$N$7:$N$417,"4",'ENCUESTA PROPIETARIOS'!$AE$7:$AE$417,"X")+COUNTIFS('ENCUESTA PROPIETARIOS'!$N$7:$N$417,"5",'ENCUESTA PROPIETARIOS'!$AE$7:$AE$417,"X")</f>
        <v>19</v>
      </c>
      <c r="E85" s="11"/>
      <c r="F85" s="11" t="s">
        <v>814</v>
      </c>
      <c r="G85" s="11" t="s">
        <v>815</v>
      </c>
      <c r="H85" s="11" t="s">
        <v>1780</v>
      </c>
      <c r="I85" s="11" t="s">
        <v>1781</v>
      </c>
      <c r="J85" s="11" t="s">
        <v>715</v>
      </c>
      <c r="K85" s="11" t="s">
        <v>814</v>
      </c>
      <c r="L85" s="11" t="s">
        <v>815</v>
      </c>
      <c r="M85" s="11" t="s">
        <v>1780</v>
      </c>
      <c r="N85" s="11" t="s">
        <v>1781</v>
      </c>
      <c r="O85" s="11" t="s">
        <v>715</v>
      </c>
      <c r="X85" s="19" t="s">
        <v>715</v>
      </c>
      <c r="Y85" s="254">
        <f t="shared" si="430"/>
        <v>1</v>
      </c>
      <c r="Z85" s="249">
        <f t="shared" si="431"/>
        <v>132</v>
      </c>
      <c r="AK85" s="11" t="s">
        <v>2537</v>
      </c>
      <c r="AL85" s="6">
        <f t="shared" si="436"/>
        <v>0.25624999999999998</v>
      </c>
      <c r="AM85" s="249">
        <f t="shared" si="437"/>
        <v>41</v>
      </c>
      <c r="BD85" s="112" t="s">
        <v>943</v>
      </c>
      <c r="BE85" s="6">
        <f t="shared" si="438"/>
        <v>0</v>
      </c>
      <c r="BF85" s="138">
        <f t="shared" si="439"/>
        <v>0</v>
      </c>
      <c r="DF85" s="17" t="s">
        <v>2617</v>
      </c>
      <c r="DG85" s="6">
        <f t="shared" si="445"/>
        <v>0.20987654320987653</v>
      </c>
      <c r="DH85" s="6">
        <f t="shared" si="440"/>
        <v>0.3968253968253968</v>
      </c>
      <c r="DI85" s="6">
        <f t="shared" si="441"/>
        <v>0.24539877300613497</v>
      </c>
      <c r="DJ85" s="6">
        <f t="shared" si="442"/>
        <v>0.29842931937172773</v>
      </c>
      <c r="DK85" s="6">
        <f t="shared" si="443"/>
        <v>0.27911646586345379</v>
      </c>
      <c r="DL85" s="249">
        <f>COUNTIFS('DETALLES UNIDADES'!$BA$8:$BA$987,"1",'DETALLES UNIDADES'!$AU$8:$AU$987,"&lt;100001",'DETALLES UNIDADES'!$C$8:$C$987,"T3")-DL84-DL83</f>
        <v>17</v>
      </c>
      <c r="DM85" s="249">
        <f>COUNTIFS('DETALLES UNIDADES'!$BA$8:$BA$987,"2",'DETALLES UNIDADES'!$AU$8:$AU$987,"&lt;100001",'DETALLES UNIDADES'!$C$8:$C$987,"T3")-DM84-DM83</f>
        <v>25</v>
      </c>
      <c r="DN85" s="249">
        <f>COUNTIFS('DETALLES UNIDADES'!$BA$8:$BA$987,"3",'DETALLES UNIDADES'!$AU$8:$AU$987,"&lt;100001",'DETALLES UNIDADES'!$C$8:$C$987,"T3")+COUNTIFS('DETALLES UNIDADES'!$BA$8:$BA$987,"4",'DETALLES UNIDADES'!$AU$8:$AU$987,"&lt;100001",'DETALLES UNIDADES'!$C$8:$C$987,"T3")+COUNTIFS('DETALLES UNIDADES'!$BA$8:$BA$987,"5",'DETALLES UNIDADES'!$AU$8:$AU$987,"&lt;100001",'DETALLES UNIDADES'!$C$8:$C$987,"T3")-DN84-DN83</f>
        <v>40</v>
      </c>
      <c r="DO85" s="249">
        <f>COUNTIFS('DETALLES UNIDADES'!$BA$8:$BA$987,"&gt;5",'DETALLES UNIDADES'!$AU$8:$AU$987,"&lt;100001",'DETALLES UNIDADES'!$C$8:$C$987,"T3")-DO84-DO83</f>
        <v>57</v>
      </c>
      <c r="DP85" s="249">
        <f t="shared" si="444"/>
        <v>139</v>
      </c>
      <c r="EV85" s="17" t="s">
        <v>2697</v>
      </c>
      <c r="EW85" s="6">
        <f>FD85/$FK$85</f>
        <v>0.26373626373626374</v>
      </c>
      <c r="EX85" s="6">
        <f t="shared" ref="EX85:FC85" si="450">FE85/$FK$85</f>
        <v>2.197802197802198E-2</v>
      </c>
      <c r="EY85" s="6">
        <f t="shared" si="450"/>
        <v>0.18681318681318682</v>
      </c>
      <c r="EZ85" s="6">
        <f t="shared" si="450"/>
        <v>5.4945054945054944E-2</v>
      </c>
      <c r="FA85" s="6">
        <f t="shared" si="450"/>
        <v>0.18681318681318682</v>
      </c>
      <c r="FB85" s="6">
        <f t="shared" si="450"/>
        <v>0.2087912087912088</v>
      </c>
      <c r="FC85" s="6">
        <f t="shared" si="450"/>
        <v>7.6923076923076927E-2</v>
      </c>
      <c r="FD85" s="249">
        <f>COUNTIFS('DETALLES UNIDADES'!$D$8:$D$987,"&lt;1991",'DETALLES UNIDADES'!$X$8:$X$987,"X")</f>
        <v>24</v>
      </c>
      <c r="FE85" s="249">
        <f>COUNTIFS('DETALLES UNIDADES'!$D$8:$D$987,"&lt;1994",'DETALLES UNIDADES'!$X$8:$X$987,"X")-FD85</f>
        <v>2</v>
      </c>
      <c r="FF85" s="249">
        <f>COUNTIFS('DETALLES UNIDADES'!$D$8:$D$987,"&lt;1998",'DETALLES UNIDADES'!$X$8:$X$987,"X")-FE85-FD85</f>
        <v>17</v>
      </c>
      <c r="FG85" s="249">
        <f>COUNTIFS('DETALLES UNIDADES'!$D$8:$D$987,"&lt;2004",'DETALLES UNIDADES'!$X$8:$X$987,"X")-FF85-FE85-FD85</f>
        <v>5</v>
      </c>
      <c r="FH85" s="249">
        <f>COUNTIFS('DETALLES UNIDADES'!$D$8:$D$987,"&lt;2007",'DETALLES UNIDADES'!$X$8:$X$987,"X")-FG85-FF85-FE85-FD85</f>
        <v>17</v>
      </c>
      <c r="FI85" s="249">
        <f>COUNTIFS('DETALLES UNIDADES'!$D$8:$D$987,"&lt;2011",'DETALLES UNIDADES'!$X$8:$X$987,"X")-FH85-FG85-FF85-FE85-FD85</f>
        <v>19</v>
      </c>
      <c r="FJ85" s="249">
        <f>COUNTIFS('DETALLES UNIDADES'!$D$8:$D$987,"&gt;2010",'DETALLES UNIDADES'!$X$8:$X$987,"X")</f>
        <v>7</v>
      </c>
      <c r="FK85" s="249">
        <f t="shared" ref="FK85:FK90" si="451">SUM(FD85:FJ85)</f>
        <v>91</v>
      </c>
      <c r="FL85" s="190">
        <f>SUM(EW85:FC85)</f>
        <v>1</v>
      </c>
      <c r="FM85" s="112" t="s">
        <v>1716</v>
      </c>
      <c r="FN85" s="6">
        <f t="shared" ref="FN85:FN91" si="452">+FO85/$FO$91</f>
        <v>0.12337662337662338</v>
      </c>
      <c r="FO85" s="249">
        <f t="shared" ref="FO85:FO91" si="453">+FT62</f>
        <v>19</v>
      </c>
    </row>
    <row r="86" spans="1:171" ht="25.5" x14ac:dyDescent="0.25">
      <c r="A86" s="137" t="s">
        <v>2410</v>
      </c>
      <c r="B86" s="6">
        <f t="shared" si="435"/>
        <v>0.22950819672131148</v>
      </c>
      <c r="C86" s="249">
        <f>COUNTIFS('ENCUESTA PROPIETARIOS'!$N$7:$N$417,"3",'ENCUESTA PROPIETARIOS'!$AF$7:$AF$417,"X")+COUNTIFS('ENCUESTA PROPIETARIOS'!$N$7:$N$417,"4",'ENCUESTA PROPIETARIOS'!$AF$7:$AF$417,"X")+COUNTIFS('ENCUESTA PROPIETARIOS'!$N$7:$N$417,"5",'ENCUESTA PROPIETARIOS'!$AF$7:$AF$417,"X")+COUNTIFS('ENCUESTA PROPIETARIOS'!$N$7:$N$417,"3",'ENCUESTA PROPIETARIOS'!$AH$7:$AH$417,"X")+COUNTIFS('ENCUESTA PROPIETARIOS'!$N$7:$N$417,"4",'ENCUESTA PROPIETARIOS'!$AH$7:$AH$417,"X")+COUNTIFS('ENCUESTA PROPIETARIOS'!$N$7:$N$417,"5",'ENCUESTA PROPIETARIOS'!$AH$7:$AH$417,"X")</f>
        <v>42</v>
      </c>
      <c r="E86" s="137" t="s">
        <v>2408</v>
      </c>
      <c r="F86" s="6">
        <f>+K86/$O$86</f>
        <v>0.41052631578947368</v>
      </c>
      <c r="G86" s="6">
        <f t="shared" ref="G86:J86" si="454">+L86/$O$86</f>
        <v>0.26315789473684209</v>
      </c>
      <c r="H86" s="6">
        <f t="shared" si="454"/>
        <v>0.2</v>
      </c>
      <c r="I86" s="6">
        <f t="shared" si="454"/>
        <v>0.12631578947368421</v>
      </c>
      <c r="J86" s="6">
        <f t="shared" si="454"/>
        <v>1</v>
      </c>
      <c r="K86" s="249">
        <f>COUNTIFS('ENCUESTA PROPIETARIOS'!$N$7:$N$417,"1",'ENCUESTA PROPIETARIOS'!$AK$7:$AK$417,"MAQUINARIA")+COUNTIFS('ENCUESTA PROPIETARIOS'!$N$7:$N$417,"1",'ENCUESTA PROPIETARIOS'!$AK$7:$AK$417,"GENERAL")+COUNTIFS('ENCUESTA PROPIETARIOS'!$N$7:$N$417,"1",'ENCUESTA PROPIETARIOS'!$AK$7:$AK$417,"CARTÓN Y PAPEL")+COUNTIFS('ENCUESTA PROPIETARIOS'!$N$7:$N$417,"1",'ENCUESTA PROPIETARIOS'!$AK$7:$AK$417,"PAQUETERIA")+COUNTIFS('ENCUESTA PROPIETARIOS'!$N$7:$N$417,"1",'ENCUESTA PROPIETARIOS'!$AK$7:$AK$417,"CONTENEDORES")+COUNTIFS('ENCUESTA PROPIETARIOS'!$N$7:$N$417,"1",'ENCUESTA PROPIETARIOS'!$AK$7:$AK$417,"ELECTRODOMESTICOS")+COUNTIFS('ENCUESTA PROPIETARIOS'!$N$7:$N$417,"1",'ENCUESTA PROPIETARIOS'!$AK$7:$AK$417,"FERTILIZANTE")+COUNTIFS('ENCUESTA PROPIETARIOS'!$N$7:$N$417,"1",'ENCUESTA PROPIETARIOS'!$AK$7:$AK$417,"AGUA")+COUNTIFS('ENCUESTA PROPIETARIOS'!$N$7:$N$417,"1",'ENCUESTA PROPIETARIOS'!$AK$7:$AK$417,"GANADO EN PIE")</f>
        <v>39</v>
      </c>
      <c r="L86" s="249">
        <f>COUNTIFS('ENCUESTA PROPIETARIOS'!$N$7:$N$417,"2",'ENCUESTA PROPIETARIOS'!$AK$7:$AK$417,"MAQUINARIA")+COUNTIFS('ENCUESTA PROPIETARIOS'!$N$7:$N$417,"2",'ENCUESTA PROPIETARIOS'!$AK$7:$AK$417,"GENERAL")+COUNTIFS('ENCUESTA PROPIETARIOS'!$N$7:$N$417,"2",'ENCUESTA PROPIETARIOS'!$AK$7:$AK$417,"CARTÓN Y PAPEL")+COUNTIFS('ENCUESTA PROPIETARIOS'!$N$7:$N$417,"2",'ENCUESTA PROPIETARIOS'!$AK$7:$AK$417,"PAQUETERIA")+COUNTIFS('ENCUESTA PROPIETARIOS'!$N$7:$N$417,"2",'ENCUESTA PROPIETARIOS'!$AK$7:$AK$417,"CONTENEDORES")+COUNTIFS('ENCUESTA PROPIETARIOS'!$N$7:$N$417,"2",'ENCUESTA PROPIETARIOS'!$AK$7:$AK$417,"ELECTRODOMESTICOS")+COUNTIFS('ENCUESTA PROPIETARIOS'!$N$7:$N$417,"2",'ENCUESTA PROPIETARIOS'!$AK$7:$AK$417,"FERTILIZANTE")+COUNTIFS('ENCUESTA PROPIETARIOS'!$N$7:$N$417,"2",'ENCUESTA PROPIETARIOS'!$AK$7:$AK$417,"AGUA")+COUNTIFS('ENCUESTA PROPIETARIOS'!$N$7:$N$417,"2",'ENCUESTA PROPIETARIOS'!$AK$7:$AK$417,"GANADO EN PIE")</f>
        <v>25</v>
      </c>
      <c r="M86" s="249">
        <f>COUNTIFS('ENCUESTA PROPIETARIOS'!$N$7:$N$417,"3",'ENCUESTA PROPIETARIOS'!$AK$7:$AK$417,"MAQUINARIA")+COUNTIFS('ENCUESTA PROPIETARIOS'!$N$7:$N$417,"3",'ENCUESTA PROPIETARIOS'!$AK$7:$AK$417,"GENERAL")+COUNTIFS('ENCUESTA PROPIETARIOS'!$N$7:$N$417,"3",'ENCUESTA PROPIETARIOS'!$AK$7:$AK$417,"CARTÓN Y PAPEL")+COUNTIFS('ENCUESTA PROPIETARIOS'!$N$7:$N$417,"3",'ENCUESTA PROPIETARIOS'!$AK$7:$AK$417,"PAQUETERIA")+COUNTIFS('ENCUESTA PROPIETARIOS'!$N$7:$N$417,"3",'ENCUESTA PROPIETARIOS'!$AK$7:$AK$417,"CONTENEDORES")+COUNTIFS('ENCUESTA PROPIETARIOS'!$N$7:$N$417,"3",'ENCUESTA PROPIETARIOS'!$AK$7:$AK$417,"ELECTRODOMESTICOS")+COUNTIFS('ENCUESTA PROPIETARIOS'!$N$7:$N$417,"3",'ENCUESTA PROPIETARIOS'!$AK$7:$AK$417,"FERTILIZANTE")+COUNTIFS('ENCUESTA PROPIETARIOS'!$N$7:$N$417,"3",'ENCUESTA PROPIETARIOS'!$AK$7:$AK$417,"AGUA")+COUNTIFS('ENCUESTA PROPIETARIOS'!$N$7:$N$417,"3",'ENCUESTA PROPIETARIOS'!$AK$7:$AK$417,"GANADO EN PIE")+COUNTIFS('ENCUESTA PROPIETARIOS'!$N$7:$N$417,"4",'ENCUESTA PROPIETARIOS'!$AK$7:$AK$417,"MAQUINARIA")+COUNTIFS('ENCUESTA PROPIETARIOS'!$N$7:$N$417,"4",'ENCUESTA PROPIETARIOS'!$AK$7:$AK$417,"GENERAL")+COUNTIFS('ENCUESTA PROPIETARIOS'!$N$7:$N$417,"4",'ENCUESTA PROPIETARIOS'!$AK$7:$AK$417,"CARTÓN Y PAPEL")+COUNTIFS('ENCUESTA PROPIETARIOS'!$N$7:$N$417,"4",'ENCUESTA PROPIETARIOS'!$AK$7:$AK$417,"PAQUETERIA")+COUNTIFS('ENCUESTA PROPIETARIOS'!$N$7:$N$417,"4",'ENCUESTA PROPIETARIOS'!$AK$7:$AK$417,"CONTENEDORES")+COUNTIFS('ENCUESTA PROPIETARIOS'!$N$7:$N$417,"4",'ENCUESTA PROPIETARIOS'!$AK$7:$AK$417,"ELECTRODOMESTICOS")+COUNTIFS('ENCUESTA PROPIETARIOS'!$N$7:$N$417,"4",'ENCUESTA PROPIETARIOS'!$AK$7:$AK$417,"FERTILIZANTE")+COUNTIFS('ENCUESTA PROPIETARIOS'!$N$7:$N$417,"4",'ENCUESTA PROPIETARIOS'!$AK$7:$AK$417,"AGUA")+COUNTIFS('ENCUESTA PROPIETARIOS'!$N$7:$N$417,"4",'ENCUESTA PROPIETARIOS'!$AK$7:$AK$417,"GANADO EN PIE")+COUNTIFS('ENCUESTA PROPIETARIOS'!$N$7:$N$417,"5",'ENCUESTA PROPIETARIOS'!$AK$7:$AK$417,"MAQUINARIA")+COUNTIFS('ENCUESTA PROPIETARIOS'!$N$7:$N$417,"5",'ENCUESTA PROPIETARIOS'!$AK$7:$AK$417,"GENERAL")+COUNTIFS('ENCUESTA PROPIETARIOS'!$N$7:$N$417,"5",'ENCUESTA PROPIETARIOS'!$AK$7:$AK$417,"CARTÓN Y PAPEL")+COUNTIFS('ENCUESTA PROPIETARIOS'!$N$7:$N$417,"5",'ENCUESTA PROPIETARIOS'!$AK$7:$AK$417,"PAQUETERIA")+COUNTIFS('ENCUESTA PROPIETARIOS'!$N$7:$N$417,"5",'ENCUESTA PROPIETARIOS'!$AK$7:$AK$417,"CONTENEDORES")+COUNTIFS('ENCUESTA PROPIETARIOS'!$N$7:$N$417,"5",'ENCUESTA PROPIETARIOS'!$AK$7:$AK$417,"ELECTRODOMESTICOS")+COUNTIFS('ENCUESTA PROPIETARIOS'!$N$7:$N$417,"5",'ENCUESTA PROPIETARIOS'!$AK$7:$AK$417,"FERTILIZANTE")+COUNTIFS('ENCUESTA PROPIETARIOS'!$N$7:$N$417,"5",'ENCUESTA PROPIETARIOS'!$AK$7:$AK$417,"AGUA")+COUNTIFS('ENCUESTA PROPIETARIOS'!$N$7:$N$417,"5",'ENCUESTA PROPIETARIOS'!$AK$7:$AK$417,"GANADO EN PIE")</f>
        <v>19</v>
      </c>
      <c r="N86" s="249">
        <f>COUNTIFS('ENCUESTA PROPIETARIOS'!$N$7:$N$417,"&gt;5",'ENCUESTA PROPIETARIOS'!$AK$7:$AK$417,"MAQUINARIA")+COUNTIFS('ENCUESTA PROPIETARIOS'!$N$7:$N$417,"&gt;5",'ENCUESTA PROPIETARIOS'!$AK$7:$AK$417,"GENERAL")+COUNTIFS('ENCUESTA PROPIETARIOS'!$N$7:$N$417,"&gt;5",'ENCUESTA PROPIETARIOS'!$AK$7:$AK$417,"CARTÓN Y PAPEL")+COUNTIFS('ENCUESTA PROPIETARIOS'!$N$7:$N$417,"&gt;5",'ENCUESTA PROPIETARIOS'!$AK$7:$AK$417,"PAQUETERIA")+COUNTIFS('ENCUESTA PROPIETARIOS'!$N$7:$N$417,"&gt;5",'ENCUESTA PROPIETARIOS'!$AK$7:$AK$417,"CONTENEDORES")+COUNTIFS('ENCUESTA PROPIETARIOS'!$N$7:$N$417,"&gt;5",'ENCUESTA PROPIETARIOS'!$AK$7:$AK$417,"ELECTRODOMESTICOS")+COUNTIFS('ENCUESTA PROPIETARIOS'!$N$7:$N$417,"&gt;5",'ENCUESTA PROPIETARIOS'!$AK$7:$AK$417,"FERTILIZANTE")+COUNTIFS('ENCUESTA PROPIETARIOS'!$N$7:$N$417,"&gt;5",'ENCUESTA PROPIETARIOS'!$AK$7:$AK$417,"AGUA")+COUNTIFS('ENCUESTA PROPIETARIOS'!$N$7:$N$417,"&gt;5",'ENCUESTA PROPIETARIOS'!$AK$7:$AK$417,"GANADO EN PIE")</f>
        <v>12</v>
      </c>
      <c r="O86" s="249">
        <f t="shared" ref="O86" si="455">SUM(K86:N86)</f>
        <v>95</v>
      </c>
      <c r="X86" s="11"/>
      <c r="Y86" s="254"/>
      <c r="AK86" s="11" t="s">
        <v>2538</v>
      </c>
      <c r="AL86" s="6">
        <f t="shared" si="436"/>
        <v>0.21249999999999999</v>
      </c>
      <c r="AM86" s="249">
        <f t="shared" si="437"/>
        <v>34</v>
      </c>
      <c r="BD86" s="112" t="s">
        <v>944</v>
      </c>
      <c r="BE86" s="6">
        <f t="shared" si="438"/>
        <v>0</v>
      </c>
      <c r="BF86" s="138">
        <f t="shared" si="439"/>
        <v>0</v>
      </c>
      <c r="DF86" s="17" t="s">
        <v>2619</v>
      </c>
      <c r="DG86" s="6">
        <f t="shared" si="445"/>
        <v>1.2345679012345678E-2</v>
      </c>
      <c r="DH86" s="6">
        <f t="shared" si="440"/>
        <v>4.7619047619047616E-2</v>
      </c>
      <c r="DI86" s="6">
        <f t="shared" si="441"/>
        <v>2.4539877300613498E-2</v>
      </c>
      <c r="DJ86" s="6">
        <f t="shared" si="442"/>
        <v>2.6178010471204188E-2</v>
      </c>
      <c r="DK86" s="6">
        <f t="shared" si="443"/>
        <v>2.6104417670682729E-2</v>
      </c>
      <c r="DL86" s="249">
        <f>COUNTIFS('DETALLES UNIDADES'!$BA$8:$BA$987,"1",'DETALLES UNIDADES'!$AU$8:$AU$987,"&lt;125001",'DETALLES UNIDADES'!$C$8:$C$987,"T3")-DL85-DL84-DL83</f>
        <v>1</v>
      </c>
      <c r="DM86" s="249">
        <f>COUNTIFS('DETALLES UNIDADES'!$BA$8:$BA$987,"2",'DETALLES UNIDADES'!$AU$8:$AU$987,"&lt;125001",'DETALLES UNIDADES'!$C$8:$C$987,"T3")-DM85-DM84-DM83</f>
        <v>3</v>
      </c>
      <c r="DN86" s="249">
        <f>COUNTIFS('DETALLES UNIDADES'!$BA$8:$BA$987,"3",'DETALLES UNIDADES'!$AU$8:$AU$987,"&lt;125001",'DETALLES UNIDADES'!$C$8:$C$987,"T3")+COUNTIFS('DETALLES UNIDADES'!$BA$8:$BA$987,"4",'DETALLES UNIDADES'!$AU$8:$AU$987,"&lt;125001",'DETALLES UNIDADES'!$C$8:$C$987,"T3")+COUNTIFS('DETALLES UNIDADES'!$BA$8:$BA$987,"5",'DETALLES UNIDADES'!$AU$8:$AU$987,"&lt;125001",'DETALLES UNIDADES'!$C$8:$C$987,"T3")-DN85-DN84-DN83</f>
        <v>4</v>
      </c>
      <c r="DO86" s="249">
        <f>COUNTIFS('DETALLES UNIDADES'!$BA$8:$BA$987,"&gt;5",'DETALLES UNIDADES'!$AU$8:$AU$987,"&lt;125001",'DETALLES UNIDADES'!$C$8:$C$987,"T3")-DO85-DO84-DO83</f>
        <v>5</v>
      </c>
      <c r="DP86" s="249">
        <f t="shared" si="444"/>
        <v>13</v>
      </c>
      <c r="EV86" s="17" t="s">
        <v>2698</v>
      </c>
      <c r="EW86" s="6">
        <f>FD86/$FK$86</f>
        <v>0.25688073394495414</v>
      </c>
      <c r="EX86" s="6">
        <f t="shared" ref="EX86:FC86" si="456">FE86/$FK$86</f>
        <v>4.8929663608562692E-2</v>
      </c>
      <c r="EY86" s="6">
        <f t="shared" si="456"/>
        <v>9.480122324159021E-2</v>
      </c>
      <c r="EZ86" s="6">
        <f t="shared" si="456"/>
        <v>0.16513761467889909</v>
      </c>
      <c r="FA86" s="6">
        <f t="shared" si="456"/>
        <v>9.7859327217125383E-2</v>
      </c>
      <c r="FB86" s="6">
        <f t="shared" si="456"/>
        <v>0.19877675840978593</v>
      </c>
      <c r="FC86" s="6">
        <f t="shared" si="456"/>
        <v>0.13761467889908258</v>
      </c>
      <c r="FD86" s="249">
        <f>COUNTIFS('DETALLES UNIDADES'!$D$8:$D$987,"&lt;1991",'DETALLES UNIDADES'!$Y$8:$Y$987,"X")</f>
        <v>84</v>
      </c>
      <c r="FE86" s="249">
        <f>COUNTIFS('DETALLES UNIDADES'!$D$8:$D$987,"&lt;1994",'DETALLES UNIDADES'!$Y$8:$Y$987,"X")-FD86</f>
        <v>16</v>
      </c>
      <c r="FF86" s="249">
        <f>COUNTIFS('DETALLES UNIDADES'!$D$8:$D$987,"&lt;1998",'DETALLES UNIDADES'!$Y$8:$Y$987,"X")-FE86-FD86</f>
        <v>31</v>
      </c>
      <c r="FG86" s="249">
        <f>COUNTIFS('DETALLES UNIDADES'!$D$8:$D$987,"&lt;2004",'DETALLES UNIDADES'!$Y$8:$Y$987,"X")-FF86-FE86-FD86</f>
        <v>54</v>
      </c>
      <c r="FH86" s="249">
        <f>COUNTIFS('DETALLES UNIDADES'!$D$8:$D$987,"&lt;2007",'DETALLES UNIDADES'!$Y$8:$Y$987,"X")-FG86-FF86-FE86-FD86</f>
        <v>32</v>
      </c>
      <c r="FI86" s="249">
        <f>COUNTIFS('DETALLES UNIDADES'!$D$8:$D$987,"&lt;2011",'DETALLES UNIDADES'!$Y$8:$Y$987,"X")-FH86-FG86-FF86-FE86-FD86</f>
        <v>65</v>
      </c>
      <c r="FJ86" s="249">
        <f>COUNTIFS('DETALLES UNIDADES'!$D$8:$D$987,"&gt;2010",'DETALLES UNIDADES'!$Y$8:$Y$987,"X")</f>
        <v>45</v>
      </c>
      <c r="FK86" s="249">
        <f t="shared" si="451"/>
        <v>327</v>
      </c>
      <c r="FL86" s="190">
        <f t="shared" ref="FL86:FL91" si="457">SUM(EW86:FC86)</f>
        <v>1</v>
      </c>
      <c r="FM86" s="112" t="s">
        <v>1713</v>
      </c>
      <c r="FN86" s="6">
        <f t="shared" si="452"/>
        <v>0.46103896103896103</v>
      </c>
      <c r="FO86" s="249">
        <f t="shared" si="453"/>
        <v>71</v>
      </c>
    </row>
    <row r="87" spans="1:171" x14ac:dyDescent="0.25">
      <c r="A87" s="137" t="s">
        <v>193</v>
      </c>
      <c r="B87" s="6">
        <f t="shared" si="435"/>
        <v>7.1038251366120214E-2</v>
      </c>
      <c r="C87" s="249">
        <f>COUNTIFS('ENCUESTA PROPIETARIOS'!$N$7:$N$417,"3",'ENCUESTA PROPIETARIOS'!$AG$7:$AG$417,"X")+COUNTIFS('ENCUESTA PROPIETARIOS'!$N$7:$N$417,"4",'ENCUESTA PROPIETARIOS'!$AG$7:$AG$417,"X")+COUNTIFS('ENCUESTA PROPIETARIOS'!$N$7:$N$417,"5",'ENCUESTA PROPIETARIOS'!$AG$7:$AG$417,"X")</f>
        <v>13</v>
      </c>
      <c r="X87" s="17" t="s">
        <v>2516</v>
      </c>
      <c r="AK87" s="11" t="s">
        <v>2539</v>
      </c>
      <c r="AL87" s="6">
        <f t="shared" si="436"/>
        <v>0.21875</v>
      </c>
      <c r="AM87" s="249">
        <f t="shared" si="437"/>
        <v>35</v>
      </c>
      <c r="BD87" s="112" t="s">
        <v>1714</v>
      </c>
      <c r="BE87" s="6">
        <f t="shared" si="438"/>
        <v>0</v>
      </c>
      <c r="BF87" s="138">
        <f t="shared" si="439"/>
        <v>0</v>
      </c>
      <c r="DF87" s="17" t="s">
        <v>2620</v>
      </c>
      <c r="DG87" s="6">
        <f t="shared" si="445"/>
        <v>2.4691358024691357E-2</v>
      </c>
      <c r="DH87" s="6">
        <f t="shared" si="440"/>
        <v>6.3492063492063489E-2</v>
      </c>
      <c r="DI87" s="6">
        <f t="shared" si="441"/>
        <v>9.202453987730061E-2</v>
      </c>
      <c r="DJ87" s="6">
        <f t="shared" si="442"/>
        <v>0.13612565445026178</v>
      </c>
      <c r="DK87" s="6">
        <f t="shared" si="443"/>
        <v>9.4377510040160636E-2</v>
      </c>
      <c r="DL87" s="249">
        <f>COUNTIFS('DETALLES UNIDADES'!$BA$8:$BA$987,"1",'DETALLES UNIDADES'!$AU$8:$AU$987,"&lt;150001",'DETALLES UNIDADES'!$C$8:$C$987,"T3")-DL86-DL85-DL84-DL83</f>
        <v>2</v>
      </c>
      <c r="DM87" s="249">
        <f>COUNTIFS('DETALLES UNIDADES'!$BA$8:$BA$987,"2",'DETALLES UNIDADES'!$AU$8:$AU$987,"&lt;150001",'DETALLES UNIDADES'!$C$8:$C$987,"T3")-DM86-DM85-DM84-DM83</f>
        <v>4</v>
      </c>
      <c r="DN87" s="249">
        <f>COUNTIFS('DETALLES UNIDADES'!$BA$8:$BA$987,"3",'DETALLES UNIDADES'!$AU$8:$AU$987,"&lt;150001",'DETALLES UNIDADES'!$C$8:$C$987,"T3")+COUNTIFS('DETALLES UNIDADES'!$BA$8:$BA$987,"4",'DETALLES UNIDADES'!$AU$8:$AU$987,"&lt;150001",'DETALLES UNIDADES'!$C$8:$C$987,"T3")+COUNTIFS('DETALLES UNIDADES'!$BA$8:$BA$987,"5",'DETALLES UNIDADES'!$AU$8:$AU$987,"&lt;150001",'DETALLES UNIDADES'!$C$8:$C$987,"T3")-DN86-DN85-DN84-DN83</f>
        <v>15</v>
      </c>
      <c r="DO87" s="249">
        <f>COUNTIFS('DETALLES UNIDADES'!$BA$8:$BA$987,"&gt;5",'DETALLES UNIDADES'!$AU$8:$AU$987,"&lt;150001",'DETALLES UNIDADES'!$C$8:$C$987,"T3")-DO86-DO85-DO84-DO83</f>
        <v>26</v>
      </c>
      <c r="DP87" s="249">
        <f t="shared" si="444"/>
        <v>47</v>
      </c>
      <c r="ED87" s="17" t="s">
        <v>2679</v>
      </c>
      <c r="EV87" s="17" t="s">
        <v>2699</v>
      </c>
      <c r="EW87" s="6">
        <f>FD87/$FK$87</f>
        <v>4.7619047619047616E-2</v>
      </c>
      <c r="EX87" s="6">
        <f t="shared" ref="EX87:FC87" si="458">FE87/$FK$87</f>
        <v>0</v>
      </c>
      <c r="EY87" s="6">
        <f t="shared" si="458"/>
        <v>4.7619047619047616E-2</v>
      </c>
      <c r="EZ87" s="6">
        <f t="shared" si="458"/>
        <v>4.7619047619047616E-2</v>
      </c>
      <c r="FA87" s="6">
        <f t="shared" si="458"/>
        <v>4.7619047619047616E-2</v>
      </c>
      <c r="FB87" s="6">
        <f t="shared" si="458"/>
        <v>4.7619047619047616E-2</v>
      </c>
      <c r="FC87" s="6">
        <f t="shared" si="458"/>
        <v>0.76190476190476186</v>
      </c>
      <c r="FD87" s="249">
        <f>COUNTIFS('DETALLES UNIDADES'!$D$8:$D$987,"&lt;1991",'DETALLES UNIDADES'!$Z$8:$Z$987,"X")</f>
        <v>1</v>
      </c>
      <c r="FE87" s="249">
        <f>COUNTIFS('DETALLES UNIDADES'!$D$8:$D$987,"&lt;1994",'DETALLES UNIDADES'!$Z$8:$Z$987,"X")-FD87</f>
        <v>0</v>
      </c>
      <c r="FF87" s="249">
        <f>COUNTIFS('DETALLES UNIDADES'!$D$8:$D$987,"&lt;1998",'DETALLES UNIDADES'!$Z$8:$Z$987,"X")-FE87-FD87</f>
        <v>1</v>
      </c>
      <c r="FG87" s="249">
        <f>COUNTIFS('DETALLES UNIDADES'!$D$8:$D$987,"&lt;2004",'DETALLES UNIDADES'!$Z$8:$Z$987,"X")-FF87-FE87-FD87</f>
        <v>1</v>
      </c>
      <c r="FH87" s="249">
        <f>COUNTIFS('DETALLES UNIDADES'!$D$8:$D$987,"&lt;2007",'DETALLES UNIDADES'!$Z$8:$Z$987,"X")-FG87-FF87-FE87-FD87</f>
        <v>1</v>
      </c>
      <c r="FI87" s="249">
        <f>COUNTIFS('DETALLES UNIDADES'!$D$8:$D$987,"&lt;2011",'DETALLES UNIDADES'!$Z$8:$Z$987,"X")-FH87-FG87-FF87-FE87-FD87</f>
        <v>1</v>
      </c>
      <c r="FJ87" s="249">
        <f>COUNTIFS('DETALLES UNIDADES'!$D$8:$D$987,"&gt;2010",'DETALLES UNIDADES'!$Z$8:$Z$987,"X")</f>
        <v>16</v>
      </c>
      <c r="FK87" s="249">
        <f t="shared" si="451"/>
        <v>21</v>
      </c>
      <c r="FL87" s="190">
        <f t="shared" si="457"/>
        <v>1</v>
      </c>
      <c r="FM87" s="112" t="s">
        <v>943</v>
      </c>
      <c r="FN87" s="6">
        <f t="shared" si="452"/>
        <v>0.15584415584415584</v>
      </c>
      <c r="FO87" s="249">
        <f t="shared" si="453"/>
        <v>24</v>
      </c>
    </row>
    <row r="88" spans="1:171" x14ac:dyDescent="0.25">
      <c r="A88" s="137" t="s">
        <v>26</v>
      </c>
      <c r="B88" s="6">
        <f t="shared" si="435"/>
        <v>0.13661202185792351</v>
      </c>
      <c r="C88" s="249">
        <f>COUNTIFS('ENCUESTA PROPIETARIOS'!$N$7:$N$417,"3",'ENCUESTA PROPIETARIOS'!$AI$7:$AI$417,"X")+COUNTIFS('ENCUESTA PROPIETARIOS'!$N$7:$N$417,"4",'ENCUESTA PROPIETARIOS'!$AI$7:$AI$417,"X")+COUNTIFS('ENCUESTA PROPIETARIOS'!$N$7:$N$417,"5",'ENCUESTA PROPIETARIOS'!$AI$7:$AI$417,"X")</f>
        <v>25</v>
      </c>
      <c r="X88" s="179"/>
      <c r="Y88" s="249" t="s">
        <v>351</v>
      </c>
      <c r="AK88" s="11" t="s">
        <v>2540</v>
      </c>
      <c r="AL88" s="6">
        <f t="shared" si="436"/>
        <v>3.7499999999999999E-2</v>
      </c>
      <c r="AM88" s="249">
        <f t="shared" si="437"/>
        <v>6</v>
      </c>
      <c r="BD88" s="112" t="s">
        <v>1715</v>
      </c>
      <c r="BE88" s="6">
        <f t="shared" si="438"/>
        <v>0</v>
      </c>
      <c r="BF88" s="138">
        <f t="shared" si="439"/>
        <v>0</v>
      </c>
      <c r="DF88" s="17" t="s">
        <v>2621</v>
      </c>
      <c r="DG88" s="6">
        <f t="shared" si="445"/>
        <v>1.2345679012345678E-2</v>
      </c>
      <c r="DH88" s="6">
        <f t="shared" si="440"/>
        <v>0</v>
      </c>
      <c r="DI88" s="6">
        <f t="shared" si="441"/>
        <v>0</v>
      </c>
      <c r="DJ88" s="6">
        <f t="shared" si="442"/>
        <v>0</v>
      </c>
      <c r="DK88" s="6">
        <f t="shared" si="443"/>
        <v>2.008032128514056E-3</v>
      </c>
      <c r="DL88" s="249">
        <f>COUNTIFS('DETALLES UNIDADES'!$BA$8:$BA$987,"1",'DETALLES UNIDADES'!$AU$8:$AU$987,"&lt;175001",'DETALLES UNIDADES'!$C$8:$C$987,"T3")-DL87-DL86-DL85-DL84-DL83</f>
        <v>1</v>
      </c>
      <c r="DM88" s="249">
        <f>COUNTIFS('DETALLES UNIDADES'!$BA$8:$BA$987,"2",'DETALLES UNIDADES'!$AU$8:$AU$987,"&lt;175001",'DETALLES UNIDADES'!$C$8:$C$987,"T3")-DM87-DM86-DM85-DM84-DM83</f>
        <v>0</v>
      </c>
      <c r="DN88" s="249">
        <f>COUNTIFS('DETALLES UNIDADES'!$BA$8:$BA$987,"3",'DETALLES UNIDADES'!$AU$8:$AU$987,"&lt;175001",'DETALLES UNIDADES'!$C$8:$C$987,"T3")+COUNTIFS('DETALLES UNIDADES'!$BA$8:$BA$987,"4",'DETALLES UNIDADES'!$AU$8:$AU$987,"&lt;175001",'DETALLES UNIDADES'!$C$8:$C$987,"T3")+COUNTIFS('DETALLES UNIDADES'!$BA$8:$BA$987,"5",'DETALLES UNIDADES'!$AU$8:$AU$987,"&lt;175001",'DETALLES UNIDADES'!$C$8:$C$987,"T3")-DN87-DN86-DN85-DN84-DN83</f>
        <v>0</v>
      </c>
      <c r="DO88" s="249">
        <f>COUNTIFS('DETALLES UNIDADES'!$BA$8:$BA$987,"&gt;5",'DETALLES UNIDADES'!$AU$8:$AU$987,"&lt;175001",'DETALLES UNIDADES'!$C$8:$C$987,"T3")-DO87-DO86-DO85-DO84-DO83</f>
        <v>0</v>
      </c>
      <c r="DP88" s="249">
        <f t="shared" si="444"/>
        <v>1</v>
      </c>
      <c r="EE88" s="249" t="s">
        <v>348</v>
      </c>
      <c r="EF88" s="249" t="s">
        <v>351</v>
      </c>
      <c r="EG88" s="249" t="s">
        <v>359</v>
      </c>
      <c r="EH88" s="249" t="s">
        <v>337</v>
      </c>
      <c r="EJ88" s="249" t="s">
        <v>348</v>
      </c>
      <c r="EK88" s="249" t="s">
        <v>351</v>
      </c>
      <c r="EL88" s="249" t="s">
        <v>359</v>
      </c>
      <c r="EM88" s="249" t="s">
        <v>337</v>
      </c>
      <c r="EV88" s="17" t="s">
        <v>2700</v>
      </c>
      <c r="EW88" s="6">
        <f>+FD88/$FK$88</f>
        <v>0.44</v>
      </c>
      <c r="EX88" s="6">
        <f t="shared" ref="EX88:FC88" si="459">+FE88/$FK$88</f>
        <v>0</v>
      </c>
      <c r="EY88" s="6">
        <f t="shared" si="459"/>
        <v>0.08</v>
      </c>
      <c r="EZ88" s="6">
        <f t="shared" si="459"/>
        <v>0.08</v>
      </c>
      <c r="FA88" s="6">
        <f t="shared" si="459"/>
        <v>0.04</v>
      </c>
      <c r="FB88" s="6">
        <f t="shared" si="459"/>
        <v>0.04</v>
      </c>
      <c r="FC88" s="6">
        <f t="shared" si="459"/>
        <v>0.32</v>
      </c>
      <c r="FD88" s="249">
        <f>COUNTIFS('DETALLES UNIDADES'!$D$8:$D$987,"&lt;1991",'DETALLES UNIDADES'!$AA$8:$AA$987,"X")</f>
        <v>11</v>
      </c>
      <c r="FE88" s="249">
        <f>COUNTIFS('DETALLES UNIDADES'!$D$8:$D$987,"&lt;1994",'DETALLES UNIDADES'!$AA$8:$AA$987,"X")-FD88</f>
        <v>0</v>
      </c>
      <c r="FF88" s="249">
        <f>COUNTIFS('DETALLES UNIDADES'!$D$8:$D$987,"&lt;1998",'DETALLES UNIDADES'!$AA$8:$AA$987,"X")-FE88-FD88</f>
        <v>2</v>
      </c>
      <c r="FG88" s="249">
        <f>COUNTIFS('DETALLES UNIDADES'!$D$8:$D$987,"&lt;2004",'DETALLES UNIDADES'!$AA$8:$AA$987,"X")-FF88-FE88-FD88</f>
        <v>2</v>
      </c>
      <c r="FH88" s="249">
        <f>COUNTIFS('DETALLES UNIDADES'!$D$8:$D$987,"&lt;2007",'DETALLES UNIDADES'!$AA$8:$AA$987,"X")-FG88-FF88-FE88-FD88</f>
        <v>1</v>
      </c>
      <c r="FI88" s="249">
        <f>COUNTIFS('DETALLES UNIDADES'!$D$8:$D$987,"&lt;2011",'DETALLES UNIDADES'!$AA$8:$AA$987,"X")-FH88-FG88-FF88-FE88-FD88</f>
        <v>1</v>
      </c>
      <c r="FJ88" s="249">
        <f>COUNTIFS('DETALLES UNIDADES'!$D$8:$D$987,"&gt;2010",'DETALLES UNIDADES'!$AA$8:$AA$987,"X")</f>
        <v>8</v>
      </c>
      <c r="FK88" s="249">
        <f t="shared" si="451"/>
        <v>25</v>
      </c>
      <c r="FL88" s="190">
        <f t="shared" si="457"/>
        <v>1</v>
      </c>
      <c r="FM88" s="112" t="s">
        <v>944</v>
      </c>
      <c r="FN88" s="6">
        <f t="shared" si="452"/>
        <v>5.844155844155844E-2</v>
      </c>
      <c r="FO88" s="249">
        <f t="shared" si="453"/>
        <v>9</v>
      </c>
    </row>
    <row r="89" spans="1:171" x14ac:dyDescent="0.25">
      <c r="A89" s="137" t="s">
        <v>2408</v>
      </c>
      <c r="B89" s="6">
        <f t="shared" si="435"/>
        <v>0.10382513661202186</v>
      </c>
      <c r="C89" s="249">
        <f>COUNTIFS('ENCUESTA PROPIETARIOS'!$N$7:$N$417,"3",'ENCUESTA PROPIETARIOS'!$AK$7:$AK$417,"MAQUINARIA")+COUNTIFS('ENCUESTA PROPIETARIOS'!$N$7:$N$417,"3",'ENCUESTA PROPIETARIOS'!$AK$7:$AK$417,"GENERAL")+COUNTIFS('ENCUESTA PROPIETARIOS'!$N$7:$N$417,"3",'ENCUESTA PROPIETARIOS'!$AK$7:$AK$417,"CARTÓN Y PAPEL")+COUNTIFS('ENCUESTA PROPIETARIOS'!$N$7:$N$417,"3",'ENCUESTA PROPIETARIOS'!$AK$7:$AK$417,"PAQUETERIA")+COUNTIFS('ENCUESTA PROPIETARIOS'!$N$7:$N$417,"3",'ENCUESTA PROPIETARIOS'!$AK$7:$AK$417,"CONTENEDORES")+COUNTIFS('ENCUESTA PROPIETARIOS'!$N$7:$N$417,"3",'ENCUESTA PROPIETARIOS'!$AK$7:$AK$417,"ELECTRODOMESTICOS")+COUNTIFS('ENCUESTA PROPIETARIOS'!$N$7:$N$417,"3",'ENCUESTA PROPIETARIOS'!$AK$7:$AK$417,"FERTILIZANTE")+COUNTIFS('ENCUESTA PROPIETARIOS'!$N$7:$N$417,"3",'ENCUESTA PROPIETARIOS'!$AK$7:$AK$417,"AGUA")+COUNTIFS('ENCUESTA PROPIETARIOS'!$N$7:$N$417,"3",'ENCUESTA PROPIETARIOS'!$AK$7:$AK$417,"GANADO EN PIE")+COUNTIFS('ENCUESTA PROPIETARIOS'!$N$7:$N$417,"4",'ENCUESTA PROPIETARIOS'!$AK$7:$AK$417,"MAQUINARIA")+COUNTIFS('ENCUESTA PROPIETARIOS'!$N$7:$N$417,"4",'ENCUESTA PROPIETARIOS'!$AK$7:$AK$417,"GENERAL")+COUNTIFS('ENCUESTA PROPIETARIOS'!$N$7:$N$417,"4",'ENCUESTA PROPIETARIOS'!$AK$7:$AK$417,"CARTÓN Y PAPEL")+COUNTIFS('ENCUESTA PROPIETARIOS'!$N$7:$N$417,"4",'ENCUESTA PROPIETARIOS'!$AK$7:$AK$417,"PAQUETERIA")+COUNTIFS('ENCUESTA PROPIETARIOS'!$N$7:$N$417,"4",'ENCUESTA PROPIETARIOS'!$AK$7:$AK$417,"CONTENEDORES")+COUNTIFS('ENCUESTA PROPIETARIOS'!$N$7:$N$417,"4",'ENCUESTA PROPIETARIOS'!$AK$7:$AK$417,"ELECTRODOMESTICOS")+COUNTIFS('ENCUESTA PROPIETARIOS'!$N$7:$N$417,"4",'ENCUESTA PROPIETARIOS'!$AK$7:$AK$417,"FERTILIZANTE")+COUNTIFS('ENCUESTA PROPIETARIOS'!$N$7:$N$417,"4",'ENCUESTA PROPIETARIOS'!$AK$7:$AK$417,"AGUA")+COUNTIFS('ENCUESTA PROPIETARIOS'!$N$7:$N$417,"4",'ENCUESTA PROPIETARIOS'!$AK$7:$AK$417,"GANADO EN PIE")+COUNTIFS('ENCUESTA PROPIETARIOS'!$N$7:$N$417,"5",'ENCUESTA PROPIETARIOS'!$AK$7:$AK$417,"MAQUINARIA")+COUNTIFS('ENCUESTA PROPIETARIOS'!$N$7:$N$417,"5",'ENCUESTA PROPIETARIOS'!$AK$7:$AK$417,"GENERAL")+COUNTIFS('ENCUESTA PROPIETARIOS'!$N$7:$N$417,"5",'ENCUESTA PROPIETARIOS'!$AK$7:$AK$417,"CARTÓN Y PAPEL")+COUNTIFS('ENCUESTA PROPIETARIOS'!$N$7:$N$417,"5",'ENCUESTA PROPIETARIOS'!$AK$7:$AK$417,"PAQUETERIA")+COUNTIFS('ENCUESTA PROPIETARIOS'!$N$7:$N$417,"5",'ENCUESTA PROPIETARIOS'!$AK$7:$AK$417,"CONTENEDORES")+COUNTIFS('ENCUESTA PROPIETARIOS'!$N$7:$N$417,"5",'ENCUESTA PROPIETARIOS'!$AK$7:$AK$417,"ELECTRODOMESTICOS")+COUNTIFS('ENCUESTA PROPIETARIOS'!$N$7:$N$417,"5",'ENCUESTA PROPIETARIOS'!$AK$7:$AK$417,"FERTILIZANTE")+COUNTIFS('ENCUESTA PROPIETARIOS'!$N$7:$N$417,"5",'ENCUESTA PROPIETARIOS'!$AK$7:$AK$417,"AGUA")+COUNTIFS('ENCUESTA PROPIETARIOS'!$N$7:$N$417,"5",'ENCUESTA PROPIETARIOS'!$AK$7:$AK$417,"GANADO EN PIE")</f>
        <v>19</v>
      </c>
      <c r="X89" s="19" t="s">
        <v>1719</v>
      </c>
      <c r="Y89" s="254">
        <f>+Z89/$Z$97</f>
        <v>7.2164948453608241E-2</v>
      </c>
      <c r="Z89" s="249">
        <f>+AE63</f>
        <v>14</v>
      </c>
      <c r="AK89" s="11" t="s">
        <v>715</v>
      </c>
      <c r="AL89" s="6">
        <f t="shared" si="436"/>
        <v>1</v>
      </c>
      <c r="AM89" s="249">
        <f t="shared" si="437"/>
        <v>160</v>
      </c>
      <c r="BD89" s="11" t="s">
        <v>715</v>
      </c>
      <c r="BE89" s="6">
        <f t="shared" si="438"/>
        <v>1</v>
      </c>
      <c r="BF89" s="138">
        <f t="shared" si="439"/>
        <v>99</v>
      </c>
      <c r="DF89" s="17" t="s">
        <v>2622</v>
      </c>
      <c r="DG89" s="6">
        <f t="shared" si="445"/>
        <v>2.4691358024691357E-2</v>
      </c>
      <c r="DH89" s="6">
        <f t="shared" si="440"/>
        <v>3.1746031746031744E-2</v>
      </c>
      <c r="DI89" s="6">
        <f t="shared" si="441"/>
        <v>0.15337423312883436</v>
      </c>
      <c r="DJ89" s="6">
        <f t="shared" si="442"/>
        <v>5.7591623036649213E-2</v>
      </c>
      <c r="DK89" s="6">
        <f t="shared" si="443"/>
        <v>8.0321285140562249E-2</v>
      </c>
      <c r="DL89" s="249">
        <f>COUNTIFS('DETALLES UNIDADES'!$BA$8:$BA$987,"1",'DETALLES UNIDADES'!$AU$8:$AU$987,"&gt;175000",'DETALLES UNIDADES'!$C$8:$C$987,"T3")</f>
        <v>2</v>
      </c>
      <c r="DM89" s="249">
        <f>COUNTIFS('DETALLES UNIDADES'!$BA$8:$BA$987,"2",'DETALLES UNIDADES'!$AU$8:$AU$987,"&gt;175000",'DETALLES UNIDADES'!$C$8:$C$987,"T3")</f>
        <v>2</v>
      </c>
      <c r="DN89" s="249">
        <f>COUNTIFS('DETALLES UNIDADES'!$BA$8:$BA$987,"3",'DETALLES UNIDADES'!$AU$8:$AU$987,"&gt;175000",'DETALLES UNIDADES'!$C$8:$C$987,"T3")+COUNTIFS('DETALLES UNIDADES'!$BA$8:$BA$987,"4",'DETALLES UNIDADES'!$AU$8:$AU$987,"&gt;175000",'DETALLES UNIDADES'!$C$8:$C$987,"T3")+COUNTIFS('DETALLES UNIDADES'!$BA$8:$BA$987,"5",'DETALLES UNIDADES'!$AU$8:$AU$987,"&gt;175000",'DETALLES UNIDADES'!$C$8:$C$987,"T3")</f>
        <v>25</v>
      </c>
      <c r="DO89" s="249">
        <f>COUNTIFS('DETALLES UNIDADES'!$BA$8:$BA$987,"&gt;5",'DETALLES UNIDADES'!$AU$8:$AU$987,"&gt;175000",'DETALLES UNIDADES'!$C$8:$C$987,"T3")</f>
        <v>11</v>
      </c>
      <c r="DP89" s="249">
        <f t="shared" si="444"/>
        <v>40</v>
      </c>
      <c r="ED89" s="11" t="s">
        <v>2669</v>
      </c>
      <c r="EE89" s="6">
        <f>+EJ89/EJ$84</f>
        <v>0.12195121951219512</v>
      </c>
      <c r="EF89" s="6">
        <f t="shared" ref="EF89:EF96" si="460">+EK89/EK$84</f>
        <v>7.2164948453608241E-2</v>
      </c>
      <c r="EG89" s="6">
        <f t="shared" ref="EG89:EG96" si="461">+EL89/EL$84</f>
        <v>4.6511627906976744E-2</v>
      </c>
      <c r="EH89" s="6">
        <f t="shared" ref="EH89:EH96" si="462">+EM89/EM$84</f>
        <v>2.4667931688804556E-2</v>
      </c>
      <c r="EI89" s="6">
        <f t="shared" ref="EI89:EI96" si="463">+EN89/EN$84</f>
        <v>5.5727554179566562E-2</v>
      </c>
      <c r="EJ89" s="249">
        <f>COUNTIFS('DETALLES UNIDADES'!$C$8:$C$987,"C2",'DETALLES UNIDADES'!$AQ$8:$AQ$987,"&lt;50000")</f>
        <v>25</v>
      </c>
      <c r="EK89" s="249">
        <f>COUNTIFS('DETALLES UNIDADES'!$C$8:$C$987,"C3",'DETALLES UNIDADES'!$AQ$8:$AQ$987,"&lt;50000")</f>
        <v>14</v>
      </c>
      <c r="EL89" s="249">
        <f>COUNTIFS('DETALLES UNIDADES'!$C$8:$C$987,"T2",'DETALLES UNIDADES'!$AQ$8:$AQ$987,"&lt;50000")</f>
        <v>2</v>
      </c>
      <c r="EM89" s="249">
        <f>COUNTIFS('DETALLES UNIDADES'!$C$8:$C$987,"T3",'DETALLES UNIDADES'!$AQ$8:$AQ$987,"&lt;50000")</f>
        <v>13</v>
      </c>
      <c r="EN89" s="249">
        <f t="shared" ref="EN89:EN95" si="464">SUM(EJ89:EM89)</f>
        <v>54</v>
      </c>
      <c r="EV89" s="17" t="s">
        <v>2701</v>
      </c>
      <c r="EW89" s="6">
        <f>+FD89/$FK$89</f>
        <v>0.11600928074245939</v>
      </c>
      <c r="EX89" s="6">
        <f t="shared" ref="EX89:FC89" si="465">+FE89/$FK$89</f>
        <v>6.9605568445475635E-2</v>
      </c>
      <c r="EY89" s="6">
        <f t="shared" si="465"/>
        <v>0.10440835266821345</v>
      </c>
      <c r="EZ89" s="6">
        <f t="shared" si="465"/>
        <v>0.345707656612529</v>
      </c>
      <c r="FA89" s="6">
        <f t="shared" si="465"/>
        <v>0.16241299303944315</v>
      </c>
      <c r="FB89" s="6">
        <f t="shared" si="465"/>
        <v>0.1902552204176334</v>
      </c>
      <c r="FC89" s="6">
        <f t="shared" si="465"/>
        <v>1.1600928074245939E-2</v>
      </c>
      <c r="FD89" s="249">
        <f>COUNTIFS('DETALLES UNIDADES'!$D$8:$D$987,"&lt;1991",'DETALLES UNIDADES'!$AB$8:$AB$987,"X")</f>
        <v>50</v>
      </c>
      <c r="FE89" s="249">
        <f>COUNTIFS('DETALLES UNIDADES'!$D$8:$D$987,"&lt;1994",'DETALLES UNIDADES'!$AB$8:$AB$987,"X")-FD89</f>
        <v>30</v>
      </c>
      <c r="FF89" s="249">
        <f>COUNTIFS('DETALLES UNIDADES'!$D$8:$D$987,"&lt;1998",'DETALLES UNIDADES'!$AB$8:$AB$987,"X")-FE89-FD89</f>
        <v>45</v>
      </c>
      <c r="FG89" s="249">
        <f>COUNTIFS('DETALLES UNIDADES'!$D$8:$D$987,"&lt;2004",'DETALLES UNIDADES'!$AB$8:$AB$987,"X")-FF89-FE89-FD89</f>
        <v>149</v>
      </c>
      <c r="FH89" s="249">
        <f>COUNTIFS('DETALLES UNIDADES'!$D$8:$D$987,"&lt;2007",'DETALLES UNIDADES'!$AB$8:$AB$987,"X")-FG89-FF89-FE89-FD89</f>
        <v>70</v>
      </c>
      <c r="FI89" s="249">
        <f>COUNTIFS('DETALLES UNIDADES'!$D$8:$D$987,"&lt;2011",'DETALLES UNIDADES'!$AB$8:$AB$987,"X")-FH89-FG89-FF89-FE89-FD89</f>
        <v>82</v>
      </c>
      <c r="FJ89" s="249">
        <f>COUNTIFS('DETALLES UNIDADES'!$D$8:$D$987,"&gt;2010",'DETALLES UNIDADES'!$AB$8:$AB$987,"X")</f>
        <v>5</v>
      </c>
      <c r="FK89" s="249">
        <f t="shared" si="451"/>
        <v>431</v>
      </c>
      <c r="FL89" s="190">
        <f t="shared" si="457"/>
        <v>1</v>
      </c>
      <c r="FM89" s="112" t="s">
        <v>1714</v>
      </c>
      <c r="FN89" s="6">
        <f t="shared" si="452"/>
        <v>6.4935064935064929E-2</v>
      </c>
      <c r="FO89" s="249">
        <f t="shared" si="453"/>
        <v>10</v>
      </c>
    </row>
    <row r="90" spans="1:171" x14ac:dyDescent="0.25">
      <c r="A90" s="137" t="s">
        <v>1662</v>
      </c>
      <c r="B90" s="6">
        <f t="shared" si="435"/>
        <v>1</v>
      </c>
      <c r="C90" s="249">
        <f>SUM(C82:C89)</f>
        <v>183</v>
      </c>
      <c r="X90" s="19" t="s">
        <v>1720</v>
      </c>
      <c r="Y90" s="254">
        <f t="shared" ref="Y90:Y97" si="466">+Z90/$Z$97</f>
        <v>9.2783505154639179E-2</v>
      </c>
      <c r="Z90" s="249">
        <f t="shared" ref="Z90:Z97" si="467">+AE64</f>
        <v>18</v>
      </c>
      <c r="DF90" s="17" t="s">
        <v>1662</v>
      </c>
      <c r="DG90" s="6">
        <f t="shared" si="445"/>
        <v>1</v>
      </c>
      <c r="DH90" s="6">
        <f t="shared" si="440"/>
        <v>1</v>
      </c>
      <c r="DI90" s="6">
        <f t="shared" si="441"/>
        <v>1</v>
      </c>
      <c r="DJ90" s="6">
        <f t="shared" si="442"/>
        <v>1</v>
      </c>
      <c r="DK90" s="6">
        <f t="shared" si="443"/>
        <v>1</v>
      </c>
      <c r="DL90" s="249">
        <f>SUM(DL83:DL89)</f>
        <v>81</v>
      </c>
      <c r="DM90" s="249">
        <f t="shared" ref="DM90" si="468">SUM(DM83:DM89)</f>
        <v>63</v>
      </c>
      <c r="DN90" s="249">
        <f t="shared" ref="DN90" si="469">SUM(DN83:DN89)</f>
        <v>163</v>
      </c>
      <c r="DO90" s="249">
        <f t="shared" ref="DO90" si="470">SUM(DO83:DO89)</f>
        <v>191</v>
      </c>
      <c r="DP90" s="249">
        <f t="shared" ref="DP90" si="471">SUM(DP83:DP89)</f>
        <v>498</v>
      </c>
      <c r="ED90" s="17" t="s">
        <v>2670</v>
      </c>
      <c r="EE90" s="6">
        <f t="shared" ref="EE90:EE96" si="472">+EJ90/EJ$84</f>
        <v>0.2</v>
      </c>
      <c r="EF90" s="6">
        <f t="shared" si="460"/>
        <v>0.12886597938144329</v>
      </c>
      <c r="EG90" s="6">
        <f t="shared" si="461"/>
        <v>0.16279069767441862</v>
      </c>
      <c r="EH90" s="6">
        <f t="shared" si="462"/>
        <v>5.1233396584440226E-2</v>
      </c>
      <c r="EI90" s="6">
        <f t="shared" si="463"/>
        <v>0.10319917440660474</v>
      </c>
      <c r="EJ90" s="249">
        <f>COUNTIFS('DETALLES UNIDADES'!$C$8:$C$987,"C2",'DETALLES UNIDADES'!$AQ$8:$AQ$987,"&lt;75001")-EJ89</f>
        <v>41</v>
      </c>
      <c r="EK90" s="249">
        <f>COUNTIFS('DETALLES UNIDADES'!$C$8:$C$987,"C3",'DETALLES UNIDADES'!$AQ$8:$AQ$987,"&lt;75001")-EK89</f>
        <v>25</v>
      </c>
      <c r="EL90" s="249">
        <f>COUNTIFS('DETALLES UNIDADES'!$C$8:$C$987,"T2",'DETALLES UNIDADES'!$AQ$8:$AQ$987,"&lt;75001")-EL89</f>
        <v>7</v>
      </c>
      <c r="EM90" s="249">
        <f>COUNTIFS('DETALLES UNIDADES'!$C$8:$C$987,"T3",'DETALLES UNIDADES'!$AQ$8:$AQ$987,"&lt;75001")-EM89</f>
        <v>27</v>
      </c>
      <c r="EN90" s="249">
        <f t="shared" si="464"/>
        <v>100</v>
      </c>
      <c r="EV90" s="17" t="s">
        <v>2702</v>
      </c>
      <c r="EW90" s="6">
        <f>+FD90/$FK$90</f>
        <v>7.0588235294117646E-2</v>
      </c>
      <c r="EX90" s="6">
        <f t="shared" ref="EX90:FC90" si="473">+FE90/$FK$90</f>
        <v>4.7058823529411764E-2</v>
      </c>
      <c r="EY90" s="6">
        <f t="shared" si="473"/>
        <v>5.8823529411764705E-2</v>
      </c>
      <c r="EZ90" s="6">
        <f t="shared" si="473"/>
        <v>7.0588235294117646E-2</v>
      </c>
      <c r="FA90" s="6">
        <f t="shared" si="473"/>
        <v>9.4117647058823528E-2</v>
      </c>
      <c r="FB90" s="6">
        <f t="shared" si="473"/>
        <v>0.44705882352941179</v>
      </c>
      <c r="FC90" s="6">
        <f t="shared" si="473"/>
        <v>0.21176470588235294</v>
      </c>
      <c r="FD90" s="249">
        <f>COUNTIFS('DETALLES UNIDADES'!$D$8:$D$987,"&lt;1991",'DETALLES UNIDADES'!$AC$8:$AC$987,"X")</f>
        <v>6</v>
      </c>
      <c r="FE90" s="249">
        <f>COUNTIFS('DETALLES UNIDADES'!$D$8:$D$987,"&lt;1994",'DETALLES UNIDADES'!$AC$8:$AC$987,"X")-FD90</f>
        <v>4</v>
      </c>
      <c r="FF90" s="249">
        <f>COUNTIFS('DETALLES UNIDADES'!$D$8:$D$987,"&lt;1998",'DETALLES UNIDADES'!$AC$8:$AC$987,"X")-FE90-FD90</f>
        <v>5</v>
      </c>
      <c r="FG90" s="249">
        <f>COUNTIFS('DETALLES UNIDADES'!$D$8:$D$987,"&lt;2004",'DETALLES UNIDADES'!$AC$8:$AC$987,"X")-FF90-FE90-FD90</f>
        <v>6</v>
      </c>
      <c r="FH90" s="249">
        <f>COUNTIFS('DETALLES UNIDADES'!$D$8:$D$987,"&lt;2007",'DETALLES UNIDADES'!$AC$8:$AC$987,"X")-FG90-FF90-FE90-FD90</f>
        <v>8</v>
      </c>
      <c r="FI90" s="249">
        <f>COUNTIFS('DETALLES UNIDADES'!$D$8:$D$987,"&lt;2011",'DETALLES UNIDADES'!$AC$8:$AC$987,"X")-FH90-FG90-FF90-FE90-FD90</f>
        <v>38</v>
      </c>
      <c r="FJ90" s="249">
        <f>COUNTIFS('DETALLES UNIDADES'!$D$8:$D$987,"&gt;2010",'DETALLES UNIDADES'!$AC$8:$AC$987,"X")</f>
        <v>18</v>
      </c>
      <c r="FK90" s="249">
        <f t="shared" si="451"/>
        <v>85</v>
      </c>
      <c r="FL90" s="190">
        <f t="shared" si="457"/>
        <v>1</v>
      </c>
      <c r="FM90" s="112" t="s">
        <v>2711</v>
      </c>
      <c r="FN90" s="6">
        <f t="shared" si="452"/>
        <v>2.5974025974025976E-2</v>
      </c>
      <c r="FO90" s="249">
        <f t="shared" si="453"/>
        <v>4</v>
      </c>
    </row>
    <row r="91" spans="1:171" x14ac:dyDescent="0.25">
      <c r="X91" s="19" t="s">
        <v>1721</v>
      </c>
      <c r="Y91" s="254">
        <f t="shared" si="466"/>
        <v>0.15463917525773196</v>
      </c>
      <c r="Z91" s="249">
        <f t="shared" si="467"/>
        <v>30</v>
      </c>
      <c r="AK91" s="17" t="s">
        <v>2548</v>
      </c>
      <c r="DF91" s="17" t="s">
        <v>1013</v>
      </c>
      <c r="DL91" s="138">
        <f>+'DETALLES UNIDADES'!AU1041</f>
        <v>0</v>
      </c>
      <c r="DM91" s="249"/>
      <c r="DN91" s="249"/>
      <c r="DO91" s="249"/>
      <c r="DP91" s="249">
        <f>SUM(DP83:DP89)</f>
        <v>498</v>
      </c>
      <c r="ED91" s="17" t="s">
        <v>2671</v>
      </c>
      <c r="EE91" s="6">
        <f t="shared" si="472"/>
        <v>0.29756097560975608</v>
      </c>
      <c r="EF91" s="6">
        <f t="shared" si="460"/>
        <v>0.23711340206185566</v>
      </c>
      <c r="EG91" s="6">
        <f t="shared" si="461"/>
        <v>0.2558139534883721</v>
      </c>
      <c r="EH91" s="6">
        <f t="shared" si="462"/>
        <v>0.2049335863377609</v>
      </c>
      <c r="EI91" s="6">
        <f t="shared" si="463"/>
        <v>0.23323013415892674</v>
      </c>
      <c r="EJ91" s="249">
        <f>COUNTIFS('DETALLES UNIDADES'!$C$8:$C$987,"C2",'DETALLES UNIDADES'!$AQ$8:$AQ$987,"&lt;100001")-EJ90-EJ89</f>
        <v>61</v>
      </c>
      <c r="EK91" s="249">
        <f>COUNTIFS('DETALLES UNIDADES'!$C$8:$C$987,"C3",'DETALLES UNIDADES'!$AQ$8:$AQ$987,"&lt;100001")-EK90-EK89</f>
        <v>46</v>
      </c>
      <c r="EL91" s="249">
        <f>COUNTIFS('DETALLES UNIDADES'!$C$8:$C$987,"T2",'DETALLES UNIDADES'!$AQ$8:$AQ$987,"&lt;100001")-EL90-EL89</f>
        <v>11</v>
      </c>
      <c r="EM91" s="249">
        <f>COUNTIFS('DETALLES UNIDADES'!$C$8:$C$987,"T3",'DETALLES UNIDADES'!$AQ$8:$AQ$987,"&lt;100001")-EM90-EM89</f>
        <v>108</v>
      </c>
      <c r="EN91" s="249">
        <f t="shared" si="464"/>
        <v>226</v>
      </c>
      <c r="EV91" s="17" t="s">
        <v>1662</v>
      </c>
      <c r="EW91" s="6">
        <f>+FD91/$FK$91</f>
        <v>0.17959183673469387</v>
      </c>
      <c r="EX91" s="6">
        <f t="shared" ref="EX91:FC91" si="474">+FE91/$FK$91</f>
        <v>5.3061224489795916E-2</v>
      </c>
      <c r="EY91" s="6">
        <f t="shared" si="474"/>
        <v>0.10306122448979592</v>
      </c>
      <c r="EZ91" s="6">
        <f t="shared" si="474"/>
        <v>0.22142857142857142</v>
      </c>
      <c r="FA91" s="6">
        <f t="shared" si="474"/>
        <v>0.13163265306122449</v>
      </c>
      <c r="FB91" s="6">
        <f t="shared" si="474"/>
        <v>0.21020408163265306</v>
      </c>
      <c r="FC91" s="6">
        <f t="shared" si="474"/>
        <v>0.10102040816326531</v>
      </c>
      <c r="FD91" s="249">
        <f>SUM(FD85:FD90)</f>
        <v>176</v>
      </c>
      <c r="FE91" s="249">
        <f t="shared" ref="FE91:FK91" si="475">SUM(FE85:FE90)</f>
        <v>52</v>
      </c>
      <c r="FF91" s="249">
        <f t="shared" si="475"/>
        <v>101</v>
      </c>
      <c r="FG91" s="249">
        <f t="shared" si="475"/>
        <v>217</v>
      </c>
      <c r="FH91" s="249">
        <f t="shared" si="475"/>
        <v>129</v>
      </c>
      <c r="FI91" s="249">
        <f t="shared" si="475"/>
        <v>206</v>
      </c>
      <c r="FJ91" s="249">
        <f t="shared" si="475"/>
        <v>99</v>
      </c>
      <c r="FK91" s="249">
        <f t="shared" si="475"/>
        <v>980</v>
      </c>
      <c r="FL91" s="190">
        <f t="shared" si="457"/>
        <v>1</v>
      </c>
      <c r="FM91" s="11" t="s">
        <v>715</v>
      </c>
      <c r="FN91" s="6">
        <f t="shared" si="452"/>
        <v>1</v>
      </c>
      <c r="FO91" s="249">
        <f t="shared" si="453"/>
        <v>154</v>
      </c>
    </row>
    <row r="92" spans="1:171" x14ac:dyDescent="0.25">
      <c r="A92" s="17" t="s">
        <v>2504</v>
      </c>
      <c r="B92" s="17"/>
      <c r="X92" s="19" t="s">
        <v>1722</v>
      </c>
      <c r="Y92" s="254">
        <f t="shared" si="466"/>
        <v>6.1855670103092786E-2</v>
      </c>
      <c r="Z92" s="249">
        <f t="shared" si="467"/>
        <v>12</v>
      </c>
      <c r="AK92" s="11"/>
      <c r="AL92" s="249" t="s">
        <v>1780</v>
      </c>
      <c r="BD92" s="11" t="s">
        <v>2581</v>
      </c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DP92" s="249">
        <f>+DP91+DL91</f>
        <v>498</v>
      </c>
      <c r="ED92" s="17" t="s">
        <v>2672</v>
      </c>
      <c r="EE92" s="6">
        <f t="shared" si="472"/>
        <v>3.4146341463414637E-2</v>
      </c>
      <c r="EF92" s="6">
        <f t="shared" si="460"/>
        <v>3.608247422680412E-2</v>
      </c>
      <c r="EG92" s="6">
        <f t="shared" si="461"/>
        <v>2.3255813953488372E-2</v>
      </c>
      <c r="EH92" s="6">
        <f t="shared" si="462"/>
        <v>3.7950664136622389E-2</v>
      </c>
      <c r="EI92" s="6">
        <f t="shared" si="463"/>
        <v>3.611971104231166E-2</v>
      </c>
      <c r="EJ92" s="249">
        <f>COUNTIFS('DETALLES UNIDADES'!$C$8:$C$987,"C2",'DETALLES UNIDADES'!$AQ$8:$AQ$987,"&lt;115001")-EJ91-EJ90-EJ89</f>
        <v>7</v>
      </c>
      <c r="EK92" s="249">
        <f>COUNTIFS('DETALLES UNIDADES'!$C$8:$C$987,"C3",'DETALLES UNIDADES'!$AQ$8:$AQ$987,"&lt;115001")-EK91-EK90-EK89</f>
        <v>7</v>
      </c>
      <c r="EL92" s="249">
        <f>COUNTIFS('DETALLES UNIDADES'!$C$8:$C$987,"T2",'DETALLES UNIDADES'!$AQ$8:$AQ$987,"&lt;115001")-EL91-EL90-EL89</f>
        <v>1</v>
      </c>
      <c r="EM92" s="249">
        <f>COUNTIFS('DETALLES UNIDADES'!$C$8:$C$987,"T3",'DETALLES UNIDADES'!$AQ$8:$AQ$987,"&lt;115001")-EM91-EM90-EM89</f>
        <v>20</v>
      </c>
      <c r="EN92" s="249">
        <f t="shared" si="464"/>
        <v>35</v>
      </c>
      <c r="FK92" s="249">
        <f>SUM(FD91:FJ91)</f>
        <v>980</v>
      </c>
    </row>
    <row r="93" spans="1:171" x14ac:dyDescent="0.25">
      <c r="B93" s="17" t="s">
        <v>1781</v>
      </c>
      <c r="C93" s="17" t="s">
        <v>1781</v>
      </c>
      <c r="X93" s="19" t="s">
        <v>1723</v>
      </c>
      <c r="Y93" s="254">
        <f t="shared" si="466"/>
        <v>0.11855670103092783</v>
      </c>
      <c r="Z93" s="249">
        <f t="shared" si="467"/>
        <v>23</v>
      </c>
      <c r="AK93" s="11" t="s">
        <v>2534</v>
      </c>
      <c r="AL93" s="6">
        <f>+AM93/$AM$100</f>
        <v>0.11764705882352941</v>
      </c>
      <c r="AM93" s="249">
        <f>+AS59</f>
        <v>38</v>
      </c>
      <c r="BD93" s="11"/>
      <c r="BE93" s="11" t="s">
        <v>2534</v>
      </c>
      <c r="BF93" s="11" t="s">
        <v>2535</v>
      </c>
      <c r="BG93" s="11" t="s">
        <v>2536</v>
      </c>
      <c r="BH93" s="11" t="s">
        <v>2537</v>
      </c>
      <c r="BI93" s="11" t="s">
        <v>2538</v>
      </c>
      <c r="BJ93" s="11" t="s">
        <v>2539</v>
      </c>
      <c r="BK93" s="11" t="s">
        <v>2540</v>
      </c>
      <c r="BL93" s="11"/>
      <c r="BM93" s="11" t="s">
        <v>2534</v>
      </c>
      <c r="BN93" s="11" t="s">
        <v>2535</v>
      </c>
      <c r="BO93" s="11" t="s">
        <v>2536</v>
      </c>
      <c r="BP93" s="11" t="s">
        <v>2537</v>
      </c>
      <c r="BQ93" s="11" t="s">
        <v>2538</v>
      </c>
      <c r="BR93" s="11" t="s">
        <v>2539</v>
      </c>
      <c r="BS93" s="11" t="s">
        <v>2540</v>
      </c>
      <c r="BT93" s="11"/>
      <c r="DP93" s="249">
        <f>+DP90+DP77+DP64+DP51</f>
        <v>942</v>
      </c>
      <c r="ED93" s="17" t="s">
        <v>2673</v>
      </c>
      <c r="EE93" s="6">
        <f t="shared" si="472"/>
        <v>0.2097560975609756</v>
      </c>
      <c r="EF93" s="6">
        <f t="shared" si="460"/>
        <v>0.19587628865979381</v>
      </c>
      <c r="EG93" s="6">
        <f t="shared" si="461"/>
        <v>4.6511627906976744E-2</v>
      </c>
      <c r="EH93" s="6">
        <f t="shared" si="462"/>
        <v>0.29791271347248577</v>
      </c>
      <c r="EI93" s="6">
        <f t="shared" si="463"/>
        <v>0.24767801857585139</v>
      </c>
      <c r="EJ93" s="249">
        <f>COUNTIFS('DETALLES UNIDADES'!$C$8:$C$987,"C2",'DETALLES UNIDADES'!$AQ$8:$AQ$987,"&lt;125001")-EJ92-EJ91-EJ90-EJ89</f>
        <v>43</v>
      </c>
      <c r="EK93" s="249">
        <f>COUNTIFS('DETALLES UNIDADES'!$C$8:$C$987,"C3",'DETALLES UNIDADES'!$AQ$8:$AQ$987,"&lt;125001")-EK92-EK91-EK90-EK89</f>
        <v>38</v>
      </c>
      <c r="EL93" s="249">
        <f>COUNTIFS('DETALLES UNIDADES'!$C$8:$C$987,"T2",'DETALLES UNIDADES'!$AQ$8:$AQ$987,"&lt;125001")-EL92-EL91-EL90-EL89</f>
        <v>2</v>
      </c>
      <c r="EM93" s="249">
        <f>COUNTIFS('DETALLES UNIDADES'!$C$8:$C$987,"T3",'DETALLES UNIDADES'!$AQ$8:$AQ$987,"&lt;125001")-EM92-EM91-EM90-EM89</f>
        <v>157</v>
      </c>
      <c r="EN93" s="249">
        <f t="shared" si="464"/>
        <v>240</v>
      </c>
      <c r="FM93" s="11" t="s">
        <v>2714</v>
      </c>
    </row>
    <row r="94" spans="1:171" x14ac:dyDescent="0.25">
      <c r="A94" s="137" t="s">
        <v>19</v>
      </c>
      <c r="B94" s="6">
        <f>+C94/$C$102</f>
        <v>0.1038961038961039</v>
      </c>
      <c r="C94" s="249">
        <f>COUNTIFS('ENCUESTA PROPIETARIOS'!$N$7:$N$417,"&gt;5",'ENCUESTA PROPIETARIOS'!$AB$7:$AB$417,"X")</f>
        <v>8</v>
      </c>
      <c r="X94" s="19" t="s">
        <v>1724</v>
      </c>
      <c r="Y94" s="254">
        <f t="shared" si="466"/>
        <v>0.14948453608247422</v>
      </c>
      <c r="Z94" s="249">
        <f t="shared" si="467"/>
        <v>29</v>
      </c>
      <c r="AK94" s="11" t="s">
        <v>2535</v>
      </c>
      <c r="AL94" s="6">
        <f t="shared" ref="AL94:AL100" si="476">+AM94/$AM$100</f>
        <v>4.9535603715170282E-2</v>
      </c>
      <c r="AM94" s="249">
        <f t="shared" ref="AM94:AM100" si="477">+AS60</f>
        <v>16</v>
      </c>
      <c r="BD94" s="11" t="s">
        <v>2374</v>
      </c>
      <c r="BE94" s="6">
        <f>+BM94/$BT$100</f>
        <v>9.2975206611570251E-3</v>
      </c>
      <c r="BF94" s="6">
        <f t="shared" ref="BF94:BF100" si="478">+BN94/$BT$100</f>
        <v>1.0330578512396695E-3</v>
      </c>
      <c r="BG94" s="6">
        <f t="shared" ref="BG94:BG100" si="479">+BO94/$BT$100</f>
        <v>1.1363636363636364E-2</v>
      </c>
      <c r="BH94" s="6">
        <f t="shared" ref="BH94:BH100" si="480">+BP94/$BT$100</f>
        <v>2.0661157024793389E-2</v>
      </c>
      <c r="BI94" s="6">
        <f t="shared" ref="BI94:BI100" si="481">+BQ94/$BT$100</f>
        <v>1.1363636363636364E-2</v>
      </c>
      <c r="BJ94" s="6">
        <f t="shared" ref="BJ94:BJ100" si="482">+BR94/$BT$100</f>
        <v>2.4793388429752067E-2</v>
      </c>
      <c r="BK94" s="6">
        <f t="shared" ref="BK94:BK100" si="483">+BS94/$BT$100</f>
        <v>1.2396694214876033E-2</v>
      </c>
      <c r="BL94" s="6">
        <f t="shared" ref="BL94:BL100" si="484">+BT94/$BT$100</f>
        <v>9.0909090909090912E-2</v>
      </c>
      <c r="BM94" s="249">
        <f>COUNTIFS('DETALLES UNIDADES'!$BC$8:$BC$987,"&lt;1991",'DETALLES UNIDADES'!$N$8:$N$987,"&lt;2500")</f>
        <v>9</v>
      </c>
      <c r="BN94" s="249">
        <f>COUNTIFS('DETALLES UNIDADES'!$BC$8:$BC$987,"&lt;1994",'DETALLES UNIDADES'!$N$8:$N$987,"&lt;2500")-BM94</f>
        <v>1</v>
      </c>
      <c r="BO94" s="249">
        <f>COUNTIFS('DETALLES UNIDADES'!$BC$8:$BC$987,"&lt;1998",'DETALLES UNIDADES'!$N$8:$N$987,"&lt;2500")-BN94-BM94</f>
        <v>11</v>
      </c>
      <c r="BP94" s="249">
        <f>COUNTIFS('DETALLES UNIDADES'!$BC$8:$BC$987,"&lt;2004",'DETALLES UNIDADES'!$N$8:$N$987,"&lt;2500")-BO94-BN94-BM94</f>
        <v>20</v>
      </c>
      <c r="BQ94" s="249">
        <f>COUNTIFS('DETALLES UNIDADES'!$BC$8:$BC$987,"&lt;2007",'DETALLES UNIDADES'!$N$8:$N$987,"&lt;2500")-BP94-BO94-BN94-BM94</f>
        <v>11</v>
      </c>
      <c r="BR94" s="249">
        <f>COUNTIFS('DETALLES UNIDADES'!$BC$8:$BC$987,"&lt;2011",'DETALLES UNIDADES'!$N$8:$N$987,"&lt;2500")-BQ94-BP94-BO94-BN94-BM94</f>
        <v>24</v>
      </c>
      <c r="BS94" s="249">
        <f>COUNTIFS('DETALLES UNIDADES'!$BC$8:$BC$987,"&gt;2010",'DETALLES UNIDADES'!$N$8:$N$987,"&lt;2500")</f>
        <v>12</v>
      </c>
      <c r="BT94" s="249">
        <f t="shared" ref="BT94:BT100" si="485">SUM(BM94:BS94)</f>
        <v>88</v>
      </c>
      <c r="DF94" s="17" t="s">
        <v>2630</v>
      </c>
      <c r="ED94" s="17" t="s">
        <v>2674</v>
      </c>
      <c r="EE94" s="6">
        <f t="shared" si="472"/>
        <v>0.10731707317073171</v>
      </c>
      <c r="EF94" s="6">
        <f t="shared" si="460"/>
        <v>0.24742268041237114</v>
      </c>
      <c r="EG94" s="6">
        <f t="shared" si="461"/>
        <v>0.34883720930232559</v>
      </c>
      <c r="EH94" s="6">
        <f t="shared" si="462"/>
        <v>0.23719165085388993</v>
      </c>
      <c r="EI94" s="6">
        <f t="shared" si="463"/>
        <v>0.21671826625386997</v>
      </c>
      <c r="EJ94" s="249">
        <f>COUNTIFS('DETALLES UNIDADES'!$C$8:$C$987,"C2",'DETALLES UNIDADES'!$AQ$8:$AQ$987,"&lt;150001")-EJ93-EJ92-EJ91-EJ90-EJ89</f>
        <v>22</v>
      </c>
      <c r="EK94" s="249">
        <f>COUNTIFS('DETALLES UNIDADES'!$C$8:$C$987,"C3",'DETALLES UNIDADES'!$AQ$8:$AQ$987,"&lt;150001")-EK93-EK92-EK91-EK90-EK89</f>
        <v>48</v>
      </c>
      <c r="EL94" s="249">
        <f>COUNTIFS('DETALLES UNIDADES'!$C$8:$C$987,"T2",'DETALLES UNIDADES'!$AQ$8:$AQ$987,"&lt;150001")-EL93-EL92-EL91-EL90-EL89</f>
        <v>15</v>
      </c>
      <c r="EM94" s="249">
        <f>COUNTIFS('DETALLES UNIDADES'!$C$8:$C$987,"T3",'DETALLES UNIDADES'!$AQ$8:$AQ$987,"&lt;150001")-EM93-EM92-EM91-EM90-EM89</f>
        <v>125</v>
      </c>
      <c r="EN94" s="249">
        <f t="shared" si="464"/>
        <v>210</v>
      </c>
      <c r="EV94" s="112" t="s">
        <v>2695</v>
      </c>
      <c r="FN94" s="17" t="s">
        <v>1780</v>
      </c>
    </row>
    <row r="95" spans="1:171" ht="38.25" x14ac:dyDescent="0.25">
      <c r="A95" s="137" t="s">
        <v>20</v>
      </c>
      <c r="B95" s="6">
        <f t="shared" ref="B95:B102" si="486">+C95/$C$102</f>
        <v>9.0909090909090912E-2</v>
      </c>
      <c r="C95" s="249">
        <f>COUNTIFS('ENCUESTA PROPIETARIOS'!$N$7:$N$417,"&gt;5",'ENCUESTA PROPIETARIOS'!$AC$7:$AC$417,"X")</f>
        <v>7</v>
      </c>
      <c r="X95" s="19" t="s">
        <v>1725</v>
      </c>
      <c r="Y95" s="254">
        <f t="shared" si="466"/>
        <v>0.31443298969072164</v>
      </c>
      <c r="Z95" s="249">
        <f t="shared" si="467"/>
        <v>61</v>
      </c>
      <c r="AK95" s="11" t="s">
        <v>2536</v>
      </c>
      <c r="AL95" s="6">
        <f t="shared" si="476"/>
        <v>0.11455108359133127</v>
      </c>
      <c r="AM95" s="249">
        <f t="shared" si="477"/>
        <v>37</v>
      </c>
      <c r="BD95" s="11" t="s">
        <v>2375</v>
      </c>
      <c r="BE95" s="6">
        <f t="shared" ref="BE95:BE100" si="487">+BM95/$BT$100</f>
        <v>6.3016528925619833E-2</v>
      </c>
      <c r="BF95" s="6">
        <f t="shared" si="478"/>
        <v>2.4793388429752067E-2</v>
      </c>
      <c r="BG95" s="6">
        <f t="shared" si="479"/>
        <v>6.6115702479338845E-2</v>
      </c>
      <c r="BH95" s="6">
        <f t="shared" si="480"/>
        <v>8.3677685950413222E-2</v>
      </c>
      <c r="BI95" s="6">
        <f t="shared" si="481"/>
        <v>5.06198347107438E-2</v>
      </c>
      <c r="BJ95" s="6">
        <f t="shared" si="482"/>
        <v>6.4049586776859499E-2</v>
      </c>
      <c r="BK95" s="6">
        <f t="shared" si="483"/>
        <v>2.5826446280991736E-2</v>
      </c>
      <c r="BL95" s="6">
        <f t="shared" si="484"/>
        <v>0.37809917355371903</v>
      </c>
      <c r="BM95" s="249">
        <f>COUNTIFS('DETALLES UNIDADES'!$BC$8:$BC$987,"&lt;1991",'DETALLES UNIDADES'!$N$8:$N$987,"&lt;5001")-BM94</f>
        <v>61</v>
      </c>
      <c r="BN95" s="249">
        <f>COUNTIFS('DETALLES UNIDADES'!$BC$8:$BC$987,"&lt;1994",'DETALLES UNIDADES'!$N$8:$N$987,"&lt;5001")-BM95-BN94-BM94</f>
        <v>24</v>
      </c>
      <c r="BO95" s="249">
        <f>COUNTIFS('DETALLES UNIDADES'!$BC$8:$BC$987,"&lt;1998",'DETALLES UNIDADES'!$N$8:$N$987,"&lt;5001")-BN95-BM95-BO94-BN94-BM94</f>
        <v>64</v>
      </c>
      <c r="BP95" s="249">
        <f>COUNTIFS('DETALLES UNIDADES'!$BC$8:$BC$987,"&lt;2004",'DETALLES UNIDADES'!$N$8:$N$987,"&lt;5001")-BO95-BN95-BM95-BP94-BO94-BN94-BM94</f>
        <v>81</v>
      </c>
      <c r="BQ95" s="249">
        <f>COUNTIFS('DETALLES UNIDADES'!$BC$8:$BC$987,"&lt;2007",'DETALLES UNIDADES'!$N$8:$N$987,"&lt;5001")-BP95-BO95-BN95-BM95-BQ94-BP94-BO94-BN94-BM94</f>
        <v>49</v>
      </c>
      <c r="BR95" s="249">
        <f>COUNTIFS('DETALLES UNIDADES'!$BC$8:$BC$987,"&lt;2011",'DETALLES UNIDADES'!$N$8:$N$987,"&lt;5001")-BQ95-BP95-BO95-BN95-BM95-BR94-BQ94-BP94-BO94-BN94-BM94</f>
        <v>62</v>
      </c>
      <c r="BS95" s="249">
        <f>COUNTIFS('DETALLES UNIDADES'!$BC$8:$BC$987,"&gt;2010",'DETALLES UNIDADES'!$N$8:$N$987,"&lt;5001")-BS94</f>
        <v>25</v>
      </c>
      <c r="BT95" s="249">
        <f t="shared" si="485"/>
        <v>366</v>
      </c>
      <c r="DG95" s="11" t="s">
        <v>814</v>
      </c>
      <c r="DH95" s="11" t="s">
        <v>815</v>
      </c>
      <c r="DI95" s="11" t="s">
        <v>1780</v>
      </c>
      <c r="DJ95" s="11" t="s">
        <v>1781</v>
      </c>
      <c r="DK95" s="11"/>
      <c r="DL95" s="11" t="s">
        <v>814</v>
      </c>
      <c r="DM95" s="11" t="s">
        <v>815</v>
      </c>
      <c r="DN95" s="11" t="s">
        <v>1780</v>
      </c>
      <c r="DO95" s="11" t="s">
        <v>1781</v>
      </c>
      <c r="DP95" s="11"/>
      <c r="ED95" s="17" t="s">
        <v>2675</v>
      </c>
      <c r="EE95" s="6">
        <f t="shared" si="472"/>
        <v>3.4146341463414637E-2</v>
      </c>
      <c r="EF95" s="6">
        <f t="shared" si="460"/>
        <v>8.7628865979381437E-2</v>
      </c>
      <c r="EG95" s="6">
        <f t="shared" si="461"/>
        <v>0.11627906976744186</v>
      </c>
      <c r="EH95" s="6">
        <f t="shared" si="462"/>
        <v>0.10056925996204934</v>
      </c>
      <c r="EI95" s="6">
        <f t="shared" si="463"/>
        <v>8.4623323013415894E-2</v>
      </c>
      <c r="EJ95" s="249">
        <f>COUNTIFS('DETALLES UNIDADES'!$C$8:$C$987,"C2",'DETALLES UNIDADES'!$AQ$8:$AQ$987,"&gt;150000")</f>
        <v>7</v>
      </c>
      <c r="EK95" s="249">
        <f>COUNTIFS('DETALLES UNIDADES'!$C$8:$C$987,"C3",'DETALLES UNIDADES'!$AQ$8:$AQ$987,"&gt;150000")</f>
        <v>17</v>
      </c>
      <c r="EL95" s="249">
        <f>COUNTIFS('DETALLES UNIDADES'!$C$8:$C$987,"T2",'DETALLES UNIDADES'!$AQ$8:$AQ$987,"&gt;150000")</f>
        <v>5</v>
      </c>
      <c r="EM95" s="249">
        <f>COUNTIFS('DETALLES UNIDADES'!$C$8:$C$987,"T3",'DETALLES UNIDADES'!$AQ$8:$AQ$987,"&gt;150000")</f>
        <v>53</v>
      </c>
      <c r="EN95" s="249">
        <f t="shared" si="464"/>
        <v>82</v>
      </c>
      <c r="EW95" s="137" t="s">
        <v>2685</v>
      </c>
      <c r="EX95" s="137" t="s">
        <v>2686</v>
      </c>
      <c r="EY95" s="137" t="s">
        <v>2687</v>
      </c>
      <c r="EZ95" s="137" t="s">
        <v>899</v>
      </c>
      <c r="FA95" s="137" t="s">
        <v>892</v>
      </c>
      <c r="FC95" s="137" t="s">
        <v>2685</v>
      </c>
      <c r="FD95" s="137" t="s">
        <v>2686</v>
      </c>
      <c r="FE95" s="137" t="s">
        <v>2687</v>
      </c>
      <c r="FF95" s="137" t="s">
        <v>899</v>
      </c>
      <c r="FG95" s="137" t="s">
        <v>892</v>
      </c>
      <c r="FM95" s="112" t="s">
        <v>1712</v>
      </c>
      <c r="FN95" s="6">
        <f>+FO95/$FO$102</f>
        <v>0.2260061919504644</v>
      </c>
      <c r="FO95" s="249">
        <f>+FU61</f>
        <v>73</v>
      </c>
    </row>
    <row r="96" spans="1:171" x14ac:dyDescent="0.25">
      <c r="A96" s="137" t="s">
        <v>2409</v>
      </c>
      <c r="B96" s="6">
        <f t="shared" si="486"/>
        <v>9.0909090909090912E-2</v>
      </c>
      <c r="C96" s="249">
        <f>COUNTIFS('ENCUESTA PROPIETARIOS'!$N$7:$N$417,"&gt;5",'ENCUESTA PROPIETARIOS'!$AD$7:$AD$417,"X")+COUNTIFS('ENCUESTA PROPIETARIOS'!$N$7:$N$417,"&gt;5",'ENCUESTA PROPIETARIOS'!$AJ$7:$AJ$417,"X")</f>
        <v>7</v>
      </c>
      <c r="X96" s="19" t="s">
        <v>2510</v>
      </c>
      <c r="Y96" s="254">
        <f t="shared" si="466"/>
        <v>3.608247422680412E-2</v>
      </c>
      <c r="Z96" s="249">
        <f t="shared" si="467"/>
        <v>7</v>
      </c>
      <c r="AK96" s="11" t="s">
        <v>2537</v>
      </c>
      <c r="AL96" s="6">
        <f t="shared" si="476"/>
        <v>0.15789473684210525</v>
      </c>
      <c r="AM96" s="249">
        <f t="shared" si="477"/>
        <v>51</v>
      </c>
      <c r="BD96" s="11" t="s">
        <v>952</v>
      </c>
      <c r="BE96" s="6">
        <f t="shared" si="487"/>
        <v>2.4793388429752067E-2</v>
      </c>
      <c r="BF96" s="6">
        <f t="shared" si="478"/>
        <v>1.5495867768595042E-2</v>
      </c>
      <c r="BG96" s="6">
        <f t="shared" si="479"/>
        <v>2.4793388429752067E-2</v>
      </c>
      <c r="BH96" s="6">
        <f t="shared" si="480"/>
        <v>5.2685950413223138E-2</v>
      </c>
      <c r="BI96" s="6">
        <f t="shared" si="481"/>
        <v>2.9958677685950414E-2</v>
      </c>
      <c r="BJ96" s="6">
        <f t="shared" si="482"/>
        <v>3.71900826446281E-2</v>
      </c>
      <c r="BK96" s="6">
        <f t="shared" si="483"/>
        <v>1.3429752066115703E-2</v>
      </c>
      <c r="BL96" s="6">
        <f t="shared" si="484"/>
        <v>0.19834710743801653</v>
      </c>
      <c r="BM96" s="249">
        <f>COUNTIFS('DETALLES UNIDADES'!$BC$8:$BC$987,"&lt;1991",'DETALLES UNIDADES'!$N$8:$N$987,"&lt;7501")-BM95-BM94</f>
        <v>24</v>
      </c>
      <c r="BN96" s="249">
        <f>COUNTIFS('DETALLES UNIDADES'!$BC$8:$BC$987,"&lt;1994",'DETALLES UNIDADES'!$N$8:$N$987,"&lt;7501")-BM96-BN95-BM95-BN94-BM94</f>
        <v>15</v>
      </c>
      <c r="BO96" s="249">
        <f>COUNTIFS('DETALLES UNIDADES'!$BC$8:$BC$987,"&lt;1998",'DETALLES UNIDADES'!$N$8:$N$987,"&lt;7501")-BN96-BM96-BO95-BN95-BM95-BO94-BN94-BM94</f>
        <v>24</v>
      </c>
      <c r="BP96" s="249">
        <f>COUNTIFS('DETALLES UNIDADES'!$BC$8:$BC$987,"&lt;2004",'DETALLES UNIDADES'!$N$8:$N$987,"&lt;7501")-BO96-BN96-BM96-BP95-BO95-BN95-BM95-BP94-BO94-BN94-BM94</f>
        <v>51</v>
      </c>
      <c r="BQ96" s="249">
        <f>COUNTIFS('DETALLES UNIDADES'!$BC$8:$BC$987,"&lt;2007",'DETALLES UNIDADES'!$N$8:$N$987,"&lt;7501")-BP96-BO96-BN96-BM96-BQ95-BP95-BO95-BN95-BM95-BQ94-BP94-BO94-BN94-BM94</f>
        <v>29</v>
      </c>
      <c r="BR96" s="249">
        <f>COUNTIFS('DETALLES UNIDADES'!$BC$8:$BC$987,"&lt;2011",'DETALLES UNIDADES'!$N$8:$N$987,"&lt;7501")-BQ96-BP96-BO96-BN96-BM96-BR95-BQ95-BP95-BO95-BN95-BM95-BR94-BQ94-BP94-BO94-BN94-BM94</f>
        <v>36</v>
      </c>
      <c r="BS96" s="249">
        <f>COUNTIFS('DETALLES UNIDADES'!$BC$8:$BC$987,"&gt;2010",'DETALLES UNIDADES'!$N$8:$N$987,"&lt;7501")-BS95-BS94</f>
        <v>13</v>
      </c>
      <c r="BT96" s="249">
        <f t="shared" si="485"/>
        <v>192</v>
      </c>
      <c r="DF96" s="17" t="s">
        <v>2632</v>
      </c>
      <c r="DG96" s="6">
        <f>+DL96/DL$100</f>
        <v>0.61386138613861385</v>
      </c>
      <c r="DH96" s="6">
        <f t="shared" ref="DH96:DH100" si="488">+DM96/DM$100</f>
        <v>0.60389610389610393</v>
      </c>
      <c r="DI96" s="6">
        <f t="shared" ref="DI96:DI100" si="489">+DN96/DN$100</f>
        <v>0.64668769716088326</v>
      </c>
      <c r="DJ96" s="6">
        <f t="shared" ref="DJ96:DJ100" si="490">+DO96/DO$100</f>
        <v>0.40530303030303028</v>
      </c>
      <c r="DK96" s="6">
        <f t="shared" ref="DK96:DK100" si="491">+DP96/DP$100</f>
        <v>0.56456776947705445</v>
      </c>
      <c r="DL96" s="249">
        <f>COUNTIFS('DETALLES UNIDADES'!$BA$8:$BA$987,"1",'DETALLES UNIDADES'!$AV$8:$AV$987,"&lt;25000")</f>
        <v>124</v>
      </c>
      <c r="DM96" s="249">
        <f>COUNTIFS('DETALLES UNIDADES'!$BA$8:$BA$987,"2",'DETALLES UNIDADES'!$AV$8:$AV$987,"&lt;25000")</f>
        <v>93</v>
      </c>
      <c r="DN96" s="249">
        <f>COUNTIFS('DETALLES UNIDADES'!$BA$8:$BA$987,"3",'DETALLES UNIDADES'!$AV$8:$AV$987,"&lt;25000")+COUNTIFS('DETALLES UNIDADES'!$BA$8:$BA$987,"4",'DETALLES UNIDADES'!$AV$8:$AV$987,"&lt;25000")+COUNTIFS('DETALLES UNIDADES'!$BA$8:$BA$987,"5",'DETALLES UNIDADES'!$AV$8:$AV$987,"&lt;25000")</f>
        <v>205</v>
      </c>
      <c r="DO96" s="249">
        <f>COUNTIFS('DETALLES UNIDADES'!$BA$8:$BA$987,"&gt;5",'DETALLES UNIDADES'!$AV$8:$AV$987,"&lt;25000")</f>
        <v>107</v>
      </c>
      <c r="DP96" s="249">
        <f>SUM(DL96:DO96)</f>
        <v>529</v>
      </c>
      <c r="ED96" s="17" t="s">
        <v>1662</v>
      </c>
      <c r="EE96" s="6">
        <f t="shared" si="472"/>
        <v>1.0048780487804878</v>
      </c>
      <c r="EF96" s="6">
        <f t="shared" si="460"/>
        <v>1.0051546391752577</v>
      </c>
      <c r="EG96" s="6">
        <f t="shared" si="461"/>
        <v>1</v>
      </c>
      <c r="EH96" s="6">
        <f t="shared" si="462"/>
        <v>0.95445920303605314</v>
      </c>
      <c r="EI96" s="6">
        <f t="shared" si="463"/>
        <v>0.97729618163054699</v>
      </c>
      <c r="EJ96" s="249">
        <f>SUM(EJ89:EJ95)</f>
        <v>206</v>
      </c>
      <c r="EK96" s="249">
        <f t="shared" ref="EK96" si="492">SUM(EK89:EK95)</f>
        <v>195</v>
      </c>
      <c r="EL96" s="249">
        <f t="shared" ref="EL96" si="493">SUM(EL89:EL95)</f>
        <v>43</v>
      </c>
      <c r="EM96" s="249">
        <f t="shared" ref="EM96" si="494">SUM(EM89:EM95)</f>
        <v>503</v>
      </c>
      <c r="EN96" s="249">
        <f t="shared" ref="EN96" si="495">SUM(EN89:EN95)</f>
        <v>947</v>
      </c>
      <c r="EV96" s="112" t="s">
        <v>584</v>
      </c>
      <c r="EW96" s="6">
        <f>FC96/$FH96</f>
        <v>0.4375</v>
      </c>
      <c r="EX96" s="6">
        <f t="shared" ref="EX96:EX102" si="496">FD96/$FH96</f>
        <v>0.5</v>
      </c>
      <c r="EY96" s="6">
        <f t="shared" ref="EY96:EY102" si="497">FE96/$FH96</f>
        <v>6.25E-2</v>
      </c>
      <c r="EZ96" s="6">
        <f t="shared" ref="EZ96:EZ102" si="498">FF96/$FH96</f>
        <v>0</v>
      </c>
      <c r="FA96" s="6">
        <f t="shared" ref="FA96:FA102" si="499">FG96/$FH96</f>
        <v>0</v>
      </c>
      <c r="FB96" s="6">
        <f t="shared" ref="FB96:FB102" si="500">FH96/$FH96</f>
        <v>1</v>
      </c>
      <c r="FC96" s="249">
        <f>COUNTIFS('ENCUESTA PROPIETARIOS'!$I$7:$I$417,"SIN ESTUDIOS",'ENCUESTA PROPIETARIOS'!$CI$7:$CI$417,"X")</f>
        <v>7</v>
      </c>
      <c r="FD96" s="249">
        <f>COUNTIFS('ENCUESTA PROPIETARIOS'!$I$7:$I$417,"SIN ESTUDIOS",'ENCUESTA PROPIETARIOS'!$CJ$7:$CJ$417,"X")</f>
        <v>8</v>
      </c>
      <c r="FE96" s="249">
        <f>COUNTIFS('ENCUESTA PROPIETARIOS'!$I$7:$I$417,"SIN ESTUDIOS",'ENCUESTA PROPIETARIOS'!$CK$7:$CK$417,"X")</f>
        <v>1</v>
      </c>
      <c r="FF96" s="249">
        <f>COUNTIFS('ENCUESTA PROPIETARIOS'!$I$7:$I$417,"SIN ESTUDIOS",'ENCUESTA PROPIETARIOS'!$CM$7:$CM$417,"X")</f>
        <v>0</v>
      </c>
      <c r="FG96" s="249">
        <f>COUNTIFS('ENCUESTA PROPIETARIOS'!$I$7:$I$417,"SIN ESTUDIOS",'ENCUESTA PROPIETARIOS'!$CL$7:$CL$417,"X")</f>
        <v>0</v>
      </c>
      <c r="FH96" s="249">
        <f t="shared" ref="FH96:FH101" si="501">SUM(FC96:FG96)</f>
        <v>16</v>
      </c>
      <c r="FM96" s="112" t="s">
        <v>1716</v>
      </c>
      <c r="FN96" s="6">
        <f t="shared" ref="FN96:FN102" si="502">+FO96/$FO$102</f>
        <v>0.21362229102167182</v>
      </c>
      <c r="FO96" s="249">
        <f t="shared" ref="FO96:FO102" si="503">+FU62</f>
        <v>69</v>
      </c>
    </row>
    <row r="97" spans="1:171" x14ac:dyDescent="0.25">
      <c r="A97" s="137" t="s">
        <v>22</v>
      </c>
      <c r="B97" s="6">
        <f t="shared" si="486"/>
        <v>0.1038961038961039</v>
      </c>
      <c r="C97" s="249">
        <f>COUNTIFS('ENCUESTA PROPIETARIOS'!$N$7:$N$417,"&gt;5",'ENCUESTA PROPIETARIOS'!$AE$7:$AE$417,"X")</f>
        <v>8</v>
      </c>
      <c r="X97" s="19" t="s">
        <v>715</v>
      </c>
      <c r="Y97" s="254">
        <f t="shared" si="466"/>
        <v>1</v>
      </c>
      <c r="Z97" s="249">
        <f t="shared" si="467"/>
        <v>194</v>
      </c>
      <c r="AK97" s="11" t="s">
        <v>2538</v>
      </c>
      <c r="AL97" s="6">
        <f t="shared" si="476"/>
        <v>0.14551083591331268</v>
      </c>
      <c r="AM97" s="249">
        <f t="shared" si="477"/>
        <v>47</v>
      </c>
      <c r="BD97" s="11" t="s">
        <v>953</v>
      </c>
      <c r="BE97" s="6">
        <f t="shared" si="487"/>
        <v>9.2975206611570251E-3</v>
      </c>
      <c r="BF97" s="6">
        <f t="shared" si="478"/>
        <v>3.0991735537190084E-3</v>
      </c>
      <c r="BG97" s="6">
        <f t="shared" si="479"/>
        <v>6.1983471074380167E-3</v>
      </c>
      <c r="BH97" s="6">
        <f t="shared" si="480"/>
        <v>7.9545454545454544E-2</v>
      </c>
      <c r="BI97" s="6">
        <f t="shared" si="481"/>
        <v>5.06198347107438E-2</v>
      </c>
      <c r="BJ97" s="6">
        <f t="shared" si="482"/>
        <v>8.8842975206611566E-2</v>
      </c>
      <c r="BK97" s="6">
        <f t="shared" si="483"/>
        <v>2.0661157024793389E-2</v>
      </c>
      <c r="BL97" s="6">
        <f t="shared" si="484"/>
        <v>0.25826446280991733</v>
      </c>
      <c r="BM97" s="249">
        <f>COUNTIFS('DETALLES UNIDADES'!$BC$8:$BC$987,"&lt;1991",'DETALLES UNIDADES'!$N$8:$N$987,"&lt;10001")-BM96-BM95-BM94</f>
        <v>9</v>
      </c>
      <c r="BN97" s="249">
        <f>COUNTIFS('DETALLES UNIDADES'!$BC$8:$BC$987,"&lt;1994",'DETALLES UNIDADES'!$N$8:$N$987,"&lt;10001")-BM97-BN96-BM96-BN95-BM95-BN94-BM94</f>
        <v>3</v>
      </c>
      <c r="BO97" s="249">
        <f>COUNTIFS('DETALLES UNIDADES'!$BC$8:$BC$987,"&lt;1998",'DETALLES UNIDADES'!$N$8:$N$987,"&lt;10001")-BN97-BM97-BO96-BN96-BM96-BO95-BN95-BM95-BO94-BN94-BM94</f>
        <v>6</v>
      </c>
      <c r="BP97" s="249">
        <f>COUNTIFS('DETALLES UNIDADES'!$BC$8:$BC$987,"&lt;2004",'DETALLES UNIDADES'!$N$8:$N$987,"&lt;10001")-BO97-BN97-BM97-BP96-BO96-BN96-BM96-BP95-BO95-BN95-BM95-BP94-BO94-BN94-BM94</f>
        <v>77</v>
      </c>
      <c r="BQ97" s="249">
        <f>COUNTIFS('DETALLES UNIDADES'!$BC$8:$BC$987,"&lt;2007",'DETALLES UNIDADES'!$N$8:$N$987,"&lt;10001")-BP97-BO97-BN97-BM97-BQ96-BP96-BO96-BN96-BM96-BQ95-BP95-BO95-BN95-BM95-BQ94-BP94-BO94-BN94-BM94</f>
        <v>49</v>
      </c>
      <c r="BR97" s="249">
        <f>COUNTIFS('DETALLES UNIDADES'!$BC$8:$BC$987,"&lt;2011",'DETALLES UNIDADES'!$N$8:$N$987,"&lt;10001")-BQ97-BP97-BO97-BN97-BM97-BR96-BQ96-BP96-BO96-BN96-BM96-BR95-BQ95-BP95-BO95-BN95-BM95-BR94-BQ94-BP94-BO94-BN94-BM94</f>
        <v>86</v>
      </c>
      <c r="BS97" s="249">
        <f>COUNTIFS('DETALLES UNIDADES'!$BC$8:$BC$987,"&gt;2010",'DETALLES UNIDADES'!$N$8:$N$987,"&lt;10001")-BS96-BS95-BS94</f>
        <v>20</v>
      </c>
      <c r="BT97" s="249">
        <f t="shared" si="485"/>
        <v>250</v>
      </c>
      <c r="DF97" s="17" t="s">
        <v>2631</v>
      </c>
      <c r="DG97" s="6">
        <f t="shared" ref="DG97:DG100" si="504">+DL97/DL$100</f>
        <v>0.34158415841584161</v>
      </c>
      <c r="DH97" s="6">
        <f t="shared" si="488"/>
        <v>0.33766233766233766</v>
      </c>
      <c r="DI97" s="6">
        <f t="shared" si="489"/>
        <v>0.25867507886435331</v>
      </c>
      <c r="DJ97" s="6">
        <f t="shared" si="490"/>
        <v>0.37878787878787878</v>
      </c>
      <c r="DK97" s="6">
        <f t="shared" si="491"/>
        <v>0.3233724653148346</v>
      </c>
      <c r="DL97" s="249">
        <f>COUNTIFS('DETALLES UNIDADES'!$BA$8:$BA$987,"1",'DETALLES UNIDADES'!$AV$8:$AV$987,"&lt;50001")-DL96</f>
        <v>69</v>
      </c>
      <c r="DM97" s="249">
        <f>COUNTIFS('DETALLES UNIDADES'!$BA$8:$BA$987,"2",'DETALLES UNIDADES'!$AV$8:$AV$987,"&lt;50001")-DM96</f>
        <v>52</v>
      </c>
      <c r="DN97" s="249">
        <f>COUNTIFS('DETALLES UNIDADES'!$BA$8:$BA$987,"3",'DETALLES UNIDADES'!$AV$8:$AV$987,"&lt;50001")+COUNTIFS('DETALLES UNIDADES'!$BA$8:$BA$987,"4",'DETALLES UNIDADES'!$AV$8:$AV$987,"&lt;50001")+COUNTIFS('DETALLES UNIDADES'!$BA$8:$BA$987,"5",'DETALLES UNIDADES'!$AV$8:$AV$987,"&lt;50001")-DN96</f>
        <v>82</v>
      </c>
      <c r="DO97" s="249">
        <f>COUNTIFS('DETALLES UNIDADES'!$BA$8:$BA$987,"&gt;5",'DETALLES UNIDADES'!$AV$8:$AV$987,"&lt;50001")-DO96</f>
        <v>100</v>
      </c>
      <c r="DP97" s="249">
        <f>SUM(DL97:DO97)</f>
        <v>303</v>
      </c>
      <c r="EV97" s="112" t="s">
        <v>353</v>
      </c>
      <c r="EW97" s="6">
        <f t="shared" ref="EW97:EW102" si="505">FC97/$FH97</f>
        <v>0.24390243902439024</v>
      </c>
      <c r="EX97" s="6">
        <f t="shared" si="496"/>
        <v>0.5</v>
      </c>
      <c r="EY97" s="6">
        <f t="shared" si="497"/>
        <v>0.14634146341463414</v>
      </c>
      <c r="EZ97" s="6">
        <f t="shared" si="498"/>
        <v>4.878048780487805E-2</v>
      </c>
      <c r="FA97" s="6">
        <f t="shared" si="499"/>
        <v>6.097560975609756E-2</v>
      </c>
      <c r="FB97" s="6">
        <f t="shared" si="500"/>
        <v>1</v>
      </c>
      <c r="FC97" s="249">
        <f>COUNTIFS('ENCUESTA PROPIETARIOS'!$I$7:$I$417,"PRIMARIA",'ENCUESTA PROPIETARIOS'!$CI$7:$CI$417,"X")</f>
        <v>20</v>
      </c>
      <c r="FD97" s="249">
        <f>COUNTIFS('ENCUESTA PROPIETARIOS'!$I$7:$I$417,"PRIMARIA",'ENCUESTA PROPIETARIOS'!$CJ$7:$CJ$417,"X")</f>
        <v>41</v>
      </c>
      <c r="FE97" s="249">
        <f>COUNTIFS('ENCUESTA PROPIETARIOS'!$I$7:$I$417,"PRIMARIA",'ENCUESTA PROPIETARIOS'!$CK$7:$CK$417,"X")</f>
        <v>12</v>
      </c>
      <c r="FF97" s="249">
        <f>COUNTIFS('ENCUESTA PROPIETARIOS'!$I$7:$I$417,"PRIMARIA",'ENCUESTA PROPIETARIOS'!$CM$7:$CM$417,"X")</f>
        <v>4</v>
      </c>
      <c r="FG97" s="249">
        <f>COUNTIFS('ENCUESTA PROPIETARIOS'!$I$7:$I$417,"PRIMARIA",'ENCUESTA PROPIETARIOS'!$CL$7:$CL$417,"X")</f>
        <v>5</v>
      </c>
      <c r="FH97" s="249">
        <f t="shared" si="501"/>
        <v>82</v>
      </c>
      <c r="FM97" s="112" t="s">
        <v>1713</v>
      </c>
      <c r="FN97" s="6">
        <f t="shared" si="502"/>
        <v>0.33126934984520123</v>
      </c>
      <c r="FO97" s="249">
        <f t="shared" si="503"/>
        <v>107</v>
      </c>
    </row>
    <row r="98" spans="1:171" ht="25.5" x14ac:dyDescent="0.25">
      <c r="A98" s="137" t="s">
        <v>2410</v>
      </c>
      <c r="B98" s="6">
        <f t="shared" si="486"/>
        <v>0.23376623376623376</v>
      </c>
      <c r="C98" s="249">
        <f>COUNTIFS('ENCUESTA PROPIETARIOS'!$N$7:$N$417,"&gt;5",'ENCUESTA PROPIETARIOS'!$AF$7:$AF$417,"X")+COUNTIFS('ENCUESTA PROPIETARIOS'!$N$7:$N$417,"&gt;5",'ENCUESTA PROPIETARIOS'!$AH$7:$AH$417,"X")</f>
        <v>18</v>
      </c>
      <c r="AK98" s="11" t="s">
        <v>2539</v>
      </c>
      <c r="AL98" s="6">
        <f t="shared" si="476"/>
        <v>0.31578947368421051</v>
      </c>
      <c r="AM98" s="249">
        <f t="shared" si="477"/>
        <v>102</v>
      </c>
      <c r="BD98" s="11" t="s">
        <v>2376</v>
      </c>
      <c r="BE98" s="6">
        <f t="shared" si="487"/>
        <v>0</v>
      </c>
      <c r="BF98" s="6">
        <f t="shared" si="478"/>
        <v>0</v>
      </c>
      <c r="BG98" s="6">
        <f t="shared" si="479"/>
        <v>0</v>
      </c>
      <c r="BH98" s="6">
        <f t="shared" si="480"/>
        <v>2.0661157024793389E-3</v>
      </c>
      <c r="BI98" s="6">
        <f t="shared" si="481"/>
        <v>5.1652892561983473E-3</v>
      </c>
      <c r="BJ98" s="6">
        <f t="shared" si="482"/>
        <v>5.1652892561983473E-3</v>
      </c>
      <c r="BK98" s="6">
        <f t="shared" si="483"/>
        <v>0</v>
      </c>
      <c r="BL98" s="6">
        <f t="shared" si="484"/>
        <v>1.2396694214876033E-2</v>
      </c>
      <c r="BM98" s="249">
        <f>COUNTIFS('DETALLES UNIDADES'!$BC$8:$BC$987,"&lt;1991",'DETALLES UNIDADES'!$N$8:$N$987,"&lt;12501")-BM97-BM96-BM95-BM94</f>
        <v>0</v>
      </c>
      <c r="BN98" s="249">
        <f>COUNTIFS('DETALLES UNIDADES'!$BC$8:$BC$987,"&lt;1994",'DETALLES UNIDADES'!$N$8:$N$987,"&lt;12501")-BM98-BN97-BM97-BN96-BM96-BN95-BM95-BN94-BM94</f>
        <v>0</v>
      </c>
      <c r="BO98" s="249">
        <f>COUNTIFS('DETALLES UNIDADES'!$BC$8:$BC$987,"&lt;1998",'DETALLES UNIDADES'!$N$8:$N$987,"&lt;12501")-BN98-BM98-BO97-BN97-BM97-BO96-BN96-BM96-BO95-BN95-BM95-BO94-BN94-BM94</f>
        <v>0</v>
      </c>
      <c r="BP98" s="249">
        <f>COUNTIFS('DETALLES UNIDADES'!$BC$8:$BC$987,"&lt;2004",'DETALLES UNIDADES'!$N$8:$N$987,"&lt;12501")-BO98-BN98-BM98-BP97-BO97-BN97-BM97-BP96-BO96-BN96-BM96-BP95-BO95-BN95-BM95-BP94-BO94-BN94-BM94</f>
        <v>2</v>
      </c>
      <c r="BQ98" s="249">
        <f>COUNTIFS('DETALLES UNIDADES'!$BC$8:$BC$987,"&lt;2007",'DETALLES UNIDADES'!$N$8:$N$987,"&lt;12501")-BP98-BO98-BN98-BM98-BQ97-BP97-BO97-BN97-BM97-BQ96-BP96-BO96-BN96-BM96-BQ95-BP95-BO95-BN95-BM95-BQ94-BP94-BO94-BN94-BM94</f>
        <v>5</v>
      </c>
      <c r="BR98" s="249">
        <f>COUNTIFS('DETALLES UNIDADES'!$BC$8:$BC$987,"&lt;2011",'DETALLES UNIDADES'!$N$8:$N$987,"&lt;12501")-BQ98-BP98-BO98-BN98-BM98-BR97-BQ97-BP97-BO97-BN97-BM97-BR96-BQ96-BP96-BO96-BN96-BM96-BR95-BQ95-BP95-BO95-BN95-BM95-BR94-BQ94-BP94-BO94-BN94-BM94</f>
        <v>5</v>
      </c>
      <c r="BS98" s="249">
        <f>COUNTIFS('DETALLES UNIDADES'!$BC$8:$BC$987,"&gt;2010",'DETALLES UNIDADES'!$N$8:$N$987,"&lt;12501")-BS97-BS96-BS95-BS94</f>
        <v>0</v>
      </c>
      <c r="BT98" s="249">
        <f t="shared" si="485"/>
        <v>12</v>
      </c>
      <c r="DF98" s="17" t="s">
        <v>2618</v>
      </c>
      <c r="DG98" s="6">
        <f t="shared" si="504"/>
        <v>2.9702970297029702E-2</v>
      </c>
      <c r="DH98" s="6">
        <f t="shared" si="488"/>
        <v>1.948051948051948E-2</v>
      </c>
      <c r="DI98" s="6">
        <f t="shared" si="489"/>
        <v>6.3091482649842268E-2</v>
      </c>
      <c r="DJ98" s="6">
        <f t="shared" si="490"/>
        <v>0.10227272727272728</v>
      </c>
      <c r="DK98" s="6">
        <f t="shared" si="491"/>
        <v>5.9765208110992528E-2</v>
      </c>
      <c r="DL98" s="249">
        <f>COUNTIFS('DETALLES UNIDADES'!$BA$8:$BA$987,"1",'DETALLES UNIDADES'!$AV$8:$AV$987,"&lt;75001")-DL97-DL96</f>
        <v>6</v>
      </c>
      <c r="DM98" s="249">
        <f>COUNTIFS('DETALLES UNIDADES'!$BA$8:$BA$987,"2",'DETALLES UNIDADES'!$AV$8:$AV$987,"&lt;75001")-DM97-DM96</f>
        <v>3</v>
      </c>
      <c r="DN98" s="249">
        <f>COUNTIFS('DETALLES UNIDADES'!$BA$8:$BA$987,"3",'DETALLES UNIDADES'!$AV$8:$AV$987,"&lt;75001")+COUNTIFS('DETALLES UNIDADES'!$BA$8:$BA$987,"4",'DETALLES UNIDADES'!$AV$8:$AV$987,"&lt;75001")+COUNTIFS('DETALLES UNIDADES'!$BA$8:$BA$987,"5",'DETALLES UNIDADES'!$AV$8:$AV$987,"&lt;75001")-DN97-DN96</f>
        <v>20</v>
      </c>
      <c r="DO98" s="249">
        <f>COUNTIFS('DETALLES UNIDADES'!$BA$8:$BA$987,"&gt;5",'DETALLES UNIDADES'!$AV$8:$AV$987,"&lt;75001")-DO97-DO96</f>
        <v>27</v>
      </c>
      <c r="DP98" s="249">
        <f>SUM(DL98:DO98)</f>
        <v>56</v>
      </c>
      <c r="EV98" s="112" t="s">
        <v>330</v>
      </c>
      <c r="EW98" s="6">
        <f t="shared" si="505"/>
        <v>0.40310077519379844</v>
      </c>
      <c r="EX98" s="6">
        <f t="shared" si="496"/>
        <v>0.33333333333333331</v>
      </c>
      <c r="EY98" s="6">
        <f t="shared" si="497"/>
        <v>0.10852713178294573</v>
      </c>
      <c r="EZ98" s="6">
        <f t="shared" si="498"/>
        <v>3.875968992248062E-2</v>
      </c>
      <c r="FA98" s="6">
        <f t="shared" si="499"/>
        <v>0.11627906976744186</v>
      </c>
      <c r="FB98" s="6">
        <f t="shared" si="500"/>
        <v>1</v>
      </c>
      <c r="FC98" s="249">
        <f>COUNTIFS('ENCUESTA PROPIETARIOS'!$I$7:$I$417,"SECUNDARIA",'ENCUESTA PROPIETARIOS'!$CI$7:$CI$417,"X")</f>
        <v>52</v>
      </c>
      <c r="FD98" s="249">
        <f>COUNTIFS('ENCUESTA PROPIETARIOS'!$I$7:$I$417,"SECUNDARIA",'ENCUESTA PROPIETARIOS'!$CJ$7:$CJ$417,"X")</f>
        <v>43</v>
      </c>
      <c r="FE98" s="249">
        <f>COUNTIFS('ENCUESTA PROPIETARIOS'!$I$7:$I$417,"SECUNDARIA",'ENCUESTA PROPIETARIOS'!$CK$7:$CK$417,"X")</f>
        <v>14</v>
      </c>
      <c r="FF98" s="249">
        <f>COUNTIFS('ENCUESTA PROPIETARIOS'!$I$7:$I$417,"SECUNDARIA",'ENCUESTA PROPIETARIOS'!$CM$7:$CM$417,"X")</f>
        <v>5</v>
      </c>
      <c r="FG98" s="249">
        <f>COUNTIFS('ENCUESTA PROPIETARIOS'!$I$7:$I$417,"SECUNDARIA",'ENCUESTA PROPIETARIOS'!$CL$7:$CL$417,"X")</f>
        <v>15</v>
      </c>
      <c r="FH98" s="249">
        <f t="shared" si="501"/>
        <v>129</v>
      </c>
      <c r="FM98" s="112" t="s">
        <v>943</v>
      </c>
      <c r="FN98" s="6">
        <f t="shared" si="502"/>
        <v>0.11764705882352941</v>
      </c>
      <c r="FO98" s="249">
        <f t="shared" si="503"/>
        <v>38</v>
      </c>
    </row>
    <row r="99" spans="1:171" x14ac:dyDescent="0.25">
      <c r="A99" s="137" t="s">
        <v>193</v>
      </c>
      <c r="B99" s="6">
        <f t="shared" si="486"/>
        <v>0.1038961038961039</v>
      </c>
      <c r="C99" s="249">
        <f>COUNTIFS('ENCUESTA PROPIETARIOS'!$N$7:$N$417,"&gt;5",'ENCUESTA PROPIETARIOS'!$AG$7:$AG$417,"X")</f>
        <v>8</v>
      </c>
      <c r="X99" s="17" t="s">
        <v>2517</v>
      </c>
      <c r="AK99" s="11" t="s">
        <v>2540</v>
      </c>
      <c r="AL99" s="6">
        <f t="shared" si="476"/>
        <v>9.9071207430340563E-2</v>
      </c>
      <c r="AM99" s="249">
        <f t="shared" si="477"/>
        <v>32</v>
      </c>
      <c r="BD99" s="11" t="s">
        <v>2377</v>
      </c>
      <c r="BE99" s="6">
        <f t="shared" si="487"/>
        <v>0</v>
      </c>
      <c r="BF99" s="6">
        <f t="shared" si="478"/>
        <v>6.1983471074380167E-3</v>
      </c>
      <c r="BG99" s="6">
        <f t="shared" si="479"/>
        <v>2.0661157024793389E-3</v>
      </c>
      <c r="BH99" s="6">
        <f t="shared" si="480"/>
        <v>6.1983471074380167E-3</v>
      </c>
      <c r="BI99" s="6">
        <f t="shared" si="481"/>
        <v>5.1652892561983473E-3</v>
      </c>
      <c r="BJ99" s="6">
        <f t="shared" si="482"/>
        <v>1.1363636363636364E-2</v>
      </c>
      <c r="BK99" s="6">
        <f t="shared" si="483"/>
        <v>3.0991735537190084E-2</v>
      </c>
      <c r="BL99" s="6">
        <f t="shared" si="484"/>
        <v>6.1983471074380167E-2</v>
      </c>
      <c r="BM99" s="249">
        <f>COUNTIFS('DETALLES UNIDADES'!$BC$8:$BC$987,"&lt;1991",'DETALLES UNIDADES'!$N$8:$N$987,"&gt;12500")</f>
        <v>0</v>
      </c>
      <c r="BN99" s="249">
        <f>COUNTIFS('DETALLES UNIDADES'!$BC$8:$BC$987,"&lt;1994",'DETALLES UNIDADES'!$N$8:$N$987,"&gt;12500")-BM99</f>
        <v>6</v>
      </c>
      <c r="BO99" s="249">
        <f>COUNTIFS('DETALLES UNIDADES'!$BC$8:$BC$987,"&lt;1998",'DETALLES UNIDADES'!$N$8:$N$987,"&gt;12500")-BN99-BM99</f>
        <v>2</v>
      </c>
      <c r="BP99" s="249">
        <f>COUNTIFS('DETALLES UNIDADES'!$BC$8:$BC$987,"&lt;2004",'DETALLES UNIDADES'!$N$8:$N$987,"&gt;12500")-BO99-BN99-BM99</f>
        <v>6</v>
      </c>
      <c r="BQ99" s="249">
        <f>COUNTIFS('DETALLES UNIDADES'!$BC$8:$BC$987,"&lt;2007",'DETALLES UNIDADES'!$N$8:$N$987,"&gt;12500")-BP99-BO99-BN99-BM99</f>
        <v>5</v>
      </c>
      <c r="BR99" s="249">
        <f>COUNTIFS('DETALLES UNIDADES'!$BC$8:$BC$987,"&lt;2011",'DETALLES UNIDADES'!$N$8:$N$987,"&gt;12500")-BQ99-BP99-BO99-BN99-BM99</f>
        <v>11</v>
      </c>
      <c r="BS99" s="249">
        <f>COUNTIFS('DETALLES UNIDADES'!$BC$8:$BC$987,"&gt;2010",'DETALLES UNIDADES'!$N$8:$N$987,"&gt;12500")</f>
        <v>30</v>
      </c>
      <c r="BT99" s="249">
        <f t="shared" si="485"/>
        <v>60</v>
      </c>
      <c r="DF99" s="17" t="s">
        <v>2633</v>
      </c>
      <c r="DG99" s="6">
        <f t="shared" si="504"/>
        <v>1.4851485148514851E-2</v>
      </c>
      <c r="DH99" s="6">
        <f t="shared" si="488"/>
        <v>3.896103896103896E-2</v>
      </c>
      <c r="DI99" s="6">
        <f t="shared" si="489"/>
        <v>3.1545741324921134E-2</v>
      </c>
      <c r="DJ99" s="6">
        <f t="shared" si="490"/>
        <v>0.11363636363636363</v>
      </c>
      <c r="DK99" s="6">
        <f t="shared" si="491"/>
        <v>5.2294557097118465E-2</v>
      </c>
      <c r="DL99" s="249">
        <f>COUNTIFS('DETALLES UNIDADES'!$BA$8:$BA$987,"1",'DETALLES UNIDADES'!$AV$8:$AV$987,"&gt;75000")</f>
        <v>3</v>
      </c>
      <c r="DM99" s="249">
        <f>COUNTIFS('DETALLES UNIDADES'!$BA$8:$BA$987,"2",'DETALLES UNIDADES'!$AV$8:$AV$987,"&gt;75000")</f>
        <v>6</v>
      </c>
      <c r="DN99" s="249">
        <f>COUNTIFS('DETALLES UNIDADES'!$BA$8:$BA$987,"3",'DETALLES UNIDADES'!$AV$8:$AV$987,"&gt;75000")+COUNTIFS('DETALLES UNIDADES'!$BA$8:$BA$987,"4",'DETALLES UNIDADES'!$AV$8:$AV$987,"&gt;75000")+COUNTIFS('DETALLES UNIDADES'!$BA$8:$BA$987,"5",'DETALLES UNIDADES'!$AV$8:$AV$987,"&gt;75000")</f>
        <v>10</v>
      </c>
      <c r="DO99" s="249">
        <f>COUNTIFS('DETALLES UNIDADES'!$BA$8:$BA$987,"&gt;5",'DETALLES UNIDADES'!$AV$8:$AV$987,"&gt;75000")</f>
        <v>30</v>
      </c>
      <c r="DP99" s="249">
        <f>SUM(DL99:DO99)</f>
        <v>49</v>
      </c>
      <c r="EV99" s="157" t="s">
        <v>723</v>
      </c>
      <c r="EW99" s="6">
        <f t="shared" si="505"/>
        <v>0.52142857142857146</v>
      </c>
      <c r="EX99" s="6">
        <f t="shared" si="496"/>
        <v>0.12142857142857143</v>
      </c>
      <c r="EY99" s="6">
        <f t="shared" si="497"/>
        <v>0.22857142857142856</v>
      </c>
      <c r="EZ99" s="6">
        <f t="shared" si="498"/>
        <v>8.5714285714285715E-2</v>
      </c>
      <c r="FA99" s="6">
        <f t="shared" si="499"/>
        <v>4.2857142857142858E-2</v>
      </c>
      <c r="FB99" s="6">
        <f t="shared" si="500"/>
        <v>1</v>
      </c>
      <c r="FC99" s="249">
        <f>COUNTIFS('ENCUESTA PROPIETARIOS'!$I$7:$I$417,"PREPARATORIA",'ENCUESTA PROPIETARIOS'!$CI$7:$CI$417,"X")+COUNTIFS('ENCUESTA PROPIETARIOS'!$I$7:$I$417,"BACHILLERATO",'ENCUESTA PROPIETARIOS'!$CI$7:$CI$417,"X")</f>
        <v>73</v>
      </c>
      <c r="FD99" s="249">
        <f>COUNTIFS('ENCUESTA PROPIETARIOS'!$I$7:$I$417,"PREPARATORIA",'ENCUESTA PROPIETARIOS'!$CJ$7:$CJ$417,"X")+COUNTIFS('ENCUESTA PROPIETARIOS'!$I$7:$I$417,"BACHILLERATO",'ENCUESTA PROPIETARIOS'!$CJ$7:$CJ$417,"X")</f>
        <v>17</v>
      </c>
      <c r="FE99" s="249">
        <f>COUNTIFS('ENCUESTA PROPIETARIOS'!$I$7:$I$417,"PREPARATORIA",'ENCUESTA PROPIETARIOS'!$CK$7:$CK$417,"X")+COUNTIFS('ENCUESTA PROPIETARIOS'!$I$7:$I$417,"BACHILLERATO",'ENCUESTA PROPIETARIOS'!$CK$7:$CK$417,"X")</f>
        <v>32</v>
      </c>
      <c r="FF99" s="249">
        <f>COUNTIFS('ENCUESTA PROPIETARIOS'!$I$7:$I$417,"PREPARATORIA",'ENCUESTA PROPIETARIOS'!$CM$7:$CM$417,"X")+COUNTIFS('ENCUESTA PROPIETARIOS'!$I$7:$I$417,"BACHILLERATO",'ENCUESTA PROPIETARIOS'!$CM$7:$CM$417,"X")</f>
        <v>12</v>
      </c>
      <c r="FG99" s="249">
        <f>COUNTIFS('ENCUESTA PROPIETARIOS'!$I$7:$I$417,"PREPARATORIA",'ENCUESTA PROPIETARIOS'!$CL$7:$CL$417,"X")+COUNTIFS('ENCUESTA PROPIETARIOS'!$I$7:$I$417,"BACHILLERATO",'ENCUESTA PROPIETARIOS'!$CL$7:$CL$417,"X")</f>
        <v>6</v>
      </c>
      <c r="FH99" s="249">
        <f t="shared" si="501"/>
        <v>140</v>
      </c>
      <c r="FM99" s="112" t="s">
        <v>944</v>
      </c>
      <c r="FN99" s="6">
        <f t="shared" si="502"/>
        <v>9.2879256965944276E-2</v>
      </c>
      <c r="FO99" s="249">
        <f t="shared" si="503"/>
        <v>30</v>
      </c>
    </row>
    <row r="100" spans="1:171" x14ac:dyDescent="0.25">
      <c r="A100" s="137" t="s">
        <v>26</v>
      </c>
      <c r="B100" s="6">
        <f t="shared" si="486"/>
        <v>0.11688311688311688</v>
      </c>
      <c r="C100" s="249">
        <f>COUNTIFS('ENCUESTA PROPIETARIOS'!$N$7:$N$417,"&gt;5",'ENCUESTA PROPIETARIOS'!$AI$7:$AI$417,"X")</f>
        <v>9</v>
      </c>
      <c r="X100" s="179"/>
      <c r="Y100" s="249" t="s">
        <v>359</v>
      </c>
      <c r="AK100" s="11" t="s">
        <v>715</v>
      </c>
      <c r="AL100" s="6">
        <f t="shared" si="476"/>
        <v>1</v>
      </c>
      <c r="AM100" s="249">
        <f t="shared" si="477"/>
        <v>323</v>
      </c>
      <c r="BD100" s="11" t="s">
        <v>1662</v>
      </c>
      <c r="BE100" s="6">
        <f t="shared" si="487"/>
        <v>0.10640495867768596</v>
      </c>
      <c r="BF100" s="6">
        <f t="shared" si="478"/>
        <v>5.06198347107438E-2</v>
      </c>
      <c r="BG100" s="6">
        <f t="shared" si="479"/>
        <v>0.11053719008264463</v>
      </c>
      <c r="BH100" s="6">
        <f t="shared" si="480"/>
        <v>0.24483471074380164</v>
      </c>
      <c r="BI100" s="6">
        <f t="shared" si="481"/>
        <v>0.15289256198347106</v>
      </c>
      <c r="BJ100" s="6">
        <f t="shared" si="482"/>
        <v>0.23140495867768596</v>
      </c>
      <c r="BK100" s="6">
        <f t="shared" si="483"/>
        <v>0.10330578512396695</v>
      </c>
      <c r="BL100" s="6">
        <f t="shared" si="484"/>
        <v>1</v>
      </c>
      <c r="BM100" s="249">
        <f>SUM(BM94:BM99)</f>
        <v>103</v>
      </c>
      <c r="BN100" s="249">
        <f t="shared" ref="BN100:BS100" si="506">SUM(BN94:BN99)</f>
        <v>49</v>
      </c>
      <c r="BO100" s="249">
        <f t="shared" si="506"/>
        <v>107</v>
      </c>
      <c r="BP100" s="249">
        <f t="shared" si="506"/>
        <v>237</v>
      </c>
      <c r="BQ100" s="249">
        <f t="shared" si="506"/>
        <v>148</v>
      </c>
      <c r="BR100" s="249">
        <f t="shared" si="506"/>
        <v>224</v>
      </c>
      <c r="BS100" s="249">
        <f t="shared" si="506"/>
        <v>100</v>
      </c>
      <c r="BT100" s="249">
        <f t="shared" si="485"/>
        <v>968</v>
      </c>
      <c r="DF100" s="17" t="s">
        <v>1662</v>
      </c>
      <c r="DG100" s="6">
        <f t="shared" si="504"/>
        <v>1</v>
      </c>
      <c r="DH100" s="6">
        <f t="shared" si="488"/>
        <v>1</v>
      </c>
      <c r="DI100" s="6">
        <f t="shared" si="489"/>
        <v>1</v>
      </c>
      <c r="DJ100" s="6">
        <f t="shared" si="490"/>
        <v>1</v>
      </c>
      <c r="DK100" s="6">
        <f t="shared" si="491"/>
        <v>1</v>
      </c>
      <c r="DL100" s="249">
        <f>SUM(DL96:DL99)</f>
        <v>202</v>
      </c>
      <c r="DM100" s="249">
        <f t="shared" ref="DM100:DP100" si="507">SUM(DM96:DM99)</f>
        <v>154</v>
      </c>
      <c r="DN100" s="249">
        <f t="shared" si="507"/>
        <v>317</v>
      </c>
      <c r="DO100" s="249">
        <f t="shared" si="507"/>
        <v>264</v>
      </c>
      <c r="DP100" s="249">
        <f t="shared" si="507"/>
        <v>937</v>
      </c>
      <c r="EV100" s="112" t="s">
        <v>399</v>
      </c>
      <c r="EW100" s="6">
        <f t="shared" si="505"/>
        <v>0.68141592920353977</v>
      </c>
      <c r="EX100" s="6">
        <f t="shared" si="496"/>
        <v>7.0796460176991149E-2</v>
      </c>
      <c r="EY100" s="6">
        <f t="shared" si="497"/>
        <v>9.7345132743362831E-2</v>
      </c>
      <c r="EZ100" s="6">
        <f t="shared" si="498"/>
        <v>0.11504424778761062</v>
      </c>
      <c r="FA100" s="6">
        <f t="shared" si="499"/>
        <v>3.5398230088495575E-2</v>
      </c>
      <c r="FB100" s="6">
        <f t="shared" si="500"/>
        <v>1</v>
      </c>
      <c r="FC100" s="249">
        <f>COUNTIFS('ENCUESTA PROPIETARIOS'!$I$7:$I$417,"LICENCIATURA",'ENCUESTA PROPIETARIOS'!$CI$7:$CI$417,"X")+COUNTIFS('ENCUESTA PROPIETARIOS'!$I$7:$I$417,"INGENIERIA",'ENCUESTA PROPIETARIOS'!$CI$7:$CI$417,"X")</f>
        <v>77</v>
      </c>
      <c r="FD100" s="249">
        <f>COUNTIFS('ENCUESTA PROPIETARIOS'!$I$7:$I$417,"LICENCIATURA",'ENCUESTA PROPIETARIOS'!$CJ$7:$CJ$417,"X")+COUNTIFS('ENCUESTA PROPIETARIOS'!$I$7:$I$417,"INGENIERIA",'ENCUESTA PROPIETARIOS'!$CJ$7:$CJ$417,"X")</f>
        <v>8</v>
      </c>
      <c r="FE100" s="249">
        <f>COUNTIFS('ENCUESTA PROPIETARIOS'!$I$7:$I$417,"LICENCIATURA",'ENCUESTA PROPIETARIOS'!$CK$7:$CK$417,"X")+COUNTIFS('ENCUESTA PROPIETARIOS'!$I$7:$I$417,"INGENIERIA",'ENCUESTA PROPIETARIOS'!$CK$7:$CK$417,"X")</f>
        <v>11</v>
      </c>
      <c r="FF100" s="249">
        <f>COUNTIFS('ENCUESTA PROPIETARIOS'!$I$7:$I$417,"LICENCIATURA",'ENCUESTA PROPIETARIOS'!$CM$7:$CM$417,"X")+COUNTIFS('ENCUESTA PROPIETARIOS'!$I$7:$I$417,"INGENIERIA",'ENCUESTA PROPIETARIOS'!$CM$7:$CM$417,"X")</f>
        <v>13</v>
      </c>
      <c r="FG100" s="249">
        <f>COUNTIFS('ENCUESTA PROPIETARIOS'!$I$7:$I$417,"LICENCIATURA",'ENCUESTA PROPIETARIOS'!$CL$7:$CL$417,"X")+COUNTIFS('ENCUESTA PROPIETARIOS'!$I$7:$I$417,"INGENIERIA",'ENCUESTA PROPIETARIOS'!$CL$7:$CL$417,"X")</f>
        <v>4</v>
      </c>
      <c r="FH100" s="249">
        <f t="shared" si="501"/>
        <v>113</v>
      </c>
      <c r="FM100" s="112" t="s">
        <v>1714</v>
      </c>
      <c r="FN100" s="6">
        <f t="shared" si="502"/>
        <v>6.1919504643962852E-3</v>
      </c>
      <c r="FO100" s="249">
        <f t="shared" si="503"/>
        <v>2</v>
      </c>
    </row>
    <row r="101" spans="1:171" x14ac:dyDescent="0.25">
      <c r="A101" s="137" t="s">
        <v>2408</v>
      </c>
      <c r="B101" s="6">
        <f t="shared" si="486"/>
        <v>0.15584415584415584</v>
      </c>
      <c r="C101" s="249">
        <f>COUNTIFS('ENCUESTA PROPIETARIOS'!$N$7:$N$417,"&gt;5",'ENCUESTA PROPIETARIOS'!$AK$7:$AK$417,"MAQUINARIA")+COUNTIFS('ENCUESTA PROPIETARIOS'!$N$7:$N$417,"&gt;5",'ENCUESTA PROPIETARIOS'!$AK$7:$AK$417,"GENERAL")+COUNTIFS('ENCUESTA PROPIETARIOS'!$N$7:$N$417,"&gt;5",'ENCUESTA PROPIETARIOS'!$AK$7:$AK$417,"CARTÓN Y PAPEL")+COUNTIFS('ENCUESTA PROPIETARIOS'!$N$7:$N$417,"&gt;5",'ENCUESTA PROPIETARIOS'!$AK$7:$AK$417,"PAQUETERIA")+COUNTIFS('ENCUESTA PROPIETARIOS'!$N$7:$N$417,"&gt;5",'ENCUESTA PROPIETARIOS'!$AK$7:$AK$417,"CONTENEDORES")+COUNTIFS('ENCUESTA PROPIETARIOS'!$N$7:$N$417,"&gt;5",'ENCUESTA PROPIETARIOS'!$AK$7:$AK$417,"ELECTRODOMESTICOS")+COUNTIFS('ENCUESTA PROPIETARIOS'!$N$7:$N$417,"&gt;5",'ENCUESTA PROPIETARIOS'!$AK$7:$AK$417,"FERTILIZANTE")+COUNTIFS('ENCUESTA PROPIETARIOS'!$N$7:$N$417,"&gt;5",'ENCUESTA PROPIETARIOS'!$AK$7:$AK$417,"AGUA")+COUNTIFS('ENCUESTA PROPIETARIOS'!$N$7:$N$417,"&gt;5",'ENCUESTA PROPIETARIOS'!$AK$7:$AK$417,"GANADO EN PIE")</f>
        <v>12</v>
      </c>
      <c r="X101" s="19" t="s">
        <v>1719</v>
      </c>
      <c r="Y101" s="254">
        <f>+Z101/$Z$109</f>
        <v>0</v>
      </c>
      <c r="Z101" s="249">
        <f>+AF63</f>
        <v>0</v>
      </c>
      <c r="BD101" s="11" t="s">
        <v>1000</v>
      </c>
      <c r="BE101" s="249"/>
      <c r="BF101" s="249"/>
      <c r="BG101" s="249"/>
      <c r="BH101" s="249"/>
      <c r="BI101" s="249"/>
      <c r="BJ101" s="249"/>
      <c r="BK101" s="249"/>
      <c r="BL101" s="249"/>
      <c r="BM101" s="249">
        <f>COUNTIF('DETALLES UNIDADES'!R8:R987,"NO SABE")</f>
        <v>13</v>
      </c>
      <c r="BN101" s="249"/>
      <c r="BO101" s="249"/>
      <c r="BP101" s="249"/>
      <c r="BQ101" s="249"/>
      <c r="BR101" s="249"/>
      <c r="BS101" s="249"/>
      <c r="BT101" s="249">
        <f>SUM(BT94:BT99)</f>
        <v>968</v>
      </c>
      <c r="DF101" s="17" t="s">
        <v>1013</v>
      </c>
      <c r="DL101" s="138">
        <f>+'DETALLES UNIDADES'!AV989</f>
        <v>43</v>
      </c>
      <c r="DP101" s="249">
        <f>SUM(DP96:DP99)</f>
        <v>937</v>
      </c>
      <c r="EV101" s="112" t="s">
        <v>711</v>
      </c>
      <c r="EW101" s="6">
        <f t="shared" si="505"/>
        <v>0.5</v>
      </c>
      <c r="EX101" s="6">
        <f t="shared" si="496"/>
        <v>0.25</v>
      </c>
      <c r="EY101" s="6">
        <f t="shared" si="497"/>
        <v>0</v>
      </c>
      <c r="EZ101" s="6">
        <f t="shared" si="498"/>
        <v>0.25</v>
      </c>
      <c r="FA101" s="6">
        <f t="shared" si="499"/>
        <v>0</v>
      </c>
      <c r="FB101" s="6">
        <f t="shared" si="500"/>
        <v>1</v>
      </c>
      <c r="FC101" s="249">
        <f>COUNTIFS('ENCUESTA PROPIETARIOS'!$I$7:$I$417,"POSGRADO",'ENCUESTA PROPIETARIOS'!$CI$7:$CI$417,"X")+COUNTIFS('ENCUESTA PROPIETARIOS'!$I$7:$I$417,"TECNICA",'ENCUESTA PROPIETARIOS'!$CI$7:$CI$417,"X")</f>
        <v>2</v>
      </c>
      <c r="FD101" s="249">
        <f>COUNTIFS('ENCUESTA PROPIETARIOS'!$I$7:$I$417,"POSGRADO",'ENCUESTA PROPIETARIOS'!$CJ$7:$CJ$417,"X")+COUNTIFS('ENCUESTA PROPIETARIOS'!$I$7:$I$417,"TECNICA",'ENCUESTA PROPIETARIOS'!$CJ$7:$CJ$417,"X")</f>
        <v>1</v>
      </c>
      <c r="FE101" s="249">
        <f>COUNTIFS('ENCUESTA PROPIETARIOS'!$I$7:$I$417,"POSGRADO",'ENCUESTA PROPIETARIOS'!$CK$7:$CK$417,"X")+COUNTIFS('ENCUESTA PROPIETARIOS'!$I$7:$I$417,"TECNICA",'ENCUESTA PROPIETARIOS'!$CK$7:$CK$417,"X")</f>
        <v>0</v>
      </c>
      <c r="FF101" s="249">
        <f>COUNTIFS('ENCUESTA PROPIETARIOS'!$I$7:$I$417,"POSGRADO",'ENCUESTA PROPIETARIOS'!$CM$7:$CM$417,"X")+COUNTIFS('ENCUESTA PROPIETARIOS'!$I$7:$I$417,"TECNICA",'ENCUESTA PROPIETARIOS'!$CM$7:$CM$417,"X")</f>
        <v>1</v>
      </c>
      <c r="FG101" s="249">
        <f>COUNTIFS('ENCUESTA PROPIETARIOS'!$I$7:$I$417,"POSGRADO",'ENCUESTA PROPIETARIOS'!$CL$7:$CL$417,"X")+COUNTIFS('ENCUESTA PROPIETARIOS'!$I$7:$I$417,"TECNICA",'ENCUESTA PROPIETARIOS'!$CL$7:$CL$417,"X")</f>
        <v>0</v>
      </c>
      <c r="FH101" s="249">
        <f t="shared" si="501"/>
        <v>4</v>
      </c>
      <c r="FM101" s="112" t="s">
        <v>2711</v>
      </c>
      <c r="FN101" s="6">
        <f t="shared" si="502"/>
        <v>1.238390092879257E-2</v>
      </c>
      <c r="FO101" s="249">
        <f t="shared" si="503"/>
        <v>4</v>
      </c>
    </row>
    <row r="102" spans="1:171" x14ac:dyDescent="0.25">
      <c r="A102" s="137" t="s">
        <v>1662</v>
      </c>
      <c r="B102" s="6">
        <f t="shared" si="486"/>
        <v>1</v>
      </c>
      <c r="C102" s="249">
        <f>SUM(C94:C101)</f>
        <v>77</v>
      </c>
      <c r="X102" s="19" t="s">
        <v>1720</v>
      </c>
      <c r="Y102" s="254">
        <f t="shared" ref="Y102:Y109" si="508">+Z102/$Z$109</f>
        <v>6.9767441860465115E-2</v>
      </c>
      <c r="Z102" s="249">
        <f t="shared" ref="Z102:Z109" si="509">+AF64</f>
        <v>3</v>
      </c>
      <c r="AK102" s="17" t="s">
        <v>2549</v>
      </c>
      <c r="BT102" s="249">
        <f>+BT100+BM101</f>
        <v>981</v>
      </c>
      <c r="DP102" s="138">
        <f>+DP100+DL101</f>
        <v>980</v>
      </c>
      <c r="EV102" s="112" t="s">
        <v>715</v>
      </c>
      <c r="EW102" s="6">
        <f t="shared" si="505"/>
        <v>0.47727272727272729</v>
      </c>
      <c r="EX102" s="6">
        <f t="shared" si="496"/>
        <v>0.24380165289256198</v>
      </c>
      <c r="EY102" s="6">
        <f t="shared" si="497"/>
        <v>0.14462809917355371</v>
      </c>
      <c r="EZ102" s="6">
        <f t="shared" si="498"/>
        <v>7.2314049586776855E-2</v>
      </c>
      <c r="FA102" s="6">
        <f t="shared" si="499"/>
        <v>6.1983471074380167E-2</v>
      </c>
      <c r="FB102" s="6">
        <f t="shared" si="500"/>
        <v>1</v>
      </c>
      <c r="FC102" s="249">
        <f>SUM(FC96:FC101)</f>
        <v>231</v>
      </c>
      <c r="FD102" s="249">
        <f t="shared" ref="FD102:FH102" si="510">SUM(FD96:FD101)</f>
        <v>118</v>
      </c>
      <c r="FE102" s="249">
        <f t="shared" si="510"/>
        <v>70</v>
      </c>
      <c r="FF102" s="249">
        <f t="shared" si="510"/>
        <v>35</v>
      </c>
      <c r="FG102" s="249">
        <f t="shared" si="510"/>
        <v>30</v>
      </c>
      <c r="FH102" s="249">
        <f t="shared" si="510"/>
        <v>484</v>
      </c>
      <c r="FM102" s="11" t="s">
        <v>715</v>
      </c>
      <c r="FN102" s="6">
        <f t="shared" si="502"/>
        <v>1</v>
      </c>
      <c r="FO102" s="249">
        <f t="shared" si="503"/>
        <v>323</v>
      </c>
    </row>
    <row r="103" spans="1:171" x14ac:dyDescent="0.25">
      <c r="X103" s="19" t="s">
        <v>1721</v>
      </c>
      <c r="Y103" s="254">
        <f t="shared" si="508"/>
        <v>0.37209302325581395</v>
      </c>
      <c r="Z103" s="249">
        <f t="shared" si="509"/>
        <v>16</v>
      </c>
      <c r="AK103" s="11"/>
      <c r="AL103" s="249" t="s">
        <v>1781</v>
      </c>
      <c r="BD103" s="11" t="s">
        <v>2582</v>
      </c>
      <c r="BE103" s="11"/>
      <c r="BF103" s="11"/>
      <c r="FH103" s="249">
        <f>SUM(FC102:FG102)</f>
        <v>484</v>
      </c>
    </row>
    <row r="104" spans="1:171" x14ac:dyDescent="0.25">
      <c r="X104" s="19" t="s">
        <v>1722</v>
      </c>
      <c r="Y104" s="254">
        <f t="shared" si="508"/>
        <v>0.23255813953488372</v>
      </c>
      <c r="Z104" s="249">
        <f t="shared" si="509"/>
        <v>10</v>
      </c>
      <c r="AK104" s="11" t="s">
        <v>2534</v>
      </c>
      <c r="AL104" s="6">
        <f>+AM104/$AM$111</f>
        <v>6.25E-2</v>
      </c>
      <c r="AM104" s="249">
        <f>+AT59</f>
        <v>18</v>
      </c>
      <c r="BD104" s="11"/>
      <c r="BE104" s="11" t="s">
        <v>2534</v>
      </c>
      <c r="BF104" s="11" t="str">
        <f>+BM93</f>
        <v>Anterior a 1991</v>
      </c>
      <c r="DF104" s="17" t="s">
        <v>2634</v>
      </c>
      <c r="FM104" s="11" t="s">
        <v>2715</v>
      </c>
    </row>
    <row r="105" spans="1:171" x14ac:dyDescent="0.25">
      <c r="X105" s="19" t="s">
        <v>1723</v>
      </c>
      <c r="Y105" s="254">
        <f t="shared" si="508"/>
        <v>0.13953488372093023</v>
      </c>
      <c r="Z105" s="249">
        <f t="shared" si="509"/>
        <v>6</v>
      </c>
      <c r="AK105" s="11" t="s">
        <v>2535</v>
      </c>
      <c r="AL105" s="6">
        <f t="shared" ref="AL105:AL111" si="511">+AM105/$AM$111</f>
        <v>5.9027777777777776E-2</v>
      </c>
      <c r="AM105" s="249">
        <f t="shared" ref="AM105:AM111" si="512">+AT60</f>
        <v>17</v>
      </c>
      <c r="BD105" s="11" t="s">
        <v>2374</v>
      </c>
      <c r="BE105" s="6">
        <f>+BF105/$BF$111</f>
        <v>8.7378640776699032E-2</v>
      </c>
      <c r="BF105" s="152">
        <f>+BM94</f>
        <v>9</v>
      </c>
      <c r="DG105" s="11" t="s">
        <v>814</v>
      </c>
      <c r="DH105" s="11" t="s">
        <v>815</v>
      </c>
      <c r="DI105" s="11" t="s">
        <v>1780</v>
      </c>
      <c r="DJ105" s="11" t="s">
        <v>1781</v>
      </c>
      <c r="DK105" s="11"/>
      <c r="DL105" s="11" t="s">
        <v>814</v>
      </c>
      <c r="DM105" s="11" t="s">
        <v>815</v>
      </c>
      <c r="DN105" s="11" t="s">
        <v>1780</v>
      </c>
      <c r="DO105" s="11" t="s">
        <v>1781</v>
      </c>
      <c r="DP105" s="11"/>
      <c r="FN105" s="17" t="s">
        <v>2716</v>
      </c>
    </row>
    <row r="106" spans="1:171" x14ac:dyDescent="0.25">
      <c r="X106" s="19" t="s">
        <v>1724</v>
      </c>
      <c r="Y106" s="254">
        <f t="shared" si="508"/>
        <v>0.18604651162790697</v>
      </c>
      <c r="Z106" s="249">
        <f t="shared" si="509"/>
        <v>8</v>
      </c>
      <c r="AK106" s="11" t="s">
        <v>2536</v>
      </c>
      <c r="AL106" s="6">
        <f t="shared" si="511"/>
        <v>9.7222222222222224E-2</v>
      </c>
      <c r="AM106" s="249">
        <f t="shared" si="512"/>
        <v>28</v>
      </c>
      <c r="BD106" s="11" t="s">
        <v>2375</v>
      </c>
      <c r="BE106" s="6">
        <f t="shared" ref="BE106:BE111" si="513">+BF106/$BF$111</f>
        <v>0.59223300970873782</v>
      </c>
      <c r="BF106" s="152">
        <f t="shared" ref="BF106:BF111" si="514">+BM95</f>
        <v>61</v>
      </c>
      <c r="DF106" s="17" t="s">
        <v>2635</v>
      </c>
      <c r="DG106" s="6">
        <f>+DL106/DL$112</f>
        <v>0.31578947368421051</v>
      </c>
      <c r="DH106" s="6">
        <f t="shared" ref="DH106:DH112" si="515">+DM106/DM$112</f>
        <v>0.125</v>
      </c>
      <c r="DI106" s="6">
        <f t="shared" ref="DI106:DI112" si="516">+DN106/DN$112</f>
        <v>3.7151702786377708E-2</v>
      </c>
      <c r="DJ106" s="6">
        <f t="shared" ref="DJ106:DJ112" si="517">+DO106/DO$112</f>
        <v>9.375E-2</v>
      </c>
      <c r="DK106" s="6">
        <f t="shared" ref="DK106:DK112" si="518">+DP106/DP$112</f>
        <v>0.12755102040816327</v>
      </c>
      <c r="DL106" s="249">
        <f>COUNTIFS('DETALLES UNIDADES'!$BA$8:$BA$987,"1",'DETALLES UNIDADES'!$AW$8:$AW$987,"&lt;5000")</f>
        <v>66</v>
      </c>
      <c r="DM106" s="249">
        <f>COUNTIFS('DETALLES UNIDADES'!$BA$8:$BA$987,"2",'DETALLES UNIDADES'!$AW$8:$AW$987,"&lt;5000")</f>
        <v>20</v>
      </c>
      <c r="DN106" s="249">
        <f>COUNTIFS('DETALLES UNIDADES'!$BA$8:$BA$987,"3",'DETALLES UNIDADES'!$AW$8:$AW$987,"&lt;5000")+COUNTIFS('DETALLES UNIDADES'!$BA$8:$BA$987,"4",'DETALLES UNIDADES'!$AW$8:$AW$987,"&lt;5000")+COUNTIFS('DETALLES UNIDADES'!$BA$8:$BA$987,"5",'DETALLES UNIDADES'!$AW$8:$AW$987,"&lt;5000")</f>
        <v>12</v>
      </c>
      <c r="DO106" s="249">
        <f>COUNTIFS('DETALLES UNIDADES'!$BA$8:$BA$987,"&gt;5",'DETALLES UNIDADES'!$AW$8:$AW$987,"&lt;5000")</f>
        <v>27</v>
      </c>
      <c r="DP106" s="249">
        <f t="shared" ref="DP106:DP111" si="519">SUM(DL106:DO106)</f>
        <v>125</v>
      </c>
      <c r="FM106" s="112" t="s">
        <v>1712</v>
      </c>
      <c r="FN106" s="6">
        <f>+FO106/$FO$113</f>
        <v>0.22222222222222221</v>
      </c>
      <c r="FO106" s="249">
        <f>+FV61</f>
        <v>64</v>
      </c>
    </row>
    <row r="107" spans="1:171" x14ac:dyDescent="0.25">
      <c r="X107" s="19" t="s">
        <v>1725</v>
      </c>
      <c r="Y107" s="254">
        <f t="shared" si="508"/>
        <v>0</v>
      </c>
      <c r="Z107" s="249">
        <f t="shared" si="509"/>
        <v>0</v>
      </c>
      <c r="AK107" s="11" t="s">
        <v>2537</v>
      </c>
      <c r="AL107" s="6">
        <f t="shared" si="511"/>
        <v>0.24305555555555555</v>
      </c>
      <c r="AM107" s="249">
        <f t="shared" si="512"/>
        <v>70</v>
      </c>
      <c r="BD107" s="11" t="s">
        <v>952</v>
      </c>
      <c r="BE107" s="6">
        <f t="shared" si="513"/>
        <v>0.23300970873786409</v>
      </c>
      <c r="BF107" s="152">
        <f t="shared" si="514"/>
        <v>24</v>
      </c>
      <c r="DF107" s="17" t="s">
        <v>2636</v>
      </c>
      <c r="DG107" s="6">
        <f t="shared" ref="DG107:DG112" si="520">+DL107/DL$112</f>
        <v>0.14832535885167464</v>
      </c>
      <c r="DH107" s="6">
        <f t="shared" si="515"/>
        <v>0.27500000000000002</v>
      </c>
      <c r="DI107" s="6">
        <f t="shared" si="516"/>
        <v>0.4148606811145511</v>
      </c>
      <c r="DJ107" s="6">
        <f t="shared" si="517"/>
        <v>0.3125</v>
      </c>
      <c r="DK107" s="6">
        <f t="shared" si="518"/>
        <v>0.30510204081632653</v>
      </c>
      <c r="DL107" s="249">
        <f>COUNTIFS('DETALLES UNIDADES'!$BA$8:$BA$987,"1",'DETALLES UNIDADES'!$AW$8:$AW$987,"&lt;10001")-DL106</f>
        <v>31</v>
      </c>
      <c r="DM107" s="249">
        <f>COUNTIFS('DETALLES UNIDADES'!$BA$8:$BA$987,"2",'DETALLES UNIDADES'!$AW$8:$AW$987,"&lt;10001")-DM106</f>
        <v>44</v>
      </c>
      <c r="DN107" s="249">
        <f>COUNTIFS('DETALLES UNIDADES'!$BA$8:$BA$987,"3",'DETALLES UNIDADES'!$AW$8:$AW$987,"&lt;10001")+COUNTIFS('DETALLES UNIDADES'!$BA$8:$BA$987,"4",'DETALLES UNIDADES'!$AW$8:$AW$987,"&lt;10001")+COUNTIFS('DETALLES UNIDADES'!$BA$8:$BA$987,"5",'DETALLES UNIDADES'!$AW$8:$AW$987,"&lt;10001")-DN106</f>
        <v>134</v>
      </c>
      <c r="DO107" s="249">
        <f>COUNTIFS('DETALLES UNIDADES'!$BA$8:$BA$987,"&gt;5",'DETALLES UNIDADES'!$AW$8:$AW$987,"&lt;10001")-DO106</f>
        <v>90</v>
      </c>
      <c r="DP107" s="249">
        <f t="shared" si="519"/>
        <v>299</v>
      </c>
      <c r="FM107" s="112" t="s">
        <v>1716</v>
      </c>
      <c r="FN107" s="6">
        <f t="shared" ref="FN107:FN113" si="521">+FO107/$FO$113</f>
        <v>0.22569444444444445</v>
      </c>
      <c r="FO107" s="249">
        <f t="shared" ref="FO107:FO113" si="522">+FV62</f>
        <v>65</v>
      </c>
    </row>
    <row r="108" spans="1:171" x14ac:dyDescent="0.25">
      <c r="X108" s="19" t="s">
        <v>2510</v>
      </c>
      <c r="Y108" s="254">
        <f t="shared" si="508"/>
        <v>0</v>
      </c>
      <c r="Z108" s="249">
        <f t="shared" si="509"/>
        <v>0</v>
      </c>
      <c r="AK108" s="11" t="s">
        <v>2538</v>
      </c>
      <c r="AL108" s="6">
        <f t="shared" si="511"/>
        <v>0.13541666666666666</v>
      </c>
      <c r="AM108" s="249">
        <f t="shared" si="512"/>
        <v>39</v>
      </c>
      <c r="BD108" s="11" t="s">
        <v>953</v>
      </c>
      <c r="BE108" s="6">
        <f t="shared" si="513"/>
        <v>8.7378640776699032E-2</v>
      </c>
      <c r="BF108" s="152">
        <f t="shared" si="514"/>
        <v>9</v>
      </c>
      <c r="DF108" s="17" t="s">
        <v>2637</v>
      </c>
      <c r="DG108" s="6">
        <f t="shared" si="520"/>
        <v>0.33014354066985646</v>
      </c>
      <c r="DH108" s="6">
        <f t="shared" si="515"/>
        <v>0.33124999999999999</v>
      </c>
      <c r="DI108" s="6">
        <f t="shared" si="516"/>
        <v>0.28792569659442724</v>
      </c>
      <c r="DJ108" s="6">
        <f t="shared" si="517"/>
        <v>0.33333333333333331</v>
      </c>
      <c r="DK108" s="6">
        <f t="shared" si="518"/>
        <v>0.31734693877551018</v>
      </c>
      <c r="DL108" s="249">
        <f>COUNTIFS('DETALLES UNIDADES'!$BA$8:$BA$987,"1",'DETALLES UNIDADES'!$AW$8:$AW$987,"&lt;20001")-DL107-DL106</f>
        <v>69</v>
      </c>
      <c r="DM108" s="249">
        <f>COUNTIFS('DETALLES UNIDADES'!$BA$8:$BA$987,"2",'DETALLES UNIDADES'!$AW$8:$AW$987,"&lt;20001")-DM107-DM106</f>
        <v>53</v>
      </c>
      <c r="DN108" s="249">
        <f>COUNTIFS('DETALLES UNIDADES'!$BA$8:$BA$987,"3",'DETALLES UNIDADES'!$AW$8:$AW$987,"&lt;20001")+COUNTIFS('DETALLES UNIDADES'!$BA$8:$BA$987,"4",'DETALLES UNIDADES'!$AW$8:$AW$987,"&lt;20001")+COUNTIFS('DETALLES UNIDADES'!$BA$8:$BA$987,"5",'DETALLES UNIDADES'!$AW$8:$AW$987,"&lt;20001")-DN107-DN106</f>
        <v>93</v>
      </c>
      <c r="DO108" s="249">
        <f>COUNTIFS('DETALLES UNIDADES'!$BA$8:$BA$987,"&gt;5",'DETALLES UNIDADES'!$AW$8:$AW$987,"&lt;20001")-DO107-DO106</f>
        <v>96</v>
      </c>
      <c r="DP108" s="249">
        <f t="shared" si="519"/>
        <v>311</v>
      </c>
      <c r="FM108" s="112" t="s">
        <v>1713</v>
      </c>
      <c r="FN108" s="6">
        <f t="shared" si="521"/>
        <v>0.28472222222222221</v>
      </c>
      <c r="FO108" s="249">
        <f t="shared" si="522"/>
        <v>82</v>
      </c>
    </row>
    <row r="109" spans="1:171" x14ac:dyDescent="0.25">
      <c r="X109" s="19" t="s">
        <v>715</v>
      </c>
      <c r="Y109" s="254">
        <f t="shared" si="508"/>
        <v>1</v>
      </c>
      <c r="Z109" s="249">
        <f t="shared" si="509"/>
        <v>43</v>
      </c>
      <c r="AK109" s="11" t="s">
        <v>2539</v>
      </c>
      <c r="AL109" s="6">
        <f t="shared" si="511"/>
        <v>0.22222222222222221</v>
      </c>
      <c r="AM109" s="249">
        <f t="shared" si="512"/>
        <v>64</v>
      </c>
      <c r="BD109" s="11" t="s">
        <v>2376</v>
      </c>
      <c r="BE109" s="6">
        <f t="shared" si="513"/>
        <v>0</v>
      </c>
      <c r="BF109" s="152">
        <f t="shared" si="514"/>
        <v>0</v>
      </c>
      <c r="DF109" s="17" t="s">
        <v>2638</v>
      </c>
      <c r="DG109" s="6">
        <f t="shared" si="520"/>
        <v>0.13875598086124402</v>
      </c>
      <c r="DH109" s="6">
        <f t="shared" si="515"/>
        <v>0.19375000000000001</v>
      </c>
      <c r="DI109" s="6">
        <f t="shared" si="516"/>
        <v>7.7399380804953566E-2</v>
      </c>
      <c r="DJ109" s="6">
        <f t="shared" si="517"/>
        <v>2.7777777777777776E-2</v>
      </c>
      <c r="DK109" s="6">
        <f t="shared" si="518"/>
        <v>9.4897959183673469E-2</v>
      </c>
      <c r="DL109" s="249">
        <f>COUNTIFS('DETALLES UNIDADES'!$BA$8:$BA$987,"1",'DETALLES UNIDADES'!$AW$8:$AW$987,"&lt;30001")-DL108-DL107-DL106</f>
        <v>29</v>
      </c>
      <c r="DM109" s="249">
        <f>COUNTIFS('DETALLES UNIDADES'!$BA$8:$BA$987,"2",'DETALLES UNIDADES'!$AW$8:$AW$987,"&lt;30001")-DM108-DM107-DM106</f>
        <v>31</v>
      </c>
      <c r="DN109" s="249">
        <f>COUNTIFS('DETALLES UNIDADES'!$BA$8:$BA$987,"3",'DETALLES UNIDADES'!$AW$8:$AW$987,"&lt;30001")+COUNTIFS('DETALLES UNIDADES'!$BA$8:$BA$987,"4",'DETALLES UNIDADES'!$AW$8:$AW$987,"&lt;30001")+COUNTIFS('DETALLES UNIDADES'!$BA$8:$BA$987,"5",'DETALLES UNIDADES'!$AW$8:$AW$987,"&lt;30001")-DN108-DN107-DN106</f>
        <v>25</v>
      </c>
      <c r="DO109" s="249">
        <f>COUNTIFS('DETALLES UNIDADES'!$BA$8:$BA$987,"&gt;5",'DETALLES UNIDADES'!$AW$8:$AW$987,"&lt;30001")-DO108-DO107-DO106</f>
        <v>8</v>
      </c>
      <c r="DP109" s="249">
        <f t="shared" si="519"/>
        <v>93</v>
      </c>
      <c r="FM109" s="112" t="s">
        <v>943</v>
      </c>
      <c r="FN109" s="6">
        <f t="shared" si="521"/>
        <v>0.11458333333333333</v>
      </c>
      <c r="FO109" s="249">
        <f t="shared" si="522"/>
        <v>33</v>
      </c>
    </row>
    <row r="110" spans="1:171" x14ac:dyDescent="0.25">
      <c r="AK110" s="11" t="s">
        <v>2540</v>
      </c>
      <c r="AL110" s="6">
        <f t="shared" si="511"/>
        <v>0.18055555555555555</v>
      </c>
      <c r="AM110" s="249">
        <f t="shared" si="512"/>
        <v>52</v>
      </c>
      <c r="BD110" s="11" t="s">
        <v>2377</v>
      </c>
      <c r="BE110" s="6">
        <f t="shared" si="513"/>
        <v>0</v>
      </c>
      <c r="BF110" s="152">
        <f t="shared" si="514"/>
        <v>0</v>
      </c>
      <c r="DF110" s="17" t="s">
        <v>2639</v>
      </c>
      <c r="DG110" s="6">
        <f t="shared" si="520"/>
        <v>6.2200956937799042E-2</v>
      </c>
      <c r="DH110" s="6">
        <f t="shared" si="515"/>
        <v>6.8750000000000006E-2</v>
      </c>
      <c r="DI110" s="6">
        <f t="shared" si="516"/>
        <v>0.1609907120743034</v>
      </c>
      <c r="DJ110" s="6">
        <f t="shared" si="517"/>
        <v>0.1076388888888889</v>
      </c>
      <c r="DK110" s="6">
        <f t="shared" si="518"/>
        <v>0.10918367346938776</v>
      </c>
      <c r="DL110" s="249">
        <f>COUNTIFS('DETALLES UNIDADES'!$BA$8:$BA$987,"1",'DETALLES UNIDADES'!$AW$8:$AW$987,"&lt;50001")-DL109-DL108-DL107-DL106</f>
        <v>13</v>
      </c>
      <c r="DM110" s="249">
        <f>COUNTIFS('DETALLES UNIDADES'!$BA$8:$BA$987,"2",'DETALLES UNIDADES'!$AW$8:$AW$987,"&lt;50001")-DM109-DM108-DM107-DM106</f>
        <v>11</v>
      </c>
      <c r="DN110" s="249">
        <f>COUNTIFS('DETALLES UNIDADES'!$BA$8:$BA$987,"3",'DETALLES UNIDADES'!$AW$8:$AW$987,"&lt;50001")+COUNTIFS('DETALLES UNIDADES'!$BA$8:$BA$987,"4",'DETALLES UNIDADES'!$AW$8:$AW$987,"&lt;50001")+COUNTIFS('DETALLES UNIDADES'!$BA$8:$BA$987,"5",'DETALLES UNIDADES'!$AW$8:$AW$987,"&lt;50001")-DN109-DN108-DN107-DN106</f>
        <v>52</v>
      </c>
      <c r="DO110" s="249">
        <f>COUNTIFS('DETALLES UNIDADES'!$BA$8:$BA$987,"&gt;5",'DETALLES UNIDADES'!$AW$8:$AW$987,"&lt;50001")-DO109-DO108-DO107-DO106</f>
        <v>31</v>
      </c>
      <c r="DP110" s="249">
        <f t="shared" si="519"/>
        <v>107</v>
      </c>
      <c r="FM110" s="112" t="s">
        <v>944</v>
      </c>
      <c r="FN110" s="6">
        <f t="shared" si="521"/>
        <v>0.13541666666666666</v>
      </c>
      <c r="FO110" s="249">
        <f t="shared" si="522"/>
        <v>39</v>
      </c>
    </row>
    <row r="111" spans="1:171" x14ac:dyDescent="0.25">
      <c r="X111" s="17" t="s">
        <v>2518</v>
      </c>
      <c r="AK111" s="11" t="s">
        <v>715</v>
      </c>
      <c r="AL111" s="6">
        <f t="shared" si="511"/>
        <v>1</v>
      </c>
      <c r="AM111" s="249">
        <f t="shared" si="512"/>
        <v>288</v>
      </c>
      <c r="BD111" s="11" t="s">
        <v>1662</v>
      </c>
      <c r="BE111" s="6">
        <f t="shared" si="513"/>
        <v>1</v>
      </c>
      <c r="BF111" s="152">
        <f t="shared" si="514"/>
        <v>103</v>
      </c>
      <c r="DF111" s="17" t="s">
        <v>2640</v>
      </c>
      <c r="DG111" s="6">
        <f t="shared" si="520"/>
        <v>4.7846889952153108E-3</v>
      </c>
      <c r="DH111" s="6">
        <f t="shared" si="515"/>
        <v>6.2500000000000003E-3</v>
      </c>
      <c r="DI111" s="6">
        <f t="shared" si="516"/>
        <v>2.1671826625386997E-2</v>
      </c>
      <c r="DJ111" s="6">
        <f t="shared" si="517"/>
        <v>0.125</v>
      </c>
      <c r="DK111" s="6">
        <f t="shared" si="518"/>
        <v>4.5918367346938778E-2</v>
      </c>
      <c r="DL111" s="249">
        <f>COUNTIFS('DETALLES UNIDADES'!$BA$8:$BA$987,"1",'DETALLES UNIDADES'!$AW$8:$AW$987,"&gt;50000")</f>
        <v>1</v>
      </c>
      <c r="DM111" s="249">
        <f>COUNTIFS('DETALLES UNIDADES'!$BA$8:$BA$987,"2",'DETALLES UNIDADES'!$AW$8:$AW$987,"&gt;50000")</f>
        <v>1</v>
      </c>
      <c r="DN111" s="249">
        <f>COUNTIFS('DETALLES UNIDADES'!$BA$8:$BA$987,"3",'DETALLES UNIDADES'!$AW$8:$AW$987,"&gt;50000")+COUNTIFS('DETALLES UNIDADES'!$BA$8:$BA$987,"4",'DETALLES UNIDADES'!$AW$8:$AW$987,"&gt;50000")+COUNTIFS('DETALLES UNIDADES'!$BA$8:$BA$987,"5",'DETALLES UNIDADES'!$AW$8:$AW$987,"&gt;50000")</f>
        <v>7</v>
      </c>
      <c r="DO111" s="249">
        <f>COUNTIFS('DETALLES UNIDADES'!$BA$8:$BA$987,"&gt;5",'DETALLES UNIDADES'!$AW$8:$AW$987,"&gt;50000")</f>
        <v>36</v>
      </c>
      <c r="DP111" s="249">
        <f t="shared" si="519"/>
        <v>45</v>
      </c>
      <c r="FM111" s="112" t="s">
        <v>1714</v>
      </c>
      <c r="FN111" s="6">
        <f t="shared" si="521"/>
        <v>1.0416666666666666E-2</v>
      </c>
      <c r="FO111" s="249">
        <f t="shared" si="522"/>
        <v>3</v>
      </c>
    </row>
    <row r="112" spans="1:171" x14ac:dyDescent="0.25">
      <c r="X112" s="179"/>
      <c r="Y112" s="249" t="s">
        <v>337</v>
      </c>
      <c r="DF112" s="17" t="s">
        <v>1662</v>
      </c>
      <c r="DG112" s="6">
        <f t="shared" si="520"/>
        <v>1</v>
      </c>
      <c r="DH112" s="6">
        <f t="shared" si="515"/>
        <v>1</v>
      </c>
      <c r="DI112" s="6">
        <f t="shared" si="516"/>
        <v>1</v>
      </c>
      <c r="DJ112" s="6">
        <f t="shared" si="517"/>
        <v>1</v>
      </c>
      <c r="DK112" s="6">
        <f t="shared" si="518"/>
        <v>1</v>
      </c>
      <c r="DL112" s="249">
        <f>SUM(DL106:DL111)</f>
        <v>209</v>
      </c>
      <c r="DM112" s="249">
        <f t="shared" ref="DM112:DP112" si="523">SUM(DM106:DM111)</f>
        <v>160</v>
      </c>
      <c r="DN112" s="249">
        <f t="shared" si="523"/>
        <v>323</v>
      </c>
      <c r="DO112" s="249">
        <f t="shared" si="523"/>
        <v>288</v>
      </c>
      <c r="DP112" s="249">
        <f t="shared" si="523"/>
        <v>980</v>
      </c>
      <c r="FM112" s="112" t="s">
        <v>2711</v>
      </c>
      <c r="FN112" s="6">
        <f t="shared" si="521"/>
        <v>6.9444444444444441E-3</v>
      </c>
      <c r="FO112" s="249">
        <f t="shared" si="522"/>
        <v>2</v>
      </c>
    </row>
    <row r="113" spans="24:185" x14ac:dyDescent="0.25">
      <c r="X113" s="19" t="s">
        <v>1719</v>
      </c>
      <c r="Y113" s="254">
        <f>+Z113/$Z$121</f>
        <v>4.1431261770244823E-2</v>
      </c>
      <c r="Z113" s="249">
        <f>+AG63</f>
        <v>22</v>
      </c>
      <c r="AK113" s="17" t="s">
        <v>2550</v>
      </c>
      <c r="BD113" s="11" t="s">
        <v>2583</v>
      </c>
      <c r="BE113" s="11"/>
      <c r="BF113" s="11"/>
      <c r="DF113" s="17" t="s">
        <v>1013</v>
      </c>
      <c r="DP113" s="249">
        <f>SUM(DP106:DP111)</f>
        <v>980</v>
      </c>
      <c r="FM113" s="11" t="s">
        <v>715</v>
      </c>
      <c r="FN113" s="6">
        <f t="shared" si="521"/>
        <v>1</v>
      </c>
      <c r="FO113" s="249">
        <f t="shared" si="522"/>
        <v>288</v>
      </c>
    </row>
    <row r="114" spans="24:185" x14ac:dyDescent="0.25">
      <c r="X114" s="19" t="s">
        <v>1720</v>
      </c>
      <c r="Y114" s="254">
        <f t="shared" ref="Y114:Y121" si="524">+Z114/$Z$121</f>
        <v>0.17702448210922786</v>
      </c>
      <c r="Z114" s="249">
        <f t="shared" ref="Z114:Z121" si="525">+AG64</f>
        <v>94</v>
      </c>
      <c r="AK114" s="179"/>
      <c r="AL114" s="11" t="s">
        <v>2534</v>
      </c>
      <c r="AM114" s="11" t="s">
        <v>2535</v>
      </c>
      <c r="AN114" s="11" t="s">
        <v>2536</v>
      </c>
      <c r="AO114" s="11" t="s">
        <v>2537</v>
      </c>
      <c r="AP114" s="11" t="s">
        <v>2538</v>
      </c>
      <c r="AQ114" s="11" t="s">
        <v>2539</v>
      </c>
      <c r="AR114" s="11" t="s">
        <v>2540</v>
      </c>
      <c r="AT114" s="11" t="s">
        <v>2534</v>
      </c>
      <c r="AU114" s="11" t="s">
        <v>2535</v>
      </c>
      <c r="AV114" s="11" t="s">
        <v>2536</v>
      </c>
      <c r="AW114" s="11" t="s">
        <v>2537</v>
      </c>
      <c r="AX114" s="11" t="s">
        <v>2538</v>
      </c>
      <c r="AY114" s="11" t="s">
        <v>2539</v>
      </c>
      <c r="AZ114" s="11" t="s">
        <v>2540</v>
      </c>
      <c r="BD114" s="11"/>
      <c r="BE114" s="11"/>
      <c r="BF114" s="11" t="str">
        <f>+BN93</f>
        <v>1991 a 1993</v>
      </c>
    </row>
    <row r="115" spans="24:185" x14ac:dyDescent="0.25">
      <c r="X115" s="19" t="s">
        <v>1721</v>
      </c>
      <c r="Y115" s="254">
        <f t="shared" si="524"/>
        <v>0.19962335216572505</v>
      </c>
      <c r="Z115" s="249">
        <f t="shared" si="525"/>
        <v>106</v>
      </c>
      <c r="AK115" s="19" t="s">
        <v>1719</v>
      </c>
      <c r="AL115" s="6">
        <f>+AT115/$BA$123</f>
        <v>5.5555555555555558E-3</v>
      </c>
      <c r="AM115" s="6">
        <f t="shared" ref="AM115:AM123" si="526">+AU115/$BA$123</f>
        <v>2.2222222222222222E-3</v>
      </c>
      <c r="AN115" s="6">
        <f t="shared" ref="AN115:AN123" si="527">+AV115/$BA$123</f>
        <v>1.2222222222222223E-2</v>
      </c>
      <c r="AO115" s="6">
        <f t="shared" ref="AO115:AO123" si="528">+AW115/$BA$123</f>
        <v>1.5555555555555555E-2</v>
      </c>
      <c r="AP115" s="6">
        <f t="shared" ref="AP115:AP123" si="529">+AX115/$BA$123</f>
        <v>2.2222222222222222E-3</v>
      </c>
      <c r="AQ115" s="6">
        <f t="shared" ref="AQ115:AQ123" si="530">+AY115/$BA$123</f>
        <v>8.8888888888888889E-3</v>
      </c>
      <c r="AR115" s="6">
        <f t="shared" ref="AR115:AR123" si="531">+AZ115/$BA$123</f>
        <v>0</v>
      </c>
      <c r="AS115" s="6">
        <f t="shared" ref="AS115:AS123" si="532">+BA115/$BA$123</f>
        <v>4.6666666666666669E-2</v>
      </c>
      <c r="AT115" s="249">
        <f>COUNTIFS('DETALLES UNIDADES'!$BC$8:$BC$987,"&lt;1991",'DETALLES UNIDADES'!$T$8:$T$987,"&lt;1.6",'DETALLES UNIDADES'!$S$8:$S$987,"D")</f>
        <v>5</v>
      </c>
      <c r="AU115" s="249">
        <f>COUNTIFS('DETALLES UNIDADES'!$BC$8:$BC$987,"&lt;1994",'DETALLES UNIDADES'!$T$8:$T$987,"&lt;1.6",'DETALLES UNIDADES'!$S$8:$S$987,"D")-AT115</f>
        <v>2</v>
      </c>
      <c r="AV115" s="249">
        <f>COUNTIFS('DETALLES UNIDADES'!$BC$8:$BC$987,"&lt;1998",'DETALLES UNIDADES'!$T$8:$T$987,"&lt;1.6",'DETALLES UNIDADES'!$S$8:$S$987,"D")-AU115-AT115</f>
        <v>11</v>
      </c>
      <c r="AW115" s="249">
        <f>COUNTIFS('DETALLES UNIDADES'!$BC$8:$BC$987,"&lt;2004",'DETALLES UNIDADES'!$T$8:$T$987,"&lt;1.6",'DETALLES UNIDADES'!$S$8:$S$987,"D")-AV115-AU115-AT115</f>
        <v>14</v>
      </c>
      <c r="AX115" s="249">
        <f>COUNTIFS('DETALLES UNIDADES'!$BC$8:$BC$987,"&lt;2007",'DETALLES UNIDADES'!$T$8:$T$987,"&lt;1.6",'DETALLES UNIDADES'!$S$8:$S$987,"D")-AW115-AV115-AU115-AT115</f>
        <v>2</v>
      </c>
      <c r="AY115" s="249">
        <f>COUNTIFS('DETALLES UNIDADES'!$BC$8:$BC$987,"&lt;2011",'DETALLES UNIDADES'!$T$8:$T$987,"&lt;1.6",'DETALLES UNIDADES'!$S$8:$S$987,"D")-AX115-AW115-AV115-AU115-AT115</f>
        <v>8</v>
      </c>
      <c r="AZ115" s="249">
        <f>COUNTIFS('DETALLES UNIDADES'!$BC$8:$BC$987,"&gt;2010",'DETALLES UNIDADES'!$T$8:$T$987,"&lt;1.6",'DETALLES UNIDADES'!$S$8:$S$987,"D")</f>
        <v>0</v>
      </c>
      <c r="BA115" s="249">
        <f>SUM(AT115:AZ115)</f>
        <v>42</v>
      </c>
      <c r="BB115" s="17">
        <v>42</v>
      </c>
      <c r="BD115" s="11" t="s">
        <v>2374</v>
      </c>
      <c r="BE115" s="6">
        <f>+BF115/$BF$121</f>
        <v>2.0408163265306121E-2</v>
      </c>
      <c r="BF115" s="152">
        <f>+BN94</f>
        <v>1</v>
      </c>
      <c r="DF115" s="17" t="s">
        <v>2641</v>
      </c>
      <c r="FM115" s="11" t="s">
        <v>2717</v>
      </c>
    </row>
    <row r="116" spans="24:185" x14ac:dyDescent="0.25">
      <c r="X116" s="19" t="s">
        <v>1722</v>
      </c>
      <c r="Y116" s="254">
        <f t="shared" si="524"/>
        <v>0.24293785310734464</v>
      </c>
      <c r="Z116" s="249">
        <f t="shared" si="525"/>
        <v>129</v>
      </c>
      <c r="AK116" s="19" t="s">
        <v>1720</v>
      </c>
      <c r="AL116" s="6">
        <f t="shared" ref="AL116:AL123" si="533">+AT116/$BA$123</f>
        <v>2.3333333333333334E-2</v>
      </c>
      <c r="AM116" s="6">
        <f t="shared" si="526"/>
        <v>1.6666666666666666E-2</v>
      </c>
      <c r="AN116" s="6">
        <f t="shared" si="527"/>
        <v>2.5555555555555557E-2</v>
      </c>
      <c r="AO116" s="6">
        <f t="shared" si="528"/>
        <v>0.04</v>
      </c>
      <c r="AP116" s="6">
        <f t="shared" si="529"/>
        <v>2.4444444444444446E-2</v>
      </c>
      <c r="AQ116" s="6">
        <f t="shared" si="530"/>
        <v>1.7777777777777778E-2</v>
      </c>
      <c r="AR116" s="6">
        <f t="shared" si="531"/>
        <v>2.2222222222222222E-3</v>
      </c>
      <c r="AS116" s="6">
        <f t="shared" si="532"/>
        <v>0.15</v>
      </c>
      <c r="AT116" s="249">
        <f>COUNTIFS('DETALLES UNIDADES'!$BC$8:$BC$987,"&lt;1991",'DETALLES UNIDADES'!$T$8:$T$987,"&lt;1.91",'DETALLES UNIDADES'!$S$8:$S$987,"D")-AT115</f>
        <v>21</v>
      </c>
      <c r="AU116" s="249">
        <f>COUNTIFS('DETALLES UNIDADES'!$BC$8:$BC$987,"&lt;1994",'DETALLES UNIDADES'!$T$8:$T$987,"&lt;1.91",'DETALLES UNIDADES'!$S$8:$S$987,"D")-AT116-AU115-AT115</f>
        <v>15</v>
      </c>
      <c r="AV116" s="249">
        <f>COUNTIFS('DETALLES UNIDADES'!$BC$8:$BC$987,"&lt;1998",'DETALLES UNIDADES'!$T$8:$T$987,"&lt;1.91",'DETALLES UNIDADES'!$S$8:$S$987,"D")-AU116-AT116-AV115-AU115-AT115</f>
        <v>23</v>
      </c>
      <c r="AW116" s="249">
        <f>COUNTIFS('DETALLES UNIDADES'!$BC$8:$BC$987,"&lt;2004",'DETALLES UNIDADES'!$T$8:$T$987,"&lt;1.91",'DETALLES UNIDADES'!$S$8:$S$987,"D")-AV116-AU116-AT116-AW115-AV115-AU115-AT115</f>
        <v>36</v>
      </c>
      <c r="AX116" s="249">
        <f>COUNTIFS('DETALLES UNIDADES'!$BC$8:$BC$987,"&lt;2007",'DETALLES UNIDADES'!$T$8:$T$987,"&lt;1.91",'DETALLES UNIDADES'!$S$8:$S$987,"D")-AW116-AV116-AU116-AT116-AX115-AW115-AV115-AU115-AT115</f>
        <v>22</v>
      </c>
      <c r="AY116" s="249">
        <f>COUNTIFS('DETALLES UNIDADES'!$BC$8:$BC$987,"&lt;2011",'DETALLES UNIDADES'!$T$8:$T$987,"&lt;1.91",'DETALLES UNIDADES'!$S$8:$S$987,"D")-AX116-AW116-AV116-AU116-AT116-AY115-AX115-AW115-AV115-AU115-AT115</f>
        <v>16</v>
      </c>
      <c r="AZ116" s="249">
        <f>COUNTIFS('DETALLES UNIDADES'!$BC$8:$BC$987,"&gt;2010",'DETALLES UNIDADES'!$T$8:$T$987,"&lt;1.91",'DETALLES UNIDADES'!$S$8:$S$987,"D")-AZ115</f>
        <v>2</v>
      </c>
      <c r="BA116" s="249">
        <f t="shared" ref="BA116:BA122" si="534">SUM(AT116:AZ116)</f>
        <v>135</v>
      </c>
      <c r="BB116" s="17">
        <v>135</v>
      </c>
      <c r="BD116" s="11" t="s">
        <v>2375</v>
      </c>
      <c r="BE116" s="6">
        <f t="shared" ref="BE116:BE121" si="535">+BF116/$BF$121</f>
        <v>0.48979591836734693</v>
      </c>
      <c r="BF116" s="152">
        <f t="shared" ref="BF116:BF121" si="536">+BN95</f>
        <v>24</v>
      </c>
      <c r="DG116" s="11" t="s">
        <v>814</v>
      </c>
      <c r="DH116" s="11" t="s">
        <v>815</v>
      </c>
      <c r="DI116" s="11" t="s">
        <v>1780</v>
      </c>
      <c r="DJ116" s="11" t="s">
        <v>1781</v>
      </c>
      <c r="DK116" s="11"/>
      <c r="DL116" s="11" t="s">
        <v>814</v>
      </c>
      <c r="DM116" s="11" t="s">
        <v>815</v>
      </c>
      <c r="DN116" s="11" t="s">
        <v>1780</v>
      </c>
      <c r="DO116" s="11" t="s">
        <v>1781</v>
      </c>
      <c r="DP116" s="11"/>
      <c r="FN116" s="11" t="s">
        <v>2534</v>
      </c>
      <c r="FO116" s="11" t="s">
        <v>2535</v>
      </c>
      <c r="FP116" s="11" t="s">
        <v>2536</v>
      </c>
      <c r="FQ116" s="11" t="s">
        <v>2537</v>
      </c>
      <c r="FR116" s="11" t="s">
        <v>2538</v>
      </c>
      <c r="FS116" s="11" t="s">
        <v>2539</v>
      </c>
      <c r="FT116" s="11" t="s">
        <v>2540</v>
      </c>
      <c r="FU116" s="11"/>
      <c r="FV116" s="11"/>
      <c r="FW116" s="11"/>
      <c r="FX116" s="11"/>
      <c r="FY116" s="11"/>
      <c r="FZ116" s="11"/>
      <c r="GA116" s="11"/>
      <c r="GB116" s="11"/>
      <c r="GC116" s="11"/>
    </row>
    <row r="117" spans="24:185" x14ac:dyDescent="0.25">
      <c r="X117" s="19" t="s">
        <v>1723</v>
      </c>
      <c r="Y117" s="254">
        <f t="shared" si="524"/>
        <v>0.27306967984934089</v>
      </c>
      <c r="Z117" s="249">
        <f t="shared" si="525"/>
        <v>145</v>
      </c>
      <c r="AK117" s="19" t="s">
        <v>1721</v>
      </c>
      <c r="AL117" s="6">
        <f t="shared" si="533"/>
        <v>1.7777777777777778E-2</v>
      </c>
      <c r="AM117" s="6">
        <f t="shared" si="526"/>
        <v>1.4444444444444444E-2</v>
      </c>
      <c r="AN117" s="6">
        <f t="shared" si="527"/>
        <v>2.7777777777777776E-2</v>
      </c>
      <c r="AO117" s="6">
        <f t="shared" si="528"/>
        <v>3.2222222222222222E-2</v>
      </c>
      <c r="AP117" s="6">
        <f t="shared" si="529"/>
        <v>0.02</v>
      </c>
      <c r="AQ117" s="6">
        <f t="shared" si="530"/>
        <v>0.03</v>
      </c>
      <c r="AR117" s="6">
        <f t="shared" si="531"/>
        <v>5.2222222222222225E-2</v>
      </c>
      <c r="AS117" s="6">
        <f t="shared" si="532"/>
        <v>0.19444444444444445</v>
      </c>
      <c r="AT117" s="249">
        <f>COUNTIFS('DETALLES UNIDADES'!$BC$8:$BC$987,"&lt;1991",'DETALLES UNIDADES'!$T$8:$T$987,"&lt;2.01",'DETALLES UNIDADES'!$S$8:$S$987,"D")-AT116-AT115</f>
        <v>16</v>
      </c>
      <c r="AU117" s="249">
        <f>COUNTIFS('DETALLES UNIDADES'!$BC$8:$BC$987,"&lt;1994",'DETALLES UNIDADES'!$T$8:$T$987,"&lt;2.01",'DETALLES UNIDADES'!$S$8:$S$987,"D")-AT117-AU116-AT116-AU115-AT115</f>
        <v>13</v>
      </c>
      <c r="AV117" s="249">
        <f>COUNTIFS('DETALLES UNIDADES'!$BC$8:$BC$987,"&lt;1998",'DETALLES UNIDADES'!$T$8:$T$987,"&lt;2.01",'DETALLES UNIDADES'!$S$8:$S$987,"D")-AU117-AT117-AV116-AU116-AT116-AV115-AU115-AT115</f>
        <v>25</v>
      </c>
      <c r="AW117" s="249">
        <f>COUNTIFS('DETALLES UNIDADES'!$BC$8:$BC$987,"&lt;2004",'DETALLES UNIDADES'!$T$8:$T$987,"&lt;2.01",'DETALLES UNIDADES'!$S$8:$S$987,"D")-AV117-AU117-AT117-AW116-AV116-AU116-AT116-AW115-AV115-AU115-AT115</f>
        <v>29</v>
      </c>
      <c r="AX117" s="249">
        <f>COUNTIFS('DETALLES UNIDADES'!$BC$8:$BC$987,"&lt;2007",'DETALLES UNIDADES'!$T$8:$T$987,"&lt;2.01",'DETALLES UNIDADES'!$S$8:$S$987,"D")-AW117-AV117-AU117-AT117-AX116-AW116-AV116-AU116-AT116-AX115-AW115-AV115-AU115-AT115</f>
        <v>18</v>
      </c>
      <c r="AY117" s="249">
        <f>COUNTIFS('DETALLES UNIDADES'!$BC$8:$BC$987,"&lt;2011",'DETALLES UNIDADES'!$T$8:$T$987,"&lt;2.01",'DETALLES UNIDADES'!$S$8:$S$987,"D")-AX117-AW117-AV117-AU117-AT117-AY116-AX116-AW116-AV116-AU116-AT116-AY115-AX115-AW115-AV115-AU115-AT115</f>
        <v>27</v>
      </c>
      <c r="AZ117" s="249">
        <f>COUNTIFS('DETALLES UNIDADES'!$BC$8:$BC$987,"&gt;2010",'DETALLES UNIDADES'!$T$8:$T$987,"&lt;2.01",'DETALLES UNIDADES'!$S$8:$S$987,"D")-AZ116-AZ115</f>
        <v>47</v>
      </c>
      <c r="BA117" s="249">
        <f t="shared" si="534"/>
        <v>175</v>
      </c>
      <c r="BB117" s="17">
        <v>175</v>
      </c>
      <c r="BD117" s="11" t="s">
        <v>952</v>
      </c>
      <c r="BE117" s="6">
        <f t="shared" si="535"/>
        <v>0.30612244897959184</v>
      </c>
      <c r="BF117" s="152">
        <f t="shared" si="536"/>
        <v>15</v>
      </c>
      <c r="DF117" s="17" t="s">
        <v>2635</v>
      </c>
      <c r="DG117" s="6">
        <f>+DL117/DL$123</f>
        <v>0.95215311004784686</v>
      </c>
      <c r="DH117" s="6">
        <f t="shared" ref="DH117:DH123" si="537">+DM117/DM$123</f>
        <v>0.97499999999999998</v>
      </c>
      <c r="DI117" s="6">
        <f t="shared" ref="DI117:DI123" si="538">+DN117/DN$123</f>
        <v>0.94117647058823528</v>
      </c>
      <c r="DJ117" s="6">
        <f t="shared" ref="DJ117:DJ123" si="539">+DO117/DO$123</f>
        <v>0.8125</v>
      </c>
      <c r="DK117" s="6">
        <f t="shared" ref="DK117:DK123" si="540">+DP117/DP$123</f>
        <v>0.91122448979591841</v>
      </c>
      <c r="DL117" s="249">
        <f>COUNTIFS('DETALLES UNIDADES'!$BA$8:$BA$987,"1",'DETALLES UNIDADES'!$AX$8:$AX$987,"&lt;5000")</f>
        <v>199</v>
      </c>
      <c r="DM117" s="249">
        <f>COUNTIFS('DETALLES UNIDADES'!$BA$8:$BA$987,"2",'DETALLES UNIDADES'!$AX$8:$AX$987,"&lt;5000")</f>
        <v>156</v>
      </c>
      <c r="DN117" s="249">
        <f>COUNTIFS('DETALLES UNIDADES'!$BA$8:$BA$987,"3",'DETALLES UNIDADES'!$AX$8:$AX$987,"&lt;5000")+COUNTIFS('DETALLES UNIDADES'!$BA$8:$BA$987,"4",'DETALLES UNIDADES'!$AX$8:$AX$987,"&lt;5000")+COUNTIFS('DETALLES UNIDADES'!$BA$8:$BA$987,"5",'DETALLES UNIDADES'!$AX$8:$AX$987,"&lt;5000")</f>
        <v>304</v>
      </c>
      <c r="DO117" s="249">
        <f>COUNTIFS('DETALLES UNIDADES'!$BA$8:$BA$987,"&gt;5",'DETALLES UNIDADES'!$AX$8:$AX$987,"&lt;5000")</f>
        <v>234</v>
      </c>
      <c r="DP117" s="249">
        <f t="shared" ref="DP117:DP122" si="541">SUM(DL117:DO117)</f>
        <v>893</v>
      </c>
      <c r="FM117" s="112" t="s">
        <v>1712</v>
      </c>
      <c r="FN117" s="249">
        <f>COUNTIFS('DETALLES UNIDADES'!$D$8:$D$987,"&lt;1991",'DETALLES UNIDADES'!$J$8:$J$987,"&lt;250000")</f>
        <v>5</v>
      </c>
      <c r="FO117" s="249">
        <f>COUNTIFS('DETALLES UNIDADES'!$D$8:$D$987,"&lt;1994",'DETALLES UNIDADES'!$J$8:$J$987,"&lt;250000")-FN117</f>
        <v>2</v>
      </c>
      <c r="FP117" s="249">
        <f>COUNTIFS('DETALLES UNIDADES'!$D$8:$D$987,"&lt;1998",'DETALLES UNIDADES'!$J$8:$J$987,"&lt;250000")-FO117-FN117</f>
        <v>4</v>
      </c>
      <c r="FQ117" s="249">
        <f>COUNTIFS('DETALLES UNIDADES'!$D$8:$D$987,"&lt;2004",'DETALLES UNIDADES'!$J$8:$J$987,"&lt;250000")-FP117-FO117-FN117</f>
        <v>7</v>
      </c>
      <c r="FR117" s="249">
        <f>COUNTIFS('DETALLES UNIDADES'!$D$8:$D$987,"&lt;2007",'DETALLES UNIDADES'!$J$8:$J$987,"&lt;250000")-FQ117-FP117-FO117-FN117</f>
        <v>18</v>
      </c>
      <c r="FS117" s="249">
        <f>COUNTIFS('DETALLES UNIDADES'!$D$8:$D$987,"&lt;2011",'DETALLES UNIDADES'!$J$8:$J$987,"&lt;250000")-FR117-FQ117-FP117-FO117-FN117</f>
        <v>43</v>
      </c>
      <c r="FT117" s="249">
        <f>COUNTIFS('DETALLES UNIDADES'!$D$8:$D$987,"&gt;2010",'DETALLES UNIDADES'!$J$8:$J$987,"&lt;250000")</f>
        <v>86</v>
      </c>
      <c r="FU117" s="249">
        <f t="shared" ref="FU117:FU123" si="542">SUM(FN117:FT117)</f>
        <v>165</v>
      </c>
      <c r="FV117" s="249"/>
      <c r="FW117" s="249"/>
    </row>
    <row r="118" spans="24:185" x14ac:dyDescent="0.25">
      <c r="X118" s="19" t="s">
        <v>1724</v>
      </c>
      <c r="Y118" s="254">
        <f t="shared" si="524"/>
        <v>6.5913370998116755E-2</v>
      </c>
      <c r="Z118" s="249">
        <f t="shared" si="525"/>
        <v>35</v>
      </c>
      <c r="AK118" s="19" t="s">
        <v>1722</v>
      </c>
      <c r="AL118" s="6">
        <f t="shared" si="533"/>
        <v>1.2222222222222223E-2</v>
      </c>
      <c r="AM118" s="6">
        <f t="shared" si="526"/>
        <v>0.01</v>
      </c>
      <c r="AN118" s="6">
        <f t="shared" si="527"/>
        <v>7.7777777777777776E-3</v>
      </c>
      <c r="AO118" s="6">
        <f t="shared" si="528"/>
        <v>4.2222222222222223E-2</v>
      </c>
      <c r="AP118" s="6">
        <f t="shared" si="529"/>
        <v>2.1111111111111112E-2</v>
      </c>
      <c r="AQ118" s="6">
        <f t="shared" si="530"/>
        <v>4.1111111111111112E-2</v>
      </c>
      <c r="AR118" s="6">
        <f t="shared" si="531"/>
        <v>3.5555555555555556E-2</v>
      </c>
      <c r="AS118" s="6">
        <f t="shared" si="532"/>
        <v>0.17</v>
      </c>
      <c r="AT118" s="249">
        <f>COUNTIFS('DETALLES UNIDADES'!$BC$8:$BC$987,"&lt;1991",'DETALLES UNIDADES'!$T$8:$T$987,"&lt;2.21",'DETALLES UNIDADES'!$S$8:$S$987,"D")-AT117-AT116-AT115</f>
        <v>11</v>
      </c>
      <c r="AU118" s="249">
        <f>COUNTIFS('DETALLES UNIDADES'!$BC$8:$BC$987,"&lt;1994",'DETALLES UNIDADES'!$T$8:$T$987,"&lt;2.21",'DETALLES UNIDADES'!$S$8:$S$987,"D")-AT118-AU117-AT117-AU116-AT116-AU115-AT115</f>
        <v>9</v>
      </c>
      <c r="AV118" s="249">
        <f>COUNTIFS('DETALLES UNIDADES'!$BC$8:$BC$987,"&lt;1998",'DETALLES UNIDADES'!$T$8:$T$987,"&lt;2.21",'DETALLES UNIDADES'!$S$8:$S$987,"D")-AU118-AT118-AV117-AU117-AT117-AV116-AU116-AT116-AV115-AU115-AT115</f>
        <v>7</v>
      </c>
      <c r="AW118" s="249">
        <f>COUNTIFS('DETALLES UNIDADES'!$BC$8:$BC$987,"&lt;2004",'DETALLES UNIDADES'!$T$8:$T$987,"&lt;2.21",'DETALLES UNIDADES'!$S$8:$S$987,"D")-AV118-AU118-AT118-AW117-AV117-AU117-AT117-AW116-AV116-AU116-AT116-AW115-AV115-AU115-AT115</f>
        <v>38</v>
      </c>
      <c r="AX118" s="249">
        <f>COUNTIFS('DETALLES UNIDADES'!$BC$8:$BC$987,"&lt;2007",'DETALLES UNIDADES'!$T$8:$T$987,"&lt;2.21",'DETALLES UNIDADES'!$S$8:$S$987,"D")-AW118-AV118-AU118-AT118-AX117-AW117-AV117-AU117-AT117-AX116-AW116-AV116-AU116-AT116-AX115-AW115-AV115-AU115-AT115</f>
        <v>19</v>
      </c>
      <c r="AY118" s="249">
        <f>COUNTIFS('DETALLES UNIDADES'!$BC$8:$BC$987,"&lt;2011",'DETALLES UNIDADES'!$T$8:$T$987,"&lt;2.21",'DETALLES UNIDADES'!$S$8:$S$987,"D")-AX118-AW118-AV118-AU118-AT118-AY117-AX117-AW117-AV117-AU117-AT117-AY116-AX116-AW116-AV116-AU116-AT116-AY115-AX115-AW115-AV115-AU115-AT115</f>
        <v>37</v>
      </c>
      <c r="AZ118" s="249">
        <f>COUNTIFS('DETALLES UNIDADES'!$BC$8:$BC$987,"&gt;2010",'DETALLES UNIDADES'!$T$8:$T$987,"&lt;2.21",'DETALLES UNIDADES'!$S$8:$S$987,"D")-AZ117-AZ116-AZ115</f>
        <v>32</v>
      </c>
      <c r="BA118" s="249">
        <f t="shared" si="534"/>
        <v>153</v>
      </c>
      <c r="BB118" s="17">
        <v>153</v>
      </c>
      <c r="BD118" s="11" t="s">
        <v>953</v>
      </c>
      <c r="BE118" s="6">
        <f t="shared" si="535"/>
        <v>6.1224489795918366E-2</v>
      </c>
      <c r="BF118" s="152">
        <f t="shared" si="536"/>
        <v>3</v>
      </c>
      <c r="DF118" s="17" t="s">
        <v>2636</v>
      </c>
      <c r="DG118" s="6">
        <f t="shared" ref="DG118:DG123" si="543">+DL118/DL$123</f>
        <v>2.8708133971291867E-2</v>
      </c>
      <c r="DH118" s="6">
        <f t="shared" si="537"/>
        <v>1.8749999999999999E-2</v>
      </c>
      <c r="DI118" s="6">
        <f t="shared" si="538"/>
        <v>2.1671826625386997E-2</v>
      </c>
      <c r="DJ118" s="6">
        <f t="shared" si="539"/>
        <v>3.472222222222222E-3</v>
      </c>
      <c r="DK118" s="6">
        <f t="shared" si="540"/>
        <v>1.7346938775510204E-2</v>
      </c>
      <c r="DL118" s="249">
        <f>COUNTIFS('DETALLES UNIDADES'!$BA$8:$BA$987,"1",'DETALLES UNIDADES'!$AX$8:$AX$987,"&lt;10001")-DL117</f>
        <v>6</v>
      </c>
      <c r="DM118" s="249">
        <f>COUNTIFS('DETALLES UNIDADES'!$BA$8:$BA$987,"2",'DETALLES UNIDADES'!$AX$8:$AX$987,"&lt;10001")-DM117</f>
        <v>3</v>
      </c>
      <c r="DN118" s="249">
        <f>COUNTIFS('DETALLES UNIDADES'!$BA$8:$BA$987,"3",'DETALLES UNIDADES'!$AX$8:$AX$987,"&lt;10001")+COUNTIFS('DETALLES UNIDADES'!$BA$8:$BA$987,"4",'DETALLES UNIDADES'!$AX$8:$AX$987,"&lt;10001")+COUNTIFS('DETALLES UNIDADES'!$BA$8:$BA$987,"5",'DETALLES UNIDADES'!$AX$8:$AX$987,"&lt;10001")-DN117</f>
        <v>7</v>
      </c>
      <c r="DO118" s="249">
        <f>COUNTIFS('DETALLES UNIDADES'!$BA$8:$BA$987,"&gt;5",'DETALLES UNIDADES'!$AX$8:$AX$987,"&lt;10001")-DO117</f>
        <v>1</v>
      </c>
      <c r="DP118" s="249">
        <f t="shared" si="541"/>
        <v>17</v>
      </c>
      <c r="FM118" s="112" t="s">
        <v>1716</v>
      </c>
      <c r="FN118" s="249">
        <f>COUNTIFS('DETALLES UNIDADES'!$D$8:$D$987,"&lt;1991",'DETALLES UNIDADES'!$J$8:$J$987,"&lt;500001")-FN117</f>
        <v>8</v>
      </c>
      <c r="FO118" s="249">
        <f>COUNTIFS('DETALLES UNIDADES'!$D$8:$D$987,"&lt;1994",'DETALLES UNIDADES'!$J$8:$J$987,"&lt;500001")-FN118-FO117-FN117</f>
        <v>3</v>
      </c>
      <c r="FP118" s="249">
        <f>COUNTIFS('DETALLES UNIDADES'!$D$8:$D$987,"&lt;1998",'DETALLES UNIDADES'!$J$8:$J$987,"&lt;500001")-FO118-FN118-FP117-FO117-FN117</f>
        <v>19</v>
      </c>
      <c r="FQ118" s="249">
        <f>COUNTIFS('DETALLES UNIDADES'!$D$8:$D$987,"&lt;2004",'DETALLES UNIDADES'!$J$8:$J$987,"&lt;500001")-FP118-FO118-FN118-FQ117-FP117-FO117-FN117</f>
        <v>17</v>
      </c>
      <c r="FR118" s="249">
        <f>COUNTIFS('DETALLES UNIDADES'!$D$8:$D$987,"&lt;2007",'DETALLES UNIDADES'!$J$8:$J$987,"&lt;500001")-FQ118-FP118-FO118-FN118-FR117-FQ117-FP117-FO117-FN117</f>
        <v>31</v>
      </c>
      <c r="FS118" s="249">
        <f>COUNTIFS('DETALLES UNIDADES'!$D$8:$D$987,"&lt;2011",'DETALLES UNIDADES'!$J$8:$J$987,"&lt;500001")-FR118-FQ118-FP118-FO118-FN118-FS117-FR117-FQ117-FP117-FO117-FN117</f>
        <v>93</v>
      </c>
      <c r="FT118" s="249">
        <f>COUNTIFS('DETALLES UNIDADES'!$D$8:$D$987,"&gt;2010",'DETALLES UNIDADES'!$J$8:$J$987,"&lt;500001")-FT117</f>
        <v>9</v>
      </c>
      <c r="FU118" s="249">
        <f t="shared" si="542"/>
        <v>180</v>
      </c>
      <c r="FV118" s="249"/>
      <c r="FW118" s="249"/>
    </row>
    <row r="119" spans="24:185" x14ac:dyDescent="0.25">
      <c r="X119" s="19" t="s">
        <v>1725</v>
      </c>
      <c r="Y119" s="254">
        <f t="shared" si="524"/>
        <v>0</v>
      </c>
      <c r="Z119" s="249">
        <f t="shared" si="525"/>
        <v>0</v>
      </c>
      <c r="AK119" s="19" t="s">
        <v>1723</v>
      </c>
      <c r="AL119" s="6">
        <f t="shared" si="533"/>
        <v>2.1111111111111112E-2</v>
      </c>
      <c r="AM119" s="6">
        <f t="shared" si="526"/>
        <v>2.2222222222222222E-3</v>
      </c>
      <c r="AN119" s="6">
        <f t="shared" si="527"/>
        <v>1.4444444444444444E-2</v>
      </c>
      <c r="AO119" s="6">
        <f t="shared" si="528"/>
        <v>5.6666666666666664E-2</v>
      </c>
      <c r="AP119" s="6">
        <f t="shared" si="529"/>
        <v>3.3333333333333333E-2</v>
      </c>
      <c r="AQ119" s="6">
        <f t="shared" si="530"/>
        <v>6.7777777777777784E-2</v>
      </c>
      <c r="AR119" s="6">
        <f t="shared" si="531"/>
        <v>8.8888888888888889E-3</v>
      </c>
      <c r="AS119" s="6">
        <f t="shared" si="532"/>
        <v>0.20444444444444446</v>
      </c>
      <c r="AT119" s="249">
        <f>COUNTIFS('DETALLES UNIDADES'!$BC$8:$BC$987,"&lt;1991",'DETALLES UNIDADES'!$T$8:$T$987,"&lt;2.51",'DETALLES UNIDADES'!$S$8:$S$987,"D")-AT118-AT117-AT116-AT115</f>
        <v>19</v>
      </c>
      <c r="AU119" s="249">
        <f>COUNTIFS('DETALLES UNIDADES'!$BC$8:$BC$987,"&lt;1994",'DETALLES UNIDADES'!$T$8:$T$987,"&lt;2.51",'DETALLES UNIDADES'!$S$8:$S$987,"D")-AT119-AU118-AT118-AU117-AT117-AU116-AT116-AU115-AT115</f>
        <v>2</v>
      </c>
      <c r="AV119" s="249">
        <f>COUNTIFS('DETALLES UNIDADES'!$BC$8:$BC$987,"&lt;1998",'DETALLES UNIDADES'!$T$8:$T$987,"&lt;2.51",'DETALLES UNIDADES'!$S$8:$S$987,"D")-AU119-AT119-AV118-AU118-AT118-AV117-AU117-AT117-AV116-AU116-AT116-AV115-AU115-AT115</f>
        <v>13</v>
      </c>
      <c r="AW119" s="249">
        <f>COUNTIFS('DETALLES UNIDADES'!$BC$8:$BC$987,"&lt;2004",'DETALLES UNIDADES'!$T$8:$T$987,"&lt;2.51",'DETALLES UNIDADES'!$S$8:$S$987,"D")-AV119-AU119-AT119-AW118-AV118-AU118-AT118-AW117-AV117-AU117-AT117-AW116-AV116-AU116-AT116-AW115-AV115-AU115-AT115</f>
        <v>51</v>
      </c>
      <c r="AX119" s="249">
        <f>COUNTIFS('DETALLES UNIDADES'!$BC$8:$BC$987,"&lt;2007",'DETALLES UNIDADES'!$T$8:$T$987,"&lt;2.51",'DETALLES UNIDADES'!$S$8:$S$987,"D")-AW119-AV119-AU119-AT119-AX118-AW118-AV118-AU118-AT118-AX117-AW117-AV117-AU117-AT117-AX116-AW116-AV116-AU116-AT116-AX115-AW115-AV115-AU115-AT115</f>
        <v>30</v>
      </c>
      <c r="AY119" s="249">
        <f>COUNTIFS('DETALLES UNIDADES'!$BC$8:$BC$987,"&lt;2011",'DETALLES UNIDADES'!$T$8:$T$987,"&lt;2.51",'DETALLES UNIDADES'!$S$8:$S$987,"D")-AX119-AW119-AV119-AU119-AT119-AY118-AX118-AW118-AV118-AU118-AT118-AY117-AX117-AW117-AV117-AU117-AT117-AY116-AX116-AW116-AV116-AU116-AT116-AY115-AX115-AW115-AV115-AU115-AT115</f>
        <v>61</v>
      </c>
      <c r="AZ119" s="249">
        <f>COUNTIFS('DETALLES UNIDADES'!$BC$8:$BC$987,"&gt;2010",'DETALLES UNIDADES'!$T$8:$T$987,"&lt;2.51",'DETALLES UNIDADES'!$S$8:$S$987,"D")-AZ118-AZ117-AZ116-AZ115</f>
        <v>8</v>
      </c>
      <c r="BA119" s="249">
        <f t="shared" si="534"/>
        <v>184</v>
      </c>
      <c r="BB119" s="17">
        <v>184</v>
      </c>
      <c r="BD119" s="11" t="s">
        <v>2376</v>
      </c>
      <c r="BE119" s="6">
        <f t="shared" si="535"/>
        <v>0</v>
      </c>
      <c r="BF119" s="152">
        <f t="shared" si="536"/>
        <v>0</v>
      </c>
      <c r="DF119" s="17" t="s">
        <v>2637</v>
      </c>
      <c r="DG119" s="6">
        <f t="shared" si="543"/>
        <v>1.9138755980861243E-2</v>
      </c>
      <c r="DH119" s="6">
        <f t="shared" si="537"/>
        <v>6.2500000000000003E-3</v>
      </c>
      <c r="DI119" s="6">
        <f t="shared" si="538"/>
        <v>2.4767801857585141E-2</v>
      </c>
      <c r="DJ119" s="6">
        <f t="shared" si="539"/>
        <v>1.0416666666666666E-2</v>
      </c>
      <c r="DK119" s="6">
        <f t="shared" si="540"/>
        <v>1.6326530612244899E-2</v>
      </c>
      <c r="DL119" s="249">
        <f>COUNTIFS('DETALLES UNIDADES'!$BA$8:$BA$987,"1",'DETALLES UNIDADES'!$AX$8:$AX$987,"&lt;20001")-DL118-DL117</f>
        <v>4</v>
      </c>
      <c r="DM119" s="249">
        <f>COUNTIFS('DETALLES UNIDADES'!$BA$8:$BA$987,"2",'DETALLES UNIDADES'!$AX$8:$AX$987,"&lt;20001")-DM118-DM117</f>
        <v>1</v>
      </c>
      <c r="DN119" s="249">
        <f>COUNTIFS('DETALLES UNIDADES'!$BA$8:$BA$987,"3",'DETALLES UNIDADES'!$AX$8:$AX$987,"&lt;20001")+COUNTIFS('DETALLES UNIDADES'!$BA$8:$BA$987,"4",'DETALLES UNIDADES'!$AX$8:$AX$987,"&lt;20001")+COUNTIFS('DETALLES UNIDADES'!$BA$8:$BA$987,"5",'DETALLES UNIDADES'!$AX$8:$AX$987,"&lt;20001")-DN118-DN117</f>
        <v>8</v>
      </c>
      <c r="DO119" s="249">
        <f>COUNTIFS('DETALLES UNIDADES'!$BA$8:$BA$987,"&gt;5",'DETALLES UNIDADES'!$AX$8:$AX$987,"&lt;20001")-DO118-DO117</f>
        <v>3</v>
      </c>
      <c r="DP119" s="249">
        <f t="shared" si="541"/>
        <v>16</v>
      </c>
      <c r="FM119" s="112" t="s">
        <v>1713</v>
      </c>
      <c r="FN119" s="249">
        <f>COUNTIFS('DETALLES UNIDADES'!$D$8:$D$987,"&lt;1991",'DETALLES UNIDADES'!$J$8:$J$987,"&lt;1000001")-FN118-FN117</f>
        <v>24</v>
      </c>
      <c r="FO119" s="249">
        <f>COUNTIFS('DETALLES UNIDADES'!$D$8:$D$987,"&lt;1994",'DETALLES UNIDADES'!$J$8:$J$987,"&lt;1000001")-FN119-FO118-FN118-FO117-FN117</f>
        <v>17</v>
      </c>
      <c r="FP119" s="249">
        <f>COUNTIFS('DETALLES UNIDADES'!$D$8:$D$987,"&lt;1998",'DETALLES UNIDADES'!$J$8:$J$987,"&lt;1000001")-FO119-FN119-FP118-FO118-FN118-FP117-FO117-FN117</f>
        <v>36</v>
      </c>
      <c r="FQ119" s="249">
        <f>COUNTIFS('DETALLES UNIDADES'!$D$8:$D$987,"&lt;2004",'DETALLES UNIDADES'!$J$8:$J$987,"&lt;1000001")-FP119-FO119-FN119-FQ118-FP118-FO118-FN118-FQ117-FP117-FO117-FN117</f>
        <v>123</v>
      </c>
      <c r="FR119" s="249">
        <f>COUNTIFS('DETALLES UNIDADES'!$D$8:$D$987,"&lt;2007",'DETALLES UNIDADES'!$J$8:$J$987,"&lt;1000001")-FQ119-FP119-FO119-FN119-FR118-FQ118-FP118-FO118-FN118-FR117-FQ117-FP117-FO117-FN117</f>
        <v>74</v>
      </c>
      <c r="FS119" s="249">
        <f>COUNTIFS('DETALLES UNIDADES'!$D$8:$D$987,"&lt;2011",'DETALLES UNIDADES'!$J$8:$J$987,"&lt;1000001")-FR119-FQ119-FP119-FO119-FN119-FS118-FR118-FQ118-FP118-FO118-FN118-FS117-FR117-FQ117-FP117-FO117-FN117</f>
        <v>68</v>
      </c>
      <c r="FT119" s="249">
        <f>COUNTIFS('DETALLES UNIDADES'!$D$8:$D$987,"&gt;2010",'DETALLES UNIDADES'!$J$8:$J$987,"&lt;1000001")-FT118-FT117</f>
        <v>4</v>
      </c>
      <c r="FU119" s="249">
        <f t="shared" si="542"/>
        <v>346</v>
      </c>
      <c r="FV119" s="249"/>
      <c r="FW119" s="249"/>
    </row>
    <row r="120" spans="24:185" x14ac:dyDescent="0.25">
      <c r="X120" s="19" t="s">
        <v>2510</v>
      </c>
      <c r="Y120" s="254">
        <f t="shared" si="524"/>
        <v>0</v>
      </c>
      <c r="Z120" s="249">
        <f t="shared" si="525"/>
        <v>0</v>
      </c>
      <c r="AK120" s="19" t="s">
        <v>1724</v>
      </c>
      <c r="AL120" s="6">
        <f t="shared" si="533"/>
        <v>0.01</v>
      </c>
      <c r="AM120" s="6">
        <f t="shared" si="526"/>
        <v>5.5555555555555558E-3</v>
      </c>
      <c r="AN120" s="6">
        <f t="shared" si="527"/>
        <v>8.8888888888888889E-3</v>
      </c>
      <c r="AO120" s="6">
        <f t="shared" si="528"/>
        <v>3.111111111111111E-2</v>
      </c>
      <c r="AP120" s="6">
        <f t="shared" si="529"/>
        <v>7.7777777777777776E-3</v>
      </c>
      <c r="AQ120" s="6">
        <f t="shared" si="530"/>
        <v>3.2222222222222222E-2</v>
      </c>
      <c r="AR120" s="6">
        <f t="shared" si="531"/>
        <v>3.3333333333333335E-3</v>
      </c>
      <c r="AS120" s="6">
        <f t="shared" si="532"/>
        <v>9.8888888888888887E-2</v>
      </c>
      <c r="AT120" s="249">
        <f>COUNTIFS('DETALLES UNIDADES'!$BC$8:$BC$987,"&lt;1991",'DETALLES UNIDADES'!$T$8:$T$987,"&lt;3.01",'DETALLES UNIDADES'!$S$8:$S$987,"D")-AT119-AT118-AT117-AT116-AT115</f>
        <v>9</v>
      </c>
      <c r="AU120" s="249">
        <f>COUNTIFS('DETALLES UNIDADES'!$BC$8:$BC$987,"&lt;1994",'DETALLES UNIDADES'!$T$8:$T$987,"&lt;3.01",'DETALLES UNIDADES'!$S$8:$S$987,"D")-AT120-AU119-AT119-AU118-AT118-AU117-AT117-AU116-AT116-AU115-AT115</f>
        <v>5</v>
      </c>
      <c r="AV120" s="249">
        <f>COUNTIFS('DETALLES UNIDADES'!$BC$8:$BC$987,"&lt;1998",'DETALLES UNIDADES'!$T$8:$T$987,"&lt;3.01",'DETALLES UNIDADES'!$S$8:$S$987,"D")-AU120-AT120-AV119-AU119-AT119-AV118-AU118-AT118-AV117-AU117-AT117-AV116-AU116-AT116-AV115-AU115-AT115</f>
        <v>8</v>
      </c>
      <c r="AW120" s="249">
        <f>COUNTIFS('DETALLES UNIDADES'!$BC$8:$BC$987,"&lt;2004",'DETALLES UNIDADES'!$T$8:$T$987,"&lt;3.01",'DETALLES UNIDADES'!$S$8:$S$987,"D")-AV120-AU120-AT120-AW119-AV119-AU119-AT119-AW118-AV118-AU118-AT118-AW117-AV117-AU117-AT117-AW116-AV116-AU116-AT116-AW115-AV115-AU115-AT115</f>
        <v>28</v>
      </c>
      <c r="AX120" s="249">
        <f>COUNTIFS('DETALLES UNIDADES'!$BC$8:$BC$987,"&lt;2007",'DETALLES UNIDADES'!$T$8:$T$987,"&lt;3.01",'DETALLES UNIDADES'!$S$8:$S$987,"D")-AW120-AV120-AU120-AT120-AX119-AW119-AV119-AU119-AT119-AX118-AW118-AV118-AU118-AT118-AX117-AW117-AV117-AU117-AT117-AX116-AW116-AV116-AU116-AT116-AX115-AW115-AV115-AU115-AT115</f>
        <v>7</v>
      </c>
      <c r="AY120" s="249">
        <f>COUNTIFS('DETALLES UNIDADES'!$BC$8:$BC$987,"&lt;2011",'DETALLES UNIDADES'!$T$8:$T$987,"&lt;3.01",'DETALLES UNIDADES'!$S$8:$S$987,"D")-AX120-AW120-AV120-AU120-AT120-AY119-AX119-AW119-AV119-AU119-AT119-AY118-AX118-AW118-AV118-AU118-AT118-AY117-AX117-AW117-AV117-AU117-AT117-AY116-AX116-AW116-AV116-AU116-AT116-AY115-AX115-AW115-AV115-AU115-AT115</f>
        <v>29</v>
      </c>
      <c r="AZ120" s="249">
        <f>COUNTIFS('DETALLES UNIDADES'!$BC$8:$BC$987,"&gt;2010",'DETALLES UNIDADES'!$T$8:$T$987,"&lt;3.01",'DETALLES UNIDADES'!$S$8:$S$987,"D")-AZ119-AZ118-AZ117-AZ116-AZ115</f>
        <v>3</v>
      </c>
      <c r="BA120" s="249">
        <f t="shared" si="534"/>
        <v>89</v>
      </c>
      <c r="BB120" s="17">
        <v>89</v>
      </c>
      <c r="BD120" s="11" t="s">
        <v>2377</v>
      </c>
      <c r="BE120" s="6">
        <f t="shared" si="535"/>
        <v>0.12244897959183673</v>
      </c>
      <c r="BF120" s="152">
        <f t="shared" si="536"/>
        <v>6</v>
      </c>
      <c r="DF120" s="17" t="s">
        <v>2638</v>
      </c>
      <c r="DG120" s="6">
        <f t="shared" si="543"/>
        <v>0</v>
      </c>
      <c r="DH120" s="6">
        <f t="shared" si="537"/>
        <v>0</v>
      </c>
      <c r="DI120" s="6">
        <f t="shared" si="538"/>
        <v>9.2879256965944269E-3</v>
      </c>
      <c r="DJ120" s="6">
        <f t="shared" si="539"/>
        <v>6.25E-2</v>
      </c>
      <c r="DK120" s="6">
        <f t="shared" si="540"/>
        <v>2.1428571428571429E-2</v>
      </c>
      <c r="DL120" s="249">
        <f>COUNTIFS('DETALLES UNIDADES'!$BA$8:$BA$987,"1",'DETALLES UNIDADES'!$AX$8:$AX$987,"&lt;30001")-DL119-DL118-DL117</f>
        <v>0</v>
      </c>
      <c r="DM120" s="249">
        <f>COUNTIFS('DETALLES UNIDADES'!$BA$8:$BA$987,"2",'DETALLES UNIDADES'!$AX$8:$AX$987,"&lt;30001")-DM119-DM118-DM117</f>
        <v>0</v>
      </c>
      <c r="DN120" s="249">
        <f>COUNTIFS('DETALLES UNIDADES'!$BA$8:$BA$987,"3",'DETALLES UNIDADES'!$AX$8:$AX$987,"&lt;30001")+COUNTIFS('DETALLES UNIDADES'!$BA$8:$BA$987,"4",'DETALLES UNIDADES'!$AX$8:$AX$987,"&lt;30001")+COUNTIFS('DETALLES UNIDADES'!$BA$8:$BA$987,"5",'DETALLES UNIDADES'!$AX$8:$AX$987,"&lt;30001")-DN119-DN118-DN117</f>
        <v>3</v>
      </c>
      <c r="DO120" s="249">
        <f>COUNTIFS('DETALLES UNIDADES'!$BA$8:$BA$987,"&gt;5",'DETALLES UNIDADES'!$AX$8:$AX$987,"&lt;30001")-DO119-DO118-DO117</f>
        <v>18</v>
      </c>
      <c r="DP120" s="249">
        <f t="shared" si="541"/>
        <v>21</v>
      </c>
      <c r="FM120" s="112" t="s">
        <v>943</v>
      </c>
      <c r="FN120" s="249">
        <f>COUNTIFS('DETALLES UNIDADES'!$D$8:$D$987,"&lt;1991",'DETALLES UNIDADES'!$J$8:$J$987,"&lt;1500001")-FN119-FN118-FN117</f>
        <v>41</v>
      </c>
      <c r="FO120" s="249">
        <f>COUNTIFS('DETALLES UNIDADES'!$D$8:$D$987,"&lt;1994",'DETALLES UNIDADES'!$J$8:$J$987,"&lt;1500001")-FN120-FO119-FN119-FO118-FN118-FO117-FN117</f>
        <v>8</v>
      </c>
      <c r="FP120" s="249">
        <f>COUNTIFS('DETALLES UNIDADES'!$D$8:$D$987,"&lt;1998",'DETALLES UNIDADES'!$J$8:$J$987,"&lt;1500001")-FO120-FN120-FP119-FO119-FN119-FP118-FO118-FN118-FP117-FO117-FN117</f>
        <v>34</v>
      </c>
      <c r="FQ120" s="249">
        <f>COUNTIFS('DETALLES UNIDADES'!$D$8:$D$987,"&lt;2004",'DETALLES UNIDADES'!$J$8:$J$987,"&lt;1500001")-FP120-FO120-FN120-FQ119-FP119-FO119-FN119-FQ118-FP118-FO118-FN118-FQ117-FP117-FO117-FN117</f>
        <v>49</v>
      </c>
      <c r="FR120" s="249">
        <f>COUNTIFS('DETALLES UNIDADES'!$D$8:$D$987,"&lt;2007",'DETALLES UNIDADES'!$J$8:$J$987,"&lt;1500001")-FQ120-FP120-FO120-FN120-FR119-FQ119-FP119-FO119-FN119-FR118-FQ118-FP118-FO118-FN118-FR117-FQ117-FP117-FO117-FN117</f>
        <v>3</v>
      </c>
      <c r="FS120" s="249">
        <f>COUNTIFS('DETALLES UNIDADES'!$D$8:$D$987,"&lt;2011",'DETALLES UNIDADES'!$J$8:$J$987,"&lt;1500001")-FR120-FQ120-FP120-FO120-FN120-FS119-FR119-FQ119-FP119-FO119-FN119-FS118-FR118-FQ118-FP118-FO118-FN118-FS117-FR117-FQ117-FP117-FO117-FN117</f>
        <v>2</v>
      </c>
      <c r="FT120" s="249">
        <f>COUNTIFS('DETALLES UNIDADES'!$D$8:$D$987,"&gt;2010",'DETALLES UNIDADES'!$J$8:$J$987,"&lt;1500001")-FT119-FT118-FT117</f>
        <v>0</v>
      </c>
      <c r="FU120" s="249">
        <f t="shared" si="542"/>
        <v>137</v>
      </c>
      <c r="FV120" s="249"/>
      <c r="FW120" s="249"/>
    </row>
    <row r="121" spans="24:185" x14ac:dyDescent="0.25">
      <c r="X121" s="19" t="s">
        <v>715</v>
      </c>
      <c r="Y121" s="254">
        <f t="shared" si="524"/>
        <v>1</v>
      </c>
      <c r="Z121" s="249">
        <f t="shared" si="525"/>
        <v>531</v>
      </c>
      <c r="AK121" s="19" t="s">
        <v>1725</v>
      </c>
      <c r="AL121" s="6">
        <f t="shared" si="533"/>
        <v>1.1111111111111112E-2</v>
      </c>
      <c r="AM121" s="6">
        <f t="shared" si="526"/>
        <v>3.3333333333333335E-3</v>
      </c>
      <c r="AN121" s="6">
        <f t="shared" si="527"/>
        <v>1.4444444444444444E-2</v>
      </c>
      <c r="AO121" s="6">
        <f t="shared" si="528"/>
        <v>3.2222222222222222E-2</v>
      </c>
      <c r="AP121" s="6">
        <f t="shared" si="529"/>
        <v>2.6666666666666668E-2</v>
      </c>
      <c r="AQ121" s="6">
        <f t="shared" si="530"/>
        <v>1.8888888888888889E-2</v>
      </c>
      <c r="AR121" s="6">
        <f t="shared" si="531"/>
        <v>0</v>
      </c>
      <c r="AS121" s="6">
        <f t="shared" si="532"/>
        <v>0.10666666666666667</v>
      </c>
      <c r="AT121" s="249">
        <f>COUNTIFS('DETALLES UNIDADES'!$BC$8:$BC$987,"&lt;1991",'DETALLES UNIDADES'!$T$8:$T$987,"&lt;4.01",'DETALLES UNIDADES'!$S$8:$S$987,"D")-AT120-AT119-AT118-AT117-AT116-AT115</f>
        <v>10</v>
      </c>
      <c r="AU121" s="249">
        <f>COUNTIFS('DETALLES UNIDADES'!$BC$8:$BC$987,"&lt;1994",'DETALLES UNIDADES'!$T$8:$T$987,"&lt;4.01",'DETALLES UNIDADES'!$S$8:$S$987,"D")-AT121-AU120-AT120-AU119-AT119-AU118-AT118-AU117-AT117-AU116-AT116-AU115-AT115</f>
        <v>3</v>
      </c>
      <c r="AV121" s="249">
        <f>COUNTIFS('DETALLES UNIDADES'!$BC$8:$BC$987,"&lt;1998",'DETALLES UNIDADES'!$T$8:$T$987,"&lt;4.01",'DETALLES UNIDADES'!$S$8:$S$987,"D")-AU121-AT121-AV120-AU120-AT120-AV119-AU119-AT119-AV118-AU118-AT118-AV117-AU117-AT117-AV116-AU116-AT116-AV115-AU115-AT115</f>
        <v>13</v>
      </c>
      <c r="AW121" s="249">
        <f>COUNTIFS('DETALLES UNIDADES'!$BC$8:$BC$987,"&lt;2004",'DETALLES UNIDADES'!$T$8:$T$987,"&lt;4.01",'DETALLES UNIDADES'!$S$8:$S$987,"D")-AV121-AU121-AT121-AW120-AV120-AU120-AT120-AW119-AV119-AU119-AT119-AW118-AV118-AU118-AT118-AW117-AV117-AU117-AT117-AW116-AV116-AU116-AT116-AW115-AV115-AU115-AT115</f>
        <v>29</v>
      </c>
      <c r="AX121" s="249">
        <f>COUNTIFS('DETALLES UNIDADES'!$BC$8:$BC$987,"&lt;2007",'DETALLES UNIDADES'!$T$8:$T$987,"&lt;4.01",'DETALLES UNIDADES'!$S$8:$S$987,"D")-AW121-AV121-AU121-AT121-AX120-AW120-AV120-AU120-AT120-AX119-AW119-AV119-AU119-AT119-AX118-AW118-AV118-AU118-AT118-AX117-AW117-AV117-AU117-AT117-AX116-AW116-AV116-AU116-AT116-AX115-AW115-AV115-AU115-AT115</f>
        <v>24</v>
      </c>
      <c r="AY121" s="249">
        <f>COUNTIFS('DETALLES UNIDADES'!$BC$8:$BC$987,"&lt;2011",'DETALLES UNIDADES'!$T$8:$T$987,"&lt;4.01",'DETALLES UNIDADES'!$S$8:$S$987,"D")-AX121-AW121-AV121-AU121-AT121-AY120-AX120-AW120-AV120-AU120-AT120-AY119-AX119-AW119-AV119-AU119-AT119-AY118-AX118-AW118-AV118-AU118-AT118-AY117-AX117-AW117-AV117-AU117-AT117-AY116-AX116-AW116-AV116-AU116-AT116-AY115-AX115-AW115-AV115-AU115-AT115</f>
        <v>17</v>
      </c>
      <c r="AZ121" s="249">
        <f>COUNTIFS('DETALLES UNIDADES'!$BC$8:$BC$987,"&gt;2010",'DETALLES UNIDADES'!$T$8:$T$987,"&lt;4.01",'DETALLES UNIDADES'!$S$8:$S$987,"D")-AZ120-AZ119-AZ118-AZ117-AZ116-AZ115</f>
        <v>0</v>
      </c>
      <c r="BA121" s="249">
        <f t="shared" si="534"/>
        <v>96</v>
      </c>
      <c r="BB121" s="17">
        <v>96</v>
      </c>
      <c r="BD121" s="11" t="s">
        <v>1662</v>
      </c>
      <c r="BE121" s="6">
        <f t="shared" si="535"/>
        <v>1</v>
      </c>
      <c r="BF121" s="152">
        <f t="shared" si="536"/>
        <v>49</v>
      </c>
      <c r="DF121" s="17" t="s">
        <v>2639</v>
      </c>
      <c r="DG121" s="6">
        <f t="shared" si="543"/>
        <v>0</v>
      </c>
      <c r="DH121" s="6">
        <f t="shared" si="537"/>
        <v>0</v>
      </c>
      <c r="DI121" s="6">
        <f t="shared" si="538"/>
        <v>0</v>
      </c>
      <c r="DJ121" s="6">
        <f t="shared" si="539"/>
        <v>9.0277777777777776E-2</v>
      </c>
      <c r="DK121" s="6">
        <f t="shared" si="540"/>
        <v>2.6530612244897958E-2</v>
      </c>
      <c r="DL121" s="249">
        <f>COUNTIFS('DETALLES UNIDADES'!$BA$8:$BA$987,"1",'DETALLES UNIDADES'!$AX$8:$AX$987,"&lt;50001")-DL120-DL119-DL118-DL117</f>
        <v>0</v>
      </c>
      <c r="DM121" s="249">
        <f>COUNTIFS('DETALLES UNIDADES'!$BA$8:$BA$987,"2",'DETALLES UNIDADES'!$AX$8:$AX$987,"&lt;50001")-DM120-DM119-DM118-DM117</f>
        <v>0</v>
      </c>
      <c r="DN121" s="249">
        <f>COUNTIFS('DETALLES UNIDADES'!$BA$8:$BA$987,"3",'DETALLES UNIDADES'!$AX$8:$AX$987,"&lt;50001")+COUNTIFS('DETALLES UNIDADES'!$BA$8:$BA$987,"4",'DETALLES UNIDADES'!$AX$8:$AX$987,"&lt;50001")+COUNTIFS('DETALLES UNIDADES'!$BA$8:$BA$987,"5",'DETALLES UNIDADES'!$AX$8:$AX$987,"&lt;50001")-DN120-DN119-DN118-DN117</f>
        <v>0</v>
      </c>
      <c r="DO121" s="249">
        <f>COUNTIFS('DETALLES UNIDADES'!$BA$8:$BA$987,"&gt;5",'DETALLES UNIDADES'!$AX$8:$AX$987,"&lt;50001")-DO120-DO119-DO118-DO117</f>
        <v>26</v>
      </c>
      <c r="DP121" s="249">
        <f t="shared" si="541"/>
        <v>26</v>
      </c>
      <c r="FM121" s="112" t="s">
        <v>944</v>
      </c>
      <c r="FN121" s="249">
        <f>COUNTIFS('DETALLES UNIDADES'!$D$8:$D$987,"&lt;1991",'DETALLES UNIDADES'!$J$8:$J$987,"&lt;2000001")-FN120-FN119-FN118-FN117</f>
        <v>59</v>
      </c>
      <c r="FO121" s="249">
        <f>COUNTIFS('DETALLES UNIDADES'!$D$8:$D$987,"&lt;1994",'DETALLES UNIDADES'!$J$8:$J$987,"&lt;2000001")-FN121-FO120-FN120-FO119-FN119-FO118-FN118-FO117-FN117</f>
        <v>14</v>
      </c>
      <c r="FP121" s="249">
        <f>COUNTIFS('DETALLES UNIDADES'!$D$8:$D$987,"&lt;1998",'DETALLES UNIDADES'!$J$8:$J$987,"&lt;2000001")-FO121-FN121-FP120-FO120-FN120-FP119-FO119-FN119-FP118-FO118-FN118-FP117-FO117-FN117</f>
        <v>6</v>
      </c>
      <c r="FQ121" s="249">
        <f>COUNTIFS('DETALLES UNIDADES'!$D$8:$D$987,"&lt;2004",'DETALLES UNIDADES'!$J$8:$J$987,"&lt;2000001")-FP121-FO121-FN121-FQ120-FP120-FO120-FN120-FQ119-FP119-FO119-FN119-FQ118-FP118-FO118-FN118-FQ117-FP117-FO117-FN117</f>
        <v>17</v>
      </c>
      <c r="FR121" s="249">
        <f>COUNTIFS('DETALLES UNIDADES'!$D$8:$D$987,"&lt;2007",'DETALLES UNIDADES'!$J$8:$J$987,"&lt;2000001")-FQ121-FP121-FO121-FN121-FR120-FQ120-FP120-FO120-FN120-FR119-FQ119-FP119-FO119-FN119-FR118-FQ118-FP118-FO118-FN118-FR117-FQ117-FP117-FO117-FN117</f>
        <v>0</v>
      </c>
      <c r="FS121" s="249">
        <f>COUNTIFS('DETALLES UNIDADES'!$D$8:$D$987,"&lt;2011",'DETALLES UNIDADES'!$J$8:$J$987,"&lt;2000001")-FR121-FQ121-FP121-FO121-FN121-FS120-FR120-FQ120-FP120-FO120-FN120-FS119-FR119-FQ119-FP119-FO119-FN119-FS118-FR118-FQ118-FP118-FO118-FN118-FS117-FR117-FQ117-FP117-FO117-FN117</f>
        <v>0</v>
      </c>
      <c r="FT121" s="249">
        <f>COUNTIFS('DETALLES UNIDADES'!$D$8:$D$987,"&gt;2010",'DETALLES UNIDADES'!$J$8:$J$987,"&lt;2000001")-FT120-FT119-FT118-FT117</f>
        <v>0</v>
      </c>
      <c r="FU121" s="249">
        <f t="shared" si="542"/>
        <v>96</v>
      </c>
      <c r="FV121" s="249"/>
      <c r="FW121" s="249"/>
    </row>
    <row r="122" spans="24:185" x14ac:dyDescent="0.25">
      <c r="AK122" s="19" t="s">
        <v>2510</v>
      </c>
      <c r="AL122" s="6">
        <f t="shared" si="533"/>
        <v>1.1111111111111111E-3</v>
      </c>
      <c r="AM122" s="6">
        <f t="shared" si="526"/>
        <v>0</v>
      </c>
      <c r="AN122" s="6">
        <f t="shared" si="527"/>
        <v>6.6666666666666671E-3</v>
      </c>
      <c r="AO122" s="6">
        <f t="shared" si="528"/>
        <v>5.5555555555555558E-3</v>
      </c>
      <c r="AP122" s="6">
        <f t="shared" si="529"/>
        <v>8.8888888888888889E-3</v>
      </c>
      <c r="AQ122" s="6">
        <f t="shared" si="530"/>
        <v>6.6666666666666671E-3</v>
      </c>
      <c r="AR122" s="6">
        <f t="shared" si="531"/>
        <v>0</v>
      </c>
      <c r="AS122" s="6">
        <f t="shared" si="532"/>
        <v>2.8888888888888888E-2</v>
      </c>
      <c r="AT122" s="249">
        <f>COUNTIFS('DETALLES UNIDADES'!$BC$8:$BC$987,"&lt;1991",'DETALLES UNIDADES'!$T$8:$T$987,"&gt;4.0",'DETALLES UNIDADES'!$S$8:$S$987,"D")</f>
        <v>1</v>
      </c>
      <c r="AU122" s="249">
        <f>COUNTIFS('DETALLES UNIDADES'!$BC$8:$BC$987,"&lt;1994",'DETALLES UNIDADES'!$T$8:$T$987,"&gt;4.0",'DETALLES UNIDADES'!$S$8:$S$987,"D")-AT122</f>
        <v>0</v>
      </c>
      <c r="AV122" s="249">
        <f>COUNTIFS('DETALLES UNIDADES'!$BC$8:$BC$987,"&lt;1998",'DETALLES UNIDADES'!$T$8:$T$987,"&gt;4.0",'DETALLES UNIDADES'!$S$8:$S$987,"D")-AU122-AT122</f>
        <v>6</v>
      </c>
      <c r="AW122" s="249">
        <f>COUNTIFS('DETALLES UNIDADES'!$BC$8:$BC$987,"&lt;2004",'DETALLES UNIDADES'!$T$8:$T$987,"&gt;4.0",'DETALLES UNIDADES'!$S$8:$S$987,"D")-AV122-AU122-AT122</f>
        <v>5</v>
      </c>
      <c r="AX122" s="249">
        <f>COUNTIFS('DETALLES UNIDADES'!$BC$8:$BC$987,"&lt;2007",'DETALLES UNIDADES'!$T$8:$T$987,"&gt;4.0",'DETALLES UNIDADES'!$S$8:$S$987,"D")-AW122-AV122-AU122-AT122</f>
        <v>8</v>
      </c>
      <c r="AY122" s="249">
        <f>COUNTIFS('DETALLES UNIDADES'!$BC$8:$BC$987,"&lt;2011",'DETALLES UNIDADES'!$T$8:$T$987,"&gt;4.0",'DETALLES UNIDADES'!$S$8:$S$987,"D")-AX122-AW122-AV122-AU122-AT122</f>
        <v>6</v>
      </c>
      <c r="AZ122" s="249">
        <f>COUNTIFS('DETALLES UNIDADES'!$BC$8:$BC$987,"&gt;2010",'DETALLES UNIDADES'!$T$8:$T$987,"&gt;4.0",'DETALLES UNIDADES'!$S$8:$S$987,"D")</f>
        <v>0</v>
      </c>
      <c r="BA122" s="249">
        <f t="shared" si="534"/>
        <v>26</v>
      </c>
      <c r="BB122" s="17">
        <v>26</v>
      </c>
      <c r="DF122" s="17" t="s">
        <v>2640</v>
      </c>
      <c r="DG122" s="6">
        <f t="shared" si="543"/>
        <v>0</v>
      </c>
      <c r="DH122" s="6">
        <f t="shared" si="537"/>
        <v>0</v>
      </c>
      <c r="DI122" s="6">
        <f t="shared" si="538"/>
        <v>3.0959752321981426E-3</v>
      </c>
      <c r="DJ122" s="6">
        <f t="shared" si="539"/>
        <v>2.0833333333333332E-2</v>
      </c>
      <c r="DK122" s="6">
        <f t="shared" si="540"/>
        <v>7.1428571428571426E-3</v>
      </c>
      <c r="DL122" s="249">
        <f>COUNTIFS('DETALLES UNIDADES'!$BA$8:$BA$987,"1",'DETALLES UNIDADES'!$AX$8:$AX$987,"&gt;50000")</f>
        <v>0</v>
      </c>
      <c r="DM122" s="249">
        <f>COUNTIFS('DETALLES UNIDADES'!$BA$8:$BA$987,"2",'DETALLES UNIDADES'!$AX$8:$AX$987,"&gt;50000")</f>
        <v>0</v>
      </c>
      <c r="DN122" s="249">
        <f>COUNTIFS('DETALLES UNIDADES'!$BA$8:$BA$987,"3",'DETALLES UNIDADES'!$AX$8:$AX$987,"&gt;50000")+COUNTIFS('DETALLES UNIDADES'!$BA$8:$BA$987,"4",'DETALLES UNIDADES'!$AX$8:$AX$987,"&gt;50000")+COUNTIFS('DETALLES UNIDADES'!$BA$8:$BA$987,"5",'DETALLES UNIDADES'!$AX$8:$AX$987,"&gt;50000")</f>
        <v>1</v>
      </c>
      <c r="DO122" s="249">
        <f>COUNTIFS('DETALLES UNIDADES'!$BA$8:$BA$987,"&gt;5",'DETALLES UNIDADES'!$AX$8:$AX$987,"&gt;50000")</f>
        <v>6</v>
      </c>
      <c r="DP122" s="249">
        <f t="shared" si="541"/>
        <v>7</v>
      </c>
      <c r="FM122" s="112" t="s">
        <v>1714</v>
      </c>
      <c r="FN122" s="249">
        <f>COUNTIFS('DETALLES UNIDADES'!$D$8:$D$987,"&lt;1991",'DETALLES UNIDADES'!$J$8:$J$987,"&lt;2500001")-FN121-FN120-FN119-FN118-FN117</f>
        <v>21</v>
      </c>
      <c r="FO122" s="249">
        <f>COUNTIFS('DETALLES UNIDADES'!$D$8:$D$987,"&lt;1994",'DETALLES UNIDADES'!$J$8:$J$987,"&lt;2500001")-FN122-FO121-FN121-FO120-FN120-FO119-FN119-FO118-FN118-FO117-FN117</f>
        <v>1</v>
      </c>
      <c r="FP122" s="249">
        <f>COUNTIFS('DETALLES UNIDADES'!$D$8:$D$987,"&lt;1998",'DETALLES UNIDADES'!$J$8:$J$987,"&lt;2500001")-FO122-FN122-FP121-FO121-FN121-FP120-FO120-FN120-FP119-FO119-FN119-FP118-FO118-FN118-FP117-FO117-FN117</f>
        <v>1</v>
      </c>
      <c r="FQ122" s="249">
        <f>COUNTIFS('DETALLES UNIDADES'!$D$8:$D$987,"&lt;2004",'DETALLES UNIDADES'!$J$8:$J$987,"&lt;2500001")-FP122-FO122-FN122-FQ121-FP121-FO121-FN121-FQ120-FP120-FO120-FN120-FQ119-FP119-FO119-FN119-FQ118-FP118-FO118-FN118-FQ117-FP117-FO117-FN117</f>
        <v>1</v>
      </c>
      <c r="FR122" s="249">
        <f>COUNTIFS('DETALLES UNIDADES'!$D$8:$D$987,"&lt;2007",'DETALLES UNIDADES'!$J$8:$J$987,"&lt;2500001")-FQ122-FP122-FO122-FN122-FR121-FQ121-FP121-FO121-FN121-FR120-FQ120-FP120-FO120-FN120-FR119-FQ119-FP119-FO119-FN119-FR118-FQ118-FP118-FO118-FN118-FR117-FQ117-FP117-FO117-FN117</f>
        <v>0</v>
      </c>
      <c r="FS122" s="249">
        <f>COUNTIFS('DETALLES UNIDADES'!$D$8:$D$987,"&lt;2011",'DETALLES UNIDADES'!$J$8:$J$987,"&lt;2500001")-FR122-FQ122-FP122-FO122-FN122-FS121-FR121-FQ121-FP121-FO121-FN121-FS120-FR120-FQ120-FP120-FO120-FN120-FS119-FR119-FQ119-FP119-FO119-FN119-FS118-FR118-FQ118-FP118-FO118-FN118-FS117-FR117-FQ117-FP117-FO117-FN117</f>
        <v>0</v>
      </c>
      <c r="FT122" s="249">
        <f>COUNTIFS('DETALLES UNIDADES'!$D$8:$D$987,"&gt;2010",'DETALLES UNIDADES'!$J$8:$J$987,"&lt;2500001")-FT121-FT120-FT119-FT118-FT117</f>
        <v>0</v>
      </c>
      <c r="FU122" s="249">
        <f t="shared" si="542"/>
        <v>24</v>
      </c>
      <c r="FV122" s="249"/>
      <c r="FW122" s="249"/>
    </row>
    <row r="123" spans="24:185" x14ac:dyDescent="0.25">
      <c r="AK123" s="19" t="s">
        <v>715</v>
      </c>
      <c r="AL123" s="6">
        <f t="shared" si="533"/>
        <v>0.10222222222222223</v>
      </c>
      <c r="AM123" s="6">
        <f t="shared" si="526"/>
        <v>5.4444444444444441E-2</v>
      </c>
      <c r="AN123" s="6">
        <f t="shared" si="527"/>
        <v>0.11777777777777777</v>
      </c>
      <c r="AO123" s="6">
        <f t="shared" si="528"/>
        <v>0.25555555555555554</v>
      </c>
      <c r="AP123" s="6">
        <f t="shared" si="529"/>
        <v>0.14444444444444443</v>
      </c>
      <c r="AQ123" s="6">
        <f t="shared" si="530"/>
        <v>0.22333333333333333</v>
      </c>
      <c r="AR123" s="6">
        <f t="shared" si="531"/>
        <v>0.10222222222222223</v>
      </c>
      <c r="AS123" s="6">
        <f t="shared" si="532"/>
        <v>1</v>
      </c>
      <c r="AT123" s="249">
        <f>SUM(AT115:AT122)</f>
        <v>92</v>
      </c>
      <c r="AU123" s="249">
        <f t="shared" ref="AU123:AZ123" si="544">SUM(AU115:AU122)</f>
        <v>49</v>
      </c>
      <c r="AV123" s="249">
        <f t="shared" si="544"/>
        <v>106</v>
      </c>
      <c r="AW123" s="249">
        <f t="shared" si="544"/>
        <v>230</v>
      </c>
      <c r="AX123" s="249">
        <f t="shared" si="544"/>
        <v>130</v>
      </c>
      <c r="AY123" s="249">
        <f t="shared" si="544"/>
        <v>201</v>
      </c>
      <c r="AZ123" s="249">
        <f t="shared" si="544"/>
        <v>92</v>
      </c>
      <c r="BA123" s="249">
        <f>SUM(AT123:AZ123)</f>
        <v>900</v>
      </c>
      <c r="BB123" s="17">
        <v>900</v>
      </c>
      <c r="BD123" s="11" t="s">
        <v>2584</v>
      </c>
      <c r="BE123" s="11"/>
      <c r="BF123" s="11"/>
      <c r="DF123" s="17" t="s">
        <v>1662</v>
      </c>
      <c r="DG123" s="6">
        <f t="shared" si="543"/>
        <v>1</v>
      </c>
      <c r="DH123" s="6">
        <f t="shared" si="537"/>
        <v>1</v>
      </c>
      <c r="DI123" s="6">
        <f t="shared" si="538"/>
        <v>1</v>
      </c>
      <c r="DJ123" s="6">
        <f t="shared" si="539"/>
        <v>1</v>
      </c>
      <c r="DK123" s="6">
        <f t="shared" si="540"/>
        <v>1</v>
      </c>
      <c r="DL123" s="249">
        <f>SUM(DL117:DL122)</f>
        <v>209</v>
      </c>
      <c r="DM123" s="249">
        <f t="shared" ref="DM123" si="545">SUM(DM117:DM122)</f>
        <v>160</v>
      </c>
      <c r="DN123" s="249">
        <f t="shared" ref="DN123" si="546">SUM(DN117:DN122)</f>
        <v>323</v>
      </c>
      <c r="DO123" s="249">
        <f t="shared" ref="DO123" si="547">SUM(DO117:DO122)</f>
        <v>288</v>
      </c>
      <c r="DP123" s="249">
        <f t="shared" ref="DP123" si="548">SUM(DP117:DP122)</f>
        <v>980</v>
      </c>
      <c r="FM123" s="112" t="s">
        <v>2711</v>
      </c>
      <c r="FN123" s="249">
        <f>COUNTIFS('DETALLES UNIDADES'!$D$8:$D$987,"&lt;1991",'DETALLES UNIDADES'!$J$8:$J$987,"&gt;2500000")</f>
        <v>16</v>
      </c>
      <c r="FO123" s="249">
        <f>COUNTIFS('DETALLES UNIDADES'!$D$8:$D$987,"&lt;1994",'DETALLES UNIDADES'!$J$8:$J$987,"&gt;2500000")-FN123</f>
        <v>4</v>
      </c>
      <c r="FP123" s="249">
        <f>COUNTIFS('DETALLES UNIDADES'!$D$8:$D$987,"&lt;1998",'DETALLES UNIDADES'!$J$8:$J$987,"&gt;2500000")-FO123-FN123</f>
        <v>0</v>
      </c>
      <c r="FQ123" s="249">
        <f>COUNTIFS('DETALLES UNIDADES'!$D$8:$D$987,"&lt;2004",'DETALLES UNIDADES'!$J$8:$J$987,"&gt;2500000")-FP123-FO123-FN123</f>
        <v>3</v>
      </c>
      <c r="FR123" s="249">
        <f>COUNTIFS('DETALLES UNIDADES'!$D$8:$D$987,"&lt;2007",'DETALLES UNIDADES'!$J$8:$J$987,"&gt;2500000")-FQ123-FP123-FO123-FN123</f>
        <v>0</v>
      </c>
      <c r="FS123" s="249">
        <f>COUNTIFS('DETALLES UNIDADES'!$D$8:$D$987,"&lt;2011",'DETALLES UNIDADES'!$J$8:$J$987,"&gt;2500000")-FR123-FQ123-FP123-FO123-FN123</f>
        <v>0</v>
      </c>
      <c r="FT123" s="249">
        <f>COUNTIFS('DETALLES UNIDADES'!$D$8:$D$987,"&gt;2010",'DETALLES UNIDADES'!$J$8:$J$987,"&gt;2500000")</f>
        <v>0</v>
      </c>
      <c r="FU123" s="249">
        <f t="shared" si="542"/>
        <v>23</v>
      </c>
      <c r="FV123" s="249"/>
      <c r="FW123" s="249"/>
    </row>
    <row r="124" spans="24:185" x14ac:dyDescent="0.25">
      <c r="X124" s="17" t="s">
        <v>2519</v>
      </c>
      <c r="BA124" s="249">
        <f>SUM(BA115:BA122)</f>
        <v>900</v>
      </c>
      <c r="BB124" s="17">
        <f>SUM(AT123:AZ123)</f>
        <v>900</v>
      </c>
      <c r="BD124" s="11"/>
      <c r="BE124" s="11"/>
      <c r="BF124" s="11" t="str">
        <f>+BO93</f>
        <v>1994 a 1997</v>
      </c>
      <c r="DF124" s="17" t="s">
        <v>1013</v>
      </c>
      <c r="DP124" s="249">
        <f>SUM(DP117:DP122)</f>
        <v>980</v>
      </c>
      <c r="FM124" s="11" t="s">
        <v>715</v>
      </c>
      <c r="FN124" s="249">
        <f>SUM(FN117:FN123)</f>
        <v>174</v>
      </c>
      <c r="FO124" s="249">
        <f t="shared" ref="FO124" si="549">SUM(FO117:FO123)</f>
        <v>49</v>
      </c>
      <c r="FP124" s="249">
        <f t="shared" ref="FP124" si="550">SUM(FP117:FP123)</f>
        <v>100</v>
      </c>
      <c r="FQ124" s="249">
        <f t="shared" ref="FQ124" si="551">SUM(FQ117:FQ123)</f>
        <v>217</v>
      </c>
      <c r="FR124" s="249">
        <f t="shared" ref="FR124" si="552">SUM(FR117:FR123)</f>
        <v>126</v>
      </c>
      <c r="FS124" s="249">
        <f>SUM(FS117:FS123)</f>
        <v>206</v>
      </c>
      <c r="FT124" s="249">
        <f t="shared" ref="FT124:FU124" si="553">SUM(FT117:FT123)</f>
        <v>99</v>
      </c>
      <c r="FU124" s="249">
        <f t="shared" si="553"/>
        <v>971</v>
      </c>
      <c r="FV124" s="249"/>
      <c r="FW124" s="249"/>
    </row>
    <row r="125" spans="24:185" x14ac:dyDescent="0.25">
      <c r="X125" s="179"/>
      <c r="Y125" s="249" t="s">
        <v>348</v>
      </c>
      <c r="Z125" s="249" t="s">
        <v>351</v>
      </c>
      <c r="AA125" s="249" t="s">
        <v>359</v>
      </c>
      <c r="AB125" s="249" t="s">
        <v>337</v>
      </c>
      <c r="AD125" s="249" t="s">
        <v>348</v>
      </c>
      <c r="AE125" s="249" t="s">
        <v>351</v>
      </c>
      <c r="AF125" s="249" t="s">
        <v>359</v>
      </c>
      <c r="AG125" s="249" t="s">
        <v>337</v>
      </c>
      <c r="AK125" s="17" t="s">
        <v>2551</v>
      </c>
      <c r="BD125" s="11" t="s">
        <v>2374</v>
      </c>
      <c r="BE125" s="6">
        <f>+BF125/$BF$131</f>
        <v>0.10280373831775701</v>
      </c>
      <c r="BF125" s="249">
        <f t="shared" ref="BF125:BF131" si="554">+BO94</f>
        <v>11</v>
      </c>
      <c r="FR125" s="249"/>
      <c r="FU125" s="249">
        <f>SUM(FN124:FT124)</f>
        <v>971</v>
      </c>
      <c r="FW125" s="249"/>
    </row>
    <row r="126" spans="24:185" x14ac:dyDescent="0.25">
      <c r="X126" s="19" t="s">
        <v>1730</v>
      </c>
      <c r="Y126" s="254">
        <f>+AD126/$AI$134</f>
        <v>2.2222222222222222E-3</v>
      </c>
      <c r="Z126" s="254">
        <f t="shared" ref="Z126:Z134" si="555">+AE126/$AI$134</f>
        <v>1.1111111111111111E-3</v>
      </c>
      <c r="AA126" s="254">
        <f t="shared" ref="AA126:AA134" si="556">+AF126/$AI$134</f>
        <v>0</v>
      </c>
      <c r="AB126" s="254">
        <f t="shared" ref="AB126:AB134" si="557">+AG126/$AI$134</f>
        <v>1.2222222222222223E-2</v>
      </c>
      <c r="AC126" s="254">
        <f t="shared" ref="AC126:AC134" si="558">+AH126/$AI$134</f>
        <v>1.5555555555555555E-2</v>
      </c>
      <c r="AD126" s="9">
        <f>COUNTIFS('DETALLES UNIDADES'!$C$8:$C$987,"C2",'DETALLES UNIDADES'!$U$8:$U$987,"&lt;1.9",'DETALLES UNIDADES'!$S$8:$S$987,"D")</f>
        <v>2</v>
      </c>
      <c r="AE126" s="9">
        <f>COUNTIFS('DETALLES UNIDADES'!$C$8:$C$987,"C3",'DETALLES UNIDADES'!$U$8:$U$987,"&lt;1.9",'DETALLES UNIDADES'!$S$8:$S$987,"D")</f>
        <v>1</v>
      </c>
      <c r="AF126" s="9">
        <f>COUNTIFS('DETALLES UNIDADES'!$C$8:$C$987,"T2",'DETALLES UNIDADES'!$U$8:$U$987,"&lt;1.9",'DETALLES UNIDADES'!$S$8:$S$987,"D")</f>
        <v>0</v>
      </c>
      <c r="AG126" s="9">
        <f>COUNTIFS('DETALLES UNIDADES'!$C$8:$C$987,"T3",'DETALLES UNIDADES'!$U$8:$U$987,"&lt;1.9",'DETALLES UNIDADES'!$S$8:$S$987,"D")</f>
        <v>11</v>
      </c>
      <c r="AH126" s="249">
        <f t="shared" ref="AH126:AH133" si="559">SUM(AD126:AG126)</f>
        <v>14</v>
      </c>
      <c r="AI126" s="249">
        <v>14</v>
      </c>
      <c r="AK126" s="179"/>
      <c r="AL126" s="11" t="s">
        <v>2534</v>
      </c>
      <c r="BD126" s="11" t="s">
        <v>2375</v>
      </c>
      <c r="BE126" s="6">
        <f t="shared" ref="BE126:BE131" si="560">+BF126/$BF$131</f>
        <v>0.59813084112149528</v>
      </c>
      <c r="BF126" s="249">
        <f t="shared" si="554"/>
        <v>64</v>
      </c>
      <c r="DF126" s="11"/>
    </row>
    <row r="127" spans="24:185" x14ac:dyDescent="0.25">
      <c r="X127" s="19" t="s">
        <v>1731</v>
      </c>
      <c r="Y127" s="254">
        <f t="shared" ref="Y127:Y134" si="561">+AD127/$AI$134</f>
        <v>1.2222222222222223E-2</v>
      </c>
      <c r="Z127" s="254">
        <f t="shared" si="555"/>
        <v>2.2222222222222223E-2</v>
      </c>
      <c r="AA127" s="254">
        <f t="shared" si="556"/>
        <v>1.1111111111111112E-2</v>
      </c>
      <c r="AB127" s="254">
        <f t="shared" si="557"/>
        <v>0.11888888888888889</v>
      </c>
      <c r="AC127" s="254">
        <f t="shared" si="558"/>
        <v>0.16444444444444445</v>
      </c>
      <c r="AD127" s="9">
        <f>COUNTIFS('DETALLES UNIDADES'!$C$8:$C$987,"C2",'DETALLES UNIDADES'!$U$8:$U$987,"&lt;2.21",'DETALLES UNIDADES'!$S$8:$S$987,"D")-AD126</f>
        <v>11</v>
      </c>
      <c r="AE127" s="9">
        <f>COUNTIFS('DETALLES UNIDADES'!$C$8:$C$987,"C3",'DETALLES UNIDADES'!$U$8:$U$987,"&lt;2.21",'DETALLES UNIDADES'!$S$8:$S$987,"D")-AE126</f>
        <v>20</v>
      </c>
      <c r="AF127" s="9">
        <f>COUNTIFS('DETALLES UNIDADES'!$C$8:$C$987,"T2",'DETALLES UNIDADES'!$U$8:$U$987,"&lt;2.21",'DETALLES UNIDADES'!$S$8:$S$987,"D")-AF126</f>
        <v>10</v>
      </c>
      <c r="AG127" s="9">
        <f>COUNTIFS('DETALLES UNIDADES'!$C$8:$C$987,"T3",'DETALLES UNIDADES'!$U$8:$U$987,"&lt;2.21",'DETALLES UNIDADES'!$S$8:$S$987,"D")-AG126</f>
        <v>107</v>
      </c>
      <c r="AH127" s="249">
        <f t="shared" si="559"/>
        <v>148</v>
      </c>
      <c r="AI127" s="249">
        <v>148</v>
      </c>
      <c r="AK127" s="19" t="s">
        <v>1719</v>
      </c>
      <c r="AL127" s="6">
        <f>+AM127/$AM$135</f>
        <v>5.434782608695652E-2</v>
      </c>
      <c r="AM127" s="249">
        <f>+AT115</f>
        <v>5</v>
      </c>
      <c r="BD127" s="11" t="s">
        <v>952</v>
      </c>
      <c r="BE127" s="6">
        <f t="shared" si="560"/>
        <v>0.22429906542056074</v>
      </c>
      <c r="BF127" s="249">
        <f t="shared" si="554"/>
        <v>24</v>
      </c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</row>
    <row r="128" spans="24:185" x14ac:dyDescent="0.25">
      <c r="X128" s="11" t="s">
        <v>1732</v>
      </c>
      <c r="Y128" s="254">
        <f t="shared" si="561"/>
        <v>1.2222222222222223E-2</v>
      </c>
      <c r="Z128" s="254">
        <f t="shared" si="555"/>
        <v>1.4444444444444444E-2</v>
      </c>
      <c r="AA128" s="254">
        <f t="shared" si="556"/>
        <v>5.5555555555555558E-3</v>
      </c>
      <c r="AB128" s="254">
        <f t="shared" si="557"/>
        <v>0.10444444444444445</v>
      </c>
      <c r="AC128" s="254">
        <f t="shared" si="558"/>
        <v>0.13666666666666666</v>
      </c>
      <c r="AD128" s="9">
        <f>COUNTIFS('DETALLES UNIDADES'!$C$8:$C$987,"C2",'DETALLES UNIDADES'!$U$8:$U$987,"&lt;2.41",'DETALLES UNIDADES'!$S$8:$S$987,"D")-AD127-AD126</f>
        <v>11</v>
      </c>
      <c r="AE128" s="9">
        <f>COUNTIFS('DETALLES UNIDADES'!$C$8:$C$987,"C3",'DETALLES UNIDADES'!$U$8:$U$987,"&lt;2.41",'DETALLES UNIDADES'!$S$8:$S$987,"D")-AE127-AE126</f>
        <v>13</v>
      </c>
      <c r="AF128" s="9">
        <f>COUNTIFS('DETALLES UNIDADES'!$C$8:$C$987,"T2",'DETALLES UNIDADES'!$U$8:$U$987,"&lt;2.41",'DETALLES UNIDADES'!$S$8:$S$987,"D")-AF127-AF126</f>
        <v>5</v>
      </c>
      <c r="AG128" s="9">
        <f>COUNTIFS('DETALLES UNIDADES'!$C$8:$C$987,"T3",'DETALLES UNIDADES'!$U$8:$U$987,"&lt;2.41",'DETALLES UNIDADES'!$S$8:$S$987,"D")-AG127-AG126</f>
        <v>94</v>
      </c>
      <c r="AH128" s="249">
        <f t="shared" si="559"/>
        <v>123</v>
      </c>
      <c r="AI128" s="249">
        <v>123</v>
      </c>
      <c r="AK128" s="19" t="s">
        <v>1720</v>
      </c>
      <c r="AL128" s="6">
        <f t="shared" ref="AL128:AL135" si="562">+AM128/$AM$135</f>
        <v>0.22826086956521738</v>
      </c>
      <c r="AM128" s="249">
        <f t="shared" ref="AM128:AM135" si="563">+AT116</f>
        <v>21</v>
      </c>
      <c r="BD128" s="11" t="s">
        <v>953</v>
      </c>
      <c r="BE128" s="6">
        <f t="shared" si="560"/>
        <v>5.6074766355140186E-2</v>
      </c>
      <c r="BF128" s="249">
        <f t="shared" si="554"/>
        <v>6</v>
      </c>
      <c r="DF128" s="150"/>
      <c r="DG128" s="6"/>
      <c r="DH128" s="6"/>
      <c r="DI128" s="6"/>
      <c r="DJ128" s="6"/>
      <c r="DK128" s="6"/>
      <c r="DL128" s="249"/>
      <c r="DM128" s="249"/>
      <c r="DN128" s="249"/>
      <c r="DO128" s="249"/>
      <c r="DP128" s="249"/>
    </row>
    <row r="129" spans="24:120" x14ac:dyDescent="0.25">
      <c r="X129" s="19" t="s">
        <v>1737</v>
      </c>
      <c r="Y129" s="254">
        <f t="shared" si="561"/>
        <v>3.3333333333333333E-2</v>
      </c>
      <c r="Z129" s="254">
        <f t="shared" si="555"/>
        <v>4.3333333333333335E-2</v>
      </c>
      <c r="AA129" s="254">
        <f t="shared" si="556"/>
        <v>1.1111111111111111E-3</v>
      </c>
      <c r="AB129" s="254">
        <f t="shared" si="557"/>
        <v>0.10111111111111111</v>
      </c>
      <c r="AC129" s="254">
        <f t="shared" si="558"/>
        <v>0.17888888888888888</v>
      </c>
      <c r="AD129" s="9">
        <f>COUNTIFS('DETALLES UNIDADES'!$C$8:$C$987,"C2",'DETALLES UNIDADES'!$U$8:$U$987,"&lt;2.61",'DETALLES UNIDADES'!$S$8:$S$987,"D")-AD128-AD127-AD126</f>
        <v>30</v>
      </c>
      <c r="AE129" s="9">
        <f>COUNTIFS('DETALLES UNIDADES'!$C$8:$C$987,"C3",'DETALLES UNIDADES'!$U$8:$U$987,"&lt;2.61",'DETALLES UNIDADES'!$S$8:$S$987,"D")-AE128-AE127-AE126</f>
        <v>39</v>
      </c>
      <c r="AF129" s="9">
        <f>COUNTIFS('DETALLES UNIDADES'!$C$8:$C$987,"T2",'DETALLES UNIDADES'!$U$8:$U$987,"&lt;2.61",'DETALLES UNIDADES'!$S$8:$S$987,"D")-AF128-AF127-AF126</f>
        <v>1</v>
      </c>
      <c r="AG129" s="9">
        <f>COUNTIFS('DETALLES UNIDADES'!$C$8:$C$987,"T3",'DETALLES UNIDADES'!$U$8:$U$987,"&lt;2.61",'DETALLES UNIDADES'!$S$8:$S$987,"D")-AG128-AG127-AG126</f>
        <v>91</v>
      </c>
      <c r="AH129" s="249">
        <f t="shared" si="559"/>
        <v>161</v>
      </c>
      <c r="AI129" s="249">
        <v>161</v>
      </c>
      <c r="AK129" s="19" t="s">
        <v>1721</v>
      </c>
      <c r="AL129" s="6">
        <f t="shared" si="562"/>
        <v>0.17391304347826086</v>
      </c>
      <c r="AM129" s="249">
        <f t="shared" si="563"/>
        <v>16</v>
      </c>
      <c r="BD129" s="11" t="s">
        <v>2376</v>
      </c>
      <c r="BE129" s="6">
        <f t="shared" si="560"/>
        <v>0</v>
      </c>
      <c r="BF129" s="249">
        <f t="shared" si="554"/>
        <v>0</v>
      </c>
      <c r="DF129" s="151"/>
      <c r="DG129" s="6"/>
      <c r="DH129" s="6"/>
      <c r="DI129" s="6"/>
      <c r="DJ129" s="6"/>
      <c r="DK129" s="6"/>
      <c r="DL129" s="249"/>
      <c r="DM129" s="249"/>
      <c r="DN129" s="249"/>
      <c r="DO129" s="249"/>
      <c r="DP129" s="249"/>
    </row>
    <row r="130" spans="24:120" x14ac:dyDescent="0.25">
      <c r="X130" s="19" t="s">
        <v>1007</v>
      </c>
      <c r="Y130" s="254">
        <f t="shared" si="561"/>
        <v>6.6666666666666671E-3</v>
      </c>
      <c r="Z130" s="254">
        <f t="shared" si="555"/>
        <v>1.5555555555555555E-2</v>
      </c>
      <c r="AA130" s="254">
        <f t="shared" si="556"/>
        <v>3.3333333333333335E-3</v>
      </c>
      <c r="AB130" s="254">
        <f t="shared" si="557"/>
        <v>0.15666666666666668</v>
      </c>
      <c r="AC130" s="254">
        <f t="shared" si="558"/>
        <v>0.18222222222222223</v>
      </c>
      <c r="AD130" s="9">
        <f>COUNTIFS('DETALLES UNIDADES'!$C$8:$C$987,"C2",'DETALLES UNIDADES'!$U$8:$U$987,"&lt;2.81",'DETALLES UNIDADES'!$S$8:$S$987,"D")-AD129-AD128-AD127-AD126</f>
        <v>6</v>
      </c>
      <c r="AE130" s="9">
        <f>COUNTIFS('DETALLES UNIDADES'!$C$8:$C$987,"C3",'DETALLES UNIDADES'!$U$8:$U$987,"&lt;2.81",'DETALLES UNIDADES'!$S$8:$S$987,"D")-AE129-AE128-AE127-AE126</f>
        <v>14</v>
      </c>
      <c r="AF130" s="9">
        <f>COUNTIFS('DETALLES UNIDADES'!$C$8:$C$987,"T2",'DETALLES UNIDADES'!$U$8:$U$987,"&lt;2.81",'DETALLES UNIDADES'!$S$8:$S$987,"D")-AF129-AF128-AF127-AF126</f>
        <v>3</v>
      </c>
      <c r="AG130" s="9">
        <f>COUNTIFS('DETALLES UNIDADES'!$C$8:$C$987,"T3",'DETALLES UNIDADES'!$U$8:$U$987,"&lt;2.81",'DETALLES UNIDADES'!$S$8:$S$987,"D")-AG129-AG128-AG127-AG126</f>
        <v>141</v>
      </c>
      <c r="AH130" s="249">
        <f t="shared" si="559"/>
        <v>164</v>
      </c>
      <c r="AI130" s="249">
        <v>164</v>
      </c>
      <c r="AK130" s="19" t="s">
        <v>1722</v>
      </c>
      <c r="AL130" s="6">
        <f t="shared" si="562"/>
        <v>0.11956521739130435</v>
      </c>
      <c r="AM130" s="249">
        <f t="shared" si="563"/>
        <v>11</v>
      </c>
      <c r="BD130" s="11" t="s">
        <v>2377</v>
      </c>
      <c r="BE130" s="6">
        <f t="shared" si="560"/>
        <v>1.8691588785046728E-2</v>
      </c>
      <c r="BF130" s="249">
        <f t="shared" si="554"/>
        <v>2</v>
      </c>
      <c r="DF130" s="112"/>
      <c r="DG130" s="6"/>
      <c r="DH130" s="6"/>
      <c r="DI130" s="6"/>
      <c r="DJ130" s="6"/>
      <c r="DK130" s="6"/>
      <c r="DL130" s="249"/>
      <c r="DM130" s="249"/>
      <c r="DN130" s="249"/>
      <c r="DO130" s="249"/>
      <c r="DP130" s="249"/>
    </row>
    <row r="131" spans="24:120" x14ac:dyDescent="0.25">
      <c r="X131" s="19" t="s">
        <v>1733</v>
      </c>
      <c r="Y131" s="254">
        <f t="shared" si="561"/>
        <v>1.4444444444444444E-2</v>
      </c>
      <c r="Z131" s="254">
        <f t="shared" si="555"/>
        <v>1.6666666666666666E-2</v>
      </c>
      <c r="AA131" s="254">
        <f t="shared" si="556"/>
        <v>2.4444444444444446E-2</v>
      </c>
      <c r="AB131" s="254">
        <f t="shared" si="557"/>
        <v>8.1111111111111106E-2</v>
      </c>
      <c r="AC131" s="254">
        <f t="shared" si="558"/>
        <v>0.13666666666666666</v>
      </c>
      <c r="AD131" s="9">
        <f>COUNTIFS('DETALLES UNIDADES'!$C$8:$C$987,"C2",'DETALLES UNIDADES'!$U$8:$U$987,"&lt;3.21",'DETALLES UNIDADES'!$S$8:$S$987,"D")-AD130-AD129-AD128-AD127-AD126</f>
        <v>13</v>
      </c>
      <c r="AE131" s="9">
        <f>COUNTIFS('DETALLES UNIDADES'!$C$8:$C$987,"C3",'DETALLES UNIDADES'!$U$8:$U$987,"&lt;3.21",'DETALLES UNIDADES'!$S$8:$S$987,"D")-AE130-AE129-AE128-AE127-AE126</f>
        <v>15</v>
      </c>
      <c r="AF131" s="9">
        <f>COUNTIFS('DETALLES UNIDADES'!$C$8:$C$987,"T2",'DETALLES UNIDADES'!$U$8:$U$987,"&lt;3.21",'DETALLES UNIDADES'!$S$8:$S$987,"D")-AF130-AF129-AF128-AF127-AF126</f>
        <v>22</v>
      </c>
      <c r="AG131" s="9">
        <f>COUNTIFS('DETALLES UNIDADES'!$C$8:$C$987,"T3",'DETALLES UNIDADES'!$U$8:$U$987,"&lt;3.21",'DETALLES UNIDADES'!$S$8:$S$987,"D")-AG130-AG129-AG128-AG127-AG126</f>
        <v>73</v>
      </c>
      <c r="AH131" s="249">
        <f t="shared" si="559"/>
        <v>123</v>
      </c>
      <c r="AI131" s="249">
        <v>123</v>
      </c>
      <c r="AK131" s="19" t="s">
        <v>1723</v>
      </c>
      <c r="AL131" s="6">
        <f t="shared" si="562"/>
        <v>0.20652173913043478</v>
      </c>
      <c r="AM131" s="249">
        <f t="shared" si="563"/>
        <v>19</v>
      </c>
      <c r="BD131" s="11" t="s">
        <v>1662</v>
      </c>
      <c r="BE131" s="6">
        <f t="shared" si="560"/>
        <v>1</v>
      </c>
      <c r="BF131" s="249">
        <f t="shared" si="554"/>
        <v>107</v>
      </c>
      <c r="DF131" s="151"/>
      <c r="DG131" s="6"/>
      <c r="DH131" s="6"/>
      <c r="DI131" s="6"/>
      <c r="DJ131" s="6"/>
      <c r="DK131" s="6"/>
      <c r="DL131" s="249"/>
      <c r="DM131" s="249"/>
      <c r="DN131" s="249"/>
      <c r="DO131" s="249"/>
      <c r="DP131" s="249"/>
    </row>
    <row r="132" spans="24:120" x14ac:dyDescent="0.25">
      <c r="X132" s="19" t="s">
        <v>1734</v>
      </c>
      <c r="Y132" s="254">
        <f t="shared" si="561"/>
        <v>1.1111111111111112E-2</v>
      </c>
      <c r="Z132" s="254">
        <f t="shared" si="555"/>
        <v>8.3333333333333329E-2</v>
      </c>
      <c r="AA132" s="254">
        <f t="shared" si="556"/>
        <v>2.2222222222222222E-3</v>
      </c>
      <c r="AB132" s="254">
        <f t="shared" si="557"/>
        <v>1.3333333333333334E-2</v>
      </c>
      <c r="AC132" s="254">
        <f t="shared" si="558"/>
        <v>0.11</v>
      </c>
      <c r="AD132" s="9">
        <f>COUNTIFS('DETALLES UNIDADES'!$C$8:$C$987,"C2",'DETALLES UNIDADES'!$U$8:$U$987,"&lt;4.01",'DETALLES UNIDADES'!$S$8:$S$987,"D")-AD131-AD130-AD129-AD128-AD127-AD126</f>
        <v>10</v>
      </c>
      <c r="AE132" s="9">
        <f>COUNTIFS('DETALLES UNIDADES'!$C$8:$C$987,"C3",'DETALLES UNIDADES'!$U$8:$U$987,"&lt;4.01",'DETALLES UNIDADES'!$S$8:$S$987,"D")-AE131-AE130-AE129-AE128-AE127-AE126</f>
        <v>75</v>
      </c>
      <c r="AF132" s="9">
        <f>COUNTIFS('DETALLES UNIDADES'!$C$8:$C$987,"T2",'DETALLES UNIDADES'!$U$8:$U$987,"&lt;4.01",'DETALLES UNIDADES'!$S$8:$S$987,"D")-AF131-AF130-AF129-AF128-AF127-AF126</f>
        <v>2</v>
      </c>
      <c r="AG132" s="9">
        <f>COUNTIFS('DETALLES UNIDADES'!$C$8:$C$987,"T3",'DETALLES UNIDADES'!$U$8:$U$987,"&lt;4.01",'DETALLES UNIDADES'!$S$8:$S$987,"D")-AG131-AG130-AG129-AG128-AG127-AG126</f>
        <v>12</v>
      </c>
      <c r="AH132" s="249">
        <f t="shared" si="559"/>
        <v>99</v>
      </c>
      <c r="AI132" s="249">
        <v>99</v>
      </c>
      <c r="AK132" s="19" t="s">
        <v>1724</v>
      </c>
      <c r="AL132" s="6">
        <f t="shared" si="562"/>
        <v>9.7826086956521743E-2</v>
      </c>
      <c r="AM132" s="249">
        <f t="shared" si="563"/>
        <v>9</v>
      </c>
      <c r="DF132" s="151"/>
      <c r="DG132" s="6"/>
      <c r="DH132" s="6"/>
      <c r="DI132" s="6"/>
      <c r="DJ132" s="6"/>
      <c r="DK132" s="6"/>
      <c r="DL132" s="249"/>
      <c r="DM132" s="249"/>
      <c r="DN132" s="249"/>
      <c r="DO132" s="249"/>
      <c r="DP132" s="249"/>
    </row>
    <row r="133" spans="24:120" x14ac:dyDescent="0.25">
      <c r="X133" s="19" t="s">
        <v>2510</v>
      </c>
      <c r="Y133" s="254">
        <f t="shared" si="561"/>
        <v>5.4444444444444441E-2</v>
      </c>
      <c r="Z133" s="254">
        <f t="shared" si="555"/>
        <v>1.8888888888888889E-2</v>
      </c>
      <c r="AA133" s="254">
        <f t="shared" si="556"/>
        <v>0</v>
      </c>
      <c r="AB133" s="254">
        <f t="shared" si="557"/>
        <v>2.2222222222222222E-3</v>
      </c>
      <c r="AC133" s="254">
        <f t="shared" si="558"/>
        <v>7.5555555555555556E-2</v>
      </c>
      <c r="AD133" s="9">
        <f>COUNTIFS('DETALLES UNIDADES'!$C$8:$C$987,"C2",'DETALLES UNIDADES'!$U$8:$U$987,"&gt;4.0",'DETALLES UNIDADES'!$S$8:$S$987,"D")</f>
        <v>49</v>
      </c>
      <c r="AE133" s="9">
        <f>COUNTIFS('DETALLES UNIDADES'!$C$8:$C$987,"C3",'DETALLES UNIDADES'!$U$8:$U$987,"&gt;4.0",'DETALLES UNIDADES'!$S$8:$S$987,"D")</f>
        <v>17</v>
      </c>
      <c r="AF133" s="9">
        <f>COUNTIFS('DETALLES UNIDADES'!$C$8:$C$987,"T2",'DETALLES UNIDADES'!$U$8:$U$987,"&gt;4.0",'DETALLES UNIDADES'!$S$8:$S$987,"D")</f>
        <v>0</v>
      </c>
      <c r="AG133" s="9">
        <f>COUNTIFS('DETALLES UNIDADES'!$C$8:$C$987,"T3",'DETALLES UNIDADES'!$U$8:$U$987,"&gt;4.0",'DETALLES UNIDADES'!$S$8:$S$987,"D")</f>
        <v>2</v>
      </c>
      <c r="AH133" s="249">
        <f t="shared" si="559"/>
        <v>68</v>
      </c>
      <c r="AI133" s="249">
        <v>68</v>
      </c>
      <c r="AK133" s="19" t="s">
        <v>1725</v>
      </c>
      <c r="AL133" s="6">
        <f t="shared" si="562"/>
        <v>0.10869565217391304</v>
      </c>
      <c r="AM133" s="249">
        <f t="shared" si="563"/>
        <v>10</v>
      </c>
      <c r="BD133" s="11" t="s">
        <v>2585</v>
      </c>
      <c r="BE133" s="11"/>
      <c r="BF133" s="11"/>
      <c r="DF133" s="11"/>
      <c r="DG133" s="6"/>
      <c r="DH133" s="6"/>
      <c r="DI133" s="6"/>
      <c r="DJ133" s="6"/>
      <c r="DK133" s="6"/>
      <c r="DL133" s="249"/>
      <c r="DM133" s="249"/>
      <c r="DN133" s="249"/>
      <c r="DO133" s="249"/>
      <c r="DP133" s="249"/>
    </row>
    <row r="134" spans="24:120" x14ac:dyDescent="0.25">
      <c r="X134" s="19" t="s">
        <v>715</v>
      </c>
      <c r="Y134" s="254">
        <f t="shared" si="561"/>
        <v>0.14666666666666667</v>
      </c>
      <c r="Z134" s="254">
        <f t="shared" si="555"/>
        <v>0.21555555555555556</v>
      </c>
      <c r="AA134" s="254">
        <f t="shared" si="556"/>
        <v>4.777777777777778E-2</v>
      </c>
      <c r="AB134" s="254">
        <f t="shared" si="557"/>
        <v>0.59</v>
      </c>
      <c r="AC134" s="254">
        <f t="shared" si="558"/>
        <v>1</v>
      </c>
      <c r="AD134" s="249">
        <f t="shared" ref="AD134" si="564">SUM(AD126:AD133)</f>
        <v>132</v>
      </c>
      <c r="AE134" s="249">
        <f t="shared" ref="AE134" si="565">SUM(AE126:AE133)</f>
        <v>194</v>
      </c>
      <c r="AF134" s="249">
        <f t="shared" ref="AF134" si="566">SUM(AF126:AF133)</f>
        <v>43</v>
      </c>
      <c r="AG134" s="249">
        <f t="shared" ref="AG134" si="567">SUM(AG126:AG133)</f>
        <v>531</v>
      </c>
      <c r="AH134" s="249">
        <f>SUM(AH126:AH133)</f>
        <v>900</v>
      </c>
      <c r="AI134" s="249">
        <v>900</v>
      </c>
      <c r="AK134" s="19" t="s">
        <v>2510</v>
      </c>
      <c r="AL134" s="6">
        <f t="shared" si="562"/>
        <v>1.0869565217391304E-2</v>
      </c>
      <c r="AM134" s="249">
        <f t="shared" si="563"/>
        <v>1</v>
      </c>
      <c r="BD134" s="11"/>
      <c r="BE134" s="11"/>
      <c r="BF134" s="11" t="str">
        <f>+BP93</f>
        <v>1998 a 2003</v>
      </c>
      <c r="DP134" s="249"/>
    </row>
    <row r="135" spans="24:120" x14ac:dyDescent="0.25">
      <c r="X135" s="11"/>
      <c r="Y135" s="254"/>
      <c r="AD135" s="9"/>
      <c r="AK135" s="19" t="s">
        <v>715</v>
      </c>
      <c r="AL135" s="6">
        <f t="shared" si="562"/>
        <v>1</v>
      </c>
      <c r="AM135" s="249">
        <f t="shared" si="563"/>
        <v>92</v>
      </c>
      <c r="BD135" s="11" t="s">
        <v>2374</v>
      </c>
      <c r="BE135" s="6">
        <f>+BF135/$BF$141</f>
        <v>8.4388185654008435E-2</v>
      </c>
      <c r="BF135" s="249">
        <f t="shared" ref="BF135:BF141" si="568">+BP94</f>
        <v>20</v>
      </c>
    </row>
    <row r="136" spans="24:120" x14ac:dyDescent="0.25">
      <c r="X136" s="17" t="s">
        <v>2520</v>
      </c>
      <c r="AD136" s="9"/>
      <c r="BD136" s="11" t="s">
        <v>2375</v>
      </c>
      <c r="BE136" s="6">
        <f t="shared" ref="BE136:BE141" si="569">+BF136/$BF$141</f>
        <v>0.34177215189873417</v>
      </c>
      <c r="BF136" s="249">
        <f t="shared" si="568"/>
        <v>81</v>
      </c>
    </row>
    <row r="137" spans="24:120" x14ac:dyDescent="0.25">
      <c r="X137" s="179"/>
      <c r="Y137" s="249" t="s">
        <v>348</v>
      </c>
      <c r="AK137" s="17" t="s">
        <v>2552</v>
      </c>
      <c r="BD137" s="11" t="s">
        <v>952</v>
      </c>
      <c r="BE137" s="6">
        <f t="shared" si="569"/>
        <v>0.21518987341772153</v>
      </c>
      <c r="BF137" s="249">
        <f t="shared" si="568"/>
        <v>51</v>
      </c>
    </row>
    <row r="138" spans="24:120" x14ac:dyDescent="0.25">
      <c r="X138" s="19" t="s">
        <v>1730</v>
      </c>
      <c r="Y138" s="254">
        <f>+Z138/$Z$146</f>
        <v>1.5151515151515152E-2</v>
      </c>
      <c r="Z138" s="249">
        <f>+AD126</f>
        <v>2</v>
      </c>
      <c r="AK138" s="179"/>
      <c r="AL138" s="11" t="s">
        <v>2535</v>
      </c>
      <c r="BD138" s="11" t="s">
        <v>953</v>
      </c>
      <c r="BE138" s="6">
        <f t="shared" si="569"/>
        <v>0.32489451476793246</v>
      </c>
      <c r="BF138" s="249">
        <f t="shared" si="568"/>
        <v>77</v>
      </c>
    </row>
    <row r="139" spans="24:120" x14ac:dyDescent="0.25">
      <c r="X139" s="19" t="s">
        <v>1731</v>
      </c>
      <c r="Y139" s="254">
        <f t="shared" ref="Y139:Y146" si="570">+Z139/$Z$146</f>
        <v>8.3333333333333329E-2</v>
      </c>
      <c r="Z139" s="249">
        <f t="shared" ref="Z139:Z146" si="571">+AD127</f>
        <v>11</v>
      </c>
      <c r="AK139" s="19" t="s">
        <v>1719</v>
      </c>
      <c r="AL139" s="6">
        <f>+AM139/$AM$147</f>
        <v>4.0816326530612242E-2</v>
      </c>
      <c r="AM139" s="249">
        <f>+AU115</f>
        <v>2</v>
      </c>
      <c r="BD139" s="11" t="s">
        <v>2376</v>
      </c>
      <c r="BE139" s="6">
        <f t="shared" si="569"/>
        <v>8.4388185654008432E-3</v>
      </c>
      <c r="BF139" s="249">
        <f t="shared" si="568"/>
        <v>2</v>
      </c>
    </row>
    <row r="140" spans="24:120" x14ac:dyDescent="0.25">
      <c r="X140" s="11" t="s">
        <v>1732</v>
      </c>
      <c r="Y140" s="254">
        <f t="shared" si="570"/>
        <v>8.3333333333333329E-2</v>
      </c>
      <c r="Z140" s="249">
        <f t="shared" si="571"/>
        <v>11</v>
      </c>
      <c r="AK140" s="19" t="s">
        <v>1720</v>
      </c>
      <c r="AL140" s="6">
        <f t="shared" ref="AL140:AL147" si="572">+AM140/$AM$147</f>
        <v>0.30612244897959184</v>
      </c>
      <c r="AM140" s="249">
        <f t="shared" ref="AM140:AM147" si="573">+AU116</f>
        <v>15</v>
      </c>
      <c r="BD140" s="11" t="s">
        <v>2377</v>
      </c>
      <c r="BE140" s="6">
        <f t="shared" si="569"/>
        <v>2.5316455696202531E-2</v>
      </c>
      <c r="BF140" s="249">
        <f t="shared" si="568"/>
        <v>6</v>
      </c>
    </row>
    <row r="141" spans="24:120" x14ac:dyDescent="0.25">
      <c r="X141" s="19" t="s">
        <v>1737</v>
      </c>
      <c r="Y141" s="254">
        <f t="shared" si="570"/>
        <v>0.22727272727272727</v>
      </c>
      <c r="Z141" s="249">
        <f t="shared" si="571"/>
        <v>30</v>
      </c>
      <c r="AK141" s="19" t="s">
        <v>1721</v>
      </c>
      <c r="AL141" s="6">
        <f t="shared" si="572"/>
        <v>0.26530612244897961</v>
      </c>
      <c r="AM141" s="249">
        <f t="shared" si="573"/>
        <v>13</v>
      </c>
      <c r="BD141" s="11" t="s">
        <v>1662</v>
      </c>
      <c r="BE141" s="6">
        <f t="shared" si="569"/>
        <v>1</v>
      </c>
      <c r="BF141" s="249">
        <f t="shared" si="568"/>
        <v>237</v>
      </c>
    </row>
    <row r="142" spans="24:120" x14ac:dyDescent="0.25">
      <c r="X142" s="19" t="s">
        <v>1007</v>
      </c>
      <c r="Y142" s="254">
        <f t="shared" si="570"/>
        <v>4.5454545454545456E-2</v>
      </c>
      <c r="Z142" s="249">
        <f t="shared" si="571"/>
        <v>6</v>
      </c>
      <c r="AK142" s="19" t="s">
        <v>1722</v>
      </c>
      <c r="AL142" s="6">
        <f t="shared" si="572"/>
        <v>0.18367346938775511</v>
      </c>
      <c r="AM142" s="249">
        <f t="shared" si="573"/>
        <v>9</v>
      </c>
    </row>
    <row r="143" spans="24:120" x14ac:dyDescent="0.25">
      <c r="X143" s="19" t="s">
        <v>1733</v>
      </c>
      <c r="Y143" s="254">
        <f t="shared" si="570"/>
        <v>9.8484848484848481E-2</v>
      </c>
      <c r="Z143" s="249">
        <f t="shared" si="571"/>
        <v>13</v>
      </c>
      <c r="AK143" s="19" t="s">
        <v>1723</v>
      </c>
      <c r="AL143" s="6">
        <f t="shared" si="572"/>
        <v>4.0816326530612242E-2</v>
      </c>
      <c r="AM143" s="249">
        <f t="shared" si="573"/>
        <v>2</v>
      </c>
      <c r="BD143" s="11" t="s">
        <v>2586</v>
      </c>
      <c r="BE143" s="11"/>
      <c r="BF143" s="11"/>
    </row>
    <row r="144" spans="24:120" x14ac:dyDescent="0.25">
      <c r="X144" s="19" t="s">
        <v>1734</v>
      </c>
      <c r="Y144" s="254">
        <f t="shared" si="570"/>
        <v>7.575757575757576E-2</v>
      </c>
      <c r="Z144" s="249">
        <f t="shared" si="571"/>
        <v>10</v>
      </c>
      <c r="AK144" s="19" t="s">
        <v>1724</v>
      </c>
      <c r="AL144" s="6">
        <f t="shared" si="572"/>
        <v>0.10204081632653061</v>
      </c>
      <c r="AM144" s="249">
        <f t="shared" si="573"/>
        <v>5</v>
      </c>
      <c r="BD144" s="11"/>
      <c r="BE144" s="11"/>
      <c r="BF144" s="11" t="str">
        <f>+BQ93</f>
        <v>2004 a 2006</v>
      </c>
    </row>
    <row r="145" spans="24:58" x14ac:dyDescent="0.25">
      <c r="X145" s="19" t="s">
        <v>2510</v>
      </c>
      <c r="Y145" s="254">
        <f t="shared" si="570"/>
        <v>0.37121212121212122</v>
      </c>
      <c r="Z145" s="249">
        <f t="shared" si="571"/>
        <v>49</v>
      </c>
      <c r="AK145" s="19" t="s">
        <v>1725</v>
      </c>
      <c r="AL145" s="6">
        <f t="shared" si="572"/>
        <v>6.1224489795918366E-2</v>
      </c>
      <c r="AM145" s="249">
        <f t="shared" si="573"/>
        <v>3</v>
      </c>
      <c r="BD145" s="11" t="s">
        <v>2374</v>
      </c>
      <c r="BE145" s="6">
        <f>+BF145/$BF$151</f>
        <v>7.4324324324324328E-2</v>
      </c>
      <c r="BF145" s="249">
        <f t="shared" ref="BF145:BF151" si="574">+BQ94</f>
        <v>11</v>
      </c>
    </row>
    <row r="146" spans="24:58" x14ac:dyDescent="0.25">
      <c r="X146" s="19" t="s">
        <v>715</v>
      </c>
      <c r="Y146" s="254">
        <f t="shared" si="570"/>
        <v>1</v>
      </c>
      <c r="Z146" s="249">
        <f t="shared" si="571"/>
        <v>132</v>
      </c>
      <c r="AK146" s="19" t="s">
        <v>2510</v>
      </c>
      <c r="AL146" s="6">
        <f t="shared" si="572"/>
        <v>0</v>
      </c>
      <c r="AM146" s="249">
        <f t="shared" si="573"/>
        <v>0</v>
      </c>
      <c r="BD146" s="11" t="s">
        <v>2375</v>
      </c>
      <c r="BE146" s="6">
        <f t="shared" ref="BE146:BE151" si="575">+BF146/$BF$151</f>
        <v>0.33108108108108109</v>
      </c>
      <c r="BF146" s="249">
        <f t="shared" si="574"/>
        <v>49</v>
      </c>
    </row>
    <row r="147" spans="24:58" x14ac:dyDescent="0.25">
      <c r="X147" s="11"/>
      <c r="Y147" s="254"/>
      <c r="AK147" s="19" t="s">
        <v>715</v>
      </c>
      <c r="AL147" s="6">
        <f t="shared" si="572"/>
        <v>1</v>
      </c>
      <c r="AM147" s="249">
        <f t="shared" si="573"/>
        <v>49</v>
      </c>
      <c r="BD147" s="11" t="s">
        <v>952</v>
      </c>
      <c r="BE147" s="6">
        <f t="shared" si="575"/>
        <v>0.19594594594594594</v>
      </c>
      <c r="BF147" s="249">
        <f t="shared" si="574"/>
        <v>29</v>
      </c>
    </row>
    <row r="148" spans="24:58" x14ac:dyDescent="0.25">
      <c r="X148" s="17" t="s">
        <v>2521</v>
      </c>
      <c r="BD148" s="11" t="s">
        <v>953</v>
      </c>
      <c r="BE148" s="6">
        <f t="shared" si="575"/>
        <v>0.33108108108108109</v>
      </c>
      <c r="BF148" s="249">
        <f t="shared" si="574"/>
        <v>49</v>
      </c>
    </row>
    <row r="149" spans="24:58" x14ac:dyDescent="0.25">
      <c r="X149" s="179"/>
      <c r="Y149" s="249" t="s">
        <v>351</v>
      </c>
      <c r="AK149" s="17" t="s">
        <v>2553</v>
      </c>
      <c r="BD149" s="11" t="s">
        <v>2376</v>
      </c>
      <c r="BE149" s="6">
        <f t="shared" si="575"/>
        <v>3.3783783783783786E-2</v>
      </c>
      <c r="BF149" s="249">
        <f t="shared" si="574"/>
        <v>5</v>
      </c>
    </row>
    <row r="150" spans="24:58" x14ac:dyDescent="0.25">
      <c r="X150" s="19" t="s">
        <v>1730</v>
      </c>
      <c r="Y150" s="254">
        <f>+Z150/$Z$158</f>
        <v>5.1546391752577319E-3</v>
      </c>
      <c r="Z150" s="249">
        <f>+AE126</f>
        <v>1</v>
      </c>
      <c r="AK150" s="179"/>
      <c r="AL150" s="11" t="s">
        <v>2536</v>
      </c>
      <c r="BD150" s="11" t="s">
        <v>2377</v>
      </c>
      <c r="BE150" s="6">
        <f t="shared" si="575"/>
        <v>3.3783783783783786E-2</v>
      </c>
      <c r="BF150" s="249">
        <f t="shared" si="574"/>
        <v>5</v>
      </c>
    </row>
    <row r="151" spans="24:58" x14ac:dyDescent="0.25">
      <c r="X151" s="19" t="s">
        <v>1731</v>
      </c>
      <c r="Y151" s="254">
        <f t="shared" ref="Y151:Y158" si="576">+Z151/$Z$158</f>
        <v>0.10309278350515463</v>
      </c>
      <c r="Z151" s="249">
        <f t="shared" ref="Z151:Z158" si="577">+AE127</f>
        <v>20</v>
      </c>
      <c r="AK151" s="19" t="s">
        <v>1719</v>
      </c>
      <c r="AL151" s="6">
        <f>+AM151/$AM$159</f>
        <v>0.10377358490566038</v>
      </c>
      <c r="AM151" s="249">
        <f>+AV115</f>
        <v>11</v>
      </c>
      <c r="BD151" s="11" t="s">
        <v>1662</v>
      </c>
      <c r="BE151" s="6">
        <f t="shared" si="575"/>
        <v>1</v>
      </c>
      <c r="BF151" s="249">
        <f t="shared" si="574"/>
        <v>148</v>
      </c>
    </row>
    <row r="152" spans="24:58" x14ac:dyDescent="0.25">
      <c r="X152" s="11" t="s">
        <v>1732</v>
      </c>
      <c r="Y152" s="254">
        <f t="shared" si="576"/>
        <v>6.7010309278350513E-2</v>
      </c>
      <c r="Z152" s="249">
        <f t="shared" si="577"/>
        <v>13</v>
      </c>
      <c r="AK152" s="19" t="s">
        <v>1720</v>
      </c>
      <c r="AL152" s="6">
        <f t="shared" ref="AL152:AL159" si="578">+AM152/$AM$159</f>
        <v>0.21698113207547171</v>
      </c>
      <c r="AM152" s="249">
        <f t="shared" ref="AM152:AM159" si="579">+AV116</f>
        <v>23</v>
      </c>
    </row>
    <row r="153" spans="24:58" x14ac:dyDescent="0.25">
      <c r="X153" s="19" t="s">
        <v>1737</v>
      </c>
      <c r="Y153" s="254">
        <f t="shared" si="576"/>
        <v>0.20103092783505155</v>
      </c>
      <c r="Z153" s="249">
        <f t="shared" si="577"/>
        <v>39</v>
      </c>
      <c r="AK153" s="19" t="s">
        <v>1721</v>
      </c>
      <c r="AL153" s="6">
        <f t="shared" si="578"/>
        <v>0.23584905660377359</v>
      </c>
      <c r="AM153" s="249">
        <f t="shared" si="579"/>
        <v>25</v>
      </c>
      <c r="BD153" s="11" t="s">
        <v>2587</v>
      </c>
      <c r="BE153" s="11"/>
      <c r="BF153" s="11"/>
    </row>
    <row r="154" spans="24:58" x14ac:dyDescent="0.25">
      <c r="X154" s="19" t="s">
        <v>1007</v>
      </c>
      <c r="Y154" s="254">
        <f t="shared" si="576"/>
        <v>7.2164948453608241E-2</v>
      </c>
      <c r="Z154" s="249">
        <f t="shared" si="577"/>
        <v>14</v>
      </c>
      <c r="AK154" s="19" t="s">
        <v>1722</v>
      </c>
      <c r="AL154" s="6">
        <f t="shared" si="578"/>
        <v>6.6037735849056603E-2</v>
      </c>
      <c r="AM154" s="249">
        <f t="shared" si="579"/>
        <v>7</v>
      </c>
      <c r="BD154" s="11"/>
      <c r="BE154" s="11"/>
      <c r="BF154" s="11" t="str">
        <f>+BR93</f>
        <v>2007 a 2010</v>
      </c>
    </row>
    <row r="155" spans="24:58" x14ac:dyDescent="0.25">
      <c r="X155" s="19" t="s">
        <v>1733</v>
      </c>
      <c r="Y155" s="254">
        <f t="shared" si="576"/>
        <v>7.7319587628865982E-2</v>
      </c>
      <c r="Z155" s="249">
        <f t="shared" si="577"/>
        <v>15</v>
      </c>
      <c r="AK155" s="19" t="s">
        <v>1723</v>
      </c>
      <c r="AL155" s="6">
        <f t="shared" si="578"/>
        <v>0.12264150943396226</v>
      </c>
      <c r="AM155" s="249">
        <f t="shared" si="579"/>
        <v>13</v>
      </c>
      <c r="BD155" s="11" t="s">
        <v>2374</v>
      </c>
      <c r="BE155" s="6">
        <f>+BF155/$BF$161</f>
        <v>0.10714285714285714</v>
      </c>
      <c r="BF155" s="249">
        <f t="shared" ref="BF155:BF161" si="580">+BR94</f>
        <v>24</v>
      </c>
    </row>
    <row r="156" spans="24:58" x14ac:dyDescent="0.25">
      <c r="X156" s="19" t="s">
        <v>1734</v>
      </c>
      <c r="Y156" s="254">
        <f t="shared" si="576"/>
        <v>0.38659793814432991</v>
      </c>
      <c r="Z156" s="249">
        <f t="shared" si="577"/>
        <v>75</v>
      </c>
      <c r="AK156" s="19" t="s">
        <v>1724</v>
      </c>
      <c r="AL156" s="6">
        <f t="shared" si="578"/>
        <v>7.5471698113207544E-2</v>
      </c>
      <c r="AM156" s="249">
        <f t="shared" si="579"/>
        <v>8</v>
      </c>
      <c r="BD156" s="11" t="s">
        <v>2375</v>
      </c>
      <c r="BE156" s="6">
        <f t="shared" ref="BE156:BE161" si="581">+BF156/$BF$161</f>
        <v>0.2767857142857143</v>
      </c>
      <c r="BF156" s="249">
        <f t="shared" si="580"/>
        <v>62</v>
      </c>
    </row>
    <row r="157" spans="24:58" x14ac:dyDescent="0.25">
      <c r="X157" s="19" t="s">
        <v>2510</v>
      </c>
      <c r="Y157" s="254">
        <f t="shared" si="576"/>
        <v>8.7628865979381437E-2</v>
      </c>
      <c r="Z157" s="249">
        <f t="shared" si="577"/>
        <v>17</v>
      </c>
      <c r="AK157" s="19" t="s">
        <v>1725</v>
      </c>
      <c r="AL157" s="6">
        <f t="shared" si="578"/>
        <v>0.12264150943396226</v>
      </c>
      <c r="AM157" s="249">
        <f t="shared" si="579"/>
        <v>13</v>
      </c>
      <c r="BD157" s="11" t="s">
        <v>952</v>
      </c>
      <c r="BE157" s="6">
        <f t="shared" si="581"/>
        <v>0.16071428571428573</v>
      </c>
      <c r="BF157" s="249">
        <f t="shared" si="580"/>
        <v>36</v>
      </c>
    </row>
    <row r="158" spans="24:58" x14ac:dyDescent="0.25">
      <c r="X158" s="19" t="s">
        <v>715</v>
      </c>
      <c r="Y158" s="254">
        <f t="shared" si="576"/>
        <v>1</v>
      </c>
      <c r="Z158" s="249">
        <f t="shared" si="577"/>
        <v>194</v>
      </c>
      <c r="AK158" s="19" t="s">
        <v>2510</v>
      </c>
      <c r="AL158" s="6">
        <f t="shared" si="578"/>
        <v>5.6603773584905662E-2</v>
      </c>
      <c r="AM158" s="249">
        <f t="shared" si="579"/>
        <v>6</v>
      </c>
      <c r="BD158" s="11" t="s">
        <v>953</v>
      </c>
      <c r="BE158" s="6">
        <f t="shared" si="581"/>
        <v>0.38392857142857145</v>
      </c>
      <c r="BF158" s="249">
        <f t="shared" si="580"/>
        <v>86</v>
      </c>
    </row>
    <row r="159" spans="24:58" x14ac:dyDescent="0.25">
      <c r="AK159" s="19" t="s">
        <v>715</v>
      </c>
      <c r="AL159" s="6">
        <f t="shared" si="578"/>
        <v>1</v>
      </c>
      <c r="AM159" s="249">
        <f t="shared" si="579"/>
        <v>106</v>
      </c>
      <c r="BD159" s="11" t="s">
        <v>2376</v>
      </c>
      <c r="BE159" s="6">
        <f t="shared" si="581"/>
        <v>2.2321428571428572E-2</v>
      </c>
      <c r="BF159" s="249">
        <f t="shared" si="580"/>
        <v>5</v>
      </c>
    </row>
    <row r="160" spans="24:58" x14ac:dyDescent="0.25">
      <c r="X160" s="17" t="s">
        <v>2522</v>
      </c>
      <c r="BD160" s="11" t="s">
        <v>2377</v>
      </c>
      <c r="BE160" s="6">
        <f t="shared" si="581"/>
        <v>4.9107142857142856E-2</v>
      </c>
      <c r="BF160" s="249">
        <f t="shared" si="580"/>
        <v>11</v>
      </c>
    </row>
    <row r="161" spans="24:58" x14ac:dyDescent="0.25">
      <c r="X161" s="179"/>
      <c r="Y161" s="249" t="s">
        <v>359</v>
      </c>
      <c r="AK161" s="17" t="s">
        <v>2557</v>
      </c>
      <c r="BD161" s="11" t="s">
        <v>1662</v>
      </c>
      <c r="BE161" s="6">
        <f t="shared" si="581"/>
        <v>1</v>
      </c>
      <c r="BF161" s="249">
        <f t="shared" si="580"/>
        <v>224</v>
      </c>
    </row>
    <row r="162" spans="24:58" x14ac:dyDescent="0.25">
      <c r="X162" s="19" t="s">
        <v>1730</v>
      </c>
      <c r="Y162" s="254">
        <f>+Z162/$Z$170</f>
        <v>0</v>
      </c>
      <c r="Z162" s="249">
        <f>+AF126</f>
        <v>0</v>
      </c>
      <c r="AK162" s="179"/>
      <c r="AL162" s="11" t="s">
        <v>2537</v>
      </c>
    </row>
    <row r="163" spans="24:58" x14ac:dyDescent="0.25">
      <c r="X163" s="19" t="s">
        <v>1731</v>
      </c>
      <c r="Y163" s="254">
        <f t="shared" ref="Y163:Y170" si="582">+Z163/$Z$170</f>
        <v>0.23255813953488372</v>
      </c>
      <c r="Z163" s="249">
        <f t="shared" ref="Z163:Z170" si="583">+AF127</f>
        <v>10</v>
      </c>
      <c r="AK163" s="19" t="s">
        <v>1719</v>
      </c>
      <c r="AL163" s="6">
        <f>+AM163/$AM$171</f>
        <v>6.0869565217391307E-2</v>
      </c>
      <c r="AM163" s="249">
        <f>+AW115</f>
        <v>14</v>
      </c>
      <c r="BD163" s="11" t="s">
        <v>2588</v>
      </c>
      <c r="BE163" s="11"/>
      <c r="BF163" s="11"/>
    </row>
    <row r="164" spans="24:58" x14ac:dyDescent="0.25">
      <c r="X164" s="11" t="s">
        <v>1732</v>
      </c>
      <c r="Y164" s="254">
        <f t="shared" si="582"/>
        <v>0.11627906976744186</v>
      </c>
      <c r="Z164" s="249">
        <f t="shared" si="583"/>
        <v>5</v>
      </c>
      <c r="AK164" s="19" t="s">
        <v>1720</v>
      </c>
      <c r="AL164" s="6">
        <f t="shared" ref="AL164:AL171" si="584">+AM164/$AM$171</f>
        <v>0.15652173913043479</v>
      </c>
      <c r="AM164" s="249">
        <f t="shared" ref="AM164:AM171" si="585">+AW116</f>
        <v>36</v>
      </c>
      <c r="BD164" s="11"/>
      <c r="BE164" s="11"/>
      <c r="BF164" s="11" t="str">
        <f>+BS93</f>
        <v>2011 en adelante</v>
      </c>
    </row>
    <row r="165" spans="24:58" x14ac:dyDescent="0.25">
      <c r="X165" s="19" t="s">
        <v>1737</v>
      </c>
      <c r="Y165" s="254">
        <f t="shared" si="582"/>
        <v>2.3255813953488372E-2</v>
      </c>
      <c r="Z165" s="249">
        <f t="shared" si="583"/>
        <v>1</v>
      </c>
      <c r="AK165" s="19" t="s">
        <v>1721</v>
      </c>
      <c r="AL165" s="6">
        <f t="shared" si="584"/>
        <v>0.12608695652173912</v>
      </c>
      <c r="AM165" s="249">
        <f t="shared" si="585"/>
        <v>29</v>
      </c>
      <c r="BD165" s="11" t="s">
        <v>2374</v>
      </c>
      <c r="BE165" s="6">
        <f>+BF165/$BF$171</f>
        <v>0.12</v>
      </c>
      <c r="BF165" s="249">
        <f t="shared" ref="BF165:BF171" si="586">+BS94</f>
        <v>12</v>
      </c>
    </row>
    <row r="166" spans="24:58" x14ac:dyDescent="0.25">
      <c r="X166" s="19" t="s">
        <v>1007</v>
      </c>
      <c r="Y166" s="254">
        <f t="shared" si="582"/>
        <v>6.9767441860465115E-2</v>
      </c>
      <c r="Z166" s="249">
        <f t="shared" si="583"/>
        <v>3</v>
      </c>
      <c r="AK166" s="19" t="s">
        <v>1722</v>
      </c>
      <c r="AL166" s="6">
        <f t="shared" si="584"/>
        <v>0.16521739130434782</v>
      </c>
      <c r="AM166" s="249">
        <f t="shared" si="585"/>
        <v>38</v>
      </c>
      <c r="BD166" s="11" t="s">
        <v>2375</v>
      </c>
      <c r="BE166" s="6">
        <f t="shared" ref="BE166:BE171" si="587">+BF166/$BF$171</f>
        <v>0.25</v>
      </c>
      <c r="BF166" s="249">
        <f t="shared" si="586"/>
        <v>25</v>
      </c>
    </row>
    <row r="167" spans="24:58" x14ac:dyDescent="0.25">
      <c r="X167" s="19" t="s">
        <v>1733</v>
      </c>
      <c r="Y167" s="254">
        <f t="shared" si="582"/>
        <v>0.51162790697674421</v>
      </c>
      <c r="Z167" s="249">
        <f t="shared" si="583"/>
        <v>22</v>
      </c>
      <c r="AK167" s="19" t="s">
        <v>1723</v>
      </c>
      <c r="AL167" s="6">
        <f t="shared" si="584"/>
        <v>0.22173913043478261</v>
      </c>
      <c r="AM167" s="249">
        <f t="shared" si="585"/>
        <v>51</v>
      </c>
      <c r="BD167" s="11" t="s">
        <v>952</v>
      </c>
      <c r="BE167" s="6">
        <f t="shared" si="587"/>
        <v>0.13</v>
      </c>
      <c r="BF167" s="249">
        <f t="shared" si="586"/>
        <v>13</v>
      </c>
    </row>
    <row r="168" spans="24:58" x14ac:dyDescent="0.25">
      <c r="X168" s="19" t="s">
        <v>1734</v>
      </c>
      <c r="Y168" s="254">
        <f t="shared" si="582"/>
        <v>4.6511627906976744E-2</v>
      </c>
      <c r="Z168" s="249">
        <f t="shared" si="583"/>
        <v>2</v>
      </c>
      <c r="AK168" s="19" t="s">
        <v>1724</v>
      </c>
      <c r="AL168" s="6">
        <f t="shared" si="584"/>
        <v>0.12173913043478261</v>
      </c>
      <c r="AM168" s="249">
        <f t="shared" si="585"/>
        <v>28</v>
      </c>
      <c r="BD168" s="11" t="s">
        <v>953</v>
      </c>
      <c r="BE168" s="6">
        <f t="shared" si="587"/>
        <v>0.2</v>
      </c>
      <c r="BF168" s="249">
        <f t="shared" si="586"/>
        <v>20</v>
      </c>
    </row>
    <row r="169" spans="24:58" x14ac:dyDescent="0.25">
      <c r="X169" s="19" t="s">
        <v>2510</v>
      </c>
      <c r="Y169" s="254">
        <f t="shared" si="582"/>
        <v>0</v>
      </c>
      <c r="Z169" s="249">
        <f t="shared" si="583"/>
        <v>0</v>
      </c>
      <c r="AK169" s="19" t="s">
        <v>1725</v>
      </c>
      <c r="AL169" s="6">
        <f t="shared" si="584"/>
        <v>0.12608695652173912</v>
      </c>
      <c r="AM169" s="249">
        <f t="shared" si="585"/>
        <v>29</v>
      </c>
      <c r="BD169" s="11" t="s">
        <v>2376</v>
      </c>
      <c r="BE169" s="6">
        <f t="shared" si="587"/>
        <v>0</v>
      </c>
      <c r="BF169" s="249">
        <f t="shared" si="586"/>
        <v>0</v>
      </c>
    </row>
    <row r="170" spans="24:58" x14ac:dyDescent="0.25">
      <c r="X170" s="19" t="s">
        <v>715</v>
      </c>
      <c r="Y170" s="254">
        <f t="shared" si="582"/>
        <v>1</v>
      </c>
      <c r="Z170" s="249">
        <f t="shared" si="583"/>
        <v>43</v>
      </c>
      <c r="AK170" s="19" t="s">
        <v>2510</v>
      </c>
      <c r="AL170" s="6">
        <f t="shared" si="584"/>
        <v>2.1739130434782608E-2</v>
      </c>
      <c r="AM170" s="249">
        <f t="shared" si="585"/>
        <v>5</v>
      </c>
      <c r="BD170" s="11" t="s">
        <v>2377</v>
      </c>
      <c r="BE170" s="6">
        <f t="shared" si="587"/>
        <v>0.3</v>
      </c>
      <c r="BF170" s="249">
        <f t="shared" si="586"/>
        <v>30</v>
      </c>
    </row>
    <row r="171" spans="24:58" x14ac:dyDescent="0.25">
      <c r="AK171" s="19" t="s">
        <v>715</v>
      </c>
      <c r="AL171" s="6">
        <f t="shared" si="584"/>
        <v>1</v>
      </c>
      <c r="AM171" s="249">
        <f t="shared" si="585"/>
        <v>230</v>
      </c>
      <c r="BD171" s="11" t="s">
        <v>1662</v>
      </c>
      <c r="BE171" s="6">
        <f t="shared" si="587"/>
        <v>1</v>
      </c>
      <c r="BF171" s="249">
        <f t="shared" si="586"/>
        <v>100</v>
      </c>
    </row>
    <row r="172" spans="24:58" x14ac:dyDescent="0.25">
      <c r="X172" s="17" t="s">
        <v>2523</v>
      </c>
    </row>
    <row r="173" spans="24:58" x14ac:dyDescent="0.25">
      <c r="X173" s="179"/>
      <c r="Y173" s="249" t="s">
        <v>337</v>
      </c>
      <c r="AK173" s="17" t="s">
        <v>2554</v>
      </c>
    </row>
    <row r="174" spans="24:58" x14ac:dyDescent="0.25">
      <c r="X174" s="19" t="s">
        <v>1730</v>
      </c>
      <c r="Y174" s="254">
        <f>+Z174/$Z$182</f>
        <v>2.0715630885122412E-2</v>
      </c>
      <c r="Z174" s="249">
        <f>+AG126</f>
        <v>11</v>
      </c>
      <c r="AK174" s="179"/>
      <c r="AL174" s="11" t="s">
        <v>2538</v>
      </c>
    </row>
    <row r="175" spans="24:58" x14ac:dyDescent="0.25">
      <c r="X175" s="19" t="s">
        <v>1731</v>
      </c>
      <c r="Y175" s="254">
        <f t="shared" ref="Y175:Y182" si="588">+Z175/$Z$182</f>
        <v>0.20150659133709981</v>
      </c>
      <c r="Z175" s="249">
        <f t="shared" ref="Z175:Z182" si="589">+AG127</f>
        <v>107</v>
      </c>
      <c r="AK175" s="19" t="s">
        <v>1719</v>
      </c>
      <c r="AL175" s="6">
        <f t="shared" ref="AL175:AL183" si="590">+AM175/$AM$183</f>
        <v>1.5384615384615385E-2</v>
      </c>
      <c r="AM175" s="249">
        <f t="shared" ref="AM175:AM183" si="591">+AX115</f>
        <v>2</v>
      </c>
    </row>
    <row r="176" spans="24:58" x14ac:dyDescent="0.25">
      <c r="X176" s="11" t="s">
        <v>1732</v>
      </c>
      <c r="Y176" s="254">
        <f t="shared" si="588"/>
        <v>0.17702448210922786</v>
      </c>
      <c r="Z176" s="249">
        <f t="shared" si="589"/>
        <v>94</v>
      </c>
      <c r="AK176" s="19" t="s">
        <v>1720</v>
      </c>
      <c r="AL176" s="6">
        <f t="shared" si="590"/>
        <v>0.16923076923076924</v>
      </c>
      <c r="AM176" s="249">
        <f t="shared" si="591"/>
        <v>22</v>
      </c>
    </row>
    <row r="177" spans="24:39" x14ac:dyDescent="0.25">
      <c r="X177" s="19" t="s">
        <v>1737</v>
      </c>
      <c r="Y177" s="254">
        <f t="shared" si="588"/>
        <v>0.17137476459510359</v>
      </c>
      <c r="Z177" s="249">
        <f t="shared" si="589"/>
        <v>91</v>
      </c>
      <c r="AK177" s="19" t="s">
        <v>1721</v>
      </c>
      <c r="AL177" s="6">
        <f t="shared" si="590"/>
        <v>0.13846153846153847</v>
      </c>
      <c r="AM177" s="249">
        <f t="shared" si="591"/>
        <v>18</v>
      </c>
    </row>
    <row r="178" spans="24:39" x14ac:dyDescent="0.25">
      <c r="X178" s="19" t="s">
        <v>1007</v>
      </c>
      <c r="Y178" s="254">
        <f t="shared" si="588"/>
        <v>0.2655367231638418</v>
      </c>
      <c r="Z178" s="249">
        <f t="shared" si="589"/>
        <v>141</v>
      </c>
      <c r="AK178" s="19" t="s">
        <v>1722</v>
      </c>
      <c r="AL178" s="6">
        <f t="shared" si="590"/>
        <v>0.14615384615384616</v>
      </c>
      <c r="AM178" s="249">
        <f t="shared" si="591"/>
        <v>19</v>
      </c>
    </row>
    <row r="179" spans="24:39" x14ac:dyDescent="0.25">
      <c r="X179" s="19" t="s">
        <v>1733</v>
      </c>
      <c r="Y179" s="254">
        <f t="shared" si="588"/>
        <v>0.13747645951035781</v>
      </c>
      <c r="Z179" s="249">
        <f t="shared" si="589"/>
        <v>73</v>
      </c>
      <c r="AK179" s="19" t="s">
        <v>1723</v>
      </c>
      <c r="AL179" s="6">
        <f t="shared" si="590"/>
        <v>0.23076923076923078</v>
      </c>
      <c r="AM179" s="249">
        <f t="shared" si="591"/>
        <v>30</v>
      </c>
    </row>
    <row r="180" spans="24:39" x14ac:dyDescent="0.25">
      <c r="X180" s="19" t="s">
        <v>1734</v>
      </c>
      <c r="Y180" s="254">
        <f t="shared" si="588"/>
        <v>2.2598870056497175E-2</v>
      </c>
      <c r="Z180" s="249">
        <f t="shared" si="589"/>
        <v>12</v>
      </c>
      <c r="AK180" s="19" t="s">
        <v>1724</v>
      </c>
      <c r="AL180" s="6">
        <f t="shared" si="590"/>
        <v>5.3846153846153849E-2</v>
      </c>
      <c r="AM180" s="249">
        <f t="shared" si="591"/>
        <v>7</v>
      </c>
    </row>
    <row r="181" spans="24:39" x14ac:dyDescent="0.25">
      <c r="X181" s="19" t="s">
        <v>2510</v>
      </c>
      <c r="Y181" s="254">
        <f t="shared" si="588"/>
        <v>3.766478342749529E-3</v>
      </c>
      <c r="Z181" s="249">
        <f t="shared" si="589"/>
        <v>2</v>
      </c>
      <c r="AK181" s="19" t="s">
        <v>1725</v>
      </c>
      <c r="AL181" s="6">
        <f t="shared" si="590"/>
        <v>0.18461538461538463</v>
      </c>
      <c r="AM181" s="249">
        <f t="shared" si="591"/>
        <v>24</v>
      </c>
    </row>
    <row r="182" spans="24:39" x14ac:dyDescent="0.25">
      <c r="X182" s="19" t="s">
        <v>715</v>
      </c>
      <c r="Y182" s="254">
        <f t="shared" si="588"/>
        <v>1</v>
      </c>
      <c r="Z182" s="249">
        <f t="shared" si="589"/>
        <v>531</v>
      </c>
      <c r="AK182" s="19" t="s">
        <v>2510</v>
      </c>
      <c r="AL182" s="6">
        <f t="shared" si="590"/>
        <v>6.1538461538461542E-2</v>
      </c>
      <c r="AM182" s="249">
        <f t="shared" si="591"/>
        <v>8</v>
      </c>
    </row>
    <row r="183" spans="24:39" x14ac:dyDescent="0.25">
      <c r="AK183" s="19" t="s">
        <v>715</v>
      </c>
      <c r="AL183" s="6">
        <f t="shared" si="590"/>
        <v>1</v>
      </c>
      <c r="AM183" s="249">
        <f t="shared" si="591"/>
        <v>130</v>
      </c>
    </row>
    <row r="184" spans="24:39" x14ac:dyDescent="0.25">
      <c r="X184" s="17" t="s">
        <v>2524</v>
      </c>
    </row>
    <row r="185" spans="24:39" x14ac:dyDescent="0.25">
      <c r="X185" s="179"/>
      <c r="Y185" s="249" t="s">
        <v>348</v>
      </c>
      <c r="Z185" s="249" t="s">
        <v>351</v>
      </c>
      <c r="AA185" s="249" t="s">
        <v>359</v>
      </c>
      <c r="AB185" s="249" t="s">
        <v>337</v>
      </c>
      <c r="AD185" s="249" t="s">
        <v>348</v>
      </c>
      <c r="AE185" s="249" t="s">
        <v>351</v>
      </c>
      <c r="AF185" s="249" t="s">
        <v>359</v>
      </c>
      <c r="AG185" s="249" t="s">
        <v>337</v>
      </c>
      <c r="AK185" s="17" t="s">
        <v>2555</v>
      </c>
    </row>
    <row r="186" spans="24:39" x14ac:dyDescent="0.25">
      <c r="X186" s="11" t="s">
        <v>2525</v>
      </c>
      <c r="Y186" s="254">
        <f>+AD186/$AH$193</f>
        <v>2.7397260273972601E-2</v>
      </c>
      <c r="Z186" s="254">
        <f t="shared" ref="Z186:Z193" si="592">+AE186/$AH$193</f>
        <v>0</v>
      </c>
      <c r="AA186" s="254">
        <f t="shared" ref="AA186:AA193" si="593">+AF186/$AH$193</f>
        <v>0</v>
      </c>
      <c r="AB186" s="254">
        <f t="shared" ref="AB186:AB193" si="594">+AG186/$AH$193</f>
        <v>0</v>
      </c>
      <c r="AC186" s="254">
        <f t="shared" ref="AC186:AC193" si="595">+AH186/$AH$193</f>
        <v>2.7397260273972601E-2</v>
      </c>
      <c r="AD186" s="9">
        <f>COUNTIFS('DETALLES UNIDADES'!$C$8:$C$987,"C2",'DETALLES UNIDADES'!$T$8:$T$987,"&lt;2.0",'DETALLES UNIDADES'!$S$8:$S$987,"G")</f>
        <v>2</v>
      </c>
      <c r="AE186" s="9">
        <f>COUNTIFS('DETALLES UNIDADES'!$C$8:$C$987,"C3",'DETALLES UNIDADES'!$T$8:$T$987,"&lt;2.0",'DETALLES UNIDADES'!$S$8:$S$987,"G")</f>
        <v>0</v>
      </c>
      <c r="AF186" s="9">
        <f>COUNTIFS('DETALLES UNIDADES'!$C$8:$C$987,"T2",'DETALLES UNIDADES'!$T$8:$T$987,"&lt;2.0",'DETALLES UNIDADES'!$S$8:$S$987,"G")</f>
        <v>0</v>
      </c>
      <c r="AG186" s="9">
        <f>COUNTIFS('DETALLES UNIDADES'!$C$8:$C$987,"T3",'DETALLES UNIDADES'!$T$8:$T$987,"&lt;2.0",'DETALLES UNIDADES'!$S$8:$S$987,"G")</f>
        <v>0</v>
      </c>
      <c r="AH186" s="249">
        <f t="shared" ref="AH186:AH192" si="596">SUM(AD186:AG186)</f>
        <v>2</v>
      </c>
      <c r="AI186" s="17">
        <v>42</v>
      </c>
      <c r="AK186" s="179"/>
      <c r="AL186" s="11" t="str">
        <f>+AY114</f>
        <v>2007 a 2010</v>
      </c>
    </row>
    <row r="187" spans="24:39" x14ac:dyDescent="0.25">
      <c r="X187" s="11" t="s">
        <v>2526</v>
      </c>
      <c r="Y187" s="254">
        <f t="shared" ref="Y187:Y193" si="597">+AD187/$AH$193</f>
        <v>0.1095890410958904</v>
      </c>
      <c r="Z187" s="254">
        <f t="shared" si="592"/>
        <v>0</v>
      </c>
      <c r="AA187" s="254">
        <f t="shared" si="593"/>
        <v>0</v>
      </c>
      <c r="AB187" s="254">
        <f t="shared" si="594"/>
        <v>0</v>
      </c>
      <c r="AC187" s="254">
        <f t="shared" si="595"/>
        <v>0.1095890410958904</v>
      </c>
      <c r="AD187" s="9">
        <f>COUNTIFS('DETALLES UNIDADES'!$C$8:$C$987,"C2",'DETALLES UNIDADES'!$T$8:$T$987,"&lt;2.51",'DETALLES UNIDADES'!$S$8:$S$987,"G")-AD186</f>
        <v>8</v>
      </c>
      <c r="AE187" s="9">
        <f>COUNTIFS('DETALLES UNIDADES'!$C$8:$C$987,"C3",'DETALLES UNIDADES'!$T$8:$T$987,"&lt;2.51",'DETALLES UNIDADES'!$S$8:$S$987,"G")-AE186</f>
        <v>0</v>
      </c>
      <c r="AF187" s="9">
        <f>COUNTIFS('DETALLES UNIDADES'!$C$8:$C$987,"T2",'DETALLES UNIDADES'!$T$8:$T$987,"&lt;2.51",'DETALLES UNIDADES'!$S$8:$S$987,"G")-AF186</f>
        <v>0</v>
      </c>
      <c r="AG187" s="9">
        <f>COUNTIFS('DETALLES UNIDADES'!$C$8:$C$987,"T3",'DETALLES UNIDADES'!$T$8:$T$987,"&lt;2.51",'DETALLES UNIDADES'!$S$8:$S$987,"G")-AG186</f>
        <v>0</v>
      </c>
      <c r="AH187" s="249">
        <f t="shared" si="596"/>
        <v>8</v>
      </c>
      <c r="AI187" s="17">
        <v>135</v>
      </c>
      <c r="AK187" s="19" t="s">
        <v>1719</v>
      </c>
      <c r="AL187" s="6">
        <f t="shared" ref="AL187:AL195" si="598">+AM187/$AM$195</f>
        <v>3.9800995024875621E-2</v>
      </c>
      <c r="AM187" s="249">
        <f t="shared" ref="AM187:AM195" si="599">+AY115</f>
        <v>8</v>
      </c>
    </row>
    <row r="188" spans="24:39" x14ac:dyDescent="0.25">
      <c r="X188" s="11" t="s">
        <v>2527</v>
      </c>
      <c r="Y188" s="254">
        <f t="shared" si="597"/>
        <v>1.3698630136986301E-2</v>
      </c>
      <c r="Z188" s="254">
        <f t="shared" si="592"/>
        <v>0</v>
      </c>
      <c r="AA188" s="254">
        <f t="shared" si="593"/>
        <v>0</v>
      </c>
      <c r="AB188" s="254">
        <f t="shared" si="594"/>
        <v>0</v>
      </c>
      <c r="AC188" s="254">
        <f t="shared" si="595"/>
        <v>1.3698630136986301E-2</v>
      </c>
      <c r="AD188" s="9">
        <f>COUNTIFS('DETALLES UNIDADES'!$C$8:$C$987,"C2",'DETALLES UNIDADES'!$T$8:$T$987,"&lt;3.51",'DETALLES UNIDADES'!$S$8:$S$987,"G")-AD187-AD186</f>
        <v>1</v>
      </c>
      <c r="AE188" s="9">
        <f>COUNTIFS('DETALLES UNIDADES'!$C$8:$C$987,"C3",'DETALLES UNIDADES'!$T$8:$T$987,"&lt;3.51",'DETALLES UNIDADES'!$S$8:$S$987,"G")-AE187-AE186</f>
        <v>0</v>
      </c>
      <c r="AF188" s="9">
        <f>COUNTIFS('DETALLES UNIDADES'!$C$8:$C$987,"T2",'DETALLES UNIDADES'!$T$8:$T$987,"&lt;3.51",'DETALLES UNIDADES'!$S$8:$S$987,"G")-AF187-AF186</f>
        <v>0</v>
      </c>
      <c r="AG188" s="9">
        <f>COUNTIFS('DETALLES UNIDADES'!$C$8:$C$987,"T3",'DETALLES UNIDADES'!$T$8:$T$987,"&lt;3.51",'DETALLES UNIDADES'!$S$8:$S$987,"G")-AG187-AG186</f>
        <v>0</v>
      </c>
      <c r="AH188" s="249">
        <f t="shared" si="596"/>
        <v>1</v>
      </c>
      <c r="AI188" s="17">
        <v>175</v>
      </c>
      <c r="AK188" s="19" t="s">
        <v>1720</v>
      </c>
      <c r="AL188" s="6">
        <f t="shared" si="598"/>
        <v>7.9601990049751242E-2</v>
      </c>
      <c r="AM188" s="249">
        <f t="shared" si="599"/>
        <v>16</v>
      </c>
    </row>
    <row r="189" spans="24:39" x14ac:dyDescent="0.25">
      <c r="X189" s="11" t="s">
        <v>2528</v>
      </c>
      <c r="Y189" s="254">
        <f t="shared" si="597"/>
        <v>0.24657534246575341</v>
      </c>
      <c r="Z189" s="254">
        <f t="shared" si="592"/>
        <v>0</v>
      </c>
      <c r="AA189" s="254">
        <f t="shared" si="593"/>
        <v>0</v>
      </c>
      <c r="AB189" s="254">
        <f t="shared" si="594"/>
        <v>0</v>
      </c>
      <c r="AC189" s="254">
        <f t="shared" si="595"/>
        <v>0.24657534246575341</v>
      </c>
      <c r="AD189" s="9">
        <f>COUNTIFS('DETALLES UNIDADES'!$C$8:$C$987,"C2",'DETALLES UNIDADES'!$T$8:$T$987,"&lt;4.01",'DETALLES UNIDADES'!$S$8:$S$987,"G")-AD188-AD187-AD186</f>
        <v>18</v>
      </c>
      <c r="AE189" s="9">
        <f>COUNTIFS('DETALLES UNIDADES'!$C$8:$C$987,"C3",'DETALLES UNIDADES'!$T$8:$T$987,"&lt;4.01",'DETALLES UNIDADES'!$S$8:$S$987,"G")-AE188-AE187-AE186</f>
        <v>0</v>
      </c>
      <c r="AF189" s="9">
        <f>COUNTIFS('DETALLES UNIDADES'!$C$8:$C$987,"T2",'DETALLES UNIDADES'!$T$8:$T$987,"&lt;4.01",'DETALLES UNIDADES'!$S$8:$S$987,"G")-AF188-AF187-AF186</f>
        <v>0</v>
      </c>
      <c r="AG189" s="9">
        <f>COUNTIFS('DETALLES UNIDADES'!$C$8:$C$987,"T3",'DETALLES UNIDADES'!$T$8:$T$987,"&lt;4.01",'DETALLES UNIDADES'!$S$8:$S$987,"G")-AG188-AG187-AG186</f>
        <v>0</v>
      </c>
      <c r="AH189" s="249">
        <f t="shared" si="596"/>
        <v>18</v>
      </c>
      <c r="AI189" s="17">
        <v>153</v>
      </c>
      <c r="AK189" s="19" t="s">
        <v>1721</v>
      </c>
      <c r="AL189" s="6">
        <f t="shared" si="598"/>
        <v>0.13432835820895522</v>
      </c>
      <c r="AM189" s="249">
        <f t="shared" si="599"/>
        <v>27</v>
      </c>
    </row>
    <row r="190" spans="24:39" x14ac:dyDescent="0.25">
      <c r="X190" s="11" t="s">
        <v>1726</v>
      </c>
      <c r="Y190" s="254">
        <f t="shared" si="597"/>
        <v>0.36986301369863012</v>
      </c>
      <c r="Z190" s="254">
        <f t="shared" si="592"/>
        <v>0</v>
      </c>
      <c r="AA190" s="254">
        <f t="shared" si="593"/>
        <v>0</v>
      </c>
      <c r="AB190" s="254">
        <f t="shared" si="594"/>
        <v>0</v>
      </c>
      <c r="AC190" s="254">
        <f t="shared" si="595"/>
        <v>0.36986301369863012</v>
      </c>
      <c r="AD190" s="9">
        <f>COUNTIFS('DETALLES UNIDADES'!$C$8:$C$987,"C2",'DETALLES UNIDADES'!$T$8:$T$987,"&lt;5.01",'DETALLES UNIDADES'!$S$8:$S$987,"G")-AD189-AD188-AD187-AD186</f>
        <v>27</v>
      </c>
      <c r="AE190" s="9">
        <f>COUNTIFS('DETALLES UNIDADES'!$C$8:$C$987,"C3",'DETALLES UNIDADES'!$T$8:$T$987,"&lt;5.01",'DETALLES UNIDADES'!$S$8:$S$987,"G")-AE189-AE188-AE187-AE186</f>
        <v>0</v>
      </c>
      <c r="AF190" s="9">
        <f>COUNTIFS('DETALLES UNIDADES'!$C$8:$C$987,"T2",'DETALLES UNIDADES'!$T$8:$T$987,"&lt;5.01",'DETALLES UNIDADES'!$S$8:$S$987,"G")-AF189-AF188-AF187-AF186</f>
        <v>0</v>
      </c>
      <c r="AG190" s="9">
        <f>COUNTIFS('DETALLES UNIDADES'!$C$8:$C$987,"T3",'DETALLES UNIDADES'!$T$8:$T$987,"&lt;5.01",'DETALLES UNIDADES'!$S$8:$S$987,"G")-AG189-AG188-AG187-AG186</f>
        <v>0</v>
      </c>
      <c r="AH190" s="249">
        <f t="shared" si="596"/>
        <v>27</v>
      </c>
      <c r="AI190" s="17">
        <v>184</v>
      </c>
      <c r="AK190" s="19" t="s">
        <v>1722</v>
      </c>
      <c r="AL190" s="6">
        <f t="shared" si="598"/>
        <v>0.18407960199004975</v>
      </c>
      <c r="AM190" s="249">
        <f t="shared" si="599"/>
        <v>37</v>
      </c>
    </row>
    <row r="191" spans="24:39" x14ac:dyDescent="0.25">
      <c r="X191" s="11" t="s">
        <v>2529</v>
      </c>
      <c r="Y191" s="254">
        <f t="shared" si="597"/>
        <v>0.20547945205479451</v>
      </c>
      <c r="Z191" s="254">
        <f t="shared" si="592"/>
        <v>2.7397260273972601E-2</v>
      </c>
      <c r="AA191" s="254">
        <f t="shared" si="593"/>
        <v>0</v>
      </c>
      <c r="AB191" s="254">
        <f t="shared" si="594"/>
        <v>0</v>
      </c>
      <c r="AC191" s="254">
        <f t="shared" si="595"/>
        <v>0.23287671232876711</v>
      </c>
      <c r="AD191" s="9">
        <f>COUNTIFS('DETALLES UNIDADES'!$C$8:$C$987,"C2",'DETALLES UNIDADES'!$T$8:$T$987,"&lt;7.01",'DETALLES UNIDADES'!$S$8:$S$987,"G")-AD190-AD189-AD188-AD187-AD186</f>
        <v>15</v>
      </c>
      <c r="AE191" s="9">
        <f>COUNTIFS('DETALLES UNIDADES'!$C$8:$C$987,"C3",'DETALLES UNIDADES'!$T$8:$T$987,"&lt;7.01",'DETALLES UNIDADES'!$S$8:$S$987,"G")-AE190-AE189-AE188-AE187-AE186</f>
        <v>2</v>
      </c>
      <c r="AF191" s="9">
        <f>COUNTIFS('DETALLES UNIDADES'!$C$8:$C$987,"T2",'DETALLES UNIDADES'!$T$8:$T$987,"&lt;7.01",'DETALLES UNIDADES'!$S$8:$S$987,"G")-AF190-AF189-AF188-AF187-AF186</f>
        <v>0</v>
      </c>
      <c r="AG191" s="9">
        <f>COUNTIFS('DETALLES UNIDADES'!$C$8:$C$987,"T3",'DETALLES UNIDADES'!$T$8:$T$987,"&lt;7.01",'DETALLES UNIDADES'!$S$8:$S$987,"G")-AG190-AG189-AG188-AG187-AG186</f>
        <v>0</v>
      </c>
      <c r="AH191" s="249">
        <f t="shared" si="596"/>
        <v>17</v>
      </c>
      <c r="AI191" s="17">
        <v>89</v>
      </c>
      <c r="AK191" s="19" t="s">
        <v>1723</v>
      </c>
      <c r="AL191" s="6">
        <f t="shared" si="598"/>
        <v>0.30348258706467662</v>
      </c>
      <c r="AM191" s="249">
        <f t="shared" si="599"/>
        <v>61</v>
      </c>
    </row>
    <row r="192" spans="24:39" x14ac:dyDescent="0.25">
      <c r="X192" s="11" t="s">
        <v>2530</v>
      </c>
      <c r="Y192" s="254">
        <f t="shared" si="597"/>
        <v>0</v>
      </c>
      <c r="Z192" s="254">
        <f t="shared" si="592"/>
        <v>0</v>
      </c>
      <c r="AA192" s="254">
        <f t="shared" si="593"/>
        <v>0</v>
      </c>
      <c r="AB192" s="254">
        <f t="shared" si="594"/>
        <v>0</v>
      </c>
      <c r="AC192" s="254">
        <f t="shared" si="595"/>
        <v>0</v>
      </c>
      <c r="AD192" s="9">
        <f>COUNTIFS('DETALLES UNIDADES'!$C$8:$C$987,"C2",'DETALLES UNIDADES'!$T$8:$T$987,"&gt;7.0",'DETALLES UNIDADES'!$S$8:$S$987,"G")</f>
        <v>0</v>
      </c>
      <c r="AE192" s="9">
        <f>COUNTIFS('DETALLES UNIDADES'!$C$8:$C$987,"C3",'DETALLES UNIDADES'!$T$8:$T$987,"&gt;7.0",'DETALLES UNIDADES'!$S$8:$S$987,"G")</f>
        <v>0</v>
      </c>
      <c r="AF192" s="9">
        <f>COUNTIFS('DETALLES UNIDADES'!$C$8:$C$987,"T2",'DETALLES UNIDADES'!$T$8:$T$987,"&gt;7.0",'DETALLES UNIDADES'!$S$8:$S$987,"G")</f>
        <v>0</v>
      </c>
      <c r="AG192" s="9">
        <f>COUNTIFS('DETALLES UNIDADES'!$C$8:$C$987,"T3",'DETALLES UNIDADES'!$T$8:$T$987,"&gt;7.0",'DETALLES UNIDADES'!$S$8:$S$987,"G")</f>
        <v>0</v>
      </c>
      <c r="AH192" s="249">
        <f t="shared" si="596"/>
        <v>0</v>
      </c>
      <c r="AI192" s="17">
        <v>96</v>
      </c>
      <c r="AK192" s="19" t="s">
        <v>1724</v>
      </c>
      <c r="AL192" s="6">
        <f t="shared" si="598"/>
        <v>0.14427860696517414</v>
      </c>
      <c r="AM192" s="249">
        <f t="shared" si="599"/>
        <v>29</v>
      </c>
    </row>
    <row r="193" spans="24:39" x14ac:dyDescent="0.25">
      <c r="X193" s="19" t="s">
        <v>715</v>
      </c>
      <c r="Y193" s="254">
        <f t="shared" si="597"/>
        <v>0.9726027397260274</v>
      </c>
      <c r="Z193" s="254">
        <f t="shared" si="592"/>
        <v>2.7397260273972601E-2</v>
      </c>
      <c r="AA193" s="254">
        <f t="shared" si="593"/>
        <v>0</v>
      </c>
      <c r="AB193" s="254">
        <f t="shared" si="594"/>
        <v>0</v>
      </c>
      <c r="AC193" s="254">
        <f t="shared" si="595"/>
        <v>1</v>
      </c>
      <c r="AD193" s="249">
        <f>SUM(AD186:AD192)</f>
        <v>71</v>
      </c>
      <c r="AE193" s="249">
        <f>SUM(AE186:AE192)</f>
        <v>2</v>
      </c>
      <c r="AF193" s="249">
        <f>SUM(AF186:AF192)</f>
        <v>0</v>
      </c>
      <c r="AG193" s="249">
        <f>SUM(AG186:AG192)</f>
        <v>0</v>
      </c>
      <c r="AH193" s="249">
        <f>SUM(AH186:AH192)</f>
        <v>73</v>
      </c>
      <c r="AI193" s="17">
        <v>26</v>
      </c>
      <c r="AK193" s="19" t="s">
        <v>1725</v>
      </c>
      <c r="AL193" s="6">
        <f t="shared" si="598"/>
        <v>8.45771144278607E-2</v>
      </c>
      <c r="AM193" s="249">
        <f t="shared" si="599"/>
        <v>17</v>
      </c>
    </row>
    <row r="194" spans="24:39" x14ac:dyDescent="0.25">
      <c r="X194" s="11"/>
      <c r="Y194" s="254"/>
      <c r="AD194" s="253"/>
      <c r="AE194" s="253"/>
      <c r="AF194" s="253"/>
      <c r="AG194" s="253"/>
      <c r="AH194" s="253"/>
      <c r="AI194" s="17">
        <v>900</v>
      </c>
      <c r="AK194" s="19" t="s">
        <v>2510</v>
      </c>
      <c r="AL194" s="6">
        <f t="shared" si="598"/>
        <v>2.9850746268656716E-2</v>
      </c>
      <c r="AM194" s="249">
        <f t="shared" si="599"/>
        <v>6</v>
      </c>
    </row>
    <row r="195" spans="24:39" x14ac:dyDescent="0.25">
      <c r="X195" s="17" t="s">
        <v>2531</v>
      </c>
      <c r="AK195" s="19" t="s">
        <v>715</v>
      </c>
      <c r="AL195" s="6">
        <f t="shared" si="598"/>
        <v>1</v>
      </c>
      <c r="AM195" s="249">
        <f t="shared" si="599"/>
        <v>201</v>
      </c>
    </row>
    <row r="196" spans="24:39" x14ac:dyDescent="0.25">
      <c r="X196" s="179"/>
      <c r="Y196" s="249" t="s">
        <v>348</v>
      </c>
      <c r="Z196" s="249" t="s">
        <v>351</v>
      </c>
      <c r="AA196" s="249" t="s">
        <v>359</v>
      </c>
      <c r="AB196" s="249" t="s">
        <v>337</v>
      </c>
      <c r="AD196" s="249" t="s">
        <v>348</v>
      </c>
      <c r="AE196" s="249" t="s">
        <v>351</v>
      </c>
      <c r="AF196" s="249" t="s">
        <v>359</v>
      </c>
      <c r="AG196" s="249" t="s">
        <v>337</v>
      </c>
    </row>
    <row r="197" spans="24:39" x14ac:dyDescent="0.25">
      <c r="X197" s="11" t="s">
        <v>2525</v>
      </c>
      <c r="Y197" s="254">
        <f>+AD197/$AH$204</f>
        <v>0</v>
      </c>
      <c r="Z197" s="254">
        <f t="shared" ref="Z197:Z204" si="600">+AE197/$AH$204</f>
        <v>0</v>
      </c>
      <c r="AA197" s="254">
        <f t="shared" ref="AA197:AA204" si="601">+AF197/$AH$204</f>
        <v>0</v>
      </c>
      <c r="AB197" s="254">
        <f t="shared" ref="AB197:AB204" si="602">+AG197/$AH$204</f>
        <v>0</v>
      </c>
      <c r="AC197" s="254">
        <f t="shared" ref="AC197:AC204" si="603">+AH197/$AH$204</f>
        <v>0</v>
      </c>
      <c r="AD197" s="9">
        <f>COUNTIFS('DETALLES UNIDADES'!$C$8:$C$987,"C2",'DETALLES UNIDADES'!$U$8:$U$987,"&lt;2.0",'DETALLES UNIDADES'!$S$8:$S$987,"G")</f>
        <v>0</v>
      </c>
      <c r="AE197" s="9">
        <f>COUNTIFS('DETALLES UNIDADES'!$C$8:$C$987,"C3",'DETALLES UNIDADES'!$U$8:$U$987,"&lt;2.0",'DETALLES UNIDADES'!$S$8:$S$987,"G")</f>
        <v>0</v>
      </c>
      <c r="AF197" s="9">
        <f>COUNTIFS('DETALLES UNIDADES'!$C$8:$C$987,"T2",'DETALLES UNIDADES'!$U$8:$U$987,"&lt;2.0",'DETALLES UNIDADES'!$S$8:$S$987,"G")</f>
        <v>0</v>
      </c>
      <c r="AG197" s="9">
        <f>COUNTIFS('DETALLES UNIDADES'!$C$8:$C$987,"T3",'DETALLES UNIDADES'!$U$8:$U$987,"&lt;2.0",'DETALLES UNIDADES'!$S$8:$S$987,"G")</f>
        <v>0</v>
      </c>
      <c r="AH197" s="249">
        <f t="shared" ref="AH197:AH203" si="604">SUM(AD197:AG197)</f>
        <v>0</v>
      </c>
      <c r="AK197" s="17" t="s">
        <v>2556</v>
      </c>
    </row>
    <row r="198" spans="24:39" x14ac:dyDescent="0.25">
      <c r="X198" s="11" t="s">
        <v>2526</v>
      </c>
      <c r="Y198" s="254">
        <f t="shared" ref="Y198:Y204" si="605">+AD198/$AH$204</f>
        <v>2.7397260273972601E-2</v>
      </c>
      <c r="Z198" s="254">
        <f t="shared" si="600"/>
        <v>0</v>
      </c>
      <c r="AA198" s="254">
        <f t="shared" si="601"/>
        <v>0</v>
      </c>
      <c r="AB198" s="254">
        <f t="shared" si="602"/>
        <v>0</v>
      </c>
      <c r="AC198" s="254">
        <f t="shared" si="603"/>
        <v>2.7397260273972601E-2</v>
      </c>
      <c r="AD198" s="9">
        <f>COUNTIFS('DETALLES UNIDADES'!$C$8:$C$987,"C2",'DETALLES UNIDADES'!$U$8:$U$987,"&lt;2.51",'DETALLES UNIDADES'!$S$8:$S$987,"G")-AD197</f>
        <v>2</v>
      </c>
      <c r="AE198" s="9">
        <f>COUNTIFS('DETALLES UNIDADES'!$C$8:$C$987,"C3",'DETALLES UNIDADES'!$U$8:$U$987,"&lt;2.51",'DETALLES UNIDADES'!$S$8:$S$987,"G")-AE197</f>
        <v>0</v>
      </c>
      <c r="AF198" s="9">
        <f>COUNTIFS('DETALLES UNIDADES'!$C$8:$C$987,"T2",'DETALLES UNIDADES'!$U$8:$U$987,"&lt;2.51",'DETALLES UNIDADES'!$S$8:$S$987,"G")-AF197</f>
        <v>0</v>
      </c>
      <c r="AG198" s="9">
        <f>COUNTIFS('DETALLES UNIDADES'!$C$8:$C$987,"T3",'DETALLES UNIDADES'!$U$8:$U$987,"&lt;2.51",'DETALLES UNIDADES'!$S$8:$S$987,"G")-AG197</f>
        <v>0</v>
      </c>
      <c r="AH198" s="249">
        <f t="shared" si="604"/>
        <v>2</v>
      </c>
      <c r="AK198" s="179"/>
      <c r="AL198" s="11" t="str">
        <f>+AZ114</f>
        <v>2011 en adelante</v>
      </c>
    </row>
    <row r="199" spans="24:39" x14ac:dyDescent="0.25">
      <c r="X199" s="11" t="s">
        <v>2527</v>
      </c>
      <c r="Y199" s="254">
        <f t="shared" si="605"/>
        <v>0.1095890410958904</v>
      </c>
      <c r="Z199" s="254">
        <f t="shared" si="600"/>
        <v>0</v>
      </c>
      <c r="AA199" s="254">
        <f t="shared" si="601"/>
        <v>0</v>
      </c>
      <c r="AB199" s="254">
        <f t="shared" si="602"/>
        <v>0</v>
      </c>
      <c r="AC199" s="254">
        <f t="shared" si="603"/>
        <v>0.1095890410958904</v>
      </c>
      <c r="AD199" s="9">
        <f>COUNTIFS('DETALLES UNIDADES'!$C$8:$C$987,"C2",'DETALLES UNIDADES'!$U$8:$U$987,"&lt;3.51",'DETALLES UNIDADES'!$S$8:$S$987,"G")-AD198-AD197</f>
        <v>8</v>
      </c>
      <c r="AE199" s="9">
        <f>COUNTIFS('DETALLES UNIDADES'!$C$8:$C$987,"C3",'DETALLES UNIDADES'!$U$8:$U$987,"&lt;3.51",'DETALLES UNIDADES'!$S$8:$S$987,"G")-AE198-AE197</f>
        <v>0</v>
      </c>
      <c r="AF199" s="9">
        <f>COUNTIFS('DETALLES UNIDADES'!$C$8:$C$987,"T2",'DETALLES UNIDADES'!$U$8:$U$987,"&lt;3.51",'DETALLES UNIDADES'!$S$8:$S$987,"G")-AF198-AF197</f>
        <v>0</v>
      </c>
      <c r="AG199" s="9">
        <f>COUNTIFS('DETALLES UNIDADES'!$C$8:$C$987,"T3",'DETALLES UNIDADES'!$U$8:$U$987,"&lt;3.51",'DETALLES UNIDADES'!$S$8:$S$987,"G")-AG198-AG197</f>
        <v>0</v>
      </c>
      <c r="AH199" s="249">
        <f t="shared" si="604"/>
        <v>8</v>
      </c>
      <c r="AK199" s="19" t="s">
        <v>1719</v>
      </c>
      <c r="AL199" s="6">
        <f t="shared" ref="AL199:AL207" si="606">+AM199/$AM$207</f>
        <v>0</v>
      </c>
      <c r="AM199" s="249">
        <f t="shared" ref="AM199:AM207" si="607">+AZ115</f>
        <v>0</v>
      </c>
    </row>
    <row r="200" spans="24:39" x14ac:dyDescent="0.25">
      <c r="X200" s="11" t="s">
        <v>2528</v>
      </c>
      <c r="Y200" s="254">
        <f t="shared" si="605"/>
        <v>1.3698630136986301E-2</v>
      </c>
      <c r="Z200" s="254">
        <f t="shared" si="600"/>
        <v>0</v>
      </c>
      <c r="AA200" s="254">
        <f t="shared" si="601"/>
        <v>0</v>
      </c>
      <c r="AB200" s="254">
        <f t="shared" si="602"/>
        <v>0</v>
      </c>
      <c r="AC200" s="254">
        <f t="shared" si="603"/>
        <v>1.3698630136986301E-2</v>
      </c>
      <c r="AD200" s="9">
        <f>COUNTIFS('DETALLES UNIDADES'!$C$8:$C$987,"C2",'DETALLES UNIDADES'!$U$8:$U$987,"&lt;4.01",'DETALLES UNIDADES'!$S$8:$S$987,"G")-AD199-AD198-AD197</f>
        <v>1</v>
      </c>
      <c r="AE200" s="9">
        <f>COUNTIFS('DETALLES UNIDADES'!$C$8:$C$987,"C3",'DETALLES UNIDADES'!$U$8:$U$987,"&lt;4.01",'DETALLES UNIDADES'!$S$8:$S$987,"G")-AE199-AE198-AE197</f>
        <v>0</v>
      </c>
      <c r="AF200" s="9">
        <f>COUNTIFS('DETALLES UNIDADES'!$C$8:$C$987,"T2",'DETALLES UNIDADES'!$U$8:$U$987,"&lt;4.01",'DETALLES UNIDADES'!$S$8:$S$987,"G")-AF199-AF198-AF197</f>
        <v>0</v>
      </c>
      <c r="AG200" s="9">
        <f>COUNTIFS('DETALLES UNIDADES'!$C$8:$C$987,"T3",'DETALLES UNIDADES'!$U$8:$U$987,"&lt;4.01",'DETALLES UNIDADES'!$S$8:$S$987,"G")-AG199-AG198-AG197</f>
        <v>0</v>
      </c>
      <c r="AH200" s="249">
        <f t="shared" si="604"/>
        <v>1</v>
      </c>
      <c r="AK200" s="19" t="s">
        <v>1720</v>
      </c>
      <c r="AL200" s="6">
        <f t="shared" si="606"/>
        <v>2.1739130434782608E-2</v>
      </c>
      <c r="AM200" s="249">
        <f t="shared" si="607"/>
        <v>2</v>
      </c>
    </row>
    <row r="201" spans="24:39" x14ac:dyDescent="0.25">
      <c r="X201" s="11" t="s">
        <v>1726</v>
      </c>
      <c r="Y201" s="254">
        <f t="shared" si="605"/>
        <v>0.30136986301369861</v>
      </c>
      <c r="Z201" s="254">
        <f t="shared" si="600"/>
        <v>0</v>
      </c>
      <c r="AA201" s="254">
        <f t="shared" si="601"/>
        <v>0</v>
      </c>
      <c r="AB201" s="254">
        <f t="shared" si="602"/>
        <v>0</v>
      </c>
      <c r="AC201" s="254">
        <f t="shared" si="603"/>
        <v>0.30136986301369861</v>
      </c>
      <c r="AD201" s="9">
        <f>COUNTIFS('DETALLES UNIDADES'!$C$8:$C$987,"C2",'DETALLES UNIDADES'!$U$8:$U$987,"&lt;5.01",'DETALLES UNIDADES'!$S$8:$S$987,"G")-AD200-AD199-AD198-AD197</f>
        <v>22</v>
      </c>
      <c r="AE201" s="9">
        <f>COUNTIFS('DETALLES UNIDADES'!$C$8:$C$987,"C3",'DETALLES UNIDADES'!$U$8:$U$987,"&lt;5.01",'DETALLES UNIDADES'!$S$8:$S$987,"G")-AE200-AE199-AE198-AE197</f>
        <v>0</v>
      </c>
      <c r="AF201" s="9">
        <f>COUNTIFS('DETALLES UNIDADES'!$C$8:$C$987,"T2",'DETALLES UNIDADES'!$U$8:$U$987,"&lt;5.01",'DETALLES UNIDADES'!$S$8:$S$987,"G")-AF200-AF199-AF198-AF197</f>
        <v>0</v>
      </c>
      <c r="AG201" s="9">
        <f>COUNTIFS('DETALLES UNIDADES'!$C$8:$C$987,"T3",'DETALLES UNIDADES'!$U$8:$U$987,"&lt;5.01",'DETALLES UNIDADES'!$S$8:$S$987,"G")-AG200-AG199-AG198-AG197</f>
        <v>0</v>
      </c>
      <c r="AH201" s="249">
        <f t="shared" si="604"/>
        <v>22</v>
      </c>
      <c r="AK201" s="19" t="s">
        <v>1721</v>
      </c>
      <c r="AL201" s="6">
        <f t="shared" si="606"/>
        <v>0.51086956521739135</v>
      </c>
      <c r="AM201" s="249">
        <f t="shared" si="607"/>
        <v>47</v>
      </c>
    </row>
    <row r="202" spans="24:39" x14ac:dyDescent="0.25">
      <c r="X202" s="11" t="s">
        <v>2529</v>
      </c>
      <c r="Y202" s="254">
        <f t="shared" si="605"/>
        <v>0.45205479452054792</v>
      </c>
      <c r="Z202" s="254">
        <f t="shared" si="600"/>
        <v>0</v>
      </c>
      <c r="AA202" s="254">
        <f t="shared" si="601"/>
        <v>0</v>
      </c>
      <c r="AB202" s="254">
        <f t="shared" si="602"/>
        <v>0</v>
      </c>
      <c r="AC202" s="254">
        <f t="shared" si="603"/>
        <v>0.45205479452054792</v>
      </c>
      <c r="AD202" s="9">
        <f>COUNTIFS('DETALLES UNIDADES'!$C$8:$C$987,"C2",'DETALLES UNIDADES'!$U$8:$U$987,"&lt;7.01",'DETALLES UNIDADES'!$S$8:$S$987,"G")-AD201-AD200-AD199-AD198-AD197</f>
        <v>33</v>
      </c>
      <c r="AE202" s="9">
        <f>COUNTIFS('DETALLES UNIDADES'!$C$8:$C$987,"C3",'DETALLES UNIDADES'!$U$8:$U$987,"&lt;7.01",'DETALLES UNIDADES'!$S$8:$S$987,"G")-AE201-AE200-AE199-AE198-AE197</f>
        <v>0</v>
      </c>
      <c r="AF202" s="9">
        <f>COUNTIFS('DETALLES UNIDADES'!$C$8:$C$987,"T2",'DETALLES UNIDADES'!$U$8:$U$987,"&lt;7.01",'DETALLES UNIDADES'!$S$8:$S$987,"G")-AF201-AF200-AF199-AF198-AF197</f>
        <v>0</v>
      </c>
      <c r="AG202" s="9">
        <f>COUNTIFS('DETALLES UNIDADES'!$C$8:$C$987,"T3",'DETALLES UNIDADES'!$U$8:$U$987,"&lt;7.01",'DETALLES UNIDADES'!$S$8:$S$987,"G")-AG201-AG200-AG199-AG198-AG197</f>
        <v>0</v>
      </c>
      <c r="AH202" s="249">
        <f t="shared" si="604"/>
        <v>33</v>
      </c>
      <c r="AK202" s="19" t="s">
        <v>1722</v>
      </c>
      <c r="AL202" s="6">
        <f t="shared" si="606"/>
        <v>0.34782608695652173</v>
      </c>
      <c r="AM202" s="249">
        <f t="shared" si="607"/>
        <v>32</v>
      </c>
    </row>
    <row r="203" spans="24:39" x14ac:dyDescent="0.25">
      <c r="X203" s="11" t="s">
        <v>2530</v>
      </c>
      <c r="Y203" s="254">
        <f t="shared" si="605"/>
        <v>6.8493150684931503E-2</v>
      </c>
      <c r="Z203" s="254">
        <f t="shared" si="600"/>
        <v>2.7397260273972601E-2</v>
      </c>
      <c r="AA203" s="254">
        <f t="shared" si="601"/>
        <v>0</v>
      </c>
      <c r="AB203" s="254">
        <f t="shared" si="602"/>
        <v>0</v>
      </c>
      <c r="AC203" s="254">
        <f t="shared" si="603"/>
        <v>9.5890410958904104E-2</v>
      </c>
      <c r="AD203" s="9">
        <f>COUNTIFS('DETALLES UNIDADES'!$C$8:$C$987,"C2",'DETALLES UNIDADES'!$U$8:$U$987,"&gt;7.0",'DETALLES UNIDADES'!$S$8:$S$987,"G")</f>
        <v>5</v>
      </c>
      <c r="AE203" s="9">
        <f>COUNTIFS('DETALLES UNIDADES'!$C$8:$C$987,"C3",'DETALLES UNIDADES'!$U$8:$U$987,"&gt;7.0",'DETALLES UNIDADES'!$S$8:$S$987,"G")</f>
        <v>2</v>
      </c>
      <c r="AF203" s="9">
        <f>COUNTIFS('DETALLES UNIDADES'!$C$8:$C$987,"T2",'DETALLES UNIDADES'!$U$8:$U$987,"&gt;7.0",'DETALLES UNIDADES'!$S$8:$S$987,"G")</f>
        <v>0</v>
      </c>
      <c r="AG203" s="9">
        <f>COUNTIFS('DETALLES UNIDADES'!$C$8:$C$987,"T3",'DETALLES UNIDADES'!$U$8:$U$987,"&gt;7.0",'DETALLES UNIDADES'!$S$8:$S$987,"G")</f>
        <v>0</v>
      </c>
      <c r="AH203" s="249">
        <f t="shared" si="604"/>
        <v>7</v>
      </c>
      <c r="AK203" s="19" t="s">
        <v>1723</v>
      </c>
      <c r="AL203" s="6">
        <f t="shared" si="606"/>
        <v>8.6956521739130432E-2</v>
      </c>
      <c r="AM203" s="249">
        <f t="shared" si="607"/>
        <v>8</v>
      </c>
    </row>
    <row r="204" spans="24:39" x14ac:dyDescent="0.25">
      <c r="X204" s="19" t="s">
        <v>715</v>
      </c>
      <c r="Y204" s="254">
        <f t="shared" si="605"/>
        <v>0.9726027397260274</v>
      </c>
      <c r="Z204" s="254">
        <f t="shared" si="600"/>
        <v>2.7397260273972601E-2</v>
      </c>
      <c r="AA204" s="254">
        <f t="shared" si="601"/>
        <v>0</v>
      </c>
      <c r="AB204" s="254">
        <f t="shared" si="602"/>
        <v>0</v>
      </c>
      <c r="AC204" s="254">
        <f t="shared" si="603"/>
        <v>1</v>
      </c>
      <c r="AD204" s="249">
        <f>SUM(AD197:AD203)</f>
        <v>71</v>
      </c>
      <c r="AE204" s="249">
        <f>SUM(AE197:AE203)</f>
        <v>2</v>
      </c>
      <c r="AF204" s="249">
        <f>SUM(AF197:AF203)</f>
        <v>0</v>
      </c>
      <c r="AG204" s="249">
        <f>SUM(AG197:AG203)</f>
        <v>0</v>
      </c>
      <c r="AH204" s="249">
        <f>SUM(AH197:AH203)</f>
        <v>73</v>
      </c>
      <c r="AK204" s="19" t="s">
        <v>1724</v>
      </c>
      <c r="AL204" s="6">
        <f t="shared" si="606"/>
        <v>3.2608695652173912E-2</v>
      </c>
      <c r="AM204" s="249">
        <f t="shared" si="607"/>
        <v>3</v>
      </c>
    </row>
    <row r="205" spans="24:39" x14ac:dyDescent="0.25">
      <c r="AK205" s="19" t="s">
        <v>1725</v>
      </c>
      <c r="AL205" s="6">
        <f t="shared" si="606"/>
        <v>0</v>
      </c>
      <c r="AM205" s="249">
        <f t="shared" si="607"/>
        <v>0</v>
      </c>
    </row>
    <row r="206" spans="24:39" x14ac:dyDescent="0.25">
      <c r="AK206" s="19" t="s">
        <v>2510</v>
      </c>
      <c r="AL206" s="6">
        <f t="shared" si="606"/>
        <v>0</v>
      </c>
      <c r="AM206" s="249">
        <f t="shared" si="607"/>
        <v>0</v>
      </c>
    </row>
    <row r="207" spans="24:39" x14ac:dyDescent="0.25">
      <c r="AK207" s="19" t="s">
        <v>715</v>
      </c>
      <c r="AL207" s="6">
        <f t="shared" si="606"/>
        <v>1</v>
      </c>
      <c r="AM207" s="249">
        <f t="shared" si="607"/>
        <v>92</v>
      </c>
    </row>
    <row r="209" spans="37:54" x14ac:dyDescent="0.25">
      <c r="AK209" s="17" t="s">
        <v>2558</v>
      </c>
    </row>
    <row r="210" spans="37:54" x14ac:dyDescent="0.25">
      <c r="AK210" s="179"/>
      <c r="AL210" s="11" t="s">
        <v>2534</v>
      </c>
      <c r="AM210" s="11" t="s">
        <v>2535</v>
      </c>
      <c r="AN210" s="11" t="s">
        <v>2536</v>
      </c>
      <c r="AO210" s="11" t="s">
        <v>2537</v>
      </c>
      <c r="AP210" s="11" t="s">
        <v>2538</v>
      </c>
      <c r="AQ210" s="11" t="s">
        <v>2539</v>
      </c>
      <c r="AR210" s="11" t="s">
        <v>2540</v>
      </c>
      <c r="AT210" s="11" t="s">
        <v>2534</v>
      </c>
      <c r="AU210" s="11" t="s">
        <v>2535</v>
      </c>
      <c r="AV210" s="11" t="s">
        <v>2536</v>
      </c>
      <c r="AW210" s="11" t="s">
        <v>2537</v>
      </c>
      <c r="AX210" s="11" t="s">
        <v>2538</v>
      </c>
      <c r="AY210" s="11" t="s">
        <v>2539</v>
      </c>
      <c r="AZ210" s="11" t="s">
        <v>2540</v>
      </c>
    </row>
    <row r="211" spans="37:54" x14ac:dyDescent="0.25">
      <c r="AK211" s="19" t="s">
        <v>1730</v>
      </c>
      <c r="AL211" s="6">
        <f>+AT211/$BA$123</f>
        <v>0</v>
      </c>
      <c r="AM211" s="6">
        <f t="shared" ref="AM211:AM219" si="608">+AU211/$BA$123</f>
        <v>0</v>
      </c>
      <c r="AN211" s="6">
        <f t="shared" ref="AN211:AN219" si="609">+AV211/$BA$123</f>
        <v>4.4444444444444444E-3</v>
      </c>
      <c r="AO211" s="6">
        <f t="shared" ref="AO211:AO219" si="610">+AW211/$BA$123</f>
        <v>3.3333333333333335E-3</v>
      </c>
      <c r="AP211" s="6">
        <f t="shared" ref="AP211:AP219" si="611">+AX211/$BA$123</f>
        <v>0</v>
      </c>
      <c r="AQ211" s="6">
        <f t="shared" ref="AQ211:AQ219" si="612">+AY211/$BA$123</f>
        <v>7.7777777777777776E-3</v>
      </c>
      <c r="AR211" s="6">
        <f t="shared" ref="AR211:AR219" si="613">+AZ211/$BA$123</f>
        <v>0</v>
      </c>
      <c r="AS211" s="6">
        <f t="shared" ref="AS211:AS219" si="614">+BA211/$BA$123</f>
        <v>1.5555555555555555E-2</v>
      </c>
      <c r="AT211" s="249">
        <f>COUNTIFS('DETALLES UNIDADES'!$BC$8:$BC$987,"&lt;1991",'DETALLES UNIDADES'!$U$8:$U$987,"&lt;1.9",'DETALLES UNIDADES'!$S$8:$S$987,"D")</f>
        <v>0</v>
      </c>
      <c r="AU211" s="249">
        <f>COUNTIFS('DETALLES UNIDADES'!$BC$8:$BC$987,"&lt;1994",'DETALLES UNIDADES'!$U$8:$U$987,"&lt;1.9",'DETALLES UNIDADES'!$S$8:$S$987,"D")-AT211</f>
        <v>0</v>
      </c>
      <c r="AV211" s="249">
        <f>COUNTIFS('DETALLES UNIDADES'!$BC$8:$BC$987,"&lt;1998",'DETALLES UNIDADES'!$U$8:$U$987,"&lt;1.9",'DETALLES UNIDADES'!$S$8:$S$987,"D")-AU211-AT211</f>
        <v>4</v>
      </c>
      <c r="AW211" s="249">
        <f>COUNTIFS('DETALLES UNIDADES'!$BC$8:$BC$987,"&lt;2004",'DETALLES UNIDADES'!$U$8:$U$987,"&lt;1.9",'DETALLES UNIDADES'!$S$8:$S$987,"D")-AV211-AU211-AT211</f>
        <v>3</v>
      </c>
      <c r="AX211" s="249">
        <f>COUNTIFS('DETALLES UNIDADES'!$BC$8:$BC$987,"&lt;2007",'DETALLES UNIDADES'!$U$8:$U$987,"&lt;1.9",'DETALLES UNIDADES'!$S$8:$S$987,"D")-AW211-AV211-AU211-AT211</f>
        <v>0</v>
      </c>
      <c r="AY211" s="249">
        <f>COUNTIFS('DETALLES UNIDADES'!$BC$8:$BC$987,"&lt;2011",'DETALLES UNIDADES'!$U$8:$U$987,"&lt;1.9",'DETALLES UNIDADES'!$S$8:$S$987,"D")-AX211-AW211-AV211-AU211-AT211</f>
        <v>7</v>
      </c>
      <c r="AZ211" s="249">
        <f>COUNTIFS('DETALLES UNIDADES'!$BC$8:$BC$987,"&gt;2010",'DETALLES UNIDADES'!$U$8:$U$987,"&lt;1.9",'DETALLES UNIDADES'!$S$8:$S$987,"D")</f>
        <v>0</v>
      </c>
      <c r="BA211" s="249">
        <f>SUM(AT211:AZ211)</f>
        <v>14</v>
      </c>
      <c r="BB211" s="249">
        <v>14</v>
      </c>
    </row>
    <row r="212" spans="37:54" x14ac:dyDescent="0.25">
      <c r="AK212" s="19" t="s">
        <v>1731</v>
      </c>
      <c r="AL212" s="6">
        <f t="shared" ref="AL212:AL219" si="615">+AT212/$BA$123</f>
        <v>2.2222222222222223E-2</v>
      </c>
      <c r="AM212" s="6">
        <f t="shared" si="608"/>
        <v>1.2222222222222223E-2</v>
      </c>
      <c r="AN212" s="6">
        <f t="shared" si="609"/>
        <v>3.5555555555555556E-2</v>
      </c>
      <c r="AO212" s="6">
        <f t="shared" si="610"/>
        <v>4.6666666666666669E-2</v>
      </c>
      <c r="AP212" s="6">
        <f t="shared" si="611"/>
        <v>1.8888888888888889E-2</v>
      </c>
      <c r="AQ212" s="6">
        <f t="shared" si="612"/>
        <v>1.7777777777777778E-2</v>
      </c>
      <c r="AR212" s="6">
        <f t="shared" si="613"/>
        <v>1.1111111111111112E-2</v>
      </c>
      <c r="AS212" s="6">
        <f t="shared" si="614"/>
        <v>0.16444444444444445</v>
      </c>
      <c r="AT212" s="249">
        <f>COUNTIFS('DETALLES UNIDADES'!$BC$8:$BC$987,"&lt;1991",'DETALLES UNIDADES'!$U$8:$U$987,"&lt;2.21",'DETALLES UNIDADES'!$S$8:$S$987,"D")-AT211</f>
        <v>20</v>
      </c>
      <c r="AU212" s="249">
        <f>COUNTIFS('DETALLES UNIDADES'!$BC$8:$BC$987,"&lt;1994",'DETALLES UNIDADES'!$U$8:$U$987,"&lt;2.21",'DETALLES UNIDADES'!$S$8:$S$987,"D")-AT212-AU211-AT211</f>
        <v>11</v>
      </c>
      <c r="AV212" s="249">
        <f>COUNTIFS('DETALLES UNIDADES'!$BC$8:$BC$987,"&lt;1998",'DETALLES UNIDADES'!$U$8:$U$987,"&lt;2.21",'DETALLES UNIDADES'!$S$8:$S$987,"D")-AU212-AT212-AV211-AU211-AT211</f>
        <v>32</v>
      </c>
      <c r="AW212" s="249">
        <f>COUNTIFS('DETALLES UNIDADES'!$BC$8:$BC$987,"&lt;2004",'DETALLES UNIDADES'!$U$8:$U$987,"&lt;2.21",'DETALLES UNIDADES'!$S$8:$S$987,"D")-AV212-AU212-AT212-AW211-AV211-AU211-AT211</f>
        <v>42</v>
      </c>
      <c r="AX212" s="249">
        <f>COUNTIFS('DETALLES UNIDADES'!$BC$8:$BC$987,"&lt;2007",'DETALLES UNIDADES'!$U$8:$U$987,"&lt;2.21",'DETALLES UNIDADES'!$S$8:$S$987,"D")-AW212-AV212-AU212-AT212-AX211-AW211-AV211-AU211-AT211</f>
        <v>17</v>
      </c>
      <c r="AY212" s="249">
        <f>COUNTIFS('DETALLES UNIDADES'!$BC$8:$BC$987,"&lt;2011",'DETALLES UNIDADES'!$U$8:$U$987,"&lt;2.21",'DETALLES UNIDADES'!$S$8:$S$987,"D")-AX212-AW212-AV212-AU212-AT212-AY211-AX211-AW211-AV211-AU211-AT211</f>
        <v>16</v>
      </c>
      <c r="AZ212" s="249">
        <f>COUNTIFS('DETALLES UNIDADES'!$BC$8:$BC$987,"&gt;2010",'DETALLES UNIDADES'!$U$8:$U$987,"&lt;2.21",'DETALLES UNIDADES'!$S$8:$S$987,"D")-AZ211</f>
        <v>10</v>
      </c>
      <c r="BA212" s="249">
        <f t="shared" ref="BA212:BA218" si="616">SUM(AT212:AZ212)</f>
        <v>148</v>
      </c>
      <c r="BB212" s="249">
        <v>148</v>
      </c>
    </row>
    <row r="213" spans="37:54" x14ac:dyDescent="0.25">
      <c r="AK213" s="11" t="s">
        <v>1732</v>
      </c>
      <c r="AL213" s="6">
        <f t="shared" si="615"/>
        <v>1.2222222222222223E-2</v>
      </c>
      <c r="AM213" s="6">
        <f t="shared" si="608"/>
        <v>2.2222222222222223E-2</v>
      </c>
      <c r="AN213" s="6">
        <f t="shared" si="609"/>
        <v>6.6666666666666671E-3</v>
      </c>
      <c r="AO213" s="6">
        <f t="shared" si="610"/>
        <v>2.8888888888888888E-2</v>
      </c>
      <c r="AP213" s="6">
        <f t="shared" si="611"/>
        <v>1.2222222222222223E-2</v>
      </c>
      <c r="AQ213" s="6">
        <f t="shared" si="612"/>
        <v>1.4444444444444444E-2</v>
      </c>
      <c r="AR213" s="6">
        <f t="shared" si="613"/>
        <v>0.04</v>
      </c>
      <c r="AS213" s="6">
        <f t="shared" si="614"/>
        <v>0.13666666666666666</v>
      </c>
      <c r="AT213" s="249">
        <f>COUNTIFS('DETALLES UNIDADES'!$BC$8:$BC$987,"&lt;1991",'DETALLES UNIDADES'!$U$8:$U$987,"&lt;2.41",'DETALLES UNIDADES'!$S$8:$S$987,"D")-AT212-AT211</f>
        <v>11</v>
      </c>
      <c r="AU213" s="249">
        <f>COUNTIFS('DETALLES UNIDADES'!$BC$8:$BC$987,"&lt;1994",'DETALLES UNIDADES'!$U$8:$U$987,"&lt;2.41",'DETALLES UNIDADES'!$S$8:$S$987,"D")-AT213-AU212-AT212-AU211-AT211</f>
        <v>20</v>
      </c>
      <c r="AV213" s="249">
        <f>COUNTIFS('DETALLES UNIDADES'!$BC$8:$BC$987,"&lt;1998",'DETALLES UNIDADES'!$U$8:$U$987,"&lt;2.41",'DETALLES UNIDADES'!$S$8:$S$987,"D")-AU213-AT213-AV212-AU212-AT212-AV211-AU211-AT211</f>
        <v>6</v>
      </c>
      <c r="AW213" s="249">
        <f>COUNTIFS('DETALLES UNIDADES'!$BC$8:$BC$987,"&lt;2004",'DETALLES UNIDADES'!$U$8:$U$987,"&lt;2.41",'DETALLES UNIDADES'!$S$8:$S$987,"D")-AV213-AU213-AT213-AW212-AV212-AU212-AT212-AW211-AV211-AU211-AT211</f>
        <v>26</v>
      </c>
      <c r="AX213" s="249">
        <f>COUNTIFS('DETALLES UNIDADES'!$BC$8:$BC$987,"&lt;2007",'DETALLES UNIDADES'!$U$8:$U$987,"&lt;2.41",'DETALLES UNIDADES'!$S$8:$S$987,"D")-AW213-AV213-AU213-AT213-AX212-AW212-AV212-AU212-AT212-AX211-AW211-AV211-AU211-AT211</f>
        <v>11</v>
      </c>
      <c r="AY213" s="249">
        <f>COUNTIFS('DETALLES UNIDADES'!$BC$8:$BC$987,"&lt;2011",'DETALLES UNIDADES'!$U$8:$U$987,"&lt;2.41",'DETALLES UNIDADES'!$S$8:$S$987,"D")-AX213-AW213-AV213-AU213-AT213-AY212-AX212-AW212-AV212-AU212-AT212-AY211-AX211-AW211-AV211-AU211-AT211</f>
        <v>13</v>
      </c>
      <c r="AZ213" s="249">
        <f>COUNTIFS('DETALLES UNIDADES'!$BC$8:$BC$987,"&gt;2010",'DETALLES UNIDADES'!$U$8:$U$987,"&lt;2.41",'DETALLES UNIDADES'!$S$8:$S$987,"D")-AZ212-AZ211</f>
        <v>36</v>
      </c>
      <c r="BA213" s="249">
        <f t="shared" si="616"/>
        <v>123</v>
      </c>
      <c r="BB213" s="249">
        <v>123</v>
      </c>
    </row>
    <row r="214" spans="37:54" x14ac:dyDescent="0.25">
      <c r="AK214" s="19" t="s">
        <v>1737</v>
      </c>
      <c r="AL214" s="6">
        <f t="shared" si="615"/>
        <v>1.5555555555555555E-2</v>
      </c>
      <c r="AM214" s="6">
        <f t="shared" si="608"/>
        <v>7.7777777777777776E-3</v>
      </c>
      <c r="AN214" s="6">
        <f t="shared" si="609"/>
        <v>2.4444444444444446E-2</v>
      </c>
      <c r="AO214" s="6">
        <f t="shared" si="610"/>
        <v>4.8888888888888891E-2</v>
      </c>
      <c r="AP214" s="6">
        <f t="shared" si="611"/>
        <v>2.4444444444444446E-2</v>
      </c>
      <c r="AQ214" s="6">
        <f t="shared" si="612"/>
        <v>3.6666666666666667E-2</v>
      </c>
      <c r="AR214" s="6">
        <f t="shared" si="613"/>
        <v>2.1111111111111112E-2</v>
      </c>
      <c r="AS214" s="6">
        <f t="shared" si="614"/>
        <v>0.17888888888888888</v>
      </c>
      <c r="AT214" s="249">
        <f>COUNTIFS('DETALLES UNIDADES'!$BC$8:$BC$987,"&lt;1991",'DETALLES UNIDADES'!$U$8:$U$987,"&lt;2.61",'DETALLES UNIDADES'!$S$8:$S$987,"D")-AT213-AT212-AT211</f>
        <v>14</v>
      </c>
      <c r="AU214" s="249">
        <f>COUNTIFS('DETALLES UNIDADES'!$BC$8:$BC$987,"&lt;1994",'DETALLES UNIDADES'!$U$8:$U$987,"&lt;2.61",'DETALLES UNIDADES'!$S$8:$S$987,"D")-AT214-AU213-AT213-AU212-AT212-AU211-AT211</f>
        <v>7</v>
      </c>
      <c r="AV214" s="249">
        <f>COUNTIFS('DETALLES UNIDADES'!$BC$8:$BC$987,"&lt;1998",'DETALLES UNIDADES'!$U$8:$U$987,"&lt;2.61",'DETALLES UNIDADES'!$S$8:$S$987,"D")-AU214-AT214-AV213-AU213-AT213-AV212-AU212-AT212-AV211-AU211-AT211</f>
        <v>22</v>
      </c>
      <c r="AW214" s="249">
        <f>COUNTIFS('DETALLES UNIDADES'!$BC$8:$BC$987,"&lt;2004",'DETALLES UNIDADES'!$U$8:$U$987,"&lt;2.61",'DETALLES UNIDADES'!$S$8:$S$987,"D")-AV214-AU214-AT214-AW213-AV213-AU213-AT213-AW212-AV212-AU212-AT212-AW211-AV211-AU211-AT211</f>
        <v>44</v>
      </c>
      <c r="AX214" s="249">
        <f>COUNTIFS('DETALLES UNIDADES'!$BC$8:$BC$987,"&lt;2007",'DETALLES UNIDADES'!$U$8:$U$987,"&lt;2.61",'DETALLES UNIDADES'!$S$8:$S$987,"D")-AW214-AV214-AU214-AT214-AX213-AW213-AV213-AU213-AT213-AX212-AW212-AV212-AU212-AT212-AX211-AW211-AV211-AU211-AT211</f>
        <v>22</v>
      </c>
      <c r="AY214" s="249">
        <f>COUNTIFS('DETALLES UNIDADES'!$BC$8:$BC$987,"&lt;2011",'DETALLES UNIDADES'!$U$8:$U$987,"&lt;2.61",'DETALLES UNIDADES'!$S$8:$S$987,"D")-AX214-AW214-AV214-AU214-AT214-AY213-AX213-AW213-AV213-AU213-AT213-AY212-AX212-AW212-AV212-AU212-AT212-AY211-AX211-AW211-AV211-AU211-AT211</f>
        <v>33</v>
      </c>
      <c r="AZ214" s="249">
        <f>COUNTIFS('DETALLES UNIDADES'!$BC$8:$BC$987,"&gt;2010",'DETALLES UNIDADES'!$U$8:$U$987,"&lt;2.61",'DETALLES UNIDADES'!$S$8:$S$987,"D")-AZ213-AZ212-AZ211</f>
        <v>19</v>
      </c>
      <c r="BA214" s="249">
        <f t="shared" si="616"/>
        <v>161</v>
      </c>
      <c r="BB214" s="249">
        <v>161</v>
      </c>
    </row>
    <row r="215" spans="37:54" x14ac:dyDescent="0.25">
      <c r="AK215" s="19" t="s">
        <v>1007</v>
      </c>
      <c r="AL215" s="6">
        <f t="shared" si="615"/>
        <v>2.1111111111111112E-2</v>
      </c>
      <c r="AM215" s="6">
        <f t="shared" si="608"/>
        <v>1.1111111111111111E-3</v>
      </c>
      <c r="AN215" s="6">
        <f t="shared" si="609"/>
        <v>1.1111111111111112E-2</v>
      </c>
      <c r="AO215" s="6">
        <f t="shared" si="610"/>
        <v>4.4444444444444446E-2</v>
      </c>
      <c r="AP215" s="6">
        <f t="shared" si="611"/>
        <v>0.03</v>
      </c>
      <c r="AQ215" s="6">
        <f t="shared" si="612"/>
        <v>0.06</v>
      </c>
      <c r="AR215" s="6">
        <f t="shared" si="613"/>
        <v>1.4444444444444444E-2</v>
      </c>
      <c r="AS215" s="6">
        <f t="shared" si="614"/>
        <v>0.18222222222222223</v>
      </c>
      <c r="AT215" s="249">
        <f>COUNTIFS('DETALLES UNIDADES'!$BC$8:$BC$987,"&lt;1991",'DETALLES UNIDADES'!$U$8:$U$987,"&lt;2.81",'DETALLES UNIDADES'!$S$8:$S$987,"D")-AT214-AT213-AT212-AT211</f>
        <v>19</v>
      </c>
      <c r="AU215" s="249">
        <f>COUNTIFS('DETALLES UNIDADES'!$BC$8:$BC$987,"&lt;1994",'DETALLES UNIDADES'!$U$8:$U$987,"&lt;2.81",'DETALLES UNIDADES'!$S$8:$S$987,"D")-AT215-AU214-AT214-AU213-AT213-AU212-AT212-AU211-AT211</f>
        <v>1</v>
      </c>
      <c r="AV215" s="249">
        <f>COUNTIFS('DETALLES UNIDADES'!$BC$8:$BC$987,"&lt;1998",'DETALLES UNIDADES'!$U$8:$U$987,"&lt;2.81",'DETALLES UNIDADES'!$S$8:$S$987,"D")-AU215-AT215-AV214-AU214-AT214-AV213-AU213-AT213-AV212-AU212-AT212-AV211-AU211-AT211</f>
        <v>10</v>
      </c>
      <c r="AW215" s="249">
        <f>COUNTIFS('DETALLES UNIDADES'!$BC$8:$BC$987,"&lt;2004",'DETALLES UNIDADES'!$U$8:$U$987,"&lt;2.81",'DETALLES UNIDADES'!$S$8:$S$987,"D")-AV215-AU215-AT215-AW214-AV214-AU214-AT214-AW213-AV213-AU213-AT213-AW212-AV212-AU212-AT212-AW211-AV211-AU211-AT211</f>
        <v>40</v>
      </c>
      <c r="AX215" s="249">
        <f>COUNTIFS('DETALLES UNIDADES'!$BC$8:$BC$987,"&lt;2007",'DETALLES UNIDADES'!$U$8:$U$987,"&lt;2.81",'DETALLES UNIDADES'!$S$8:$S$987,"D")-AW215-AV215-AU215-AT215-AX214-AW214-AV214-AU214-AT214-AX213-AW213-AV213-AU213-AT213-AX212-AW212-AV212-AU212-AT212-AX211-AW211-AV211-AU211-AT211</f>
        <v>27</v>
      </c>
      <c r="AY215" s="249">
        <f>COUNTIFS('DETALLES UNIDADES'!$BC$8:$BC$987,"&lt;2011",'DETALLES UNIDADES'!$U$8:$U$987,"&lt;2.81",'DETALLES UNIDADES'!$S$8:$S$987,"D")-AX215-AW215-AV215-AU215-AT215-AY214-AX214-AW214-AV214-AU214-AT214-AY213-AX213-AW213-AV213-AU213-AT213-AY212-AX212-AW212-AV212-AU212-AT212-AY211-AX211-AW211-AV211-AU211-AT211</f>
        <v>54</v>
      </c>
      <c r="AZ215" s="249">
        <f>COUNTIFS('DETALLES UNIDADES'!$BC$8:$BC$987,"&gt;2010",'DETALLES UNIDADES'!$U$8:$U$987,"&lt;2.81",'DETALLES UNIDADES'!$S$8:$S$987,"D")-AZ214-AZ213-AZ212-AZ211</f>
        <v>13</v>
      </c>
      <c r="BA215" s="249">
        <f t="shared" si="616"/>
        <v>164</v>
      </c>
      <c r="BB215" s="249">
        <v>164</v>
      </c>
    </row>
    <row r="216" spans="37:54" x14ac:dyDescent="0.25">
      <c r="AK216" s="19" t="s">
        <v>1733</v>
      </c>
      <c r="AL216" s="6">
        <f t="shared" si="615"/>
        <v>1.6666666666666666E-2</v>
      </c>
      <c r="AM216" s="6">
        <f t="shared" si="608"/>
        <v>6.6666666666666671E-3</v>
      </c>
      <c r="AN216" s="6">
        <f t="shared" si="609"/>
        <v>8.8888888888888889E-3</v>
      </c>
      <c r="AO216" s="6">
        <f t="shared" si="610"/>
        <v>2.7777777777777776E-2</v>
      </c>
      <c r="AP216" s="6">
        <f t="shared" si="611"/>
        <v>1.7777777777777778E-2</v>
      </c>
      <c r="AQ216" s="6">
        <f t="shared" si="612"/>
        <v>4.4444444444444446E-2</v>
      </c>
      <c r="AR216" s="6">
        <f t="shared" si="613"/>
        <v>1.4444444444444444E-2</v>
      </c>
      <c r="AS216" s="6">
        <f t="shared" si="614"/>
        <v>0.13666666666666666</v>
      </c>
      <c r="AT216" s="249">
        <f>COUNTIFS('DETALLES UNIDADES'!$BC$8:$BC$987,"&lt;1991",'DETALLES UNIDADES'!$U$8:$U$987,"&lt;3.21",'DETALLES UNIDADES'!$S$8:$S$987,"D")-AT215-AT214-AT213-AT212-AT211</f>
        <v>15</v>
      </c>
      <c r="AU216" s="249">
        <f>COUNTIFS('DETALLES UNIDADES'!$BC$8:$BC$987,"&lt;1994",'DETALLES UNIDADES'!$U$8:$U$987,"&lt;3.21",'DETALLES UNIDADES'!$S$8:$S$987,"D")-AT216-AU215-AT215-AU214-AT214-AU213-AT213-AU212-AT212-AU211-AT211</f>
        <v>6</v>
      </c>
      <c r="AV216" s="249">
        <f>COUNTIFS('DETALLES UNIDADES'!$BC$8:$BC$987,"&lt;1998",'DETALLES UNIDADES'!$U$8:$U$987,"&lt;3.21",'DETALLES UNIDADES'!$S$8:$S$987,"D")-AU216-AT216-AV215-AU215-AT215-AV214-AU214-AT214-AV213-AU213-AT213-AV212-AU212-AT212-AV211-AU211-AT211</f>
        <v>8</v>
      </c>
      <c r="AW216" s="249">
        <f>COUNTIFS('DETALLES UNIDADES'!$BC$8:$BC$987,"&lt;2004",'DETALLES UNIDADES'!$U$8:$U$987,"&lt;3.21",'DETALLES UNIDADES'!$S$8:$S$987,"D")-AV216-AU216-AT216-AW215-AV215-AU215-AT215-AW214-AV214-AU214-AT214-AW213-AV213-AU213-AT213-AW212-AV212-AU212-AT212-AW211-AV211-AU211-AT211</f>
        <v>25</v>
      </c>
      <c r="AX216" s="249">
        <f>COUNTIFS('DETALLES UNIDADES'!$BC$8:$BC$987,"&lt;2007",'DETALLES UNIDADES'!$U$8:$U$987,"&lt;3.21",'DETALLES UNIDADES'!$S$8:$S$987,"D")-AW216-AV216-AU216-AT216-AX215-AW215-AV215-AU215-AT215-AX214-AW214-AV214-AU214-AT214-AX213-AW213-AV213-AU213-AT213-AX212-AW212-AV212-AU212-AT212-AX211-AW211-AV211-AU211-AT211</f>
        <v>16</v>
      </c>
      <c r="AY216" s="249">
        <f>COUNTIFS('DETALLES UNIDADES'!$BC$8:$BC$987,"&lt;2011",'DETALLES UNIDADES'!$U$8:$U$987,"&lt;3.21",'DETALLES UNIDADES'!$S$8:$S$987,"D")-AX216-AW216-AV216-AU216-AT216-AY215-AX215-AW215-AV215-AU215-AT215-AY214-AX214-AW214-AV214-AU214-AT214-AY213-AX213-AW213-AV213-AU213-AT213-AY212-AX212-AW212-AV212-AU212-AT212-AY211-AX211-AW211-AV211-AU211-AT211</f>
        <v>40</v>
      </c>
      <c r="AZ216" s="249">
        <f>COUNTIFS('DETALLES UNIDADES'!$BC$8:$BC$987,"&gt;2010",'DETALLES UNIDADES'!$U$8:$U$987,"&lt;3.21",'DETALLES UNIDADES'!$S$8:$S$987,"D")-AZ215-AZ214-AZ213-AZ212-AZ211</f>
        <v>13</v>
      </c>
      <c r="BA216" s="249">
        <f t="shared" si="616"/>
        <v>123</v>
      </c>
      <c r="BB216" s="249">
        <v>123</v>
      </c>
    </row>
    <row r="217" spans="37:54" x14ac:dyDescent="0.25">
      <c r="AK217" s="19" t="s">
        <v>1734</v>
      </c>
      <c r="AL217" s="6">
        <f t="shared" si="615"/>
        <v>1.2222222222222223E-2</v>
      </c>
      <c r="AM217" s="6">
        <f t="shared" si="608"/>
        <v>4.4444444444444444E-3</v>
      </c>
      <c r="AN217" s="6">
        <f t="shared" si="609"/>
        <v>1.5555555555555555E-2</v>
      </c>
      <c r="AO217" s="6">
        <f t="shared" si="610"/>
        <v>0.04</v>
      </c>
      <c r="AP217" s="6">
        <f t="shared" si="611"/>
        <v>1.4444444444444444E-2</v>
      </c>
      <c r="AQ217" s="6">
        <f t="shared" si="612"/>
        <v>2.2222222222222223E-2</v>
      </c>
      <c r="AR217" s="6">
        <f t="shared" si="613"/>
        <v>1.1111111111111111E-3</v>
      </c>
      <c r="AS217" s="6">
        <f t="shared" si="614"/>
        <v>0.11</v>
      </c>
      <c r="AT217" s="249">
        <f>COUNTIFS('DETALLES UNIDADES'!$BC$8:$BC$987,"&lt;1991",'DETALLES UNIDADES'!$U$8:$U$987,"&lt;4.01",'DETALLES UNIDADES'!$S$8:$S$987,"D")-AT216-AT215-AT214-AT213-AT212-AT211</f>
        <v>11</v>
      </c>
      <c r="AU217" s="249">
        <f>COUNTIFS('DETALLES UNIDADES'!$BC$8:$BC$987,"&lt;1994",'DETALLES UNIDADES'!$U$8:$U$987,"&lt;4.01",'DETALLES UNIDADES'!$S$8:$S$987,"D")-AT217-AU216-AT216-AU215-AT215-AU214-AT214-AU213-AT213-AU212-AT212-AU211-AT211</f>
        <v>4</v>
      </c>
      <c r="AV217" s="249">
        <f>COUNTIFS('DETALLES UNIDADES'!$BC$8:$BC$987,"&lt;1998",'DETALLES UNIDADES'!$U$8:$U$987,"&lt;4.01",'DETALLES UNIDADES'!$S$8:$S$987,"D")-AU217-AT217-AV216-AU216-AT216-AV215-AU215-AT215-AV214-AU214-AT214-AV213-AU213-AT213-AV212-AU212-AT212-AV211-AU211-AT211</f>
        <v>14</v>
      </c>
      <c r="AW217" s="249">
        <f>COUNTIFS('DETALLES UNIDADES'!$BC$8:$BC$987,"&lt;2004",'DETALLES UNIDADES'!$U$8:$U$987,"&lt;4.01",'DETALLES UNIDADES'!$S$8:$S$987,"D")-AV217-AU217-AT217-AW216-AV216-AU216-AT216-AW215-AV215-AU215-AT215-AW214-AV214-AU214-AT214-AW213-AV213-AU213-AT213-AW212-AV212-AU212-AT212-AW211-AV211-AU211-AT211</f>
        <v>36</v>
      </c>
      <c r="AX217" s="249">
        <f>COUNTIFS('DETALLES UNIDADES'!$BC$8:$BC$987,"&lt;2007",'DETALLES UNIDADES'!$U$8:$U$987,"&lt;4.01",'DETALLES UNIDADES'!$S$8:$S$987,"D")-AW217-AV217-AU217-AT217-AX216-AW216-AV216-AU216-AT216-AX215-AW215-AV215-AU215-AT215-AX214-AW214-AV214-AU214-AT214-AX213-AW213-AV213-AU213-AT213-AX212-AW212-AV212-AU212-AT212-AX211-AW211-AV211-AU211-AT211</f>
        <v>13</v>
      </c>
      <c r="AY217" s="249">
        <f>COUNTIFS('DETALLES UNIDADES'!$BC$8:$BC$987,"&lt;2011",'DETALLES UNIDADES'!$U$8:$U$987,"&lt;4.01",'DETALLES UNIDADES'!$S$8:$S$987,"D")-AX217-AW217-AV217-AU217-AT217-AY216-AX216-AW216-AV216-AU216-AT216-AY215-AX215-AW215-AV215-AU215-AT215-AY214-AX214-AW214-AV214-AU214-AT214-AY213-AX213-AW213-AV213-AU213-AT213-AY212-AX212-AW212-AV212-AU212-AT212-AY211-AX211-AW211-AV211-AU211-AT211</f>
        <v>20</v>
      </c>
      <c r="AZ217" s="249">
        <f>COUNTIFS('DETALLES UNIDADES'!$BC$8:$BC$987,"&gt;2010",'DETALLES UNIDADES'!$U$8:$U$987,"&lt;4.01",'DETALLES UNIDADES'!$S$8:$S$987,"D")-AZ216-AZ215-AZ214-AZ213-AZ212-AZ211</f>
        <v>1</v>
      </c>
      <c r="BA217" s="249">
        <f t="shared" si="616"/>
        <v>99</v>
      </c>
      <c r="BB217" s="249">
        <v>99</v>
      </c>
    </row>
    <row r="218" spans="37:54" x14ac:dyDescent="0.25">
      <c r="AK218" s="19" t="s">
        <v>2510</v>
      </c>
      <c r="AL218" s="6">
        <f t="shared" si="615"/>
        <v>2.2222222222222222E-3</v>
      </c>
      <c r="AM218" s="6">
        <f t="shared" si="608"/>
        <v>0</v>
      </c>
      <c r="AN218" s="6">
        <f t="shared" si="609"/>
        <v>1.1111111111111112E-2</v>
      </c>
      <c r="AO218" s="6">
        <f t="shared" si="610"/>
        <v>1.5555555555555555E-2</v>
      </c>
      <c r="AP218" s="6">
        <f t="shared" si="611"/>
        <v>2.6666666666666668E-2</v>
      </c>
      <c r="AQ218" s="6">
        <f t="shared" si="612"/>
        <v>0.02</v>
      </c>
      <c r="AR218" s="6">
        <f t="shared" si="613"/>
        <v>0</v>
      </c>
      <c r="AS218" s="6">
        <f t="shared" si="614"/>
        <v>7.5555555555555556E-2</v>
      </c>
      <c r="AT218" s="249">
        <f>COUNTIFS('DETALLES UNIDADES'!$BC$8:$BC$987,"&lt;1991",'DETALLES UNIDADES'!$U$8:$U$987,"&gt;4.0",'DETALLES UNIDADES'!$S$8:$S$987,"D")</f>
        <v>2</v>
      </c>
      <c r="AU218" s="249">
        <f>COUNTIFS('DETALLES UNIDADES'!$BC$8:$BC$987,"&lt;1994",'DETALLES UNIDADES'!$U$8:$U$987,"&gt;4.0",'DETALLES UNIDADES'!$S$8:$S$987,"D")-AT218</f>
        <v>0</v>
      </c>
      <c r="AV218" s="249">
        <f>COUNTIFS('DETALLES UNIDADES'!$BC$8:$BC$987,"&lt;1998",'DETALLES UNIDADES'!$U$8:$U$987,"&gt;4.0",'DETALLES UNIDADES'!$S$8:$S$987,"D")-AU218-AT218</f>
        <v>10</v>
      </c>
      <c r="AW218" s="249">
        <f>COUNTIFS('DETALLES UNIDADES'!$BC$8:$BC$987,"&lt;2004",'DETALLES UNIDADES'!$U$8:$U$987,"&gt;4.0",'DETALLES UNIDADES'!$S$8:$S$987,"D")-AV218-AU218-AT218</f>
        <v>14</v>
      </c>
      <c r="AX218" s="249">
        <f>COUNTIFS('DETALLES UNIDADES'!$BC$8:$BC$987,"&lt;2007",'DETALLES UNIDADES'!$U$8:$U$987,"&gt;4.0",'DETALLES UNIDADES'!$S$8:$S$987,"D")-AW218-AV218-AU218-AT218</f>
        <v>24</v>
      </c>
      <c r="AY218" s="249">
        <f>COUNTIFS('DETALLES UNIDADES'!$BC$8:$BC$987,"&lt;2011",'DETALLES UNIDADES'!$U$8:$U$987,"&gt;4.0",'DETALLES UNIDADES'!$S$8:$S$987,"D")-AX218-AW218-AV218-AU218-AT218</f>
        <v>18</v>
      </c>
      <c r="AZ218" s="249">
        <f>COUNTIFS('DETALLES UNIDADES'!$BC$8:$BC$987,"&gt;2010",'DETALLES UNIDADES'!$U$8:$U$987,"&gt;4.0",'DETALLES UNIDADES'!$S$8:$S$987,"D")</f>
        <v>0</v>
      </c>
      <c r="BA218" s="249">
        <f t="shared" si="616"/>
        <v>68</v>
      </c>
      <c r="BB218" s="249">
        <v>68</v>
      </c>
    </row>
    <row r="219" spans="37:54" x14ac:dyDescent="0.25">
      <c r="AK219" s="19" t="s">
        <v>715</v>
      </c>
      <c r="AL219" s="6">
        <f t="shared" si="615"/>
        <v>0.10222222222222223</v>
      </c>
      <c r="AM219" s="6">
        <f t="shared" si="608"/>
        <v>5.4444444444444441E-2</v>
      </c>
      <c r="AN219" s="6">
        <f t="shared" si="609"/>
        <v>0.11777777777777777</v>
      </c>
      <c r="AO219" s="6">
        <f t="shared" si="610"/>
        <v>0.25555555555555554</v>
      </c>
      <c r="AP219" s="6">
        <f t="shared" si="611"/>
        <v>0.14444444444444443</v>
      </c>
      <c r="AQ219" s="6">
        <f t="shared" si="612"/>
        <v>0.22333333333333333</v>
      </c>
      <c r="AR219" s="6">
        <f t="shared" si="613"/>
        <v>0.10222222222222223</v>
      </c>
      <c r="AS219" s="6">
        <f t="shared" si="614"/>
        <v>1</v>
      </c>
      <c r="AT219" s="249">
        <f>SUM(AT211:AT218)</f>
        <v>92</v>
      </c>
      <c r="AU219" s="249">
        <f t="shared" ref="AU219:AZ219" si="617">SUM(AU211:AU218)</f>
        <v>49</v>
      </c>
      <c r="AV219" s="249">
        <f t="shared" si="617"/>
        <v>106</v>
      </c>
      <c r="AW219" s="249">
        <f t="shared" si="617"/>
        <v>230</v>
      </c>
      <c r="AX219" s="249">
        <f t="shared" si="617"/>
        <v>130</v>
      </c>
      <c r="AY219" s="249">
        <f t="shared" si="617"/>
        <v>201</v>
      </c>
      <c r="AZ219" s="249">
        <f t="shared" si="617"/>
        <v>92</v>
      </c>
      <c r="BA219" s="249">
        <f>SUM(AT219:AZ219)</f>
        <v>900</v>
      </c>
      <c r="BB219" s="249">
        <v>900</v>
      </c>
    </row>
    <row r="220" spans="37:54" x14ac:dyDescent="0.25">
      <c r="BA220" s="249">
        <f>SUM(BA211:BA218)</f>
        <v>900</v>
      </c>
    </row>
    <row r="221" spans="37:54" x14ac:dyDescent="0.25">
      <c r="AK221" s="17" t="s">
        <v>2559</v>
      </c>
    </row>
    <row r="222" spans="37:54" x14ac:dyDescent="0.25">
      <c r="AK222" s="179"/>
      <c r="AL222" s="11" t="s">
        <v>2534</v>
      </c>
    </row>
    <row r="223" spans="37:54" x14ac:dyDescent="0.25">
      <c r="AK223" s="19" t="s">
        <v>1730</v>
      </c>
      <c r="AL223" s="6">
        <f>+AM223/$AM$231</f>
        <v>0</v>
      </c>
      <c r="AM223" s="249">
        <f>+AT211</f>
        <v>0</v>
      </c>
    </row>
    <row r="224" spans="37:54" x14ac:dyDescent="0.25">
      <c r="AK224" s="19" t="s">
        <v>1731</v>
      </c>
      <c r="AL224" s="6">
        <f t="shared" ref="AL224:AL231" si="618">+AM224/$AM$231</f>
        <v>0.21739130434782608</v>
      </c>
      <c r="AM224" s="249">
        <f t="shared" ref="AM224:AM231" si="619">+AT212</f>
        <v>20</v>
      </c>
    </row>
    <row r="225" spans="37:39" x14ac:dyDescent="0.25">
      <c r="AK225" s="11" t="s">
        <v>1732</v>
      </c>
      <c r="AL225" s="6">
        <f t="shared" si="618"/>
        <v>0.11956521739130435</v>
      </c>
      <c r="AM225" s="249">
        <f t="shared" si="619"/>
        <v>11</v>
      </c>
    </row>
    <row r="226" spans="37:39" x14ac:dyDescent="0.25">
      <c r="AK226" s="19" t="s">
        <v>1737</v>
      </c>
      <c r="AL226" s="6">
        <f t="shared" si="618"/>
        <v>0.15217391304347827</v>
      </c>
      <c r="AM226" s="249">
        <f t="shared" si="619"/>
        <v>14</v>
      </c>
    </row>
    <row r="227" spans="37:39" x14ac:dyDescent="0.25">
      <c r="AK227" s="19" t="s">
        <v>1007</v>
      </c>
      <c r="AL227" s="6">
        <f t="shared" si="618"/>
        <v>0.20652173913043478</v>
      </c>
      <c r="AM227" s="249">
        <f t="shared" si="619"/>
        <v>19</v>
      </c>
    </row>
    <row r="228" spans="37:39" x14ac:dyDescent="0.25">
      <c r="AK228" s="19" t="s">
        <v>1733</v>
      </c>
      <c r="AL228" s="6">
        <f t="shared" si="618"/>
        <v>0.16304347826086957</v>
      </c>
      <c r="AM228" s="249">
        <f t="shared" si="619"/>
        <v>15</v>
      </c>
    </row>
    <row r="229" spans="37:39" x14ac:dyDescent="0.25">
      <c r="AK229" s="19" t="s">
        <v>1734</v>
      </c>
      <c r="AL229" s="6">
        <f t="shared" si="618"/>
        <v>0.11956521739130435</v>
      </c>
      <c r="AM229" s="249">
        <f t="shared" si="619"/>
        <v>11</v>
      </c>
    </row>
    <row r="230" spans="37:39" x14ac:dyDescent="0.25">
      <c r="AK230" s="19" t="s">
        <v>2510</v>
      </c>
      <c r="AL230" s="6">
        <f t="shared" si="618"/>
        <v>2.1739130434782608E-2</v>
      </c>
      <c r="AM230" s="249">
        <f t="shared" si="619"/>
        <v>2</v>
      </c>
    </row>
    <row r="231" spans="37:39" x14ac:dyDescent="0.25">
      <c r="AK231" s="19" t="s">
        <v>715</v>
      </c>
      <c r="AL231" s="6">
        <f t="shared" si="618"/>
        <v>1</v>
      </c>
      <c r="AM231" s="249">
        <f t="shared" si="619"/>
        <v>92</v>
      </c>
    </row>
    <row r="233" spans="37:39" x14ac:dyDescent="0.25">
      <c r="AK233" s="17" t="s">
        <v>2560</v>
      </c>
    </row>
    <row r="234" spans="37:39" x14ac:dyDescent="0.25">
      <c r="AK234" s="179"/>
      <c r="AL234" s="11" t="s">
        <v>2535</v>
      </c>
    </row>
    <row r="235" spans="37:39" x14ac:dyDescent="0.25">
      <c r="AK235" s="19" t="s">
        <v>1730</v>
      </c>
      <c r="AL235" s="6">
        <f>+AM235/$AM$243</f>
        <v>0</v>
      </c>
      <c r="AM235" s="249">
        <f>+AU211</f>
        <v>0</v>
      </c>
    </row>
    <row r="236" spans="37:39" x14ac:dyDescent="0.25">
      <c r="AK236" s="19" t="s">
        <v>1731</v>
      </c>
      <c r="AL236" s="6">
        <f t="shared" ref="AL236:AL243" si="620">+AM236/$AM$243</f>
        <v>0.22448979591836735</v>
      </c>
      <c r="AM236" s="249">
        <f t="shared" ref="AM236:AM243" si="621">+AU212</f>
        <v>11</v>
      </c>
    </row>
    <row r="237" spans="37:39" x14ac:dyDescent="0.25">
      <c r="AK237" s="11" t="s">
        <v>1732</v>
      </c>
      <c r="AL237" s="6">
        <f t="shared" si="620"/>
        <v>0.40816326530612246</v>
      </c>
      <c r="AM237" s="249">
        <f t="shared" si="621"/>
        <v>20</v>
      </c>
    </row>
    <row r="238" spans="37:39" x14ac:dyDescent="0.25">
      <c r="AK238" s="19" t="s">
        <v>1737</v>
      </c>
      <c r="AL238" s="6">
        <f t="shared" si="620"/>
        <v>0.14285714285714285</v>
      </c>
      <c r="AM238" s="249">
        <f t="shared" si="621"/>
        <v>7</v>
      </c>
    </row>
    <row r="239" spans="37:39" x14ac:dyDescent="0.25">
      <c r="AK239" s="19" t="s">
        <v>1007</v>
      </c>
      <c r="AL239" s="6">
        <f t="shared" si="620"/>
        <v>2.0408163265306121E-2</v>
      </c>
      <c r="AM239" s="249">
        <f t="shared" si="621"/>
        <v>1</v>
      </c>
    </row>
    <row r="240" spans="37:39" x14ac:dyDescent="0.25">
      <c r="AK240" s="19" t="s">
        <v>1733</v>
      </c>
      <c r="AL240" s="6">
        <f t="shared" si="620"/>
        <v>0.12244897959183673</v>
      </c>
      <c r="AM240" s="249">
        <f t="shared" si="621"/>
        <v>6</v>
      </c>
    </row>
    <row r="241" spans="37:39" x14ac:dyDescent="0.25">
      <c r="AK241" s="19" t="s">
        <v>1734</v>
      </c>
      <c r="AL241" s="6">
        <f t="shared" si="620"/>
        <v>8.1632653061224483E-2</v>
      </c>
      <c r="AM241" s="249">
        <f t="shared" si="621"/>
        <v>4</v>
      </c>
    </row>
    <row r="242" spans="37:39" x14ac:dyDescent="0.25">
      <c r="AK242" s="19" t="s">
        <v>2510</v>
      </c>
      <c r="AL242" s="6">
        <f t="shared" si="620"/>
        <v>0</v>
      </c>
      <c r="AM242" s="249">
        <f t="shared" si="621"/>
        <v>0</v>
      </c>
    </row>
    <row r="243" spans="37:39" x14ac:dyDescent="0.25">
      <c r="AK243" s="19" t="s">
        <v>715</v>
      </c>
      <c r="AL243" s="6">
        <f t="shared" si="620"/>
        <v>1</v>
      </c>
      <c r="AM243" s="249">
        <f t="shared" si="621"/>
        <v>49</v>
      </c>
    </row>
    <row r="245" spans="37:39" x14ac:dyDescent="0.25">
      <c r="AK245" s="17" t="s">
        <v>2561</v>
      </c>
    </row>
    <row r="246" spans="37:39" x14ac:dyDescent="0.25">
      <c r="AK246" s="179"/>
      <c r="AL246" s="11" t="s">
        <v>2536</v>
      </c>
    </row>
    <row r="247" spans="37:39" x14ac:dyDescent="0.25">
      <c r="AK247" s="19" t="s">
        <v>1730</v>
      </c>
      <c r="AL247" s="6">
        <f>+AM247/$AM$255</f>
        <v>3.7735849056603772E-2</v>
      </c>
      <c r="AM247" s="249">
        <f>+AV211</f>
        <v>4</v>
      </c>
    </row>
    <row r="248" spans="37:39" x14ac:dyDescent="0.25">
      <c r="AK248" s="19" t="s">
        <v>1731</v>
      </c>
      <c r="AL248" s="6">
        <f t="shared" ref="AL248:AL255" si="622">+AM248/$AM$255</f>
        <v>0.30188679245283018</v>
      </c>
      <c r="AM248" s="249">
        <f t="shared" ref="AM248:AM255" si="623">+AV212</f>
        <v>32</v>
      </c>
    </row>
    <row r="249" spans="37:39" x14ac:dyDescent="0.25">
      <c r="AK249" s="11" t="s">
        <v>1732</v>
      </c>
      <c r="AL249" s="6">
        <f t="shared" si="622"/>
        <v>5.6603773584905662E-2</v>
      </c>
      <c r="AM249" s="249">
        <f t="shared" si="623"/>
        <v>6</v>
      </c>
    </row>
    <row r="250" spans="37:39" x14ac:dyDescent="0.25">
      <c r="AK250" s="19" t="s">
        <v>1737</v>
      </c>
      <c r="AL250" s="6">
        <f t="shared" si="622"/>
        <v>0.20754716981132076</v>
      </c>
      <c r="AM250" s="249">
        <f t="shared" si="623"/>
        <v>22</v>
      </c>
    </row>
    <row r="251" spans="37:39" x14ac:dyDescent="0.25">
      <c r="AK251" s="19" t="s">
        <v>1007</v>
      </c>
      <c r="AL251" s="6">
        <f t="shared" si="622"/>
        <v>9.4339622641509441E-2</v>
      </c>
      <c r="AM251" s="249">
        <f t="shared" si="623"/>
        <v>10</v>
      </c>
    </row>
    <row r="252" spans="37:39" x14ac:dyDescent="0.25">
      <c r="AK252" s="19" t="s">
        <v>1733</v>
      </c>
      <c r="AL252" s="6">
        <f t="shared" si="622"/>
        <v>7.5471698113207544E-2</v>
      </c>
      <c r="AM252" s="249">
        <f t="shared" si="623"/>
        <v>8</v>
      </c>
    </row>
    <row r="253" spans="37:39" x14ac:dyDescent="0.25">
      <c r="AK253" s="19" t="s">
        <v>1734</v>
      </c>
      <c r="AL253" s="6">
        <f t="shared" si="622"/>
        <v>0.13207547169811321</v>
      </c>
      <c r="AM253" s="249">
        <f t="shared" si="623"/>
        <v>14</v>
      </c>
    </row>
    <row r="254" spans="37:39" x14ac:dyDescent="0.25">
      <c r="AK254" s="19" t="s">
        <v>2510</v>
      </c>
      <c r="AL254" s="6">
        <f t="shared" si="622"/>
        <v>9.4339622641509441E-2</v>
      </c>
      <c r="AM254" s="249">
        <f t="shared" si="623"/>
        <v>10</v>
      </c>
    </row>
    <row r="255" spans="37:39" x14ac:dyDescent="0.25">
      <c r="AK255" s="19" t="s">
        <v>715</v>
      </c>
      <c r="AL255" s="6">
        <f t="shared" si="622"/>
        <v>1</v>
      </c>
      <c r="AM255" s="249">
        <f t="shared" si="623"/>
        <v>106</v>
      </c>
    </row>
    <row r="257" spans="37:39" x14ac:dyDescent="0.25">
      <c r="AK257" s="17" t="s">
        <v>2562</v>
      </c>
    </row>
    <row r="258" spans="37:39" x14ac:dyDescent="0.25">
      <c r="AK258" s="179"/>
      <c r="AL258" s="11" t="s">
        <v>2537</v>
      </c>
    </row>
    <row r="259" spans="37:39" x14ac:dyDescent="0.25">
      <c r="AK259" s="19" t="s">
        <v>1730</v>
      </c>
      <c r="AL259" s="6">
        <f>+AM259/$AM$267</f>
        <v>1.3043478260869565E-2</v>
      </c>
      <c r="AM259" s="249">
        <f>+AW211</f>
        <v>3</v>
      </c>
    </row>
    <row r="260" spans="37:39" x14ac:dyDescent="0.25">
      <c r="AK260" s="19" t="s">
        <v>1731</v>
      </c>
      <c r="AL260" s="6">
        <f t="shared" ref="AL260:AL267" si="624">+AM260/$AM$267</f>
        <v>0.18260869565217391</v>
      </c>
      <c r="AM260" s="249">
        <f t="shared" ref="AM260:AM267" si="625">+AW212</f>
        <v>42</v>
      </c>
    </row>
    <row r="261" spans="37:39" x14ac:dyDescent="0.25">
      <c r="AK261" s="11" t="s">
        <v>1732</v>
      </c>
      <c r="AL261" s="6">
        <f t="shared" si="624"/>
        <v>0.11304347826086956</v>
      </c>
      <c r="AM261" s="249">
        <f t="shared" si="625"/>
        <v>26</v>
      </c>
    </row>
    <row r="262" spans="37:39" x14ac:dyDescent="0.25">
      <c r="AK262" s="19" t="s">
        <v>1737</v>
      </c>
      <c r="AL262" s="6">
        <f t="shared" si="624"/>
        <v>0.19130434782608696</v>
      </c>
      <c r="AM262" s="249">
        <f t="shared" si="625"/>
        <v>44</v>
      </c>
    </row>
    <row r="263" spans="37:39" x14ac:dyDescent="0.25">
      <c r="AK263" s="19" t="s">
        <v>1007</v>
      </c>
      <c r="AL263" s="6">
        <f t="shared" si="624"/>
        <v>0.17391304347826086</v>
      </c>
      <c r="AM263" s="249">
        <f t="shared" si="625"/>
        <v>40</v>
      </c>
    </row>
    <row r="264" spans="37:39" x14ac:dyDescent="0.25">
      <c r="AK264" s="19" t="s">
        <v>1733</v>
      </c>
      <c r="AL264" s="6">
        <f t="shared" si="624"/>
        <v>0.10869565217391304</v>
      </c>
      <c r="AM264" s="249">
        <f t="shared" si="625"/>
        <v>25</v>
      </c>
    </row>
    <row r="265" spans="37:39" x14ac:dyDescent="0.25">
      <c r="AK265" s="19" t="s">
        <v>1734</v>
      </c>
      <c r="AL265" s="6">
        <f t="shared" si="624"/>
        <v>0.15652173913043479</v>
      </c>
      <c r="AM265" s="249">
        <f t="shared" si="625"/>
        <v>36</v>
      </c>
    </row>
    <row r="266" spans="37:39" x14ac:dyDescent="0.25">
      <c r="AK266" s="19" t="s">
        <v>2510</v>
      </c>
      <c r="AL266" s="6">
        <f t="shared" si="624"/>
        <v>6.0869565217391307E-2</v>
      </c>
      <c r="AM266" s="249">
        <f t="shared" si="625"/>
        <v>14</v>
      </c>
    </row>
    <row r="267" spans="37:39" x14ac:dyDescent="0.25">
      <c r="AK267" s="19" t="s">
        <v>715</v>
      </c>
      <c r="AL267" s="6">
        <f t="shared" si="624"/>
        <v>1</v>
      </c>
      <c r="AM267" s="249">
        <f t="shared" si="625"/>
        <v>230</v>
      </c>
    </row>
    <row r="269" spans="37:39" x14ac:dyDescent="0.25">
      <c r="AK269" s="17" t="s">
        <v>2563</v>
      </c>
    </row>
    <row r="270" spans="37:39" x14ac:dyDescent="0.25">
      <c r="AK270" s="179"/>
      <c r="AL270" s="11" t="s">
        <v>2538</v>
      </c>
    </row>
    <row r="271" spans="37:39" x14ac:dyDescent="0.25">
      <c r="AK271" s="19" t="s">
        <v>1730</v>
      </c>
      <c r="AL271" s="6">
        <f>+AM271/$AM$279</f>
        <v>0</v>
      </c>
      <c r="AM271" s="249">
        <f>+AX211</f>
        <v>0</v>
      </c>
    </row>
    <row r="272" spans="37:39" x14ac:dyDescent="0.25">
      <c r="AK272" s="19" t="s">
        <v>1731</v>
      </c>
      <c r="AL272" s="6">
        <f t="shared" ref="AL272:AL279" si="626">+AM272/$AM$279</f>
        <v>0.13076923076923078</v>
      </c>
      <c r="AM272" s="249">
        <f t="shared" ref="AM272:AM279" si="627">+AX212</f>
        <v>17</v>
      </c>
    </row>
    <row r="273" spans="37:39" x14ac:dyDescent="0.25">
      <c r="AK273" s="11" t="s">
        <v>1732</v>
      </c>
      <c r="AL273" s="6">
        <f t="shared" si="626"/>
        <v>8.461538461538462E-2</v>
      </c>
      <c r="AM273" s="249">
        <f t="shared" si="627"/>
        <v>11</v>
      </c>
    </row>
    <row r="274" spans="37:39" x14ac:dyDescent="0.25">
      <c r="AK274" s="19" t="s">
        <v>1737</v>
      </c>
      <c r="AL274" s="6">
        <f t="shared" si="626"/>
        <v>0.16923076923076924</v>
      </c>
      <c r="AM274" s="249">
        <f t="shared" si="627"/>
        <v>22</v>
      </c>
    </row>
    <row r="275" spans="37:39" x14ac:dyDescent="0.25">
      <c r="AK275" s="19" t="s">
        <v>1007</v>
      </c>
      <c r="AL275" s="6">
        <f t="shared" si="626"/>
        <v>0.2076923076923077</v>
      </c>
      <c r="AM275" s="249">
        <f t="shared" si="627"/>
        <v>27</v>
      </c>
    </row>
    <row r="276" spans="37:39" x14ac:dyDescent="0.25">
      <c r="AK276" s="19" t="s">
        <v>1733</v>
      </c>
      <c r="AL276" s="6">
        <f t="shared" si="626"/>
        <v>0.12307692307692308</v>
      </c>
      <c r="AM276" s="249">
        <f t="shared" si="627"/>
        <v>16</v>
      </c>
    </row>
    <row r="277" spans="37:39" x14ac:dyDescent="0.25">
      <c r="AK277" s="19" t="s">
        <v>1734</v>
      </c>
      <c r="AL277" s="6">
        <f t="shared" si="626"/>
        <v>0.1</v>
      </c>
      <c r="AM277" s="249">
        <f t="shared" si="627"/>
        <v>13</v>
      </c>
    </row>
    <row r="278" spans="37:39" x14ac:dyDescent="0.25">
      <c r="AK278" s="19" t="s">
        <v>2510</v>
      </c>
      <c r="AL278" s="6">
        <f t="shared" si="626"/>
        <v>0.18461538461538463</v>
      </c>
      <c r="AM278" s="249">
        <f t="shared" si="627"/>
        <v>24</v>
      </c>
    </row>
    <row r="279" spans="37:39" x14ac:dyDescent="0.25">
      <c r="AK279" s="19" t="s">
        <v>715</v>
      </c>
      <c r="AL279" s="6">
        <f t="shared" si="626"/>
        <v>1</v>
      </c>
      <c r="AM279" s="249">
        <f t="shared" si="627"/>
        <v>130</v>
      </c>
    </row>
    <row r="281" spans="37:39" x14ac:dyDescent="0.25">
      <c r="AK281" s="17" t="s">
        <v>2564</v>
      </c>
    </row>
    <row r="282" spans="37:39" x14ac:dyDescent="0.25">
      <c r="AK282" s="179"/>
      <c r="AL282" s="11" t="str">
        <f>+AY210</f>
        <v>2007 a 2010</v>
      </c>
    </row>
    <row r="283" spans="37:39" x14ac:dyDescent="0.25">
      <c r="AK283" s="19" t="s">
        <v>1730</v>
      </c>
      <c r="AL283" s="6">
        <f>+AM283/$AM$291</f>
        <v>3.482587064676617E-2</v>
      </c>
      <c r="AM283" s="249">
        <f>+AY211</f>
        <v>7</v>
      </c>
    </row>
    <row r="284" spans="37:39" x14ac:dyDescent="0.25">
      <c r="AK284" s="19" t="s">
        <v>1731</v>
      </c>
      <c r="AL284" s="6">
        <f t="shared" ref="AL284:AL291" si="628">+AM284/$AM$291</f>
        <v>7.9601990049751242E-2</v>
      </c>
      <c r="AM284" s="249">
        <f t="shared" ref="AM284:AM291" si="629">+AY212</f>
        <v>16</v>
      </c>
    </row>
    <row r="285" spans="37:39" x14ac:dyDescent="0.25">
      <c r="AK285" s="11" t="s">
        <v>1732</v>
      </c>
      <c r="AL285" s="6">
        <f t="shared" si="628"/>
        <v>6.4676616915422883E-2</v>
      </c>
      <c r="AM285" s="249">
        <f t="shared" si="629"/>
        <v>13</v>
      </c>
    </row>
    <row r="286" spans="37:39" x14ac:dyDescent="0.25">
      <c r="AK286" s="19" t="s">
        <v>1737</v>
      </c>
      <c r="AL286" s="6">
        <f t="shared" si="628"/>
        <v>0.16417910447761194</v>
      </c>
      <c r="AM286" s="249">
        <f t="shared" si="629"/>
        <v>33</v>
      </c>
    </row>
    <row r="287" spans="37:39" x14ac:dyDescent="0.25">
      <c r="AK287" s="19" t="s">
        <v>1007</v>
      </c>
      <c r="AL287" s="6">
        <f t="shared" si="628"/>
        <v>0.26865671641791045</v>
      </c>
      <c r="AM287" s="249">
        <f t="shared" si="629"/>
        <v>54</v>
      </c>
    </row>
    <row r="288" spans="37:39" x14ac:dyDescent="0.25">
      <c r="AK288" s="19" t="s">
        <v>1733</v>
      </c>
      <c r="AL288" s="6">
        <f t="shared" si="628"/>
        <v>0.19900497512437812</v>
      </c>
      <c r="AM288" s="249">
        <f t="shared" si="629"/>
        <v>40</v>
      </c>
    </row>
    <row r="289" spans="37:39" x14ac:dyDescent="0.25">
      <c r="AK289" s="19" t="s">
        <v>1734</v>
      </c>
      <c r="AL289" s="6">
        <f t="shared" si="628"/>
        <v>9.950248756218906E-2</v>
      </c>
      <c r="AM289" s="249">
        <f t="shared" si="629"/>
        <v>20</v>
      </c>
    </row>
    <row r="290" spans="37:39" x14ac:dyDescent="0.25">
      <c r="AK290" s="19" t="s">
        <v>2510</v>
      </c>
      <c r="AL290" s="6">
        <f t="shared" si="628"/>
        <v>8.9552238805970144E-2</v>
      </c>
      <c r="AM290" s="249">
        <f t="shared" si="629"/>
        <v>18</v>
      </c>
    </row>
    <row r="291" spans="37:39" x14ac:dyDescent="0.25">
      <c r="AK291" s="19" t="s">
        <v>715</v>
      </c>
      <c r="AL291" s="6">
        <f t="shared" si="628"/>
        <v>1</v>
      </c>
      <c r="AM291" s="249">
        <f t="shared" si="629"/>
        <v>201</v>
      </c>
    </row>
    <row r="293" spans="37:39" x14ac:dyDescent="0.25">
      <c r="AK293" s="17" t="s">
        <v>2565</v>
      </c>
    </row>
    <row r="294" spans="37:39" x14ac:dyDescent="0.25">
      <c r="AK294" s="179"/>
      <c r="AL294" s="11" t="str">
        <f>+AZ210</f>
        <v>2011 en adelante</v>
      </c>
    </row>
    <row r="295" spans="37:39" x14ac:dyDescent="0.25">
      <c r="AK295" s="19" t="s">
        <v>1730</v>
      </c>
      <c r="AL295" s="6">
        <f>+AM295/$AM$303</f>
        <v>0</v>
      </c>
      <c r="AM295" s="249">
        <f>+AZ211</f>
        <v>0</v>
      </c>
    </row>
    <row r="296" spans="37:39" x14ac:dyDescent="0.25">
      <c r="AK296" s="19" t="s">
        <v>1731</v>
      </c>
      <c r="AL296" s="6">
        <f t="shared" ref="AL296:AL303" si="630">+AM296/$AM$303</f>
        <v>0.10869565217391304</v>
      </c>
      <c r="AM296" s="249">
        <f t="shared" ref="AM296:AM303" si="631">+AZ212</f>
        <v>10</v>
      </c>
    </row>
    <row r="297" spans="37:39" x14ac:dyDescent="0.25">
      <c r="AK297" s="11" t="s">
        <v>1732</v>
      </c>
      <c r="AL297" s="6">
        <f t="shared" si="630"/>
        <v>0.39130434782608697</v>
      </c>
      <c r="AM297" s="249">
        <f t="shared" si="631"/>
        <v>36</v>
      </c>
    </row>
    <row r="298" spans="37:39" x14ac:dyDescent="0.25">
      <c r="AK298" s="19" t="s">
        <v>1737</v>
      </c>
      <c r="AL298" s="6">
        <f t="shared" si="630"/>
        <v>0.20652173913043478</v>
      </c>
      <c r="AM298" s="249">
        <f t="shared" si="631"/>
        <v>19</v>
      </c>
    </row>
    <row r="299" spans="37:39" x14ac:dyDescent="0.25">
      <c r="AK299" s="19" t="s">
        <v>1007</v>
      </c>
      <c r="AL299" s="6">
        <f t="shared" si="630"/>
        <v>0.14130434782608695</v>
      </c>
      <c r="AM299" s="249">
        <f t="shared" si="631"/>
        <v>13</v>
      </c>
    </row>
    <row r="300" spans="37:39" x14ac:dyDescent="0.25">
      <c r="AK300" s="19" t="s">
        <v>1733</v>
      </c>
      <c r="AL300" s="6">
        <f t="shared" si="630"/>
        <v>0.14130434782608695</v>
      </c>
      <c r="AM300" s="249">
        <f t="shared" si="631"/>
        <v>13</v>
      </c>
    </row>
    <row r="301" spans="37:39" x14ac:dyDescent="0.25">
      <c r="AK301" s="19" t="s">
        <v>1734</v>
      </c>
      <c r="AL301" s="6">
        <f t="shared" si="630"/>
        <v>1.0869565217391304E-2</v>
      </c>
      <c r="AM301" s="249">
        <f t="shared" si="631"/>
        <v>1</v>
      </c>
    </row>
    <row r="302" spans="37:39" x14ac:dyDescent="0.25">
      <c r="AK302" s="19" t="s">
        <v>2510</v>
      </c>
      <c r="AL302" s="6">
        <f t="shared" si="630"/>
        <v>0</v>
      </c>
      <c r="AM302" s="249">
        <f t="shared" si="631"/>
        <v>0</v>
      </c>
    </row>
    <row r="303" spans="37:39" x14ac:dyDescent="0.25">
      <c r="AK303" s="19" t="s">
        <v>715</v>
      </c>
      <c r="AL303" s="6">
        <f t="shared" si="630"/>
        <v>1</v>
      </c>
      <c r="AM303" s="249">
        <f t="shared" si="631"/>
        <v>92</v>
      </c>
    </row>
  </sheetData>
  <pageMargins left="0.7" right="0.7" top="0.75" bottom="0.75" header="0.3" footer="0.3"/>
  <pageSetup orientation="portrait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EM1:HB1"/>
  <sheetViews>
    <sheetView zoomScale="80" zoomScaleNormal="80" workbookViewId="0"/>
  </sheetViews>
  <sheetFormatPr baseColWidth="10" defaultRowHeight="15" x14ac:dyDescent="0.25"/>
  <cols>
    <col min="1" max="16384" width="11.42578125" style="17"/>
  </cols>
  <sheetData>
    <row r="1" spans="143:210" x14ac:dyDescent="0.25">
      <c r="EM1" s="17">
        <v>5</v>
      </c>
      <c r="FZ1" s="17">
        <v>6</v>
      </c>
      <c r="HB1" s="17" t="s">
        <v>2718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EF430"/>
  <sheetViews>
    <sheetView zoomScale="80" zoomScaleNormal="80" workbookViewId="0"/>
  </sheetViews>
  <sheetFormatPr baseColWidth="10" defaultColWidth="11.42578125" defaultRowHeight="15" x14ac:dyDescent="0.25"/>
  <cols>
    <col min="1" max="1" width="17" style="17" customWidth="1"/>
    <col min="2" max="2" width="11.42578125" style="17"/>
    <col min="3" max="3" width="14.28515625" style="17" customWidth="1"/>
    <col min="4" max="4" width="12.5703125" style="17" customWidth="1"/>
    <col min="5" max="6" width="11.42578125" style="17"/>
    <col min="7" max="7" width="16.42578125" style="17" bestFit="1" customWidth="1"/>
    <col min="8" max="8" width="28.7109375" style="17" bestFit="1" customWidth="1"/>
    <col min="9" max="9" width="21.7109375" style="17" customWidth="1"/>
    <col min="10" max="10" width="20.28515625" style="17" customWidth="1"/>
    <col min="11" max="11" width="12.5703125" style="17" customWidth="1"/>
    <col min="12" max="15" width="11.42578125" style="17"/>
    <col min="16" max="16" width="12.5703125" style="17" customWidth="1"/>
    <col min="17" max="24" width="11.42578125" style="17"/>
    <col min="25" max="25" width="13.140625" style="17" bestFit="1" customWidth="1"/>
    <col min="26" max="26" width="12" style="17" customWidth="1"/>
    <col min="27" max="27" width="12.42578125" style="17" customWidth="1"/>
    <col min="28" max="28" width="11.42578125" style="17"/>
    <col min="29" max="29" width="12" style="17" customWidth="1"/>
    <col min="30" max="34" width="11.42578125" style="17"/>
    <col min="35" max="35" width="13.28515625" style="17" customWidth="1"/>
    <col min="36" max="36" width="14.140625" style="17" bestFit="1" customWidth="1"/>
    <col min="37" max="37" width="11.42578125" style="17"/>
    <col min="38" max="38" width="15.85546875" style="17" customWidth="1"/>
    <col min="39" max="39" width="13.42578125" style="17" customWidth="1"/>
    <col min="40" max="41" width="11.42578125" style="17"/>
    <col min="42" max="43" width="15.140625" style="17" customWidth="1"/>
    <col min="44" max="50" width="11.42578125" style="17"/>
    <col min="51" max="51" width="14" style="17" customWidth="1"/>
    <col min="52" max="52" width="13.7109375" style="17" customWidth="1"/>
    <col min="53" max="53" width="14" style="17" customWidth="1"/>
    <col min="54" max="54" width="11.42578125" style="17"/>
    <col min="55" max="55" width="15.28515625" style="17" customWidth="1"/>
    <col min="56" max="60" width="11.42578125" style="17"/>
    <col min="61" max="61" width="10.140625" style="17" customWidth="1"/>
    <col min="62" max="62" width="10" style="17" customWidth="1"/>
    <col min="63" max="63" width="12.140625" style="17" customWidth="1"/>
    <col min="64" max="64" width="12.42578125" style="17" customWidth="1"/>
    <col min="65" max="65" width="12.5703125" style="17" customWidth="1"/>
    <col min="66" max="71" width="11.42578125" style="17"/>
    <col min="72" max="72" width="12.42578125" style="17" customWidth="1"/>
    <col min="73" max="75" width="11.42578125" style="17"/>
    <col min="76" max="76" width="14.28515625" style="17" customWidth="1"/>
    <col min="77" max="77" width="11.42578125" style="17"/>
    <col min="78" max="78" width="12.42578125" style="17" customWidth="1"/>
    <col min="79" max="81" width="11.42578125" style="17"/>
    <col min="82" max="82" width="12" style="17" customWidth="1"/>
    <col min="83" max="83" width="11.42578125" style="17"/>
    <col min="84" max="84" width="23.7109375" style="17" bestFit="1" customWidth="1"/>
    <col min="85" max="89" width="11.42578125" style="17"/>
    <col min="90" max="95" width="15.42578125" style="17" customWidth="1"/>
    <col min="96" max="96" width="11.42578125" style="17"/>
    <col min="97" max="97" width="14.7109375" style="17" customWidth="1"/>
    <col min="98" max="103" width="11.42578125" style="17"/>
    <col min="104" max="104" width="20.28515625" style="17" customWidth="1"/>
    <col min="105" max="105" width="11.42578125" style="17"/>
    <col min="106" max="106" width="15.28515625" style="17" customWidth="1"/>
    <col min="107" max="110" width="11.42578125" style="17"/>
    <col min="111" max="111" width="19" style="17" customWidth="1"/>
    <col min="112" max="112" width="14.28515625" style="17" customWidth="1"/>
    <col min="113" max="113" width="15.85546875" style="17" customWidth="1"/>
    <col min="114" max="114" width="11.42578125" style="17"/>
    <col min="115" max="115" width="29" style="17" customWidth="1"/>
    <col min="116" max="116" width="11.42578125" style="17"/>
    <col min="117" max="117" width="25.42578125" style="17" customWidth="1"/>
    <col min="118" max="118" width="32" style="17" customWidth="1"/>
    <col min="119" max="119" width="14" style="17" customWidth="1"/>
    <col min="120" max="120" width="13.7109375" style="17" customWidth="1"/>
    <col min="121" max="121" width="12.7109375" style="17" customWidth="1"/>
    <col min="122" max="122" width="19.28515625" style="17" customWidth="1"/>
    <col min="123" max="123" width="15.140625" style="17" customWidth="1"/>
    <col min="124" max="124" width="25.85546875" style="17" customWidth="1"/>
    <col min="125" max="125" width="28.140625" style="17" customWidth="1"/>
    <col min="126" max="126" width="36" style="17" bestFit="1" customWidth="1"/>
    <col min="127" max="127" width="16.5703125" style="17" customWidth="1"/>
    <col min="128" max="128" width="15.5703125" style="17" customWidth="1"/>
    <col min="129" max="129" width="13.7109375" style="17" customWidth="1"/>
    <col min="130" max="130" width="25.85546875" style="17" customWidth="1"/>
    <col min="131" max="131" width="15.7109375" style="17" customWidth="1"/>
    <col min="132" max="132" width="27.5703125" style="17" customWidth="1"/>
    <col min="133" max="133" width="29.28515625" style="17" customWidth="1"/>
    <col min="134" max="134" width="56.5703125" style="17" customWidth="1"/>
    <col min="135" max="135" width="51.28515625" style="17" customWidth="1"/>
    <col min="136" max="16384" width="11.42578125" style="17"/>
  </cols>
  <sheetData>
    <row r="1" spans="1:134" ht="15.75" thickBot="1" x14ac:dyDescent="0.3">
      <c r="A1" s="17" t="s">
        <v>1872</v>
      </c>
    </row>
    <row r="2" spans="1:134" ht="15.75" thickBot="1" x14ac:dyDescent="0.3">
      <c r="B2" s="268" t="s">
        <v>0</v>
      </c>
      <c r="C2" s="277" t="s">
        <v>1</v>
      </c>
      <c r="D2" s="278"/>
      <c r="E2" s="262">
        <v>1</v>
      </c>
      <c r="F2" s="263"/>
      <c r="G2" s="84">
        <v>2</v>
      </c>
      <c r="H2" s="85">
        <v>3</v>
      </c>
      <c r="I2" s="85"/>
      <c r="J2" s="85"/>
      <c r="K2" s="85">
        <v>4</v>
      </c>
      <c r="L2" s="84">
        <v>5</v>
      </c>
      <c r="M2" s="289">
        <v>6</v>
      </c>
      <c r="N2" s="290"/>
      <c r="O2" s="290"/>
      <c r="P2" s="290"/>
      <c r="Q2" s="290"/>
      <c r="R2" s="290"/>
      <c r="S2" s="291"/>
      <c r="T2" s="291"/>
      <c r="U2" s="291"/>
      <c r="V2" s="291"/>
      <c r="W2" s="291"/>
      <c r="X2" s="291"/>
      <c r="Y2" s="292"/>
      <c r="Z2" s="262">
        <v>7</v>
      </c>
      <c r="AA2" s="284"/>
      <c r="AB2" s="284"/>
      <c r="AC2" s="284"/>
      <c r="AD2" s="284"/>
      <c r="AE2" s="284"/>
      <c r="AF2" s="284"/>
      <c r="AG2" s="284"/>
      <c r="AH2" s="284"/>
      <c r="AI2" s="263"/>
      <c r="AJ2" s="297">
        <v>8</v>
      </c>
      <c r="AK2" s="298"/>
      <c r="AL2" s="298"/>
      <c r="AM2" s="298"/>
      <c r="AN2" s="298"/>
      <c r="AO2" s="299"/>
      <c r="AP2" s="262">
        <v>9</v>
      </c>
      <c r="AQ2" s="263"/>
      <c r="AR2" s="262">
        <v>10</v>
      </c>
      <c r="AS2" s="284"/>
      <c r="AT2" s="284"/>
      <c r="AU2" s="284"/>
      <c r="AV2" s="284"/>
      <c r="AW2" s="284"/>
      <c r="AX2" s="284"/>
      <c r="AY2" s="263"/>
      <c r="AZ2" s="262">
        <v>11</v>
      </c>
      <c r="BA2" s="263"/>
      <c r="BB2" s="262">
        <v>12</v>
      </c>
      <c r="BC2" s="284"/>
      <c r="BD2" s="284"/>
      <c r="BE2" s="284"/>
      <c r="BF2" s="284"/>
      <c r="BG2" s="301"/>
      <c r="BH2" s="301"/>
      <c r="BI2" s="301"/>
      <c r="BJ2" s="301"/>
      <c r="BK2" s="263"/>
      <c r="BL2" s="262">
        <v>13</v>
      </c>
      <c r="BM2" s="263"/>
      <c r="BN2" s="262">
        <v>14</v>
      </c>
      <c r="BO2" s="263"/>
      <c r="BP2" s="262">
        <v>15</v>
      </c>
      <c r="BQ2" s="284"/>
      <c r="BR2" s="284"/>
      <c r="BS2" s="284"/>
      <c r="BT2" s="284"/>
      <c r="BU2" s="284"/>
      <c r="BV2" s="263"/>
      <c r="BW2" s="262">
        <v>16</v>
      </c>
      <c r="BX2" s="284"/>
      <c r="BY2" s="284"/>
      <c r="BZ2" s="284"/>
      <c r="CA2" s="284"/>
      <c r="CB2" s="284"/>
      <c r="CC2" s="284"/>
      <c r="CD2" s="284"/>
      <c r="CE2" s="284"/>
      <c r="CF2" s="263"/>
      <c r="CG2" s="262">
        <v>17</v>
      </c>
      <c r="CH2" s="284"/>
      <c r="CI2" s="284"/>
      <c r="CJ2" s="301"/>
      <c r="CK2" s="263"/>
      <c r="CL2" s="262">
        <v>18</v>
      </c>
      <c r="CM2" s="284"/>
      <c r="CN2" s="284"/>
      <c r="CO2" s="284"/>
      <c r="CP2" s="284"/>
      <c r="CQ2" s="263"/>
      <c r="CR2" s="262">
        <v>19</v>
      </c>
      <c r="CS2" s="284"/>
      <c r="CT2" s="284"/>
      <c r="CU2" s="284"/>
      <c r="CV2" s="284"/>
      <c r="CW2" s="284"/>
      <c r="CX2" s="263"/>
      <c r="CY2" s="262">
        <v>20</v>
      </c>
      <c r="CZ2" s="284"/>
      <c r="DA2" s="284"/>
      <c r="DB2" s="284"/>
      <c r="DC2" s="284"/>
      <c r="DD2" s="284"/>
      <c r="DE2" s="284"/>
      <c r="DF2" s="284"/>
      <c r="DG2" s="263"/>
      <c r="DH2" s="262">
        <v>21</v>
      </c>
      <c r="DI2" s="284"/>
      <c r="DJ2" s="284"/>
      <c r="DK2" s="284"/>
      <c r="DL2" s="284"/>
      <c r="DM2" s="284"/>
      <c r="DN2" s="263"/>
      <c r="DO2" s="262">
        <v>22</v>
      </c>
      <c r="DP2" s="284"/>
      <c r="DQ2" s="284"/>
      <c r="DR2" s="284"/>
      <c r="DS2" s="284"/>
      <c r="DT2" s="284"/>
      <c r="DU2" s="284"/>
      <c r="DV2" s="263"/>
      <c r="DW2" s="289">
        <v>23</v>
      </c>
      <c r="DX2" s="290"/>
      <c r="DY2" s="290"/>
      <c r="DZ2" s="290"/>
      <c r="EA2" s="290"/>
      <c r="EB2" s="290"/>
      <c r="EC2" s="292"/>
      <c r="ED2" s="86"/>
    </row>
    <row r="3" spans="1:134" ht="15.75" thickBot="1" x14ac:dyDescent="0.3">
      <c r="B3" s="269"/>
      <c r="C3" s="279" t="s">
        <v>7</v>
      </c>
      <c r="D3" s="281" t="s">
        <v>8</v>
      </c>
      <c r="E3" s="271" t="s">
        <v>2</v>
      </c>
      <c r="F3" s="273" t="s">
        <v>3</v>
      </c>
      <c r="G3" s="266" t="s">
        <v>4</v>
      </c>
      <c r="H3" s="275" t="s">
        <v>5</v>
      </c>
      <c r="I3" s="240" t="s">
        <v>1180</v>
      </c>
      <c r="J3" s="240" t="s">
        <v>1328</v>
      </c>
      <c r="K3" s="275" t="s">
        <v>6</v>
      </c>
      <c r="L3" s="266" t="s">
        <v>9</v>
      </c>
      <c r="M3" s="285" t="s">
        <v>10</v>
      </c>
      <c r="N3" s="286"/>
      <c r="O3" s="286"/>
      <c r="P3" s="286"/>
      <c r="Q3" s="286"/>
      <c r="R3" s="286"/>
      <c r="S3" s="287"/>
      <c r="T3" s="287"/>
      <c r="U3" s="287"/>
      <c r="V3" s="287"/>
      <c r="W3" s="287"/>
      <c r="X3" s="287"/>
      <c r="Y3" s="288"/>
      <c r="Z3" s="264" t="s">
        <v>18</v>
      </c>
      <c r="AA3" s="265"/>
      <c r="AB3" s="265"/>
      <c r="AC3" s="265"/>
      <c r="AD3" s="265"/>
      <c r="AE3" s="265"/>
      <c r="AF3" s="265"/>
      <c r="AG3" s="265"/>
      <c r="AH3" s="265"/>
      <c r="AI3" s="293"/>
      <c r="AJ3" s="294" t="s">
        <v>29</v>
      </c>
      <c r="AK3" s="295"/>
      <c r="AL3" s="295"/>
      <c r="AM3" s="295"/>
      <c r="AN3" s="295"/>
      <c r="AO3" s="296"/>
      <c r="AP3" s="260" t="s">
        <v>37</v>
      </c>
      <c r="AQ3" s="261"/>
      <c r="AR3" s="264" t="s">
        <v>38</v>
      </c>
      <c r="AS3" s="265"/>
      <c r="AT3" s="265"/>
      <c r="AU3" s="265"/>
      <c r="AV3" s="283" t="s">
        <v>42</v>
      </c>
      <c r="AW3" s="283"/>
      <c r="AX3" s="283"/>
      <c r="AY3" s="261"/>
      <c r="AZ3" s="260" t="s">
        <v>47</v>
      </c>
      <c r="BA3" s="261"/>
      <c r="BB3" s="260" t="s">
        <v>51</v>
      </c>
      <c r="BC3" s="283"/>
      <c r="BD3" s="283"/>
      <c r="BE3" s="283"/>
      <c r="BF3" s="283"/>
      <c r="BG3" s="300"/>
      <c r="BH3" s="300"/>
      <c r="BI3" s="300"/>
      <c r="BJ3" s="300"/>
      <c r="BK3" s="261"/>
      <c r="BL3" s="260" t="s">
        <v>56</v>
      </c>
      <c r="BM3" s="261"/>
      <c r="BN3" s="260" t="s">
        <v>266</v>
      </c>
      <c r="BO3" s="261"/>
      <c r="BP3" s="260" t="s">
        <v>58</v>
      </c>
      <c r="BQ3" s="283"/>
      <c r="BR3" s="283"/>
      <c r="BS3" s="283"/>
      <c r="BT3" s="283"/>
      <c r="BU3" s="283"/>
      <c r="BV3" s="261"/>
      <c r="BW3" s="260" t="s">
        <v>66</v>
      </c>
      <c r="BX3" s="283"/>
      <c r="BY3" s="283"/>
      <c r="BZ3" s="283"/>
      <c r="CA3" s="283"/>
      <c r="CB3" s="283"/>
      <c r="CC3" s="283"/>
      <c r="CD3" s="283"/>
      <c r="CE3" s="283"/>
      <c r="CF3" s="261"/>
      <c r="CG3" s="264" t="s">
        <v>268</v>
      </c>
      <c r="CH3" s="265"/>
      <c r="CI3" s="265"/>
      <c r="CJ3" s="302"/>
      <c r="CK3" s="293"/>
      <c r="CL3" s="260" t="s">
        <v>85</v>
      </c>
      <c r="CM3" s="283"/>
      <c r="CN3" s="283"/>
      <c r="CO3" s="283"/>
      <c r="CP3" s="283"/>
      <c r="CQ3" s="261"/>
      <c r="CR3" s="260" t="s">
        <v>269</v>
      </c>
      <c r="CS3" s="283"/>
      <c r="CT3" s="283"/>
      <c r="CU3" s="283"/>
      <c r="CV3" s="283"/>
      <c r="CW3" s="283"/>
      <c r="CX3" s="261"/>
      <c r="CY3" s="260" t="s">
        <v>94</v>
      </c>
      <c r="CZ3" s="283"/>
      <c r="DA3" s="283"/>
      <c r="DB3" s="283"/>
      <c r="DC3" s="283"/>
      <c r="DD3" s="283"/>
      <c r="DE3" s="283"/>
      <c r="DF3" s="283"/>
      <c r="DG3" s="261"/>
      <c r="DH3" s="260" t="s">
        <v>95</v>
      </c>
      <c r="DI3" s="283"/>
      <c r="DJ3" s="283" t="s">
        <v>96</v>
      </c>
      <c r="DK3" s="283"/>
      <c r="DL3" s="283"/>
      <c r="DM3" s="283" t="s">
        <v>97</v>
      </c>
      <c r="DN3" s="261" t="s">
        <v>98</v>
      </c>
      <c r="DO3" s="260" t="s">
        <v>99</v>
      </c>
      <c r="DP3" s="300"/>
      <c r="DQ3" s="313" t="s">
        <v>96</v>
      </c>
      <c r="DR3" s="314"/>
      <c r="DS3" s="314"/>
      <c r="DT3" s="315"/>
      <c r="DU3" s="308" t="s">
        <v>97</v>
      </c>
      <c r="DV3" s="261" t="s">
        <v>98</v>
      </c>
      <c r="DW3" s="260" t="s">
        <v>100</v>
      </c>
      <c r="DX3" s="300"/>
      <c r="DY3" s="310" t="s">
        <v>96</v>
      </c>
      <c r="DZ3" s="311"/>
      <c r="EA3" s="312"/>
      <c r="EB3" s="308" t="s">
        <v>101</v>
      </c>
      <c r="EC3" s="261" t="s">
        <v>98</v>
      </c>
      <c r="ED3" s="87"/>
    </row>
    <row r="4" spans="1:134" ht="60.75" thickBot="1" x14ac:dyDescent="0.3">
      <c r="B4" s="270"/>
      <c r="C4" s="280"/>
      <c r="D4" s="282"/>
      <c r="E4" s="272"/>
      <c r="F4" s="274"/>
      <c r="G4" s="267"/>
      <c r="H4" s="276"/>
      <c r="I4" s="241"/>
      <c r="J4" s="241"/>
      <c r="K4" s="276"/>
      <c r="L4" s="267"/>
      <c r="M4" s="246" t="s">
        <v>11</v>
      </c>
      <c r="N4" s="236" t="s">
        <v>12</v>
      </c>
      <c r="O4" s="236" t="s">
        <v>13</v>
      </c>
      <c r="P4" s="236" t="s">
        <v>14</v>
      </c>
      <c r="Q4" s="236" t="s">
        <v>15</v>
      </c>
      <c r="R4" s="236" t="s">
        <v>16</v>
      </c>
      <c r="S4" s="257" t="s">
        <v>17</v>
      </c>
      <c r="T4" s="258"/>
      <c r="U4" s="258"/>
      <c r="V4" s="258"/>
      <c r="W4" s="258"/>
      <c r="X4" s="258"/>
      <c r="Y4" s="259"/>
      <c r="Z4" s="88" t="s">
        <v>19</v>
      </c>
      <c r="AA4" s="236" t="s">
        <v>20</v>
      </c>
      <c r="AB4" s="236" t="s">
        <v>21</v>
      </c>
      <c r="AC4" s="236" t="s">
        <v>22</v>
      </c>
      <c r="AD4" s="236" t="s">
        <v>23</v>
      </c>
      <c r="AE4" s="236" t="s">
        <v>24</v>
      </c>
      <c r="AF4" s="236" t="s">
        <v>25</v>
      </c>
      <c r="AG4" s="236" t="s">
        <v>26</v>
      </c>
      <c r="AH4" s="236" t="s">
        <v>27</v>
      </c>
      <c r="AI4" s="235" t="s">
        <v>28</v>
      </c>
      <c r="AJ4" s="88" t="s">
        <v>30</v>
      </c>
      <c r="AK4" s="236" t="s">
        <v>31</v>
      </c>
      <c r="AL4" s="236" t="s">
        <v>32</v>
      </c>
      <c r="AM4" s="236" t="s">
        <v>33</v>
      </c>
      <c r="AN4" s="235" t="s">
        <v>34</v>
      </c>
      <c r="AO4" s="238" t="s">
        <v>263</v>
      </c>
      <c r="AP4" s="88" t="s">
        <v>35</v>
      </c>
      <c r="AQ4" s="235" t="s">
        <v>36</v>
      </c>
      <c r="AR4" s="88" t="s">
        <v>39</v>
      </c>
      <c r="AS4" s="236" t="s">
        <v>40</v>
      </c>
      <c r="AT4" s="236" t="s">
        <v>41</v>
      </c>
      <c r="AU4" s="236" t="s">
        <v>1344</v>
      </c>
      <c r="AV4" s="236" t="s">
        <v>43</v>
      </c>
      <c r="AW4" s="236" t="s">
        <v>44</v>
      </c>
      <c r="AX4" s="236" t="s">
        <v>45</v>
      </c>
      <c r="AY4" s="235" t="s">
        <v>46</v>
      </c>
      <c r="AZ4" s="88" t="s">
        <v>48</v>
      </c>
      <c r="BA4" s="235" t="s">
        <v>49</v>
      </c>
      <c r="BB4" s="88" t="s">
        <v>50</v>
      </c>
      <c r="BC4" s="236" t="s">
        <v>52</v>
      </c>
      <c r="BD4" s="236" t="s">
        <v>53</v>
      </c>
      <c r="BE4" s="236" t="s">
        <v>54</v>
      </c>
      <c r="BF4" s="236" t="s">
        <v>55</v>
      </c>
      <c r="BG4" s="237" t="s">
        <v>861</v>
      </c>
      <c r="BH4" s="237" t="s">
        <v>862</v>
      </c>
      <c r="BI4" s="237" t="s">
        <v>1345</v>
      </c>
      <c r="BJ4" s="237" t="s">
        <v>866</v>
      </c>
      <c r="BK4" s="235" t="s">
        <v>46</v>
      </c>
      <c r="BL4" s="88" t="s">
        <v>49</v>
      </c>
      <c r="BM4" s="235" t="s">
        <v>57</v>
      </c>
      <c r="BN4" s="88" t="s">
        <v>49</v>
      </c>
      <c r="BO4" s="235" t="s">
        <v>57</v>
      </c>
      <c r="BP4" s="88" t="s">
        <v>59</v>
      </c>
      <c r="BQ4" s="236" t="s">
        <v>60</v>
      </c>
      <c r="BR4" s="236" t="s">
        <v>61</v>
      </c>
      <c r="BS4" s="236" t="s">
        <v>62</v>
      </c>
      <c r="BT4" s="236" t="s">
        <v>63</v>
      </c>
      <c r="BU4" s="236" t="s">
        <v>64</v>
      </c>
      <c r="BV4" s="235" t="s">
        <v>65</v>
      </c>
      <c r="BW4" s="88" t="s">
        <v>67</v>
      </c>
      <c r="BX4" s="236" t="s">
        <v>267</v>
      </c>
      <c r="BY4" s="236" t="s">
        <v>68</v>
      </c>
      <c r="BZ4" s="236" t="s">
        <v>69</v>
      </c>
      <c r="CA4" s="236" t="s">
        <v>70</v>
      </c>
      <c r="CB4" s="236" t="s">
        <v>218</v>
      </c>
      <c r="CC4" s="236" t="s">
        <v>71</v>
      </c>
      <c r="CD4" s="236" t="s">
        <v>72</v>
      </c>
      <c r="CE4" s="236" t="s">
        <v>73</v>
      </c>
      <c r="CF4" s="235" t="s">
        <v>74</v>
      </c>
      <c r="CG4" s="88" t="s">
        <v>75</v>
      </c>
      <c r="CH4" s="236" t="s">
        <v>76</v>
      </c>
      <c r="CI4" s="236" t="s">
        <v>77</v>
      </c>
      <c r="CJ4" s="237" t="s">
        <v>900</v>
      </c>
      <c r="CK4" s="235" t="s">
        <v>78</v>
      </c>
      <c r="CL4" s="88" t="s">
        <v>79</v>
      </c>
      <c r="CM4" s="236" t="s">
        <v>80</v>
      </c>
      <c r="CN4" s="236" t="s">
        <v>81</v>
      </c>
      <c r="CO4" s="236" t="s">
        <v>82</v>
      </c>
      <c r="CP4" s="236" t="s">
        <v>83</v>
      </c>
      <c r="CQ4" s="235" t="s">
        <v>84</v>
      </c>
      <c r="CR4" s="88" t="s">
        <v>86</v>
      </c>
      <c r="CS4" s="236" t="s">
        <v>87</v>
      </c>
      <c r="CT4" s="236" t="s">
        <v>88</v>
      </c>
      <c r="CU4" s="236" t="s">
        <v>89</v>
      </c>
      <c r="CV4" s="236" t="s">
        <v>90</v>
      </c>
      <c r="CW4" s="236" t="s">
        <v>91</v>
      </c>
      <c r="CX4" s="235" t="s">
        <v>28</v>
      </c>
      <c r="CY4" s="88" t="s">
        <v>92</v>
      </c>
      <c r="CZ4" s="236" t="s">
        <v>93</v>
      </c>
      <c r="DA4" s="236" t="s">
        <v>86</v>
      </c>
      <c r="DB4" s="236" t="s">
        <v>87</v>
      </c>
      <c r="DC4" s="236" t="s">
        <v>88</v>
      </c>
      <c r="DD4" s="236" t="s">
        <v>89</v>
      </c>
      <c r="DE4" s="236" t="s">
        <v>90</v>
      </c>
      <c r="DF4" s="236" t="s">
        <v>91</v>
      </c>
      <c r="DG4" s="235" t="s">
        <v>28</v>
      </c>
      <c r="DH4" s="88" t="s">
        <v>48</v>
      </c>
      <c r="DI4" s="236" t="s">
        <v>49</v>
      </c>
      <c r="DJ4" s="236" t="s">
        <v>48</v>
      </c>
      <c r="DK4" s="236" t="s">
        <v>270</v>
      </c>
      <c r="DL4" s="236" t="s">
        <v>49</v>
      </c>
      <c r="DM4" s="307"/>
      <c r="DN4" s="306"/>
      <c r="DO4" s="88" t="s">
        <v>48</v>
      </c>
      <c r="DP4" s="237" t="s">
        <v>49</v>
      </c>
      <c r="DQ4" s="89" t="s">
        <v>48</v>
      </c>
      <c r="DR4" s="90" t="s">
        <v>93</v>
      </c>
      <c r="DS4" s="90" t="s">
        <v>49</v>
      </c>
      <c r="DT4" s="90" t="s">
        <v>93</v>
      </c>
      <c r="DU4" s="309"/>
      <c r="DV4" s="306"/>
      <c r="DW4" s="88" t="s">
        <v>48</v>
      </c>
      <c r="DX4" s="237" t="s">
        <v>49</v>
      </c>
      <c r="DY4" s="88" t="s">
        <v>48</v>
      </c>
      <c r="DZ4" s="91" t="s">
        <v>93</v>
      </c>
      <c r="EA4" s="235" t="s">
        <v>49</v>
      </c>
      <c r="EB4" s="309"/>
      <c r="EC4" s="306"/>
      <c r="ED4" s="92" t="s">
        <v>284</v>
      </c>
    </row>
    <row r="5" spans="1:134" ht="15.75" thickBot="1" x14ac:dyDescent="0.3"/>
    <row r="6" spans="1:134" s="4" customFormat="1" ht="63.75" x14ac:dyDescent="0.25">
      <c r="A6" s="4" t="s">
        <v>402</v>
      </c>
      <c r="B6" s="5" t="s">
        <v>0</v>
      </c>
      <c r="C6" s="93" t="s">
        <v>7</v>
      </c>
      <c r="D6" s="93" t="s">
        <v>8</v>
      </c>
      <c r="E6" s="93" t="s">
        <v>177</v>
      </c>
      <c r="F6" s="93" t="s">
        <v>3</v>
      </c>
      <c r="G6" s="93" t="s">
        <v>178</v>
      </c>
      <c r="H6" s="93" t="s">
        <v>179</v>
      </c>
      <c r="I6" s="239" t="s">
        <v>1180</v>
      </c>
      <c r="J6" s="239" t="s">
        <v>1328</v>
      </c>
      <c r="K6" s="93" t="s">
        <v>285</v>
      </c>
      <c r="L6" s="93" t="s">
        <v>180</v>
      </c>
      <c r="M6" s="93" t="s">
        <v>181</v>
      </c>
      <c r="N6" s="93" t="s">
        <v>182</v>
      </c>
      <c r="O6" s="93" t="s">
        <v>183</v>
      </c>
      <c r="P6" s="93" t="s">
        <v>184</v>
      </c>
      <c r="Q6" s="93" t="s">
        <v>185</v>
      </c>
      <c r="R6" s="93" t="s">
        <v>186</v>
      </c>
      <c r="S6" s="93" t="s">
        <v>818</v>
      </c>
      <c r="T6" s="93" t="s">
        <v>819</v>
      </c>
      <c r="U6" s="93" t="s">
        <v>820</v>
      </c>
      <c r="V6" s="93" t="s">
        <v>821</v>
      </c>
      <c r="W6" s="93" t="s">
        <v>822</v>
      </c>
      <c r="X6" s="93" t="s">
        <v>1342</v>
      </c>
      <c r="Y6" s="93" t="s">
        <v>187</v>
      </c>
      <c r="Z6" s="93" t="s">
        <v>188</v>
      </c>
      <c r="AA6" s="93" t="s">
        <v>189</v>
      </c>
      <c r="AB6" s="93" t="s">
        <v>190</v>
      </c>
      <c r="AC6" s="93" t="s">
        <v>191</v>
      </c>
      <c r="AD6" s="93" t="s">
        <v>192</v>
      </c>
      <c r="AE6" s="93" t="s">
        <v>193</v>
      </c>
      <c r="AF6" s="93" t="s">
        <v>194</v>
      </c>
      <c r="AG6" s="93" t="s">
        <v>195</v>
      </c>
      <c r="AH6" s="93" t="s">
        <v>196</v>
      </c>
      <c r="AI6" s="93" t="s">
        <v>197</v>
      </c>
      <c r="AJ6" s="93" t="s">
        <v>198</v>
      </c>
      <c r="AK6" s="93" t="s">
        <v>199</v>
      </c>
      <c r="AL6" s="93" t="s">
        <v>200</v>
      </c>
      <c r="AM6" s="93" t="s">
        <v>201</v>
      </c>
      <c r="AN6" s="93" t="s">
        <v>1021</v>
      </c>
      <c r="AO6" s="93" t="s">
        <v>264</v>
      </c>
      <c r="AP6" s="93" t="s">
        <v>265</v>
      </c>
      <c r="AQ6" s="93" t="s">
        <v>36</v>
      </c>
      <c r="AR6" s="93" t="s">
        <v>202</v>
      </c>
      <c r="AS6" s="93" t="s">
        <v>203</v>
      </c>
      <c r="AT6" s="93" t="s">
        <v>204</v>
      </c>
      <c r="AU6" s="93" t="s">
        <v>205</v>
      </c>
      <c r="AV6" s="93" t="s">
        <v>286</v>
      </c>
      <c r="AW6" s="93" t="s">
        <v>287</v>
      </c>
      <c r="AX6" s="93" t="s">
        <v>288</v>
      </c>
      <c r="AY6" s="93" t="s">
        <v>289</v>
      </c>
      <c r="AZ6" s="93" t="s">
        <v>206</v>
      </c>
      <c r="BA6" s="93" t="s">
        <v>207</v>
      </c>
      <c r="BB6" s="93" t="s">
        <v>208</v>
      </c>
      <c r="BC6" s="93" t="s">
        <v>209</v>
      </c>
      <c r="BD6" s="93" t="s">
        <v>210</v>
      </c>
      <c r="BE6" s="93" t="s">
        <v>211</v>
      </c>
      <c r="BF6" s="93" t="s">
        <v>212</v>
      </c>
      <c r="BG6" s="93" t="s">
        <v>863</v>
      </c>
      <c r="BH6" s="93" t="s">
        <v>864</v>
      </c>
      <c r="BI6" s="93" t="s">
        <v>1345</v>
      </c>
      <c r="BJ6" s="93" t="s">
        <v>866</v>
      </c>
      <c r="BK6" s="93" t="s">
        <v>213</v>
      </c>
      <c r="BL6" s="93" t="s">
        <v>214</v>
      </c>
      <c r="BM6" s="93" t="s">
        <v>215</v>
      </c>
      <c r="BN6" s="93" t="s">
        <v>216</v>
      </c>
      <c r="BO6" s="93" t="s">
        <v>217</v>
      </c>
      <c r="BP6" s="93" t="s">
        <v>290</v>
      </c>
      <c r="BQ6" s="93" t="s">
        <v>291</v>
      </c>
      <c r="BR6" s="93" t="s">
        <v>292</v>
      </c>
      <c r="BS6" s="93" t="s">
        <v>293</v>
      </c>
      <c r="BT6" s="93" t="s">
        <v>294</v>
      </c>
      <c r="BU6" s="93" t="s">
        <v>295</v>
      </c>
      <c r="BV6" s="93" t="s">
        <v>296</v>
      </c>
      <c r="BW6" s="93" t="s">
        <v>219</v>
      </c>
      <c r="BX6" s="93" t="s">
        <v>297</v>
      </c>
      <c r="BY6" s="93" t="s">
        <v>220</v>
      </c>
      <c r="BZ6" s="93" t="s">
        <v>221</v>
      </c>
      <c r="CA6" s="93" t="s">
        <v>222</v>
      </c>
      <c r="CB6" s="93" t="s">
        <v>223</v>
      </c>
      <c r="CC6" s="93" t="s">
        <v>224</v>
      </c>
      <c r="CD6" s="93" t="s">
        <v>225</v>
      </c>
      <c r="CE6" s="93" t="s">
        <v>298</v>
      </c>
      <c r="CF6" s="93" t="s">
        <v>226</v>
      </c>
      <c r="CG6" s="93" t="s">
        <v>299</v>
      </c>
      <c r="CH6" s="93" t="s">
        <v>300</v>
      </c>
      <c r="CI6" s="93" t="s">
        <v>301</v>
      </c>
      <c r="CJ6" s="93" t="s">
        <v>332</v>
      </c>
      <c r="CK6" s="93" t="s">
        <v>302</v>
      </c>
      <c r="CL6" s="93" t="s">
        <v>227</v>
      </c>
      <c r="CM6" s="93" t="s">
        <v>228</v>
      </c>
      <c r="CN6" s="93" t="s">
        <v>229</v>
      </c>
      <c r="CO6" s="93" t="s">
        <v>230</v>
      </c>
      <c r="CP6" s="93" t="s">
        <v>231</v>
      </c>
      <c r="CQ6" s="93" t="s">
        <v>232</v>
      </c>
      <c r="CR6" s="93" t="s">
        <v>233</v>
      </c>
      <c r="CS6" s="93" t="s">
        <v>303</v>
      </c>
      <c r="CT6" s="93" t="s">
        <v>304</v>
      </c>
      <c r="CU6" s="93" t="s">
        <v>305</v>
      </c>
      <c r="CV6" s="93" t="s">
        <v>306</v>
      </c>
      <c r="CW6" s="93" t="s">
        <v>234</v>
      </c>
      <c r="CX6" s="93" t="s">
        <v>235</v>
      </c>
      <c r="CY6" s="93" t="s">
        <v>244</v>
      </c>
      <c r="CZ6" s="93" t="s">
        <v>236</v>
      </c>
      <c r="DA6" s="93" t="s">
        <v>237</v>
      </c>
      <c r="DB6" s="93" t="s">
        <v>238</v>
      </c>
      <c r="DC6" s="93" t="s">
        <v>239</v>
      </c>
      <c r="DD6" s="93" t="s">
        <v>240</v>
      </c>
      <c r="DE6" s="93" t="s">
        <v>241</v>
      </c>
      <c r="DF6" s="93" t="s">
        <v>242</v>
      </c>
      <c r="DG6" s="93" t="s">
        <v>243</v>
      </c>
      <c r="DH6" s="93" t="s">
        <v>245</v>
      </c>
      <c r="DI6" s="93" t="s">
        <v>246</v>
      </c>
      <c r="DJ6" s="93" t="s">
        <v>247</v>
      </c>
      <c r="DK6" s="93" t="s">
        <v>271</v>
      </c>
      <c r="DL6" s="93" t="s">
        <v>248</v>
      </c>
      <c r="DM6" s="93" t="s">
        <v>249</v>
      </c>
      <c r="DN6" s="93" t="s">
        <v>250</v>
      </c>
      <c r="DO6" s="93" t="s">
        <v>251</v>
      </c>
      <c r="DP6" s="94" t="s">
        <v>252</v>
      </c>
      <c r="DQ6" s="5" t="s">
        <v>253</v>
      </c>
      <c r="DR6" s="93" t="s">
        <v>272</v>
      </c>
      <c r="DS6" s="95" t="s">
        <v>254</v>
      </c>
      <c r="DT6" s="96"/>
      <c r="DU6" s="97" t="s">
        <v>255</v>
      </c>
      <c r="DV6" s="93" t="s">
        <v>256</v>
      </c>
      <c r="DW6" s="93" t="s">
        <v>257</v>
      </c>
      <c r="DX6" s="94" t="s">
        <v>258</v>
      </c>
      <c r="DY6" s="5" t="s">
        <v>259</v>
      </c>
      <c r="DZ6" s="93" t="s">
        <v>273</v>
      </c>
      <c r="EA6" s="95" t="s">
        <v>260</v>
      </c>
      <c r="EB6" s="97" t="s">
        <v>261</v>
      </c>
      <c r="EC6" s="95" t="s">
        <v>262</v>
      </c>
      <c r="ED6" s="247" t="s">
        <v>284</v>
      </c>
    </row>
    <row r="7" spans="1:134" x14ac:dyDescent="0.25">
      <c r="A7" s="50" t="s">
        <v>1854</v>
      </c>
      <c r="B7" s="61" t="s">
        <v>315</v>
      </c>
      <c r="C7" s="14"/>
      <c r="D7" s="14" t="s">
        <v>328</v>
      </c>
      <c r="E7" s="14">
        <v>38</v>
      </c>
      <c r="F7" s="14" t="s">
        <v>329</v>
      </c>
      <c r="G7" s="14" t="s">
        <v>355</v>
      </c>
      <c r="H7" s="14" t="s">
        <v>345</v>
      </c>
      <c r="I7" s="14" t="s">
        <v>1182</v>
      </c>
      <c r="J7" s="14" t="s">
        <v>1182</v>
      </c>
      <c r="K7" s="14">
        <v>12</v>
      </c>
      <c r="L7" s="14">
        <v>7</v>
      </c>
      <c r="M7" s="14"/>
      <c r="N7" s="14"/>
      <c r="O7" s="14"/>
      <c r="P7" s="14"/>
      <c r="Q7" s="14">
        <v>7</v>
      </c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 t="s">
        <v>328</v>
      </c>
      <c r="AI7" s="14"/>
      <c r="AJ7" s="14" t="s">
        <v>328</v>
      </c>
      <c r="AK7" s="14"/>
      <c r="AL7" s="14"/>
      <c r="AM7" s="14"/>
      <c r="AN7" s="14"/>
      <c r="AO7" s="14" t="s">
        <v>328</v>
      </c>
      <c r="AP7" s="14">
        <v>10</v>
      </c>
      <c r="AQ7" s="14">
        <v>7</v>
      </c>
      <c r="AR7" s="14"/>
      <c r="AS7" s="14"/>
      <c r="AT7" s="14"/>
      <c r="AU7" s="14" t="s">
        <v>328</v>
      </c>
      <c r="AV7" s="14">
        <v>2</v>
      </c>
      <c r="AW7" s="14">
        <v>3</v>
      </c>
      <c r="AX7" s="14">
        <v>1</v>
      </c>
      <c r="AY7" s="14"/>
      <c r="AZ7" s="14"/>
      <c r="BA7" s="14" t="s">
        <v>328</v>
      </c>
      <c r="BB7" s="14"/>
      <c r="BC7" s="14"/>
      <c r="BD7" s="14"/>
      <c r="BE7" s="14" t="s">
        <v>328</v>
      </c>
      <c r="BF7" s="14"/>
      <c r="BG7" s="14"/>
      <c r="BH7" s="14"/>
      <c r="BI7" s="14"/>
      <c r="BJ7" s="14"/>
      <c r="BK7" s="14"/>
      <c r="BL7" s="14" t="s">
        <v>328</v>
      </c>
      <c r="BM7" s="14"/>
      <c r="BN7" s="14" t="s">
        <v>328</v>
      </c>
      <c r="BO7" s="14"/>
      <c r="BP7" s="14" t="s">
        <v>328</v>
      </c>
      <c r="BQ7" s="14"/>
      <c r="BR7" s="14"/>
      <c r="BS7" s="14"/>
      <c r="BT7" s="14"/>
      <c r="BU7" s="14" t="s">
        <v>328</v>
      </c>
      <c r="BV7" s="14"/>
      <c r="BW7" s="14"/>
      <c r="BX7" s="14" t="s">
        <v>328</v>
      </c>
      <c r="BY7" s="14"/>
      <c r="BZ7" s="14"/>
      <c r="CA7" s="14" t="s">
        <v>328</v>
      </c>
      <c r="CB7" s="14"/>
      <c r="CC7" s="14"/>
      <c r="CD7" s="14"/>
      <c r="CE7" s="14"/>
      <c r="CF7" s="14"/>
      <c r="CG7" s="14" t="s">
        <v>328</v>
      </c>
      <c r="CH7" s="14"/>
      <c r="CI7" s="14"/>
      <c r="CJ7" s="14"/>
      <c r="CK7" s="14"/>
      <c r="CL7" s="14">
        <v>1</v>
      </c>
      <c r="CM7" s="14">
        <v>4</v>
      </c>
      <c r="CN7" s="14">
        <v>2</v>
      </c>
      <c r="CO7" s="14">
        <v>3</v>
      </c>
      <c r="CP7" s="14">
        <v>5</v>
      </c>
      <c r="CQ7" s="14">
        <v>6</v>
      </c>
      <c r="CR7" s="14"/>
      <c r="CS7" s="14"/>
      <c r="CT7" s="14"/>
      <c r="CU7" s="14"/>
      <c r="CV7" s="14"/>
      <c r="CW7" s="14"/>
      <c r="CX7" s="14" t="s">
        <v>332</v>
      </c>
      <c r="CY7" s="14"/>
      <c r="CZ7" s="14"/>
      <c r="DA7" s="14">
        <v>1</v>
      </c>
      <c r="DB7" s="14">
        <v>6</v>
      </c>
      <c r="DC7" s="14">
        <v>4</v>
      </c>
      <c r="DD7" s="14">
        <v>5</v>
      </c>
      <c r="DE7" s="14">
        <v>2</v>
      </c>
      <c r="DF7" s="14">
        <v>3</v>
      </c>
      <c r="DG7" s="14"/>
      <c r="DH7" s="14" t="s">
        <v>328</v>
      </c>
      <c r="DI7" s="14"/>
      <c r="DJ7" s="14"/>
      <c r="DK7" s="14"/>
      <c r="DL7" s="14"/>
      <c r="DM7" s="14"/>
      <c r="DN7" s="14" t="s">
        <v>333</v>
      </c>
      <c r="DO7" s="14"/>
      <c r="DP7" s="14" t="s">
        <v>328</v>
      </c>
      <c r="DQ7" s="14" t="s">
        <v>328</v>
      </c>
      <c r="DR7" s="14" t="s">
        <v>354</v>
      </c>
      <c r="DS7" s="14"/>
      <c r="DT7" s="14"/>
      <c r="DU7" s="14" t="s">
        <v>335</v>
      </c>
      <c r="DV7" s="14" t="s">
        <v>336</v>
      </c>
      <c r="DW7" s="14" t="s">
        <v>328</v>
      </c>
      <c r="DX7" s="14"/>
      <c r="DY7" s="14"/>
      <c r="DZ7" s="14"/>
      <c r="EA7" s="14"/>
      <c r="EB7" s="14"/>
      <c r="EC7" s="101" t="s">
        <v>333</v>
      </c>
      <c r="ED7" s="99"/>
    </row>
    <row r="8" spans="1:134" x14ac:dyDescent="0.25">
      <c r="A8" s="50" t="s">
        <v>1854</v>
      </c>
      <c r="B8" s="61" t="s">
        <v>390</v>
      </c>
      <c r="C8" s="14"/>
      <c r="D8" s="14" t="s">
        <v>328</v>
      </c>
      <c r="E8" s="14">
        <v>66</v>
      </c>
      <c r="F8" s="14" t="s">
        <v>329</v>
      </c>
      <c r="G8" s="14" t="s">
        <v>399</v>
      </c>
      <c r="H8" s="14" t="s">
        <v>345</v>
      </c>
      <c r="I8" s="14" t="s">
        <v>1182</v>
      </c>
      <c r="J8" s="14" t="s">
        <v>1182</v>
      </c>
      <c r="K8" s="14">
        <v>40</v>
      </c>
      <c r="L8" s="14">
        <v>7</v>
      </c>
      <c r="M8" s="14">
        <v>7</v>
      </c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 t="s">
        <v>328</v>
      </c>
      <c r="AB8" s="14"/>
      <c r="AC8" s="14"/>
      <c r="AD8" s="14"/>
      <c r="AE8" s="14" t="s">
        <v>328</v>
      </c>
      <c r="AF8" s="14"/>
      <c r="AG8" s="14"/>
      <c r="AH8" s="14"/>
      <c r="AI8" s="14"/>
      <c r="AJ8" s="14" t="s">
        <v>328</v>
      </c>
      <c r="AK8" s="14" t="s">
        <v>328</v>
      </c>
      <c r="AL8" s="14"/>
      <c r="AM8" s="14" t="s">
        <v>328</v>
      </c>
      <c r="AN8" s="14"/>
      <c r="AO8" s="14" t="s">
        <v>328</v>
      </c>
      <c r="AP8" s="14">
        <v>8</v>
      </c>
      <c r="AQ8" s="14">
        <v>15</v>
      </c>
      <c r="AR8" s="14"/>
      <c r="AS8" s="14" t="s">
        <v>328</v>
      </c>
      <c r="AT8" s="14"/>
      <c r="AU8" s="14" t="s">
        <v>328</v>
      </c>
      <c r="AV8" s="14">
        <v>2</v>
      </c>
      <c r="AW8" s="14">
        <v>3</v>
      </c>
      <c r="AX8" s="14">
        <v>4</v>
      </c>
      <c r="AY8" s="14" t="s">
        <v>346</v>
      </c>
      <c r="AZ8" s="14"/>
      <c r="BA8" s="14" t="s">
        <v>328</v>
      </c>
      <c r="BB8" s="14" t="s">
        <v>328</v>
      </c>
      <c r="BC8" s="14"/>
      <c r="BD8" s="14"/>
      <c r="BE8" s="14" t="s">
        <v>328</v>
      </c>
      <c r="BF8" s="14"/>
      <c r="BG8" s="14"/>
      <c r="BH8" s="14"/>
      <c r="BI8" s="14" t="s">
        <v>328</v>
      </c>
      <c r="BJ8" s="14"/>
      <c r="BK8" s="14"/>
      <c r="BL8" s="14" t="s">
        <v>328</v>
      </c>
      <c r="BM8" s="14"/>
      <c r="BN8" s="14" t="s">
        <v>328</v>
      </c>
      <c r="BO8" s="14"/>
      <c r="BP8" s="14" t="s">
        <v>328</v>
      </c>
      <c r="BQ8" s="14"/>
      <c r="BR8" s="14"/>
      <c r="BS8" s="14"/>
      <c r="BT8" s="14"/>
      <c r="BU8" s="14" t="s">
        <v>328</v>
      </c>
      <c r="BV8" s="14"/>
      <c r="BW8" s="14"/>
      <c r="BX8" s="14" t="s">
        <v>328</v>
      </c>
      <c r="BY8" s="14" t="s">
        <v>328</v>
      </c>
      <c r="BZ8" s="14"/>
      <c r="CA8" s="14"/>
      <c r="CB8" s="14"/>
      <c r="CC8" s="14"/>
      <c r="CD8" s="14"/>
      <c r="CE8" s="14"/>
      <c r="CF8" s="14"/>
      <c r="CG8" s="14" t="s">
        <v>328</v>
      </c>
      <c r="CH8" s="14"/>
      <c r="CI8" s="14"/>
      <c r="CJ8" s="14"/>
      <c r="CK8" s="14"/>
      <c r="CL8" s="14">
        <v>3</v>
      </c>
      <c r="CM8" s="14">
        <v>2</v>
      </c>
      <c r="CN8" s="14">
        <v>1</v>
      </c>
      <c r="CO8" s="14">
        <v>6</v>
      </c>
      <c r="CP8" s="14">
        <v>5</v>
      </c>
      <c r="CQ8" s="14">
        <v>4</v>
      </c>
      <c r="CR8" s="14"/>
      <c r="CS8" s="14"/>
      <c r="CT8" s="14"/>
      <c r="CU8" s="14"/>
      <c r="CV8" s="14" t="s">
        <v>328</v>
      </c>
      <c r="CW8" s="14"/>
      <c r="CX8" s="14"/>
      <c r="CY8" s="14"/>
      <c r="CZ8" s="14"/>
      <c r="DA8" s="14">
        <v>2</v>
      </c>
      <c r="DB8" s="14">
        <v>6</v>
      </c>
      <c r="DC8" s="14">
        <v>5</v>
      </c>
      <c r="DD8" s="14">
        <v>3</v>
      </c>
      <c r="DE8" s="14">
        <v>1</v>
      </c>
      <c r="DF8" s="14">
        <v>4</v>
      </c>
      <c r="DG8" s="14"/>
      <c r="DH8" s="14" t="s">
        <v>328</v>
      </c>
      <c r="DI8" s="14"/>
      <c r="DJ8" s="14"/>
      <c r="DK8" s="14"/>
      <c r="DL8" s="14"/>
      <c r="DM8" s="14"/>
      <c r="DN8" s="14" t="s">
        <v>333</v>
      </c>
      <c r="DO8" s="14"/>
      <c r="DP8" s="14" t="s">
        <v>328</v>
      </c>
      <c r="DQ8" s="14" t="s">
        <v>328</v>
      </c>
      <c r="DR8" s="14" t="s">
        <v>397</v>
      </c>
      <c r="DS8" s="14"/>
      <c r="DT8" s="14"/>
      <c r="DU8" s="14" t="s">
        <v>335</v>
      </c>
      <c r="DV8" s="14" t="s">
        <v>336</v>
      </c>
      <c r="DW8" s="14" t="s">
        <v>328</v>
      </c>
      <c r="DX8" s="14"/>
      <c r="DY8" s="14"/>
      <c r="DZ8" s="14"/>
      <c r="EA8" s="14"/>
      <c r="EB8" s="14"/>
      <c r="EC8" s="101" t="s">
        <v>333</v>
      </c>
      <c r="ED8" s="99" t="s">
        <v>383</v>
      </c>
    </row>
    <row r="9" spans="1:134" x14ac:dyDescent="0.25">
      <c r="A9" s="50" t="s">
        <v>1404</v>
      </c>
      <c r="B9" s="61" t="s">
        <v>416</v>
      </c>
      <c r="C9" s="14"/>
      <c r="D9" s="14" t="s">
        <v>328</v>
      </c>
      <c r="E9" s="14">
        <v>51</v>
      </c>
      <c r="F9" s="14" t="s">
        <v>329</v>
      </c>
      <c r="G9" s="14" t="s">
        <v>357</v>
      </c>
      <c r="H9" s="14" t="s">
        <v>735</v>
      </c>
      <c r="I9" s="8" t="s">
        <v>1194</v>
      </c>
      <c r="J9" s="14" t="s">
        <v>1280</v>
      </c>
      <c r="K9" s="14">
        <v>15</v>
      </c>
      <c r="L9" s="14">
        <v>10</v>
      </c>
      <c r="M9" s="14"/>
      <c r="N9" s="14"/>
      <c r="O9" s="14">
        <v>10</v>
      </c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 t="s">
        <v>418</v>
      </c>
      <c r="AJ9" s="14" t="s">
        <v>328</v>
      </c>
      <c r="AK9" s="14" t="s">
        <v>328</v>
      </c>
      <c r="AL9" s="14"/>
      <c r="AM9" s="14" t="s">
        <v>328</v>
      </c>
      <c r="AN9" s="14"/>
      <c r="AO9" s="14"/>
      <c r="AP9" s="14">
        <v>1</v>
      </c>
      <c r="AQ9" s="14">
        <v>10</v>
      </c>
      <c r="AR9" s="14"/>
      <c r="AS9" s="14"/>
      <c r="AT9" s="14" t="s">
        <v>328</v>
      </c>
      <c r="AU9" s="14"/>
      <c r="AV9" s="14">
        <v>3</v>
      </c>
      <c r="AW9" s="14">
        <v>4</v>
      </c>
      <c r="AX9" s="14">
        <v>2</v>
      </c>
      <c r="AY9" s="14" t="s">
        <v>346</v>
      </c>
      <c r="AZ9" s="14"/>
      <c r="BA9" s="14" t="s">
        <v>328</v>
      </c>
      <c r="BB9" s="14"/>
      <c r="BC9" s="14" t="s">
        <v>328</v>
      </c>
      <c r="BD9" s="14"/>
      <c r="BE9" s="14"/>
      <c r="BF9" s="14"/>
      <c r="BG9" s="14"/>
      <c r="BH9" s="14"/>
      <c r="BI9" s="14"/>
      <c r="BJ9" s="14"/>
      <c r="BK9" s="14"/>
      <c r="BL9" s="14" t="s">
        <v>328</v>
      </c>
      <c r="BM9" s="14"/>
      <c r="BN9" s="14" t="s">
        <v>328</v>
      </c>
      <c r="BO9" s="14"/>
      <c r="BP9" s="14"/>
      <c r="BQ9" s="14"/>
      <c r="BR9" s="14" t="s">
        <v>328</v>
      </c>
      <c r="BS9" s="14"/>
      <c r="BT9" s="14"/>
      <c r="BU9" s="14"/>
      <c r="BV9" s="14"/>
      <c r="BW9" s="14"/>
      <c r="BX9" s="14"/>
      <c r="BY9" s="14"/>
      <c r="BZ9" s="14" t="s">
        <v>328</v>
      </c>
      <c r="CA9" s="14"/>
      <c r="CB9" s="14"/>
      <c r="CC9" s="14"/>
      <c r="CD9" s="14"/>
      <c r="CE9" s="14"/>
      <c r="CF9" s="14"/>
      <c r="CG9" s="14" t="s">
        <v>328</v>
      </c>
      <c r="CH9" s="14"/>
      <c r="CI9" s="14"/>
      <c r="CJ9" s="14"/>
      <c r="CK9" s="14"/>
      <c r="CL9" s="14">
        <v>2</v>
      </c>
      <c r="CM9" s="14">
        <v>3</v>
      </c>
      <c r="CN9" s="14">
        <v>4</v>
      </c>
      <c r="CO9" s="14">
        <v>5</v>
      </c>
      <c r="CP9" s="14">
        <v>6</v>
      </c>
      <c r="CQ9" s="14">
        <v>1</v>
      </c>
      <c r="CR9" s="14"/>
      <c r="CS9" s="14"/>
      <c r="CT9" s="14"/>
      <c r="CU9" s="14"/>
      <c r="CV9" s="14" t="s">
        <v>328</v>
      </c>
      <c r="CW9" s="14"/>
      <c r="CX9" s="14"/>
      <c r="CY9" s="14"/>
      <c r="CZ9" s="14"/>
      <c r="DA9" s="14">
        <v>1</v>
      </c>
      <c r="DB9" s="14">
        <v>3</v>
      </c>
      <c r="DC9" s="14">
        <v>4</v>
      </c>
      <c r="DD9" s="14">
        <v>5</v>
      </c>
      <c r="DE9" s="14">
        <v>2</v>
      </c>
      <c r="DF9" s="14">
        <v>6</v>
      </c>
      <c r="DG9" s="14"/>
      <c r="DH9" s="14" t="s">
        <v>328</v>
      </c>
      <c r="DI9" s="14"/>
      <c r="DJ9" s="14"/>
      <c r="DK9" s="14"/>
      <c r="DL9" s="14"/>
      <c r="DM9" s="14"/>
      <c r="DN9" s="14" t="s">
        <v>472</v>
      </c>
      <c r="DO9" s="14"/>
      <c r="DP9" s="14" t="s">
        <v>328</v>
      </c>
      <c r="DQ9" s="14" t="s">
        <v>328</v>
      </c>
      <c r="DR9" s="14" t="s">
        <v>397</v>
      </c>
      <c r="DS9" s="14"/>
      <c r="DT9" s="14"/>
      <c r="DU9" s="14" t="s">
        <v>335</v>
      </c>
      <c r="DV9" s="14" t="s">
        <v>411</v>
      </c>
      <c r="DW9" s="14"/>
      <c r="DX9" s="14" t="s">
        <v>328</v>
      </c>
      <c r="DY9" s="14" t="s">
        <v>328</v>
      </c>
      <c r="DZ9" s="14" t="s">
        <v>397</v>
      </c>
      <c r="EA9" s="14"/>
      <c r="EB9" s="14" t="s">
        <v>398</v>
      </c>
      <c r="EC9" s="101" t="s">
        <v>333</v>
      </c>
      <c r="ED9" s="99"/>
    </row>
    <row r="10" spans="1:134" x14ac:dyDescent="0.25">
      <c r="A10" s="50" t="s">
        <v>1404</v>
      </c>
      <c r="B10" s="61" t="s">
        <v>417</v>
      </c>
      <c r="C10" s="14"/>
      <c r="D10" s="14" t="s">
        <v>328</v>
      </c>
      <c r="E10" s="14">
        <v>49</v>
      </c>
      <c r="F10" s="14" t="s">
        <v>329</v>
      </c>
      <c r="G10" s="14" t="s">
        <v>399</v>
      </c>
      <c r="H10" s="14" t="s">
        <v>745</v>
      </c>
      <c r="I10" s="8" t="s">
        <v>1195</v>
      </c>
      <c r="J10" s="14" t="s">
        <v>1283</v>
      </c>
      <c r="K10" s="14">
        <v>15</v>
      </c>
      <c r="L10" s="14">
        <v>16</v>
      </c>
      <c r="M10" s="14"/>
      <c r="N10" s="14"/>
      <c r="O10" s="14">
        <v>54</v>
      </c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 t="s">
        <v>328</v>
      </c>
      <c r="AE10" s="14"/>
      <c r="AF10" s="14"/>
      <c r="AG10" s="14"/>
      <c r="AH10" s="14"/>
      <c r="AI10" s="15" t="s">
        <v>832</v>
      </c>
      <c r="AJ10" s="14" t="s">
        <v>328</v>
      </c>
      <c r="AK10" s="14" t="s">
        <v>328</v>
      </c>
      <c r="AL10" s="14"/>
      <c r="AM10" s="14"/>
      <c r="AN10" s="14" t="s">
        <v>328</v>
      </c>
      <c r="AO10" s="14"/>
      <c r="AP10" s="14">
        <v>10</v>
      </c>
      <c r="AQ10" s="14">
        <v>6</v>
      </c>
      <c r="AR10" s="14"/>
      <c r="AS10" s="14" t="s">
        <v>328</v>
      </c>
      <c r="AT10" s="14"/>
      <c r="AU10" s="14"/>
      <c r="AV10" s="14">
        <v>2</v>
      </c>
      <c r="AW10" s="14">
        <v>3</v>
      </c>
      <c r="AX10" s="14">
        <v>1</v>
      </c>
      <c r="AY10" s="14"/>
      <c r="AZ10" s="14"/>
      <c r="BA10" s="14" t="s">
        <v>328</v>
      </c>
      <c r="BB10" s="14"/>
      <c r="BC10" s="14" t="s">
        <v>328</v>
      </c>
      <c r="BD10" s="14"/>
      <c r="BE10" s="14"/>
      <c r="BF10" s="14"/>
      <c r="BG10" s="14"/>
      <c r="BH10" s="14"/>
      <c r="BI10" s="14"/>
      <c r="BJ10" s="14"/>
      <c r="BK10" s="14"/>
      <c r="BL10" s="14" t="s">
        <v>328</v>
      </c>
      <c r="BM10" s="14"/>
      <c r="BN10" s="14" t="s">
        <v>328</v>
      </c>
      <c r="BO10" s="14"/>
      <c r="BP10" s="14" t="s">
        <v>328</v>
      </c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 t="s">
        <v>419</v>
      </c>
      <c r="CG10" s="14" t="s">
        <v>328</v>
      </c>
      <c r="CH10" s="14"/>
      <c r="CI10" s="14"/>
      <c r="CJ10" s="14"/>
      <c r="CK10" s="14"/>
      <c r="CL10" s="14">
        <v>3</v>
      </c>
      <c r="CM10" s="14">
        <v>4</v>
      </c>
      <c r="CN10" s="14">
        <v>5</v>
      </c>
      <c r="CO10" s="14">
        <v>2</v>
      </c>
      <c r="CP10" s="14">
        <v>6</v>
      </c>
      <c r="CQ10" s="14">
        <v>1</v>
      </c>
      <c r="CR10" s="14" t="s">
        <v>328</v>
      </c>
      <c r="CS10" s="14"/>
      <c r="CT10" s="14"/>
      <c r="CU10" s="14"/>
      <c r="CV10" s="14" t="s">
        <v>328</v>
      </c>
      <c r="CW10" s="14"/>
      <c r="CX10" s="14"/>
      <c r="CY10" s="14"/>
      <c r="CZ10" s="14"/>
      <c r="DA10" s="14">
        <v>1</v>
      </c>
      <c r="DB10" s="14">
        <v>4</v>
      </c>
      <c r="DC10" s="14">
        <v>5</v>
      </c>
      <c r="DD10" s="14">
        <v>3</v>
      </c>
      <c r="DE10" s="14">
        <v>2</v>
      </c>
      <c r="DF10" s="14">
        <v>6</v>
      </c>
      <c r="DG10" s="14"/>
      <c r="DH10" s="14" t="s">
        <v>328</v>
      </c>
      <c r="DI10" s="14"/>
      <c r="DJ10" s="14"/>
      <c r="DK10" s="14"/>
      <c r="DL10" s="14"/>
      <c r="DM10" s="14"/>
      <c r="DN10" s="14" t="s">
        <v>333</v>
      </c>
      <c r="DO10" s="14"/>
      <c r="DP10" s="14" t="s">
        <v>328</v>
      </c>
      <c r="DQ10" s="14" t="s">
        <v>328</v>
      </c>
      <c r="DR10" s="14" t="s">
        <v>618</v>
      </c>
      <c r="DS10" s="14"/>
      <c r="DT10" s="14"/>
      <c r="DU10" s="14" t="s">
        <v>335</v>
      </c>
      <c r="DV10" s="14" t="s">
        <v>411</v>
      </c>
      <c r="DW10" s="14"/>
      <c r="DX10" s="14" t="s">
        <v>328</v>
      </c>
      <c r="DY10" s="14" t="s">
        <v>328</v>
      </c>
      <c r="DZ10" s="14" t="s">
        <v>420</v>
      </c>
      <c r="EA10" s="14"/>
      <c r="EB10" s="14" t="s">
        <v>398</v>
      </c>
      <c r="EC10" s="101" t="s">
        <v>333</v>
      </c>
      <c r="ED10" s="99"/>
    </row>
    <row r="11" spans="1:134" x14ac:dyDescent="0.25">
      <c r="A11" s="50" t="s">
        <v>1404</v>
      </c>
      <c r="B11" s="61" t="s">
        <v>431</v>
      </c>
      <c r="C11" s="14"/>
      <c r="D11" s="14" t="s">
        <v>328</v>
      </c>
      <c r="E11" s="14">
        <v>63</v>
      </c>
      <c r="F11" s="14" t="s">
        <v>329</v>
      </c>
      <c r="G11" s="14" t="s">
        <v>399</v>
      </c>
      <c r="H11" s="14" t="s">
        <v>758</v>
      </c>
      <c r="I11" s="14" t="s">
        <v>1197</v>
      </c>
      <c r="J11" s="14" t="s">
        <v>1283</v>
      </c>
      <c r="K11" s="14">
        <v>10</v>
      </c>
      <c r="L11" s="14">
        <v>8</v>
      </c>
      <c r="M11" s="14">
        <v>8</v>
      </c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 t="s">
        <v>418</v>
      </c>
      <c r="AJ11" s="15"/>
      <c r="AK11" s="14" t="s">
        <v>328</v>
      </c>
      <c r="AL11" s="14"/>
      <c r="AM11" s="14"/>
      <c r="AN11" s="14"/>
      <c r="AO11" s="14" t="s">
        <v>328</v>
      </c>
      <c r="AP11" s="14">
        <v>1</v>
      </c>
      <c r="AQ11" s="14">
        <v>6</v>
      </c>
      <c r="AR11" s="14"/>
      <c r="AS11" s="14"/>
      <c r="AT11" s="14" t="s">
        <v>328</v>
      </c>
      <c r="AU11" s="14"/>
      <c r="AV11" s="14">
        <v>3</v>
      </c>
      <c r="AW11" s="14">
        <v>2</v>
      </c>
      <c r="AX11" s="14">
        <v>1</v>
      </c>
      <c r="AY11" s="14"/>
      <c r="AZ11" s="14"/>
      <c r="BA11" s="14" t="s">
        <v>328</v>
      </c>
      <c r="BB11" s="14"/>
      <c r="BC11" s="14"/>
      <c r="BD11" s="14"/>
      <c r="BE11" s="14" t="s">
        <v>328</v>
      </c>
      <c r="BF11" s="14"/>
      <c r="BG11" s="14"/>
      <c r="BH11" s="14"/>
      <c r="BI11" s="14"/>
      <c r="BJ11" s="14"/>
      <c r="BK11" s="14"/>
      <c r="BL11" s="14" t="s">
        <v>328</v>
      </c>
      <c r="BM11" s="14"/>
      <c r="BN11" s="14" t="s">
        <v>328</v>
      </c>
      <c r="BO11" s="14"/>
      <c r="BP11" s="14" t="s">
        <v>328</v>
      </c>
      <c r="BQ11" s="14"/>
      <c r="BR11" s="14"/>
      <c r="BS11" s="14"/>
      <c r="BT11" s="14"/>
      <c r="BU11" s="14"/>
      <c r="BV11" s="14"/>
      <c r="BW11" s="14" t="s">
        <v>328</v>
      </c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 t="s">
        <v>328</v>
      </c>
      <c r="CK11" s="14"/>
      <c r="CL11" s="14">
        <v>2</v>
      </c>
      <c r="CM11" s="14">
        <v>6</v>
      </c>
      <c r="CN11" s="14">
        <v>4</v>
      </c>
      <c r="CO11" s="14">
        <v>5</v>
      </c>
      <c r="CP11" s="14">
        <v>3</v>
      </c>
      <c r="CQ11" s="14">
        <v>1</v>
      </c>
      <c r="CR11" s="14"/>
      <c r="CS11" s="14"/>
      <c r="CT11" s="14"/>
      <c r="CU11" s="14"/>
      <c r="CV11" s="14"/>
      <c r="CW11" s="14"/>
      <c r="CX11" s="14" t="s">
        <v>332</v>
      </c>
      <c r="CY11" s="14" t="s">
        <v>696</v>
      </c>
      <c r="CZ11" s="14"/>
      <c r="DA11" s="14">
        <v>2</v>
      </c>
      <c r="DB11" s="14"/>
      <c r="DC11" s="14">
        <v>5</v>
      </c>
      <c r="DD11" s="14">
        <v>6</v>
      </c>
      <c r="DE11" s="14">
        <v>3</v>
      </c>
      <c r="DF11" s="14">
        <v>4</v>
      </c>
      <c r="DG11" s="14" t="s">
        <v>346</v>
      </c>
      <c r="DH11" s="14" t="s">
        <v>328</v>
      </c>
      <c r="DI11" s="14"/>
      <c r="DJ11" s="14"/>
      <c r="DK11" s="14"/>
      <c r="DL11" s="14"/>
      <c r="DM11" s="14"/>
      <c r="DN11" s="14" t="s">
        <v>1145</v>
      </c>
      <c r="DO11" s="14"/>
      <c r="DP11" s="14" t="s">
        <v>328</v>
      </c>
      <c r="DQ11" s="14" t="s">
        <v>328</v>
      </c>
      <c r="DR11" s="14" t="s">
        <v>397</v>
      </c>
      <c r="DS11" s="14"/>
      <c r="DT11" s="14"/>
      <c r="DU11" s="14" t="s">
        <v>428</v>
      </c>
      <c r="DV11" s="14" t="s">
        <v>411</v>
      </c>
      <c r="DW11" s="14"/>
      <c r="DX11" s="14" t="s">
        <v>328</v>
      </c>
      <c r="DY11" s="14" t="s">
        <v>328</v>
      </c>
      <c r="DZ11" s="14" t="s">
        <v>397</v>
      </c>
      <c r="EA11" s="14"/>
      <c r="EB11" s="14" t="s">
        <v>412</v>
      </c>
      <c r="EC11" s="101" t="s">
        <v>433</v>
      </c>
      <c r="ED11" s="99"/>
    </row>
    <row r="12" spans="1:134" x14ac:dyDescent="0.25">
      <c r="A12" s="50" t="s">
        <v>1404</v>
      </c>
      <c r="B12" s="61" t="s">
        <v>436</v>
      </c>
      <c r="C12" s="14"/>
      <c r="D12" s="14" t="s">
        <v>328</v>
      </c>
      <c r="E12" s="14">
        <v>56</v>
      </c>
      <c r="F12" s="14" t="s">
        <v>329</v>
      </c>
      <c r="G12" s="14" t="s">
        <v>357</v>
      </c>
      <c r="H12" s="14" t="s">
        <v>380</v>
      </c>
      <c r="I12" s="14" t="s">
        <v>1188</v>
      </c>
      <c r="J12" s="14" t="s">
        <v>1188</v>
      </c>
      <c r="K12" s="14">
        <v>30</v>
      </c>
      <c r="L12" s="14">
        <v>6</v>
      </c>
      <c r="M12" s="14">
        <v>6</v>
      </c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 t="s">
        <v>440</v>
      </c>
      <c r="AJ12" s="14" t="s">
        <v>328</v>
      </c>
      <c r="AK12" s="14"/>
      <c r="AL12" s="14" t="s">
        <v>328</v>
      </c>
      <c r="AM12" s="14"/>
      <c r="AN12" s="14"/>
      <c r="AO12" s="14"/>
      <c r="AP12" s="14">
        <v>10</v>
      </c>
      <c r="AQ12" s="14">
        <v>1</v>
      </c>
      <c r="AR12" s="14"/>
      <c r="AS12" s="14" t="s">
        <v>328</v>
      </c>
      <c r="AT12" s="14"/>
      <c r="AU12" s="14"/>
      <c r="AV12" s="14">
        <v>2</v>
      </c>
      <c r="AW12" s="14">
        <v>3</v>
      </c>
      <c r="AX12" s="14">
        <v>1</v>
      </c>
      <c r="AY12" s="14"/>
      <c r="AZ12" s="14"/>
      <c r="BA12" s="14" t="s">
        <v>328</v>
      </c>
      <c r="BB12" s="14"/>
      <c r="BC12" s="14"/>
      <c r="BD12" s="14"/>
      <c r="BE12" s="14"/>
      <c r="BF12" s="14"/>
      <c r="BG12" s="14"/>
      <c r="BH12" s="14"/>
      <c r="BI12" s="14" t="s">
        <v>328</v>
      </c>
      <c r="BJ12" s="14"/>
      <c r="BK12" s="14"/>
      <c r="BL12" s="14" t="s">
        <v>328</v>
      </c>
      <c r="BM12" s="14"/>
      <c r="BN12" s="14" t="s">
        <v>328</v>
      </c>
      <c r="BO12" s="14"/>
      <c r="BP12" s="14" t="s">
        <v>328</v>
      </c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 t="s">
        <v>332</v>
      </c>
      <c r="CG12" s="14" t="s">
        <v>328</v>
      </c>
      <c r="CH12" s="14"/>
      <c r="CI12" s="14"/>
      <c r="CJ12" s="14"/>
      <c r="CK12" s="14"/>
      <c r="CL12" s="14">
        <v>3</v>
      </c>
      <c r="CM12" s="14">
        <v>2</v>
      </c>
      <c r="CN12" s="14">
        <v>4</v>
      </c>
      <c r="CO12" s="14">
        <v>5</v>
      </c>
      <c r="CP12" s="14">
        <v>6</v>
      </c>
      <c r="CQ12" s="14">
        <v>1</v>
      </c>
      <c r="CR12" s="14" t="s">
        <v>328</v>
      </c>
      <c r="CS12" s="14" t="s">
        <v>328</v>
      </c>
      <c r="CT12" s="14"/>
      <c r="CU12" s="14"/>
      <c r="CV12" s="14" t="s">
        <v>328</v>
      </c>
      <c r="CW12" s="14"/>
      <c r="CX12" s="14"/>
      <c r="CY12" s="14"/>
      <c r="CZ12" s="14"/>
      <c r="DA12" s="14">
        <v>2</v>
      </c>
      <c r="DB12" s="14">
        <v>1</v>
      </c>
      <c r="DC12" s="14">
        <v>6</v>
      </c>
      <c r="DD12" s="14">
        <v>5</v>
      </c>
      <c r="DE12" s="14">
        <v>3</v>
      </c>
      <c r="DF12" s="14">
        <v>4</v>
      </c>
      <c r="DG12" s="14"/>
      <c r="DH12" s="14" t="s">
        <v>328</v>
      </c>
      <c r="DI12" s="14"/>
      <c r="DJ12" s="14"/>
      <c r="DK12" s="14"/>
      <c r="DL12" s="14"/>
      <c r="DM12" s="14"/>
      <c r="DN12" s="14" t="s">
        <v>1145</v>
      </c>
      <c r="DO12" s="14"/>
      <c r="DP12" s="14" t="s">
        <v>328</v>
      </c>
      <c r="DQ12" s="14" t="s">
        <v>328</v>
      </c>
      <c r="DR12" s="14" t="s">
        <v>397</v>
      </c>
      <c r="DS12" s="14"/>
      <c r="DT12" s="14"/>
      <c r="DU12" s="14" t="s">
        <v>428</v>
      </c>
      <c r="DV12" s="14" t="s">
        <v>411</v>
      </c>
      <c r="DW12" s="14"/>
      <c r="DX12" s="14" t="s">
        <v>328</v>
      </c>
      <c r="DY12" s="14" t="s">
        <v>328</v>
      </c>
      <c r="DZ12" s="14" t="s">
        <v>405</v>
      </c>
      <c r="EA12" s="14"/>
      <c r="EB12" s="14" t="s">
        <v>432</v>
      </c>
      <c r="EC12" s="101" t="s">
        <v>433</v>
      </c>
      <c r="ED12" s="99"/>
    </row>
    <row r="13" spans="1:134" x14ac:dyDescent="0.25">
      <c r="A13" s="50" t="s">
        <v>1404</v>
      </c>
      <c r="B13" s="61" t="s">
        <v>441</v>
      </c>
      <c r="C13" s="15"/>
      <c r="D13" s="15" t="s">
        <v>328</v>
      </c>
      <c r="E13" s="15">
        <v>54</v>
      </c>
      <c r="F13" s="15" t="s">
        <v>329</v>
      </c>
      <c r="G13" s="15" t="s">
        <v>399</v>
      </c>
      <c r="H13" s="15" t="s">
        <v>755</v>
      </c>
      <c r="I13" s="15" t="s">
        <v>1200</v>
      </c>
      <c r="J13" s="15" t="s">
        <v>1280</v>
      </c>
      <c r="K13" s="15">
        <v>33</v>
      </c>
      <c r="L13" s="15">
        <v>7</v>
      </c>
      <c r="M13" s="15">
        <v>3</v>
      </c>
      <c r="N13" s="15">
        <v>3</v>
      </c>
      <c r="O13" s="15">
        <v>1</v>
      </c>
      <c r="P13" s="15"/>
      <c r="Q13" s="15"/>
      <c r="R13" s="15"/>
      <c r="S13" s="15"/>
      <c r="T13" s="15">
        <v>1</v>
      </c>
      <c r="U13" s="15"/>
      <c r="V13" s="15"/>
      <c r="W13" s="15"/>
      <c r="X13" s="15"/>
      <c r="Y13" s="15"/>
      <c r="Z13" s="15" t="s">
        <v>328</v>
      </c>
      <c r="AA13" s="15"/>
      <c r="AB13" s="15"/>
      <c r="AC13" s="15"/>
      <c r="AD13" s="15"/>
      <c r="AE13" s="15" t="s">
        <v>328</v>
      </c>
      <c r="AF13" s="15" t="s">
        <v>328</v>
      </c>
      <c r="AG13" s="15"/>
      <c r="AH13" s="15"/>
      <c r="AI13" s="15" t="s">
        <v>418</v>
      </c>
      <c r="AJ13" s="15"/>
      <c r="AK13" s="14" t="s">
        <v>328</v>
      </c>
      <c r="AL13" s="15"/>
      <c r="AM13" s="15"/>
      <c r="AN13" s="15" t="s">
        <v>328</v>
      </c>
      <c r="AO13" s="15" t="s">
        <v>328</v>
      </c>
      <c r="AP13" s="15">
        <v>5</v>
      </c>
      <c r="AQ13" s="15">
        <v>3</v>
      </c>
      <c r="AR13" s="15"/>
      <c r="AS13" s="15"/>
      <c r="AT13" s="15"/>
      <c r="AU13" s="15" t="s">
        <v>328</v>
      </c>
      <c r="AV13" s="15">
        <v>4</v>
      </c>
      <c r="AW13" s="15">
        <v>3</v>
      </c>
      <c r="AX13" s="15">
        <v>2</v>
      </c>
      <c r="AY13" s="15" t="s">
        <v>346</v>
      </c>
      <c r="AZ13" s="15" t="s">
        <v>328</v>
      </c>
      <c r="BA13" s="15"/>
      <c r="BB13" s="15" t="s">
        <v>328</v>
      </c>
      <c r="BC13" s="15"/>
      <c r="BD13" s="15"/>
      <c r="BE13" s="15"/>
      <c r="BF13" s="15"/>
      <c r="BG13" s="15"/>
      <c r="BH13" s="15"/>
      <c r="BI13" s="15" t="s">
        <v>328</v>
      </c>
      <c r="BJ13" s="15"/>
      <c r="BK13" s="14"/>
      <c r="BL13" s="15" t="s">
        <v>328</v>
      </c>
      <c r="BM13" s="15"/>
      <c r="BN13" s="15" t="s">
        <v>328</v>
      </c>
      <c r="BO13" s="15"/>
      <c r="BP13" s="15"/>
      <c r="BQ13" s="15"/>
      <c r="BR13" s="15"/>
      <c r="BS13" s="15"/>
      <c r="BT13" s="15" t="s">
        <v>328</v>
      </c>
      <c r="BU13" s="15" t="s">
        <v>328</v>
      </c>
      <c r="BV13" s="15"/>
      <c r="BW13" s="15"/>
      <c r="BX13" s="15"/>
      <c r="BY13" s="15"/>
      <c r="BZ13" s="15"/>
      <c r="CA13" s="15" t="s">
        <v>328</v>
      </c>
      <c r="CB13" s="15"/>
      <c r="CC13" s="15"/>
      <c r="CD13" s="15"/>
      <c r="CE13" s="15" t="s">
        <v>328</v>
      </c>
      <c r="CF13" s="15"/>
      <c r="CG13" s="15" t="s">
        <v>328</v>
      </c>
      <c r="CH13" s="15"/>
      <c r="CI13" s="15"/>
      <c r="CJ13" s="15"/>
      <c r="CK13" s="15"/>
      <c r="CL13" s="15">
        <v>6</v>
      </c>
      <c r="CM13" s="15">
        <v>2</v>
      </c>
      <c r="CN13" s="15">
        <v>3</v>
      </c>
      <c r="CO13" s="15">
        <v>5</v>
      </c>
      <c r="CP13" s="15">
        <v>4</v>
      </c>
      <c r="CQ13" s="15">
        <v>1</v>
      </c>
      <c r="CR13" s="15" t="s">
        <v>328</v>
      </c>
      <c r="CS13" s="15"/>
      <c r="CT13" s="15" t="s">
        <v>328</v>
      </c>
      <c r="CU13" s="15"/>
      <c r="CV13" s="15" t="s">
        <v>328</v>
      </c>
      <c r="CW13" s="15"/>
      <c r="CX13" s="15" t="s">
        <v>905</v>
      </c>
      <c r="CY13" s="15"/>
      <c r="CZ13" s="15"/>
      <c r="DA13" s="15">
        <v>3</v>
      </c>
      <c r="DB13" s="15">
        <v>2</v>
      </c>
      <c r="DC13" s="15"/>
      <c r="DD13" s="15">
        <v>1</v>
      </c>
      <c r="DE13" s="15">
        <v>5</v>
      </c>
      <c r="DF13" s="15">
        <v>4</v>
      </c>
      <c r="DG13" s="14" t="s">
        <v>346</v>
      </c>
      <c r="DH13" s="15"/>
      <c r="DI13" s="15" t="s">
        <v>328</v>
      </c>
      <c r="DJ13" s="15"/>
      <c r="DK13" s="15"/>
      <c r="DL13" s="15" t="s">
        <v>328</v>
      </c>
      <c r="DM13" s="14" t="s">
        <v>432</v>
      </c>
      <c r="DN13" s="14" t="s">
        <v>472</v>
      </c>
      <c r="DO13" s="15"/>
      <c r="DP13" s="15" t="s">
        <v>328</v>
      </c>
      <c r="DQ13" s="15" t="s">
        <v>328</v>
      </c>
      <c r="DR13" s="15" t="s">
        <v>354</v>
      </c>
      <c r="DS13" s="15"/>
      <c r="DT13" s="15"/>
      <c r="DU13" s="15" t="s">
        <v>410</v>
      </c>
      <c r="DV13" s="15" t="s">
        <v>411</v>
      </c>
      <c r="DW13" s="15"/>
      <c r="DX13" s="15" t="s">
        <v>328</v>
      </c>
      <c r="DY13" s="15" t="s">
        <v>328</v>
      </c>
      <c r="DZ13" s="15" t="s">
        <v>684</v>
      </c>
      <c r="EA13" s="15"/>
      <c r="EB13" s="15" t="s">
        <v>473</v>
      </c>
      <c r="EC13" s="102" t="s">
        <v>497</v>
      </c>
      <c r="ED13" s="99"/>
    </row>
    <row r="14" spans="1:134" x14ac:dyDescent="0.25">
      <c r="A14" s="50" t="s">
        <v>1404</v>
      </c>
      <c r="B14" s="61" t="s">
        <v>446</v>
      </c>
      <c r="C14" s="15"/>
      <c r="D14" s="15" t="s">
        <v>328</v>
      </c>
      <c r="E14" s="15">
        <v>55</v>
      </c>
      <c r="F14" s="15" t="s">
        <v>329</v>
      </c>
      <c r="G14" s="15" t="s">
        <v>399</v>
      </c>
      <c r="H14" s="15" t="s">
        <v>749</v>
      </c>
      <c r="I14" s="15" t="s">
        <v>1203</v>
      </c>
      <c r="J14" s="15" t="s">
        <v>1284</v>
      </c>
      <c r="K14" s="15">
        <v>20</v>
      </c>
      <c r="L14" s="15">
        <v>8</v>
      </c>
      <c r="M14" s="15">
        <v>6</v>
      </c>
      <c r="N14" s="15">
        <v>2</v>
      </c>
      <c r="O14" s="15"/>
      <c r="P14" s="15"/>
      <c r="Q14" s="15"/>
      <c r="R14" s="15"/>
      <c r="S14" s="15"/>
      <c r="T14" s="15">
        <v>2</v>
      </c>
      <c r="U14" s="15"/>
      <c r="V14" s="15"/>
      <c r="W14" s="15"/>
      <c r="X14" s="15"/>
      <c r="Y14" s="15"/>
      <c r="Z14" s="15" t="s">
        <v>328</v>
      </c>
      <c r="AA14" s="15" t="s">
        <v>328</v>
      </c>
      <c r="AB14" s="15"/>
      <c r="AC14" s="15" t="s">
        <v>328</v>
      </c>
      <c r="AD14" s="15"/>
      <c r="AE14" s="15" t="s">
        <v>328</v>
      </c>
      <c r="AF14" s="15"/>
      <c r="AG14" s="15"/>
      <c r="AH14" s="15"/>
      <c r="AI14" s="15"/>
      <c r="AJ14" s="14" t="s">
        <v>328</v>
      </c>
      <c r="AK14" s="15"/>
      <c r="AL14" s="15" t="s">
        <v>328</v>
      </c>
      <c r="AM14" s="15"/>
      <c r="AN14" s="15"/>
      <c r="AO14" s="15" t="s">
        <v>328</v>
      </c>
      <c r="AP14" s="15">
        <v>10</v>
      </c>
      <c r="AQ14" s="15">
        <v>3</v>
      </c>
      <c r="AR14" s="15"/>
      <c r="AS14" s="15"/>
      <c r="AT14" s="15"/>
      <c r="AU14" s="15" t="s">
        <v>328</v>
      </c>
      <c r="AV14" s="15">
        <v>2</v>
      </c>
      <c r="AW14" s="15">
        <v>4</v>
      </c>
      <c r="AX14" s="15">
        <v>3</v>
      </c>
      <c r="AY14" s="15" t="s">
        <v>346</v>
      </c>
      <c r="AZ14" s="15"/>
      <c r="BA14" s="15" t="s">
        <v>328</v>
      </c>
      <c r="BB14" s="15" t="s">
        <v>328</v>
      </c>
      <c r="BC14" s="15"/>
      <c r="BD14" s="15"/>
      <c r="BE14" s="15"/>
      <c r="BF14" s="15"/>
      <c r="BG14" s="15"/>
      <c r="BH14" s="15"/>
      <c r="BI14" s="15" t="s">
        <v>328</v>
      </c>
      <c r="BJ14" s="15"/>
      <c r="BK14" s="15"/>
      <c r="BL14" s="15" t="s">
        <v>328</v>
      </c>
      <c r="BM14" s="15"/>
      <c r="BN14" s="15" t="s">
        <v>328</v>
      </c>
      <c r="BO14" s="15"/>
      <c r="BP14" s="15" t="s">
        <v>328</v>
      </c>
      <c r="BQ14" s="15"/>
      <c r="BR14" s="15"/>
      <c r="BS14" s="15"/>
      <c r="BT14" s="15" t="s">
        <v>328</v>
      </c>
      <c r="BU14" s="15"/>
      <c r="BV14" s="15"/>
      <c r="BW14" s="15"/>
      <c r="BX14" s="15" t="s">
        <v>328</v>
      </c>
      <c r="BY14" s="15"/>
      <c r="BZ14" s="15"/>
      <c r="CA14" s="15"/>
      <c r="CB14" s="15"/>
      <c r="CC14" s="15"/>
      <c r="CD14" s="15"/>
      <c r="CE14" s="15"/>
      <c r="CF14" s="15"/>
      <c r="CG14" s="15" t="s">
        <v>328</v>
      </c>
      <c r="CH14" s="15"/>
      <c r="CI14" s="15"/>
      <c r="CJ14" s="15"/>
      <c r="CK14" s="15"/>
      <c r="CL14" s="15">
        <v>4</v>
      </c>
      <c r="CM14" s="15">
        <v>2</v>
      </c>
      <c r="CN14" s="15">
        <v>5</v>
      </c>
      <c r="CO14" s="15">
        <v>1</v>
      </c>
      <c r="CP14" s="15">
        <v>3</v>
      </c>
      <c r="CQ14" s="15">
        <v>6</v>
      </c>
      <c r="CR14" s="15" t="s">
        <v>328</v>
      </c>
      <c r="CS14" s="15"/>
      <c r="CT14" s="15"/>
      <c r="CU14" s="15"/>
      <c r="CV14" s="15" t="s">
        <v>328</v>
      </c>
      <c r="CW14" s="15"/>
      <c r="CX14" s="15"/>
      <c r="CY14" s="15"/>
      <c r="CZ14" s="15"/>
      <c r="DA14" s="15">
        <v>3</v>
      </c>
      <c r="DB14" s="15">
        <v>2</v>
      </c>
      <c r="DC14" s="15">
        <v>4</v>
      </c>
      <c r="DD14" s="15">
        <v>1</v>
      </c>
      <c r="DE14" s="15">
        <v>5</v>
      </c>
      <c r="DF14" s="15">
        <v>6</v>
      </c>
      <c r="DG14" s="15"/>
      <c r="DH14" s="15"/>
      <c r="DI14" s="15" t="s">
        <v>328</v>
      </c>
      <c r="DJ14" s="15" t="s">
        <v>328</v>
      </c>
      <c r="DK14" s="15" t="s">
        <v>618</v>
      </c>
      <c r="DL14" s="15"/>
      <c r="DM14" s="15" t="s">
        <v>921</v>
      </c>
      <c r="DN14" s="14" t="s">
        <v>918</v>
      </c>
      <c r="DO14" s="15"/>
      <c r="DP14" s="15" t="s">
        <v>328</v>
      </c>
      <c r="DQ14" s="15" t="s">
        <v>328</v>
      </c>
      <c r="DR14" s="15" t="s">
        <v>437</v>
      </c>
      <c r="DS14" s="15"/>
      <c r="DT14" s="15"/>
      <c r="DU14" s="15" t="s">
        <v>410</v>
      </c>
      <c r="DV14" s="15" t="s">
        <v>411</v>
      </c>
      <c r="DW14" s="15" t="s">
        <v>328</v>
      </c>
      <c r="DX14" s="15"/>
      <c r="DY14" s="15"/>
      <c r="DZ14" s="15"/>
      <c r="EA14" s="15"/>
      <c r="EB14" s="15"/>
      <c r="EC14" s="102" t="s">
        <v>497</v>
      </c>
      <c r="ED14" s="99"/>
    </row>
    <row r="15" spans="1:134" x14ac:dyDescent="0.25">
      <c r="A15" s="50" t="s">
        <v>1404</v>
      </c>
      <c r="B15" s="61" t="s">
        <v>447</v>
      </c>
      <c r="C15" s="14"/>
      <c r="D15" s="14" t="s">
        <v>328</v>
      </c>
      <c r="E15" s="14">
        <v>58</v>
      </c>
      <c r="F15" s="15" t="s">
        <v>329</v>
      </c>
      <c r="G15" s="14" t="s">
        <v>1329</v>
      </c>
      <c r="H15" s="14" t="s">
        <v>740</v>
      </c>
      <c r="I15" s="8" t="s">
        <v>1204</v>
      </c>
      <c r="J15" s="14" t="s">
        <v>1280</v>
      </c>
      <c r="K15" s="14">
        <v>15</v>
      </c>
      <c r="L15" s="14">
        <v>6</v>
      </c>
      <c r="M15" s="14">
        <v>4</v>
      </c>
      <c r="N15" s="14"/>
      <c r="O15" s="14"/>
      <c r="P15" s="14">
        <v>2</v>
      </c>
      <c r="Q15" s="14"/>
      <c r="R15" s="14"/>
      <c r="S15" s="14"/>
      <c r="T15" s="14"/>
      <c r="U15" s="14"/>
      <c r="V15" s="14"/>
      <c r="W15" s="14"/>
      <c r="X15" s="14"/>
      <c r="Y15" s="14"/>
      <c r="Z15" s="14" t="s">
        <v>328</v>
      </c>
      <c r="AA15" s="14"/>
      <c r="AB15" s="14"/>
      <c r="AC15" s="14"/>
      <c r="AD15" s="14" t="s">
        <v>328</v>
      </c>
      <c r="AE15" s="14"/>
      <c r="AF15" s="14"/>
      <c r="AG15" s="14"/>
      <c r="AH15" s="14"/>
      <c r="AI15" s="14"/>
      <c r="AJ15" s="14" t="s">
        <v>328</v>
      </c>
      <c r="AK15" s="14"/>
      <c r="AL15" s="14"/>
      <c r="AM15" s="14"/>
      <c r="AN15" s="14"/>
      <c r="AO15" s="14" t="s">
        <v>328</v>
      </c>
      <c r="AP15" s="14">
        <v>10</v>
      </c>
      <c r="AQ15" s="14">
        <v>8</v>
      </c>
      <c r="AR15" s="14" t="s">
        <v>328</v>
      </c>
      <c r="AS15" s="14" t="s">
        <v>328</v>
      </c>
      <c r="AT15" s="14"/>
      <c r="AU15" s="14"/>
      <c r="AV15" s="14">
        <v>3</v>
      </c>
      <c r="AW15" s="14">
        <v>2</v>
      </c>
      <c r="AX15" s="14">
        <v>4</v>
      </c>
      <c r="AY15" s="15" t="s">
        <v>346</v>
      </c>
      <c r="AZ15" s="14"/>
      <c r="BA15" s="14" t="s">
        <v>328</v>
      </c>
      <c r="BB15" s="14"/>
      <c r="BC15" s="14"/>
      <c r="BD15" s="14"/>
      <c r="BE15" s="14"/>
      <c r="BF15" s="14"/>
      <c r="BG15" s="14"/>
      <c r="BH15" s="14" t="s">
        <v>328</v>
      </c>
      <c r="BI15" s="14"/>
      <c r="BJ15" s="14"/>
      <c r="BK15" s="14"/>
      <c r="BL15" s="14" t="s">
        <v>328</v>
      </c>
      <c r="BM15" s="14"/>
      <c r="BN15" s="14" t="s">
        <v>328</v>
      </c>
      <c r="BO15" s="14"/>
      <c r="BP15" s="14"/>
      <c r="BQ15" s="14" t="s">
        <v>328</v>
      </c>
      <c r="BR15" s="14"/>
      <c r="BS15" s="14"/>
      <c r="BT15" s="14" t="s">
        <v>328</v>
      </c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 t="s">
        <v>332</v>
      </c>
      <c r="CG15" s="14" t="s">
        <v>328</v>
      </c>
      <c r="CH15" s="14"/>
      <c r="CI15" s="14"/>
      <c r="CJ15" s="14"/>
      <c r="CK15" s="14"/>
      <c r="CL15" s="14">
        <v>2</v>
      </c>
      <c r="CM15" s="14">
        <v>1</v>
      </c>
      <c r="CN15" s="14">
        <v>4</v>
      </c>
      <c r="CO15" s="14">
        <v>6</v>
      </c>
      <c r="CP15" s="14">
        <v>5</v>
      </c>
      <c r="CQ15" s="14">
        <v>3</v>
      </c>
      <c r="CR15" s="14" t="s">
        <v>328</v>
      </c>
      <c r="CS15" s="14" t="s">
        <v>328</v>
      </c>
      <c r="CT15" s="14"/>
      <c r="CU15" s="14"/>
      <c r="CV15" s="14" t="s">
        <v>328</v>
      </c>
      <c r="CW15" s="14" t="s">
        <v>328</v>
      </c>
      <c r="CX15" s="14"/>
      <c r="CY15" s="14"/>
      <c r="CZ15" s="14"/>
      <c r="DA15" s="14">
        <v>3</v>
      </c>
      <c r="DB15" s="14">
        <v>4</v>
      </c>
      <c r="DC15" s="14">
        <v>5</v>
      </c>
      <c r="DD15" s="14">
        <v>1</v>
      </c>
      <c r="DE15" s="14">
        <v>2</v>
      </c>
      <c r="DF15" s="14">
        <v>6</v>
      </c>
      <c r="DG15" s="14" t="s">
        <v>424</v>
      </c>
      <c r="DH15" s="14" t="s">
        <v>328</v>
      </c>
      <c r="DI15" s="14"/>
      <c r="DJ15" s="14"/>
      <c r="DK15" s="14"/>
      <c r="DL15" s="14"/>
      <c r="DM15" s="14" t="s">
        <v>448</v>
      </c>
      <c r="DN15" s="14" t="s">
        <v>1146</v>
      </c>
      <c r="DO15" s="14"/>
      <c r="DP15" s="14" t="s">
        <v>328</v>
      </c>
      <c r="DQ15" s="14" t="s">
        <v>328</v>
      </c>
      <c r="DR15" s="14" t="s">
        <v>405</v>
      </c>
      <c r="DS15" s="14"/>
      <c r="DT15" s="14"/>
      <c r="DU15" s="14" t="s">
        <v>448</v>
      </c>
      <c r="DV15" s="14" t="s">
        <v>449</v>
      </c>
      <c r="DW15" s="14"/>
      <c r="DX15" s="14" t="s">
        <v>328</v>
      </c>
      <c r="DY15" s="14" t="s">
        <v>328</v>
      </c>
      <c r="DZ15" s="14" t="s">
        <v>397</v>
      </c>
      <c r="EA15" s="14"/>
      <c r="EB15" s="14" t="s">
        <v>432</v>
      </c>
      <c r="EC15" s="101" t="s">
        <v>450</v>
      </c>
      <c r="ED15" s="99"/>
    </row>
    <row r="16" spans="1:134" x14ac:dyDescent="0.25">
      <c r="A16" s="50" t="s">
        <v>1404</v>
      </c>
      <c r="B16" s="61" t="s">
        <v>464</v>
      </c>
      <c r="C16" s="15"/>
      <c r="D16" s="15" t="s">
        <v>328</v>
      </c>
      <c r="E16" s="15">
        <v>63</v>
      </c>
      <c r="F16" s="15" t="s">
        <v>329</v>
      </c>
      <c r="G16" s="15" t="s">
        <v>330</v>
      </c>
      <c r="H16" s="15" t="s">
        <v>380</v>
      </c>
      <c r="I16" s="15" t="s">
        <v>1188</v>
      </c>
      <c r="J16" s="15" t="s">
        <v>1188</v>
      </c>
      <c r="K16" s="15">
        <v>40</v>
      </c>
      <c r="L16" s="15">
        <v>6</v>
      </c>
      <c r="M16" s="15">
        <v>3</v>
      </c>
      <c r="N16" s="15"/>
      <c r="O16" s="15"/>
      <c r="P16" s="15"/>
      <c r="Q16" s="15"/>
      <c r="R16" s="15"/>
      <c r="S16" s="15"/>
      <c r="T16" s="15">
        <v>3</v>
      </c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 t="s">
        <v>328</v>
      </c>
      <c r="AF16" s="15"/>
      <c r="AG16" s="15"/>
      <c r="AH16" s="15"/>
      <c r="AI16" s="14" t="s">
        <v>423</v>
      </c>
      <c r="AJ16" s="15"/>
      <c r="AK16" s="14" t="s">
        <v>328</v>
      </c>
      <c r="AL16" s="15"/>
      <c r="AM16" s="15"/>
      <c r="AN16" s="15"/>
      <c r="AO16" s="15" t="s">
        <v>328</v>
      </c>
      <c r="AP16" s="15">
        <v>10</v>
      </c>
      <c r="AQ16" s="15">
        <v>3</v>
      </c>
      <c r="AR16" s="15"/>
      <c r="AS16" s="15" t="s">
        <v>328</v>
      </c>
      <c r="AT16" s="15" t="s">
        <v>328</v>
      </c>
      <c r="AU16" s="15"/>
      <c r="AV16" s="15">
        <v>2</v>
      </c>
      <c r="AW16" s="15">
        <v>1</v>
      </c>
      <c r="AX16" s="15">
        <v>3</v>
      </c>
      <c r="AY16" s="15"/>
      <c r="AZ16" s="15"/>
      <c r="BA16" s="15" t="s">
        <v>328</v>
      </c>
      <c r="BB16" s="15" t="s">
        <v>328</v>
      </c>
      <c r="BC16" s="15"/>
      <c r="BD16" s="15"/>
      <c r="BE16" s="15"/>
      <c r="BF16" s="15"/>
      <c r="BG16" s="15"/>
      <c r="BH16" s="15"/>
      <c r="BI16" s="15"/>
      <c r="BJ16" s="15"/>
      <c r="BK16" s="15"/>
      <c r="BL16" s="15" t="s">
        <v>328</v>
      </c>
      <c r="BM16" s="15"/>
      <c r="BN16" s="15" t="s">
        <v>328</v>
      </c>
      <c r="BO16" s="15"/>
      <c r="BP16" s="15"/>
      <c r="BQ16" s="15"/>
      <c r="BR16" s="15" t="s">
        <v>328</v>
      </c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 t="s">
        <v>332</v>
      </c>
      <c r="CG16" s="15" t="s">
        <v>328</v>
      </c>
      <c r="CH16" s="15"/>
      <c r="CI16" s="15"/>
      <c r="CJ16" s="15"/>
      <c r="CK16" s="15"/>
      <c r="CL16" s="15">
        <v>3</v>
      </c>
      <c r="CM16" s="15">
        <v>4</v>
      </c>
      <c r="CN16" s="15">
        <v>1</v>
      </c>
      <c r="CO16" s="15">
        <v>5</v>
      </c>
      <c r="CP16" s="15">
        <v>6</v>
      </c>
      <c r="CQ16" s="15">
        <v>2</v>
      </c>
      <c r="CR16" s="15" t="s">
        <v>328</v>
      </c>
      <c r="CS16" s="15"/>
      <c r="CT16" s="15"/>
      <c r="CU16" s="15"/>
      <c r="CV16" s="15" t="s">
        <v>328</v>
      </c>
      <c r="CW16" s="15"/>
      <c r="CX16" s="15"/>
      <c r="CY16" s="15" t="s">
        <v>328</v>
      </c>
      <c r="CZ16" s="18" t="s">
        <v>404</v>
      </c>
      <c r="DA16" s="15"/>
      <c r="DB16" s="15"/>
      <c r="DC16" s="15"/>
      <c r="DD16" s="15"/>
      <c r="DE16" s="15"/>
      <c r="DF16" s="15"/>
      <c r="DG16" s="15"/>
      <c r="DH16" s="15" t="s">
        <v>328</v>
      </c>
      <c r="DI16" s="15"/>
      <c r="DJ16" s="15"/>
      <c r="DK16" s="14"/>
      <c r="DL16" s="15"/>
      <c r="DM16" s="15" t="s">
        <v>492</v>
      </c>
      <c r="DN16" s="14" t="s">
        <v>1145</v>
      </c>
      <c r="DO16" s="15" t="s">
        <v>328</v>
      </c>
      <c r="DP16" s="15"/>
      <c r="DQ16" s="15"/>
      <c r="DR16" s="14"/>
      <c r="DS16" s="15"/>
      <c r="DT16" s="15"/>
      <c r="DU16" s="15" t="s">
        <v>1163</v>
      </c>
      <c r="DV16" s="15" t="s">
        <v>438</v>
      </c>
      <c r="DW16" s="15" t="s">
        <v>328</v>
      </c>
      <c r="DX16" s="15"/>
      <c r="DY16" s="15"/>
      <c r="DZ16" s="14"/>
      <c r="EA16" s="15"/>
      <c r="EB16" s="15"/>
      <c r="EC16" s="102" t="s">
        <v>450</v>
      </c>
      <c r="ED16" s="99"/>
    </row>
    <row r="17" spans="1:134" x14ac:dyDescent="0.25">
      <c r="A17" s="50" t="s">
        <v>1404</v>
      </c>
      <c r="B17" s="61" t="s">
        <v>460</v>
      </c>
      <c r="C17" s="14"/>
      <c r="D17" s="14" t="s">
        <v>328</v>
      </c>
      <c r="E17" s="14">
        <v>50</v>
      </c>
      <c r="F17" s="14" t="s">
        <v>329</v>
      </c>
      <c r="G17" s="14" t="s">
        <v>330</v>
      </c>
      <c r="H17" s="14" t="s">
        <v>1170</v>
      </c>
      <c r="I17" s="14" t="s">
        <v>1215</v>
      </c>
      <c r="J17" s="14" t="s">
        <v>1280</v>
      </c>
      <c r="K17" s="14">
        <v>25</v>
      </c>
      <c r="L17" s="14">
        <v>6</v>
      </c>
      <c r="M17" s="14">
        <v>3</v>
      </c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>
        <v>3</v>
      </c>
      <c r="Y17" s="14"/>
      <c r="Z17" s="14"/>
      <c r="AA17" s="14"/>
      <c r="AB17" s="14"/>
      <c r="AC17" s="14"/>
      <c r="AD17" s="14" t="s">
        <v>328</v>
      </c>
      <c r="AE17" s="14"/>
      <c r="AF17" s="14"/>
      <c r="AG17" s="14"/>
      <c r="AH17" s="14"/>
      <c r="AI17" s="14" t="s">
        <v>443</v>
      </c>
      <c r="AJ17" s="14"/>
      <c r="AK17" s="14" t="s">
        <v>328</v>
      </c>
      <c r="AL17" s="14"/>
      <c r="AM17" s="14"/>
      <c r="AN17" s="14" t="s">
        <v>328</v>
      </c>
      <c r="AO17" s="14"/>
      <c r="AP17" s="14">
        <v>10</v>
      </c>
      <c r="AQ17" s="14">
        <v>15</v>
      </c>
      <c r="AR17" s="14"/>
      <c r="AS17" s="14"/>
      <c r="AT17" s="14" t="s">
        <v>328</v>
      </c>
      <c r="AU17" s="14"/>
      <c r="AV17" s="14">
        <v>3</v>
      </c>
      <c r="AW17" s="14">
        <v>1</v>
      </c>
      <c r="AX17" s="14">
        <v>2</v>
      </c>
      <c r="AY17" s="14"/>
      <c r="AZ17" s="14"/>
      <c r="BA17" s="14" t="s">
        <v>328</v>
      </c>
      <c r="BB17" s="14"/>
      <c r="BC17" s="14"/>
      <c r="BD17" s="14"/>
      <c r="BE17" s="14"/>
      <c r="BF17" s="14"/>
      <c r="BG17" s="14"/>
      <c r="BH17" s="14"/>
      <c r="BI17" s="14" t="s">
        <v>328</v>
      </c>
      <c r="BJ17" s="14"/>
      <c r="BK17" s="14"/>
      <c r="BL17" s="14" t="s">
        <v>328</v>
      </c>
      <c r="BM17" s="14"/>
      <c r="BN17" s="14" t="s">
        <v>328</v>
      </c>
      <c r="BO17" s="14"/>
      <c r="BP17" s="14"/>
      <c r="BQ17" s="14" t="s">
        <v>328</v>
      </c>
      <c r="BR17" s="14"/>
      <c r="BS17" s="14"/>
      <c r="BT17" s="14"/>
      <c r="BU17" s="14" t="s">
        <v>328</v>
      </c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 t="s">
        <v>332</v>
      </c>
      <c r="CG17" s="14" t="s">
        <v>328</v>
      </c>
      <c r="CH17" s="14"/>
      <c r="CI17" s="14" t="s">
        <v>328</v>
      </c>
      <c r="CJ17" s="14"/>
      <c r="CK17" s="14"/>
      <c r="CL17" s="14">
        <v>1</v>
      </c>
      <c r="CM17" s="14">
        <v>3</v>
      </c>
      <c r="CN17" s="14">
        <v>6</v>
      </c>
      <c r="CO17" s="14">
        <v>4</v>
      </c>
      <c r="CP17" s="14">
        <v>5</v>
      </c>
      <c r="CQ17" s="14">
        <v>2</v>
      </c>
      <c r="CR17" s="14" t="s">
        <v>328</v>
      </c>
      <c r="CS17" s="14" t="s">
        <v>328</v>
      </c>
      <c r="CT17" s="14"/>
      <c r="CU17" s="14"/>
      <c r="CV17" s="14" t="s">
        <v>328</v>
      </c>
      <c r="CW17" s="14" t="s">
        <v>328</v>
      </c>
      <c r="CX17" s="14"/>
      <c r="CY17" s="14" t="s">
        <v>328</v>
      </c>
      <c r="CZ17" s="14" t="s">
        <v>404</v>
      </c>
      <c r="DA17" s="14"/>
      <c r="DB17" s="14"/>
      <c r="DC17" s="14"/>
      <c r="DD17" s="14"/>
      <c r="DE17" s="14"/>
      <c r="DF17" s="14"/>
      <c r="DG17" s="14"/>
      <c r="DH17" s="14" t="s">
        <v>328</v>
      </c>
      <c r="DI17" s="14"/>
      <c r="DJ17" s="14"/>
      <c r="DK17" s="14"/>
      <c r="DL17" s="14"/>
      <c r="DM17" s="14"/>
      <c r="DN17" s="14" t="s">
        <v>1146</v>
      </c>
      <c r="DO17" s="14"/>
      <c r="DP17" s="14" t="s">
        <v>328</v>
      </c>
      <c r="DQ17" s="14" t="s">
        <v>328</v>
      </c>
      <c r="DR17" s="14" t="s">
        <v>397</v>
      </c>
      <c r="DS17" s="14"/>
      <c r="DT17" s="14"/>
      <c r="DU17" s="15" t="s">
        <v>428</v>
      </c>
      <c r="DV17" s="14" t="s">
        <v>497</v>
      </c>
      <c r="DW17" s="14" t="s">
        <v>328</v>
      </c>
      <c r="DX17" s="14"/>
      <c r="DY17" s="14"/>
      <c r="DZ17" s="15"/>
      <c r="EA17" s="14"/>
      <c r="EB17" s="14"/>
      <c r="EC17" s="101" t="s">
        <v>497</v>
      </c>
      <c r="ED17" s="99"/>
    </row>
    <row r="18" spans="1:134" x14ac:dyDescent="0.25">
      <c r="A18" s="50" t="s">
        <v>1404</v>
      </c>
      <c r="B18" s="63" t="s">
        <v>490</v>
      </c>
      <c r="C18" s="15"/>
      <c r="D18" s="15" t="s">
        <v>328</v>
      </c>
      <c r="E18" s="15">
        <v>60</v>
      </c>
      <c r="F18" s="15" t="s">
        <v>329</v>
      </c>
      <c r="G18" s="15" t="s">
        <v>357</v>
      </c>
      <c r="H18" s="15" t="s">
        <v>767</v>
      </c>
      <c r="I18" s="15" t="s">
        <v>1208</v>
      </c>
      <c r="J18" s="15" t="s">
        <v>1286</v>
      </c>
      <c r="K18" s="15">
        <v>40</v>
      </c>
      <c r="L18" s="15">
        <v>6</v>
      </c>
      <c r="M18" s="15">
        <v>6</v>
      </c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 t="s">
        <v>418</v>
      </c>
      <c r="AJ18" s="14" t="s">
        <v>328</v>
      </c>
      <c r="AK18" s="15"/>
      <c r="AL18" s="15"/>
      <c r="AM18" s="15"/>
      <c r="AN18" s="15" t="s">
        <v>328</v>
      </c>
      <c r="AO18" s="15"/>
      <c r="AP18" s="15">
        <v>1</v>
      </c>
      <c r="AQ18" s="15">
        <v>6</v>
      </c>
      <c r="AR18" s="15"/>
      <c r="AS18" s="15" t="s">
        <v>328</v>
      </c>
      <c r="AT18" s="15" t="s">
        <v>328</v>
      </c>
      <c r="AU18" s="15"/>
      <c r="AV18" s="15">
        <v>4</v>
      </c>
      <c r="AW18" s="15">
        <v>2</v>
      </c>
      <c r="AX18" s="15">
        <v>3</v>
      </c>
      <c r="AY18" s="15" t="s">
        <v>346</v>
      </c>
      <c r="AZ18" s="15"/>
      <c r="BA18" s="15" t="s">
        <v>328</v>
      </c>
      <c r="BB18" s="15"/>
      <c r="BC18" s="15" t="s">
        <v>328</v>
      </c>
      <c r="BD18" s="15"/>
      <c r="BE18" s="15"/>
      <c r="BF18" s="15"/>
      <c r="BG18" s="15"/>
      <c r="BH18" s="15"/>
      <c r="BI18" s="15"/>
      <c r="BJ18" s="15"/>
      <c r="BK18" s="15"/>
      <c r="BL18" s="15" t="s">
        <v>328</v>
      </c>
      <c r="BM18" s="15"/>
      <c r="BN18" s="15" t="s">
        <v>328</v>
      </c>
      <c r="BO18" s="15"/>
      <c r="BP18" s="15" t="s">
        <v>328</v>
      </c>
      <c r="BQ18" s="15"/>
      <c r="BR18" s="15"/>
      <c r="BS18" s="15"/>
      <c r="BT18" s="15" t="s">
        <v>328</v>
      </c>
      <c r="BU18" s="15" t="s">
        <v>328</v>
      </c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 t="s">
        <v>332</v>
      </c>
      <c r="CG18" s="15" t="s">
        <v>328</v>
      </c>
      <c r="CH18" s="15"/>
      <c r="CI18" s="15" t="s">
        <v>328</v>
      </c>
      <c r="CJ18" s="15"/>
      <c r="CK18" s="15"/>
      <c r="CL18" s="15">
        <v>4</v>
      </c>
      <c r="CM18" s="15">
        <v>1</v>
      </c>
      <c r="CN18" s="15">
        <v>5</v>
      </c>
      <c r="CO18" s="15">
        <v>2</v>
      </c>
      <c r="CP18" s="15">
        <v>6</v>
      </c>
      <c r="CQ18" s="15">
        <v>3</v>
      </c>
      <c r="CR18" s="15" t="s">
        <v>328</v>
      </c>
      <c r="CS18" s="15" t="s">
        <v>328</v>
      </c>
      <c r="CT18" s="15"/>
      <c r="CU18" s="15"/>
      <c r="CV18" s="15" t="s">
        <v>328</v>
      </c>
      <c r="CW18" s="15" t="s">
        <v>328</v>
      </c>
      <c r="CX18" s="15"/>
      <c r="CY18" s="15"/>
      <c r="CZ18" s="15"/>
      <c r="DA18" s="15">
        <v>3</v>
      </c>
      <c r="DB18" s="15">
        <v>5</v>
      </c>
      <c r="DC18" s="15">
        <v>1</v>
      </c>
      <c r="DD18" s="15">
        <v>2</v>
      </c>
      <c r="DE18" s="15">
        <v>4</v>
      </c>
      <c r="DF18" s="15">
        <v>6</v>
      </c>
      <c r="DG18" s="15"/>
      <c r="DH18" s="15"/>
      <c r="DI18" s="15" t="s">
        <v>328</v>
      </c>
      <c r="DJ18" s="15" t="s">
        <v>328</v>
      </c>
      <c r="DK18" s="15" t="s">
        <v>618</v>
      </c>
      <c r="DL18" s="15"/>
      <c r="DM18" s="14" t="s">
        <v>432</v>
      </c>
      <c r="DN18" s="14" t="s">
        <v>333</v>
      </c>
      <c r="DO18" s="15"/>
      <c r="DP18" s="15" t="s">
        <v>328</v>
      </c>
      <c r="DQ18" s="15" t="s">
        <v>328</v>
      </c>
      <c r="DR18" s="15" t="s">
        <v>397</v>
      </c>
      <c r="DS18" s="15"/>
      <c r="DT18" s="15"/>
      <c r="DU18" s="15" t="s">
        <v>491</v>
      </c>
      <c r="DV18" s="15" t="s">
        <v>438</v>
      </c>
      <c r="DW18" s="15"/>
      <c r="DX18" s="15" t="s">
        <v>328</v>
      </c>
      <c r="DY18" s="15" t="s">
        <v>328</v>
      </c>
      <c r="DZ18" s="15" t="s">
        <v>405</v>
      </c>
      <c r="EA18" s="15"/>
      <c r="EB18" s="15" t="s">
        <v>492</v>
      </c>
      <c r="EC18" s="102" t="s">
        <v>497</v>
      </c>
      <c r="ED18" s="99"/>
    </row>
    <row r="19" spans="1:134" x14ac:dyDescent="0.25">
      <c r="A19" s="50" t="s">
        <v>1404</v>
      </c>
      <c r="B19" s="65" t="s">
        <v>502</v>
      </c>
      <c r="C19" s="15"/>
      <c r="D19" s="15" t="s">
        <v>328</v>
      </c>
      <c r="E19" s="15">
        <v>57</v>
      </c>
      <c r="F19" s="15" t="s">
        <v>376</v>
      </c>
      <c r="G19" s="15" t="s">
        <v>399</v>
      </c>
      <c r="H19" s="15" t="s">
        <v>752</v>
      </c>
      <c r="I19" s="18" t="s">
        <v>1222</v>
      </c>
      <c r="J19" s="15" t="s">
        <v>1283</v>
      </c>
      <c r="K19" s="15">
        <v>35</v>
      </c>
      <c r="L19" s="15">
        <v>9</v>
      </c>
      <c r="M19" s="15">
        <v>9</v>
      </c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 t="s">
        <v>418</v>
      </c>
      <c r="AJ19" s="15" t="s">
        <v>328</v>
      </c>
      <c r="AK19" s="15"/>
      <c r="AL19" s="15"/>
      <c r="AM19" s="15"/>
      <c r="AN19" s="14" t="s">
        <v>328</v>
      </c>
      <c r="AO19" s="15"/>
      <c r="AP19" s="15">
        <v>2</v>
      </c>
      <c r="AQ19" s="15">
        <v>2</v>
      </c>
      <c r="AR19" s="15"/>
      <c r="AS19" s="15" t="s">
        <v>328</v>
      </c>
      <c r="AT19" s="15"/>
      <c r="AU19" s="15"/>
      <c r="AV19" s="15">
        <v>3</v>
      </c>
      <c r="AW19" s="15">
        <v>2</v>
      </c>
      <c r="AX19" s="15">
        <v>1</v>
      </c>
      <c r="AY19" s="15"/>
      <c r="AZ19" s="15"/>
      <c r="BA19" s="15" t="s">
        <v>328</v>
      </c>
      <c r="BB19" s="15"/>
      <c r="BC19" s="15"/>
      <c r="BD19" s="15"/>
      <c r="BE19" s="15"/>
      <c r="BF19" s="15"/>
      <c r="BG19" s="15"/>
      <c r="BH19" s="15"/>
      <c r="BI19" s="15" t="s">
        <v>328</v>
      </c>
      <c r="BJ19" s="15"/>
      <c r="BK19" s="15"/>
      <c r="BL19" s="15" t="s">
        <v>328</v>
      </c>
      <c r="BM19" s="15"/>
      <c r="BN19" s="15" t="s">
        <v>328</v>
      </c>
      <c r="BO19" s="15"/>
      <c r="BP19" s="15"/>
      <c r="BQ19" s="15"/>
      <c r="BR19" s="15"/>
      <c r="BS19" s="15"/>
      <c r="BT19" s="15" t="s">
        <v>328</v>
      </c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 t="s">
        <v>332</v>
      </c>
      <c r="CG19" s="15" t="s">
        <v>328</v>
      </c>
      <c r="CH19" s="15"/>
      <c r="CI19" s="15"/>
      <c r="CJ19" s="15"/>
      <c r="CK19" s="15"/>
      <c r="CL19" s="15">
        <v>3</v>
      </c>
      <c r="CM19" s="15">
        <v>1</v>
      </c>
      <c r="CN19" s="15">
        <v>4</v>
      </c>
      <c r="CO19" s="15">
        <v>6</v>
      </c>
      <c r="CP19" s="15">
        <v>5</v>
      </c>
      <c r="CQ19" s="15">
        <v>2</v>
      </c>
      <c r="CR19" s="15"/>
      <c r="CS19" s="15" t="s">
        <v>328</v>
      </c>
      <c r="CT19" s="15" t="s">
        <v>328</v>
      </c>
      <c r="CU19" s="15" t="s">
        <v>328</v>
      </c>
      <c r="CV19" s="15"/>
      <c r="CW19" s="15" t="s">
        <v>328</v>
      </c>
      <c r="CX19" s="15"/>
      <c r="CY19" s="15"/>
      <c r="CZ19" s="15"/>
      <c r="DA19" s="15">
        <v>5</v>
      </c>
      <c r="DB19" s="15">
        <v>2</v>
      </c>
      <c r="DC19" s="15">
        <v>6</v>
      </c>
      <c r="DD19" s="15">
        <v>3</v>
      </c>
      <c r="DE19" s="15">
        <v>4</v>
      </c>
      <c r="DF19" s="15">
        <v>1</v>
      </c>
      <c r="DG19" s="15"/>
      <c r="DH19" s="15"/>
      <c r="DI19" s="15" t="s">
        <v>328</v>
      </c>
      <c r="DJ19" s="15" t="s">
        <v>328</v>
      </c>
      <c r="DK19" s="15" t="s">
        <v>486</v>
      </c>
      <c r="DL19" s="15"/>
      <c r="DM19" s="15" t="s">
        <v>916</v>
      </c>
      <c r="DN19" s="14" t="s">
        <v>333</v>
      </c>
      <c r="DO19" s="15"/>
      <c r="DP19" s="15" t="s">
        <v>328</v>
      </c>
      <c r="DQ19" s="15" t="s">
        <v>328</v>
      </c>
      <c r="DR19" s="15" t="s">
        <v>397</v>
      </c>
      <c r="DS19" s="15"/>
      <c r="DT19" s="15"/>
      <c r="DU19" s="15" t="s">
        <v>428</v>
      </c>
      <c r="DV19" s="14" t="s">
        <v>411</v>
      </c>
      <c r="DW19" s="15"/>
      <c r="DX19" s="15" t="s">
        <v>328</v>
      </c>
      <c r="DY19" s="15" t="s">
        <v>328</v>
      </c>
      <c r="DZ19" s="15" t="s">
        <v>620</v>
      </c>
      <c r="EA19" s="15"/>
      <c r="EB19" s="15" t="s">
        <v>1175</v>
      </c>
      <c r="EC19" s="102" t="s">
        <v>450</v>
      </c>
      <c r="ED19" s="99"/>
    </row>
    <row r="20" spans="1:134" x14ac:dyDescent="0.25">
      <c r="A20" s="50" t="s">
        <v>1404</v>
      </c>
      <c r="B20" s="103" t="s">
        <v>515</v>
      </c>
      <c r="C20" s="14"/>
      <c r="D20" s="14" t="s">
        <v>328</v>
      </c>
      <c r="E20" s="14">
        <v>55</v>
      </c>
      <c r="F20" s="14" t="s">
        <v>329</v>
      </c>
      <c r="G20" s="14" t="s">
        <v>357</v>
      </c>
      <c r="H20" s="14" t="s">
        <v>746</v>
      </c>
      <c r="I20" s="14" t="s">
        <v>1199</v>
      </c>
      <c r="J20" s="14" t="s">
        <v>1281</v>
      </c>
      <c r="K20" s="14">
        <v>30</v>
      </c>
      <c r="L20" s="14">
        <v>8</v>
      </c>
      <c r="M20" s="14">
        <v>2</v>
      </c>
      <c r="N20" s="14"/>
      <c r="O20" s="14"/>
      <c r="P20" s="14">
        <v>4</v>
      </c>
      <c r="Q20" s="14"/>
      <c r="R20" s="14"/>
      <c r="S20" s="14"/>
      <c r="T20" s="14">
        <v>2</v>
      </c>
      <c r="U20" s="14"/>
      <c r="V20" s="14"/>
      <c r="W20" s="14"/>
      <c r="X20" s="14"/>
      <c r="Y20" s="14"/>
      <c r="Z20" s="14" t="s">
        <v>328</v>
      </c>
      <c r="AA20" s="14"/>
      <c r="AB20" s="14"/>
      <c r="AC20" s="14" t="s">
        <v>328</v>
      </c>
      <c r="AD20" s="14"/>
      <c r="AE20" s="14" t="s">
        <v>328</v>
      </c>
      <c r="AF20" s="14"/>
      <c r="AG20" s="14" t="s">
        <v>328</v>
      </c>
      <c r="AH20" s="14"/>
      <c r="AI20" s="14"/>
      <c r="AJ20" s="14" t="s">
        <v>328</v>
      </c>
      <c r="AK20" s="14"/>
      <c r="AL20" s="14"/>
      <c r="AM20" s="14"/>
      <c r="AN20" s="14"/>
      <c r="AO20" s="14" t="s">
        <v>328</v>
      </c>
      <c r="AP20" s="14">
        <v>10</v>
      </c>
      <c r="AQ20" s="14">
        <v>5</v>
      </c>
      <c r="AR20" s="14"/>
      <c r="AS20" s="14" t="s">
        <v>328</v>
      </c>
      <c r="AT20" s="14" t="s">
        <v>328</v>
      </c>
      <c r="AU20" s="14"/>
      <c r="AV20" s="14">
        <v>2</v>
      </c>
      <c r="AW20" s="14">
        <v>3</v>
      </c>
      <c r="AX20" s="14">
        <v>4</v>
      </c>
      <c r="AY20" s="14" t="s">
        <v>346</v>
      </c>
      <c r="AZ20" s="14"/>
      <c r="BA20" s="14" t="s">
        <v>328</v>
      </c>
      <c r="BB20" s="14" t="s">
        <v>328</v>
      </c>
      <c r="BC20" s="14"/>
      <c r="BD20" s="14"/>
      <c r="BE20" s="14"/>
      <c r="BF20" s="14"/>
      <c r="BG20" s="14"/>
      <c r="BH20" s="14"/>
      <c r="BI20" s="14"/>
      <c r="BJ20" s="14"/>
      <c r="BK20" s="14"/>
      <c r="BL20" s="14" t="s">
        <v>328</v>
      </c>
      <c r="BM20" s="14"/>
      <c r="BN20" s="14" t="s">
        <v>328</v>
      </c>
      <c r="BO20" s="14"/>
      <c r="BP20" s="14" t="s">
        <v>328</v>
      </c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 t="s">
        <v>332</v>
      </c>
      <c r="CG20" s="14"/>
      <c r="CH20" s="14"/>
      <c r="CI20" s="14"/>
      <c r="CJ20" s="14" t="s">
        <v>328</v>
      </c>
      <c r="CK20" s="14"/>
      <c r="CL20" s="15" t="s">
        <v>405</v>
      </c>
      <c r="CM20" s="15" t="s">
        <v>405</v>
      </c>
      <c r="CN20" s="15" t="s">
        <v>405</v>
      </c>
      <c r="CO20" s="15" t="s">
        <v>405</v>
      </c>
      <c r="CP20" s="15" t="s">
        <v>405</v>
      </c>
      <c r="CQ20" s="15" t="s">
        <v>405</v>
      </c>
      <c r="CR20" s="14" t="s">
        <v>328</v>
      </c>
      <c r="CS20" s="14" t="s">
        <v>328</v>
      </c>
      <c r="CT20" s="14" t="s">
        <v>328</v>
      </c>
      <c r="CU20" s="14" t="s">
        <v>328</v>
      </c>
      <c r="CV20" s="14" t="s">
        <v>328</v>
      </c>
      <c r="CW20" s="14" t="s">
        <v>328</v>
      </c>
      <c r="CX20" s="14"/>
      <c r="CY20" s="14" t="s">
        <v>328</v>
      </c>
      <c r="CZ20" s="14" t="s">
        <v>404</v>
      </c>
      <c r="DA20" s="14"/>
      <c r="DB20" s="14"/>
      <c r="DC20" s="14"/>
      <c r="DD20" s="14"/>
      <c r="DE20" s="14"/>
      <c r="DF20" s="14"/>
      <c r="DG20" s="14"/>
      <c r="DH20" s="14"/>
      <c r="DI20" s="14" t="s">
        <v>328</v>
      </c>
      <c r="DJ20" s="14" t="s">
        <v>328</v>
      </c>
      <c r="DK20" s="15" t="s">
        <v>618</v>
      </c>
      <c r="DL20" s="14"/>
      <c r="DM20" s="14" t="s">
        <v>432</v>
      </c>
      <c r="DN20" s="14" t="s">
        <v>333</v>
      </c>
      <c r="DO20" s="14"/>
      <c r="DP20" s="14" t="s">
        <v>328</v>
      </c>
      <c r="DQ20" s="14" t="s">
        <v>328</v>
      </c>
      <c r="DR20" s="14" t="s">
        <v>397</v>
      </c>
      <c r="DS20" s="14"/>
      <c r="DT20" s="14"/>
      <c r="DU20" s="14" t="s">
        <v>492</v>
      </c>
      <c r="DV20" s="14" t="s">
        <v>516</v>
      </c>
      <c r="DW20" s="14" t="s">
        <v>328</v>
      </c>
      <c r="DX20" s="14"/>
      <c r="DY20" s="14"/>
      <c r="DZ20" s="14"/>
      <c r="EA20" s="14"/>
      <c r="EB20" s="14"/>
      <c r="EC20" s="101" t="s">
        <v>333</v>
      </c>
      <c r="ED20" s="99"/>
    </row>
    <row r="21" spans="1:134" x14ac:dyDescent="0.25">
      <c r="A21" s="50" t="s">
        <v>1855</v>
      </c>
      <c r="B21" s="61" t="s">
        <v>518</v>
      </c>
      <c r="C21" s="14"/>
      <c r="D21" s="14" t="s">
        <v>328</v>
      </c>
      <c r="E21" s="14">
        <v>46</v>
      </c>
      <c r="F21" s="14" t="s">
        <v>329</v>
      </c>
      <c r="G21" s="14" t="s">
        <v>399</v>
      </c>
      <c r="H21" s="14" t="s">
        <v>356</v>
      </c>
      <c r="I21" s="14" t="s">
        <v>1183</v>
      </c>
      <c r="J21" s="14" t="s">
        <v>1183</v>
      </c>
      <c r="K21" s="14">
        <v>15</v>
      </c>
      <c r="L21" s="14">
        <v>6</v>
      </c>
      <c r="M21" s="14">
        <v>11</v>
      </c>
      <c r="N21" s="14">
        <v>1</v>
      </c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 t="s">
        <v>328</v>
      </c>
      <c r="AA21" s="14" t="s">
        <v>328</v>
      </c>
      <c r="AB21" s="14" t="s">
        <v>328</v>
      </c>
      <c r="AC21" s="14" t="s">
        <v>328</v>
      </c>
      <c r="AD21" s="14" t="s">
        <v>328</v>
      </c>
      <c r="AE21" s="14"/>
      <c r="AF21" s="14" t="s">
        <v>328</v>
      </c>
      <c r="AG21" s="14" t="s">
        <v>328</v>
      </c>
      <c r="AH21" s="14"/>
      <c r="AI21" s="14"/>
      <c r="AJ21" s="14" t="s">
        <v>328</v>
      </c>
      <c r="AK21" s="14" t="s">
        <v>328</v>
      </c>
      <c r="AL21" s="14" t="s">
        <v>328</v>
      </c>
      <c r="AM21" s="14"/>
      <c r="AN21" s="14" t="s">
        <v>328</v>
      </c>
      <c r="AO21" s="14" t="s">
        <v>328</v>
      </c>
      <c r="AP21" s="14">
        <v>9</v>
      </c>
      <c r="AQ21" s="14">
        <v>5</v>
      </c>
      <c r="AR21" s="14"/>
      <c r="AS21" s="14"/>
      <c r="AT21" s="14"/>
      <c r="AU21" s="14" t="s">
        <v>328</v>
      </c>
      <c r="AV21" s="14">
        <v>2</v>
      </c>
      <c r="AW21" s="14">
        <v>3</v>
      </c>
      <c r="AX21" s="14">
        <v>4</v>
      </c>
      <c r="AY21" s="14" t="s">
        <v>346</v>
      </c>
      <c r="AZ21" s="14"/>
      <c r="BA21" s="14" t="s">
        <v>328</v>
      </c>
      <c r="BB21" s="14" t="s">
        <v>328</v>
      </c>
      <c r="BC21" s="14" t="s">
        <v>328</v>
      </c>
      <c r="BD21" s="14"/>
      <c r="BE21" s="14" t="s">
        <v>328</v>
      </c>
      <c r="BF21" s="14"/>
      <c r="BG21" s="14"/>
      <c r="BH21" s="14" t="s">
        <v>328</v>
      </c>
      <c r="BI21" s="14"/>
      <c r="BJ21" s="14"/>
      <c r="BK21" s="14"/>
      <c r="BL21" s="14"/>
      <c r="BM21" s="14" t="s">
        <v>328</v>
      </c>
      <c r="BN21" s="14"/>
      <c r="BO21" s="14" t="s">
        <v>328</v>
      </c>
      <c r="BP21" s="14" t="s">
        <v>328</v>
      </c>
      <c r="BQ21" s="14"/>
      <c r="BR21" s="14"/>
      <c r="BS21" s="14"/>
      <c r="BT21" s="14" t="s">
        <v>328</v>
      </c>
      <c r="BU21" s="14" t="s">
        <v>328</v>
      </c>
      <c r="BV21" s="14"/>
      <c r="BW21" s="14"/>
      <c r="BX21" s="14"/>
      <c r="BY21" s="14"/>
      <c r="BZ21" s="14" t="s">
        <v>328</v>
      </c>
      <c r="CA21" s="14"/>
      <c r="CB21" s="14"/>
      <c r="CC21" s="14"/>
      <c r="CD21" s="14"/>
      <c r="CE21" s="14"/>
      <c r="CF21" s="14"/>
      <c r="CG21" s="14"/>
      <c r="CH21" s="14" t="s">
        <v>328</v>
      </c>
      <c r="CI21" s="14"/>
      <c r="CJ21" s="14"/>
      <c r="CK21" s="14"/>
      <c r="CL21" s="14">
        <v>6</v>
      </c>
      <c r="CM21" s="14">
        <v>4</v>
      </c>
      <c r="CN21" s="14">
        <v>3</v>
      </c>
      <c r="CO21" s="14">
        <v>1</v>
      </c>
      <c r="CP21" s="14">
        <v>2</v>
      </c>
      <c r="CQ21" s="14">
        <v>5</v>
      </c>
      <c r="CR21" s="14" t="s">
        <v>328</v>
      </c>
      <c r="CS21" s="14" t="s">
        <v>328</v>
      </c>
      <c r="CT21" s="14"/>
      <c r="CU21" s="14"/>
      <c r="CV21" s="14"/>
      <c r="CW21" s="14"/>
      <c r="CX21" s="14"/>
      <c r="CY21" s="14"/>
      <c r="CZ21" s="14"/>
      <c r="DA21" s="14">
        <v>1</v>
      </c>
      <c r="DB21" s="14">
        <v>6</v>
      </c>
      <c r="DC21" s="14">
        <v>4</v>
      </c>
      <c r="DD21" s="14">
        <v>3</v>
      </c>
      <c r="DE21" s="14">
        <v>2</v>
      </c>
      <c r="DF21" s="14">
        <v>5</v>
      </c>
      <c r="DG21" s="14"/>
      <c r="DH21" s="14" t="s">
        <v>328</v>
      </c>
      <c r="DI21" s="14"/>
      <c r="DJ21" s="14"/>
      <c r="DK21" s="14"/>
      <c r="DL21" s="14"/>
      <c r="DM21" s="14"/>
      <c r="DN21" s="14" t="s">
        <v>1145</v>
      </c>
      <c r="DO21" s="14"/>
      <c r="DP21" s="14" t="s">
        <v>328</v>
      </c>
      <c r="DQ21" s="14" t="s">
        <v>328</v>
      </c>
      <c r="DR21" s="14" t="s">
        <v>437</v>
      </c>
      <c r="DS21" s="14"/>
      <c r="DT21" s="14"/>
      <c r="DU21" s="14" t="s">
        <v>335</v>
      </c>
      <c r="DV21" s="14" t="s">
        <v>558</v>
      </c>
      <c r="DW21" s="14"/>
      <c r="DX21" s="14" t="s">
        <v>328</v>
      </c>
      <c r="DY21" s="14" t="s">
        <v>328</v>
      </c>
      <c r="DZ21" s="14" t="s">
        <v>613</v>
      </c>
      <c r="EA21" s="14"/>
      <c r="EB21" s="14" t="s">
        <v>559</v>
      </c>
      <c r="EC21" s="101" t="s">
        <v>560</v>
      </c>
      <c r="ED21" s="48"/>
    </row>
    <row r="22" spans="1:134" x14ac:dyDescent="0.25">
      <c r="A22" s="50" t="s">
        <v>1855</v>
      </c>
      <c r="B22" s="61" t="s">
        <v>520</v>
      </c>
      <c r="C22" s="14"/>
      <c r="D22" s="14" t="s">
        <v>328</v>
      </c>
      <c r="E22" s="14">
        <v>44</v>
      </c>
      <c r="F22" s="14" t="s">
        <v>329</v>
      </c>
      <c r="G22" s="14" t="s">
        <v>357</v>
      </c>
      <c r="H22" s="14" t="s">
        <v>356</v>
      </c>
      <c r="I22" s="14" t="s">
        <v>1183</v>
      </c>
      <c r="J22" s="14" t="s">
        <v>1183</v>
      </c>
      <c r="K22" s="14">
        <v>20</v>
      </c>
      <c r="L22" s="14">
        <v>18</v>
      </c>
      <c r="M22" s="14"/>
      <c r="N22" s="14"/>
      <c r="O22" s="14"/>
      <c r="P22" s="14"/>
      <c r="Q22" s="14">
        <v>10</v>
      </c>
      <c r="R22" s="14"/>
      <c r="S22" s="14"/>
      <c r="T22" s="14"/>
      <c r="U22" s="14"/>
      <c r="V22" s="14"/>
      <c r="W22" s="14">
        <v>8</v>
      </c>
      <c r="X22" s="14"/>
      <c r="Y22" s="14"/>
      <c r="Z22" s="14"/>
      <c r="AA22" s="14"/>
      <c r="AB22" s="14" t="s">
        <v>328</v>
      </c>
      <c r="AC22" s="14" t="s">
        <v>328</v>
      </c>
      <c r="AD22" s="14" t="s">
        <v>328</v>
      </c>
      <c r="AE22" s="14"/>
      <c r="AF22" s="14"/>
      <c r="AG22" s="14"/>
      <c r="AH22" s="14" t="s">
        <v>328</v>
      </c>
      <c r="AI22" s="14"/>
      <c r="AJ22" s="14" t="s">
        <v>328</v>
      </c>
      <c r="AK22" s="14"/>
      <c r="AL22" s="14"/>
      <c r="AM22" s="14"/>
      <c r="AN22" s="14" t="s">
        <v>328</v>
      </c>
      <c r="AO22" s="14"/>
      <c r="AP22" s="14">
        <v>9</v>
      </c>
      <c r="AQ22" s="14">
        <v>2</v>
      </c>
      <c r="AR22" s="14"/>
      <c r="AS22" s="14" t="s">
        <v>328</v>
      </c>
      <c r="AT22" s="14"/>
      <c r="AU22" s="14"/>
      <c r="AV22" s="14">
        <v>2</v>
      </c>
      <c r="AW22" s="14">
        <v>3</v>
      </c>
      <c r="AX22" s="14">
        <v>1</v>
      </c>
      <c r="AY22" s="14"/>
      <c r="AZ22" s="14"/>
      <c r="BA22" s="14" t="s">
        <v>328</v>
      </c>
      <c r="BB22" s="14"/>
      <c r="BC22" s="14"/>
      <c r="BD22" s="14"/>
      <c r="BE22" s="14" t="s">
        <v>328</v>
      </c>
      <c r="BF22" s="14"/>
      <c r="BG22" s="14"/>
      <c r="BH22" s="14"/>
      <c r="BI22" s="14"/>
      <c r="BJ22" s="14"/>
      <c r="BK22" s="14"/>
      <c r="BL22" s="14" t="s">
        <v>328</v>
      </c>
      <c r="BM22" s="14"/>
      <c r="BN22" s="14" t="s">
        <v>328</v>
      </c>
      <c r="BO22" s="14"/>
      <c r="BP22" s="14" t="s">
        <v>328</v>
      </c>
      <c r="BQ22" s="14"/>
      <c r="BR22" s="14"/>
      <c r="BS22" s="14"/>
      <c r="BT22" s="14"/>
      <c r="BU22" s="14"/>
      <c r="BV22" s="14"/>
      <c r="BW22" s="14" t="s">
        <v>328</v>
      </c>
      <c r="BX22" s="14"/>
      <c r="BY22" s="14"/>
      <c r="BZ22" s="14" t="s">
        <v>328</v>
      </c>
      <c r="CA22" s="14"/>
      <c r="CB22" s="14"/>
      <c r="CC22" s="14"/>
      <c r="CD22" s="14"/>
      <c r="CE22" s="14"/>
      <c r="CF22" s="8" t="s">
        <v>419</v>
      </c>
      <c r="CG22" s="14" t="s">
        <v>328</v>
      </c>
      <c r="CH22" s="14"/>
      <c r="CI22" s="14"/>
      <c r="CJ22" s="14"/>
      <c r="CK22" s="14" t="s">
        <v>328</v>
      </c>
      <c r="CL22" s="14">
        <v>2</v>
      </c>
      <c r="CM22" s="14">
        <v>3</v>
      </c>
      <c r="CN22" s="14">
        <v>4</v>
      </c>
      <c r="CO22" s="14">
        <v>5</v>
      </c>
      <c r="CP22" s="14">
        <v>6</v>
      </c>
      <c r="CQ22" s="14">
        <v>1</v>
      </c>
      <c r="CR22" s="14"/>
      <c r="CS22" s="14" t="s">
        <v>328</v>
      </c>
      <c r="CT22" s="14"/>
      <c r="CU22" s="14" t="s">
        <v>328</v>
      </c>
      <c r="CV22" s="14"/>
      <c r="CW22" s="14" t="s">
        <v>328</v>
      </c>
      <c r="CX22" s="14" t="s">
        <v>424</v>
      </c>
      <c r="CY22" s="14"/>
      <c r="CZ22" s="14"/>
      <c r="DA22" s="14">
        <v>2</v>
      </c>
      <c r="DB22" s="14">
        <v>6</v>
      </c>
      <c r="DC22" s="14">
        <v>4</v>
      </c>
      <c r="DD22" s="14">
        <v>5</v>
      </c>
      <c r="DE22" s="14">
        <v>3</v>
      </c>
      <c r="DF22" s="14"/>
      <c r="DG22" s="14" t="s">
        <v>346</v>
      </c>
      <c r="DH22" s="14" t="s">
        <v>328</v>
      </c>
      <c r="DI22" s="14"/>
      <c r="DJ22" s="14"/>
      <c r="DK22" s="14"/>
      <c r="DL22" s="14"/>
      <c r="DM22" s="14"/>
      <c r="DN22" s="14" t="s">
        <v>333</v>
      </c>
      <c r="DO22" s="14"/>
      <c r="DP22" s="14" t="s">
        <v>328</v>
      </c>
      <c r="DQ22" s="14" t="s">
        <v>328</v>
      </c>
      <c r="DR22" s="14" t="s">
        <v>924</v>
      </c>
      <c r="DS22" s="14"/>
      <c r="DT22" s="14"/>
      <c r="DU22" s="15" t="s">
        <v>410</v>
      </c>
      <c r="DV22" s="14" t="s">
        <v>411</v>
      </c>
      <c r="DW22" s="14" t="s">
        <v>328</v>
      </c>
      <c r="DX22" s="14"/>
      <c r="DY22" s="14"/>
      <c r="DZ22" s="14"/>
      <c r="EA22" s="14"/>
      <c r="EB22" s="14"/>
      <c r="EC22" s="101" t="s">
        <v>333</v>
      </c>
      <c r="ED22" s="48"/>
    </row>
    <row r="23" spans="1:134" x14ac:dyDescent="0.25">
      <c r="A23" s="50" t="s">
        <v>1855</v>
      </c>
      <c r="B23" s="61" t="s">
        <v>534</v>
      </c>
      <c r="C23" s="14"/>
      <c r="D23" s="14" t="s">
        <v>328</v>
      </c>
      <c r="E23" s="14">
        <v>42</v>
      </c>
      <c r="F23" s="14" t="s">
        <v>329</v>
      </c>
      <c r="G23" s="14" t="s">
        <v>399</v>
      </c>
      <c r="H23" s="14" t="s">
        <v>569</v>
      </c>
      <c r="I23" s="14" t="s">
        <v>1239</v>
      </c>
      <c r="J23" s="14" t="s">
        <v>1288</v>
      </c>
      <c r="K23" s="14">
        <v>22</v>
      </c>
      <c r="L23" s="14">
        <v>7</v>
      </c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>
        <v>7</v>
      </c>
      <c r="X23" s="14"/>
      <c r="Y23" s="14"/>
      <c r="Z23" s="14"/>
      <c r="AA23" s="14"/>
      <c r="AB23" s="14"/>
      <c r="AC23" s="14"/>
      <c r="AD23" s="14" t="s">
        <v>328</v>
      </c>
      <c r="AE23" s="14"/>
      <c r="AF23" s="14"/>
      <c r="AG23" s="14"/>
      <c r="AH23" s="14"/>
      <c r="AI23" s="14"/>
      <c r="AJ23" s="14" t="s">
        <v>328</v>
      </c>
      <c r="AK23" s="14"/>
      <c r="AL23" s="14"/>
      <c r="AM23" s="14"/>
      <c r="AN23" s="14"/>
      <c r="AO23" s="14" t="s">
        <v>328</v>
      </c>
      <c r="AP23" s="14">
        <v>10</v>
      </c>
      <c r="AQ23" s="14">
        <v>1</v>
      </c>
      <c r="AR23" s="14"/>
      <c r="AS23" s="14"/>
      <c r="AT23" s="14" t="s">
        <v>328</v>
      </c>
      <c r="AU23" s="14"/>
      <c r="AV23" s="14">
        <v>1</v>
      </c>
      <c r="AW23" s="14">
        <v>2</v>
      </c>
      <c r="AX23" s="14">
        <v>3</v>
      </c>
      <c r="AY23" s="14"/>
      <c r="AZ23" s="14"/>
      <c r="BA23" s="14" t="s">
        <v>328</v>
      </c>
      <c r="BB23" s="14"/>
      <c r="BC23" s="14"/>
      <c r="BD23" s="14"/>
      <c r="BE23" s="14" t="s">
        <v>328</v>
      </c>
      <c r="BF23" s="14"/>
      <c r="BG23" s="14"/>
      <c r="BH23" s="14"/>
      <c r="BI23" s="14"/>
      <c r="BJ23" s="14"/>
      <c r="BK23" s="14"/>
      <c r="BL23" s="14" t="s">
        <v>328</v>
      </c>
      <c r="BM23" s="14"/>
      <c r="BN23" s="14" t="s">
        <v>328</v>
      </c>
      <c r="BO23" s="14"/>
      <c r="BP23" s="14" t="s">
        <v>328</v>
      </c>
      <c r="BQ23" s="14"/>
      <c r="BR23" s="14"/>
      <c r="BS23" s="14"/>
      <c r="BT23" s="14"/>
      <c r="BU23" s="14" t="s">
        <v>328</v>
      </c>
      <c r="BV23" s="14"/>
      <c r="BW23" s="14" t="s">
        <v>328</v>
      </c>
      <c r="BX23" s="14"/>
      <c r="BY23" s="14"/>
      <c r="BZ23" s="14"/>
      <c r="CA23" s="14" t="s">
        <v>328</v>
      </c>
      <c r="CB23" s="14"/>
      <c r="CC23" s="14"/>
      <c r="CD23" s="14"/>
      <c r="CE23" s="14"/>
      <c r="CF23" s="8" t="s">
        <v>612</v>
      </c>
      <c r="CG23" s="14" t="s">
        <v>328</v>
      </c>
      <c r="CH23" s="14"/>
      <c r="CI23" s="14"/>
      <c r="CJ23" s="14"/>
      <c r="CK23" s="14"/>
      <c r="CL23" s="14">
        <v>2</v>
      </c>
      <c r="CM23" s="14">
        <v>3</v>
      </c>
      <c r="CN23" s="14">
        <v>4</v>
      </c>
      <c r="CO23" s="14">
        <v>5</v>
      </c>
      <c r="CP23" s="14">
        <v>6</v>
      </c>
      <c r="CQ23" s="14">
        <v>1</v>
      </c>
      <c r="CR23" s="14"/>
      <c r="CS23" s="14"/>
      <c r="CT23" s="14"/>
      <c r="CU23" s="14" t="s">
        <v>328</v>
      </c>
      <c r="CV23" s="14"/>
      <c r="CW23" s="14" t="s">
        <v>328</v>
      </c>
      <c r="CX23" s="14" t="s">
        <v>424</v>
      </c>
      <c r="CY23" s="14"/>
      <c r="CZ23" s="14"/>
      <c r="DA23" s="14">
        <v>1</v>
      </c>
      <c r="DB23" s="14">
        <v>4</v>
      </c>
      <c r="DC23" s="14">
        <v>3</v>
      </c>
      <c r="DD23" s="14">
        <v>5</v>
      </c>
      <c r="DE23" s="14">
        <v>2</v>
      </c>
      <c r="DF23" s="14">
        <v>6</v>
      </c>
      <c r="DG23" s="14"/>
      <c r="DH23" s="14" t="s">
        <v>328</v>
      </c>
      <c r="DI23" s="14"/>
      <c r="DJ23" s="14"/>
      <c r="DK23" s="14"/>
      <c r="DL23" s="14"/>
      <c r="DM23" s="14"/>
      <c r="DN23" s="14" t="s">
        <v>396</v>
      </c>
      <c r="DO23" s="14"/>
      <c r="DP23" s="14" t="s">
        <v>328</v>
      </c>
      <c r="DQ23" s="14" t="s">
        <v>328</v>
      </c>
      <c r="DR23" s="14" t="s">
        <v>923</v>
      </c>
      <c r="DS23" s="14"/>
      <c r="DT23" s="14"/>
      <c r="DU23" s="14" t="s">
        <v>570</v>
      </c>
      <c r="DV23" s="14" t="s">
        <v>411</v>
      </c>
      <c r="DW23" s="14" t="s">
        <v>328</v>
      </c>
      <c r="DX23" s="14"/>
      <c r="DY23" s="14"/>
      <c r="DZ23" s="14"/>
      <c r="EA23" s="14"/>
      <c r="EB23" s="14"/>
      <c r="EC23" s="101" t="s">
        <v>450</v>
      </c>
      <c r="ED23" s="99"/>
    </row>
    <row r="24" spans="1:134" x14ac:dyDescent="0.25">
      <c r="A24" s="50" t="s">
        <v>1404</v>
      </c>
      <c r="B24" s="61" t="s">
        <v>557</v>
      </c>
      <c r="C24" s="15"/>
      <c r="D24" s="15" t="s">
        <v>328</v>
      </c>
      <c r="E24" s="15">
        <v>57</v>
      </c>
      <c r="F24" s="15" t="s">
        <v>376</v>
      </c>
      <c r="G24" s="15" t="s">
        <v>399</v>
      </c>
      <c r="H24" s="15" t="s">
        <v>727</v>
      </c>
      <c r="I24" s="15" t="s">
        <v>1250</v>
      </c>
      <c r="J24" s="15" t="s">
        <v>1283</v>
      </c>
      <c r="K24" s="15">
        <v>20</v>
      </c>
      <c r="L24" s="15">
        <v>9</v>
      </c>
      <c r="M24" s="15"/>
      <c r="N24" s="15"/>
      <c r="O24" s="15">
        <v>10</v>
      </c>
      <c r="P24" s="15"/>
      <c r="Q24" s="15">
        <v>4</v>
      </c>
      <c r="R24" s="15"/>
      <c r="S24" s="15"/>
      <c r="T24" s="15">
        <v>5</v>
      </c>
      <c r="U24" s="15"/>
      <c r="V24" s="15"/>
      <c r="W24" s="15"/>
      <c r="X24" s="15"/>
      <c r="Y24" s="15"/>
      <c r="Z24" s="15"/>
      <c r="AA24" s="15"/>
      <c r="AB24" s="15"/>
      <c r="AC24" s="15" t="s">
        <v>328</v>
      </c>
      <c r="AD24" s="15"/>
      <c r="AE24" s="15"/>
      <c r="AF24" s="15"/>
      <c r="AG24" s="15"/>
      <c r="AH24" s="15" t="s">
        <v>328</v>
      </c>
      <c r="AI24" s="15" t="s">
        <v>418</v>
      </c>
      <c r="AJ24" s="15" t="s">
        <v>328</v>
      </c>
      <c r="AK24" s="15"/>
      <c r="AL24" s="15"/>
      <c r="AM24" s="15"/>
      <c r="AN24" s="15"/>
      <c r="AO24" s="15" t="s">
        <v>328</v>
      </c>
      <c r="AP24" s="15">
        <v>6</v>
      </c>
      <c r="AQ24" s="15">
        <v>3</v>
      </c>
      <c r="AR24" s="15" t="s">
        <v>328</v>
      </c>
      <c r="AS24" s="15" t="s">
        <v>328</v>
      </c>
      <c r="AT24" s="15"/>
      <c r="AU24" s="15"/>
      <c r="AV24" s="15">
        <v>1</v>
      </c>
      <c r="AW24" s="15">
        <v>2</v>
      </c>
      <c r="AX24" s="15">
        <v>3</v>
      </c>
      <c r="AY24" s="15"/>
      <c r="AZ24" s="15"/>
      <c r="BA24" s="15" t="s">
        <v>328</v>
      </c>
      <c r="BB24" s="15" t="s">
        <v>328</v>
      </c>
      <c r="BC24" s="15"/>
      <c r="BD24" s="15" t="s">
        <v>328</v>
      </c>
      <c r="BE24" s="15"/>
      <c r="BF24" s="15"/>
      <c r="BG24" s="15"/>
      <c r="BH24" s="15"/>
      <c r="BI24" s="15"/>
      <c r="BJ24" s="15"/>
      <c r="BK24" s="15"/>
      <c r="BL24" s="15" t="s">
        <v>328</v>
      </c>
      <c r="BM24" s="15"/>
      <c r="BN24" s="15" t="s">
        <v>328</v>
      </c>
      <c r="BO24" s="15"/>
      <c r="BP24" s="15" t="s">
        <v>328</v>
      </c>
      <c r="BQ24" s="15"/>
      <c r="BR24" s="15"/>
      <c r="BS24" s="15"/>
      <c r="BT24" s="15"/>
      <c r="BU24" s="15" t="s">
        <v>328</v>
      </c>
      <c r="BV24" s="15"/>
      <c r="BW24" s="15"/>
      <c r="BX24" s="15"/>
      <c r="BY24" s="15"/>
      <c r="BZ24" s="15" t="s">
        <v>328</v>
      </c>
      <c r="CA24" s="15" t="s">
        <v>328</v>
      </c>
      <c r="CB24" s="15"/>
      <c r="CC24" s="15"/>
      <c r="CD24" s="15"/>
      <c r="CE24" s="15"/>
      <c r="CF24" s="15"/>
      <c r="CG24" s="15" t="s">
        <v>328</v>
      </c>
      <c r="CH24" s="15"/>
      <c r="CI24" s="15"/>
      <c r="CJ24" s="15"/>
      <c r="CK24" s="15" t="s">
        <v>328</v>
      </c>
      <c r="CL24" s="15">
        <v>4</v>
      </c>
      <c r="CM24" s="15">
        <v>1</v>
      </c>
      <c r="CN24" s="15">
        <v>3</v>
      </c>
      <c r="CO24" s="15">
        <v>5</v>
      </c>
      <c r="CP24" s="15">
        <v>6</v>
      </c>
      <c r="CQ24" s="15">
        <v>2</v>
      </c>
      <c r="CR24" s="15" t="s">
        <v>328</v>
      </c>
      <c r="CS24" s="15" t="s">
        <v>328</v>
      </c>
      <c r="CT24" s="15"/>
      <c r="CU24" s="15"/>
      <c r="CV24" s="15" t="s">
        <v>328</v>
      </c>
      <c r="CW24" s="15"/>
      <c r="CX24" s="15" t="s">
        <v>485</v>
      </c>
      <c r="CY24" s="15" t="s">
        <v>328</v>
      </c>
      <c r="CZ24" s="15" t="s">
        <v>404</v>
      </c>
      <c r="DA24" s="15"/>
      <c r="DB24" s="15"/>
      <c r="DC24" s="15"/>
      <c r="DD24" s="15"/>
      <c r="DE24" s="15"/>
      <c r="DF24" s="15"/>
      <c r="DG24" s="15"/>
      <c r="DH24" s="15"/>
      <c r="DI24" s="15" t="s">
        <v>328</v>
      </c>
      <c r="DJ24" s="15" t="s">
        <v>328</v>
      </c>
      <c r="DK24" s="15" t="s">
        <v>618</v>
      </c>
      <c r="DL24" s="15"/>
      <c r="DM24" s="15" t="s">
        <v>916</v>
      </c>
      <c r="DN24" s="14" t="s">
        <v>624</v>
      </c>
      <c r="DO24" s="15"/>
      <c r="DP24" s="15" t="s">
        <v>328</v>
      </c>
      <c r="DQ24" s="15" t="s">
        <v>328</v>
      </c>
      <c r="DR24" s="15" t="s">
        <v>397</v>
      </c>
      <c r="DS24" s="15"/>
      <c r="DT24" s="15"/>
      <c r="DU24" s="15" t="s">
        <v>410</v>
      </c>
      <c r="DV24" s="14" t="s">
        <v>411</v>
      </c>
      <c r="DW24" s="15"/>
      <c r="DX24" s="15" t="s">
        <v>328</v>
      </c>
      <c r="DY24" s="15" t="s">
        <v>328</v>
      </c>
      <c r="DZ24" s="15" t="s">
        <v>405</v>
      </c>
      <c r="EA24" s="15"/>
      <c r="EB24" s="15" t="s">
        <v>587</v>
      </c>
      <c r="EC24" s="102" t="s">
        <v>474</v>
      </c>
      <c r="ED24" s="99"/>
    </row>
    <row r="25" spans="1:134" x14ac:dyDescent="0.25">
      <c r="A25" s="50" t="s">
        <v>1855</v>
      </c>
      <c r="B25" s="61" t="s">
        <v>669</v>
      </c>
      <c r="C25" s="15"/>
      <c r="D25" s="15" t="s">
        <v>328</v>
      </c>
      <c r="E25" s="15">
        <v>51</v>
      </c>
      <c r="F25" s="15" t="s">
        <v>329</v>
      </c>
      <c r="G25" s="15" t="s">
        <v>399</v>
      </c>
      <c r="H25" s="15" t="s">
        <v>356</v>
      </c>
      <c r="I25" s="15" t="s">
        <v>1183</v>
      </c>
      <c r="J25" s="15" t="s">
        <v>1183</v>
      </c>
      <c r="K25" s="15">
        <v>0</v>
      </c>
      <c r="L25" s="15">
        <v>8</v>
      </c>
      <c r="M25" s="15">
        <v>8</v>
      </c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 t="s">
        <v>328</v>
      </c>
      <c r="AE25" s="15"/>
      <c r="AF25" s="15" t="s">
        <v>328</v>
      </c>
      <c r="AG25" s="15"/>
      <c r="AH25" s="15"/>
      <c r="AI25" s="15"/>
      <c r="AJ25" s="15" t="s">
        <v>328</v>
      </c>
      <c r="AK25" s="15"/>
      <c r="AL25" s="15"/>
      <c r="AM25" s="15"/>
      <c r="AN25" s="15" t="s">
        <v>328</v>
      </c>
      <c r="AO25" s="15"/>
      <c r="AP25" s="15">
        <v>10</v>
      </c>
      <c r="AQ25" s="15">
        <v>2</v>
      </c>
      <c r="AR25" s="15"/>
      <c r="AS25" s="15" t="s">
        <v>328</v>
      </c>
      <c r="AT25" s="15"/>
      <c r="AU25" s="15"/>
      <c r="AV25" s="15">
        <v>2</v>
      </c>
      <c r="AW25" s="15">
        <v>3</v>
      </c>
      <c r="AX25" s="15">
        <v>1</v>
      </c>
      <c r="AY25" s="15"/>
      <c r="AZ25" s="15"/>
      <c r="BA25" s="15" t="s">
        <v>328</v>
      </c>
      <c r="BB25" s="15"/>
      <c r="BC25" s="15"/>
      <c r="BD25" s="15"/>
      <c r="BE25" s="15" t="s">
        <v>328</v>
      </c>
      <c r="BF25" s="15"/>
      <c r="BG25" s="15"/>
      <c r="BH25" s="15"/>
      <c r="BI25" s="15"/>
      <c r="BJ25" s="15"/>
      <c r="BK25" s="15"/>
      <c r="BL25" s="15"/>
      <c r="BM25" s="15" t="s">
        <v>328</v>
      </c>
      <c r="BN25" s="15" t="s">
        <v>328</v>
      </c>
      <c r="BO25" s="15"/>
      <c r="BP25" s="15"/>
      <c r="BQ25" s="15" t="s">
        <v>328</v>
      </c>
      <c r="BR25" s="15"/>
      <c r="BS25" s="15"/>
      <c r="BT25" s="15"/>
      <c r="BU25" s="15" t="s">
        <v>328</v>
      </c>
      <c r="BV25" s="15"/>
      <c r="BW25" s="15" t="s">
        <v>328</v>
      </c>
      <c r="BX25" s="15"/>
      <c r="BY25" s="15"/>
      <c r="BZ25" s="15" t="s">
        <v>328</v>
      </c>
      <c r="CA25" s="15" t="s">
        <v>328</v>
      </c>
      <c r="CB25" s="15"/>
      <c r="CC25" s="15"/>
      <c r="CD25" s="15"/>
      <c r="CE25" s="15"/>
      <c r="CF25" s="15"/>
      <c r="CG25" s="15"/>
      <c r="CH25" s="15"/>
      <c r="CI25" s="15"/>
      <c r="CJ25" s="15" t="s">
        <v>328</v>
      </c>
      <c r="CK25" s="15"/>
      <c r="CL25" s="15">
        <v>1</v>
      </c>
      <c r="CM25" s="15">
        <v>2</v>
      </c>
      <c r="CN25" s="15">
        <v>3</v>
      </c>
      <c r="CO25" s="15">
        <v>4</v>
      </c>
      <c r="CP25" s="15">
        <v>6</v>
      </c>
      <c r="CQ25" s="15">
        <v>5</v>
      </c>
      <c r="CR25" s="15"/>
      <c r="CS25" s="15" t="s">
        <v>328</v>
      </c>
      <c r="CT25" s="15" t="s">
        <v>328</v>
      </c>
      <c r="CU25" s="15" t="s">
        <v>328</v>
      </c>
      <c r="CV25" s="15"/>
      <c r="CW25" s="15" t="s">
        <v>328</v>
      </c>
      <c r="CX25" s="15"/>
      <c r="CY25" s="15"/>
      <c r="CZ25" s="15"/>
      <c r="DA25" s="15">
        <v>1</v>
      </c>
      <c r="DB25" s="15">
        <v>3</v>
      </c>
      <c r="DC25" s="15">
        <v>4</v>
      </c>
      <c r="DD25" s="15">
        <v>5</v>
      </c>
      <c r="DE25" s="15">
        <v>2</v>
      </c>
      <c r="DF25" s="15">
        <v>6</v>
      </c>
      <c r="DG25" s="15"/>
      <c r="DH25" s="15" t="s">
        <v>328</v>
      </c>
      <c r="DI25" s="15"/>
      <c r="DJ25" s="15"/>
      <c r="DK25" s="15"/>
      <c r="DL25" s="15"/>
      <c r="DM25" s="15"/>
      <c r="DN25" s="14" t="s">
        <v>396</v>
      </c>
      <c r="DO25" s="15"/>
      <c r="DP25" s="15" t="s">
        <v>328</v>
      </c>
      <c r="DQ25" s="15" t="s">
        <v>328</v>
      </c>
      <c r="DR25" s="15" t="s">
        <v>607</v>
      </c>
      <c r="DS25" s="15"/>
      <c r="DT25" s="15"/>
      <c r="DU25" s="15" t="s">
        <v>489</v>
      </c>
      <c r="DV25" s="15" t="s">
        <v>593</v>
      </c>
      <c r="DW25" s="15"/>
      <c r="DX25" s="15" t="s">
        <v>328</v>
      </c>
      <c r="DY25" s="15" t="s">
        <v>328</v>
      </c>
      <c r="DZ25" s="15" t="s">
        <v>684</v>
      </c>
      <c r="EA25" s="15"/>
      <c r="EB25" s="15" t="s">
        <v>697</v>
      </c>
      <c r="EC25" s="102" t="s">
        <v>698</v>
      </c>
      <c r="ED25" s="48"/>
    </row>
    <row r="26" spans="1:134" x14ac:dyDescent="0.25">
      <c r="A26" s="51" t="s">
        <v>1378</v>
      </c>
      <c r="B26" s="61" t="s">
        <v>1351</v>
      </c>
      <c r="C26" s="15"/>
      <c r="D26" s="15" t="s">
        <v>328</v>
      </c>
      <c r="E26" s="15">
        <v>28</v>
      </c>
      <c r="F26" s="15" t="s">
        <v>376</v>
      </c>
      <c r="G26" s="15" t="s">
        <v>399</v>
      </c>
      <c r="H26" s="15" t="s">
        <v>1107</v>
      </c>
      <c r="I26" s="15" t="s">
        <v>1321</v>
      </c>
      <c r="J26" s="15" t="s">
        <v>1281</v>
      </c>
      <c r="K26" s="15">
        <v>0</v>
      </c>
      <c r="L26" s="15">
        <v>6</v>
      </c>
      <c r="M26" s="15"/>
      <c r="N26" s="15">
        <v>8</v>
      </c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 t="s">
        <v>328</v>
      </c>
      <c r="AH26" s="15"/>
      <c r="AI26" s="15"/>
      <c r="AJ26" s="15"/>
      <c r="AK26" s="15" t="s">
        <v>328</v>
      </c>
      <c r="AL26" s="15"/>
      <c r="AM26" s="15" t="s">
        <v>328</v>
      </c>
      <c r="AN26" s="15"/>
      <c r="AO26" s="15"/>
      <c r="AP26" s="15">
        <v>7</v>
      </c>
      <c r="AQ26" s="15">
        <v>5</v>
      </c>
      <c r="AR26" s="15"/>
      <c r="AS26" s="15" t="s">
        <v>328</v>
      </c>
      <c r="AT26" s="15"/>
      <c r="AU26" s="15" t="s">
        <v>328</v>
      </c>
      <c r="AV26" s="15">
        <v>2</v>
      </c>
      <c r="AW26" s="15">
        <v>1</v>
      </c>
      <c r="AX26" s="15">
        <v>3</v>
      </c>
      <c r="AY26" s="15"/>
      <c r="AZ26" s="15"/>
      <c r="BA26" s="15" t="s">
        <v>328</v>
      </c>
      <c r="BB26" s="15"/>
      <c r="BC26" s="15"/>
      <c r="BD26" s="15"/>
      <c r="BE26" s="15"/>
      <c r="BF26" s="15" t="s">
        <v>328</v>
      </c>
      <c r="BG26" s="15"/>
      <c r="BH26" s="15"/>
      <c r="BI26" s="15"/>
      <c r="BJ26" s="15"/>
      <c r="BK26" s="15"/>
      <c r="BL26" s="15"/>
      <c r="BM26" s="15" t="s">
        <v>328</v>
      </c>
      <c r="BN26" s="15"/>
      <c r="BO26" s="15" t="s">
        <v>328</v>
      </c>
      <c r="BP26" s="15" t="s">
        <v>328</v>
      </c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 t="s">
        <v>328</v>
      </c>
      <c r="CB26" s="15"/>
      <c r="CC26" s="15"/>
      <c r="CD26" s="15"/>
      <c r="CE26" s="15"/>
      <c r="CF26" s="15"/>
      <c r="CG26" s="15"/>
      <c r="CH26" s="15"/>
      <c r="CI26" s="15" t="s">
        <v>328</v>
      </c>
      <c r="CJ26" s="15"/>
      <c r="CK26" s="15" t="s">
        <v>328</v>
      </c>
      <c r="CL26" s="15">
        <v>4</v>
      </c>
      <c r="CM26" s="15">
        <v>3</v>
      </c>
      <c r="CN26" s="15">
        <v>2</v>
      </c>
      <c r="CO26" s="15">
        <v>6</v>
      </c>
      <c r="CP26" s="15">
        <v>5</v>
      </c>
      <c r="CQ26" s="15">
        <v>1</v>
      </c>
      <c r="CR26" s="15"/>
      <c r="CS26" s="15"/>
      <c r="CT26" s="15"/>
      <c r="CU26" s="15"/>
      <c r="CV26" s="15"/>
      <c r="CW26" s="15"/>
      <c r="CX26" s="15" t="s">
        <v>332</v>
      </c>
      <c r="CY26" s="15"/>
      <c r="CZ26" s="15"/>
      <c r="DA26" s="15">
        <v>4</v>
      </c>
      <c r="DB26" s="15">
        <v>1</v>
      </c>
      <c r="DC26" s="15">
        <v>2</v>
      </c>
      <c r="DD26" s="15">
        <v>3</v>
      </c>
      <c r="DE26" s="15">
        <v>6</v>
      </c>
      <c r="DF26" s="15">
        <v>5</v>
      </c>
      <c r="DG26" s="15"/>
      <c r="DH26" s="15" t="s">
        <v>328</v>
      </c>
      <c r="DI26" s="15"/>
      <c r="DJ26" s="15"/>
      <c r="DK26" s="15"/>
      <c r="DL26" s="15"/>
      <c r="DM26" s="15"/>
      <c r="DN26" s="15"/>
      <c r="DO26" s="15"/>
      <c r="DP26" s="15" t="s">
        <v>328</v>
      </c>
      <c r="DQ26" s="15"/>
      <c r="DR26" s="15"/>
      <c r="DS26" s="15" t="s">
        <v>328</v>
      </c>
      <c r="DT26" s="15" t="s">
        <v>680</v>
      </c>
      <c r="DU26" s="15" t="s">
        <v>492</v>
      </c>
      <c r="DV26" s="14" t="s">
        <v>590</v>
      </c>
      <c r="DW26" s="15" t="s">
        <v>328</v>
      </c>
      <c r="DX26" s="15"/>
      <c r="DY26" s="15"/>
      <c r="DZ26" s="15"/>
      <c r="EA26" s="15"/>
      <c r="EB26" s="15"/>
      <c r="EC26" s="102"/>
      <c r="ED26" s="99"/>
    </row>
    <row r="27" spans="1:134" x14ac:dyDescent="0.25">
      <c r="A27" s="51" t="s">
        <v>1378</v>
      </c>
      <c r="B27" s="61" t="s">
        <v>1353</v>
      </c>
      <c r="C27" s="15"/>
      <c r="D27" s="15" t="s">
        <v>328</v>
      </c>
      <c r="E27" s="15">
        <v>51</v>
      </c>
      <c r="F27" s="15" t="s">
        <v>329</v>
      </c>
      <c r="G27" s="15" t="s">
        <v>330</v>
      </c>
      <c r="H27" s="15" t="s">
        <v>1107</v>
      </c>
      <c r="I27" s="15" t="s">
        <v>1321</v>
      </c>
      <c r="J27" s="15" t="s">
        <v>1281</v>
      </c>
      <c r="K27" s="15">
        <v>35</v>
      </c>
      <c r="L27" s="15">
        <v>6</v>
      </c>
      <c r="M27" s="15">
        <v>1</v>
      </c>
      <c r="N27" s="15">
        <v>6</v>
      </c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 t="s">
        <v>328</v>
      </c>
      <c r="AB27" s="15"/>
      <c r="AC27" s="15"/>
      <c r="AD27" s="15"/>
      <c r="AE27" s="15"/>
      <c r="AF27" s="15"/>
      <c r="AG27" s="15" t="s">
        <v>328</v>
      </c>
      <c r="AH27" s="15"/>
      <c r="AI27" s="15"/>
      <c r="AJ27" s="15"/>
      <c r="AK27" s="15"/>
      <c r="AL27" s="15"/>
      <c r="AM27" s="15"/>
      <c r="AN27" s="15" t="s">
        <v>328</v>
      </c>
      <c r="AO27" s="15"/>
      <c r="AP27" s="15">
        <v>10</v>
      </c>
      <c r="AQ27" s="15">
        <v>3</v>
      </c>
      <c r="AR27" s="15"/>
      <c r="AS27" s="15"/>
      <c r="AT27" s="15"/>
      <c r="AU27" s="15" t="s">
        <v>328</v>
      </c>
      <c r="AV27" s="15">
        <v>3</v>
      </c>
      <c r="AW27" s="15">
        <v>1</v>
      </c>
      <c r="AX27" s="15">
        <v>2</v>
      </c>
      <c r="AY27" s="15"/>
      <c r="AZ27" s="15" t="s">
        <v>328</v>
      </c>
      <c r="BA27" s="15"/>
      <c r="BB27" s="15"/>
      <c r="BC27" s="15"/>
      <c r="BD27" s="15"/>
      <c r="BE27" s="15" t="s">
        <v>328</v>
      </c>
      <c r="BF27" s="15"/>
      <c r="BG27" s="15"/>
      <c r="BH27" s="15"/>
      <c r="BI27" s="15" t="s">
        <v>328</v>
      </c>
      <c r="BJ27" s="15"/>
      <c r="BK27" s="15"/>
      <c r="BL27" s="15"/>
      <c r="BM27" s="15" t="s">
        <v>328</v>
      </c>
      <c r="BN27" s="15"/>
      <c r="BO27" s="15" t="s">
        <v>328</v>
      </c>
      <c r="BP27" s="15"/>
      <c r="BQ27" s="15"/>
      <c r="BR27" s="15"/>
      <c r="BS27" s="15"/>
      <c r="BT27" s="15"/>
      <c r="BU27" s="15" t="s">
        <v>328</v>
      </c>
      <c r="BV27" s="15"/>
      <c r="BW27" s="15"/>
      <c r="BX27" s="15"/>
      <c r="BY27" s="15"/>
      <c r="BZ27" s="15"/>
      <c r="CA27" s="15" t="s">
        <v>328</v>
      </c>
      <c r="CB27" s="15"/>
      <c r="CC27" s="15"/>
      <c r="CD27" s="15"/>
      <c r="CE27" s="15"/>
      <c r="CF27" s="15"/>
      <c r="CG27" s="15"/>
      <c r="CH27" s="15" t="s">
        <v>328</v>
      </c>
      <c r="CI27" s="15"/>
      <c r="CJ27" s="15"/>
      <c r="CK27" s="15"/>
      <c r="CL27" s="15">
        <v>6</v>
      </c>
      <c r="CM27" s="15">
        <v>5</v>
      </c>
      <c r="CN27" s="15">
        <v>4</v>
      </c>
      <c r="CO27" s="15">
        <v>2</v>
      </c>
      <c r="CP27" s="15">
        <v>3</v>
      </c>
      <c r="CQ27" s="15">
        <v>1</v>
      </c>
      <c r="CR27" s="15"/>
      <c r="CS27" s="15"/>
      <c r="CT27" s="15"/>
      <c r="CU27" s="15"/>
      <c r="CV27" s="15"/>
      <c r="CW27" s="15"/>
      <c r="CX27" s="15" t="s">
        <v>332</v>
      </c>
      <c r="CY27" s="15"/>
      <c r="CZ27" s="15"/>
      <c r="DA27" s="15">
        <v>1</v>
      </c>
      <c r="DB27" s="15">
        <v>5</v>
      </c>
      <c r="DC27" s="15">
        <v>6</v>
      </c>
      <c r="DD27" s="15">
        <v>2</v>
      </c>
      <c r="DE27" s="15">
        <v>4</v>
      </c>
      <c r="DF27" s="15">
        <v>3</v>
      </c>
      <c r="DG27" s="15"/>
      <c r="DH27" s="15" t="s">
        <v>328</v>
      </c>
      <c r="DI27" s="15"/>
      <c r="DJ27" s="15"/>
      <c r="DK27" s="15"/>
      <c r="DL27" s="15"/>
      <c r="DM27" s="15"/>
      <c r="DN27" s="15"/>
      <c r="DO27" s="15" t="s">
        <v>328</v>
      </c>
      <c r="DP27" s="15"/>
      <c r="DQ27" s="15"/>
      <c r="DR27" s="15"/>
      <c r="DS27" s="15"/>
      <c r="DT27" s="15"/>
      <c r="DU27" s="15"/>
      <c r="DV27" s="15"/>
      <c r="DW27" s="15" t="s">
        <v>328</v>
      </c>
      <c r="DX27" s="15"/>
      <c r="DY27" s="15"/>
      <c r="DZ27" s="15"/>
      <c r="EA27" s="15"/>
      <c r="EB27" s="15"/>
      <c r="EC27" s="102"/>
      <c r="ED27" s="99"/>
    </row>
    <row r="28" spans="1:134" x14ac:dyDescent="0.25">
      <c r="A28" s="51" t="s">
        <v>1378</v>
      </c>
      <c r="B28" s="103" t="s">
        <v>1354</v>
      </c>
      <c r="C28" s="15"/>
      <c r="D28" s="15" t="s">
        <v>328</v>
      </c>
      <c r="E28" s="15">
        <v>37</v>
      </c>
      <c r="F28" s="15" t="s">
        <v>329</v>
      </c>
      <c r="G28" s="15" t="s">
        <v>399</v>
      </c>
      <c r="H28" s="18" t="s">
        <v>1406</v>
      </c>
      <c r="I28" s="18" t="s">
        <v>1405</v>
      </c>
      <c r="J28" s="15" t="s">
        <v>1281</v>
      </c>
      <c r="K28" s="15">
        <v>0</v>
      </c>
      <c r="L28" s="15">
        <v>17</v>
      </c>
      <c r="M28" s="15">
        <v>7</v>
      </c>
      <c r="N28" s="15">
        <v>17</v>
      </c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 t="s">
        <v>328</v>
      </c>
      <c r="AB28" s="15"/>
      <c r="AC28" s="15"/>
      <c r="AD28" s="15"/>
      <c r="AE28" s="15"/>
      <c r="AF28" s="15"/>
      <c r="AG28" s="15" t="s">
        <v>328</v>
      </c>
      <c r="AH28" s="15"/>
      <c r="AI28" s="15"/>
      <c r="AJ28" s="15" t="s">
        <v>328</v>
      </c>
      <c r="AK28" s="15"/>
      <c r="AL28" s="15"/>
      <c r="AM28" s="15"/>
      <c r="AN28" s="15" t="s">
        <v>328</v>
      </c>
      <c r="AO28" s="15"/>
      <c r="AP28" s="15">
        <v>8</v>
      </c>
      <c r="AQ28" s="15">
        <v>6</v>
      </c>
      <c r="AR28" s="15"/>
      <c r="AS28" s="15"/>
      <c r="AT28" s="15"/>
      <c r="AU28" s="15" t="s">
        <v>328</v>
      </c>
      <c r="AV28" s="15">
        <v>4</v>
      </c>
      <c r="AW28" s="15">
        <v>3</v>
      </c>
      <c r="AX28" s="15">
        <v>2</v>
      </c>
      <c r="AY28" s="15" t="s">
        <v>346</v>
      </c>
      <c r="AZ28" s="15"/>
      <c r="BA28" s="15" t="s">
        <v>328</v>
      </c>
      <c r="BB28" s="15"/>
      <c r="BC28" s="15"/>
      <c r="BD28" s="15" t="s">
        <v>328</v>
      </c>
      <c r="BE28" s="15"/>
      <c r="BF28" s="15"/>
      <c r="BG28" s="15"/>
      <c r="BH28" s="15"/>
      <c r="BI28" s="15" t="s">
        <v>328</v>
      </c>
      <c r="BJ28" s="15"/>
      <c r="BK28" s="15"/>
      <c r="BL28" s="15" t="s">
        <v>328</v>
      </c>
      <c r="BM28" s="15"/>
      <c r="BN28" s="15" t="s">
        <v>328</v>
      </c>
      <c r="BO28" s="15"/>
      <c r="BP28" s="15" t="s">
        <v>328</v>
      </c>
      <c r="BQ28" s="15"/>
      <c r="BR28" s="15"/>
      <c r="BS28" s="15"/>
      <c r="BT28" s="15"/>
      <c r="BU28" s="15"/>
      <c r="BV28" s="15"/>
      <c r="BW28" s="15" t="s">
        <v>328</v>
      </c>
      <c r="BX28" s="15"/>
      <c r="BY28" s="15"/>
      <c r="BZ28" s="15"/>
      <c r="CA28" s="15" t="s">
        <v>328</v>
      </c>
      <c r="CB28" s="15" t="s">
        <v>328</v>
      </c>
      <c r="CC28" s="15"/>
      <c r="CD28" s="15"/>
      <c r="CE28" s="15"/>
      <c r="CF28" s="15"/>
      <c r="CG28" s="15" t="s">
        <v>328</v>
      </c>
      <c r="CH28" s="15"/>
      <c r="CI28" s="15"/>
      <c r="CJ28" s="15"/>
      <c r="CK28" s="15"/>
      <c r="CL28" s="15">
        <v>2</v>
      </c>
      <c r="CM28" s="15">
        <v>3</v>
      </c>
      <c r="CN28" s="15">
        <v>4</v>
      </c>
      <c r="CO28" s="15">
        <v>6</v>
      </c>
      <c r="CP28" s="15">
        <v>5</v>
      </c>
      <c r="CQ28" s="15">
        <v>1</v>
      </c>
      <c r="CR28" s="15"/>
      <c r="CS28" s="15" t="s">
        <v>328</v>
      </c>
      <c r="CT28" s="15" t="s">
        <v>328</v>
      </c>
      <c r="CU28" s="15"/>
      <c r="CV28" s="15"/>
      <c r="CW28" s="15"/>
      <c r="CX28" s="15"/>
      <c r="CY28" s="15"/>
      <c r="CZ28" s="15"/>
      <c r="DA28" s="15"/>
      <c r="DB28" s="15"/>
      <c r="DC28" s="15"/>
      <c r="DD28" s="15">
        <v>1</v>
      </c>
      <c r="DE28" s="15"/>
      <c r="DF28" s="15">
        <v>2</v>
      </c>
      <c r="DG28" s="15"/>
      <c r="DH28" s="15" t="s">
        <v>328</v>
      </c>
      <c r="DI28" s="15"/>
      <c r="DJ28" s="15"/>
      <c r="DK28" s="15"/>
      <c r="DL28" s="15"/>
      <c r="DM28" s="15"/>
      <c r="DN28" s="14" t="s">
        <v>333</v>
      </c>
      <c r="DO28" s="15"/>
      <c r="DP28" s="15" t="s">
        <v>328</v>
      </c>
      <c r="DQ28" s="15"/>
      <c r="DR28" s="15"/>
      <c r="DS28" s="15" t="s">
        <v>328</v>
      </c>
      <c r="DT28" s="15" t="s">
        <v>334</v>
      </c>
      <c r="DU28" s="15" t="s">
        <v>428</v>
      </c>
      <c r="DV28" s="15" t="s">
        <v>497</v>
      </c>
      <c r="DW28" s="15" t="s">
        <v>328</v>
      </c>
      <c r="DX28" s="15"/>
      <c r="DY28" s="15"/>
      <c r="DZ28" s="15"/>
      <c r="EA28" s="15"/>
      <c r="EB28" s="15"/>
      <c r="EC28" s="102"/>
      <c r="ED28" s="99"/>
    </row>
    <row r="29" spans="1:134" x14ac:dyDescent="0.25">
      <c r="A29" s="51" t="s">
        <v>1378</v>
      </c>
      <c r="B29" s="61" t="s">
        <v>1355</v>
      </c>
      <c r="C29" s="15"/>
      <c r="D29" s="15" t="s">
        <v>328</v>
      </c>
      <c r="E29" s="15">
        <v>53</v>
      </c>
      <c r="F29" s="15" t="s">
        <v>329</v>
      </c>
      <c r="G29" s="15" t="s">
        <v>357</v>
      </c>
      <c r="H29" s="18" t="s">
        <v>1408</v>
      </c>
      <c r="I29" s="18" t="s">
        <v>1407</v>
      </c>
      <c r="J29" s="15" t="s">
        <v>1281</v>
      </c>
      <c r="K29" s="15">
        <v>30</v>
      </c>
      <c r="L29" s="15">
        <v>14</v>
      </c>
      <c r="M29" s="15"/>
      <c r="N29" s="15"/>
      <c r="O29" s="15"/>
      <c r="P29" s="15">
        <v>1</v>
      </c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 t="s">
        <v>328</v>
      </c>
      <c r="AH29" s="15"/>
      <c r="AI29" s="15"/>
      <c r="AJ29" s="15"/>
      <c r="AK29" s="15" t="s">
        <v>328</v>
      </c>
      <c r="AL29" s="15"/>
      <c r="AM29" s="15"/>
      <c r="AN29" s="15"/>
      <c r="AO29" s="15" t="s">
        <v>328</v>
      </c>
      <c r="AP29" s="15">
        <v>4</v>
      </c>
      <c r="AQ29" s="15">
        <v>6</v>
      </c>
      <c r="AR29" s="15"/>
      <c r="AS29" s="15"/>
      <c r="AT29" s="15" t="s">
        <v>328</v>
      </c>
      <c r="AU29" s="15"/>
      <c r="AV29" s="15">
        <v>2</v>
      </c>
      <c r="AW29" s="15">
        <v>3</v>
      </c>
      <c r="AX29" s="15">
        <v>4</v>
      </c>
      <c r="AY29" s="15" t="s">
        <v>346</v>
      </c>
      <c r="AZ29" s="15" t="s">
        <v>328</v>
      </c>
      <c r="BA29" s="15"/>
      <c r="BB29" s="15" t="s">
        <v>328</v>
      </c>
      <c r="BC29" s="15"/>
      <c r="BD29" s="15" t="s">
        <v>328</v>
      </c>
      <c r="BE29" s="15"/>
      <c r="BF29" s="15"/>
      <c r="BG29" s="15"/>
      <c r="BH29" s="15"/>
      <c r="BI29" s="15"/>
      <c r="BJ29" s="15"/>
      <c r="BK29" s="15"/>
      <c r="BL29" s="15"/>
      <c r="BM29" s="15" t="s">
        <v>328</v>
      </c>
      <c r="BN29" s="15"/>
      <c r="BO29" s="15" t="s">
        <v>328</v>
      </c>
      <c r="BP29" s="15"/>
      <c r="BQ29" s="15"/>
      <c r="BR29" s="15" t="s">
        <v>328</v>
      </c>
      <c r="BS29" s="15"/>
      <c r="BT29" s="15"/>
      <c r="BU29" s="15"/>
      <c r="BV29" s="15"/>
      <c r="BW29" s="15"/>
      <c r="BX29" s="15"/>
      <c r="BY29" s="15"/>
      <c r="BZ29" s="15"/>
      <c r="CA29" s="15" t="s">
        <v>328</v>
      </c>
      <c r="CB29" s="15"/>
      <c r="CC29" s="15"/>
      <c r="CD29" s="15"/>
      <c r="CE29" s="15" t="s">
        <v>328</v>
      </c>
      <c r="CF29" s="15" t="s">
        <v>332</v>
      </c>
      <c r="CG29" s="15"/>
      <c r="CH29" s="15" t="s">
        <v>328</v>
      </c>
      <c r="CI29" s="15"/>
      <c r="CJ29" s="15"/>
      <c r="CK29" s="15"/>
      <c r="CL29" s="15">
        <v>2</v>
      </c>
      <c r="CM29" s="15">
        <v>6</v>
      </c>
      <c r="CN29" s="15">
        <v>4</v>
      </c>
      <c r="CO29" s="15">
        <v>5</v>
      </c>
      <c r="CP29" s="15">
        <v>3</v>
      </c>
      <c r="CQ29" s="15">
        <v>1</v>
      </c>
      <c r="CR29" s="15"/>
      <c r="CS29" s="15"/>
      <c r="CT29" s="15"/>
      <c r="CU29" s="15"/>
      <c r="CV29" s="15"/>
      <c r="CW29" s="15"/>
      <c r="CX29" s="15" t="s">
        <v>332</v>
      </c>
      <c r="CY29" s="15"/>
      <c r="CZ29" s="15"/>
      <c r="DA29" s="15">
        <v>1</v>
      </c>
      <c r="DB29" s="15"/>
      <c r="DC29" s="15"/>
      <c r="DD29" s="15"/>
      <c r="DE29" s="15">
        <v>2</v>
      </c>
      <c r="DF29" s="15"/>
      <c r="DG29" s="14" t="s">
        <v>346</v>
      </c>
      <c r="DH29" s="15"/>
      <c r="DI29" s="15" t="s">
        <v>328</v>
      </c>
      <c r="DJ29" s="15"/>
      <c r="DK29" s="15"/>
      <c r="DL29" s="15"/>
      <c r="DM29" s="14"/>
      <c r="DN29" s="15"/>
      <c r="DO29" s="15"/>
      <c r="DP29" s="15" t="s">
        <v>328</v>
      </c>
      <c r="DQ29" s="15" t="s">
        <v>328</v>
      </c>
      <c r="DR29" s="15" t="s">
        <v>354</v>
      </c>
      <c r="DS29" s="15"/>
      <c r="DT29" s="15"/>
      <c r="DU29" s="15" t="s">
        <v>492</v>
      </c>
      <c r="DV29" s="15" t="s">
        <v>1161</v>
      </c>
      <c r="DW29" s="15" t="s">
        <v>328</v>
      </c>
      <c r="DX29" s="15"/>
      <c r="DY29" s="15"/>
      <c r="DZ29" s="15"/>
      <c r="EA29" s="15"/>
      <c r="EB29" s="15"/>
      <c r="EC29" s="102" t="s">
        <v>333</v>
      </c>
      <c r="ED29" s="48"/>
    </row>
    <row r="30" spans="1:134" x14ac:dyDescent="0.25">
      <c r="A30" s="51" t="s">
        <v>1378</v>
      </c>
      <c r="B30" s="61" t="s">
        <v>1356</v>
      </c>
      <c r="C30" s="15"/>
      <c r="D30" s="15" t="s">
        <v>328</v>
      </c>
      <c r="E30" s="15">
        <v>49</v>
      </c>
      <c r="F30" s="15" t="s">
        <v>329</v>
      </c>
      <c r="G30" s="15" t="s">
        <v>399</v>
      </c>
      <c r="H30" s="15" t="s">
        <v>1107</v>
      </c>
      <c r="I30" s="15" t="s">
        <v>1321</v>
      </c>
      <c r="J30" s="15" t="s">
        <v>1281</v>
      </c>
      <c r="K30" s="15">
        <v>30</v>
      </c>
      <c r="L30" s="15">
        <v>26</v>
      </c>
      <c r="M30" s="15"/>
      <c r="N30" s="15">
        <v>29</v>
      </c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 t="s">
        <v>328</v>
      </c>
      <c r="AA30" s="15"/>
      <c r="AB30" s="15"/>
      <c r="AC30" s="15"/>
      <c r="AD30" s="15"/>
      <c r="AE30" s="15"/>
      <c r="AF30" s="15"/>
      <c r="AG30" s="15" t="s">
        <v>328</v>
      </c>
      <c r="AH30" s="15"/>
      <c r="AI30" s="15"/>
      <c r="AJ30" s="15" t="s">
        <v>328</v>
      </c>
      <c r="AK30" s="15" t="s">
        <v>328</v>
      </c>
      <c r="AL30" s="15"/>
      <c r="AM30" s="15" t="s">
        <v>328</v>
      </c>
      <c r="AN30" s="15"/>
      <c r="AO30" s="15" t="s">
        <v>328</v>
      </c>
      <c r="AP30" s="15">
        <v>8</v>
      </c>
      <c r="AQ30" s="15">
        <v>6</v>
      </c>
      <c r="AR30" s="15"/>
      <c r="AS30" s="15"/>
      <c r="AT30" s="15"/>
      <c r="AU30" s="15" t="s">
        <v>328</v>
      </c>
      <c r="AV30" s="15">
        <v>3</v>
      </c>
      <c r="AW30" s="15">
        <v>4</v>
      </c>
      <c r="AX30" s="15">
        <v>2</v>
      </c>
      <c r="AY30" s="15" t="s">
        <v>346</v>
      </c>
      <c r="AZ30" s="15"/>
      <c r="BA30" s="15" t="s">
        <v>328</v>
      </c>
      <c r="BB30" s="15" t="s">
        <v>328</v>
      </c>
      <c r="BC30" s="15" t="s">
        <v>328</v>
      </c>
      <c r="BD30" s="15"/>
      <c r="BE30" s="15" t="s">
        <v>328</v>
      </c>
      <c r="BF30" s="15"/>
      <c r="BG30" s="15"/>
      <c r="BH30" s="15"/>
      <c r="BI30" s="15"/>
      <c r="BJ30" s="15"/>
      <c r="BK30" s="15"/>
      <c r="BL30" s="15"/>
      <c r="BM30" s="15" t="s">
        <v>328</v>
      </c>
      <c r="BN30" s="15" t="s">
        <v>328</v>
      </c>
      <c r="BO30" s="15"/>
      <c r="BP30" s="15" t="s">
        <v>328</v>
      </c>
      <c r="BQ30" s="15" t="s">
        <v>328</v>
      </c>
      <c r="BR30" s="15"/>
      <c r="BS30" s="15" t="s">
        <v>328</v>
      </c>
      <c r="BT30" s="15"/>
      <c r="BU30" s="15" t="s">
        <v>328</v>
      </c>
      <c r="BV30" s="15"/>
      <c r="BW30" s="15" t="s">
        <v>328</v>
      </c>
      <c r="BX30" s="15"/>
      <c r="BY30" s="15"/>
      <c r="BZ30" s="15"/>
      <c r="CA30" s="15" t="s">
        <v>328</v>
      </c>
      <c r="CB30" s="15"/>
      <c r="CC30" s="15"/>
      <c r="CD30" s="15"/>
      <c r="CE30" s="15" t="s">
        <v>328</v>
      </c>
      <c r="CF30" s="15"/>
      <c r="CG30" s="15" t="s">
        <v>328</v>
      </c>
      <c r="CH30" s="15"/>
      <c r="CI30" s="15"/>
      <c r="CJ30" s="15"/>
      <c r="CK30" s="15"/>
      <c r="CL30" s="15">
        <v>1</v>
      </c>
      <c r="CM30" s="15">
        <v>3</v>
      </c>
      <c r="CN30" s="15">
        <v>4</v>
      </c>
      <c r="CO30" s="15">
        <v>5</v>
      </c>
      <c r="CP30" s="15">
        <v>6</v>
      </c>
      <c r="CQ30" s="15">
        <v>2</v>
      </c>
      <c r="CR30" s="15" t="s">
        <v>328</v>
      </c>
      <c r="CS30" s="15"/>
      <c r="CT30" s="15"/>
      <c r="CU30" s="15" t="s">
        <v>328</v>
      </c>
      <c r="CV30" s="15" t="s">
        <v>328</v>
      </c>
      <c r="CW30" s="15"/>
      <c r="CX30" s="15"/>
      <c r="CY30" s="15"/>
      <c r="CZ30" s="15"/>
      <c r="DA30" s="15">
        <v>1</v>
      </c>
      <c r="DB30" s="15">
        <v>3</v>
      </c>
      <c r="DC30" s="15">
        <v>6</v>
      </c>
      <c r="DD30" s="15">
        <v>2</v>
      </c>
      <c r="DE30" s="15">
        <v>4</v>
      </c>
      <c r="DF30" s="15">
        <v>5</v>
      </c>
      <c r="DG30" s="15"/>
      <c r="DH30" s="15" t="s">
        <v>328</v>
      </c>
      <c r="DI30" s="15"/>
      <c r="DJ30" s="15"/>
      <c r="DK30" s="15"/>
      <c r="DL30" s="15"/>
      <c r="DM30" s="15" t="s">
        <v>1379</v>
      </c>
      <c r="DN30" s="15" t="s">
        <v>1380</v>
      </c>
      <c r="DO30" s="15" t="s">
        <v>328</v>
      </c>
      <c r="DP30" s="15"/>
      <c r="DQ30" s="15"/>
      <c r="DR30" s="15"/>
      <c r="DS30" s="15"/>
      <c r="DT30" s="15"/>
      <c r="DU30" s="15" t="s">
        <v>1381</v>
      </c>
      <c r="DV30" s="15" t="s">
        <v>1145</v>
      </c>
      <c r="DW30" s="15"/>
      <c r="DX30" s="15" t="s">
        <v>328</v>
      </c>
      <c r="DY30" s="15" t="s">
        <v>328</v>
      </c>
      <c r="DZ30" s="15" t="s">
        <v>1409</v>
      </c>
      <c r="EA30" s="15"/>
      <c r="EB30" s="15" t="s">
        <v>587</v>
      </c>
      <c r="EC30" s="102" t="s">
        <v>1161</v>
      </c>
      <c r="ED30" s="48"/>
    </row>
    <row r="31" spans="1:134" x14ac:dyDescent="0.25">
      <c r="A31" s="51" t="s">
        <v>1378</v>
      </c>
      <c r="B31" s="61" t="s">
        <v>1376</v>
      </c>
      <c r="C31" s="15"/>
      <c r="D31" s="15" t="s">
        <v>328</v>
      </c>
      <c r="E31" s="15">
        <v>55</v>
      </c>
      <c r="F31" s="15" t="s">
        <v>329</v>
      </c>
      <c r="G31" s="15" t="s">
        <v>1349</v>
      </c>
      <c r="H31" s="15" t="s">
        <v>1394</v>
      </c>
      <c r="I31" s="15" t="s">
        <v>1395</v>
      </c>
      <c r="J31" s="15" t="s">
        <v>1281</v>
      </c>
      <c r="K31" s="15">
        <v>30</v>
      </c>
      <c r="L31" s="15">
        <v>7</v>
      </c>
      <c r="M31" s="15"/>
      <c r="N31" s="15"/>
      <c r="O31" s="15">
        <v>7</v>
      </c>
      <c r="P31" s="15"/>
      <c r="Q31" s="15"/>
      <c r="R31" s="15"/>
      <c r="S31" s="15"/>
      <c r="T31" s="15"/>
      <c r="U31" s="15"/>
      <c r="V31" s="15"/>
      <c r="W31" s="15"/>
      <c r="X31" s="15"/>
      <c r="Y31" s="15" t="s">
        <v>1441</v>
      </c>
      <c r="Z31" s="15"/>
      <c r="AA31" s="15"/>
      <c r="AB31" s="15"/>
      <c r="AC31" s="15" t="s">
        <v>328</v>
      </c>
      <c r="AD31" s="15"/>
      <c r="AE31" s="15"/>
      <c r="AF31" s="15"/>
      <c r="AG31" s="15"/>
      <c r="AH31" s="15"/>
      <c r="AI31" s="15" t="s">
        <v>423</v>
      </c>
      <c r="AJ31" s="15" t="s">
        <v>328</v>
      </c>
      <c r="AK31" s="15"/>
      <c r="AL31" s="15" t="s">
        <v>328</v>
      </c>
      <c r="AM31" s="15"/>
      <c r="AN31" s="15"/>
      <c r="AO31" s="15" t="s">
        <v>328</v>
      </c>
      <c r="AP31" s="15">
        <v>10</v>
      </c>
      <c r="AQ31" s="15">
        <v>6</v>
      </c>
      <c r="AR31" s="15"/>
      <c r="AS31" s="15"/>
      <c r="AT31" s="15"/>
      <c r="AU31" s="15" t="s">
        <v>328</v>
      </c>
      <c r="AV31" s="15">
        <v>2</v>
      </c>
      <c r="AW31" s="15">
        <v>3</v>
      </c>
      <c r="AX31" s="15">
        <v>1</v>
      </c>
      <c r="AY31" s="15"/>
      <c r="AZ31" s="15"/>
      <c r="BA31" s="15" t="s">
        <v>328</v>
      </c>
      <c r="BB31" s="15" t="s">
        <v>328</v>
      </c>
      <c r="BC31" s="15" t="s">
        <v>328</v>
      </c>
      <c r="BD31" s="15"/>
      <c r="BE31" s="15"/>
      <c r="BF31" s="15"/>
      <c r="BG31" s="15"/>
      <c r="BH31" s="15"/>
      <c r="BI31" s="15" t="s">
        <v>328</v>
      </c>
      <c r="BJ31" s="15"/>
      <c r="BK31" s="15"/>
      <c r="BL31" s="15"/>
      <c r="BM31" s="15" t="s">
        <v>328</v>
      </c>
      <c r="BN31" s="15" t="s">
        <v>328</v>
      </c>
      <c r="BO31" s="15"/>
      <c r="BP31" s="15"/>
      <c r="BQ31" s="15" t="s">
        <v>328</v>
      </c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 t="s">
        <v>332</v>
      </c>
      <c r="CG31" s="15" t="s">
        <v>328</v>
      </c>
      <c r="CH31" s="15"/>
      <c r="CI31" s="15"/>
      <c r="CJ31" s="15"/>
      <c r="CK31" s="15"/>
      <c r="CL31" s="15">
        <v>4</v>
      </c>
      <c r="CM31" s="15">
        <v>5</v>
      </c>
      <c r="CN31" s="15">
        <v>2</v>
      </c>
      <c r="CO31" s="15">
        <v>1</v>
      </c>
      <c r="CP31" s="15">
        <v>3</v>
      </c>
      <c r="CQ31" s="15">
        <v>6</v>
      </c>
      <c r="CR31" s="15"/>
      <c r="CS31" s="15"/>
      <c r="CT31" s="15"/>
      <c r="CU31" s="15"/>
      <c r="CV31" s="15"/>
      <c r="CW31" s="15"/>
      <c r="CX31" s="15" t="s">
        <v>332</v>
      </c>
      <c r="CY31" s="15" t="s">
        <v>328</v>
      </c>
      <c r="CZ31" s="15"/>
      <c r="DA31" s="15"/>
      <c r="DB31" s="15"/>
      <c r="DC31" s="15"/>
      <c r="DD31" s="15"/>
      <c r="DE31" s="15"/>
      <c r="DF31" s="15"/>
      <c r="DG31" s="15"/>
      <c r="DH31" s="15" t="s">
        <v>328</v>
      </c>
      <c r="DI31" s="15"/>
      <c r="DJ31" s="15"/>
      <c r="DK31" s="15"/>
      <c r="DL31" s="15"/>
      <c r="DM31" s="15"/>
      <c r="DN31" s="15"/>
      <c r="DO31" s="15" t="s">
        <v>328</v>
      </c>
      <c r="DP31" s="15"/>
      <c r="DQ31" s="15"/>
      <c r="DR31" s="15"/>
      <c r="DS31" s="15"/>
      <c r="DT31" s="15"/>
      <c r="DU31" s="15"/>
      <c r="DV31" s="15"/>
      <c r="DW31" s="15" t="s">
        <v>328</v>
      </c>
      <c r="DX31" s="15"/>
      <c r="DY31" s="15"/>
      <c r="DZ31" s="15"/>
      <c r="EA31" s="15"/>
      <c r="EB31" s="15"/>
      <c r="EC31" s="102"/>
      <c r="ED31" s="99"/>
    </row>
    <row r="32" spans="1:134" x14ac:dyDescent="0.25">
      <c r="A32" s="51" t="s">
        <v>1378</v>
      </c>
      <c r="B32" s="61" t="s">
        <v>1377</v>
      </c>
      <c r="C32" s="15"/>
      <c r="D32" s="15" t="s">
        <v>328</v>
      </c>
      <c r="E32" s="15">
        <v>64</v>
      </c>
      <c r="F32" s="15" t="s">
        <v>329</v>
      </c>
      <c r="G32" s="15" t="s">
        <v>353</v>
      </c>
      <c r="H32" s="15" t="s">
        <v>1394</v>
      </c>
      <c r="I32" s="15" t="s">
        <v>1395</v>
      </c>
      <c r="J32" s="15" t="s">
        <v>1281</v>
      </c>
      <c r="K32" s="15">
        <v>48</v>
      </c>
      <c r="L32" s="15">
        <v>6</v>
      </c>
      <c r="M32" s="15">
        <v>6</v>
      </c>
      <c r="N32" s="15"/>
      <c r="O32" s="15"/>
      <c r="P32" s="15"/>
      <c r="Q32" s="15"/>
      <c r="R32" s="15"/>
      <c r="S32" s="15"/>
      <c r="T32" s="15"/>
      <c r="U32" s="15"/>
      <c r="V32" s="15">
        <v>2</v>
      </c>
      <c r="W32" s="15"/>
      <c r="X32" s="15"/>
      <c r="Y32" s="15"/>
      <c r="Z32" s="15"/>
      <c r="AA32" s="15"/>
      <c r="AB32" s="15"/>
      <c r="AC32" s="15" t="s">
        <v>328</v>
      </c>
      <c r="AD32" s="15"/>
      <c r="AE32" s="15" t="s">
        <v>328</v>
      </c>
      <c r="AF32" s="15" t="s">
        <v>328</v>
      </c>
      <c r="AG32" s="15"/>
      <c r="AH32" s="15"/>
      <c r="AI32" s="15"/>
      <c r="AJ32" s="15"/>
      <c r="AK32" s="15"/>
      <c r="AL32" s="15"/>
      <c r="AM32" s="15"/>
      <c r="AN32" s="15"/>
      <c r="AO32" s="15" t="s">
        <v>328</v>
      </c>
      <c r="AP32" s="15">
        <v>10</v>
      </c>
      <c r="AQ32" s="15">
        <v>6</v>
      </c>
      <c r="AR32" s="15"/>
      <c r="AS32" s="15"/>
      <c r="AT32" s="15"/>
      <c r="AU32" s="15" t="s">
        <v>328</v>
      </c>
      <c r="AV32" s="15">
        <v>3</v>
      </c>
      <c r="AW32" s="15">
        <v>2</v>
      </c>
      <c r="AX32" s="15">
        <v>1</v>
      </c>
      <c r="AY32" s="15"/>
      <c r="AZ32" s="15"/>
      <c r="BA32" s="15" t="s">
        <v>328</v>
      </c>
      <c r="BB32" s="15" t="s">
        <v>328</v>
      </c>
      <c r="BC32" s="15"/>
      <c r="BD32" s="15" t="s">
        <v>328</v>
      </c>
      <c r="BE32" s="15"/>
      <c r="BF32" s="15"/>
      <c r="BG32" s="15"/>
      <c r="BH32" s="15"/>
      <c r="BI32" s="15" t="s">
        <v>328</v>
      </c>
      <c r="BJ32" s="15"/>
      <c r="BK32" s="15"/>
      <c r="BL32" s="15"/>
      <c r="BM32" s="15" t="s">
        <v>328</v>
      </c>
      <c r="BN32" s="15"/>
      <c r="BO32" s="15" t="s">
        <v>328</v>
      </c>
      <c r="BP32" s="15" t="s">
        <v>328</v>
      </c>
      <c r="BQ32" s="15"/>
      <c r="BR32" s="15"/>
      <c r="BS32" s="15"/>
      <c r="BT32" s="15"/>
      <c r="BU32" s="15" t="s">
        <v>328</v>
      </c>
      <c r="BV32" s="15"/>
      <c r="BW32" s="15"/>
      <c r="BX32" s="15"/>
      <c r="BY32" s="15"/>
      <c r="BZ32" s="15"/>
      <c r="CA32" s="15" t="s">
        <v>328</v>
      </c>
      <c r="CB32" s="15"/>
      <c r="CC32" s="15"/>
      <c r="CD32" s="15"/>
      <c r="CE32" s="15"/>
      <c r="CF32" s="15"/>
      <c r="CG32" s="15" t="s">
        <v>328</v>
      </c>
      <c r="CH32" s="15"/>
      <c r="CI32" s="15"/>
      <c r="CJ32" s="15"/>
      <c r="CK32" s="15"/>
      <c r="CL32" s="15">
        <v>1</v>
      </c>
      <c r="CM32" s="15">
        <v>3</v>
      </c>
      <c r="CN32" s="15">
        <v>4</v>
      </c>
      <c r="CO32" s="15">
        <v>6</v>
      </c>
      <c r="CP32" s="15">
        <v>5</v>
      </c>
      <c r="CQ32" s="15">
        <v>2</v>
      </c>
      <c r="CR32" s="15"/>
      <c r="CS32" s="15"/>
      <c r="CT32" s="15"/>
      <c r="CU32" s="15"/>
      <c r="CV32" s="15"/>
      <c r="CW32" s="15"/>
      <c r="CX32" s="15" t="s">
        <v>332</v>
      </c>
      <c r="CY32" s="15"/>
      <c r="CZ32" s="15"/>
      <c r="DA32" s="15">
        <v>2</v>
      </c>
      <c r="DB32" s="15"/>
      <c r="DC32" s="15"/>
      <c r="DD32" s="15">
        <v>3</v>
      </c>
      <c r="DE32" s="15">
        <v>1</v>
      </c>
      <c r="DF32" s="15"/>
      <c r="DG32" s="15"/>
      <c r="DH32" s="15" t="s">
        <v>328</v>
      </c>
      <c r="DI32" s="15"/>
      <c r="DJ32" s="15"/>
      <c r="DK32" s="15"/>
      <c r="DL32" s="15"/>
      <c r="DM32" s="15"/>
      <c r="DN32" s="15"/>
      <c r="DO32" s="15" t="s">
        <v>328</v>
      </c>
      <c r="DP32" s="15"/>
      <c r="DQ32" s="15"/>
      <c r="DR32" s="15"/>
      <c r="DS32" s="15"/>
      <c r="DT32" s="15"/>
      <c r="DU32" s="15"/>
      <c r="DV32" s="15"/>
      <c r="DW32" s="15" t="s">
        <v>328</v>
      </c>
      <c r="DX32" s="15"/>
      <c r="DY32" s="15"/>
      <c r="DZ32" s="15"/>
      <c r="EA32" s="15"/>
      <c r="EB32" s="15"/>
      <c r="EC32" s="102"/>
      <c r="ED32" s="99"/>
    </row>
    <row r="33" spans="1:134" x14ac:dyDescent="0.25">
      <c r="A33" s="51" t="s">
        <v>1572</v>
      </c>
      <c r="B33" s="103" t="s">
        <v>1573</v>
      </c>
      <c r="C33" s="15"/>
      <c r="D33" s="15" t="s">
        <v>328</v>
      </c>
      <c r="E33" s="15">
        <v>46</v>
      </c>
      <c r="F33" s="15" t="s">
        <v>329</v>
      </c>
      <c r="G33" s="15" t="s">
        <v>357</v>
      </c>
      <c r="H33" s="15" t="s">
        <v>1574</v>
      </c>
      <c r="I33" s="15" t="s">
        <v>1575</v>
      </c>
      <c r="J33" s="15" t="s">
        <v>1315</v>
      </c>
      <c r="K33" s="15">
        <v>27</v>
      </c>
      <c r="L33" s="15">
        <v>12</v>
      </c>
      <c r="M33" s="15">
        <v>15</v>
      </c>
      <c r="N33" s="15"/>
      <c r="O33" s="15"/>
      <c r="P33" s="15"/>
      <c r="Q33" s="15"/>
      <c r="R33" s="15">
        <v>1</v>
      </c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 t="s">
        <v>328</v>
      </c>
      <c r="AI33" s="15"/>
      <c r="AJ33" s="15"/>
      <c r="AK33" s="15"/>
      <c r="AL33" s="15"/>
      <c r="AM33" s="15"/>
      <c r="AN33" s="15" t="s">
        <v>328</v>
      </c>
      <c r="AO33" s="15"/>
      <c r="AP33" s="15">
        <v>8</v>
      </c>
      <c r="AQ33" s="15">
        <v>4</v>
      </c>
      <c r="AR33" s="15"/>
      <c r="AS33" s="15"/>
      <c r="AT33" s="15"/>
      <c r="AU33" s="15" t="s">
        <v>328</v>
      </c>
      <c r="AV33" s="15">
        <v>2</v>
      </c>
      <c r="AW33" s="15">
        <v>3</v>
      </c>
      <c r="AX33" s="15">
        <v>1</v>
      </c>
      <c r="AY33" s="15"/>
      <c r="AZ33" s="15" t="s">
        <v>328</v>
      </c>
      <c r="BA33" s="15"/>
      <c r="BB33" s="15"/>
      <c r="BC33" s="15"/>
      <c r="BD33" s="15"/>
      <c r="BE33" s="15" t="s">
        <v>328</v>
      </c>
      <c r="BF33" s="15"/>
      <c r="BG33" s="15"/>
      <c r="BH33" s="15"/>
      <c r="BI33" s="15"/>
      <c r="BJ33" s="15"/>
      <c r="BK33" s="15"/>
      <c r="BL33" s="15"/>
      <c r="BM33" s="15" t="s">
        <v>328</v>
      </c>
      <c r="BN33" s="15"/>
      <c r="BO33" s="15" t="s">
        <v>328</v>
      </c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 t="s">
        <v>328</v>
      </c>
      <c r="CC33" s="15"/>
      <c r="CD33" s="15" t="s">
        <v>328</v>
      </c>
      <c r="CE33" s="15" t="s">
        <v>328</v>
      </c>
      <c r="CF33" s="15"/>
      <c r="CG33" s="15"/>
      <c r="CH33" s="15"/>
      <c r="CI33" s="15" t="s">
        <v>328</v>
      </c>
      <c r="CJ33" s="15"/>
      <c r="CK33" s="15"/>
      <c r="CL33" s="15">
        <v>4</v>
      </c>
      <c r="CM33" s="15">
        <v>1</v>
      </c>
      <c r="CN33" s="15">
        <v>5</v>
      </c>
      <c r="CO33" s="15">
        <v>2</v>
      </c>
      <c r="CP33" s="15">
        <v>6</v>
      </c>
      <c r="CQ33" s="15">
        <v>3</v>
      </c>
      <c r="CR33" s="15" t="s">
        <v>328</v>
      </c>
      <c r="CS33" s="15"/>
      <c r="CT33" s="15"/>
      <c r="CU33" s="15"/>
      <c r="CV33" s="15" t="s">
        <v>328</v>
      </c>
      <c r="CW33" s="15"/>
      <c r="CX33" s="15"/>
      <c r="CY33" s="15"/>
      <c r="CZ33" s="15"/>
      <c r="DA33" s="15">
        <v>1</v>
      </c>
      <c r="DB33" s="15"/>
      <c r="DC33" s="15"/>
      <c r="DD33" s="15"/>
      <c r="DE33" s="15">
        <v>2</v>
      </c>
      <c r="DF33" s="15"/>
      <c r="DG33" s="15"/>
      <c r="DH33" s="15"/>
      <c r="DI33" s="15" t="s">
        <v>328</v>
      </c>
      <c r="DJ33" s="15"/>
      <c r="DK33" s="15"/>
      <c r="DL33" s="15" t="s">
        <v>328</v>
      </c>
      <c r="DM33" s="14" t="s">
        <v>432</v>
      </c>
      <c r="DN33" s="15" t="s">
        <v>411</v>
      </c>
      <c r="DO33" s="15"/>
      <c r="DP33" s="15" t="s">
        <v>328</v>
      </c>
      <c r="DQ33" s="15" t="s">
        <v>328</v>
      </c>
      <c r="DR33" s="15" t="s">
        <v>405</v>
      </c>
      <c r="DS33" s="15"/>
      <c r="DT33" s="15"/>
      <c r="DU33" s="15" t="s">
        <v>410</v>
      </c>
      <c r="DV33" s="15" t="s">
        <v>411</v>
      </c>
      <c r="DW33" s="15" t="s">
        <v>328</v>
      </c>
      <c r="DX33" s="15"/>
      <c r="DY33" s="15"/>
      <c r="DZ33" s="15"/>
      <c r="EA33" s="15"/>
      <c r="EB33" s="15"/>
      <c r="EC33" s="102"/>
      <c r="ED33" s="99"/>
    </row>
    <row r="34" spans="1:134" x14ac:dyDescent="0.25">
      <c r="A34" s="51" t="s">
        <v>1572</v>
      </c>
      <c r="B34" s="103" t="s">
        <v>1578</v>
      </c>
      <c r="C34" s="15"/>
      <c r="D34" s="15" t="s">
        <v>328</v>
      </c>
      <c r="E34" s="15">
        <v>56</v>
      </c>
      <c r="F34" s="15" t="s">
        <v>329</v>
      </c>
      <c r="G34" s="15" t="s">
        <v>353</v>
      </c>
      <c r="H34" s="15" t="s">
        <v>1574</v>
      </c>
      <c r="I34" s="15" t="s">
        <v>1575</v>
      </c>
      <c r="J34" s="15" t="s">
        <v>1315</v>
      </c>
      <c r="K34" s="15">
        <v>25</v>
      </c>
      <c r="L34" s="15">
        <v>6</v>
      </c>
      <c r="M34" s="15">
        <v>6</v>
      </c>
      <c r="N34" s="15"/>
      <c r="O34" s="15"/>
      <c r="P34" s="15"/>
      <c r="Q34" s="15"/>
      <c r="R34" s="15"/>
      <c r="S34" s="15"/>
      <c r="T34" s="15">
        <v>1</v>
      </c>
      <c r="U34" s="15"/>
      <c r="V34" s="15"/>
      <c r="W34" s="15"/>
      <c r="X34" s="15"/>
      <c r="Y34" s="15"/>
      <c r="Z34" s="15"/>
      <c r="AA34" s="15"/>
      <c r="AB34" s="15"/>
      <c r="AC34" s="15"/>
      <c r="AD34" s="15" t="s">
        <v>328</v>
      </c>
      <c r="AE34" s="15"/>
      <c r="AF34" s="15" t="s">
        <v>328</v>
      </c>
      <c r="AG34" s="15"/>
      <c r="AH34" s="15"/>
      <c r="AI34" s="15"/>
      <c r="AJ34" s="15"/>
      <c r="AK34" s="15" t="s">
        <v>328</v>
      </c>
      <c r="AL34" s="15"/>
      <c r="AM34" s="15"/>
      <c r="AN34" s="15"/>
      <c r="AO34" s="15" t="s">
        <v>328</v>
      </c>
      <c r="AP34" s="15">
        <v>10</v>
      </c>
      <c r="AQ34" s="15">
        <v>3</v>
      </c>
      <c r="AR34" s="15"/>
      <c r="AS34" s="15" t="s">
        <v>328</v>
      </c>
      <c r="AT34" s="15"/>
      <c r="AU34" s="15"/>
      <c r="AV34" s="15">
        <v>3</v>
      </c>
      <c r="AW34" s="15">
        <v>1</v>
      </c>
      <c r="AX34" s="15">
        <v>2</v>
      </c>
      <c r="AY34" s="15"/>
      <c r="AZ34" s="15" t="s">
        <v>328</v>
      </c>
      <c r="BA34" s="15"/>
      <c r="BB34" s="15"/>
      <c r="BC34" s="15"/>
      <c r="BD34" s="15"/>
      <c r="BE34" s="15"/>
      <c r="BF34" s="15"/>
      <c r="BG34" s="15"/>
      <c r="BH34" s="15"/>
      <c r="BI34" s="15" t="s">
        <v>328</v>
      </c>
      <c r="BJ34" s="15"/>
      <c r="BK34" s="15"/>
      <c r="BL34" s="15"/>
      <c r="BM34" s="15" t="s">
        <v>328</v>
      </c>
      <c r="BN34" s="15" t="s">
        <v>328</v>
      </c>
      <c r="BO34" s="15"/>
      <c r="BP34" s="15" t="s">
        <v>328</v>
      </c>
      <c r="BQ34" s="15"/>
      <c r="BR34" s="15"/>
      <c r="BS34" s="15"/>
      <c r="BT34" s="15" t="s">
        <v>328</v>
      </c>
      <c r="BU34" s="15"/>
      <c r="BV34" s="15"/>
      <c r="BW34" s="15"/>
      <c r="BX34" s="15"/>
      <c r="BY34" s="15"/>
      <c r="BZ34" s="15"/>
      <c r="CA34" s="15" t="s">
        <v>328</v>
      </c>
      <c r="CB34" s="15"/>
      <c r="CC34" s="15"/>
      <c r="CD34" s="15"/>
      <c r="CE34" s="15"/>
      <c r="CF34" s="15"/>
      <c r="CG34" s="15"/>
      <c r="CH34" s="15" t="s">
        <v>328</v>
      </c>
      <c r="CI34" s="15"/>
      <c r="CJ34" s="15"/>
      <c r="CK34" s="15"/>
      <c r="CL34" s="15">
        <v>3</v>
      </c>
      <c r="CM34" s="15">
        <v>1</v>
      </c>
      <c r="CN34" s="15">
        <v>2</v>
      </c>
      <c r="CO34" s="15">
        <v>6</v>
      </c>
      <c r="CP34" s="15">
        <v>5</v>
      </c>
      <c r="CQ34" s="15">
        <v>4</v>
      </c>
      <c r="CR34" s="15" t="s">
        <v>328</v>
      </c>
      <c r="CS34" s="15"/>
      <c r="CT34" s="15"/>
      <c r="CU34" s="15"/>
      <c r="CV34" s="15"/>
      <c r="CW34" s="15" t="s">
        <v>328</v>
      </c>
      <c r="CX34" s="15"/>
      <c r="CY34" s="15"/>
      <c r="CZ34" s="15"/>
      <c r="DA34" s="15">
        <v>3</v>
      </c>
      <c r="DB34" s="15">
        <v>2</v>
      </c>
      <c r="DC34" s="15">
        <v>6</v>
      </c>
      <c r="DD34" s="15">
        <v>5</v>
      </c>
      <c r="DE34" s="15">
        <v>4</v>
      </c>
      <c r="DF34" s="15">
        <v>1</v>
      </c>
      <c r="DG34" s="15"/>
      <c r="DH34" s="15"/>
      <c r="DI34" s="15" t="s">
        <v>328</v>
      </c>
      <c r="DJ34" s="15" t="s">
        <v>328</v>
      </c>
      <c r="DK34" s="15"/>
      <c r="DL34" s="15"/>
      <c r="DM34" s="15"/>
      <c r="DN34" s="15"/>
      <c r="DO34" s="15"/>
      <c r="DP34" s="15" t="s">
        <v>328</v>
      </c>
      <c r="DQ34" s="15" t="s">
        <v>328</v>
      </c>
      <c r="DR34" s="15" t="s">
        <v>437</v>
      </c>
      <c r="DS34" s="15"/>
      <c r="DT34" s="15"/>
      <c r="DU34" s="15" t="s">
        <v>492</v>
      </c>
      <c r="DV34" s="15" t="s">
        <v>411</v>
      </c>
      <c r="DW34" s="15" t="s">
        <v>328</v>
      </c>
      <c r="DX34" s="15"/>
      <c r="DY34" s="15"/>
      <c r="DZ34" s="15"/>
      <c r="EA34" s="15"/>
      <c r="EB34" s="15"/>
      <c r="EC34" s="102"/>
      <c r="ED34" s="99"/>
    </row>
    <row r="35" spans="1:134" x14ac:dyDescent="0.25">
      <c r="A35" s="51" t="s">
        <v>1572</v>
      </c>
      <c r="B35" s="103" t="s">
        <v>1580</v>
      </c>
      <c r="C35" s="15"/>
      <c r="D35" s="15" t="s">
        <v>328</v>
      </c>
      <c r="E35" s="15">
        <v>61</v>
      </c>
      <c r="F35" s="15" t="s">
        <v>329</v>
      </c>
      <c r="G35" s="15" t="s">
        <v>399</v>
      </c>
      <c r="H35" s="15" t="s">
        <v>1574</v>
      </c>
      <c r="I35" s="15" t="s">
        <v>1575</v>
      </c>
      <c r="J35" s="15" t="s">
        <v>1315</v>
      </c>
      <c r="K35" s="15">
        <v>0</v>
      </c>
      <c r="L35" s="15">
        <v>14</v>
      </c>
      <c r="M35" s="15">
        <v>5</v>
      </c>
      <c r="N35" s="15">
        <v>4</v>
      </c>
      <c r="O35" s="15">
        <v>2</v>
      </c>
      <c r="P35" s="15"/>
      <c r="Q35" s="15"/>
      <c r="R35" s="15"/>
      <c r="S35" s="15"/>
      <c r="T35" s="15">
        <v>4</v>
      </c>
      <c r="U35" s="15"/>
      <c r="V35" s="15"/>
      <c r="W35" s="15"/>
      <c r="X35" s="15">
        <v>4</v>
      </c>
      <c r="Y35" s="15"/>
      <c r="Z35" s="15" t="s">
        <v>328</v>
      </c>
      <c r="AA35" s="15"/>
      <c r="AB35" s="15"/>
      <c r="AC35" s="15"/>
      <c r="AD35" s="15" t="s">
        <v>328</v>
      </c>
      <c r="AE35" s="15" t="s">
        <v>328</v>
      </c>
      <c r="AF35" s="15" t="s">
        <v>328</v>
      </c>
      <c r="AG35" s="15" t="s">
        <v>328</v>
      </c>
      <c r="AH35" s="15"/>
      <c r="AI35" s="15"/>
      <c r="AJ35" s="15"/>
      <c r="AK35" s="15" t="s">
        <v>328</v>
      </c>
      <c r="AL35" s="15"/>
      <c r="AM35" s="15"/>
      <c r="AN35" s="15" t="s">
        <v>328</v>
      </c>
      <c r="AO35" s="15" t="s">
        <v>328</v>
      </c>
      <c r="AP35" s="15">
        <v>10</v>
      </c>
      <c r="AQ35" s="15">
        <v>4</v>
      </c>
      <c r="AR35" s="15"/>
      <c r="AS35" s="15"/>
      <c r="AT35" s="15"/>
      <c r="AU35" s="15" t="s">
        <v>328</v>
      </c>
      <c r="AV35" s="15">
        <v>2</v>
      </c>
      <c r="AW35" s="15">
        <v>1</v>
      </c>
      <c r="AX35" s="15">
        <v>3</v>
      </c>
      <c r="AY35" s="15"/>
      <c r="AZ35" s="15"/>
      <c r="BA35" s="15" t="s">
        <v>328</v>
      </c>
      <c r="BB35" s="15"/>
      <c r="BC35" s="15"/>
      <c r="BD35" s="15"/>
      <c r="BE35" s="15" t="s">
        <v>328</v>
      </c>
      <c r="BF35" s="15" t="s">
        <v>328</v>
      </c>
      <c r="BG35" s="15"/>
      <c r="BH35" s="15"/>
      <c r="BI35" s="15" t="s">
        <v>328</v>
      </c>
      <c r="BJ35" s="15"/>
      <c r="BK35" s="15"/>
      <c r="BL35" s="15"/>
      <c r="BM35" s="15" t="s">
        <v>328</v>
      </c>
      <c r="BN35" s="15" t="s">
        <v>328</v>
      </c>
      <c r="BO35" s="15"/>
      <c r="BP35" s="15"/>
      <c r="BQ35" s="15"/>
      <c r="BR35" s="15"/>
      <c r="BS35" s="15"/>
      <c r="BT35" s="15"/>
      <c r="BU35" s="15" t="s">
        <v>328</v>
      </c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 t="s">
        <v>332</v>
      </c>
      <c r="CG35" s="15" t="s">
        <v>328</v>
      </c>
      <c r="CH35" s="15"/>
      <c r="CI35" s="15"/>
      <c r="CJ35" s="15"/>
      <c r="CK35" s="15"/>
      <c r="CL35" s="15">
        <v>3</v>
      </c>
      <c r="CM35" s="15">
        <v>1</v>
      </c>
      <c r="CN35" s="15">
        <v>2</v>
      </c>
      <c r="CO35" s="15">
        <v>6</v>
      </c>
      <c r="CP35" s="15">
        <v>4</v>
      </c>
      <c r="CQ35" s="15">
        <v>5</v>
      </c>
      <c r="CR35" s="15" t="s">
        <v>328</v>
      </c>
      <c r="CS35" s="15" t="s">
        <v>328</v>
      </c>
      <c r="CT35" s="15"/>
      <c r="CU35" s="15"/>
      <c r="CV35" s="15" t="s">
        <v>328</v>
      </c>
      <c r="CW35" s="15"/>
      <c r="CX35" s="15"/>
      <c r="CY35" s="15"/>
      <c r="CZ35" s="15"/>
      <c r="DA35" s="15">
        <v>1</v>
      </c>
      <c r="DB35" s="15">
        <v>4</v>
      </c>
      <c r="DC35" s="15">
        <v>6</v>
      </c>
      <c r="DD35" s="15">
        <v>3</v>
      </c>
      <c r="DE35" s="15">
        <v>5</v>
      </c>
      <c r="DF35" s="15">
        <v>2</v>
      </c>
      <c r="DG35" s="15"/>
      <c r="DH35" s="15" t="s">
        <v>328</v>
      </c>
      <c r="DI35" s="15"/>
      <c r="DJ35" s="15"/>
      <c r="DK35" s="15"/>
      <c r="DL35" s="15"/>
      <c r="DM35" s="15"/>
      <c r="DN35" s="15"/>
      <c r="DO35" s="15" t="s">
        <v>328</v>
      </c>
      <c r="DP35" s="15"/>
      <c r="DQ35" s="15"/>
      <c r="DR35" s="15"/>
      <c r="DS35" s="15"/>
      <c r="DT35" s="15"/>
      <c r="DU35" s="15"/>
      <c r="DV35" s="15"/>
      <c r="DW35" s="15" t="s">
        <v>328</v>
      </c>
      <c r="DX35" s="15"/>
      <c r="DY35" s="15"/>
      <c r="DZ35" s="15"/>
      <c r="EA35" s="15"/>
      <c r="EB35" s="15"/>
      <c r="EC35" s="102"/>
      <c r="ED35" s="48"/>
    </row>
    <row r="36" spans="1:134" x14ac:dyDescent="0.25">
      <c r="A36" s="52" t="s">
        <v>1857</v>
      </c>
      <c r="B36" s="103" t="s">
        <v>1624</v>
      </c>
      <c r="C36" s="14"/>
      <c r="D36" s="14" t="s">
        <v>328</v>
      </c>
      <c r="E36" s="14">
        <v>50</v>
      </c>
      <c r="F36" s="14" t="s">
        <v>329</v>
      </c>
      <c r="G36" s="14" t="s">
        <v>330</v>
      </c>
      <c r="H36" s="14" t="s">
        <v>1625</v>
      </c>
      <c r="I36" s="14" t="s">
        <v>1626</v>
      </c>
      <c r="J36" s="14" t="s">
        <v>1256</v>
      </c>
      <c r="K36" s="14">
        <v>26</v>
      </c>
      <c r="L36" s="14">
        <v>6</v>
      </c>
      <c r="M36" s="14">
        <v>3</v>
      </c>
      <c r="N36" s="14"/>
      <c r="O36" s="14"/>
      <c r="P36" s="14"/>
      <c r="Q36" s="14"/>
      <c r="R36" s="14"/>
      <c r="S36" s="14"/>
      <c r="T36" s="14"/>
      <c r="U36" s="14"/>
      <c r="V36" s="14">
        <v>2</v>
      </c>
      <c r="W36" s="14"/>
      <c r="X36" s="14">
        <v>3</v>
      </c>
      <c r="Y36" s="14"/>
      <c r="Z36" s="14"/>
      <c r="AA36" s="14" t="s">
        <v>328</v>
      </c>
      <c r="AB36" s="14"/>
      <c r="AC36" s="14"/>
      <c r="AD36" s="14" t="s">
        <v>328</v>
      </c>
      <c r="AE36" s="14" t="s">
        <v>328</v>
      </c>
      <c r="AF36" s="14"/>
      <c r="AG36" s="14"/>
      <c r="AH36" s="14"/>
      <c r="AI36" s="14"/>
      <c r="AJ36" s="14"/>
      <c r="AK36" s="14" t="s">
        <v>328</v>
      </c>
      <c r="AL36" s="14"/>
      <c r="AM36" s="14"/>
      <c r="AN36" s="14" t="s">
        <v>328</v>
      </c>
      <c r="AO36" s="14" t="s">
        <v>328</v>
      </c>
      <c r="AP36" s="14">
        <v>10</v>
      </c>
      <c r="AQ36" s="14">
        <v>7</v>
      </c>
      <c r="AR36" s="14"/>
      <c r="AS36" s="14"/>
      <c r="AT36" s="14" t="s">
        <v>328</v>
      </c>
      <c r="AU36" s="14"/>
      <c r="AV36" s="14">
        <v>3</v>
      </c>
      <c r="AW36" s="14">
        <v>1</v>
      </c>
      <c r="AX36" s="14">
        <v>2</v>
      </c>
      <c r="AY36" s="14"/>
      <c r="AZ36" s="14"/>
      <c r="BA36" s="14" t="s">
        <v>328</v>
      </c>
      <c r="BB36" s="14" t="s">
        <v>328</v>
      </c>
      <c r="BC36" s="14"/>
      <c r="BD36" s="14"/>
      <c r="BE36" s="14" t="s">
        <v>328</v>
      </c>
      <c r="BF36" s="14"/>
      <c r="BG36" s="14"/>
      <c r="BH36" s="14"/>
      <c r="BI36" s="14" t="s">
        <v>328</v>
      </c>
      <c r="BJ36" s="14"/>
      <c r="BK36" s="14"/>
      <c r="BL36" s="14" t="s">
        <v>328</v>
      </c>
      <c r="BM36" s="14"/>
      <c r="BN36" s="14" t="s">
        <v>328</v>
      </c>
      <c r="BO36" s="14"/>
      <c r="BP36" s="14"/>
      <c r="BQ36" s="14" t="s">
        <v>328</v>
      </c>
      <c r="BR36" s="14"/>
      <c r="BS36" s="14"/>
      <c r="BT36" s="14"/>
      <c r="BU36" s="14" t="s">
        <v>328</v>
      </c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 t="s">
        <v>332</v>
      </c>
      <c r="CG36" s="14" t="s">
        <v>328</v>
      </c>
      <c r="CH36" s="14"/>
      <c r="CI36" s="14" t="s">
        <v>328</v>
      </c>
      <c r="CJ36" s="14"/>
      <c r="CK36" s="14"/>
      <c r="CL36" s="14">
        <v>1</v>
      </c>
      <c r="CM36" s="14">
        <v>3</v>
      </c>
      <c r="CN36" s="14">
        <v>6</v>
      </c>
      <c r="CO36" s="14">
        <v>4</v>
      </c>
      <c r="CP36" s="14">
        <v>5</v>
      </c>
      <c r="CQ36" s="14">
        <v>2</v>
      </c>
      <c r="CR36" s="14" t="s">
        <v>328</v>
      </c>
      <c r="CS36" s="14" t="s">
        <v>328</v>
      </c>
      <c r="CT36" s="14"/>
      <c r="CU36" s="14"/>
      <c r="CV36" s="14" t="s">
        <v>328</v>
      </c>
      <c r="CW36" s="14" t="s">
        <v>328</v>
      </c>
      <c r="CX36" s="14"/>
      <c r="CY36" s="14" t="s">
        <v>328</v>
      </c>
      <c r="CZ36" s="14" t="s">
        <v>404</v>
      </c>
      <c r="DA36" s="14"/>
      <c r="DB36" s="14"/>
      <c r="DC36" s="14"/>
      <c r="DD36" s="14"/>
      <c r="DE36" s="14"/>
      <c r="DF36" s="14"/>
      <c r="DG36" s="14"/>
      <c r="DH36" s="14" t="s">
        <v>328</v>
      </c>
      <c r="DI36" s="14"/>
      <c r="DJ36" s="14"/>
      <c r="DK36" s="14"/>
      <c r="DL36" s="14"/>
      <c r="DM36" s="14"/>
      <c r="DN36" s="14" t="s">
        <v>1146</v>
      </c>
      <c r="DO36" s="14"/>
      <c r="DP36" s="14" t="s">
        <v>328</v>
      </c>
      <c r="DQ36" s="14" t="s">
        <v>328</v>
      </c>
      <c r="DR36" s="14" t="s">
        <v>397</v>
      </c>
      <c r="DS36" s="14"/>
      <c r="DT36" s="14"/>
      <c r="DU36" s="15" t="s">
        <v>428</v>
      </c>
      <c r="DV36" s="14" t="s">
        <v>497</v>
      </c>
      <c r="DW36" s="14" t="s">
        <v>328</v>
      </c>
      <c r="DX36" s="14"/>
      <c r="DY36" s="14"/>
      <c r="DZ36" s="15"/>
      <c r="EA36" s="14"/>
      <c r="EB36" s="14"/>
      <c r="EC36" s="101" t="s">
        <v>497</v>
      </c>
      <c r="ED36" s="48"/>
    </row>
    <row r="37" spans="1:134" x14ac:dyDescent="0.25">
      <c r="A37" s="52" t="s">
        <v>1857</v>
      </c>
      <c r="B37" s="103" t="s">
        <v>1633</v>
      </c>
      <c r="C37" s="14"/>
      <c r="D37" s="14" t="s">
        <v>328</v>
      </c>
      <c r="E37" s="14">
        <v>38</v>
      </c>
      <c r="F37" s="14" t="s">
        <v>329</v>
      </c>
      <c r="G37" s="14" t="s">
        <v>355</v>
      </c>
      <c r="H37" s="8" t="s">
        <v>1631</v>
      </c>
      <c r="I37" s="14" t="s">
        <v>1632</v>
      </c>
      <c r="J37" s="14" t="s">
        <v>1256</v>
      </c>
      <c r="K37" s="14">
        <v>12</v>
      </c>
      <c r="L37" s="14">
        <v>6</v>
      </c>
      <c r="M37" s="14"/>
      <c r="N37" s="14"/>
      <c r="O37" s="14"/>
      <c r="P37" s="14"/>
      <c r="Q37" s="14">
        <v>6</v>
      </c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 t="s">
        <v>328</v>
      </c>
      <c r="AI37" s="14"/>
      <c r="AJ37" s="14" t="s">
        <v>328</v>
      </c>
      <c r="AK37" s="14"/>
      <c r="AL37" s="14"/>
      <c r="AM37" s="14"/>
      <c r="AN37" s="14"/>
      <c r="AO37" s="14" t="s">
        <v>328</v>
      </c>
      <c r="AP37" s="14">
        <v>10</v>
      </c>
      <c r="AQ37" s="14">
        <v>7</v>
      </c>
      <c r="AR37" s="14"/>
      <c r="AS37" s="14"/>
      <c r="AT37" s="14"/>
      <c r="AU37" s="14" t="s">
        <v>328</v>
      </c>
      <c r="AV37" s="14">
        <v>2</v>
      </c>
      <c r="AW37" s="14">
        <v>3</v>
      </c>
      <c r="AX37" s="14">
        <v>1</v>
      </c>
      <c r="AY37" s="14"/>
      <c r="AZ37" s="14"/>
      <c r="BA37" s="14" t="s">
        <v>328</v>
      </c>
      <c r="BB37" s="14"/>
      <c r="BC37" s="14"/>
      <c r="BD37" s="14"/>
      <c r="BE37" s="14" t="s">
        <v>328</v>
      </c>
      <c r="BF37" s="14"/>
      <c r="BG37" s="14"/>
      <c r="BH37" s="14"/>
      <c r="BI37" s="14"/>
      <c r="BJ37" s="14"/>
      <c r="BK37" s="14"/>
      <c r="BL37" s="14" t="s">
        <v>328</v>
      </c>
      <c r="BM37" s="14"/>
      <c r="BN37" s="14" t="s">
        <v>328</v>
      </c>
      <c r="BO37" s="14"/>
      <c r="BP37" s="14" t="s">
        <v>328</v>
      </c>
      <c r="BQ37" s="14"/>
      <c r="BR37" s="14"/>
      <c r="BS37" s="14"/>
      <c r="BT37" s="14" t="s">
        <v>328</v>
      </c>
      <c r="BU37" s="14" t="s">
        <v>328</v>
      </c>
      <c r="BV37" s="14"/>
      <c r="BW37" s="14"/>
      <c r="BX37" s="14" t="s">
        <v>328</v>
      </c>
      <c r="BY37" s="14"/>
      <c r="BZ37" s="14"/>
      <c r="CA37" s="14" t="s">
        <v>328</v>
      </c>
      <c r="CB37" s="14"/>
      <c r="CC37" s="14"/>
      <c r="CD37" s="14"/>
      <c r="CE37" s="14"/>
      <c r="CF37" s="14"/>
      <c r="CG37" s="14" t="s">
        <v>328</v>
      </c>
      <c r="CH37" s="14"/>
      <c r="CI37" s="14"/>
      <c r="CJ37" s="14"/>
      <c r="CK37" s="14"/>
      <c r="CL37" s="14">
        <v>3</v>
      </c>
      <c r="CM37" s="14">
        <v>4</v>
      </c>
      <c r="CN37" s="14">
        <v>1</v>
      </c>
      <c r="CO37" s="14">
        <v>2</v>
      </c>
      <c r="CP37" s="14">
        <v>5</v>
      </c>
      <c r="CQ37" s="14">
        <v>6</v>
      </c>
      <c r="CR37" s="14" t="s">
        <v>328</v>
      </c>
      <c r="CS37" s="14"/>
      <c r="CT37" s="14"/>
      <c r="CU37" s="14"/>
      <c r="CV37" s="14" t="s">
        <v>328</v>
      </c>
      <c r="CW37" s="14"/>
      <c r="CX37" s="14"/>
      <c r="CY37" s="14"/>
      <c r="CZ37" s="14"/>
      <c r="DA37" s="14">
        <v>1</v>
      </c>
      <c r="DB37" s="14">
        <v>6</v>
      </c>
      <c r="DC37" s="14">
        <v>4</v>
      </c>
      <c r="DD37" s="14">
        <v>5</v>
      </c>
      <c r="DE37" s="14">
        <v>2</v>
      </c>
      <c r="DF37" s="14">
        <v>3</v>
      </c>
      <c r="DG37" s="14"/>
      <c r="DH37" s="14" t="s">
        <v>328</v>
      </c>
      <c r="DI37" s="14"/>
      <c r="DJ37" s="14"/>
      <c r="DK37" s="14"/>
      <c r="DL37" s="14"/>
      <c r="DM37" s="14"/>
      <c r="DN37" s="14" t="s">
        <v>333</v>
      </c>
      <c r="DO37" s="14"/>
      <c r="DP37" s="14" t="s">
        <v>328</v>
      </c>
      <c r="DQ37" s="14" t="s">
        <v>328</v>
      </c>
      <c r="DR37" s="14" t="s">
        <v>354</v>
      </c>
      <c r="DS37" s="14"/>
      <c r="DT37" s="14"/>
      <c r="DU37" s="14" t="s">
        <v>335</v>
      </c>
      <c r="DV37" s="14" t="s">
        <v>497</v>
      </c>
      <c r="DW37" s="14" t="s">
        <v>328</v>
      </c>
      <c r="DX37" s="14"/>
      <c r="DY37" s="14"/>
      <c r="DZ37" s="14"/>
      <c r="EA37" s="14"/>
      <c r="EB37" s="14"/>
      <c r="EC37" s="101" t="s">
        <v>333</v>
      </c>
      <c r="ED37" s="48"/>
    </row>
    <row r="38" spans="1:134" x14ac:dyDescent="0.25">
      <c r="A38" s="52" t="s">
        <v>1857</v>
      </c>
      <c r="B38" s="103" t="s">
        <v>1645</v>
      </c>
      <c r="C38" s="15"/>
      <c r="D38" s="15" t="s">
        <v>328</v>
      </c>
      <c r="E38" s="15">
        <v>28</v>
      </c>
      <c r="F38" s="15" t="s">
        <v>376</v>
      </c>
      <c r="G38" s="15" t="s">
        <v>399</v>
      </c>
      <c r="H38" s="15" t="s">
        <v>1629</v>
      </c>
      <c r="I38" s="18" t="s">
        <v>1630</v>
      </c>
      <c r="J38" s="15" t="s">
        <v>1256</v>
      </c>
      <c r="K38" s="15">
        <v>5</v>
      </c>
      <c r="L38" s="15">
        <v>6</v>
      </c>
      <c r="M38" s="15"/>
      <c r="N38" s="15">
        <v>8</v>
      </c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 t="s">
        <v>328</v>
      </c>
      <c r="AA38" s="15"/>
      <c r="AB38" s="15"/>
      <c r="AC38" s="15"/>
      <c r="AD38" s="15"/>
      <c r="AE38" s="15"/>
      <c r="AF38" s="15"/>
      <c r="AG38" s="15" t="s">
        <v>328</v>
      </c>
      <c r="AH38" s="15"/>
      <c r="AI38" s="15"/>
      <c r="AJ38" s="15" t="s">
        <v>328</v>
      </c>
      <c r="AK38" s="15" t="s">
        <v>328</v>
      </c>
      <c r="AL38" s="15" t="s">
        <v>328</v>
      </c>
      <c r="AM38" s="15" t="s">
        <v>328</v>
      </c>
      <c r="AN38" s="15"/>
      <c r="AO38" s="15" t="s">
        <v>328</v>
      </c>
      <c r="AP38" s="15">
        <v>8</v>
      </c>
      <c r="AQ38" s="15">
        <v>6</v>
      </c>
      <c r="AR38" s="15"/>
      <c r="AS38" s="15"/>
      <c r="AT38" s="15"/>
      <c r="AU38" s="15" t="s">
        <v>328</v>
      </c>
      <c r="AV38" s="15">
        <v>2</v>
      </c>
      <c r="AW38" s="15">
        <v>4</v>
      </c>
      <c r="AX38" s="15">
        <v>3</v>
      </c>
      <c r="AY38" s="15" t="s">
        <v>346</v>
      </c>
      <c r="AZ38" s="15"/>
      <c r="BA38" s="15" t="s">
        <v>328</v>
      </c>
      <c r="BB38" s="15"/>
      <c r="BC38" s="15"/>
      <c r="BD38" s="15"/>
      <c r="BE38" s="15" t="s">
        <v>328</v>
      </c>
      <c r="BF38" s="15" t="s">
        <v>328</v>
      </c>
      <c r="BG38" s="15"/>
      <c r="BH38" s="15"/>
      <c r="BI38" s="15"/>
      <c r="BJ38" s="15"/>
      <c r="BK38" s="15"/>
      <c r="BL38" s="15"/>
      <c r="BM38" s="15" t="s">
        <v>328</v>
      </c>
      <c r="BN38" s="15"/>
      <c r="BO38" s="15" t="s">
        <v>328</v>
      </c>
      <c r="BP38" s="15" t="s">
        <v>328</v>
      </c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 t="s">
        <v>328</v>
      </c>
      <c r="CB38" s="15"/>
      <c r="CC38" s="15"/>
      <c r="CD38" s="15"/>
      <c r="CE38" s="15"/>
      <c r="CF38" s="15"/>
      <c r="CG38" s="15" t="s">
        <v>328</v>
      </c>
      <c r="CH38" s="15"/>
      <c r="CI38" s="15"/>
      <c r="CJ38" s="15"/>
      <c r="CK38" s="15" t="s">
        <v>328</v>
      </c>
      <c r="CL38" s="15">
        <v>4</v>
      </c>
      <c r="CM38" s="15">
        <v>3</v>
      </c>
      <c r="CN38" s="15">
        <v>2</v>
      </c>
      <c r="CO38" s="15">
        <v>6</v>
      </c>
      <c r="CP38" s="15">
        <v>5</v>
      </c>
      <c r="CQ38" s="15">
        <v>1</v>
      </c>
      <c r="CR38" s="15"/>
      <c r="CS38" s="15" t="s">
        <v>328</v>
      </c>
      <c r="CT38" s="15"/>
      <c r="CU38" s="15"/>
      <c r="CV38" s="15"/>
      <c r="CW38" s="15"/>
      <c r="CX38" s="15"/>
      <c r="CY38" s="15"/>
      <c r="CZ38" s="15"/>
      <c r="DA38" s="15">
        <v>4</v>
      </c>
      <c r="DB38" s="15">
        <v>1</v>
      </c>
      <c r="DC38" s="15">
        <v>2</v>
      </c>
      <c r="DD38" s="15">
        <v>3</v>
      </c>
      <c r="DE38" s="15">
        <v>6</v>
      </c>
      <c r="DF38" s="15">
        <v>5</v>
      </c>
      <c r="DG38" s="15"/>
      <c r="DH38" s="15" t="s">
        <v>328</v>
      </c>
      <c r="DI38" s="15"/>
      <c r="DJ38" s="15"/>
      <c r="DK38" s="15"/>
      <c r="DL38" s="15"/>
      <c r="DM38" s="15"/>
      <c r="DN38" s="15"/>
      <c r="DO38" s="15"/>
      <c r="DP38" s="15" t="s">
        <v>328</v>
      </c>
      <c r="DQ38" s="15"/>
      <c r="DR38" s="15"/>
      <c r="DS38" s="15" t="s">
        <v>328</v>
      </c>
      <c r="DT38" s="15" t="s">
        <v>680</v>
      </c>
      <c r="DU38" s="15" t="s">
        <v>492</v>
      </c>
      <c r="DV38" s="14" t="s">
        <v>497</v>
      </c>
      <c r="DW38" s="15" t="s">
        <v>328</v>
      </c>
      <c r="DX38" s="15"/>
      <c r="DY38" s="15"/>
      <c r="DZ38" s="15"/>
      <c r="EA38" s="15"/>
      <c r="EB38" s="15"/>
      <c r="EC38" s="102"/>
      <c r="ED38" s="99"/>
    </row>
    <row r="39" spans="1:134" x14ac:dyDescent="0.25">
      <c r="A39" s="52" t="s">
        <v>1857</v>
      </c>
      <c r="B39" s="103" t="s">
        <v>1809</v>
      </c>
      <c r="C39" s="15"/>
      <c r="D39" s="15" t="s">
        <v>328</v>
      </c>
      <c r="E39" s="15">
        <v>28</v>
      </c>
      <c r="F39" s="15" t="s">
        <v>329</v>
      </c>
      <c r="G39" s="15" t="s">
        <v>399</v>
      </c>
      <c r="H39" s="15" t="s">
        <v>1629</v>
      </c>
      <c r="I39" s="18" t="s">
        <v>1630</v>
      </c>
      <c r="J39" s="15" t="s">
        <v>1256</v>
      </c>
      <c r="K39" s="15">
        <v>0</v>
      </c>
      <c r="L39" s="15">
        <v>6</v>
      </c>
      <c r="M39" s="15"/>
      <c r="N39" s="15">
        <v>6</v>
      </c>
      <c r="O39" s="15"/>
      <c r="P39" s="15"/>
      <c r="Q39" s="15"/>
      <c r="R39" s="15"/>
      <c r="S39" s="15"/>
      <c r="T39" s="15">
        <v>6</v>
      </c>
      <c r="U39" s="15"/>
      <c r="V39" s="15"/>
      <c r="W39" s="15"/>
      <c r="X39" s="15"/>
      <c r="Y39" s="15"/>
      <c r="Z39" s="15"/>
      <c r="AA39" s="15" t="s">
        <v>328</v>
      </c>
      <c r="AB39" s="15"/>
      <c r="AC39" s="15"/>
      <c r="AD39" s="15" t="s">
        <v>328</v>
      </c>
      <c r="AE39" s="15"/>
      <c r="AF39" s="15"/>
      <c r="AG39" s="15"/>
      <c r="AH39" s="15"/>
      <c r="AI39" s="15" t="s">
        <v>1165</v>
      </c>
      <c r="AJ39" s="15" t="s">
        <v>328</v>
      </c>
      <c r="AK39" s="15" t="s">
        <v>328</v>
      </c>
      <c r="AL39" s="15" t="s">
        <v>328</v>
      </c>
      <c r="AM39" s="15"/>
      <c r="AN39" s="15"/>
      <c r="AO39" s="15" t="s">
        <v>328</v>
      </c>
      <c r="AP39" s="15">
        <v>8</v>
      </c>
      <c r="AQ39" s="15">
        <v>4</v>
      </c>
      <c r="AR39" s="15"/>
      <c r="AS39" s="15"/>
      <c r="AT39" s="15"/>
      <c r="AU39" s="15" t="s">
        <v>328</v>
      </c>
      <c r="AV39" s="15">
        <v>3</v>
      </c>
      <c r="AW39" s="15">
        <v>2</v>
      </c>
      <c r="AX39" s="15">
        <v>4</v>
      </c>
      <c r="AY39" s="15" t="s">
        <v>346</v>
      </c>
      <c r="AZ39" s="15"/>
      <c r="BA39" s="15" t="s">
        <v>328</v>
      </c>
      <c r="BB39" s="15" t="s">
        <v>328</v>
      </c>
      <c r="BC39" s="15"/>
      <c r="BD39" s="15"/>
      <c r="BE39" s="15"/>
      <c r="BF39" s="15" t="s">
        <v>328</v>
      </c>
      <c r="BG39" s="15"/>
      <c r="BH39" s="15"/>
      <c r="BI39" s="15" t="s">
        <v>328</v>
      </c>
      <c r="BJ39" s="15"/>
      <c r="BK39" s="15"/>
      <c r="BL39" s="15"/>
      <c r="BM39" s="15" t="s">
        <v>328</v>
      </c>
      <c r="BN39" s="15"/>
      <c r="BO39" s="15" t="s">
        <v>328</v>
      </c>
      <c r="BP39" s="15" t="s">
        <v>328</v>
      </c>
      <c r="BQ39" s="15"/>
      <c r="BR39" s="15"/>
      <c r="BS39" s="15"/>
      <c r="BT39" s="15"/>
      <c r="BU39" s="15"/>
      <c r="BV39" s="15"/>
      <c r="BW39" s="15"/>
      <c r="BX39" s="15"/>
      <c r="BY39" s="15"/>
      <c r="BZ39" s="15" t="s">
        <v>328</v>
      </c>
      <c r="CA39" s="15" t="s">
        <v>328</v>
      </c>
      <c r="CB39" s="15"/>
      <c r="CC39" s="15"/>
      <c r="CD39" s="15"/>
      <c r="CE39" s="15"/>
      <c r="CF39" s="15"/>
      <c r="CG39" s="15" t="s">
        <v>328</v>
      </c>
      <c r="CH39" s="15"/>
      <c r="CI39" s="15"/>
      <c r="CJ39" s="15"/>
      <c r="CK39" s="15" t="s">
        <v>328</v>
      </c>
      <c r="CL39" s="15">
        <v>4</v>
      </c>
      <c r="CM39" s="15">
        <v>3</v>
      </c>
      <c r="CN39" s="15">
        <v>2</v>
      </c>
      <c r="CO39" s="15">
        <v>5</v>
      </c>
      <c r="CP39" s="15">
        <v>6</v>
      </c>
      <c r="CQ39" s="15">
        <v>1</v>
      </c>
      <c r="CR39" s="15" t="s">
        <v>328</v>
      </c>
      <c r="CS39" s="15" t="s">
        <v>328</v>
      </c>
      <c r="CT39" s="15"/>
      <c r="CU39" s="15"/>
      <c r="CV39" s="15" t="s">
        <v>328</v>
      </c>
      <c r="CW39" s="15"/>
      <c r="CX39" s="15"/>
      <c r="CY39" s="15"/>
      <c r="CZ39" s="15"/>
      <c r="DA39" s="15">
        <v>4</v>
      </c>
      <c r="DB39" s="15">
        <v>1</v>
      </c>
      <c r="DC39" s="15">
        <v>2</v>
      </c>
      <c r="DD39" s="15">
        <v>3</v>
      </c>
      <c r="DE39" s="15">
        <v>6</v>
      </c>
      <c r="DF39" s="15">
        <v>5</v>
      </c>
      <c r="DG39" s="15"/>
      <c r="DH39" s="15" t="s">
        <v>328</v>
      </c>
      <c r="DI39" s="15"/>
      <c r="DJ39" s="15"/>
      <c r="DK39" s="15"/>
      <c r="DL39" s="15"/>
      <c r="DM39" s="15"/>
      <c r="DN39" s="15"/>
      <c r="DO39" s="15"/>
      <c r="DP39" s="15" t="s">
        <v>328</v>
      </c>
      <c r="DQ39" s="15"/>
      <c r="DR39" s="15"/>
      <c r="DS39" s="15" t="s">
        <v>328</v>
      </c>
      <c r="DT39" s="15" t="s">
        <v>680</v>
      </c>
      <c r="DU39" s="15" t="s">
        <v>492</v>
      </c>
      <c r="DV39" s="15" t="s">
        <v>497</v>
      </c>
      <c r="DW39" s="15" t="s">
        <v>328</v>
      </c>
      <c r="DX39" s="15"/>
      <c r="DY39" s="15"/>
      <c r="DZ39" s="15"/>
      <c r="EA39" s="15"/>
      <c r="EB39" s="15"/>
      <c r="EC39" s="102" t="s">
        <v>333</v>
      </c>
      <c r="ED39" s="99"/>
    </row>
    <row r="40" spans="1:134" ht="15.75" thickBot="1" x14ac:dyDescent="0.3">
      <c r="A40" s="53" t="s">
        <v>1857</v>
      </c>
      <c r="B40" s="104" t="s">
        <v>1817</v>
      </c>
      <c r="C40" s="68"/>
      <c r="D40" s="68" t="s">
        <v>328</v>
      </c>
      <c r="E40" s="68">
        <v>45</v>
      </c>
      <c r="F40" s="68" t="s">
        <v>329</v>
      </c>
      <c r="G40" s="68" t="s">
        <v>330</v>
      </c>
      <c r="H40" s="68" t="s">
        <v>1614</v>
      </c>
      <c r="I40" s="68" t="s">
        <v>1615</v>
      </c>
      <c r="J40" s="68" t="s">
        <v>1256</v>
      </c>
      <c r="K40" s="68">
        <v>25</v>
      </c>
      <c r="L40" s="68">
        <v>6</v>
      </c>
      <c r="M40" s="68">
        <v>3</v>
      </c>
      <c r="N40" s="68"/>
      <c r="O40" s="68"/>
      <c r="P40" s="68"/>
      <c r="Q40" s="68"/>
      <c r="R40" s="68"/>
      <c r="S40" s="68">
        <v>3</v>
      </c>
      <c r="T40" s="68"/>
      <c r="U40" s="68"/>
      <c r="V40" s="68"/>
      <c r="W40" s="68"/>
      <c r="X40" s="68">
        <v>3</v>
      </c>
      <c r="Y40" s="68"/>
      <c r="Z40" s="68"/>
      <c r="AA40" s="68"/>
      <c r="AB40" s="68"/>
      <c r="AC40" s="68" t="s">
        <v>328</v>
      </c>
      <c r="AD40" s="68" t="s">
        <v>328</v>
      </c>
      <c r="AE40" s="68"/>
      <c r="AF40" s="68"/>
      <c r="AG40" s="68"/>
      <c r="AH40" s="68"/>
      <c r="AI40" s="68"/>
      <c r="AJ40" s="68"/>
      <c r="AK40" s="68" t="s">
        <v>328</v>
      </c>
      <c r="AL40" s="68"/>
      <c r="AM40" s="68"/>
      <c r="AN40" s="68" t="s">
        <v>328</v>
      </c>
      <c r="AO40" s="68"/>
      <c r="AP40" s="68">
        <v>10</v>
      </c>
      <c r="AQ40" s="68">
        <v>5</v>
      </c>
      <c r="AR40" s="68"/>
      <c r="AS40" s="68"/>
      <c r="AT40" s="68"/>
      <c r="AU40" s="68" t="s">
        <v>328</v>
      </c>
      <c r="AV40" s="68">
        <v>3</v>
      </c>
      <c r="AW40" s="68">
        <v>1</v>
      </c>
      <c r="AX40" s="68">
        <v>2</v>
      </c>
      <c r="AY40" s="68"/>
      <c r="AZ40" s="68"/>
      <c r="BA40" s="68" t="s">
        <v>328</v>
      </c>
      <c r="BB40" s="68"/>
      <c r="BC40" s="68"/>
      <c r="BD40" s="68"/>
      <c r="BE40" s="68" t="s">
        <v>328</v>
      </c>
      <c r="BF40" s="68"/>
      <c r="BG40" s="68"/>
      <c r="BH40" s="68"/>
      <c r="BI40" s="68" t="s">
        <v>328</v>
      </c>
      <c r="BJ40" s="68"/>
      <c r="BK40" s="68"/>
      <c r="BL40" s="68" t="s">
        <v>328</v>
      </c>
      <c r="BM40" s="68"/>
      <c r="BN40" s="68" t="s">
        <v>328</v>
      </c>
      <c r="BO40" s="68"/>
      <c r="BP40" s="68"/>
      <c r="BQ40" s="68" t="s">
        <v>328</v>
      </c>
      <c r="BR40" s="68"/>
      <c r="BS40" s="68"/>
      <c r="BT40" s="68"/>
      <c r="BU40" s="68" t="s">
        <v>328</v>
      </c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 t="s">
        <v>332</v>
      </c>
      <c r="CG40" s="68" t="s">
        <v>328</v>
      </c>
      <c r="CH40" s="68"/>
      <c r="CI40" s="68"/>
      <c r="CJ40" s="68"/>
      <c r="CK40" s="68" t="s">
        <v>328</v>
      </c>
      <c r="CL40" s="68">
        <v>1</v>
      </c>
      <c r="CM40" s="68">
        <v>3</v>
      </c>
      <c r="CN40" s="68">
        <v>6</v>
      </c>
      <c r="CO40" s="68">
        <v>4</v>
      </c>
      <c r="CP40" s="68">
        <v>5</v>
      </c>
      <c r="CQ40" s="68">
        <v>2</v>
      </c>
      <c r="CR40" s="68" t="s">
        <v>328</v>
      </c>
      <c r="CS40" s="68" t="s">
        <v>328</v>
      </c>
      <c r="CT40" s="68"/>
      <c r="CU40" s="68"/>
      <c r="CV40" s="68" t="s">
        <v>328</v>
      </c>
      <c r="CW40" s="68" t="s">
        <v>328</v>
      </c>
      <c r="CX40" s="68"/>
      <c r="CY40" s="68"/>
      <c r="CZ40" s="68"/>
      <c r="DA40" s="68">
        <v>3</v>
      </c>
      <c r="DB40" s="68">
        <v>5</v>
      </c>
      <c r="DC40" s="68">
        <v>6</v>
      </c>
      <c r="DD40" s="68">
        <v>2</v>
      </c>
      <c r="DE40" s="68">
        <v>1</v>
      </c>
      <c r="DF40" s="68">
        <v>3</v>
      </c>
      <c r="DG40" s="68"/>
      <c r="DH40" s="68" t="s">
        <v>328</v>
      </c>
      <c r="DI40" s="68"/>
      <c r="DJ40" s="68"/>
      <c r="DK40" s="68"/>
      <c r="DL40" s="68"/>
      <c r="DM40" s="68"/>
      <c r="DN40" s="68"/>
      <c r="DO40" s="68"/>
      <c r="DP40" s="68" t="s">
        <v>328</v>
      </c>
      <c r="DQ40" s="68" t="s">
        <v>328</v>
      </c>
      <c r="DR40" s="105" t="s">
        <v>437</v>
      </c>
      <c r="DS40" s="68"/>
      <c r="DT40" s="68"/>
      <c r="DU40" s="105" t="s">
        <v>428</v>
      </c>
      <c r="DV40" s="68" t="s">
        <v>497</v>
      </c>
      <c r="DW40" s="68" t="s">
        <v>328</v>
      </c>
      <c r="DX40" s="68"/>
      <c r="DY40" s="68"/>
      <c r="DZ40" s="105"/>
      <c r="EA40" s="68"/>
      <c r="EB40" s="68"/>
      <c r="EC40" s="106" t="s">
        <v>333</v>
      </c>
      <c r="ED40" s="48"/>
    </row>
    <row r="42" spans="1:134" x14ac:dyDescent="0.25">
      <c r="Z42" s="17">
        <f>COUNTIF(Z7:Z40,"X")</f>
        <v>8</v>
      </c>
      <c r="AA42" s="17">
        <f t="shared" ref="AA42:AK42" si="0">COUNTIF(AA7:AA40,"X")</f>
        <v>7</v>
      </c>
      <c r="AB42" s="17">
        <f t="shared" si="0"/>
        <v>2</v>
      </c>
      <c r="AC42" s="17">
        <f t="shared" si="0"/>
        <v>8</v>
      </c>
      <c r="AD42" s="17">
        <f t="shared" si="0"/>
        <v>12</v>
      </c>
      <c r="AE42" s="17">
        <f t="shared" si="0"/>
        <v>8</v>
      </c>
      <c r="AF42" s="17">
        <f t="shared" si="0"/>
        <v>6</v>
      </c>
      <c r="AG42" s="17">
        <f t="shared" si="0"/>
        <v>9</v>
      </c>
      <c r="AH42" s="17">
        <f t="shared" si="0"/>
        <v>5</v>
      </c>
      <c r="AI42" s="17">
        <f>COUNTA(AI7:AI40)</f>
        <v>12</v>
      </c>
      <c r="AJ42" s="17">
        <f t="shared" si="0"/>
        <v>21</v>
      </c>
      <c r="AK42" s="17">
        <f t="shared" si="0"/>
        <v>17</v>
      </c>
    </row>
    <row r="43" spans="1:134" x14ac:dyDescent="0.25">
      <c r="AB43" s="17">
        <f>+AB42+AH42</f>
        <v>7</v>
      </c>
      <c r="AD43" s="17">
        <f>+AD42+AF42</f>
        <v>18</v>
      </c>
    </row>
    <row r="45" spans="1:134" ht="15.75" thickBot="1" x14ac:dyDescent="0.3">
      <c r="A45" s="17" t="s">
        <v>7</v>
      </c>
    </row>
    <row r="46" spans="1:134" ht="15.75" thickBot="1" x14ac:dyDescent="0.3">
      <c r="B46" s="268" t="s">
        <v>0</v>
      </c>
      <c r="C46" s="277" t="s">
        <v>1</v>
      </c>
      <c r="D46" s="278"/>
      <c r="E46" s="262">
        <v>1</v>
      </c>
      <c r="F46" s="263"/>
      <c r="G46" s="84">
        <v>2</v>
      </c>
      <c r="H46" s="85">
        <v>3</v>
      </c>
      <c r="I46" s="85"/>
      <c r="J46" s="85"/>
      <c r="K46" s="85">
        <v>4</v>
      </c>
      <c r="L46" s="84">
        <v>5</v>
      </c>
      <c r="M46" s="289">
        <v>6</v>
      </c>
      <c r="N46" s="290"/>
      <c r="O46" s="290"/>
      <c r="P46" s="290"/>
      <c r="Q46" s="290"/>
      <c r="R46" s="290"/>
      <c r="S46" s="291"/>
      <c r="T46" s="291"/>
      <c r="U46" s="291"/>
      <c r="V46" s="291"/>
      <c r="W46" s="291"/>
      <c r="X46" s="291"/>
      <c r="Y46" s="292"/>
      <c r="Z46" s="262">
        <v>7</v>
      </c>
      <c r="AA46" s="284"/>
      <c r="AB46" s="284"/>
      <c r="AC46" s="284"/>
      <c r="AD46" s="284"/>
      <c r="AE46" s="284"/>
      <c r="AF46" s="284"/>
      <c r="AG46" s="284"/>
      <c r="AH46" s="284"/>
      <c r="AI46" s="263"/>
      <c r="AJ46" s="297">
        <v>8</v>
      </c>
      <c r="AK46" s="298"/>
      <c r="AL46" s="298"/>
      <c r="AM46" s="298"/>
      <c r="AN46" s="298"/>
      <c r="AO46" s="299"/>
      <c r="AP46" s="262">
        <v>9</v>
      </c>
      <c r="AQ46" s="263"/>
      <c r="AR46" s="262">
        <v>10</v>
      </c>
      <c r="AS46" s="284"/>
      <c r="AT46" s="284"/>
      <c r="AU46" s="284"/>
      <c r="AV46" s="284"/>
      <c r="AW46" s="284"/>
      <c r="AX46" s="284"/>
      <c r="AY46" s="263"/>
      <c r="AZ46" s="262">
        <v>11</v>
      </c>
      <c r="BA46" s="263"/>
      <c r="BB46" s="262">
        <v>12</v>
      </c>
      <c r="BC46" s="284"/>
      <c r="BD46" s="284"/>
      <c r="BE46" s="284"/>
      <c r="BF46" s="284"/>
      <c r="BG46" s="301"/>
      <c r="BH46" s="301"/>
      <c r="BI46" s="301"/>
      <c r="BJ46" s="301"/>
      <c r="BK46" s="263"/>
      <c r="BL46" s="262">
        <v>13</v>
      </c>
      <c r="BM46" s="263"/>
      <c r="BN46" s="262">
        <v>14</v>
      </c>
      <c r="BO46" s="263"/>
      <c r="BP46" s="262">
        <v>15</v>
      </c>
      <c r="BQ46" s="284"/>
      <c r="BR46" s="284"/>
      <c r="BS46" s="284"/>
      <c r="BT46" s="284"/>
      <c r="BU46" s="284"/>
      <c r="BV46" s="263"/>
      <c r="BW46" s="262">
        <v>16</v>
      </c>
      <c r="BX46" s="284"/>
      <c r="BY46" s="284"/>
      <c r="BZ46" s="284"/>
      <c r="CA46" s="284"/>
      <c r="CB46" s="284"/>
      <c r="CC46" s="284"/>
      <c r="CD46" s="284"/>
      <c r="CE46" s="284"/>
      <c r="CF46" s="263"/>
      <c r="CG46" s="262">
        <v>17</v>
      </c>
      <c r="CH46" s="284"/>
      <c r="CI46" s="284"/>
      <c r="CJ46" s="301"/>
      <c r="CK46" s="263"/>
      <c r="CL46" s="262">
        <v>18</v>
      </c>
      <c r="CM46" s="284"/>
      <c r="CN46" s="284"/>
      <c r="CO46" s="284"/>
      <c r="CP46" s="284"/>
      <c r="CQ46" s="263"/>
      <c r="CR46" s="262">
        <v>19</v>
      </c>
      <c r="CS46" s="284"/>
      <c r="CT46" s="284"/>
      <c r="CU46" s="284"/>
      <c r="CV46" s="284"/>
      <c r="CW46" s="284"/>
      <c r="CX46" s="263"/>
      <c r="CY46" s="262">
        <v>20</v>
      </c>
      <c r="CZ46" s="284"/>
      <c r="DA46" s="284"/>
      <c r="DB46" s="284"/>
      <c r="DC46" s="284"/>
      <c r="DD46" s="284"/>
      <c r="DE46" s="284"/>
      <c r="DF46" s="284"/>
      <c r="DG46" s="263"/>
      <c r="DH46" s="262">
        <v>21</v>
      </c>
      <c r="DI46" s="284"/>
      <c r="DJ46" s="284"/>
      <c r="DK46" s="284"/>
      <c r="DL46" s="284"/>
      <c r="DM46" s="284"/>
      <c r="DN46" s="263"/>
      <c r="DO46" s="262">
        <v>22</v>
      </c>
      <c r="DP46" s="284"/>
      <c r="DQ46" s="284"/>
      <c r="DR46" s="284"/>
      <c r="DS46" s="284"/>
      <c r="DT46" s="284"/>
      <c r="DU46" s="284"/>
      <c r="DV46" s="263"/>
      <c r="DW46" s="289">
        <v>23</v>
      </c>
      <c r="DX46" s="290"/>
      <c r="DY46" s="290"/>
      <c r="DZ46" s="290"/>
      <c r="EA46" s="290"/>
      <c r="EB46" s="290"/>
      <c r="EC46" s="292"/>
      <c r="ED46" s="86"/>
    </row>
    <row r="47" spans="1:134" ht="15.75" thickBot="1" x14ac:dyDescent="0.3">
      <c r="B47" s="269"/>
      <c r="C47" s="279" t="s">
        <v>7</v>
      </c>
      <c r="D47" s="281" t="s">
        <v>8</v>
      </c>
      <c r="E47" s="271" t="s">
        <v>2</v>
      </c>
      <c r="F47" s="273" t="s">
        <v>3</v>
      </c>
      <c r="G47" s="266" t="s">
        <v>4</v>
      </c>
      <c r="H47" s="275" t="s">
        <v>5</v>
      </c>
      <c r="I47" s="240" t="s">
        <v>1180</v>
      </c>
      <c r="J47" s="240" t="s">
        <v>1328</v>
      </c>
      <c r="K47" s="275" t="s">
        <v>6</v>
      </c>
      <c r="L47" s="266" t="s">
        <v>9</v>
      </c>
      <c r="M47" s="285" t="s">
        <v>10</v>
      </c>
      <c r="N47" s="286"/>
      <c r="O47" s="286"/>
      <c r="P47" s="286"/>
      <c r="Q47" s="286"/>
      <c r="R47" s="286"/>
      <c r="S47" s="287"/>
      <c r="T47" s="287"/>
      <c r="U47" s="287"/>
      <c r="V47" s="287"/>
      <c r="W47" s="287"/>
      <c r="X47" s="287"/>
      <c r="Y47" s="288"/>
      <c r="Z47" s="264" t="s">
        <v>18</v>
      </c>
      <c r="AA47" s="265"/>
      <c r="AB47" s="265"/>
      <c r="AC47" s="265"/>
      <c r="AD47" s="265"/>
      <c r="AE47" s="265"/>
      <c r="AF47" s="265"/>
      <c r="AG47" s="265"/>
      <c r="AH47" s="265"/>
      <c r="AI47" s="293"/>
      <c r="AJ47" s="294" t="s">
        <v>29</v>
      </c>
      <c r="AK47" s="295"/>
      <c r="AL47" s="295"/>
      <c r="AM47" s="295"/>
      <c r="AN47" s="295"/>
      <c r="AO47" s="296"/>
      <c r="AP47" s="260" t="s">
        <v>37</v>
      </c>
      <c r="AQ47" s="261"/>
      <c r="AR47" s="264" t="s">
        <v>38</v>
      </c>
      <c r="AS47" s="265"/>
      <c r="AT47" s="265"/>
      <c r="AU47" s="265"/>
      <c r="AV47" s="283" t="s">
        <v>42</v>
      </c>
      <c r="AW47" s="283"/>
      <c r="AX47" s="283"/>
      <c r="AY47" s="261"/>
      <c r="AZ47" s="260" t="s">
        <v>47</v>
      </c>
      <c r="BA47" s="261"/>
      <c r="BB47" s="260" t="s">
        <v>51</v>
      </c>
      <c r="BC47" s="283"/>
      <c r="BD47" s="283"/>
      <c r="BE47" s="283"/>
      <c r="BF47" s="283"/>
      <c r="BG47" s="300"/>
      <c r="BH47" s="300"/>
      <c r="BI47" s="300"/>
      <c r="BJ47" s="300"/>
      <c r="BK47" s="261"/>
      <c r="BL47" s="260" t="s">
        <v>56</v>
      </c>
      <c r="BM47" s="261"/>
      <c r="BN47" s="260" t="s">
        <v>266</v>
      </c>
      <c r="BO47" s="261"/>
      <c r="BP47" s="260" t="s">
        <v>58</v>
      </c>
      <c r="BQ47" s="283"/>
      <c r="BR47" s="283"/>
      <c r="BS47" s="283"/>
      <c r="BT47" s="283"/>
      <c r="BU47" s="283"/>
      <c r="BV47" s="261"/>
      <c r="BW47" s="260" t="s">
        <v>66</v>
      </c>
      <c r="BX47" s="283"/>
      <c r="BY47" s="283"/>
      <c r="BZ47" s="283"/>
      <c r="CA47" s="283"/>
      <c r="CB47" s="283"/>
      <c r="CC47" s="283"/>
      <c r="CD47" s="283"/>
      <c r="CE47" s="283"/>
      <c r="CF47" s="261"/>
      <c r="CG47" s="264" t="s">
        <v>268</v>
      </c>
      <c r="CH47" s="265"/>
      <c r="CI47" s="265"/>
      <c r="CJ47" s="302"/>
      <c r="CK47" s="293"/>
      <c r="CL47" s="260" t="s">
        <v>85</v>
      </c>
      <c r="CM47" s="283"/>
      <c r="CN47" s="283"/>
      <c r="CO47" s="283"/>
      <c r="CP47" s="283"/>
      <c r="CQ47" s="261"/>
      <c r="CR47" s="260" t="s">
        <v>269</v>
      </c>
      <c r="CS47" s="283"/>
      <c r="CT47" s="283"/>
      <c r="CU47" s="283"/>
      <c r="CV47" s="283"/>
      <c r="CW47" s="283"/>
      <c r="CX47" s="261"/>
      <c r="CY47" s="260" t="s">
        <v>94</v>
      </c>
      <c r="CZ47" s="283"/>
      <c r="DA47" s="283"/>
      <c r="DB47" s="283"/>
      <c r="DC47" s="283"/>
      <c r="DD47" s="283"/>
      <c r="DE47" s="283"/>
      <c r="DF47" s="283"/>
      <c r="DG47" s="261"/>
      <c r="DH47" s="260" t="s">
        <v>95</v>
      </c>
      <c r="DI47" s="283"/>
      <c r="DJ47" s="283" t="s">
        <v>96</v>
      </c>
      <c r="DK47" s="283"/>
      <c r="DL47" s="283"/>
      <c r="DM47" s="283" t="s">
        <v>97</v>
      </c>
      <c r="DN47" s="261" t="s">
        <v>98</v>
      </c>
      <c r="DO47" s="260" t="s">
        <v>99</v>
      </c>
      <c r="DP47" s="300"/>
      <c r="DQ47" s="313" t="s">
        <v>96</v>
      </c>
      <c r="DR47" s="314"/>
      <c r="DS47" s="314"/>
      <c r="DT47" s="315"/>
      <c r="DU47" s="308" t="s">
        <v>97</v>
      </c>
      <c r="DV47" s="261" t="s">
        <v>98</v>
      </c>
      <c r="DW47" s="260" t="s">
        <v>100</v>
      </c>
      <c r="DX47" s="300"/>
      <c r="DY47" s="310" t="s">
        <v>96</v>
      </c>
      <c r="DZ47" s="311"/>
      <c r="EA47" s="312"/>
      <c r="EB47" s="308" t="s">
        <v>101</v>
      </c>
      <c r="EC47" s="261" t="s">
        <v>98</v>
      </c>
      <c r="ED47" s="87"/>
    </row>
    <row r="48" spans="1:134" ht="60.75" thickBot="1" x14ac:dyDescent="0.3">
      <c r="B48" s="270"/>
      <c r="C48" s="280"/>
      <c r="D48" s="282"/>
      <c r="E48" s="272"/>
      <c r="F48" s="274"/>
      <c r="G48" s="267"/>
      <c r="H48" s="276"/>
      <c r="I48" s="241"/>
      <c r="J48" s="241"/>
      <c r="K48" s="276"/>
      <c r="L48" s="267"/>
      <c r="M48" s="246" t="s">
        <v>11</v>
      </c>
      <c r="N48" s="236" t="s">
        <v>12</v>
      </c>
      <c r="O48" s="236" t="s">
        <v>13</v>
      </c>
      <c r="P48" s="236" t="s">
        <v>14</v>
      </c>
      <c r="Q48" s="236" t="s">
        <v>15</v>
      </c>
      <c r="R48" s="236" t="s">
        <v>16</v>
      </c>
      <c r="S48" s="257" t="s">
        <v>17</v>
      </c>
      <c r="T48" s="258"/>
      <c r="U48" s="258"/>
      <c r="V48" s="258"/>
      <c r="W48" s="258"/>
      <c r="X48" s="258"/>
      <c r="Y48" s="259"/>
      <c r="Z48" s="88" t="s">
        <v>19</v>
      </c>
      <c r="AA48" s="236" t="s">
        <v>20</v>
      </c>
      <c r="AB48" s="236" t="s">
        <v>21</v>
      </c>
      <c r="AC48" s="236" t="s">
        <v>22</v>
      </c>
      <c r="AD48" s="236" t="s">
        <v>23</v>
      </c>
      <c r="AE48" s="236" t="s">
        <v>24</v>
      </c>
      <c r="AF48" s="236" t="s">
        <v>25</v>
      </c>
      <c r="AG48" s="236" t="s">
        <v>26</v>
      </c>
      <c r="AH48" s="236" t="s">
        <v>27</v>
      </c>
      <c r="AI48" s="235" t="s">
        <v>28</v>
      </c>
      <c r="AJ48" s="88" t="s">
        <v>30</v>
      </c>
      <c r="AK48" s="236" t="s">
        <v>31</v>
      </c>
      <c r="AL48" s="236" t="s">
        <v>32</v>
      </c>
      <c r="AM48" s="236" t="s">
        <v>33</v>
      </c>
      <c r="AN48" s="235" t="s">
        <v>34</v>
      </c>
      <c r="AO48" s="238" t="s">
        <v>263</v>
      </c>
      <c r="AP48" s="88" t="s">
        <v>35</v>
      </c>
      <c r="AQ48" s="235" t="s">
        <v>36</v>
      </c>
      <c r="AR48" s="88" t="s">
        <v>39</v>
      </c>
      <c r="AS48" s="236" t="s">
        <v>40</v>
      </c>
      <c r="AT48" s="236" t="s">
        <v>41</v>
      </c>
      <c r="AU48" s="236" t="s">
        <v>1344</v>
      </c>
      <c r="AV48" s="236" t="s">
        <v>43</v>
      </c>
      <c r="AW48" s="236" t="s">
        <v>44</v>
      </c>
      <c r="AX48" s="236" t="s">
        <v>45</v>
      </c>
      <c r="AY48" s="235" t="s">
        <v>46</v>
      </c>
      <c r="AZ48" s="88" t="s">
        <v>48</v>
      </c>
      <c r="BA48" s="235" t="s">
        <v>49</v>
      </c>
      <c r="BB48" s="88" t="s">
        <v>50</v>
      </c>
      <c r="BC48" s="236" t="s">
        <v>52</v>
      </c>
      <c r="BD48" s="236" t="s">
        <v>53</v>
      </c>
      <c r="BE48" s="236" t="s">
        <v>54</v>
      </c>
      <c r="BF48" s="236" t="s">
        <v>55</v>
      </c>
      <c r="BG48" s="237" t="s">
        <v>861</v>
      </c>
      <c r="BH48" s="237" t="s">
        <v>862</v>
      </c>
      <c r="BI48" s="237" t="s">
        <v>1345</v>
      </c>
      <c r="BJ48" s="237" t="s">
        <v>866</v>
      </c>
      <c r="BK48" s="235" t="s">
        <v>46</v>
      </c>
      <c r="BL48" s="88" t="s">
        <v>49</v>
      </c>
      <c r="BM48" s="235" t="s">
        <v>57</v>
      </c>
      <c r="BN48" s="88" t="s">
        <v>49</v>
      </c>
      <c r="BO48" s="235" t="s">
        <v>57</v>
      </c>
      <c r="BP48" s="88" t="s">
        <v>59</v>
      </c>
      <c r="BQ48" s="236" t="s">
        <v>60</v>
      </c>
      <c r="BR48" s="236" t="s">
        <v>61</v>
      </c>
      <c r="BS48" s="236" t="s">
        <v>62</v>
      </c>
      <c r="BT48" s="236" t="s">
        <v>63</v>
      </c>
      <c r="BU48" s="236" t="s">
        <v>64</v>
      </c>
      <c r="BV48" s="235" t="s">
        <v>65</v>
      </c>
      <c r="BW48" s="88" t="s">
        <v>67</v>
      </c>
      <c r="BX48" s="236" t="s">
        <v>267</v>
      </c>
      <c r="BY48" s="236" t="s">
        <v>68</v>
      </c>
      <c r="BZ48" s="236" t="s">
        <v>69</v>
      </c>
      <c r="CA48" s="236" t="s">
        <v>70</v>
      </c>
      <c r="CB48" s="236" t="s">
        <v>218</v>
      </c>
      <c r="CC48" s="236" t="s">
        <v>71</v>
      </c>
      <c r="CD48" s="236" t="s">
        <v>72</v>
      </c>
      <c r="CE48" s="236" t="s">
        <v>73</v>
      </c>
      <c r="CF48" s="235" t="s">
        <v>74</v>
      </c>
      <c r="CG48" s="88" t="s">
        <v>75</v>
      </c>
      <c r="CH48" s="236" t="s">
        <v>76</v>
      </c>
      <c r="CI48" s="236" t="s">
        <v>77</v>
      </c>
      <c r="CJ48" s="237" t="s">
        <v>900</v>
      </c>
      <c r="CK48" s="235" t="s">
        <v>78</v>
      </c>
      <c r="CL48" s="88" t="s">
        <v>79</v>
      </c>
      <c r="CM48" s="236" t="s">
        <v>80</v>
      </c>
      <c r="CN48" s="236" t="s">
        <v>81</v>
      </c>
      <c r="CO48" s="236" t="s">
        <v>82</v>
      </c>
      <c r="CP48" s="236" t="s">
        <v>83</v>
      </c>
      <c r="CQ48" s="235" t="s">
        <v>84</v>
      </c>
      <c r="CR48" s="88" t="s">
        <v>86</v>
      </c>
      <c r="CS48" s="236" t="s">
        <v>87</v>
      </c>
      <c r="CT48" s="236" t="s">
        <v>88</v>
      </c>
      <c r="CU48" s="236" t="s">
        <v>89</v>
      </c>
      <c r="CV48" s="236" t="s">
        <v>90</v>
      </c>
      <c r="CW48" s="236" t="s">
        <v>91</v>
      </c>
      <c r="CX48" s="235" t="s">
        <v>28</v>
      </c>
      <c r="CY48" s="88" t="s">
        <v>92</v>
      </c>
      <c r="CZ48" s="236" t="s">
        <v>93</v>
      </c>
      <c r="DA48" s="236" t="s">
        <v>86</v>
      </c>
      <c r="DB48" s="236" t="s">
        <v>87</v>
      </c>
      <c r="DC48" s="236" t="s">
        <v>88</v>
      </c>
      <c r="DD48" s="236" t="s">
        <v>89</v>
      </c>
      <c r="DE48" s="236" t="s">
        <v>90</v>
      </c>
      <c r="DF48" s="236" t="s">
        <v>91</v>
      </c>
      <c r="DG48" s="235" t="s">
        <v>28</v>
      </c>
      <c r="DH48" s="88" t="s">
        <v>48</v>
      </c>
      <c r="DI48" s="236" t="s">
        <v>49</v>
      </c>
      <c r="DJ48" s="236" t="s">
        <v>48</v>
      </c>
      <c r="DK48" s="236" t="s">
        <v>270</v>
      </c>
      <c r="DL48" s="236" t="s">
        <v>49</v>
      </c>
      <c r="DM48" s="307"/>
      <c r="DN48" s="306"/>
      <c r="DO48" s="88" t="s">
        <v>48</v>
      </c>
      <c r="DP48" s="237" t="s">
        <v>49</v>
      </c>
      <c r="DQ48" s="89" t="s">
        <v>48</v>
      </c>
      <c r="DR48" s="90" t="s">
        <v>93</v>
      </c>
      <c r="DS48" s="90" t="s">
        <v>49</v>
      </c>
      <c r="DT48" s="90" t="s">
        <v>93</v>
      </c>
      <c r="DU48" s="309"/>
      <c r="DV48" s="306"/>
      <c r="DW48" s="88" t="s">
        <v>48</v>
      </c>
      <c r="DX48" s="237" t="s">
        <v>49</v>
      </c>
      <c r="DY48" s="88" t="s">
        <v>48</v>
      </c>
      <c r="DZ48" s="91" t="s">
        <v>93</v>
      </c>
      <c r="EA48" s="235" t="s">
        <v>49</v>
      </c>
      <c r="EB48" s="309"/>
      <c r="EC48" s="306"/>
      <c r="ED48" s="92" t="s">
        <v>284</v>
      </c>
    </row>
    <row r="49" spans="1:134" ht="15.75" thickBot="1" x14ac:dyDescent="0.3"/>
    <row r="50" spans="1:134" ht="64.5" thickBot="1" x14ac:dyDescent="0.3">
      <c r="A50" s="4" t="s">
        <v>402</v>
      </c>
      <c r="B50" s="5" t="s">
        <v>0</v>
      </c>
      <c r="C50" s="93" t="s">
        <v>7</v>
      </c>
      <c r="D50" s="93" t="s">
        <v>8</v>
      </c>
      <c r="E50" s="93" t="s">
        <v>177</v>
      </c>
      <c r="F50" s="93" t="s">
        <v>3</v>
      </c>
      <c r="G50" s="93" t="s">
        <v>178</v>
      </c>
      <c r="H50" s="93" t="s">
        <v>179</v>
      </c>
      <c r="I50" s="239" t="s">
        <v>1180</v>
      </c>
      <c r="J50" s="239" t="s">
        <v>1328</v>
      </c>
      <c r="K50" s="93" t="s">
        <v>285</v>
      </c>
      <c r="L50" s="93" t="s">
        <v>180</v>
      </c>
      <c r="M50" s="93" t="s">
        <v>181</v>
      </c>
      <c r="N50" s="93" t="s">
        <v>182</v>
      </c>
      <c r="O50" s="93" t="s">
        <v>183</v>
      </c>
      <c r="P50" s="93" t="s">
        <v>184</v>
      </c>
      <c r="Q50" s="93" t="s">
        <v>185</v>
      </c>
      <c r="R50" s="93" t="s">
        <v>186</v>
      </c>
      <c r="S50" s="93" t="s">
        <v>818</v>
      </c>
      <c r="T50" s="93" t="s">
        <v>819</v>
      </c>
      <c r="U50" s="93" t="s">
        <v>820</v>
      </c>
      <c r="V50" s="93" t="s">
        <v>821</v>
      </c>
      <c r="W50" s="93" t="s">
        <v>822</v>
      </c>
      <c r="X50" s="93" t="s">
        <v>1342</v>
      </c>
      <c r="Y50" s="93" t="s">
        <v>187</v>
      </c>
      <c r="Z50" s="93" t="s">
        <v>188</v>
      </c>
      <c r="AA50" s="93" t="s">
        <v>189</v>
      </c>
      <c r="AB50" s="93" t="s">
        <v>190</v>
      </c>
      <c r="AC50" s="93" t="s">
        <v>191</v>
      </c>
      <c r="AD50" s="93" t="s">
        <v>192</v>
      </c>
      <c r="AE50" s="93" t="s">
        <v>193</v>
      </c>
      <c r="AF50" s="93" t="s">
        <v>194</v>
      </c>
      <c r="AG50" s="93" t="s">
        <v>195</v>
      </c>
      <c r="AH50" s="93" t="s">
        <v>196</v>
      </c>
      <c r="AI50" s="93" t="s">
        <v>197</v>
      </c>
      <c r="AJ50" s="93" t="s">
        <v>198</v>
      </c>
      <c r="AK50" s="93" t="s">
        <v>199</v>
      </c>
      <c r="AL50" s="93" t="s">
        <v>200</v>
      </c>
      <c r="AM50" s="93" t="s">
        <v>201</v>
      </c>
      <c r="AN50" s="93" t="s">
        <v>1021</v>
      </c>
      <c r="AO50" s="93" t="s">
        <v>264</v>
      </c>
      <c r="AP50" s="93" t="s">
        <v>265</v>
      </c>
      <c r="AQ50" s="93" t="s">
        <v>36</v>
      </c>
      <c r="AR50" s="93" t="s">
        <v>202</v>
      </c>
      <c r="AS50" s="93" t="s">
        <v>203</v>
      </c>
      <c r="AT50" s="93" t="s">
        <v>204</v>
      </c>
      <c r="AU50" s="93" t="s">
        <v>205</v>
      </c>
      <c r="AV50" s="93" t="s">
        <v>286</v>
      </c>
      <c r="AW50" s="93" t="s">
        <v>287</v>
      </c>
      <c r="AX50" s="93" t="s">
        <v>288</v>
      </c>
      <c r="AY50" s="93" t="s">
        <v>289</v>
      </c>
      <c r="AZ50" s="93" t="s">
        <v>206</v>
      </c>
      <c r="BA50" s="93" t="s">
        <v>207</v>
      </c>
      <c r="BB50" s="93" t="s">
        <v>208</v>
      </c>
      <c r="BC50" s="93" t="s">
        <v>209</v>
      </c>
      <c r="BD50" s="93" t="s">
        <v>210</v>
      </c>
      <c r="BE50" s="93" t="s">
        <v>211</v>
      </c>
      <c r="BF50" s="93" t="s">
        <v>212</v>
      </c>
      <c r="BG50" s="93" t="s">
        <v>863</v>
      </c>
      <c r="BH50" s="93" t="s">
        <v>864</v>
      </c>
      <c r="BI50" s="93" t="s">
        <v>1345</v>
      </c>
      <c r="BJ50" s="93" t="s">
        <v>866</v>
      </c>
      <c r="BK50" s="93" t="s">
        <v>213</v>
      </c>
      <c r="BL50" s="93" t="s">
        <v>214</v>
      </c>
      <c r="BM50" s="93" t="s">
        <v>215</v>
      </c>
      <c r="BN50" s="93" t="s">
        <v>216</v>
      </c>
      <c r="BO50" s="93" t="s">
        <v>217</v>
      </c>
      <c r="BP50" s="93" t="s">
        <v>290</v>
      </c>
      <c r="BQ50" s="93" t="s">
        <v>291</v>
      </c>
      <c r="BR50" s="93" t="s">
        <v>292</v>
      </c>
      <c r="BS50" s="93" t="s">
        <v>293</v>
      </c>
      <c r="BT50" s="93" t="s">
        <v>294</v>
      </c>
      <c r="BU50" s="93" t="s">
        <v>295</v>
      </c>
      <c r="BV50" s="93" t="s">
        <v>296</v>
      </c>
      <c r="BW50" s="93" t="s">
        <v>219</v>
      </c>
      <c r="BX50" s="93" t="s">
        <v>297</v>
      </c>
      <c r="BY50" s="93" t="s">
        <v>220</v>
      </c>
      <c r="BZ50" s="93" t="s">
        <v>221</v>
      </c>
      <c r="CA50" s="93" t="s">
        <v>222</v>
      </c>
      <c r="CB50" s="93" t="s">
        <v>223</v>
      </c>
      <c r="CC50" s="93" t="s">
        <v>224</v>
      </c>
      <c r="CD50" s="93" t="s">
        <v>225</v>
      </c>
      <c r="CE50" s="93" t="s">
        <v>298</v>
      </c>
      <c r="CF50" s="93" t="s">
        <v>226</v>
      </c>
      <c r="CG50" s="93" t="s">
        <v>299</v>
      </c>
      <c r="CH50" s="93" t="s">
        <v>300</v>
      </c>
      <c r="CI50" s="93" t="s">
        <v>301</v>
      </c>
      <c r="CJ50" s="93" t="s">
        <v>332</v>
      </c>
      <c r="CK50" s="93" t="s">
        <v>302</v>
      </c>
      <c r="CL50" s="93" t="s">
        <v>227</v>
      </c>
      <c r="CM50" s="93" t="s">
        <v>228</v>
      </c>
      <c r="CN50" s="93" t="s">
        <v>229</v>
      </c>
      <c r="CO50" s="93" t="s">
        <v>230</v>
      </c>
      <c r="CP50" s="93" t="s">
        <v>231</v>
      </c>
      <c r="CQ50" s="93" t="s">
        <v>232</v>
      </c>
      <c r="CR50" s="93" t="s">
        <v>233</v>
      </c>
      <c r="CS50" s="93" t="s">
        <v>303</v>
      </c>
      <c r="CT50" s="93" t="s">
        <v>304</v>
      </c>
      <c r="CU50" s="93" t="s">
        <v>305</v>
      </c>
      <c r="CV50" s="93" t="s">
        <v>306</v>
      </c>
      <c r="CW50" s="93" t="s">
        <v>234</v>
      </c>
      <c r="CX50" s="93" t="s">
        <v>235</v>
      </c>
      <c r="CY50" s="93" t="s">
        <v>244</v>
      </c>
      <c r="CZ50" s="93" t="s">
        <v>236</v>
      </c>
      <c r="DA50" s="93" t="s">
        <v>237</v>
      </c>
      <c r="DB50" s="93" t="s">
        <v>238</v>
      </c>
      <c r="DC50" s="93" t="s">
        <v>239</v>
      </c>
      <c r="DD50" s="93" t="s">
        <v>240</v>
      </c>
      <c r="DE50" s="93" t="s">
        <v>241</v>
      </c>
      <c r="DF50" s="93" t="s">
        <v>242</v>
      </c>
      <c r="DG50" s="93" t="s">
        <v>243</v>
      </c>
      <c r="DH50" s="93" t="s">
        <v>245</v>
      </c>
      <c r="DI50" s="93" t="s">
        <v>246</v>
      </c>
      <c r="DJ50" s="93" t="s">
        <v>247</v>
      </c>
      <c r="DK50" s="93" t="s">
        <v>271</v>
      </c>
      <c r="DL50" s="93" t="s">
        <v>248</v>
      </c>
      <c r="DM50" s="93" t="s">
        <v>249</v>
      </c>
      <c r="DN50" s="93" t="s">
        <v>250</v>
      </c>
      <c r="DO50" s="93" t="s">
        <v>251</v>
      </c>
      <c r="DP50" s="94" t="s">
        <v>252</v>
      </c>
      <c r="DQ50" s="5" t="s">
        <v>253</v>
      </c>
      <c r="DR50" s="93" t="s">
        <v>272</v>
      </c>
      <c r="DS50" s="95" t="s">
        <v>254</v>
      </c>
      <c r="DT50" s="96"/>
      <c r="DU50" s="97" t="s">
        <v>255</v>
      </c>
      <c r="DV50" s="93" t="s">
        <v>256</v>
      </c>
      <c r="DW50" s="93" t="s">
        <v>257</v>
      </c>
      <c r="DX50" s="94" t="s">
        <v>258</v>
      </c>
      <c r="DY50" s="5" t="s">
        <v>259</v>
      </c>
      <c r="DZ50" s="93" t="s">
        <v>273</v>
      </c>
      <c r="EA50" s="95" t="s">
        <v>260</v>
      </c>
      <c r="EB50" s="97" t="s">
        <v>261</v>
      </c>
      <c r="EC50" s="95" t="s">
        <v>262</v>
      </c>
      <c r="ED50" s="247" t="s">
        <v>284</v>
      </c>
    </row>
    <row r="51" spans="1:134" x14ac:dyDescent="0.25">
      <c r="A51" s="49" t="s">
        <v>1854</v>
      </c>
      <c r="B51" s="54" t="s">
        <v>308</v>
      </c>
      <c r="C51" s="55" t="s">
        <v>328</v>
      </c>
      <c r="D51" s="55"/>
      <c r="E51" s="55">
        <v>50</v>
      </c>
      <c r="F51" s="55" t="s">
        <v>329</v>
      </c>
      <c r="G51" s="55" t="s">
        <v>330</v>
      </c>
      <c r="H51" s="55" t="s">
        <v>331</v>
      </c>
      <c r="I51" s="55" t="s">
        <v>1181</v>
      </c>
      <c r="J51" s="55" t="s">
        <v>1182</v>
      </c>
      <c r="K51" s="55">
        <v>32</v>
      </c>
      <c r="L51" s="55">
        <v>1</v>
      </c>
      <c r="M51" s="55"/>
      <c r="N51" s="55"/>
      <c r="O51" s="55"/>
      <c r="P51" s="55"/>
      <c r="Q51" s="55">
        <v>1</v>
      </c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  <c r="AF51" s="55"/>
      <c r="AG51" s="55"/>
      <c r="AH51" s="55" t="s">
        <v>328</v>
      </c>
      <c r="AI51" s="55"/>
      <c r="AJ51" s="55" t="s">
        <v>328</v>
      </c>
      <c r="AK51" s="55" t="s">
        <v>328</v>
      </c>
      <c r="AL51" s="55"/>
      <c r="AM51" s="55" t="s">
        <v>328</v>
      </c>
      <c r="AN51" s="55"/>
      <c r="AO51" s="55" t="s">
        <v>328</v>
      </c>
      <c r="AP51" s="55">
        <v>9</v>
      </c>
      <c r="AQ51" s="55">
        <v>3</v>
      </c>
      <c r="AR51" s="55"/>
      <c r="AS51" s="55"/>
      <c r="AT51" s="55" t="s">
        <v>328</v>
      </c>
      <c r="AU51" s="55"/>
      <c r="AV51" s="55">
        <v>2</v>
      </c>
      <c r="AW51" s="55">
        <v>3</v>
      </c>
      <c r="AX51" s="55">
        <v>1</v>
      </c>
      <c r="AY51" s="55"/>
      <c r="AZ51" s="55"/>
      <c r="BA51" s="55" t="s">
        <v>328</v>
      </c>
      <c r="BB51" s="55" t="s">
        <v>328</v>
      </c>
      <c r="BC51" s="55"/>
      <c r="BD51" s="55" t="s">
        <v>328</v>
      </c>
      <c r="BE51" s="55"/>
      <c r="BF51" s="55" t="s">
        <v>328</v>
      </c>
      <c r="BG51" s="55"/>
      <c r="BH51" s="55"/>
      <c r="BI51" s="55"/>
      <c r="BJ51" s="55"/>
      <c r="BK51" s="55"/>
      <c r="BL51" s="55" t="s">
        <v>328</v>
      </c>
      <c r="BM51" s="55"/>
      <c r="BN51" s="55" t="s">
        <v>328</v>
      </c>
      <c r="BO51" s="55"/>
      <c r="BP51" s="55"/>
      <c r="BQ51" s="55"/>
      <c r="BR51" s="55"/>
      <c r="BS51" s="55"/>
      <c r="BT51" s="55" t="s">
        <v>328</v>
      </c>
      <c r="BU51" s="55"/>
      <c r="BV51" s="55"/>
      <c r="BW51" s="55"/>
      <c r="BX51" s="55"/>
      <c r="BY51" s="55"/>
      <c r="BZ51" s="55" t="s">
        <v>328</v>
      </c>
      <c r="CA51" s="55" t="s">
        <v>328</v>
      </c>
      <c r="CB51" s="55"/>
      <c r="CC51" s="55"/>
      <c r="CD51" s="55"/>
      <c r="CE51" s="55"/>
      <c r="CF51" s="55"/>
      <c r="CG51" s="55" t="s">
        <v>328</v>
      </c>
      <c r="CH51" s="55" t="s">
        <v>328</v>
      </c>
      <c r="CI51" s="55"/>
      <c r="CJ51" s="55"/>
      <c r="CK51" s="55"/>
      <c r="CL51" s="55">
        <v>4</v>
      </c>
      <c r="CM51" s="55">
        <v>1</v>
      </c>
      <c r="CN51" s="55">
        <v>2</v>
      </c>
      <c r="CO51" s="55">
        <v>5</v>
      </c>
      <c r="CP51" s="55">
        <v>6</v>
      </c>
      <c r="CQ51" s="55">
        <v>3</v>
      </c>
      <c r="CR51" s="55"/>
      <c r="CS51" s="55"/>
      <c r="CT51" s="55"/>
      <c r="CU51" s="55"/>
      <c r="CV51" s="55"/>
      <c r="CW51" s="55"/>
      <c r="CX51" s="55" t="s">
        <v>332</v>
      </c>
      <c r="CY51" s="55"/>
      <c r="CZ51" s="55"/>
      <c r="DA51" s="55">
        <v>2</v>
      </c>
      <c r="DB51" s="55">
        <v>3</v>
      </c>
      <c r="DC51" s="55">
        <v>6</v>
      </c>
      <c r="DD51" s="55">
        <v>5</v>
      </c>
      <c r="DE51" s="55">
        <v>1</v>
      </c>
      <c r="DF51" s="55">
        <v>4</v>
      </c>
      <c r="DG51" s="55"/>
      <c r="DH51" s="55" t="s">
        <v>328</v>
      </c>
      <c r="DI51" s="55"/>
      <c r="DJ51" s="55"/>
      <c r="DK51" s="55"/>
      <c r="DL51" s="55"/>
      <c r="DM51" s="55"/>
      <c r="DN51" s="55" t="s">
        <v>333</v>
      </c>
      <c r="DO51" s="55"/>
      <c r="DP51" s="55" t="s">
        <v>328</v>
      </c>
      <c r="DQ51" s="55"/>
      <c r="DR51" s="55"/>
      <c r="DS51" s="55" t="s">
        <v>328</v>
      </c>
      <c r="DT51" s="55" t="s">
        <v>334</v>
      </c>
      <c r="DU51" s="55" t="s">
        <v>335</v>
      </c>
      <c r="DV51" s="55" t="s">
        <v>336</v>
      </c>
      <c r="DW51" s="55" t="s">
        <v>328</v>
      </c>
      <c r="DX51" s="55"/>
      <c r="DY51" s="55"/>
      <c r="DZ51" s="55"/>
      <c r="EA51" s="55"/>
      <c r="EB51" s="55"/>
      <c r="EC51" s="100" t="s">
        <v>333</v>
      </c>
      <c r="ED51" s="48"/>
    </row>
    <row r="52" spans="1:134" x14ac:dyDescent="0.25">
      <c r="A52" s="50" t="s">
        <v>1854</v>
      </c>
      <c r="B52" s="61" t="s">
        <v>309</v>
      </c>
      <c r="C52" s="14" t="s">
        <v>328</v>
      </c>
      <c r="D52" s="14"/>
      <c r="E52" s="14">
        <v>61</v>
      </c>
      <c r="F52" s="14" t="s">
        <v>329</v>
      </c>
      <c r="G52" s="14" t="s">
        <v>330</v>
      </c>
      <c r="H52" s="14" t="s">
        <v>345</v>
      </c>
      <c r="I52" s="14" t="s">
        <v>1182</v>
      </c>
      <c r="J52" s="14" t="s">
        <v>1182</v>
      </c>
      <c r="K52" s="14">
        <v>40</v>
      </c>
      <c r="L52" s="14">
        <v>2</v>
      </c>
      <c r="M52" s="14">
        <v>2</v>
      </c>
      <c r="N52" s="14"/>
      <c r="O52" s="14"/>
      <c r="P52" s="14"/>
      <c r="Q52" s="14"/>
      <c r="R52" s="14"/>
      <c r="S52" s="14"/>
      <c r="T52" s="14"/>
      <c r="U52" s="14"/>
      <c r="V52" s="14">
        <v>1</v>
      </c>
      <c r="W52" s="14"/>
      <c r="X52" s="14"/>
      <c r="Y52" s="14"/>
      <c r="Z52" s="14" t="s">
        <v>328</v>
      </c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 t="s">
        <v>328</v>
      </c>
      <c r="AL52" s="14"/>
      <c r="AM52" s="14"/>
      <c r="AN52" s="14"/>
      <c r="AO52" s="14" t="s">
        <v>328</v>
      </c>
      <c r="AP52" s="14">
        <v>5</v>
      </c>
      <c r="AQ52" s="14">
        <v>2</v>
      </c>
      <c r="AR52" s="14"/>
      <c r="AS52" s="14"/>
      <c r="AT52" s="14" t="s">
        <v>328</v>
      </c>
      <c r="AU52" s="14"/>
      <c r="AV52" s="14">
        <v>4</v>
      </c>
      <c r="AW52" s="14">
        <v>3</v>
      </c>
      <c r="AX52" s="14">
        <v>2</v>
      </c>
      <c r="AY52" s="14" t="s">
        <v>346</v>
      </c>
      <c r="AZ52" s="14"/>
      <c r="BA52" s="14" t="s">
        <v>328</v>
      </c>
      <c r="BB52" s="14" t="s">
        <v>328</v>
      </c>
      <c r="BC52" s="14"/>
      <c r="BD52" s="14"/>
      <c r="BE52" s="14"/>
      <c r="BF52" s="14"/>
      <c r="BG52" s="14"/>
      <c r="BH52" s="14"/>
      <c r="BI52" s="14"/>
      <c r="BJ52" s="14"/>
      <c r="BK52" s="14"/>
      <c r="BL52" s="14" t="s">
        <v>328</v>
      </c>
      <c r="BM52" s="14"/>
      <c r="BN52" s="14" t="s">
        <v>328</v>
      </c>
      <c r="BO52" s="14"/>
      <c r="BP52" s="14" t="s">
        <v>328</v>
      </c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 t="s">
        <v>328</v>
      </c>
      <c r="CB52" s="14" t="s">
        <v>328</v>
      </c>
      <c r="CC52" s="14"/>
      <c r="CD52" s="14"/>
      <c r="CE52" s="14"/>
      <c r="CF52" s="14"/>
      <c r="CG52" s="14"/>
      <c r="CH52" s="14" t="s">
        <v>328</v>
      </c>
      <c r="CI52" s="14"/>
      <c r="CJ52" s="14"/>
      <c r="CK52" s="14"/>
      <c r="CL52" s="14">
        <v>1</v>
      </c>
      <c r="CM52" s="14">
        <v>3</v>
      </c>
      <c r="CN52" s="14">
        <v>4</v>
      </c>
      <c r="CO52" s="14">
        <v>5</v>
      </c>
      <c r="CP52" s="14">
        <v>6</v>
      </c>
      <c r="CQ52" s="14">
        <v>2</v>
      </c>
      <c r="CR52" s="14"/>
      <c r="CS52" s="14"/>
      <c r="CT52" s="14"/>
      <c r="CU52" s="14"/>
      <c r="CV52" s="14"/>
      <c r="CW52" s="14"/>
      <c r="CX52" s="14" t="s">
        <v>332</v>
      </c>
      <c r="CY52" s="14" t="s">
        <v>328</v>
      </c>
      <c r="CZ52" s="14" t="s">
        <v>347</v>
      </c>
      <c r="DA52" s="14"/>
      <c r="DB52" s="14"/>
      <c r="DC52" s="14"/>
      <c r="DD52" s="14"/>
      <c r="DE52" s="14"/>
      <c r="DF52" s="14"/>
      <c r="DG52" s="14"/>
      <c r="DH52" s="14" t="s">
        <v>328</v>
      </c>
      <c r="DI52" s="14"/>
      <c r="DJ52" s="14"/>
      <c r="DK52" s="14"/>
      <c r="DL52" s="14"/>
      <c r="DM52" s="14"/>
      <c r="DN52" s="14" t="s">
        <v>333</v>
      </c>
      <c r="DO52" s="14" t="s">
        <v>328</v>
      </c>
      <c r="DP52" s="14"/>
      <c r="DQ52" s="14"/>
      <c r="DR52" s="14"/>
      <c r="DS52" s="14"/>
      <c r="DT52" s="14"/>
      <c r="DU52" s="14"/>
      <c r="DV52" s="14" t="s">
        <v>333</v>
      </c>
      <c r="DW52" s="14" t="s">
        <v>328</v>
      </c>
      <c r="DX52" s="14"/>
      <c r="DY52" s="14"/>
      <c r="DZ52" s="14"/>
      <c r="EA52" s="14"/>
      <c r="EB52" s="14"/>
      <c r="EC52" s="101" t="s">
        <v>333</v>
      </c>
      <c r="ED52" s="48"/>
    </row>
    <row r="53" spans="1:134" x14ac:dyDescent="0.25">
      <c r="A53" s="50" t="s">
        <v>1854</v>
      </c>
      <c r="B53" s="61" t="s">
        <v>310</v>
      </c>
      <c r="C53" s="14" t="s">
        <v>328</v>
      </c>
      <c r="D53" s="14"/>
      <c r="E53" s="14">
        <v>46</v>
      </c>
      <c r="F53" s="14" t="s">
        <v>329</v>
      </c>
      <c r="G53" s="14" t="s">
        <v>353</v>
      </c>
      <c r="H53" s="14" t="s">
        <v>345</v>
      </c>
      <c r="I53" s="14" t="s">
        <v>1182</v>
      </c>
      <c r="J53" s="14" t="s">
        <v>1182</v>
      </c>
      <c r="K53" s="14">
        <v>20</v>
      </c>
      <c r="L53" s="14">
        <v>1</v>
      </c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>
        <v>1</v>
      </c>
      <c r="Y53" s="14"/>
      <c r="Z53" s="14" t="s">
        <v>328</v>
      </c>
      <c r="AA53" s="14"/>
      <c r="AB53" s="14"/>
      <c r="AC53" s="14"/>
      <c r="AD53" s="14"/>
      <c r="AE53" s="14" t="s">
        <v>328</v>
      </c>
      <c r="AF53" s="14"/>
      <c r="AG53" s="14"/>
      <c r="AH53" s="14"/>
      <c r="AI53" s="14"/>
      <c r="AJ53" s="14"/>
      <c r="AK53" s="14" t="s">
        <v>328</v>
      </c>
      <c r="AL53" s="14"/>
      <c r="AM53" s="14"/>
      <c r="AN53" s="14"/>
      <c r="AO53" s="14" t="s">
        <v>328</v>
      </c>
      <c r="AP53" s="14">
        <v>8</v>
      </c>
      <c r="AQ53" s="14">
        <v>3</v>
      </c>
      <c r="AR53" s="14"/>
      <c r="AS53" s="14"/>
      <c r="AT53" s="14"/>
      <c r="AU53" s="14" t="s">
        <v>328</v>
      </c>
      <c r="AV53" s="14">
        <v>2</v>
      </c>
      <c r="AW53" s="14">
        <v>3</v>
      </c>
      <c r="AX53" s="14">
        <v>1</v>
      </c>
      <c r="AY53" s="14"/>
      <c r="AZ53" s="14" t="s">
        <v>328</v>
      </c>
      <c r="BA53" s="14"/>
      <c r="BB53" s="14" t="s">
        <v>328</v>
      </c>
      <c r="BC53" s="14"/>
      <c r="BD53" s="14" t="s">
        <v>328</v>
      </c>
      <c r="BE53" s="14"/>
      <c r="BF53" s="14"/>
      <c r="BG53" s="14"/>
      <c r="BH53" s="14"/>
      <c r="BI53" s="14"/>
      <c r="BJ53" s="14"/>
      <c r="BK53" s="14"/>
      <c r="BL53" s="14"/>
      <c r="BM53" s="14" t="s">
        <v>328</v>
      </c>
      <c r="BN53" s="14" t="s">
        <v>328</v>
      </c>
      <c r="BO53" s="14"/>
      <c r="BP53" s="14" t="s">
        <v>328</v>
      </c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 t="s">
        <v>328</v>
      </c>
      <c r="CB53" s="14" t="s">
        <v>328</v>
      </c>
      <c r="CC53" s="14"/>
      <c r="CD53" s="14"/>
      <c r="CE53" s="14"/>
      <c r="CF53" s="14"/>
      <c r="CG53" s="14"/>
      <c r="CH53" s="14" t="s">
        <v>328</v>
      </c>
      <c r="CI53" s="14"/>
      <c r="CJ53" s="14"/>
      <c r="CK53" s="14"/>
      <c r="CL53" s="14">
        <v>4</v>
      </c>
      <c r="CM53" s="14">
        <v>2</v>
      </c>
      <c r="CN53" s="14">
        <v>3</v>
      </c>
      <c r="CO53" s="14">
        <v>6</v>
      </c>
      <c r="CP53" s="14">
        <v>5</v>
      </c>
      <c r="CQ53" s="14">
        <v>1</v>
      </c>
      <c r="CR53" s="14"/>
      <c r="CS53" s="14"/>
      <c r="CT53" s="14"/>
      <c r="CU53" s="14"/>
      <c r="CV53" s="14"/>
      <c r="CW53" s="14"/>
      <c r="CX53" s="14" t="s">
        <v>332</v>
      </c>
      <c r="CY53" s="14"/>
      <c r="CZ53" s="14"/>
      <c r="DA53" s="14">
        <v>2</v>
      </c>
      <c r="DB53" s="14">
        <v>3</v>
      </c>
      <c r="DC53" s="14">
        <v>6</v>
      </c>
      <c r="DD53" s="14">
        <v>4</v>
      </c>
      <c r="DE53" s="14">
        <v>1</v>
      </c>
      <c r="DF53" s="14">
        <v>5</v>
      </c>
      <c r="DG53" s="14"/>
      <c r="DH53" s="14" t="s">
        <v>328</v>
      </c>
      <c r="DI53" s="14"/>
      <c r="DJ53" s="14"/>
      <c r="DK53" s="14"/>
      <c r="DL53" s="14"/>
      <c r="DM53" s="14"/>
      <c r="DN53" s="14" t="s">
        <v>333</v>
      </c>
      <c r="DO53" s="14"/>
      <c r="DP53" s="14" t="s">
        <v>328</v>
      </c>
      <c r="DQ53" s="14" t="s">
        <v>328</v>
      </c>
      <c r="DR53" s="14" t="s">
        <v>354</v>
      </c>
      <c r="DS53" s="14"/>
      <c r="DT53" s="14"/>
      <c r="DU53" s="14" t="s">
        <v>335</v>
      </c>
      <c r="DV53" s="14" t="s">
        <v>336</v>
      </c>
      <c r="DW53" s="14" t="s">
        <v>328</v>
      </c>
      <c r="DX53" s="14"/>
      <c r="DY53" s="14"/>
      <c r="DZ53" s="14"/>
      <c r="EA53" s="14"/>
      <c r="EB53" s="14"/>
      <c r="EC53" s="101" t="s">
        <v>333</v>
      </c>
      <c r="ED53" s="48"/>
    </row>
    <row r="54" spans="1:134" x14ac:dyDescent="0.25">
      <c r="A54" s="50" t="s">
        <v>1854</v>
      </c>
      <c r="B54" s="61" t="s">
        <v>311</v>
      </c>
      <c r="C54" s="14" t="s">
        <v>328</v>
      </c>
      <c r="D54" s="14"/>
      <c r="E54" s="14">
        <v>43</v>
      </c>
      <c r="F54" s="14" t="s">
        <v>329</v>
      </c>
      <c r="G54" s="14" t="s">
        <v>355</v>
      </c>
      <c r="H54" s="14" t="s">
        <v>356</v>
      </c>
      <c r="I54" s="8" t="s">
        <v>1183</v>
      </c>
      <c r="J54" s="8" t="s">
        <v>1183</v>
      </c>
      <c r="K54" s="14">
        <v>22</v>
      </c>
      <c r="L54" s="14">
        <v>1</v>
      </c>
      <c r="M54" s="14">
        <v>1</v>
      </c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 t="s">
        <v>328</v>
      </c>
      <c r="AE54" s="14" t="s">
        <v>328</v>
      </c>
      <c r="AF54" s="14" t="s">
        <v>328</v>
      </c>
      <c r="AG54" s="14"/>
      <c r="AH54" s="14"/>
      <c r="AI54" s="14"/>
      <c r="AJ54" s="14"/>
      <c r="AK54" s="14" t="s">
        <v>328</v>
      </c>
      <c r="AL54" s="14"/>
      <c r="AM54" s="14"/>
      <c r="AN54" s="14"/>
      <c r="AO54" s="14" t="s">
        <v>328</v>
      </c>
      <c r="AP54" s="14">
        <v>5</v>
      </c>
      <c r="AQ54" s="14">
        <v>1</v>
      </c>
      <c r="AR54" s="14"/>
      <c r="AS54" s="14"/>
      <c r="AT54" s="14" t="s">
        <v>328</v>
      </c>
      <c r="AU54" s="14"/>
      <c r="AV54" s="14">
        <v>3</v>
      </c>
      <c r="AW54" s="14">
        <v>2</v>
      </c>
      <c r="AX54" s="14">
        <v>1</v>
      </c>
      <c r="AY54" s="14"/>
      <c r="AZ54" s="14" t="s">
        <v>328</v>
      </c>
      <c r="BA54" s="14"/>
      <c r="BB54" s="14" t="s">
        <v>328</v>
      </c>
      <c r="BC54" s="14"/>
      <c r="BD54" s="14" t="s">
        <v>328</v>
      </c>
      <c r="BE54" s="14" t="s">
        <v>328</v>
      </c>
      <c r="BF54" s="14"/>
      <c r="BG54" s="14"/>
      <c r="BH54" s="14"/>
      <c r="BI54" s="14"/>
      <c r="BJ54" s="14"/>
      <c r="BK54" s="14"/>
      <c r="BL54" s="14"/>
      <c r="BM54" s="14" t="s">
        <v>328</v>
      </c>
      <c r="BN54" s="14"/>
      <c r="BO54" s="14" t="s">
        <v>328</v>
      </c>
      <c r="BP54" s="14" t="s">
        <v>328</v>
      </c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 t="s">
        <v>328</v>
      </c>
      <c r="CF54" s="14"/>
      <c r="CG54" s="14"/>
      <c r="CH54" s="14" t="s">
        <v>328</v>
      </c>
      <c r="CI54" s="14"/>
      <c r="CJ54" s="14"/>
      <c r="CK54" s="14"/>
      <c r="CL54" s="14">
        <v>2</v>
      </c>
      <c r="CM54" s="14">
        <v>4</v>
      </c>
      <c r="CN54" s="14">
        <v>1</v>
      </c>
      <c r="CO54" s="14">
        <v>6</v>
      </c>
      <c r="CP54" s="14">
        <v>5</v>
      </c>
      <c r="CQ54" s="14">
        <v>3</v>
      </c>
      <c r="CR54" s="14"/>
      <c r="CS54" s="14"/>
      <c r="CT54" s="14"/>
      <c r="CU54" s="14"/>
      <c r="CV54" s="14" t="s">
        <v>328</v>
      </c>
      <c r="CW54" s="14"/>
      <c r="CX54" s="14"/>
      <c r="CY54" s="14"/>
      <c r="CZ54" s="14"/>
      <c r="DA54" s="14">
        <v>1</v>
      </c>
      <c r="DB54" s="14">
        <v>3</v>
      </c>
      <c r="DC54" s="14">
        <v>6</v>
      </c>
      <c r="DD54" s="14">
        <v>5</v>
      </c>
      <c r="DE54" s="14">
        <v>2</v>
      </c>
      <c r="DF54" s="14">
        <v>4</v>
      </c>
      <c r="DG54" s="14"/>
      <c r="DH54" s="14" t="s">
        <v>328</v>
      </c>
      <c r="DI54" s="14"/>
      <c r="DJ54" s="14"/>
      <c r="DK54" s="14"/>
      <c r="DL54" s="14"/>
      <c r="DM54" s="14"/>
      <c r="DN54" s="14" t="s">
        <v>333</v>
      </c>
      <c r="DO54" s="14"/>
      <c r="DP54" s="14" t="s">
        <v>328</v>
      </c>
      <c r="DQ54" s="14" t="s">
        <v>328</v>
      </c>
      <c r="DR54" s="14" t="s">
        <v>354</v>
      </c>
      <c r="DS54" s="14"/>
      <c r="DT54" s="14"/>
      <c r="DU54" s="14" t="s">
        <v>335</v>
      </c>
      <c r="DV54" s="14" t="s">
        <v>336</v>
      </c>
      <c r="DW54" s="14" t="s">
        <v>328</v>
      </c>
      <c r="DX54" s="14"/>
      <c r="DY54" s="14"/>
      <c r="DZ54" s="14"/>
      <c r="EA54" s="14"/>
      <c r="EB54" s="14"/>
      <c r="EC54" s="101" t="s">
        <v>333</v>
      </c>
      <c r="ED54" s="48"/>
    </row>
    <row r="55" spans="1:134" x14ac:dyDescent="0.25">
      <c r="A55" s="50" t="s">
        <v>1854</v>
      </c>
      <c r="B55" s="61" t="s">
        <v>312</v>
      </c>
      <c r="C55" s="14" t="s">
        <v>328</v>
      </c>
      <c r="D55" s="14"/>
      <c r="E55" s="14">
        <v>35</v>
      </c>
      <c r="F55" s="14" t="s">
        <v>329</v>
      </c>
      <c r="G55" s="14" t="s">
        <v>330</v>
      </c>
      <c r="H55" s="14" t="s">
        <v>345</v>
      </c>
      <c r="I55" s="14" t="s">
        <v>1182</v>
      </c>
      <c r="J55" s="14" t="s">
        <v>1182</v>
      </c>
      <c r="K55" s="14">
        <v>14</v>
      </c>
      <c r="L55" s="14">
        <v>1</v>
      </c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>
        <v>1</v>
      </c>
      <c r="Y55" s="14"/>
      <c r="Z55" s="14" t="s">
        <v>328</v>
      </c>
      <c r="AA55" s="14"/>
      <c r="AB55" s="14"/>
      <c r="AC55" s="14"/>
      <c r="AD55" s="14"/>
      <c r="AE55" s="14" t="s">
        <v>328</v>
      </c>
      <c r="AF55" s="14"/>
      <c r="AG55" s="14"/>
      <c r="AH55" s="14"/>
      <c r="AI55" s="14"/>
      <c r="AJ55" s="14"/>
      <c r="AK55" s="14" t="s">
        <v>328</v>
      </c>
      <c r="AL55" s="14"/>
      <c r="AM55" s="14" t="s">
        <v>328</v>
      </c>
      <c r="AN55" s="14"/>
      <c r="AO55" s="14"/>
      <c r="AP55" s="14">
        <v>5</v>
      </c>
      <c r="AQ55" s="14">
        <v>2</v>
      </c>
      <c r="AR55" s="14"/>
      <c r="AS55" s="14"/>
      <c r="AT55" s="14" t="s">
        <v>328</v>
      </c>
      <c r="AU55" s="14"/>
      <c r="AV55" s="14">
        <v>1</v>
      </c>
      <c r="AW55" s="14">
        <v>2</v>
      </c>
      <c r="AX55" s="14">
        <v>3</v>
      </c>
      <c r="AY55" s="14"/>
      <c r="AZ55" s="14" t="s">
        <v>328</v>
      </c>
      <c r="BA55" s="14"/>
      <c r="BB55" s="14" t="s">
        <v>328</v>
      </c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 t="s">
        <v>328</v>
      </c>
      <c r="BN55" s="14"/>
      <c r="BO55" s="14" t="s">
        <v>328</v>
      </c>
      <c r="BP55" s="14"/>
      <c r="BQ55" s="14"/>
      <c r="BR55" s="14" t="s">
        <v>328</v>
      </c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 t="s">
        <v>328</v>
      </c>
      <c r="CF55" s="14"/>
      <c r="CG55" s="14"/>
      <c r="CH55" s="14" t="s">
        <v>328</v>
      </c>
      <c r="CI55" s="14" t="s">
        <v>328</v>
      </c>
      <c r="CJ55" s="14"/>
      <c r="CK55" s="14"/>
      <c r="CL55" s="14">
        <v>1</v>
      </c>
      <c r="CM55" s="14">
        <v>2</v>
      </c>
      <c r="CN55" s="14">
        <v>4</v>
      </c>
      <c r="CO55" s="14">
        <v>6</v>
      </c>
      <c r="CP55" s="14">
        <v>5</v>
      </c>
      <c r="CQ55" s="14">
        <v>3</v>
      </c>
      <c r="CR55" s="14"/>
      <c r="CS55" s="14"/>
      <c r="CT55" s="14"/>
      <c r="CU55" s="14"/>
      <c r="CV55" s="14"/>
      <c r="CW55" s="14"/>
      <c r="CX55" s="14" t="s">
        <v>332</v>
      </c>
      <c r="CY55" s="14"/>
      <c r="CZ55" s="14"/>
      <c r="DA55" s="14">
        <v>2</v>
      </c>
      <c r="DB55" s="14">
        <v>3</v>
      </c>
      <c r="DC55" s="14">
        <v>4</v>
      </c>
      <c r="DD55" s="14">
        <v>5</v>
      </c>
      <c r="DE55" s="14">
        <v>1</v>
      </c>
      <c r="DF55" s="14">
        <v>6</v>
      </c>
      <c r="DG55" s="14"/>
      <c r="DH55" s="14" t="s">
        <v>328</v>
      </c>
      <c r="DI55" s="14"/>
      <c r="DJ55" s="14"/>
      <c r="DK55" s="14"/>
      <c r="DL55" s="14"/>
      <c r="DM55" s="14"/>
      <c r="DN55" s="14" t="s">
        <v>333</v>
      </c>
      <c r="DO55" s="14"/>
      <c r="DP55" s="14" t="s">
        <v>328</v>
      </c>
      <c r="DQ55" s="14" t="s">
        <v>328</v>
      </c>
      <c r="DR55" s="14" t="s">
        <v>354</v>
      </c>
      <c r="DS55" s="14"/>
      <c r="DT55" s="14"/>
      <c r="DU55" s="14" t="s">
        <v>335</v>
      </c>
      <c r="DV55" s="14" t="s">
        <v>336</v>
      </c>
      <c r="DW55" s="14" t="s">
        <v>328</v>
      </c>
      <c r="DX55" s="14"/>
      <c r="DY55" s="14"/>
      <c r="DZ55" s="14"/>
      <c r="EA55" s="14"/>
      <c r="EB55" s="14"/>
      <c r="EC55" s="101" t="s">
        <v>333</v>
      </c>
      <c r="ED55" s="48"/>
    </row>
    <row r="56" spans="1:134" x14ac:dyDescent="0.25">
      <c r="A56" s="50" t="s">
        <v>1854</v>
      </c>
      <c r="B56" s="61" t="s">
        <v>313</v>
      </c>
      <c r="C56" s="14" t="s">
        <v>328</v>
      </c>
      <c r="D56" s="14"/>
      <c r="E56" s="14">
        <v>22</v>
      </c>
      <c r="F56" s="14" t="s">
        <v>329</v>
      </c>
      <c r="G56" s="14" t="s">
        <v>357</v>
      </c>
      <c r="H56" s="14" t="s">
        <v>358</v>
      </c>
      <c r="I56" s="8" t="s">
        <v>1184</v>
      </c>
      <c r="J56" s="14" t="s">
        <v>1188</v>
      </c>
      <c r="K56" s="14">
        <v>5</v>
      </c>
      <c r="L56" s="14">
        <v>1</v>
      </c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>
        <v>1</v>
      </c>
      <c r="Y56" s="14"/>
      <c r="Z56" s="14" t="s">
        <v>328</v>
      </c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 t="s">
        <v>328</v>
      </c>
      <c r="AL56" s="14"/>
      <c r="AM56" s="14"/>
      <c r="AN56" s="14"/>
      <c r="AO56" s="14" t="s">
        <v>328</v>
      </c>
      <c r="AP56" s="14">
        <v>10</v>
      </c>
      <c r="AQ56" s="14">
        <v>5</v>
      </c>
      <c r="AR56" s="14"/>
      <c r="AS56" s="14"/>
      <c r="AT56" s="14"/>
      <c r="AU56" s="14" t="s">
        <v>328</v>
      </c>
      <c r="AV56" s="14">
        <v>2</v>
      </c>
      <c r="AW56" s="14">
        <v>3</v>
      </c>
      <c r="AX56" s="14">
        <v>1</v>
      </c>
      <c r="AY56" s="14"/>
      <c r="AZ56" s="14" t="s">
        <v>328</v>
      </c>
      <c r="BA56" s="14"/>
      <c r="BB56" s="14" t="s">
        <v>328</v>
      </c>
      <c r="BC56" s="14"/>
      <c r="BD56" s="14"/>
      <c r="BE56" s="14"/>
      <c r="BF56" s="14"/>
      <c r="BG56" s="14"/>
      <c r="BH56" s="14"/>
      <c r="BI56" s="14"/>
      <c r="BJ56" s="14"/>
      <c r="BK56" s="14"/>
      <c r="BL56" s="14" t="s">
        <v>328</v>
      </c>
      <c r="BM56" s="14"/>
      <c r="BN56" s="14" t="s">
        <v>328</v>
      </c>
      <c r="BO56" s="14"/>
      <c r="BP56" s="14" t="s">
        <v>328</v>
      </c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 t="s">
        <v>328</v>
      </c>
      <c r="CF56" s="14"/>
      <c r="CG56" s="14"/>
      <c r="CH56" s="14" t="s">
        <v>328</v>
      </c>
      <c r="CI56" s="14"/>
      <c r="CJ56" s="14"/>
      <c r="CK56" s="14"/>
      <c r="CL56" s="14">
        <v>1</v>
      </c>
      <c r="CM56" s="14">
        <v>2</v>
      </c>
      <c r="CN56" s="14">
        <v>3</v>
      </c>
      <c r="CO56" s="14">
        <v>6</v>
      </c>
      <c r="CP56" s="14">
        <v>5</v>
      </c>
      <c r="CQ56" s="14">
        <v>4</v>
      </c>
      <c r="CR56" s="14"/>
      <c r="CS56" s="14"/>
      <c r="CT56" s="14"/>
      <c r="CU56" s="14"/>
      <c r="CV56" s="14"/>
      <c r="CW56" s="14"/>
      <c r="CX56" s="14" t="s">
        <v>332</v>
      </c>
      <c r="CY56" s="14"/>
      <c r="CZ56" s="14"/>
      <c r="DA56" s="14">
        <v>3</v>
      </c>
      <c r="DB56" s="14">
        <v>4</v>
      </c>
      <c r="DC56" s="14">
        <v>5</v>
      </c>
      <c r="DD56" s="14">
        <v>6</v>
      </c>
      <c r="DE56" s="14">
        <v>1</v>
      </c>
      <c r="DF56" s="14">
        <v>2</v>
      </c>
      <c r="DG56" s="14"/>
      <c r="DH56" s="14" t="s">
        <v>328</v>
      </c>
      <c r="DI56" s="14"/>
      <c r="DJ56" s="14"/>
      <c r="DK56" s="14"/>
      <c r="DL56" s="14"/>
      <c r="DM56" s="14"/>
      <c r="DN56" s="14" t="s">
        <v>333</v>
      </c>
      <c r="DO56" s="14" t="s">
        <v>328</v>
      </c>
      <c r="DP56" s="14"/>
      <c r="DQ56" s="14"/>
      <c r="DR56" s="14"/>
      <c r="DS56" s="14"/>
      <c r="DT56" s="14"/>
      <c r="DU56" s="14"/>
      <c r="DV56" s="14" t="s">
        <v>333</v>
      </c>
      <c r="DW56" s="14" t="s">
        <v>328</v>
      </c>
      <c r="DX56" s="14"/>
      <c r="DY56" s="14"/>
      <c r="DZ56" s="14"/>
      <c r="EA56" s="14"/>
      <c r="EB56" s="14"/>
      <c r="EC56" s="101" t="s">
        <v>333</v>
      </c>
      <c r="ED56" s="48"/>
    </row>
    <row r="57" spans="1:134" x14ac:dyDescent="0.25">
      <c r="A57" s="50" t="s">
        <v>1854</v>
      </c>
      <c r="B57" s="61" t="s">
        <v>314</v>
      </c>
      <c r="C57" s="14" t="s">
        <v>328</v>
      </c>
      <c r="D57" s="14"/>
      <c r="E57" s="14">
        <v>36</v>
      </c>
      <c r="F57" s="14" t="s">
        <v>329</v>
      </c>
      <c r="G57" s="14" t="s">
        <v>330</v>
      </c>
      <c r="H57" s="14" t="s">
        <v>345</v>
      </c>
      <c r="I57" s="14" t="s">
        <v>1182</v>
      </c>
      <c r="J57" s="14" t="s">
        <v>1182</v>
      </c>
      <c r="K57" s="14">
        <v>16</v>
      </c>
      <c r="L57" s="14">
        <v>2</v>
      </c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>
        <v>2</v>
      </c>
      <c r="Y57" s="14"/>
      <c r="Z57" s="14"/>
      <c r="AA57" s="14"/>
      <c r="AB57" s="14"/>
      <c r="AC57" s="14" t="s">
        <v>328</v>
      </c>
      <c r="AD57" s="14"/>
      <c r="AE57" s="14"/>
      <c r="AF57" s="14"/>
      <c r="AG57" s="14"/>
      <c r="AH57" s="14"/>
      <c r="AI57" s="14"/>
      <c r="AJ57" s="14"/>
      <c r="AK57" s="14" t="s">
        <v>328</v>
      </c>
      <c r="AL57" s="14"/>
      <c r="AM57" s="14"/>
      <c r="AN57" s="14"/>
      <c r="AO57" s="14" t="s">
        <v>328</v>
      </c>
      <c r="AP57" s="14">
        <v>8</v>
      </c>
      <c r="AQ57" s="14">
        <v>3</v>
      </c>
      <c r="AR57" s="14"/>
      <c r="AS57" s="14"/>
      <c r="AT57" s="14" t="s">
        <v>328</v>
      </c>
      <c r="AU57" s="14"/>
      <c r="AV57" s="14">
        <v>2</v>
      </c>
      <c r="AW57" s="14">
        <v>3</v>
      </c>
      <c r="AX57" s="14">
        <v>1</v>
      </c>
      <c r="AY57" s="14"/>
      <c r="AZ57" s="14"/>
      <c r="BA57" s="14" t="s">
        <v>328</v>
      </c>
      <c r="BB57" s="14" t="s">
        <v>328</v>
      </c>
      <c r="BC57" s="14"/>
      <c r="BD57" s="14" t="s">
        <v>328</v>
      </c>
      <c r="BE57" s="14"/>
      <c r="BF57" s="14"/>
      <c r="BG57" s="14"/>
      <c r="BH57" s="14"/>
      <c r="BI57" s="14"/>
      <c r="BJ57" s="14"/>
      <c r="BK57" s="14"/>
      <c r="BL57" s="14"/>
      <c r="BM57" s="14" t="s">
        <v>328</v>
      </c>
      <c r="BN57" s="14"/>
      <c r="BO57" s="14" t="s">
        <v>328</v>
      </c>
      <c r="BP57" s="14" t="s">
        <v>328</v>
      </c>
      <c r="BQ57" s="14"/>
      <c r="BR57" s="14"/>
      <c r="BS57" s="14"/>
      <c r="BT57" s="14"/>
      <c r="BU57" s="14"/>
      <c r="BV57" s="14"/>
      <c r="BW57" s="14"/>
      <c r="BX57" s="14"/>
      <c r="BY57" s="14"/>
      <c r="BZ57" s="14" t="s">
        <v>328</v>
      </c>
      <c r="CA57" s="14"/>
      <c r="CB57" s="14"/>
      <c r="CC57" s="14"/>
      <c r="CD57" s="14" t="s">
        <v>328</v>
      </c>
      <c r="CE57" s="14" t="s">
        <v>328</v>
      </c>
      <c r="CF57" s="14"/>
      <c r="CG57" s="14"/>
      <c r="CH57" s="14"/>
      <c r="CI57" s="14" t="s">
        <v>328</v>
      </c>
      <c r="CJ57" s="14"/>
      <c r="CK57" s="14"/>
      <c r="CL57" s="14">
        <v>3</v>
      </c>
      <c r="CM57" s="14">
        <v>2</v>
      </c>
      <c r="CN57" s="14">
        <v>4</v>
      </c>
      <c r="CO57" s="14">
        <v>6</v>
      </c>
      <c r="CP57" s="14">
        <v>5</v>
      </c>
      <c r="CQ57" s="14">
        <v>1</v>
      </c>
      <c r="CR57" s="14"/>
      <c r="CS57" s="14"/>
      <c r="CT57" s="14"/>
      <c r="CU57" s="14"/>
      <c r="CV57" s="14"/>
      <c r="CW57" s="14"/>
      <c r="CX57" s="14" t="s">
        <v>332</v>
      </c>
      <c r="CY57" s="14"/>
      <c r="CZ57" s="14"/>
      <c r="DA57" s="14">
        <v>4</v>
      </c>
      <c r="DB57" s="14">
        <v>3</v>
      </c>
      <c r="DC57" s="14">
        <v>5</v>
      </c>
      <c r="DD57" s="14">
        <v>6</v>
      </c>
      <c r="DE57" s="14">
        <v>1</v>
      </c>
      <c r="DF57" s="14">
        <v>2</v>
      </c>
      <c r="DG57" s="14"/>
      <c r="DH57" s="14" t="s">
        <v>328</v>
      </c>
      <c r="DI57" s="14"/>
      <c r="DJ57" s="14"/>
      <c r="DK57" s="14"/>
      <c r="DL57" s="14"/>
      <c r="DM57" s="14"/>
      <c r="DN57" s="14" t="s">
        <v>333</v>
      </c>
      <c r="DO57" s="14"/>
      <c r="DP57" s="14" t="s">
        <v>328</v>
      </c>
      <c r="DQ57" s="14" t="s">
        <v>328</v>
      </c>
      <c r="DR57" s="14" t="s">
        <v>354</v>
      </c>
      <c r="DS57" s="14"/>
      <c r="DT57" s="14"/>
      <c r="DU57" s="14" t="s">
        <v>335</v>
      </c>
      <c r="DV57" s="14" t="s">
        <v>336</v>
      </c>
      <c r="DW57" s="14" t="s">
        <v>328</v>
      </c>
      <c r="DX57" s="14"/>
      <c r="DY57" s="14"/>
      <c r="DZ57" s="14"/>
      <c r="EA57" s="14"/>
      <c r="EB57" s="14"/>
      <c r="EC57" s="101" t="s">
        <v>333</v>
      </c>
      <c r="ED57" s="48"/>
    </row>
    <row r="58" spans="1:134" x14ac:dyDescent="0.25">
      <c r="A58" s="50" t="s">
        <v>1854</v>
      </c>
      <c r="B58" s="61" t="s">
        <v>316</v>
      </c>
      <c r="C58" s="14" t="s">
        <v>328</v>
      </c>
      <c r="D58" s="14"/>
      <c r="E58" s="14">
        <v>34</v>
      </c>
      <c r="F58" s="14" t="s">
        <v>329</v>
      </c>
      <c r="G58" s="14" t="s">
        <v>330</v>
      </c>
      <c r="H58" s="14" t="s">
        <v>345</v>
      </c>
      <c r="I58" s="14" t="s">
        <v>1182</v>
      </c>
      <c r="J58" s="14" t="s">
        <v>1182</v>
      </c>
      <c r="K58" s="14">
        <v>15</v>
      </c>
      <c r="L58" s="14">
        <v>2</v>
      </c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>
        <v>2</v>
      </c>
      <c r="Y58" s="14"/>
      <c r="Z58" s="14" t="s">
        <v>328</v>
      </c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 t="s">
        <v>328</v>
      </c>
      <c r="AL58" s="14" t="s">
        <v>328</v>
      </c>
      <c r="AM58" s="14"/>
      <c r="AN58" s="14"/>
      <c r="AO58" s="14"/>
      <c r="AP58" s="14">
        <v>10</v>
      </c>
      <c r="AQ58" s="14">
        <v>1</v>
      </c>
      <c r="AR58" s="14"/>
      <c r="AS58" s="14" t="s">
        <v>328</v>
      </c>
      <c r="AT58" s="14"/>
      <c r="AU58" s="14"/>
      <c r="AV58" s="14">
        <v>2</v>
      </c>
      <c r="AW58" s="14">
        <v>3</v>
      </c>
      <c r="AX58" s="14">
        <v>1</v>
      </c>
      <c r="AY58" s="14"/>
      <c r="AZ58" s="14"/>
      <c r="BA58" s="14" t="s">
        <v>328</v>
      </c>
      <c r="BB58" s="14"/>
      <c r="BC58" s="14"/>
      <c r="BD58" s="14" t="s">
        <v>328</v>
      </c>
      <c r="BE58" s="14"/>
      <c r="BF58" s="14"/>
      <c r="BG58" s="14"/>
      <c r="BH58" s="14"/>
      <c r="BI58" s="14"/>
      <c r="BJ58" s="14"/>
      <c r="BK58" s="14"/>
      <c r="BL58" s="14" t="s">
        <v>328</v>
      </c>
      <c r="BM58" s="14"/>
      <c r="BN58" s="14" t="s">
        <v>328</v>
      </c>
      <c r="BO58" s="14"/>
      <c r="BP58" s="14" t="s">
        <v>328</v>
      </c>
      <c r="BQ58" s="14"/>
      <c r="BR58" s="14"/>
      <c r="BS58" s="14"/>
      <c r="BT58" s="14"/>
      <c r="BU58" s="14"/>
      <c r="BV58" s="14"/>
      <c r="BW58" s="14" t="s">
        <v>328</v>
      </c>
      <c r="BX58" s="14"/>
      <c r="BY58" s="14"/>
      <c r="BZ58" s="14"/>
      <c r="CA58" s="14" t="s">
        <v>328</v>
      </c>
      <c r="CB58" s="14"/>
      <c r="CC58" s="14"/>
      <c r="CD58" s="14"/>
      <c r="CE58" s="14"/>
      <c r="CF58" s="14"/>
      <c r="CG58" s="14" t="s">
        <v>328</v>
      </c>
      <c r="CH58" s="14"/>
      <c r="CI58" s="14"/>
      <c r="CJ58" s="14"/>
      <c r="CK58" s="14"/>
      <c r="CL58" s="14">
        <v>3</v>
      </c>
      <c r="CM58" s="14">
        <v>1</v>
      </c>
      <c r="CN58" s="14">
        <v>4</v>
      </c>
      <c r="CO58" s="14">
        <v>6</v>
      </c>
      <c r="CP58" s="14">
        <v>5</v>
      </c>
      <c r="CQ58" s="14">
        <v>2</v>
      </c>
      <c r="CR58" s="14"/>
      <c r="CS58" s="14" t="s">
        <v>328</v>
      </c>
      <c r="CT58" s="14"/>
      <c r="CU58" s="14"/>
      <c r="CV58" s="14" t="s">
        <v>328</v>
      </c>
      <c r="CW58" s="14"/>
      <c r="CX58" s="14"/>
      <c r="CY58" s="14"/>
      <c r="CZ58" s="14"/>
      <c r="DA58" s="14">
        <v>1</v>
      </c>
      <c r="DB58" s="14">
        <v>3</v>
      </c>
      <c r="DC58" s="14">
        <v>5</v>
      </c>
      <c r="DD58" s="14">
        <v>4</v>
      </c>
      <c r="DE58" s="14">
        <v>2</v>
      </c>
      <c r="DF58" s="14">
        <v>6</v>
      </c>
      <c r="DG58" s="14"/>
      <c r="DH58" s="14" t="s">
        <v>328</v>
      </c>
      <c r="DI58" s="14"/>
      <c r="DJ58" s="14"/>
      <c r="DK58" s="14"/>
      <c r="DL58" s="14"/>
      <c r="DM58" s="14"/>
      <c r="DN58" s="14" t="s">
        <v>333</v>
      </c>
      <c r="DO58" s="14"/>
      <c r="DP58" s="14" t="s">
        <v>328</v>
      </c>
      <c r="DQ58" s="14" t="s">
        <v>328</v>
      </c>
      <c r="DR58" s="14" t="s">
        <v>354</v>
      </c>
      <c r="DS58" s="14"/>
      <c r="DT58" s="14"/>
      <c r="DU58" s="14" t="s">
        <v>335</v>
      </c>
      <c r="DV58" s="14" t="s">
        <v>336</v>
      </c>
      <c r="DW58" s="14" t="s">
        <v>328</v>
      </c>
      <c r="DX58" s="14"/>
      <c r="DY58" s="14"/>
      <c r="DZ58" s="14"/>
      <c r="EA58" s="14"/>
      <c r="EB58" s="14"/>
      <c r="EC58" s="101" t="s">
        <v>333</v>
      </c>
      <c r="ED58" s="48" t="s">
        <v>368</v>
      </c>
    </row>
    <row r="59" spans="1:134" x14ac:dyDescent="0.25">
      <c r="A59" s="50" t="s">
        <v>1854</v>
      </c>
      <c r="B59" s="61" t="s">
        <v>317</v>
      </c>
      <c r="C59" s="14" t="s">
        <v>328</v>
      </c>
      <c r="D59" s="14"/>
      <c r="E59" s="14">
        <v>65</v>
      </c>
      <c r="F59" s="14" t="s">
        <v>329</v>
      </c>
      <c r="G59" s="14" t="s">
        <v>353</v>
      </c>
      <c r="H59" s="14" t="s">
        <v>369</v>
      </c>
      <c r="I59" s="14" t="s">
        <v>1185</v>
      </c>
      <c r="J59" s="14" t="s">
        <v>1182</v>
      </c>
      <c r="K59" s="14">
        <v>45</v>
      </c>
      <c r="L59" s="14">
        <v>5</v>
      </c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>
        <v>5</v>
      </c>
      <c r="Y59" s="14"/>
      <c r="Z59" s="14"/>
      <c r="AA59" s="14"/>
      <c r="AB59" s="14"/>
      <c r="AC59" s="14" t="s">
        <v>328</v>
      </c>
      <c r="AD59" s="14"/>
      <c r="AE59" s="14"/>
      <c r="AF59" s="14"/>
      <c r="AG59" s="14"/>
      <c r="AH59" s="14"/>
      <c r="AI59" s="14"/>
      <c r="AJ59" s="14"/>
      <c r="AK59" s="14" t="s">
        <v>328</v>
      </c>
      <c r="AL59" s="14"/>
      <c r="AM59" s="14"/>
      <c r="AN59" s="14"/>
      <c r="AO59" s="14" t="s">
        <v>328</v>
      </c>
      <c r="AP59" s="14">
        <v>5</v>
      </c>
      <c r="AQ59" s="14">
        <v>1</v>
      </c>
      <c r="AR59" s="14"/>
      <c r="AS59" s="14"/>
      <c r="AT59" s="14" t="s">
        <v>328</v>
      </c>
      <c r="AU59" s="14" t="s">
        <v>328</v>
      </c>
      <c r="AV59" s="14">
        <v>1</v>
      </c>
      <c r="AW59" s="14">
        <v>2</v>
      </c>
      <c r="AX59" s="14">
        <v>3</v>
      </c>
      <c r="AY59" s="14"/>
      <c r="AZ59" s="14"/>
      <c r="BA59" s="14" t="s">
        <v>328</v>
      </c>
      <c r="BB59" s="14" t="s">
        <v>328</v>
      </c>
      <c r="BC59" s="14"/>
      <c r="BD59" s="14" t="s">
        <v>328</v>
      </c>
      <c r="BE59" s="14"/>
      <c r="BF59" s="14" t="s">
        <v>328</v>
      </c>
      <c r="BG59" s="14"/>
      <c r="BH59" s="14"/>
      <c r="BI59" s="14"/>
      <c r="BJ59" s="14"/>
      <c r="BK59" s="14"/>
      <c r="BL59" s="14"/>
      <c r="BM59" s="14" t="s">
        <v>328</v>
      </c>
      <c r="BN59" s="14" t="s">
        <v>328</v>
      </c>
      <c r="BO59" s="14"/>
      <c r="BP59" s="14" t="s">
        <v>328</v>
      </c>
      <c r="BQ59" s="14"/>
      <c r="BR59" s="14"/>
      <c r="BS59" s="14"/>
      <c r="BT59" s="14"/>
      <c r="BU59" s="14" t="s">
        <v>328</v>
      </c>
      <c r="BV59" s="14"/>
      <c r="BW59" s="14"/>
      <c r="BX59" s="14"/>
      <c r="BY59" s="14" t="s">
        <v>328</v>
      </c>
      <c r="BZ59" s="14" t="s">
        <v>328</v>
      </c>
      <c r="CA59" s="14" t="s">
        <v>328</v>
      </c>
      <c r="CB59" s="14"/>
      <c r="CC59" s="14"/>
      <c r="CD59" s="14"/>
      <c r="CE59" s="14"/>
      <c r="CF59" s="14"/>
      <c r="CG59" s="14"/>
      <c r="CH59" s="14" t="s">
        <v>328</v>
      </c>
      <c r="CI59" s="14"/>
      <c r="CJ59" s="14"/>
      <c r="CK59" s="14"/>
      <c r="CL59" s="14">
        <v>2</v>
      </c>
      <c r="CM59" s="14">
        <v>3</v>
      </c>
      <c r="CN59" s="14">
        <v>1</v>
      </c>
      <c r="CO59" s="14">
        <v>6</v>
      </c>
      <c r="CP59" s="14">
        <v>5</v>
      </c>
      <c r="CQ59" s="14">
        <v>4</v>
      </c>
      <c r="CR59" s="14"/>
      <c r="CS59" s="14"/>
      <c r="CT59" s="14"/>
      <c r="CU59" s="14"/>
      <c r="CV59" s="14"/>
      <c r="CW59" s="14"/>
      <c r="CX59" s="14" t="s">
        <v>332</v>
      </c>
      <c r="CY59" s="14"/>
      <c r="CZ59" s="14"/>
      <c r="DA59" s="14">
        <v>2</v>
      </c>
      <c r="DB59" s="14">
        <v>4</v>
      </c>
      <c r="DC59" s="14">
        <v>5</v>
      </c>
      <c r="DD59" s="14">
        <v>3</v>
      </c>
      <c r="DE59" s="14">
        <v>1</v>
      </c>
      <c r="DF59" s="14">
        <v>6</v>
      </c>
      <c r="DG59" s="14"/>
      <c r="DH59" s="14" t="s">
        <v>328</v>
      </c>
      <c r="DI59" s="14"/>
      <c r="DJ59" s="14"/>
      <c r="DK59" s="14"/>
      <c r="DL59" s="14"/>
      <c r="DM59" s="14"/>
      <c r="DN59" s="14" t="s">
        <v>333</v>
      </c>
      <c r="DO59" s="14"/>
      <c r="DP59" s="14" t="s">
        <v>328</v>
      </c>
      <c r="DQ59" s="14" t="s">
        <v>328</v>
      </c>
      <c r="DR59" s="14" t="s">
        <v>354</v>
      </c>
      <c r="DS59" s="14"/>
      <c r="DT59" s="14"/>
      <c r="DU59" s="14"/>
      <c r="DV59" s="14" t="s">
        <v>336</v>
      </c>
      <c r="DW59" s="14" t="s">
        <v>328</v>
      </c>
      <c r="DX59" s="14"/>
      <c r="DY59" s="14"/>
      <c r="DZ59" s="14"/>
      <c r="EA59" s="14"/>
      <c r="EB59" s="14"/>
      <c r="EC59" s="101" t="s">
        <v>333</v>
      </c>
      <c r="ED59" s="48"/>
    </row>
    <row r="60" spans="1:134" x14ac:dyDescent="0.25">
      <c r="A60" s="50" t="s">
        <v>1854</v>
      </c>
      <c r="B60" s="61" t="s">
        <v>318</v>
      </c>
      <c r="C60" s="14" t="s">
        <v>328</v>
      </c>
      <c r="D60" s="14"/>
      <c r="E60" s="14">
        <v>41</v>
      </c>
      <c r="F60" s="14" t="s">
        <v>329</v>
      </c>
      <c r="G60" s="14" t="s">
        <v>330</v>
      </c>
      <c r="H60" s="14" t="s">
        <v>369</v>
      </c>
      <c r="I60" s="14" t="s">
        <v>1185</v>
      </c>
      <c r="J60" s="14" t="s">
        <v>1182</v>
      </c>
      <c r="K60" s="14">
        <v>41</v>
      </c>
      <c r="L60" s="14">
        <v>1</v>
      </c>
      <c r="M60" s="14">
        <v>1</v>
      </c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 t="s">
        <v>328</v>
      </c>
      <c r="AD60" s="14"/>
      <c r="AE60" s="14"/>
      <c r="AF60" s="14"/>
      <c r="AG60" s="14"/>
      <c r="AH60" s="14"/>
      <c r="AI60" s="14"/>
      <c r="AJ60" s="14"/>
      <c r="AK60" s="14" t="s">
        <v>328</v>
      </c>
      <c r="AL60" s="14"/>
      <c r="AM60" s="14"/>
      <c r="AN60" s="14"/>
      <c r="AO60" s="14" t="s">
        <v>328</v>
      </c>
      <c r="AP60" s="14">
        <v>8</v>
      </c>
      <c r="AQ60" s="14">
        <v>1</v>
      </c>
      <c r="AR60" s="14"/>
      <c r="AS60" s="14"/>
      <c r="AT60" s="14"/>
      <c r="AU60" s="14" t="s">
        <v>328</v>
      </c>
      <c r="AV60" s="14">
        <v>2</v>
      </c>
      <c r="AW60" s="14">
        <v>3</v>
      </c>
      <c r="AX60" s="14">
        <v>1</v>
      </c>
      <c r="AY60" s="14"/>
      <c r="AZ60" s="14"/>
      <c r="BA60" s="14" t="s">
        <v>328</v>
      </c>
      <c r="BB60" s="14"/>
      <c r="BC60" s="14"/>
      <c r="BD60" s="14"/>
      <c r="BE60" s="14"/>
      <c r="BF60" s="14"/>
      <c r="BG60" s="14"/>
      <c r="BH60" s="14"/>
      <c r="BI60" s="14" t="s">
        <v>328</v>
      </c>
      <c r="BJ60" s="14"/>
      <c r="BK60" s="14"/>
      <c r="BL60" s="14" t="s">
        <v>328</v>
      </c>
      <c r="BM60" s="14"/>
      <c r="BN60" s="14" t="s">
        <v>328</v>
      </c>
      <c r="BO60" s="14"/>
      <c r="BP60" s="14"/>
      <c r="BQ60" s="14"/>
      <c r="BR60" s="14"/>
      <c r="BS60" s="14"/>
      <c r="BT60" s="14"/>
      <c r="BU60" s="14" t="s">
        <v>328</v>
      </c>
      <c r="BV60" s="14"/>
      <c r="BW60" s="14"/>
      <c r="BX60" s="14"/>
      <c r="BY60" s="14"/>
      <c r="BZ60" s="14"/>
      <c r="CA60" s="14" t="s">
        <v>328</v>
      </c>
      <c r="CB60" s="14"/>
      <c r="CC60" s="14"/>
      <c r="CD60" s="14"/>
      <c r="CE60" s="14" t="s">
        <v>328</v>
      </c>
      <c r="CF60" s="14"/>
      <c r="CG60" s="14"/>
      <c r="CH60" s="14" t="s">
        <v>328</v>
      </c>
      <c r="CI60" s="14" t="s">
        <v>328</v>
      </c>
      <c r="CJ60" s="14"/>
      <c r="CK60" s="14"/>
      <c r="CL60" s="14">
        <v>4</v>
      </c>
      <c r="CM60" s="14">
        <v>2</v>
      </c>
      <c r="CN60" s="14">
        <v>1</v>
      </c>
      <c r="CO60" s="14">
        <v>5</v>
      </c>
      <c r="CP60" s="14">
        <v>6</v>
      </c>
      <c r="CQ60" s="14">
        <v>3</v>
      </c>
      <c r="CR60" s="14"/>
      <c r="CS60" s="14"/>
      <c r="CT60" s="14"/>
      <c r="CU60" s="14"/>
      <c r="CV60" s="14"/>
      <c r="CW60" s="14"/>
      <c r="CX60" s="14" t="s">
        <v>332</v>
      </c>
      <c r="CY60" s="14"/>
      <c r="CZ60" s="14"/>
      <c r="DA60" s="14">
        <v>2</v>
      </c>
      <c r="DB60" s="14">
        <v>5</v>
      </c>
      <c r="DC60" s="14">
        <v>4</v>
      </c>
      <c r="DD60" s="14">
        <v>6</v>
      </c>
      <c r="DE60" s="14">
        <v>1</v>
      </c>
      <c r="DF60" s="14">
        <v>3</v>
      </c>
      <c r="DG60" s="14"/>
      <c r="DH60" s="14" t="s">
        <v>328</v>
      </c>
      <c r="DI60" s="14"/>
      <c r="DJ60" s="14"/>
      <c r="DK60" s="14"/>
      <c r="DL60" s="14"/>
      <c r="DM60" s="14"/>
      <c r="DN60" s="14" t="s">
        <v>333</v>
      </c>
      <c r="DO60" s="14" t="s">
        <v>328</v>
      </c>
      <c r="DP60" s="14"/>
      <c r="DQ60" s="14"/>
      <c r="DR60" s="14"/>
      <c r="DS60" s="14"/>
      <c r="DT60" s="14"/>
      <c r="DU60" s="14"/>
      <c r="DV60" s="14" t="s">
        <v>333</v>
      </c>
      <c r="DW60" s="14" t="s">
        <v>328</v>
      </c>
      <c r="DX60" s="14"/>
      <c r="DY60" s="14"/>
      <c r="DZ60" s="14"/>
      <c r="EA60" s="14"/>
      <c r="EB60" s="14"/>
      <c r="EC60" s="101" t="s">
        <v>333</v>
      </c>
      <c r="ED60" s="48"/>
    </row>
    <row r="61" spans="1:134" x14ac:dyDescent="0.25">
      <c r="A61" s="50" t="s">
        <v>1854</v>
      </c>
      <c r="B61" s="61" t="s">
        <v>319</v>
      </c>
      <c r="C61" s="14" t="s">
        <v>328</v>
      </c>
      <c r="D61" s="14"/>
      <c r="E61" s="14">
        <v>59</v>
      </c>
      <c r="F61" s="14" t="s">
        <v>329</v>
      </c>
      <c r="G61" s="14" t="s">
        <v>353</v>
      </c>
      <c r="H61" s="14" t="s">
        <v>369</v>
      </c>
      <c r="I61" s="14" t="s">
        <v>1185</v>
      </c>
      <c r="J61" s="14" t="s">
        <v>1182</v>
      </c>
      <c r="K61" s="14">
        <v>25</v>
      </c>
      <c r="L61" s="14">
        <v>3</v>
      </c>
      <c r="M61" s="14">
        <v>3</v>
      </c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 t="s">
        <v>328</v>
      </c>
      <c r="AG61" s="14"/>
      <c r="AH61" s="14"/>
      <c r="AI61" s="14"/>
      <c r="AJ61" s="14"/>
      <c r="AK61" s="14" t="s">
        <v>328</v>
      </c>
      <c r="AL61" s="14"/>
      <c r="AM61" s="14"/>
      <c r="AN61" s="14"/>
      <c r="AO61" s="14" t="s">
        <v>328</v>
      </c>
      <c r="AP61" s="14">
        <v>9</v>
      </c>
      <c r="AQ61" s="14">
        <v>1</v>
      </c>
      <c r="AR61" s="14"/>
      <c r="AS61" s="14"/>
      <c r="AT61" s="14"/>
      <c r="AU61" s="14" t="s">
        <v>328</v>
      </c>
      <c r="AV61" s="14">
        <v>3</v>
      </c>
      <c r="AW61" s="14">
        <v>2</v>
      </c>
      <c r="AX61" s="14">
        <v>1</v>
      </c>
      <c r="AY61" s="14"/>
      <c r="AZ61" s="14" t="s">
        <v>328</v>
      </c>
      <c r="BA61" s="14"/>
      <c r="BB61" s="14" t="s">
        <v>328</v>
      </c>
      <c r="BC61" s="14"/>
      <c r="BD61" s="14" t="s">
        <v>328</v>
      </c>
      <c r="BE61" s="14"/>
      <c r="BF61" s="14"/>
      <c r="BG61" s="14"/>
      <c r="BH61" s="14"/>
      <c r="BI61" s="14"/>
      <c r="BJ61" s="14"/>
      <c r="BK61" s="14"/>
      <c r="BL61" s="14" t="s">
        <v>328</v>
      </c>
      <c r="BM61" s="14"/>
      <c r="BN61" s="14" t="s">
        <v>328</v>
      </c>
      <c r="BO61" s="14"/>
      <c r="BP61" s="14"/>
      <c r="BQ61" s="14"/>
      <c r="BR61" s="14"/>
      <c r="BS61" s="14"/>
      <c r="BT61" s="14"/>
      <c r="BU61" s="14" t="s">
        <v>328</v>
      </c>
      <c r="BV61" s="14"/>
      <c r="BW61" s="14"/>
      <c r="BX61" s="14"/>
      <c r="BY61" s="14"/>
      <c r="BZ61" s="14"/>
      <c r="CA61" s="14" t="s">
        <v>328</v>
      </c>
      <c r="CB61" s="14"/>
      <c r="CC61" s="14"/>
      <c r="CD61" s="14"/>
      <c r="CE61" s="14" t="s">
        <v>328</v>
      </c>
      <c r="CF61" s="14"/>
      <c r="CG61" s="14"/>
      <c r="CH61" s="14" t="s">
        <v>328</v>
      </c>
      <c r="CI61" s="14"/>
      <c r="CJ61" s="14"/>
      <c r="CK61" s="14"/>
      <c r="CL61" s="14">
        <v>1</v>
      </c>
      <c r="CM61" s="14">
        <v>2</v>
      </c>
      <c r="CN61" s="14">
        <v>4</v>
      </c>
      <c r="CO61" s="14">
        <v>6</v>
      </c>
      <c r="CP61" s="14">
        <v>5</v>
      </c>
      <c r="CQ61" s="14">
        <v>3</v>
      </c>
      <c r="CR61" s="14"/>
      <c r="CS61" s="14"/>
      <c r="CT61" s="14"/>
      <c r="CU61" s="14"/>
      <c r="CV61" s="14"/>
      <c r="CW61" s="14"/>
      <c r="CX61" s="14" t="s">
        <v>332</v>
      </c>
      <c r="CY61" s="14"/>
      <c r="CZ61" s="14"/>
      <c r="DA61" s="14">
        <v>6</v>
      </c>
      <c r="DB61" s="14">
        <v>2</v>
      </c>
      <c r="DC61" s="14">
        <v>3</v>
      </c>
      <c r="DD61" s="14">
        <v>4</v>
      </c>
      <c r="DE61" s="14">
        <v>5</v>
      </c>
      <c r="DF61" s="14">
        <v>1</v>
      </c>
      <c r="DG61" s="14"/>
      <c r="DH61" s="14" t="s">
        <v>328</v>
      </c>
      <c r="DI61" s="14"/>
      <c r="DJ61" s="14"/>
      <c r="DK61" s="14"/>
      <c r="DL61" s="14"/>
      <c r="DM61" s="14"/>
      <c r="DN61" s="14" t="s">
        <v>333</v>
      </c>
      <c r="DO61" s="14" t="s">
        <v>328</v>
      </c>
      <c r="DP61" s="14"/>
      <c r="DQ61" s="14"/>
      <c r="DR61" s="14"/>
      <c r="DS61" s="14"/>
      <c r="DT61" s="14"/>
      <c r="DU61" s="14"/>
      <c r="DV61" s="14" t="s">
        <v>333</v>
      </c>
      <c r="DW61" s="14" t="s">
        <v>328</v>
      </c>
      <c r="DX61" s="14"/>
      <c r="DY61" s="14"/>
      <c r="DZ61" s="14"/>
      <c r="EA61" s="14"/>
      <c r="EB61" s="14"/>
      <c r="EC61" s="101" t="s">
        <v>333</v>
      </c>
      <c r="ED61" s="48"/>
    </row>
    <row r="62" spans="1:134" x14ac:dyDescent="0.25">
      <c r="A62" s="50" t="s">
        <v>1854</v>
      </c>
      <c r="B62" s="61" t="s">
        <v>320</v>
      </c>
      <c r="C62" s="14" t="s">
        <v>328</v>
      </c>
      <c r="D62" s="14"/>
      <c r="E62" s="14">
        <v>54</v>
      </c>
      <c r="F62" s="14" t="s">
        <v>329</v>
      </c>
      <c r="G62" s="14" t="s">
        <v>357</v>
      </c>
      <c r="H62" s="14" t="s">
        <v>372</v>
      </c>
      <c r="I62" s="8" t="s">
        <v>1186</v>
      </c>
      <c r="J62" s="14" t="s">
        <v>1182</v>
      </c>
      <c r="K62" s="14">
        <v>20</v>
      </c>
      <c r="L62" s="14">
        <v>3</v>
      </c>
      <c r="M62" s="14">
        <v>2</v>
      </c>
      <c r="N62" s="14"/>
      <c r="O62" s="14"/>
      <c r="P62" s="14"/>
      <c r="Q62" s="14"/>
      <c r="R62" s="14"/>
      <c r="S62" s="14"/>
      <c r="T62" s="14">
        <v>1</v>
      </c>
      <c r="U62" s="14"/>
      <c r="V62" s="14"/>
      <c r="W62" s="14"/>
      <c r="X62" s="14"/>
      <c r="Y62" s="14"/>
      <c r="Z62" s="14"/>
      <c r="AA62" s="14"/>
      <c r="AB62" s="14"/>
      <c r="AC62" s="14" t="s">
        <v>328</v>
      </c>
      <c r="AD62" s="14" t="s">
        <v>328</v>
      </c>
      <c r="AE62" s="14"/>
      <c r="AF62" s="14" t="s">
        <v>328</v>
      </c>
      <c r="AG62" s="14"/>
      <c r="AH62" s="14"/>
      <c r="AI62" s="14"/>
      <c r="AJ62" s="14"/>
      <c r="AK62" s="14" t="s">
        <v>328</v>
      </c>
      <c r="AL62" s="14"/>
      <c r="AM62" s="14"/>
      <c r="AN62" s="14"/>
      <c r="AO62" s="14" t="s">
        <v>328</v>
      </c>
      <c r="AP62" s="14">
        <v>9</v>
      </c>
      <c r="AQ62" s="14">
        <v>2</v>
      </c>
      <c r="AR62" s="14"/>
      <c r="AS62" s="14"/>
      <c r="AT62" s="14"/>
      <c r="AU62" s="14" t="s">
        <v>328</v>
      </c>
      <c r="AV62" s="14">
        <v>1</v>
      </c>
      <c r="AW62" s="14">
        <v>3</v>
      </c>
      <c r="AX62" s="14">
        <v>2</v>
      </c>
      <c r="AY62" s="14"/>
      <c r="AZ62" s="14" t="s">
        <v>328</v>
      </c>
      <c r="BA62" s="14"/>
      <c r="BB62" s="14" t="s">
        <v>328</v>
      </c>
      <c r="BC62" s="14"/>
      <c r="BD62" s="14"/>
      <c r="BE62" s="14"/>
      <c r="BF62" s="14"/>
      <c r="BG62" s="14"/>
      <c r="BH62" s="14"/>
      <c r="BI62" s="14" t="s">
        <v>328</v>
      </c>
      <c r="BJ62" s="14"/>
      <c r="BK62" s="14"/>
      <c r="BL62" s="14" t="s">
        <v>328</v>
      </c>
      <c r="BM62" s="14"/>
      <c r="BN62" s="14" t="s">
        <v>328</v>
      </c>
      <c r="BO62" s="14"/>
      <c r="BP62" s="14" t="s">
        <v>328</v>
      </c>
      <c r="BQ62" s="14"/>
      <c r="BR62" s="14"/>
      <c r="BS62" s="14"/>
      <c r="BT62" s="14"/>
      <c r="BU62" s="14"/>
      <c r="BV62" s="14"/>
      <c r="BW62" s="14"/>
      <c r="BX62" s="14"/>
      <c r="BY62" s="14" t="s">
        <v>328</v>
      </c>
      <c r="BZ62" s="14"/>
      <c r="CA62" s="14" t="s">
        <v>328</v>
      </c>
      <c r="CB62" s="14"/>
      <c r="CC62" s="14"/>
      <c r="CD62" s="14"/>
      <c r="CE62" s="14"/>
      <c r="CF62" s="14" t="s">
        <v>1837</v>
      </c>
      <c r="CG62" s="14" t="s">
        <v>328</v>
      </c>
      <c r="CH62" s="14"/>
      <c r="CI62" s="14"/>
      <c r="CJ62" s="14"/>
      <c r="CK62" s="14"/>
      <c r="CL62" s="14">
        <v>3</v>
      </c>
      <c r="CM62" s="14">
        <v>4</v>
      </c>
      <c r="CN62" s="14">
        <v>5</v>
      </c>
      <c r="CO62" s="14">
        <v>6</v>
      </c>
      <c r="CP62" s="14">
        <v>1</v>
      </c>
      <c r="CQ62" s="14">
        <v>2</v>
      </c>
      <c r="CR62" s="14"/>
      <c r="CS62" s="14"/>
      <c r="CT62" s="14"/>
      <c r="CU62" s="14"/>
      <c r="CV62" s="14"/>
      <c r="CW62" s="14"/>
      <c r="CX62" s="14" t="s">
        <v>332</v>
      </c>
      <c r="CY62" s="14"/>
      <c r="CZ62" s="14"/>
      <c r="DA62" s="14">
        <v>6</v>
      </c>
      <c r="DB62" s="14">
        <v>1</v>
      </c>
      <c r="DC62" s="14">
        <v>4</v>
      </c>
      <c r="DD62" s="14">
        <v>2</v>
      </c>
      <c r="DE62" s="14">
        <v>5</v>
      </c>
      <c r="DF62" s="14">
        <v>3</v>
      </c>
      <c r="DG62" s="14"/>
      <c r="DH62" s="14" t="s">
        <v>328</v>
      </c>
      <c r="DI62" s="14"/>
      <c r="DJ62" s="14"/>
      <c r="DK62" s="14"/>
      <c r="DL62" s="14"/>
      <c r="DM62" s="14"/>
      <c r="DN62" s="14" t="s">
        <v>333</v>
      </c>
      <c r="DO62" s="14"/>
      <c r="DP62" s="14" t="s">
        <v>328</v>
      </c>
      <c r="DQ62" s="14" t="s">
        <v>328</v>
      </c>
      <c r="DR62" s="14" t="s">
        <v>354</v>
      </c>
      <c r="DS62" s="14"/>
      <c r="DT62" s="14"/>
      <c r="DU62" s="14" t="s">
        <v>373</v>
      </c>
      <c r="DV62" s="14" t="s">
        <v>336</v>
      </c>
      <c r="DW62" s="14" t="s">
        <v>328</v>
      </c>
      <c r="DX62" s="14"/>
      <c r="DY62" s="14"/>
      <c r="DZ62" s="14"/>
      <c r="EA62" s="14"/>
      <c r="EB62" s="14"/>
      <c r="EC62" s="101" t="s">
        <v>333</v>
      </c>
      <c r="ED62" s="48" t="s">
        <v>375</v>
      </c>
    </row>
    <row r="63" spans="1:134" x14ac:dyDescent="0.25">
      <c r="A63" s="50" t="s">
        <v>1854</v>
      </c>
      <c r="B63" s="61" t="s">
        <v>321</v>
      </c>
      <c r="C63" s="14" t="s">
        <v>328</v>
      </c>
      <c r="D63" s="14"/>
      <c r="E63" s="14">
        <v>52</v>
      </c>
      <c r="F63" s="14" t="s">
        <v>376</v>
      </c>
      <c r="G63" s="14" t="s">
        <v>353</v>
      </c>
      <c r="H63" s="14" t="s">
        <v>358</v>
      </c>
      <c r="I63" s="14" t="s">
        <v>1184</v>
      </c>
      <c r="J63" s="14" t="s">
        <v>1188</v>
      </c>
      <c r="K63" s="14">
        <v>15</v>
      </c>
      <c r="L63" s="14">
        <v>2</v>
      </c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>
        <v>2</v>
      </c>
      <c r="Y63" s="14"/>
      <c r="Z63" s="14"/>
      <c r="AA63" s="14"/>
      <c r="AB63" s="14"/>
      <c r="AC63" s="14" t="s">
        <v>328</v>
      </c>
      <c r="AD63" s="14" t="s">
        <v>328</v>
      </c>
      <c r="AE63" s="14"/>
      <c r="AF63" s="14"/>
      <c r="AG63" s="14"/>
      <c r="AH63" s="14"/>
      <c r="AI63" s="14"/>
      <c r="AJ63" s="14"/>
      <c r="AK63" s="14" t="s">
        <v>328</v>
      </c>
      <c r="AL63" s="14"/>
      <c r="AM63" s="14"/>
      <c r="AN63" s="14"/>
      <c r="AO63" s="14" t="s">
        <v>328</v>
      </c>
      <c r="AP63" s="14">
        <v>10</v>
      </c>
      <c r="AQ63" s="14">
        <v>6</v>
      </c>
      <c r="AR63" s="14"/>
      <c r="AS63" s="14" t="s">
        <v>328</v>
      </c>
      <c r="AT63" s="14"/>
      <c r="AU63" s="14"/>
      <c r="AV63" s="14">
        <v>2</v>
      </c>
      <c r="AW63" s="14">
        <v>4</v>
      </c>
      <c r="AX63" s="14">
        <v>3</v>
      </c>
      <c r="AY63" s="14" t="s">
        <v>346</v>
      </c>
      <c r="AZ63" s="14" t="s">
        <v>328</v>
      </c>
      <c r="BA63" s="14"/>
      <c r="BB63" s="14" t="s">
        <v>328</v>
      </c>
      <c r="BC63" s="14"/>
      <c r="BD63" s="14"/>
      <c r="BE63" s="14" t="s">
        <v>328</v>
      </c>
      <c r="BF63" s="14"/>
      <c r="BG63" s="14"/>
      <c r="BH63" s="14"/>
      <c r="BI63" s="14"/>
      <c r="BJ63" s="14"/>
      <c r="BK63" s="14"/>
      <c r="BL63" s="14" t="s">
        <v>328</v>
      </c>
      <c r="BM63" s="14"/>
      <c r="BN63" s="14" t="s">
        <v>328</v>
      </c>
      <c r="BO63" s="14"/>
      <c r="BP63" s="14" t="s">
        <v>328</v>
      </c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 t="s">
        <v>328</v>
      </c>
      <c r="CB63" s="14"/>
      <c r="CC63" s="14"/>
      <c r="CD63" s="14"/>
      <c r="CE63" s="14"/>
      <c r="CF63" s="14"/>
      <c r="CG63" s="14"/>
      <c r="CH63" s="14" t="s">
        <v>328</v>
      </c>
      <c r="CI63" s="14"/>
      <c r="CJ63" s="14"/>
      <c r="CK63" s="14"/>
      <c r="CL63" s="14">
        <v>2</v>
      </c>
      <c r="CM63" s="14">
        <v>3</v>
      </c>
      <c r="CN63" s="14">
        <v>4</v>
      </c>
      <c r="CO63" s="14">
        <v>6</v>
      </c>
      <c r="CP63" s="14">
        <v>5</v>
      </c>
      <c r="CQ63" s="14">
        <v>1</v>
      </c>
      <c r="CR63" s="14"/>
      <c r="CS63" s="14"/>
      <c r="CT63" s="14"/>
      <c r="CU63" s="14"/>
      <c r="CV63" s="14"/>
      <c r="CW63" s="14"/>
      <c r="CX63" s="14" t="s">
        <v>332</v>
      </c>
      <c r="CY63" s="14"/>
      <c r="CZ63" s="14"/>
      <c r="DA63" s="14">
        <v>2</v>
      </c>
      <c r="DB63" s="14">
        <v>3</v>
      </c>
      <c r="DC63" s="14">
        <v>5</v>
      </c>
      <c r="DD63" s="14">
        <v>6</v>
      </c>
      <c r="DE63" s="14">
        <v>1</v>
      </c>
      <c r="DF63" s="14">
        <v>4</v>
      </c>
      <c r="DG63" s="14"/>
      <c r="DH63" s="14" t="s">
        <v>328</v>
      </c>
      <c r="DI63" s="14"/>
      <c r="DJ63" s="14"/>
      <c r="DK63" s="14"/>
      <c r="DL63" s="14"/>
      <c r="DM63" s="14"/>
      <c r="DN63" s="14" t="s">
        <v>333</v>
      </c>
      <c r="DO63" s="14" t="s">
        <v>328</v>
      </c>
      <c r="DP63" s="14"/>
      <c r="DQ63" s="14"/>
      <c r="DR63" s="14"/>
      <c r="DS63" s="14"/>
      <c r="DT63" s="14"/>
      <c r="DU63" s="14"/>
      <c r="DV63" s="14" t="s">
        <v>333</v>
      </c>
      <c r="DW63" s="14" t="s">
        <v>328</v>
      </c>
      <c r="DX63" s="14"/>
      <c r="DY63" s="14"/>
      <c r="DZ63" s="14"/>
      <c r="EA63" s="14"/>
      <c r="EB63" s="14"/>
      <c r="EC63" s="101" t="s">
        <v>333</v>
      </c>
      <c r="ED63" s="48" t="s">
        <v>377</v>
      </c>
    </row>
    <row r="64" spans="1:134" x14ac:dyDescent="0.25">
      <c r="A64" s="50" t="s">
        <v>1854</v>
      </c>
      <c r="B64" s="61" t="s">
        <v>322</v>
      </c>
      <c r="C64" s="14" t="s">
        <v>328</v>
      </c>
      <c r="D64" s="14"/>
      <c r="E64" s="14">
        <v>43</v>
      </c>
      <c r="F64" s="14" t="s">
        <v>329</v>
      </c>
      <c r="G64" s="14" t="s">
        <v>353</v>
      </c>
      <c r="H64" s="14" t="s">
        <v>345</v>
      </c>
      <c r="I64" s="14" t="s">
        <v>1182</v>
      </c>
      <c r="J64" s="14" t="s">
        <v>1182</v>
      </c>
      <c r="K64" s="14">
        <v>24</v>
      </c>
      <c r="L64" s="14">
        <v>2</v>
      </c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>
        <v>2</v>
      </c>
      <c r="Y64" s="14"/>
      <c r="Z64" s="14" t="s">
        <v>328</v>
      </c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 t="s">
        <v>328</v>
      </c>
      <c r="AL64" s="14"/>
      <c r="AM64" s="14"/>
      <c r="AN64" s="14"/>
      <c r="AO64" s="14" t="s">
        <v>328</v>
      </c>
      <c r="AP64" s="14">
        <v>3</v>
      </c>
      <c r="AQ64" s="14">
        <v>3</v>
      </c>
      <c r="AR64" s="14"/>
      <c r="AS64" s="14" t="s">
        <v>328</v>
      </c>
      <c r="AT64" s="14"/>
      <c r="AU64" s="14"/>
      <c r="AV64" s="14">
        <v>3</v>
      </c>
      <c r="AW64" s="14">
        <v>2</v>
      </c>
      <c r="AX64" s="14">
        <v>4</v>
      </c>
      <c r="AY64" s="14" t="s">
        <v>346</v>
      </c>
      <c r="AZ64" s="14" t="s">
        <v>328</v>
      </c>
      <c r="BA64" s="14"/>
      <c r="BB64" s="14" t="s">
        <v>328</v>
      </c>
      <c r="BC64" s="14"/>
      <c r="BD64" s="14"/>
      <c r="BE64" s="14"/>
      <c r="BF64" s="14"/>
      <c r="BG64" s="14"/>
      <c r="BH64" s="14"/>
      <c r="BI64" s="14" t="s">
        <v>328</v>
      </c>
      <c r="BJ64" s="14"/>
      <c r="BK64" s="14"/>
      <c r="BL64" s="14" t="s">
        <v>328</v>
      </c>
      <c r="BM64" s="14"/>
      <c r="BN64" s="14" t="s">
        <v>328</v>
      </c>
      <c r="BO64" s="14"/>
      <c r="BP64" s="14"/>
      <c r="BQ64" s="14"/>
      <c r="BR64" s="14" t="s">
        <v>328</v>
      </c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 t="s">
        <v>332</v>
      </c>
      <c r="CG64" s="14"/>
      <c r="CH64" s="14"/>
      <c r="CI64" s="14" t="s">
        <v>328</v>
      </c>
      <c r="CJ64" s="14"/>
      <c r="CK64" s="14"/>
      <c r="CL64" s="14">
        <v>2</v>
      </c>
      <c r="CM64" s="14">
        <v>4</v>
      </c>
      <c r="CN64" s="14">
        <v>3</v>
      </c>
      <c r="CO64" s="14">
        <v>1</v>
      </c>
      <c r="CP64" s="14">
        <v>6</v>
      </c>
      <c r="CQ64" s="14">
        <v>5</v>
      </c>
      <c r="CR64" s="14"/>
      <c r="CS64" s="14"/>
      <c r="CT64" s="14"/>
      <c r="CU64" s="14"/>
      <c r="CV64" s="14"/>
      <c r="CW64" s="14"/>
      <c r="CX64" s="14" t="s">
        <v>332</v>
      </c>
      <c r="CY64" s="14"/>
      <c r="CZ64" s="14"/>
      <c r="DA64" s="14">
        <v>2</v>
      </c>
      <c r="DB64" s="14">
        <v>4</v>
      </c>
      <c r="DC64" s="14">
        <v>5</v>
      </c>
      <c r="DD64" s="14">
        <v>6</v>
      </c>
      <c r="DE64" s="14">
        <v>1</v>
      </c>
      <c r="DF64" s="14">
        <v>3</v>
      </c>
      <c r="DG64" s="14"/>
      <c r="DH64" s="14" t="s">
        <v>328</v>
      </c>
      <c r="DI64" s="14"/>
      <c r="DJ64" s="14"/>
      <c r="DK64" s="14"/>
      <c r="DL64" s="14"/>
      <c r="DM64" s="14"/>
      <c r="DN64" s="14" t="s">
        <v>333</v>
      </c>
      <c r="DO64" s="14"/>
      <c r="DP64" s="14" t="s">
        <v>328</v>
      </c>
      <c r="DQ64" s="14" t="s">
        <v>328</v>
      </c>
      <c r="DR64" s="14" t="s">
        <v>354</v>
      </c>
      <c r="DS64" s="14"/>
      <c r="DT64" s="14"/>
      <c r="DU64" s="14" t="s">
        <v>379</v>
      </c>
      <c r="DV64" s="14" t="s">
        <v>336</v>
      </c>
      <c r="DW64" s="14" t="s">
        <v>328</v>
      </c>
      <c r="DX64" s="14"/>
      <c r="DY64" s="14"/>
      <c r="DZ64" s="14"/>
      <c r="EA64" s="14"/>
      <c r="EB64" s="14"/>
      <c r="EC64" s="101" t="s">
        <v>333</v>
      </c>
      <c r="ED64" s="48" t="s">
        <v>378</v>
      </c>
    </row>
    <row r="65" spans="1:134" x14ac:dyDescent="0.25">
      <c r="A65" s="50" t="s">
        <v>1854</v>
      </c>
      <c r="B65" s="61" t="s">
        <v>323</v>
      </c>
      <c r="C65" s="14" t="s">
        <v>328</v>
      </c>
      <c r="D65" s="14"/>
      <c r="E65" s="14">
        <v>30</v>
      </c>
      <c r="F65" s="14" t="s">
        <v>329</v>
      </c>
      <c r="G65" s="14" t="s">
        <v>330</v>
      </c>
      <c r="H65" s="14" t="s">
        <v>803</v>
      </c>
      <c r="I65" s="8" t="s">
        <v>1187</v>
      </c>
      <c r="J65" s="14" t="s">
        <v>1280</v>
      </c>
      <c r="K65" s="14">
        <v>10</v>
      </c>
      <c r="L65" s="14">
        <v>1</v>
      </c>
      <c r="M65" s="14">
        <v>1</v>
      </c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 t="s">
        <v>328</v>
      </c>
      <c r="AD65" s="14"/>
      <c r="AE65" s="14"/>
      <c r="AF65" s="14"/>
      <c r="AG65" s="14"/>
      <c r="AH65" s="14"/>
      <c r="AI65" s="14"/>
      <c r="AJ65" s="14"/>
      <c r="AK65" s="14" t="s">
        <v>328</v>
      </c>
      <c r="AL65" s="14"/>
      <c r="AM65" s="14"/>
      <c r="AN65" s="14"/>
      <c r="AO65" s="14" t="s">
        <v>328</v>
      </c>
      <c r="AP65" s="14">
        <v>3</v>
      </c>
      <c r="AQ65" s="14">
        <v>1</v>
      </c>
      <c r="AR65" s="14"/>
      <c r="AS65" s="14"/>
      <c r="AT65" s="14"/>
      <c r="AU65" s="14" t="s">
        <v>328</v>
      </c>
      <c r="AV65" s="14">
        <v>1</v>
      </c>
      <c r="AW65" s="14">
        <v>3</v>
      </c>
      <c r="AX65" s="14">
        <v>2</v>
      </c>
      <c r="AY65" s="14"/>
      <c r="AZ65" s="14" t="s">
        <v>328</v>
      </c>
      <c r="BA65" s="14"/>
      <c r="BB65" s="14" t="s">
        <v>328</v>
      </c>
      <c r="BC65" s="14" t="s">
        <v>328</v>
      </c>
      <c r="BD65" s="14"/>
      <c r="BE65" s="14"/>
      <c r="BF65" s="14"/>
      <c r="BG65" s="14"/>
      <c r="BH65" s="14"/>
      <c r="BI65" s="14"/>
      <c r="BJ65" s="14"/>
      <c r="BK65" s="14"/>
      <c r="BL65" s="14" t="s">
        <v>328</v>
      </c>
      <c r="BM65" s="14"/>
      <c r="BN65" s="14"/>
      <c r="BO65" s="14" t="s">
        <v>328</v>
      </c>
      <c r="BP65" s="14" t="s">
        <v>328</v>
      </c>
      <c r="BQ65" s="14"/>
      <c r="BR65" s="14"/>
      <c r="BS65" s="14"/>
      <c r="BT65" s="14"/>
      <c r="BU65" s="14"/>
      <c r="BV65" s="14"/>
      <c r="BW65" s="14"/>
      <c r="BX65" s="14" t="s">
        <v>328</v>
      </c>
      <c r="BY65" s="14"/>
      <c r="BZ65" s="14"/>
      <c r="CA65" s="14"/>
      <c r="CB65" s="14"/>
      <c r="CC65" s="14"/>
      <c r="CD65" s="14"/>
      <c r="CE65" s="14" t="s">
        <v>328</v>
      </c>
      <c r="CF65" s="14"/>
      <c r="CG65" s="14" t="s">
        <v>328</v>
      </c>
      <c r="CH65" s="14"/>
      <c r="CI65" s="14"/>
      <c r="CJ65" s="14"/>
      <c r="CK65" s="14"/>
      <c r="CL65" s="14">
        <v>2</v>
      </c>
      <c r="CM65" s="14">
        <v>1</v>
      </c>
      <c r="CN65" s="14">
        <v>4</v>
      </c>
      <c r="CO65" s="14">
        <v>5</v>
      </c>
      <c r="CP65" s="14">
        <v>6</v>
      </c>
      <c r="CQ65" s="14">
        <v>3</v>
      </c>
      <c r="CR65" s="14"/>
      <c r="CS65" s="14"/>
      <c r="CT65" s="14"/>
      <c r="CU65" s="14"/>
      <c r="CV65" s="14"/>
      <c r="CW65" s="14"/>
      <c r="CX65" s="14" t="s">
        <v>332</v>
      </c>
      <c r="CY65" s="14"/>
      <c r="CZ65" s="14"/>
      <c r="DA65" s="14">
        <v>1</v>
      </c>
      <c r="DB65" s="14">
        <v>5</v>
      </c>
      <c r="DC65" s="14">
        <v>6</v>
      </c>
      <c r="DD65" s="14">
        <v>4</v>
      </c>
      <c r="DE65" s="14">
        <v>2</v>
      </c>
      <c r="DF65" s="14">
        <v>3</v>
      </c>
      <c r="DG65" s="14"/>
      <c r="DH65" s="14" t="s">
        <v>328</v>
      </c>
      <c r="DI65" s="14"/>
      <c r="DJ65" s="14"/>
      <c r="DK65" s="14"/>
      <c r="DL65" s="14"/>
      <c r="DM65" s="14"/>
      <c r="DN65" s="14" t="s">
        <v>333</v>
      </c>
      <c r="DO65" s="14"/>
      <c r="DP65" s="14" t="s">
        <v>328</v>
      </c>
      <c r="DQ65" s="14" t="s">
        <v>328</v>
      </c>
      <c r="DR65" s="14" t="s">
        <v>354</v>
      </c>
      <c r="DS65" s="14"/>
      <c r="DT65" s="14"/>
      <c r="DU65" s="14" t="s">
        <v>335</v>
      </c>
      <c r="DV65" s="14" t="s">
        <v>336</v>
      </c>
      <c r="DW65" s="14" t="s">
        <v>328</v>
      </c>
      <c r="DX65" s="14"/>
      <c r="DY65" s="14"/>
      <c r="DZ65" s="14"/>
      <c r="EA65" s="14"/>
      <c r="EB65" s="14"/>
      <c r="EC65" s="101" t="s">
        <v>333</v>
      </c>
      <c r="ED65" s="48"/>
    </row>
    <row r="66" spans="1:134" x14ac:dyDescent="0.25">
      <c r="A66" s="50" t="s">
        <v>1854</v>
      </c>
      <c r="B66" s="61" t="s">
        <v>324</v>
      </c>
      <c r="C66" s="14" t="s">
        <v>328</v>
      </c>
      <c r="D66" s="14"/>
      <c r="E66" s="14">
        <v>38</v>
      </c>
      <c r="F66" s="14" t="s">
        <v>329</v>
      </c>
      <c r="G66" s="14" t="s">
        <v>357</v>
      </c>
      <c r="H66" s="14" t="s">
        <v>380</v>
      </c>
      <c r="I66" s="14" t="s">
        <v>1188</v>
      </c>
      <c r="J66" s="14" t="s">
        <v>1188</v>
      </c>
      <c r="K66" s="14">
        <v>5</v>
      </c>
      <c r="L66" s="14">
        <v>1</v>
      </c>
      <c r="M66" s="14">
        <v>1</v>
      </c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 t="s">
        <v>328</v>
      </c>
      <c r="AD66" s="14"/>
      <c r="AE66" s="14"/>
      <c r="AF66" s="14"/>
      <c r="AG66" s="14"/>
      <c r="AH66" s="14"/>
      <c r="AI66" s="14"/>
      <c r="AJ66" s="14"/>
      <c r="AK66" s="14" t="s">
        <v>328</v>
      </c>
      <c r="AL66" s="14"/>
      <c r="AM66" s="14"/>
      <c r="AN66" s="14"/>
      <c r="AO66" s="14" t="s">
        <v>328</v>
      </c>
      <c r="AP66" s="14">
        <v>9</v>
      </c>
      <c r="AQ66" s="14">
        <v>2</v>
      </c>
      <c r="AR66" s="14"/>
      <c r="AS66" s="14" t="s">
        <v>328</v>
      </c>
      <c r="AT66" s="14" t="s">
        <v>328</v>
      </c>
      <c r="AU66" s="14"/>
      <c r="AV66" s="14">
        <v>1</v>
      </c>
      <c r="AW66" s="14">
        <v>2</v>
      </c>
      <c r="AX66" s="14">
        <v>3</v>
      </c>
      <c r="AY66" s="14"/>
      <c r="AZ66" s="14" t="s">
        <v>328</v>
      </c>
      <c r="BA66" s="14"/>
      <c r="BB66" s="14" t="s">
        <v>328</v>
      </c>
      <c r="BC66" s="14" t="s">
        <v>328</v>
      </c>
      <c r="BD66" s="14"/>
      <c r="BE66" s="14"/>
      <c r="BF66" s="14"/>
      <c r="BG66" s="14"/>
      <c r="BH66" s="14"/>
      <c r="BI66" s="14"/>
      <c r="BJ66" s="14"/>
      <c r="BK66" s="14"/>
      <c r="BL66" s="14"/>
      <c r="BM66" s="14" t="s">
        <v>328</v>
      </c>
      <c r="BN66" s="14"/>
      <c r="BO66" s="14" t="s">
        <v>328</v>
      </c>
      <c r="BP66" s="14"/>
      <c r="BQ66" s="14"/>
      <c r="BR66" s="14" t="s">
        <v>328</v>
      </c>
      <c r="BS66" s="14"/>
      <c r="BT66" s="14"/>
      <c r="BU66" s="14"/>
      <c r="BV66" s="14"/>
      <c r="BW66" s="14"/>
      <c r="BX66" s="14" t="s">
        <v>328</v>
      </c>
      <c r="BY66" s="14"/>
      <c r="BZ66" s="14"/>
      <c r="CA66" s="14" t="s">
        <v>328</v>
      </c>
      <c r="CB66" s="14"/>
      <c r="CC66" s="14"/>
      <c r="CD66" s="14"/>
      <c r="CE66" s="14"/>
      <c r="CF66" s="14"/>
      <c r="CG66" s="14"/>
      <c r="CH66" s="14"/>
      <c r="CI66" s="14" t="s">
        <v>328</v>
      </c>
      <c r="CJ66" s="14"/>
      <c r="CK66" s="14"/>
      <c r="CL66" s="14">
        <v>3</v>
      </c>
      <c r="CM66" s="14">
        <v>1</v>
      </c>
      <c r="CN66" s="14">
        <v>2</v>
      </c>
      <c r="CO66" s="14">
        <v>6</v>
      </c>
      <c r="CP66" s="14">
        <v>5</v>
      </c>
      <c r="CQ66" s="14">
        <v>4</v>
      </c>
      <c r="CR66" s="14"/>
      <c r="CS66" s="14"/>
      <c r="CT66" s="14"/>
      <c r="CU66" s="14"/>
      <c r="CV66" s="14"/>
      <c r="CW66" s="14"/>
      <c r="CX66" s="14" t="s">
        <v>332</v>
      </c>
      <c r="CY66" s="14" t="s">
        <v>328</v>
      </c>
      <c r="CZ66" s="14" t="s">
        <v>347</v>
      </c>
      <c r="DA66" s="14"/>
      <c r="DB66" s="14"/>
      <c r="DC66" s="14"/>
      <c r="DD66" s="14"/>
      <c r="DE66" s="14"/>
      <c r="DF66" s="14"/>
      <c r="DG66" s="14"/>
      <c r="DH66" s="14" t="s">
        <v>328</v>
      </c>
      <c r="DI66" s="14"/>
      <c r="DJ66" s="14"/>
      <c r="DK66" s="14"/>
      <c r="DL66" s="14"/>
      <c r="DM66" s="14"/>
      <c r="DN66" s="14" t="s">
        <v>333</v>
      </c>
      <c r="DO66" s="14" t="s">
        <v>328</v>
      </c>
      <c r="DP66" s="14"/>
      <c r="DQ66" s="14"/>
      <c r="DR66" s="14"/>
      <c r="DS66" s="14"/>
      <c r="DT66" s="14"/>
      <c r="DU66" s="14"/>
      <c r="DV66" s="14" t="s">
        <v>333</v>
      </c>
      <c r="DW66" s="14" t="s">
        <v>328</v>
      </c>
      <c r="DX66" s="14"/>
      <c r="DY66" s="14"/>
      <c r="DZ66" s="14"/>
      <c r="EA66" s="14"/>
      <c r="EB66" s="14"/>
      <c r="EC66" s="101" t="s">
        <v>333</v>
      </c>
      <c r="ED66" s="48"/>
    </row>
    <row r="67" spans="1:134" x14ac:dyDescent="0.25">
      <c r="A67" s="50" t="s">
        <v>1854</v>
      </c>
      <c r="B67" s="61" t="s">
        <v>325</v>
      </c>
      <c r="C67" s="14" t="s">
        <v>328</v>
      </c>
      <c r="D67" s="14"/>
      <c r="E67" s="14">
        <v>47</v>
      </c>
      <c r="F67" s="14" t="s">
        <v>329</v>
      </c>
      <c r="G67" s="14" t="s">
        <v>330</v>
      </c>
      <c r="H67" s="14" t="s">
        <v>356</v>
      </c>
      <c r="I67" s="14" t="s">
        <v>1183</v>
      </c>
      <c r="J67" s="14" t="s">
        <v>1183</v>
      </c>
      <c r="K67" s="14">
        <v>16</v>
      </c>
      <c r="L67" s="14">
        <v>1</v>
      </c>
      <c r="M67" s="14">
        <v>1</v>
      </c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 t="s">
        <v>328</v>
      </c>
      <c r="AE67" s="14"/>
      <c r="AF67" s="14" t="s">
        <v>328</v>
      </c>
      <c r="AG67" s="14"/>
      <c r="AH67" s="14"/>
      <c r="AI67" s="14"/>
      <c r="AJ67" s="14"/>
      <c r="AK67" s="14" t="s">
        <v>328</v>
      </c>
      <c r="AL67" s="14"/>
      <c r="AM67" s="14"/>
      <c r="AN67" s="14"/>
      <c r="AO67" s="14" t="s">
        <v>328</v>
      </c>
      <c r="AP67" s="14">
        <v>8</v>
      </c>
      <c r="AQ67" s="14">
        <v>2</v>
      </c>
      <c r="AR67" s="14"/>
      <c r="AS67" s="14" t="s">
        <v>328</v>
      </c>
      <c r="AT67" s="14" t="s">
        <v>328</v>
      </c>
      <c r="AU67" s="14"/>
      <c r="AV67" s="14">
        <v>2</v>
      </c>
      <c r="AW67" s="14">
        <v>3</v>
      </c>
      <c r="AX67" s="14">
        <v>1</v>
      </c>
      <c r="AY67" s="14"/>
      <c r="AZ67" s="14" t="s">
        <v>328</v>
      </c>
      <c r="BA67" s="14"/>
      <c r="BB67" s="14" t="s">
        <v>328</v>
      </c>
      <c r="BC67" s="14"/>
      <c r="BD67" s="14" t="s">
        <v>328</v>
      </c>
      <c r="BE67" s="14"/>
      <c r="BF67" s="14"/>
      <c r="BG67" s="14"/>
      <c r="BH67" s="14"/>
      <c r="BI67" s="14"/>
      <c r="BJ67" s="14"/>
      <c r="BK67" s="14"/>
      <c r="BL67" s="14"/>
      <c r="BM67" s="14" t="s">
        <v>328</v>
      </c>
      <c r="BN67" s="14"/>
      <c r="BO67" s="14" t="s">
        <v>328</v>
      </c>
      <c r="BP67" s="14" t="s">
        <v>328</v>
      </c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 t="s">
        <v>332</v>
      </c>
      <c r="CG67" s="14" t="s">
        <v>328</v>
      </c>
      <c r="CH67" s="14"/>
      <c r="CI67" s="14"/>
      <c r="CJ67" s="14"/>
      <c r="CK67" s="14"/>
      <c r="CL67" s="14">
        <v>2</v>
      </c>
      <c r="CM67" s="14">
        <v>3</v>
      </c>
      <c r="CN67" s="14">
        <v>1</v>
      </c>
      <c r="CO67" s="14">
        <v>6</v>
      </c>
      <c r="CP67" s="14">
        <v>5</v>
      </c>
      <c r="CQ67" s="14">
        <v>4</v>
      </c>
      <c r="CR67" s="14"/>
      <c r="CS67" s="14"/>
      <c r="CT67" s="14"/>
      <c r="CU67" s="14"/>
      <c r="CV67" s="14"/>
      <c r="CW67" s="14"/>
      <c r="CX67" s="14" t="s">
        <v>332</v>
      </c>
      <c r="CY67" s="14"/>
      <c r="CZ67" s="14"/>
      <c r="DA67" s="14">
        <v>1</v>
      </c>
      <c r="DB67" s="14">
        <v>4</v>
      </c>
      <c r="DC67" s="14">
        <v>5</v>
      </c>
      <c r="DD67" s="14">
        <v>6</v>
      </c>
      <c r="DE67" s="14">
        <v>2</v>
      </c>
      <c r="DF67" s="14">
        <v>3</v>
      </c>
      <c r="DG67" s="14"/>
      <c r="DH67" s="14" t="s">
        <v>328</v>
      </c>
      <c r="DI67" s="14"/>
      <c r="DJ67" s="14"/>
      <c r="DK67" s="14"/>
      <c r="DL67" s="14"/>
      <c r="DM67" s="14"/>
      <c r="DN67" s="14" t="s">
        <v>333</v>
      </c>
      <c r="DO67" s="14" t="s">
        <v>328</v>
      </c>
      <c r="DP67" s="14"/>
      <c r="DQ67" s="14"/>
      <c r="DR67" s="14"/>
      <c r="DS67" s="14"/>
      <c r="DT67" s="14"/>
      <c r="DU67" s="14"/>
      <c r="DV67" s="14" t="s">
        <v>333</v>
      </c>
      <c r="DW67" s="14" t="s">
        <v>328</v>
      </c>
      <c r="DX67" s="14"/>
      <c r="DY67" s="14"/>
      <c r="DZ67" s="14"/>
      <c r="EA67" s="14"/>
      <c r="EB67" s="14"/>
      <c r="EC67" s="101" t="s">
        <v>333</v>
      </c>
      <c r="ED67" s="48"/>
    </row>
    <row r="68" spans="1:134" x14ac:dyDescent="0.25">
      <c r="A68" s="50" t="s">
        <v>1854</v>
      </c>
      <c r="B68" s="61" t="s">
        <v>326</v>
      </c>
      <c r="C68" s="14" t="s">
        <v>328</v>
      </c>
      <c r="D68" s="14"/>
      <c r="E68" s="14">
        <v>50</v>
      </c>
      <c r="F68" s="14" t="s">
        <v>329</v>
      </c>
      <c r="G68" s="14" t="s">
        <v>353</v>
      </c>
      <c r="H68" s="14" t="s">
        <v>358</v>
      </c>
      <c r="I68" s="14" t="s">
        <v>1184</v>
      </c>
      <c r="J68" s="14" t="s">
        <v>1188</v>
      </c>
      <c r="K68" s="14">
        <v>25</v>
      </c>
      <c r="L68" s="14">
        <v>1</v>
      </c>
      <c r="M68" s="14"/>
      <c r="N68" s="14"/>
      <c r="O68" s="14"/>
      <c r="P68" s="14"/>
      <c r="Q68" s="14">
        <v>1</v>
      </c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 t="s">
        <v>328</v>
      </c>
      <c r="AC68" s="14"/>
      <c r="AD68" s="14"/>
      <c r="AE68" s="14"/>
      <c r="AF68" s="14"/>
      <c r="AG68" s="14"/>
      <c r="AH68" s="14"/>
      <c r="AI68" s="14"/>
      <c r="AJ68" s="14" t="s">
        <v>328</v>
      </c>
      <c r="AK68" s="14"/>
      <c r="AL68" s="14"/>
      <c r="AM68" s="14"/>
      <c r="AN68" s="14"/>
      <c r="AO68" s="14" t="s">
        <v>328</v>
      </c>
      <c r="AP68" s="14">
        <v>10</v>
      </c>
      <c r="AQ68" s="14">
        <v>1</v>
      </c>
      <c r="AR68" s="14"/>
      <c r="AS68" s="14"/>
      <c r="AT68" s="14" t="s">
        <v>328</v>
      </c>
      <c r="AU68" s="14"/>
      <c r="AV68" s="14">
        <v>1</v>
      </c>
      <c r="AW68" s="14">
        <v>3</v>
      </c>
      <c r="AX68" s="14">
        <v>2</v>
      </c>
      <c r="AY68" s="14"/>
      <c r="AZ68" s="14" t="s">
        <v>328</v>
      </c>
      <c r="BA68" s="14"/>
      <c r="BB68" s="14"/>
      <c r="BC68" s="14"/>
      <c r="BD68" s="14"/>
      <c r="BE68" s="14" t="s">
        <v>328</v>
      </c>
      <c r="BF68" s="14"/>
      <c r="BG68" s="14"/>
      <c r="BH68" s="14"/>
      <c r="BI68" s="14"/>
      <c r="BJ68" s="14"/>
      <c r="BK68" s="14"/>
      <c r="BL68" s="14" t="s">
        <v>328</v>
      </c>
      <c r="BM68" s="14"/>
      <c r="BN68" s="14" t="s">
        <v>328</v>
      </c>
      <c r="BO68" s="14"/>
      <c r="BP68" s="14" t="s">
        <v>328</v>
      </c>
      <c r="BQ68" s="14"/>
      <c r="BR68" s="14" t="s">
        <v>328</v>
      </c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 t="s">
        <v>332</v>
      </c>
      <c r="CG68" s="14" t="s">
        <v>328</v>
      </c>
      <c r="CH68" s="14"/>
      <c r="CI68" s="14"/>
      <c r="CJ68" s="14"/>
      <c r="CK68" s="14"/>
      <c r="CL68" s="14">
        <v>3</v>
      </c>
      <c r="CM68" s="14">
        <v>4</v>
      </c>
      <c r="CN68" s="14">
        <v>1</v>
      </c>
      <c r="CO68" s="14">
        <v>5</v>
      </c>
      <c r="CP68" s="14">
        <v>6</v>
      </c>
      <c r="CQ68" s="14">
        <v>2</v>
      </c>
      <c r="CR68" s="14"/>
      <c r="CS68" s="14"/>
      <c r="CT68" s="14"/>
      <c r="CU68" s="14"/>
      <c r="CV68" s="14"/>
      <c r="CW68" s="14"/>
      <c r="CX68" s="14" t="s">
        <v>332</v>
      </c>
      <c r="CY68" s="14"/>
      <c r="CZ68" s="14"/>
      <c r="DA68" s="14">
        <v>1</v>
      </c>
      <c r="DB68" s="14">
        <v>4</v>
      </c>
      <c r="DC68" s="14">
        <v>3</v>
      </c>
      <c r="DD68" s="14">
        <v>6</v>
      </c>
      <c r="DE68" s="14">
        <v>2</v>
      </c>
      <c r="DF68" s="14">
        <v>5</v>
      </c>
      <c r="DG68" s="14"/>
      <c r="DH68" s="14" t="s">
        <v>328</v>
      </c>
      <c r="DI68" s="14"/>
      <c r="DJ68" s="14"/>
      <c r="DK68" s="14"/>
      <c r="DL68" s="14"/>
      <c r="DM68" s="14"/>
      <c r="DN68" s="14" t="s">
        <v>333</v>
      </c>
      <c r="DO68" s="14" t="s">
        <v>328</v>
      </c>
      <c r="DP68" s="14"/>
      <c r="DQ68" s="14"/>
      <c r="DR68" s="14"/>
      <c r="DS68" s="14"/>
      <c r="DT68" s="14"/>
      <c r="DU68" s="14"/>
      <c r="DV68" s="14" t="s">
        <v>333</v>
      </c>
      <c r="DW68" s="14" t="s">
        <v>328</v>
      </c>
      <c r="DX68" s="14"/>
      <c r="DY68" s="14"/>
      <c r="DZ68" s="14"/>
      <c r="EA68" s="14"/>
      <c r="EB68" s="14"/>
      <c r="EC68" s="101" t="s">
        <v>333</v>
      </c>
      <c r="ED68" s="48"/>
    </row>
    <row r="69" spans="1:134" x14ac:dyDescent="0.25">
      <c r="A69" s="50" t="s">
        <v>1854</v>
      </c>
      <c r="B69" s="61" t="s">
        <v>327</v>
      </c>
      <c r="C69" s="14" t="s">
        <v>328</v>
      </c>
      <c r="D69" s="14"/>
      <c r="E69" s="14">
        <v>38</v>
      </c>
      <c r="F69" s="14" t="s">
        <v>329</v>
      </c>
      <c r="G69" s="14" t="s">
        <v>355</v>
      </c>
      <c r="H69" s="14" t="s">
        <v>345</v>
      </c>
      <c r="I69" s="14" t="s">
        <v>1182</v>
      </c>
      <c r="J69" s="14" t="s">
        <v>1182</v>
      </c>
      <c r="K69" s="14">
        <v>16</v>
      </c>
      <c r="L69" s="14">
        <v>1</v>
      </c>
      <c r="M69" s="14">
        <v>1</v>
      </c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 t="s">
        <v>328</v>
      </c>
      <c r="AB69" s="14"/>
      <c r="AC69" s="14"/>
      <c r="AD69" s="14"/>
      <c r="AE69" s="14" t="s">
        <v>328</v>
      </c>
      <c r="AF69" s="14"/>
      <c r="AG69" s="14"/>
      <c r="AH69" s="14"/>
      <c r="AI69" s="14"/>
      <c r="AJ69" s="14"/>
      <c r="AK69" s="14" t="s">
        <v>328</v>
      </c>
      <c r="AL69" s="14"/>
      <c r="AM69" s="14"/>
      <c r="AN69" s="14"/>
      <c r="AO69" s="14" t="s">
        <v>328</v>
      </c>
      <c r="AP69" s="14">
        <v>9</v>
      </c>
      <c r="AQ69" s="14">
        <v>2</v>
      </c>
      <c r="AR69" s="14"/>
      <c r="AS69" s="14" t="s">
        <v>328</v>
      </c>
      <c r="AT69" s="14"/>
      <c r="AU69" s="14" t="s">
        <v>328</v>
      </c>
      <c r="AV69" s="14">
        <v>1</v>
      </c>
      <c r="AW69" s="14">
        <v>3</v>
      </c>
      <c r="AX69" s="14">
        <v>2</v>
      </c>
      <c r="AY69" s="14"/>
      <c r="AZ69" s="14"/>
      <c r="BA69" s="14" t="s">
        <v>328</v>
      </c>
      <c r="BB69" s="14" t="s">
        <v>328</v>
      </c>
      <c r="BC69" s="14"/>
      <c r="BD69" s="14"/>
      <c r="BE69" s="14"/>
      <c r="BF69" s="14"/>
      <c r="BG69" s="14"/>
      <c r="BH69" s="14"/>
      <c r="BI69" s="14" t="s">
        <v>328</v>
      </c>
      <c r="BJ69" s="14"/>
      <c r="BK69" s="14"/>
      <c r="BL69" s="14" t="s">
        <v>328</v>
      </c>
      <c r="BM69" s="14"/>
      <c r="BN69" s="14" t="s">
        <v>328</v>
      </c>
      <c r="BO69" s="14"/>
      <c r="BP69" s="14"/>
      <c r="BQ69" s="14"/>
      <c r="BR69" s="14"/>
      <c r="BS69" s="14"/>
      <c r="BT69" s="14"/>
      <c r="BU69" s="14" t="s">
        <v>328</v>
      </c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 t="s">
        <v>332</v>
      </c>
      <c r="CG69" s="14" t="s">
        <v>328</v>
      </c>
      <c r="CH69" s="14"/>
      <c r="CI69" s="14"/>
      <c r="CJ69" s="14"/>
      <c r="CK69" s="14"/>
      <c r="CL69" s="14">
        <v>4</v>
      </c>
      <c r="CM69" s="14">
        <v>2</v>
      </c>
      <c r="CN69" s="14">
        <v>1</v>
      </c>
      <c r="CO69" s="14">
        <v>5</v>
      </c>
      <c r="CP69" s="14">
        <v>6</v>
      </c>
      <c r="CQ69" s="14">
        <v>3</v>
      </c>
      <c r="CR69" s="14"/>
      <c r="CS69" s="14"/>
      <c r="CT69" s="14"/>
      <c r="CU69" s="14"/>
      <c r="CV69" s="14"/>
      <c r="CW69" s="14"/>
      <c r="CX69" s="14" t="s">
        <v>332</v>
      </c>
      <c r="CY69" s="14"/>
      <c r="CZ69" s="14"/>
      <c r="DA69" s="14">
        <v>2</v>
      </c>
      <c r="DB69" s="14">
        <v>5</v>
      </c>
      <c r="DC69" s="14">
        <v>4</v>
      </c>
      <c r="DD69" s="14">
        <v>6</v>
      </c>
      <c r="DE69" s="14">
        <v>1</v>
      </c>
      <c r="DF69" s="14">
        <v>3</v>
      </c>
      <c r="DG69" s="14"/>
      <c r="DH69" s="14" t="s">
        <v>328</v>
      </c>
      <c r="DI69" s="14"/>
      <c r="DJ69" s="14"/>
      <c r="DK69" s="14"/>
      <c r="DL69" s="14"/>
      <c r="DM69" s="14"/>
      <c r="DN69" s="14" t="s">
        <v>333</v>
      </c>
      <c r="DO69" s="14"/>
      <c r="DP69" s="14" t="s">
        <v>328</v>
      </c>
      <c r="DQ69" s="14" t="s">
        <v>328</v>
      </c>
      <c r="DR69" s="14" t="s">
        <v>354</v>
      </c>
      <c r="DS69" s="14"/>
      <c r="DT69" s="14"/>
      <c r="DU69" s="14" t="s">
        <v>335</v>
      </c>
      <c r="DV69" s="14" t="s">
        <v>336</v>
      </c>
      <c r="DW69" s="14" t="s">
        <v>328</v>
      </c>
      <c r="DX69" s="14"/>
      <c r="DY69" s="14"/>
      <c r="DZ69" s="14"/>
      <c r="EA69" s="14"/>
      <c r="EB69" s="14"/>
      <c r="EC69" s="101" t="s">
        <v>333</v>
      </c>
      <c r="ED69" s="48" t="s">
        <v>382</v>
      </c>
    </row>
    <row r="70" spans="1:134" x14ac:dyDescent="0.25">
      <c r="A70" s="50" t="s">
        <v>1854</v>
      </c>
      <c r="B70" s="61" t="s">
        <v>391</v>
      </c>
      <c r="C70" s="14" t="s">
        <v>328</v>
      </c>
      <c r="D70" s="14"/>
      <c r="E70" s="14">
        <v>32</v>
      </c>
      <c r="F70" s="14" t="s">
        <v>329</v>
      </c>
      <c r="G70" s="14" t="s">
        <v>357</v>
      </c>
      <c r="H70" s="14" t="s">
        <v>380</v>
      </c>
      <c r="I70" s="14" t="s">
        <v>1188</v>
      </c>
      <c r="J70" s="14" t="s">
        <v>1188</v>
      </c>
      <c r="K70" s="14">
        <v>10</v>
      </c>
      <c r="L70" s="14">
        <v>1</v>
      </c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>
        <v>1</v>
      </c>
      <c r="Y70" s="14"/>
      <c r="Z70" s="14" t="s">
        <v>328</v>
      </c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 t="s">
        <v>328</v>
      </c>
      <c r="AL70" s="14"/>
      <c r="AM70" s="14" t="s">
        <v>328</v>
      </c>
      <c r="AN70" s="14"/>
      <c r="AO70" s="14"/>
      <c r="AP70" s="14">
        <v>8</v>
      </c>
      <c r="AQ70" s="14">
        <v>2</v>
      </c>
      <c r="AR70" s="14"/>
      <c r="AS70" s="14" t="s">
        <v>328</v>
      </c>
      <c r="AT70" s="14"/>
      <c r="AU70" s="14"/>
      <c r="AV70" s="14">
        <v>4</v>
      </c>
      <c r="AW70" s="14">
        <v>3</v>
      </c>
      <c r="AX70" s="14">
        <v>2</v>
      </c>
      <c r="AY70" s="14" t="s">
        <v>346</v>
      </c>
      <c r="AZ70" s="14" t="s">
        <v>328</v>
      </c>
      <c r="BA70" s="14"/>
      <c r="BB70" s="14" t="s">
        <v>328</v>
      </c>
      <c r="BC70" s="14" t="s">
        <v>328</v>
      </c>
      <c r="BD70" s="14"/>
      <c r="BE70" s="14"/>
      <c r="BF70" s="14"/>
      <c r="BG70" s="14"/>
      <c r="BH70" s="14"/>
      <c r="BI70" s="14"/>
      <c r="BJ70" s="14"/>
      <c r="BK70" s="14"/>
      <c r="BL70" s="14" t="s">
        <v>328</v>
      </c>
      <c r="BM70" s="14"/>
      <c r="BN70" s="14" t="s">
        <v>328</v>
      </c>
      <c r="BO70" s="14"/>
      <c r="BP70" s="14"/>
      <c r="BQ70" s="14"/>
      <c r="BR70" s="14" t="s">
        <v>328</v>
      </c>
      <c r="BS70" s="14"/>
      <c r="BT70" s="14"/>
      <c r="BU70" s="14"/>
      <c r="BV70" s="14"/>
      <c r="BW70" s="14" t="s">
        <v>328</v>
      </c>
      <c r="BX70" s="14"/>
      <c r="BY70" s="14"/>
      <c r="BZ70" s="14"/>
      <c r="CA70" s="14" t="s">
        <v>328</v>
      </c>
      <c r="CB70" s="14"/>
      <c r="CC70" s="14"/>
      <c r="CD70" s="14"/>
      <c r="CE70" s="14"/>
      <c r="CF70" s="14"/>
      <c r="CG70" s="14" t="s">
        <v>328</v>
      </c>
      <c r="CH70" s="14"/>
      <c r="CI70" s="14" t="s">
        <v>328</v>
      </c>
      <c r="CJ70" s="14"/>
      <c r="CK70" s="14"/>
      <c r="CL70" s="14">
        <v>2</v>
      </c>
      <c r="CM70" s="14">
        <v>4</v>
      </c>
      <c r="CN70" s="14">
        <v>1</v>
      </c>
      <c r="CO70" s="14">
        <v>5</v>
      </c>
      <c r="CP70" s="14">
        <v>6</v>
      </c>
      <c r="CQ70" s="14">
        <v>3</v>
      </c>
      <c r="CR70" s="14"/>
      <c r="CS70" s="14"/>
      <c r="CT70" s="14"/>
      <c r="CU70" s="14"/>
      <c r="CV70" s="14" t="s">
        <v>328</v>
      </c>
      <c r="CW70" s="14"/>
      <c r="CX70" s="14"/>
      <c r="CY70" s="14" t="s">
        <v>328</v>
      </c>
      <c r="CZ70" s="14" t="s">
        <v>347</v>
      </c>
      <c r="DA70" s="14"/>
      <c r="DB70" s="14"/>
      <c r="DC70" s="14"/>
      <c r="DD70" s="14"/>
      <c r="DE70" s="14"/>
      <c r="DF70" s="14"/>
      <c r="DG70" s="14"/>
      <c r="DH70" s="14" t="s">
        <v>328</v>
      </c>
      <c r="DI70" s="14"/>
      <c r="DJ70" s="14"/>
      <c r="DK70" s="14"/>
      <c r="DL70" s="14"/>
      <c r="DM70" s="14"/>
      <c r="DN70" s="14" t="s">
        <v>333</v>
      </c>
      <c r="DO70" s="14" t="s">
        <v>328</v>
      </c>
      <c r="DP70" s="14"/>
      <c r="DQ70" s="14"/>
      <c r="DR70" s="14"/>
      <c r="DS70" s="14"/>
      <c r="DT70" s="14"/>
      <c r="DU70" s="14"/>
      <c r="DV70" s="14" t="s">
        <v>333</v>
      </c>
      <c r="DW70" s="14" t="s">
        <v>328</v>
      </c>
      <c r="DX70" s="14"/>
      <c r="DY70" s="14"/>
      <c r="DZ70" s="14"/>
      <c r="EA70" s="14"/>
      <c r="EB70" s="14"/>
      <c r="EC70" s="101" t="s">
        <v>333</v>
      </c>
      <c r="ED70" s="48"/>
    </row>
    <row r="71" spans="1:134" x14ac:dyDescent="0.25">
      <c r="A71" s="50" t="s">
        <v>1854</v>
      </c>
      <c r="B71" s="61" t="s">
        <v>392</v>
      </c>
      <c r="C71" s="14" t="s">
        <v>328</v>
      </c>
      <c r="D71" s="14"/>
      <c r="E71" s="14">
        <v>32</v>
      </c>
      <c r="F71" s="14" t="s">
        <v>329</v>
      </c>
      <c r="G71" s="14" t="s">
        <v>353</v>
      </c>
      <c r="H71" s="14" t="s">
        <v>386</v>
      </c>
      <c r="I71" s="8" t="s">
        <v>1189</v>
      </c>
      <c r="J71" s="14" t="s">
        <v>1256</v>
      </c>
      <c r="K71" s="14">
        <v>14</v>
      </c>
      <c r="L71" s="14">
        <v>1</v>
      </c>
      <c r="M71" s="14">
        <v>1</v>
      </c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 t="s">
        <v>328</v>
      </c>
      <c r="AD71" s="14"/>
      <c r="AE71" s="14"/>
      <c r="AF71" s="14" t="s">
        <v>328</v>
      </c>
      <c r="AG71" s="14"/>
      <c r="AH71" s="14"/>
      <c r="AI71" s="14"/>
      <c r="AJ71" s="14"/>
      <c r="AK71" s="14" t="s">
        <v>328</v>
      </c>
      <c r="AL71" s="14"/>
      <c r="AM71" s="14" t="s">
        <v>328</v>
      </c>
      <c r="AN71" s="14"/>
      <c r="AO71" s="14" t="s">
        <v>328</v>
      </c>
      <c r="AP71" s="14">
        <v>8</v>
      </c>
      <c r="AQ71" s="14">
        <v>2</v>
      </c>
      <c r="AR71" s="14"/>
      <c r="AS71" s="14"/>
      <c r="AT71" s="14" t="s">
        <v>328</v>
      </c>
      <c r="AU71" s="14"/>
      <c r="AV71" s="14">
        <v>1</v>
      </c>
      <c r="AW71" s="14">
        <v>2</v>
      </c>
      <c r="AX71" s="14">
        <v>3</v>
      </c>
      <c r="AY71" s="14"/>
      <c r="AZ71" s="14" t="s">
        <v>328</v>
      </c>
      <c r="BA71" s="14"/>
      <c r="BB71" s="14" t="s">
        <v>328</v>
      </c>
      <c r="BC71" s="14"/>
      <c r="BD71" s="14"/>
      <c r="BE71" s="14"/>
      <c r="BF71" s="14"/>
      <c r="BG71" s="14"/>
      <c r="BH71" s="14"/>
      <c r="BI71" s="14" t="s">
        <v>328</v>
      </c>
      <c r="BJ71" s="14"/>
      <c r="BK71" s="14"/>
      <c r="BL71" s="14" t="s">
        <v>328</v>
      </c>
      <c r="BM71" s="14"/>
      <c r="BN71" s="14"/>
      <c r="BO71" s="14" t="s">
        <v>328</v>
      </c>
      <c r="BP71" s="14" t="s">
        <v>328</v>
      </c>
      <c r="BQ71" s="14" t="s">
        <v>328</v>
      </c>
      <c r="BR71" s="14"/>
      <c r="BS71" s="14"/>
      <c r="BT71" s="14"/>
      <c r="BU71" s="14"/>
      <c r="BV71" s="14"/>
      <c r="BW71" s="14" t="s">
        <v>328</v>
      </c>
      <c r="BX71" s="14"/>
      <c r="BY71" s="14"/>
      <c r="BZ71" s="14"/>
      <c r="CA71" s="14" t="s">
        <v>328</v>
      </c>
      <c r="CB71" s="14"/>
      <c r="CC71" s="14"/>
      <c r="CD71" s="14"/>
      <c r="CE71" s="14" t="s">
        <v>328</v>
      </c>
      <c r="CF71" s="14"/>
      <c r="CG71" s="14" t="s">
        <v>328</v>
      </c>
      <c r="CH71" s="14"/>
      <c r="CI71" s="14" t="s">
        <v>328</v>
      </c>
      <c r="CJ71" s="14"/>
      <c r="CK71" s="14"/>
      <c r="CL71" s="14">
        <v>4</v>
      </c>
      <c r="CM71" s="14">
        <v>3</v>
      </c>
      <c r="CN71" s="14">
        <v>1</v>
      </c>
      <c r="CO71" s="14">
        <v>5</v>
      </c>
      <c r="CP71" s="14">
        <v>6</v>
      </c>
      <c r="CQ71" s="14">
        <v>2</v>
      </c>
      <c r="CR71" s="14"/>
      <c r="CS71" s="14"/>
      <c r="CT71" s="14"/>
      <c r="CU71" s="14"/>
      <c r="CV71" s="14"/>
      <c r="CW71" s="14"/>
      <c r="CX71" s="14" t="s">
        <v>332</v>
      </c>
      <c r="CY71" s="14"/>
      <c r="CZ71" s="14"/>
      <c r="DA71" s="14">
        <v>2</v>
      </c>
      <c r="DB71" s="14">
        <v>4</v>
      </c>
      <c r="DC71" s="14">
        <v>5</v>
      </c>
      <c r="DD71" s="14">
        <v>6</v>
      </c>
      <c r="DE71" s="14">
        <v>1</v>
      </c>
      <c r="DF71" s="14">
        <v>3</v>
      </c>
      <c r="DG71" s="14"/>
      <c r="DH71" s="14" t="s">
        <v>328</v>
      </c>
      <c r="DI71" s="14"/>
      <c r="DJ71" s="14"/>
      <c r="DK71" s="14"/>
      <c r="DL71" s="14"/>
      <c r="DM71" s="14"/>
      <c r="DN71" s="14" t="s">
        <v>333</v>
      </c>
      <c r="DO71" s="14" t="s">
        <v>328</v>
      </c>
      <c r="DP71" s="14"/>
      <c r="DQ71" s="14"/>
      <c r="DR71" s="14"/>
      <c r="DS71" s="14"/>
      <c r="DT71" s="14"/>
      <c r="DU71" s="14"/>
      <c r="DV71" s="14" t="s">
        <v>333</v>
      </c>
      <c r="DW71" s="14" t="s">
        <v>328</v>
      </c>
      <c r="DX71" s="14"/>
      <c r="DY71" s="14"/>
      <c r="DZ71" s="14"/>
      <c r="EA71" s="14"/>
      <c r="EB71" s="14"/>
      <c r="EC71" s="101" t="s">
        <v>333</v>
      </c>
      <c r="ED71" s="48"/>
    </row>
    <row r="72" spans="1:134" x14ac:dyDescent="0.25">
      <c r="A72" s="50" t="s">
        <v>1854</v>
      </c>
      <c r="B72" s="61" t="s">
        <v>393</v>
      </c>
      <c r="C72" s="14" t="s">
        <v>328</v>
      </c>
      <c r="D72" s="14"/>
      <c r="E72" s="14">
        <v>51</v>
      </c>
      <c r="F72" s="14" t="s">
        <v>329</v>
      </c>
      <c r="G72" s="14" t="s">
        <v>355</v>
      </c>
      <c r="H72" s="14" t="s">
        <v>386</v>
      </c>
      <c r="I72" s="14" t="s">
        <v>1189</v>
      </c>
      <c r="J72" s="14" t="s">
        <v>1256</v>
      </c>
      <c r="K72" s="14">
        <v>20</v>
      </c>
      <c r="L72" s="14">
        <v>2</v>
      </c>
      <c r="M72" s="14">
        <v>2</v>
      </c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 t="s">
        <v>328</v>
      </c>
      <c r="AB72" s="14"/>
      <c r="AC72" s="14"/>
      <c r="AD72" s="14"/>
      <c r="AE72" s="14" t="s">
        <v>328</v>
      </c>
      <c r="AF72" s="14"/>
      <c r="AG72" s="14"/>
      <c r="AH72" s="14"/>
      <c r="AI72" s="14"/>
      <c r="AJ72" s="14" t="s">
        <v>328</v>
      </c>
      <c r="AK72" s="14"/>
      <c r="AL72" s="14"/>
      <c r="AM72" s="14" t="s">
        <v>328</v>
      </c>
      <c r="AN72" s="14"/>
      <c r="AO72" s="14"/>
      <c r="AP72" s="14">
        <v>10</v>
      </c>
      <c r="AQ72" s="14">
        <v>10</v>
      </c>
      <c r="AR72" s="14"/>
      <c r="AS72" s="14" t="s">
        <v>328</v>
      </c>
      <c r="AT72" s="14"/>
      <c r="AU72" s="14" t="s">
        <v>328</v>
      </c>
      <c r="AV72" s="14">
        <v>3</v>
      </c>
      <c r="AW72" s="14">
        <v>4</v>
      </c>
      <c r="AX72" s="14">
        <v>2</v>
      </c>
      <c r="AY72" s="14" t="s">
        <v>346</v>
      </c>
      <c r="AZ72" s="14"/>
      <c r="BA72" s="14" t="s">
        <v>328</v>
      </c>
      <c r="BB72" s="14" t="s">
        <v>328</v>
      </c>
      <c r="BC72" s="14"/>
      <c r="BD72" s="14" t="s">
        <v>328</v>
      </c>
      <c r="BE72" s="14"/>
      <c r="BF72" s="14"/>
      <c r="BG72" s="14"/>
      <c r="BH72" s="14"/>
      <c r="BI72" s="14"/>
      <c r="BJ72" s="14"/>
      <c r="BK72" s="14"/>
      <c r="BL72" s="14" t="s">
        <v>328</v>
      </c>
      <c r="BM72" s="14"/>
      <c r="BN72" s="14"/>
      <c r="BO72" s="14" t="s">
        <v>328</v>
      </c>
      <c r="BP72" s="14"/>
      <c r="BQ72" s="14"/>
      <c r="BR72" s="14" t="s">
        <v>328</v>
      </c>
      <c r="BS72" s="14"/>
      <c r="BT72" s="14"/>
      <c r="BU72" s="14" t="s">
        <v>328</v>
      </c>
      <c r="BV72" s="14"/>
      <c r="BW72" s="14" t="s">
        <v>328</v>
      </c>
      <c r="BX72" s="14"/>
      <c r="BY72" s="14"/>
      <c r="BZ72" s="14"/>
      <c r="CA72" s="14"/>
      <c r="CB72" s="14"/>
      <c r="CC72" s="14"/>
      <c r="CD72" s="14"/>
      <c r="CE72" s="14" t="s">
        <v>328</v>
      </c>
      <c r="CF72" s="14"/>
      <c r="CG72" s="14" t="s">
        <v>328</v>
      </c>
      <c r="CH72" s="14"/>
      <c r="CI72" s="14" t="s">
        <v>328</v>
      </c>
      <c r="CJ72" s="14"/>
      <c r="CK72" s="14"/>
      <c r="CL72" s="14">
        <v>2</v>
      </c>
      <c r="CM72" s="14">
        <v>3</v>
      </c>
      <c r="CN72" s="14">
        <v>1</v>
      </c>
      <c r="CO72" s="14">
        <v>6</v>
      </c>
      <c r="CP72" s="14">
        <v>5</v>
      </c>
      <c r="CQ72" s="14">
        <v>4</v>
      </c>
      <c r="CR72" s="14"/>
      <c r="CS72" s="14"/>
      <c r="CT72" s="14"/>
      <c r="CU72" s="14"/>
      <c r="CV72" s="14"/>
      <c r="CW72" s="14"/>
      <c r="CX72" s="14" t="s">
        <v>332</v>
      </c>
      <c r="CY72" s="14"/>
      <c r="CZ72" s="14"/>
      <c r="DA72" s="14">
        <v>2</v>
      </c>
      <c r="DB72" s="14">
        <v>4</v>
      </c>
      <c r="DC72" s="14">
        <v>3</v>
      </c>
      <c r="DD72" s="14">
        <v>6</v>
      </c>
      <c r="DE72" s="14">
        <v>1</v>
      </c>
      <c r="DF72" s="14">
        <v>5</v>
      </c>
      <c r="DG72" s="14"/>
      <c r="DH72" s="14"/>
      <c r="DI72" s="14" t="s">
        <v>328</v>
      </c>
      <c r="DJ72" s="14" t="s">
        <v>328</v>
      </c>
      <c r="DK72" s="14" t="s">
        <v>387</v>
      </c>
      <c r="DL72" s="14"/>
      <c r="DM72" s="14" t="s">
        <v>388</v>
      </c>
      <c r="DN72" s="14" t="s">
        <v>389</v>
      </c>
      <c r="DO72" s="14"/>
      <c r="DP72" s="14" t="s">
        <v>328</v>
      </c>
      <c r="DQ72" s="14" t="s">
        <v>328</v>
      </c>
      <c r="DR72" s="14" t="s">
        <v>354</v>
      </c>
      <c r="DS72" s="14"/>
      <c r="DT72" s="14"/>
      <c r="DU72" s="14" t="s">
        <v>335</v>
      </c>
      <c r="DV72" s="14" t="s">
        <v>336</v>
      </c>
      <c r="DW72" s="14" t="s">
        <v>328</v>
      </c>
      <c r="DX72" s="14"/>
      <c r="DY72" s="14"/>
      <c r="DZ72" s="14"/>
      <c r="EA72" s="14"/>
      <c r="EB72" s="14"/>
      <c r="EC72" s="101" t="s">
        <v>333</v>
      </c>
      <c r="ED72" s="48"/>
    </row>
    <row r="73" spans="1:134" x14ac:dyDescent="0.25">
      <c r="A73" s="50" t="s">
        <v>1404</v>
      </c>
      <c r="B73" s="61" t="s">
        <v>394</v>
      </c>
      <c r="C73" s="14" t="s">
        <v>328</v>
      </c>
      <c r="D73" s="14"/>
      <c r="E73" s="14">
        <v>50</v>
      </c>
      <c r="F73" s="14" t="s">
        <v>329</v>
      </c>
      <c r="G73" s="14" t="s">
        <v>399</v>
      </c>
      <c r="H73" s="14" t="s">
        <v>753</v>
      </c>
      <c r="I73" s="8" t="s">
        <v>1190</v>
      </c>
      <c r="J73" s="14" t="s">
        <v>1280</v>
      </c>
      <c r="K73" s="14">
        <v>12</v>
      </c>
      <c r="L73" s="14">
        <v>5</v>
      </c>
      <c r="M73" s="14"/>
      <c r="N73" s="14"/>
      <c r="O73" s="14"/>
      <c r="P73" s="14"/>
      <c r="Q73" s="14">
        <v>5</v>
      </c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 t="s">
        <v>328</v>
      </c>
      <c r="AI73" s="14"/>
      <c r="AJ73" s="14" t="s">
        <v>328</v>
      </c>
      <c r="AK73" s="14"/>
      <c r="AL73" s="14"/>
      <c r="AM73" s="14"/>
      <c r="AN73" s="14"/>
      <c r="AO73" s="14" t="s">
        <v>328</v>
      </c>
      <c r="AP73" s="14">
        <v>10</v>
      </c>
      <c r="AQ73" s="14">
        <v>15</v>
      </c>
      <c r="AR73" s="14"/>
      <c r="AS73" s="14" t="s">
        <v>328</v>
      </c>
      <c r="AT73" s="14"/>
      <c r="AU73" s="14"/>
      <c r="AV73" s="14">
        <v>1</v>
      </c>
      <c r="AW73" s="14">
        <v>3</v>
      </c>
      <c r="AX73" s="14">
        <v>2</v>
      </c>
      <c r="AY73" s="14"/>
      <c r="AZ73" s="14"/>
      <c r="BA73" s="14" t="s">
        <v>328</v>
      </c>
      <c r="BB73" s="14" t="s">
        <v>328</v>
      </c>
      <c r="BC73" s="14"/>
      <c r="BD73" s="14"/>
      <c r="BE73" s="14"/>
      <c r="BF73" s="14"/>
      <c r="BG73" s="14"/>
      <c r="BH73" s="14"/>
      <c r="BI73" s="14"/>
      <c r="BJ73" s="14"/>
      <c r="BK73" s="14"/>
      <c r="BL73" s="14" t="s">
        <v>328</v>
      </c>
      <c r="BM73" s="14"/>
      <c r="BN73" s="14" t="s">
        <v>328</v>
      </c>
      <c r="BO73" s="14"/>
      <c r="BP73" s="14" t="s">
        <v>328</v>
      </c>
      <c r="BQ73" s="14"/>
      <c r="BR73" s="14"/>
      <c r="BS73" s="14"/>
      <c r="BT73" s="14"/>
      <c r="BU73" s="14"/>
      <c r="BV73" s="14"/>
      <c r="BW73" s="14"/>
      <c r="BX73" s="14" t="s">
        <v>328</v>
      </c>
      <c r="BY73" s="14" t="s">
        <v>328</v>
      </c>
      <c r="BZ73" s="14"/>
      <c r="CA73" s="14" t="s">
        <v>328</v>
      </c>
      <c r="CB73" s="14"/>
      <c r="CC73" s="14"/>
      <c r="CD73" s="14"/>
      <c r="CE73" s="14"/>
      <c r="CF73" s="14"/>
      <c r="CG73" s="14" t="s">
        <v>328</v>
      </c>
      <c r="CH73" s="14"/>
      <c r="CI73" s="14"/>
      <c r="CJ73" s="14"/>
      <c r="CK73" s="14"/>
      <c r="CL73" s="14">
        <v>3</v>
      </c>
      <c r="CM73" s="14">
        <v>2</v>
      </c>
      <c r="CN73" s="14">
        <v>4</v>
      </c>
      <c r="CO73" s="14">
        <v>5</v>
      </c>
      <c r="CP73" s="14">
        <v>6</v>
      </c>
      <c r="CQ73" s="14">
        <v>1</v>
      </c>
      <c r="CR73" s="14"/>
      <c r="CS73" s="14" t="s">
        <v>328</v>
      </c>
      <c r="CT73" s="14" t="s">
        <v>328</v>
      </c>
      <c r="CU73" s="14"/>
      <c r="CV73" s="14" t="s">
        <v>328</v>
      </c>
      <c r="CW73" s="14"/>
      <c r="CX73" s="14"/>
      <c r="CY73" s="14"/>
      <c r="CZ73" s="14"/>
      <c r="DA73" s="14">
        <v>2</v>
      </c>
      <c r="DB73" s="14">
        <v>6</v>
      </c>
      <c r="DC73" s="14">
        <v>5</v>
      </c>
      <c r="DD73" s="14">
        <v>3</v>
      </c>
      <c r="DE73" s="14">
        <v>1</v>
      </c>
      <c r="DF73" s="14">
        <v>4</v>
      </c>
      <c r="DG73" s="14"/>
      <c r="DH73" s="14"/>
      <c r="DI73" s="14" t="s">
        <v>328</v>
      </c>
      <c r="DJ73" s="14" t="s">
        <v>328</v>
      </c>
      <c r="DK73" s="14" t="s">
        <v>387</v>
      </c>
      <c r="DL73" s="14"/>
      <c r="DM73" s="14" t="s">
        <v>396</v>
      </c>
      <c r="DN73" s="14" t="s">
        <v>389</v>
      </c>
      <c r="DO73" s="14"/>
      <c r="DP73" s="14" t="s">
        <v>328</v>
      </c>
      <c r="DQ73" s="14" t="s">
        <v>328</v>
      </c>
      <c r="DR73" s="14" t="s">
        <v>397</v>
      </c>
      <c r="DS73" s="14"/>
      <c r="DT73" s="14"/>
      <c r="DU73" s="14" t="s">
        <v>335</v>
      </c>
      <c r="DV73" s="14" t="s">
        <v>336</v>
      </c>
      <c r="DW73" s="14"/>
      <c r="DX73" s="14" t="s">
        <v>328</v>
      </c>
      <c r="DY73" s="14" t="s">
        <v>328</v>
      </c>
      <c r="DZ73" s="14" t="s">
        <v>397</v>
      </c>
      <c r="EA73" s="14"/>
      <c r="EB73" s="14" t="s">
        <v>398</v>
      </c>
      <c r="EC73" s="102" t="s">
        <v>1145</v>
      </c>
      <c r="ED73" s="48" t="s">
        <v>395</v>
      </c>
    </row>
    <row r="74" spans="1:134" x14ac:dyDescent="0.25">
      <c r="A74" s="50" t="s">
        <v>1404</v>
      </c>
      <c r="B74" s="61" t="s">
        <v>403</v>
      </c>
      <c r="C74" s="14" t="s">
        <v>328</v>
      </c>
      <c r="D74" s="14"/>
      <c r="E74" s="14">
        <v>37</v>
      </c>
      <c r="F74" s="14" t="s">
        <v>329</v>
      </c>
      <c r="G74" s="14" t="s">
        <v>330</v>
      </c>
      <c r="H74" s="14" t="s">
        <v>764</v>
      </c>
      <c r="I74" s="14" t="s">
        <v>1191</v>
      </c>
      <c r="J74" s="14" t="s">
        <v>1281</v>
      </c>
      <c r="K74" s="14">
        <v>19</v>
      </c>
      <c r="L74" s="14">
        <v>1</v>
      </c>
      <c r="M74" s="14"/>
      <c r="N74" s="14"/>
      <c r="O74" s="14"/>
      <c r="P74" s="14">
        <v>1</v>
      </c>
      <c r="Q74" s="14"/>
      <c r="R74" s="14"/>
      <c r="S74" s="14"/>
      <c r="T74" s="14"/>
      <c r="U74" s="14"/>
      <c r="V74" s="14"/>
      <c r="W74" s="14"/>
      <c r="X74" s="14"/>
      <c r="Y74" s="14"/>
      <c r="Z74" s="14" t="s">
        <v>328</v>
      </c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 t="s">
        <v>328</v>
      </c>
      <c r="AL74" s="14"/>
      <c r="AM74" s="14" t="s">
        <v>328</v>
      </c>
      <c r="AN74" s="14"/>
      <c r="AO74" s="14" t="s">
        <v>328</v>
      </c>
      <c r="AP74" s="14">
        <v>10</v>
      </c>
      <c r="AQ74" s="14">
        <v>8</v>
      </c>
      <c r="AR74" s="14"/>
      <c r="AS74" s="14"/>
      <c r="AT74" s="14" t="s">
        <v>328</v>
      </c>
      <c r="AU74" s="14"/>
      <c r="AV74" s="14">
        <v>2</v>
      </c>
      <c r="AW74" s="14">
        <v>1</v>
      </c>
      <c r="AX74" s="14">
        <v>3</v>
      </c>
      <c r="AY74" s="14"/>
      <c r="AZ74" s="14" t="s">
        <v>328</v>
      </c>
      <c r="BA74" s="14"/>
      <c r="BB74" s="14"/>
      <c r="BC74" s="14"/>
      <c r="BD74" s="14"/>
      <c r="BE74" s="14"/>
      <c r="BF74" s="14"/>
      <c r="BG74" s="14"/>
      <c r="BH74" s="14"/>
      <c r="BI74" s="14" t="s">
        <v>328</v>
      </c>
      <c r="BJ74" s="14"/>
      <c r="BK74" s="14"/>
      <c r="BL74" s="14"/>
      <c r="BM74" s="14" t="s">
        <v>328</v>
      </c>
      <c r="BN74" s="14"/>
      <c r="BO74" s="14" t="s">
        <v>328</v>
      </c>
      <c r="BP74" s="14"/>
      <c r="BQ74" s="14" t="s">
        <v>328</v>
      </c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 t="s">
        <v>332</v>
      </c>
      <c r="CG74" s="14" t="s">
        <v>328</v>
      </c>
      <c r="CH74" s="14" t="s">
        <v>328</v>
      </c>
      <c r="CI74" s="14"/>
      <c r="CJ74" s="14"/>
      <c r="CK74" s="14"/>
      <c r="CL74" s="14">
        <v>5</v>
      </c>
      <c r="CM74" s="14">
        <v>2</v>
      </c>
      <c r="CN74" s="14">
        <v>1</v>
      </c>
      <c r="CO74" s="14">
        <v>4</v>
      </c>
      <c r="CP74" s="14">
        <v>6</v>
      </c>
      <c r="CQ74" s="14">
        <v>3</v>
      </c>
      <c r="CR74" s="14" t="s">
        <v>328</v>
      </c>
      <c r="CS74" s="14"/>
      <c r="CT74" s="14"/>
      <c r="CU74" s="14"/>
      <c r="CV74" s="14" t="s">
        <v>328</v>
      </c>
      <c r="CW74" s="14" t="s">
        <v>328</v>
      </c>
      <c r="CX74" s="14"/>
      <c r="CY74" s="14" t="s">
        <v>328</v>
      </c>
      <c r="CZ74" s="14" t="s">
        <v>404</v>
      </c>
      <c r="DA74" s="14"/>
      <c r="DB74" s="14"/>
      <c r="DC74" s="14"/>
      <c r="DD74" s="14"/>
      <c r="DE74" s="14"/>
      <c r="DF74" s="14"/>
      <c r="DG74" s="14"/>
      <c r="DH74" s="14"/>
      <c r="DI74" s="14" t="s">
        <v>328</v>
      </c>
      <c r="DJ74" s="14" t="s">
        <v>328</v>
      </c>
      <c r="DK74" s="14" t="s">
        <v>404</v>
      </c>
      <c r="DL74" s="14"/>
      <c r="DM74" s="14" t="s">
        <v>396</v>
      </c>
      <c r="DN74" s="14" t="s">
        <v>333</v>
      </c>
      <c r="DO74" s="14" t="s">
        <v>328</v>
      </c>
      <c r="DP74" s="14"/>
      <c r="DQ74" s="14"/>
      <c r="DR74" s="14"/>
      <c r="DS74" s="14"/>
      <c r="DT74" s="14"/>
      <c r="DU74" s="14" t="s">
        <v>406</v>
      </c>
      <c r="DV74" s="14" t="s">
        <v>438</v>
      </c>
      <c r="DW74" s="14" t="s">
        <v>328</v>
      </c>
      <c r="DX74" s="14"/>
      <c r="DY74" s="14"/>
      <c r="DZ74" s="14"/>
      <c r="EA74" s="14"/>
      <c r="EB74" s="14"/>
      <c r="EC74" s="101" t="s">
        <v>333</v>
      </c>
      <c r="ED74" s="48" t="s">
        <v>333</v>
      </c>
    </row>
    <row r="75" spans="1:134" x14ac:dyDescent="0.25">
      <c r="A75" s="50" t="s">
        <v>1404</v>
      </c>
      <c r="B75" s="61" t="s">
        <v>408</v>
      </c>
      <c r="C75" s="14" t="s">
        <v>328</v>
      </c>
      <c r="D75" s="14"/>
      <c r="E75" s="14">
        <v>64</v>
      </c>
      <c r="F75" s="14" t="s">
        <v>329</v>
      </c>
      <c r="G75" s="14" t="s">
        <v>353</v>
      </c>
      <c r="H75" s="14" t="s">
        <v>765</v>
      </c>
      <c r="I75" s="8" t="s">
        <v>1192</v>
      </c>
      <c r="J75" s="14" t="s">
        <v>1281</v>
      </c>
      <c r="K75" s="14">
        <v>45</v>
      </c>
      <c r="L75" s="14">
        <v>5</v>
      </c>
      <c r="M75" s="14"/>
      <c r="N75" s="14"/>
      <c r="O75" s="14">
        <v>2</v>
      </c>
      <c r="P75" s="14">
        <v>4</v>
      </c>
      <c r="Q75" s="14"/>
      <c r="R75" s="14"/>
      <c r="S75" s="14"/>
      <c r="T75" s="14"/>
      <c r="U75" s="14"/>
      <c r="V75" s="14"/>
      <c r="W75" s="14"/>
      <c r="X75" s="14"/>
      <c r="Y75" s="14"/>
      <c r="Z75" s="14" t="s">
        <v>328</v>
      </c>
      <c r="AA75" s="14"/>
      <c r="AB75" s="14"/>
      <c r="AC75" s="14"/>
      <c r="AD75" s="14"/>
      <c r="AE75" s="14" t="s">
        <v>328</v>
      </c>
      <c r="AF75" s="14"/>
      <c r="AG75" s="14"/>
      <c r="AH75" s="14"/>
      <c r="AI75" s="14"/>
      <c r="AJ75" s="14" t="s">
        <v>328</v>
      </c>
      <c r="AK75" s="14" t="s">
        <v>328</v>
      </c>
      <c r="AL75" s="14"/>
      <c r="AM75" s="14"/>
      <c r="AN75" s="14"/>
      <c r="AO75" s="14" t="s">
        <v>328</v>
      </c>
      <c r="AP75" s="14">
        <v>8</v>
      </c>
      <c r="AQ75" s="14">
        <v>4</v>
      </c>
      <c r="AR75" s="14"/>
      <c r="AS75" s="14"/>
      <c r="AT75" s="14" t="s">
        <v>328</v>
      </c>
      <c r="AU75" s="14"/>
      <c r="AV75" s="14">
        <v>2</v>
      </c>
      <c r="AW75" s="14">
        <v>1</v>
      </c>
      <c r="AX75" s="14">
        <v>3</v>
      </c>
      <c r="AY75" s="14"/>
      <c r="AZ75" s="14" t="s">
        <v>328</v>
      </c>
      <c r="BA75" s="14"/>
      <c r="BB75" s="14" t="s">
        <v>328</v>
      </c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 t="s">
        <v>328</v>
      </c>
      <c r="BN75" s="14"/>
      <c r="BO75" s="14" t="s">
        <v>328</v>
      </c>
      <c r="BP75" s="14"/>
      <c r="BQ75" s="14"/>
      <c r="BR75" s="14"/>
      <c r="BS75" s="14"/>
      <c r="BT75" s="14"/>
      <c r="BU75" s="14"/>
      <c r="BV75" s="8" t="s">
        <v>409</v>
      </c>
      <c r="BW75" s="14"/>
      <c r="BX75" s="14"/>
      <c r="BY75" s="14"/>
      <c r="BZ75" s="14"/>
      <c r="CA75" s="14"/>
      <c r="CB75" s="14"/>
      <c r="CC75" s="14"/>
      <c r="CD75" s="14"/>
      <c r="CE75" s="14"/>
      <c r="CF75" s="14" t="s">
        <v>332</v>
      </c>
      <c r="CG75" s="14"/>
      <c r="CH75" s="14" t="s">
        <v>328</v>
      </c>
      <c r="CI75" s="14"/>
      <c r="CJ75" s="14"/>
      <c r="CK75" s="14"/>
      <c r="CL75" s="14">
        <v>3</v>
      </c>
      <c r="CM75" s="14">
        <v>4</v>
      </c>
      <c r="CN75" s="14">
        <v>1</v>
      </c>
      <c r="CO75" s="14">
        <v>5</v>
      </c>
      <c r="CP75" s="14">
        <v>6</v>
      </c>
      <c r="CQ75" s="14">
        <v>2</v>
      </c>
      <c r="CR75" s="14" t="s">
        <v>328</v>
      </c>
      <c r="CS75" s="14"/>
      <c r="CT75" s="14"/>
      <c r="CU75" s="14"/>
      <c r="CV75" s="14" t="s">
        <v>328</v>
      </c>
      <c r="CW75" s="14"/>
      <c r="CX75" s="14"/>
      <c r="CY75" s="14"/>
      <c r="CZ75" s="14"/>
      <c r="DA75" s="14">
        <v>2</v>
      </c>
      <c r="DB75" s="14">
        <v>3</v>
      </c>
      <c r="DC75" s="14">
        <v>5</v>
      </c>
      <c r="DD75" s="14">
        <v>6</v>
      </c>
      <c r="DE75" s="14">
        <v>1</v>
      </c>
      <c r="DF75" s="14">
        <v>4</v>
      </c>
      <c r="DG75" s="14"/>
      <c r="DH75" s="14" t="s">
        <v>328</v>
      </c>
      <c r="DI75" s="14"/>
      <c r="DJ75" s="14"/>
      <c r="DK75" s="14"/>
      <c r="DL75" s="14"/>
      <c r="DM75" s="14"/>
      <c r="DN75" s="14" t="s">
        <v>396</v>
      </c>
      <c r="DO75" s="14"/>
      <c r="DP75" s="14" t="s">
        <v>328</v>
      </c>
      <c r="DQ75" s="14" t="s">
        <v>328</v>
      </c>
      <c r="DR75" s="14" t="s">
        <v>354</v>
      </c>
      <c r="DS75" s="14"/>
      <c r="DT75" s="14"/>
      <c r="DU75" s="14" t="s">
        <v>410</v>
      </c>
      <c r="DV75" s="14" t="s">
        <v>411</v>
      </c>
      <c r="DW75" s="14" t="s">
        <v>328</v>
      </c>
      <c r="DX75" s="14"/>
      <c r="DY75" s="14"/>
      <c r="DZ75" s="14"/>
      <c r="EA75" s="14"/>
      <c r="EB75" s="14"/>
      <c r="EC75" s="102" t="s">
        <v>1145</v>
      </c>
      <c r="ED75" s="48"/>
    </row>
    <row r="76" spans="1:134" x14ac:dyDescent="0.25">
      <c r="A76" s="50" t="s">
        <v>1404</v>
      </c>
      <c r="B76" s="61" t="s">
        <v>413</v>
      </c>
      <c r="C76" s="14" t="s">
        <v>328</v>
      </c>
      <c r="D76" s="14"/>
      <c r="E76" s="14">
        <v>61</v>
      </c>
      <c r="F76" s="14" t="s">
        <v>329</v>
      </c>
      <c r="G76" s="14" t="s">
        <v>399</v>
      </c>
      <c r="H76" s="14" t="s">
        <v>804</v>
      </c>
      <c r="I76" s="8" t="s">
        <v>1193</v>
      </c>
      <c r="J76" s="8" t="s">
        <v>1282</v>
      </c>
      <c r="K76" s="14">
        <v>0</v>
      </c>
      <c r="L76" s="14">
        <v>2</v>
      </c>
      <c r="M76" s="14"/>
      <c r="N76" s="14"/>
      <c r="O76" s="14">
        <v>1</v>
      </c>
      <c r="P76" s="14"/>
      <c r="Q76" s="14"/>
      <c r="R76" s="14"/>
      <c r="S76" s="14">
        <v>1</v>
      </c>
      <c r="T76" s="14"/>
      <c r="U76" s="14"/>
      <c r="V76" s="14"/>
      <c r="W76" s="14"/>
      <c r="X76" s="14"/>
      <c r="Y76" s="14"/>
      <c r="Z76" s="14"/>
      <c r="AA76" s="14"/>
      <c r="AB76" s="14"/>
      <c r="AC76" s="14" t="s">
        <v>328</v>
      </c>
      <c r="AD76" s="14"/>
      <c r="AE76" s="14"/>
      <c r="AF76" s="14"/>
      <c r="AG76" s="14"/>
      <c r="AH76" s="14"/>
      <c r="AI76" s="14" t="s">
        <v>423</v>
      </c>
      <c r="AJ76" s="14" t="s">
        <v>328</v>
      </c>
      <c r="AK76" s="14" t="s">
        <v>328</v>
      </c>
      <c r="AL76" s="14" t="s">
        <v>328</v>
      </c>
      <c r="AM76" s="14"/>
      <c r="AN76" s="14"/>
      <c r="AO76" s="14"/>
      <c r="AP76" s="14">
        <v>10</v>
      </c>
      <c r="AQ76" s="14">
        <v>10</v>
      </c>
      <c r="AR76" s="14"/>
      <c r="AS76" s="14" t="s">
        <v>328</v>
      </c>
      <c r="AT76" s="14"/>
      <c r="AU76" s="14"/>
      <c r="AV76" s="14">
        <v>2</v>
      </c>
      <c r="AW76" s="14">
        <v>4</v>
      </c>
      <c r="AX76" s="14">
        <v>3</v>
      </c>
      <c r="AY76" s="14" t="s">
        <v>346</v>
      </c>
      <c r="AZ76" s="14"/>
      <c r="BA76" s="14" t="s">
        <v>328</v>
      </c>
      <c r="BB76" s="14"/>
      <c r="BC76" s="14" t="s">
        <v>328</v>
      </c>
      <c r="BD76" s="14"/>
      <c r="BE76" s="14"/>
      <c r="BF76" s="14"/>
      <c r="BG76" s="14"/>
      <c r="BH76" s="14"/>
      <c r="BI76" s="14" t="s">
        <v>328</v>
      </c>
      <c r="BJ76" s="14"/>
      <c r="BK76" s="14"/>
      <c r="BL76" s="14"/>
      <c r="BM76" s="14" t="s">
        <v>328</v>
      </c>
      <c r="BN76" s="14" t="s">
        <v>328</v>
      </c>
      <c r="BO76" s="14"/>
      <c r="BP76" s="14"/>
      <c r="BQ76" s="14"/>
      <c r="BR76" s="14"/>
      <c r="BS76" s="14"/>
      <c r="BT76" s="14" t="s">
        <v>328</v>
      </c>
      <c r="BU76" s="14" t="s">
        <v>328</v>
      </c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 t="s">
        <v>332</v>
      </c>
      <c r="CG76" s="14"/>
      <c r="CH76" s="14"/>
      <c r="CI76" s="14"/>
      <c r="CJ76" s="14" t="s">
        <v>328</v>
      </c>
      <c r="CK76" s="14"/>
      <c r="CL76" s="14">
        <v>2</v>
      </c>
      <c r="CM76" s="14">
        <v>4</v>
      </c>
      <c r="CN76" s="14">
        <v>3</v>
      </c>
      <c r="CO76" s="14">
        <v>5</v>
      </c>
      <c r="CP76" s="14">
        <v>6</v>
      </c>
      <c r="CQ76" s="14">
        <v>1</v>
      </c>
      <c r="CR76" s="14" t="s">
        <v>328</v>
      </c>
      <c r="CS76" s="14"/>
      <c r="CT76" s="14"/>
      <c r="CU76" s="14"/>
      <c r="CV76" s="14" t="s">
        <v>328</v>
      </c>
      <c r="CW76" s="14"/>
      <c r="CX76" s="14"/>
      <c r="CY76" s="14"/>
      <c r="CZ76" s="14"/>
      <c r="DA76" s="14">
        <v>1</v>
      </c>
      <c r="DB76" s="14">
        <v>3</v>
      </c>
      <c r="DC76" s="14">
        <v>4</v>
      </c>
      <c r="DD76" s="14">
        <v>5</v>
      </c>
      <c r="DE76" s="14">
        <v>2</v>
      </c>
      <c r="DF76" s="14">
        <v>6</v>
      </c>
      <c r="DG76" s="14"/>
      <c r="DH76" s="14" t="s">
        <v>328</v>
      </c>
      <c r="DI76" s="14"/>
      <c r="DJ76" s="14"/>
      <c r="DK76" s="14"/>
      <c r="DL76" s="14"/>
      <c r="DM76" s="14"/>
      <c r="DN76" s="14" t="s">
        <v>1145</v>
      </c>
      <c r="DO76" s="14"/>
      <c r="DP76" s="14" t="s">
        <v>328</v>
      </c>
      <c r="DQ76" s="14" t="s">
        <v>328</v>
      </c>
      <c r="DR76" s="14" t="s">
        <v>354</v>
      </c>
      <c r="DS76" s="14"/>
      <c r="DT76" s="14"/>
      <c r="DU76" s="14" t="s">
        <v>410</v>
      </c>
      <c r="DV76" s="14" t="s">
        <v>411</v>
      </c>
      <c r="DW76" s="14" t="s">
        <v>328</v>
      </c>
      <c r="DX76" s="14"/>
      <c r="DY76" s="14"/>
      <c r="DZ76" s="14"/>
      <c r="EA76" s="14"/>
      <c r="EB76" s="14"/>
      <c r="EC76" s="101" t="s">
        <v>333</v>
      </c>
      <c r="ED76" s="48"/>
    </row>
    <row r="77" spans="1:134" x14ac:dyDescent="0.25">
      <c r="A77" s="50" t="s">
        <v>1404</v>
      </c>
      <c r="B77" s="61" t="s">
        <v>422</v>
      </c>
      <c r="C77" s="14" t="s">
        <v>328</v>
      </c>
      <c r="D77" s="14"/>
      <c r="E77" s="14">
        <v>39</v>
      </c>
      <c r="F77" s="14" t="s">
        <v>329</v>
      </c>
      <c r="G77" s="14" t="s">
        <v>330</v>
      </c>
      <c r="H77" s="14" t="s">
        <v>739</v>
      </c>
      <c r="I77" s="14" t="s">
        <v>1196</v>
      </c>
      <c r="J77" s="14" t="s">
        <v>1280</v>
      </c>
      <c r="K77" s="14">
        <v>15</v>
      </c>
      <c r="L77" s="14">
        <v>1</v>
      </c>
      <c r="M77" s="14"/>
      <c r="N77" s="14"/>
      <c r="O77" s="14"/>
      <c r="P77" s="14"/>
      <c r="Q77" s="14"/>
      <c r="R77" s="14"/>
      <c r="S77" s="14"/>
      <c r="T77" s="14">
        <v>1</v>
      </c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 t="s">
        <v>423</v>
      </c>
      <c r="AJ77" s="15"/>
      <c r="AK77" s="14" t="s">
        <v>328</v>
      </c>
      <c r="AL77" s="14"/>
      <c r="AM77" s="14"/>
      <c r="AN77" s="14"/>
      <c r="AO77" s="14" t="s">
        <v>328</v>
      </c>
      <c r="AP77" s="14">
        <v>10</v>
      </c>
      <c r="AQ77" s="14">
        <v>1</v>
      </c>
      <c r="AR77" s="14"/>
      <c r="AS77" s="14"/>
      <c r="AT77" s="14" t="s">
        <v>328</v>
      </c>
      <c r="AU77" s="14"/>
      <c r="AV77" s="14">
        <v>3</v>
      </c>
      <c r="AW77" s="14">
        <v>2</v>
      </c>
      <c r="AX77" s="14">
        <v>1</v>
      </c>
      <c r="AY77" s="14"/>
      <c r="AZ77" s="14"/>
      <c r="BA77" s="14" t="s">
        <v>328</v>
      </c>
      <c r="BB77" s="14"/>
      <c r="BC77" s="14"/>
      <c r="BD77" s="14" t="s">
        <v>328</v>
      </c>
      <c r="BE77" s="14"/>
      <c r="BF77" s="14"/>
      <c r="BG77" s="14"/>
      <c r="BH77" s="14"/>
      <c r="BI77" s="14"/>
      <c r="BJ77" s="14"/>
      <c r="BK77" s="14"/>
      <c r="BL77" s="14" t="s">
        <v>328</v>
      </c>
      <c r="BM77" s="14"/>
      <c r="BN77" s="14" t="s">
        <v>328</v>
      </c>
      <c r="BO77" s="14"/>
      <c r="BP77" s="14" t="s">
        <v>328</v>
      </c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 t="s">
        <v>332</v>
      </c>
      <c r="CG77" s="14"/>
      <c r="CH77" s="14"/>
      <c r="CI77" s="14"/>
      <c r="CJ77" s="14" t="s">
        <v>328</v>
      </c>
      <c r="CK77" s="14"/>
      <c r="CL77" s="14">
        <v>3</v>
      </c>
      <c r="CM77" s="14">
        <v>4</v>
      </c>
      <c r="CN77" s="14">
        <v>2</v>
      </c>
      <c r="CO77" s="14">
        <v>5</v>
      </c>
      <c r="CP77" s="14">
        <v>6</v>
      </c>
      <c r="CQ77" s="14">
        <v>1</v>
      </c>
      <c r="CR77" s="14" t="s">
        <v>328</v>
      </c>
      <c r="CS77" s="14"/>
      <c r="CT77" s="14"/>
      <c r="CU77" s="14"/>
      <c r="CV77" s="14"/>
      <c r="CW77" s="14"/>
      <c r="CX77" s="14" t="s">
        <v>424</v>
      </c>
      <c r="CY77" s="14" t="s">
        <v>328</v>
      </c>
      <c r="CZ77" s="14" t="s">
        <v>425</v>
      </c>
      <c r="DA77" s="14">
        <v>2</v>
      </c>
      <c r="DB77" s="14">
        <v>3</v>
      </c>
      <c r="DC77" s="14">
        <v>5</v>
      </c>
      <c r="DD77" s="14">
        <v>6</v>
      </c>
      <c r="DE77" s="14">
        <v>1</v>
      </c>
      <c r="DF77" s="14">
        <v>4</v>
      </c>
      <c r="DG77" s="14"/>
      <c r="DH77" s="14"/>
      <c r="DI77" s="14" t="s">
        <v>328</v>
      </c>
      <c r="DJ77" s="14" t="s">
        <v>328</v>
      </c>
      <c r="DK77" s="14" t="s">
        <v>426</v>
      </c>
      <c r="DL77" s="14"/>
      <c r="DM77" s="14" t="s">
        <v>427</v>
      </c>
      <c r="DN77" s="15" t="s">
        <v>411</v>
      </c>
      <c r="DO77" s="14"/>
      <c r="DP77" s="14" t="s">
        <v>328</v>
      </c>
      <c r="DQ77" s="14" t="s">
        <v>328</v>
      </c>
      <c r="DR77" s="14" t="s">
        <v>397</v>
      </c>
      <c r="DS77" s="14"/>
      <c r="DT77" s="14"/>
      <c r="DU77" s="14" t="s">
        <v>428</v>
      </c>
      <c r="DV77" s="15" t="s">
        <v>1162</v>
      </c>
      <c r="DW77" s="14" t="s">
        <v>328</v>
      </c>
      <c r="DX77" s="14"/>
      <c r="DY77" s="14"/>
      <c r="DZ77" s="14"/>
      <c r="EA77" s="14"/>
      <c r="EB77" s="14"/>
      <c r="EC77" s="101" t="s">
        <v>1145</v>
      </c>
      <c r="ED77" s="48"/>
    </row>
    <row r="78" spans="1:134" x14ac:dyDescent="0.25">
      <c r="A78" s="50" t="s">
        <v>1404</v>
      </c>
      <c r="B78" s="61" t="s">
        <v>434</v>
      </c>
      <c r="C78" s="14" t="s">
        <v>328</v>
      </c>
      <c r="D78" s="14"/>
      <c r="E78" s="14">
        <v>42</v>
      </c>
      <c r="F78" s="14" t="s">
        <v>329</v>
      </c>
      <c r="G78" s="14" t="s">
        <v>357</v>
      </c>
      <c r="H78" s="14" t="s">
        <v>763</v>
      </c>
      <c r="I78" s="8" t="s">
        <v>1198</v>
      </c>
      <c r="J78" s="14" t="s">
        <v>1280</v>
      </c>
      <c r="K78" s="14">
        <v>15</v>
      </c>
      <c r="L78" s="14">
        <v>3</v>
      </c>
      <c r="M78" s="14">
        <v>3</v>
      </c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 t="s">
        <v>418</v>
      </c>
      <c r="AJ78" s="15"/>
      <c r="AK78" s="14" t="s">
        <v>328</v>
      </c>
      <c r="AL78" s="14"/>
      <c r="AM78" s="14"/>
      <c r="AN78" s="14"/>
      <c r="AO78" s="14" t="s">
        <v>328</v>
      </c>
      <c r="AP78" s="14">
        <v>10</v>
      </c>
      <c r="AQ78" s="14">
        <v>8</v>
      </c>
      <c r="AR78" s="14"/>
      <c r="AS78" s="14"/>
      <c r="AT78" s="14" t="s">
        <v>328</v>
      </c>
      <c r="AU78" s="14"/>
      <c r="AV78" s="14">
        <v>1</v>
      </c>
      <c r="AW78" s="14">
        <v>2</v>
      </c>
      <c r="AX78" s="14">
        <v>3</v>
      </c>
      <c r="AY78" s="14"/>
      <c r="AZ78" s="14" t="s">
        <v>328</v>
      </c>
      <c r="BA78" s="14"/>
      <c r="BB78" s="14" t="s">
        <v>328</v>
      </c>
      <c r="BC78" s="14"/>
      <c r="BD78" s="14"/>
      <c r="BE78" s="14"/>
      <c r="BF78" s="14"/>
      <c r="BG78" s="14"/>
      <c r="BH78" s="14"/>
      <c r="BI78" s="14"/>
      <c r="BJ78" s="14"/>
      <c r="BK78" s="14"/>
      <c r="BL78" s="14" t="s">
        <v>328</v>
      </c>
      <c r="BM78" s="14"/>
      <c r="BN78" s="14" t="s">
        <v>328</v>
      </c>
      <c r="BO78" s="14"/>
      <c r="BP78" s="14"/>
      <c r="BQ78" s="14"/>
      <c r="BR78" s="14"/>
      <c r="BS78" s="14"/>
      <c r="BT78" s="14"/>
      <c r="BU78" s="14" t="s">
        <v>328</v>
      </c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 t="s">
        <v>332</v>
      </c>
      <c r="CG78" s="14"/>
      <c r="CH78" s="14"/>
      <c r="CI78" s="14"/>
      <c r="CJ78" s="14"/>
      <c r="CK78" s="14" t="s">
        <v>328</v>
      </c>
      <c r="CL78" s="14">
        <v>1</v>
      </c>
      <c r="CM78" s="14">
        <v>3</v>
      </c>
      <c r="CN78" s="14">
        <v>4</v>
      </c>
      <c r="CO78" s="14">
        <v>5</v>
      </c>
      <c r="CP78" s="14">
        <v>6</v>
      </c>
      <c r="CQ78" s="14">
        <v>2</v>
      </c>
      <c r="CR78" s="14" t="s">
        <v>328</v>
      </c>
      <c r="CS78" s="14"/>
      <c r="CT78" s="14"/>
      <c r="CU78" s="14"/>
      <c r="CV78" s="14" t="s">
        <v>328</v>
      </c>
      <c r="CW78" s="14"/>
      <c r="CX78" s="14"/>
      <c r="CY78" s="14"/>
      <c r="CZ78" s="14"/>
      <c r="DA78" s="14">
        <v>2</v>
      </c>
      <c r="DB78" s="14">
        <v>4</v>
      </c>
      <c r="DC78" s="14">
        <v>6</v>
      </c>
      <c r="DD78" s="14">
        <v>5</v>
      </c>
      <c r="DE78" s="14">
        <v>1</v>
      </c>
      <c r="DF78" s="14">
        <v>3</v>
      </c>
      <c r="DG78" s="14"/>
      <c r="DH78" s="14"/>
      <c r="DI78" s="14" t="s">
        <v>328</v>
      </c>
      <c r="DJ78" s="14" t="s">
        <v>328</v>
      </c>
      <c r="DK78" s="14" t="s">
        <v>397</v>
      </c>
      <c r="DL78" s="14"/>
      <c r="DM78" s="14" t="s">
        <v>432</v>
      </c>
      <c r="DN78" s="14" t="s">
        <v>389</v>
      </c>
      <c r="DO78" s="14"/>
      <c r="DP78" s="14" t="s">
        <v>328</v>
      </c>
      <c r="DQ78" s="14" t="s">
        <v>328</v>
      </c>
      <c r="DR78" s="14" t="s">
        <v>397</v>
      </c>
      <c r="DS78" s="14"/>
      <c r="DT78" s="14"/>
      <c r="DU78" s="14" t="s">
        <v>410</v>
      </c>
      <c r="DV78" s="14" t="s">
        <v>411</v>
      </c>
      <c r="DW78" s="14"/>
      <c r="DX78" s="14" t="s">
        <v>328</v>
      </c>
      <c r="DY78" s="14" t="s">
        <v>328</v>
      </c>
      <c r="DZ78" s="14" t="s">
        <v>397</v>
      </c>
      <c r="EA78" s="14"/>
      <c r="EB78" s="14" t="s">
        <v>435</v>
      </c>
      <c r="EC78" s="101" t="s">
        <v>497</v>
      </c>
      <c r="ED78" s="48"/>
    </row>
    <row r="79" spans="1:134" x14ac:dyDescent="0.25">
      <c r="A79" s="50" t="s">
        <v>1404</v>
      </c>
      <c r="B79" s="61" t="s">
        <v>439</v>
      </c>
      <c r="C79" s="15" t="s">
        <v>328</v>
      </c>
      <c r="D79" s="15"/>
      <c r="E79" s="15">
        <v>52</v>
      </c>
      <c r="F79" s="15" t="s">
        <v>329</v>
      </c>
      <c r="G79" s="15" t="s">
        <v>399</v>
      </c>
      <c r="H79" s="15" t="s">
        <v>746</v>
      </c>
      <c r="I79" s="18" t="s">
        <v>1199</v>
      </c>
      <c r="J79" s="15" t="s">
        <v>1281</v>
      </c>
      <c r="K79" s="15">
        <v>20</v>
      </c>
      <c r="L79" s="15">
        <v>2</v>
      </c>
      <c r="M79" s="15"/>
      <c r="N79" s="15"/>
      <c r="O79" s="15"/>
      <c r="P79" s="15">
        <v>2</v>
      </c>
      <c r="Q79" s="15"/>
      <c r="R79" s="15"/>
      <c r="S79" s="15"/>
      <c r="T79" s="15"/>
      <c r="U79" s="15"/>
      <c r="V79" s="15"/>
      <c r="W79" s="15"/>
      <c r="X79" s="15"/>
      <c r="Y79" s="15"/>
      <c r="Z79" s="15" t="s">
        <v>328</v>
      </c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4" t="s">
        <v>328</v>
      </c>
      <c r="AL79" s="15"/>
      <c r="AM79" s="15"/>
      <c r="AN79" s="15"/>
      <c r="AO79" s="15" t="s">
        <v>328</v>
      </c>
      <c r="AP79" s="15">
        <v>3</v>
      </c>
      <c r="AQ79" s="15">
        <v>6</v>
      </c>
      <c r="AR79" s="15"/>
      <c r="AS79" s="15" t="s">
        <v>328</v>
      </c>
      <c r="AT79" s="15"/>
      <c r="AU79" s="15"/>
      <c r="AV79" s="15">
        <v>2</v>
      </c>
      <c r="AW79" s="15">
        <v>3</v>
      </c>
      <c r="AX79" s="15">
        <v>4</v>
      </c>
      <c r="AY79" s="15" t="s">
        <v>346</v>
      </c>
      <c r="AZ79" s="15" t="s">
        <v>328</v>
      </c>
      <c r="BA79" s="15"/>
      <c r="BB79" s="15" t="s">
        <v>328</v>
      </c>
      <c r="BC79" s="15"/>
      <c r="BD79" s="15"/>
      <c r="BE79" s="15"/>
      <c r="BF79" s="15"/>
      <c r="BG79" s="15"/>
      <c r="BH79" s="15"/>
      <c r="BI79" s="15"/>
      <c r="BJ79" s="15"/>
      <c r="BK79" s="15"/>
      <c r="BL79" s="15" t="s">
        <v>328</v>
      </c>
      <c r="BM79" s="15"/>
      <c r="BN79" s="15" t="s">
        <v>328</v>
      </c>
      <c r="BO79" s="15"/>
      <c r="BP79" s="15" t="s">
        <v>328</v>
      </c>
      <c r="BQ79" s="15"/>
      <c r="BR79" s="15"/>
      <c r="BS79" s="15"/>
      <c r="BT79" s="15"/>
      <c r="BU79" s="15"/>
      <c r="BV79" s="15"/>
      <c r="BW79" s="15" t="s">
        <v>328</v>
      </c>
      <c r="BX79" s="15"/>
      <c r="BY79" s="15"/>
      <c r="BZ79" s="15"/>
      <c r="CA79" s="15"/>
      <c r="CB79" s="15"/>
      <c r="CC79" s="15"/>
      <c r="CD79" s="15"/>
      <c r="CE79" s="15"/>
      <c r="CF79" s="15"/>
      <c r="CG79" s="15" t="s">
        <v>328</v>
      </c>
      <c r="CH79" s="15"/>
      <c r="CI79" s="15"/>
      <c r="CJ79" s="15"/>
      <c r="CK79" s="15" t="s">
        <v>328</v>
      </c>
      <c r="CL79" s="15">
        <v>4</v>
      </c>
      <c r="CM79" s="15">
        <v>1</v>
      </c>
      <c r="CN79" s="15">
        <v>3</v>
      </c>
      <c r="CO79" s="15">
        <v>5</v>
      </c>
      <c r="CP79" s="15">
        <v>6</v>
      </c>
      <c r="CQ79" s="15">
        <v>2</v>
      </c>
      <c r="CR79" s="15" t="s">
        <v>328</v>
      </c>
      <c r="CS79" s="15"/>
      <c r="CT79" s="15"/>
      <c r="CU79" s="15"/>
      <c r="CV79" s="15" t="s">
        <v>328</v>
      </c>
      <c r="CW79" s="15"/>
      <c r="CX79" s="15"/>
      <c r="CY79" s="15"/>
      <c r="CZ79" s="15"/>
      <c r="DA79" s="15">
        <v>3</v>
      </c>
      <c r="DB79" s="15">
        <v>4</v>
      </c>
      <c r="DC79" s="15"/>
      <c r="DD79" s="15">
        <v>6</v>
      </c>
      <c r="DE79" s="15">
        <v>2</v>
      </c>
      <c r="DF79" s="15">
        <v>5</v>
      </c>
      <c r="DG79" s="15" t="s">
        <v>485</v>
      </c>
      <c r="DH79" s="15"/>
      <c r="DI79" s="15" t="s">
        <v>328</v>
      </c>
      <c r="DJ79" s="15" t="s">
        <v>328</v>
      </c>
      <c r="DK79" s="15" t="s">
        <v>405</v>
      </c>
      <c r="DL79" s="15"/>
      <c r="DM79" s="14" t="s">
        <v>388</v>
      </c>
      <c r="DN79" s="14" t="s">
        <v>333</v>
      </c>
      <c r="DO79" s="15"/>
      <c r="DP79" s="15" t="s">
        <v>328</v>
      </c>
      <c r="DQ79" s="15" t="s">
        <v>328</v>
      </c>
      <c r="DR79" s="15" t="s">
        <v>354</v>
      </c>
      <c r="DS79" s="15"/>
      <c r="DT79" s="15"/>
      <c r="DU79" s="15" t="s">
        <v>457</v>
      </c>
      <c r="DV79" s="15" t="s">
        <v>411</v>
      </c>
      <c r="DW79" s="15"/>
      <c r="DX79" s="15" t="s">
        <v>328</v>
      </c>
      <c r="DY79" s="15" t="s">
        <v>328</v>
      </c>
      <c r="DZ79" s="15" t="s">
        <v>405</v>
      </c>
      <c r="EA79" s="15"/>
      <c r="EB79" s="14" t="s">
        <v>398</v>
      </c>
      <c r="EC79" s="102" t="s">
        <v>1145</v>
      </c>
      <c r="ED79" s="48"/>
    </row>
    <row r="80" spans="1:134" x14ac:dyDescent="0.25">
      <c r="A80" s="50" t="s">
        <v>1404</v>
      </c>
      <c r="B80" s="61" t="s">
        <v>442</v>
      </c>
      <c r="C80" s="15" t="s">
        <v>328</v>
      </c>
      <c r="D80" s="15"/>
      <c r="E80" s="15">
        <v>55</v>
      </c>
      <c r="F80" s="15" t="s">
        <v>329</v>
      </c>
      <c r="G80" s="15" t="s">
        <v>399</v>
      </c>
      <c r="H80" s="15" t="s">
        <v>756</v>
      </c>
      <c r="I80" s="18" t="s">
        <v>1201</v>
      </c>
      <c r="J80" s="15" t="s">
        <v>1280</v>
      </c>
      <c r="K80" s="15">
        <v>30</v>
      </c>
      <c r="L80" s="15">
        <v>1</v>
      </c>
      <c r="M80" s="15">
        <v>1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 t="s">
        <v>418</v>
      </c>
      <c r="AJ80" s="15"/>
      <c r="AK80" s="15" t="s">
        <v>328</v>
      </c>
      <c r="AL80" s="15"/>
      <c r="AM80" s="15" t="s">
        <v>328</v>
      </c>
      <c r="AN80" s="15"/>
      <c r="AO80" s="15"/>
      <c r="AP80" s="15">
        <v>10</v>
      </c>
      <c r="AQ80" s="15">
        <v>1</v>
      </c>
      <c r="AR80" s="15"/>
      <c r="AS80" s="15"/>
      <c r="AT80" s="15" t="s">
        <v>328</v>
      </c>
      <c r="AU80" s="15"/>
      <c r="AV80" s="15">
        <v>1</v>
      </c>
      <c r="AW80" s="15">
        <v>3</v>
      </c>
      <c r="AX80" s="15">
        <v>2</v>
      </c>
      <c r="AY80" s="15"/>
      <c r="AZ80" s="15" t="s">
        <v>328</v>
      </c>
      <c r="BA80" s="15"/>
      <c r="BB80" s="15"/>
      <c r="BC80" s="15"/>
      <c r="BD80" s="15"/>
      <c r="BE80" s="15" t="s">
        <v>328</v>
      </c>
      <c r="BF80" s="15"/>
      <c r="BG80" s="15"/>
      <c r="BH80" s="15"/>
      <c r="BI80" s="15"/>
      <c r="BJ80" s="15"/>
      <c r="BK80" s="15"/>
      <c r="BL80" s="15" t="s">
        <v>328</v>
      </c>
      <c r="BM80" s="15"/>
      <c r="BN80" s="15" t="s">
        <v>328</v>
      </c>
      <c r="BO80" s="15"/>
      <c r="BP80" s="15"/>
      <c r="BQ80" s="15"/>
      <c r="BR80" s="15"/>
      <c r="BS80" s="15"/>
      <c r="BT80" s="15"/>
      <c r="BU80" s="15" t="s">
        <v>328</v>
      </c>
      <c r="BV80" s="15"/>
      <c r="BW80" s="15"/>
      <c r="BX80" s="15"/>
      <c r="BY80" s="15"/>
      <c r="BZ80" s="15"/>
      <c r="CA80" s="15"/>
      <c r="CB80" s="15"/>
      <c r="CC80" s="15"/>
      <c r="CD80" s="15" t="s">
        <v>328</v>
      </c>
      <c r="CE80" s="15"/>
      <c r="CF80" s="15"/>
      <c r="CG80" s="15" t="s">
        <v>328</v>
      </c>
      <c r="CH80" s="15"/>
      <c r="CI80" s="15"/>
      <c r="CJ80" s="15"/>
      <c r="CK80" s="15"/>
      <c r="CL80" s="15">
        <v>2</v>
      </c>
      <c r="CM80" s="15">
        <v>3</v>
      </c>
      <c r="CN80" s="15">
        <v>6</v>
      </c>
      <c r="CO80" s="15">
        <v>5</v>
      </c>
      <c r="CP80" s="15">
        <v>4</v>
      </c>
      <c r="CQ80" s="15">
        <v>1</v>
      </c>
      <c r="CR80" s="15"/>
      <c r="CS80" s="15"/>
      <c r="CT80" s="15"/>
      <c r="CU80" s="15"/>
      <c r="CV80" s="15"/>
      <c r="CW80" s="15"/>
      <c r="CX80" s="15" t="s">
        <v>332</v>
      </c>
      <c r="CY80" s="15"/>
      <c r="CZ80" s="15"/>
      <c r="DA80" s="15">
        <v>1</v>
      </c>
      <c r="DB80" s="15">
        <v>3</v>
      </c>
      <c r="DC80" s="15">
        <v>5</v>
      </c>
      <c r="DD80" s="15">
        <v>6</v>
      </c>
      <c r="DE80" s="15">
        <v>2</v>
      </c>
      <c r="DF80" s="15">
        <v>4</v>
      </c>
      <c r="DG80" s="15"/>
      <c r="DH80" s="15" t="s">
        <v>328</v>
      </c>
      <c r="DI80" s="15"/>
      <c r="DJ80" s="15"/>
      <c r="DK80" s="15"/>
      <c r="DL80" s="15"/>
      <c r="DM80" s="15"/>
      <c r="DN80" s="14" t="s">
        <v>389</v>
      </c>
      <c r="DO80" s="15"/>
      <c r="DP80" s="15" t="s">
        <v>328</v>
      </c>
      <c r="DQ80" s="15" t="s">
        <v>328</v>
      </c>
      <c r="DR80" s="15" t="s">
        <v>437</v>
      </c>
      <c r="DS80" s="15"/>
      <c r="DT80" s="15"/>
      <c r="DU80" s="15" t="s">
        <v>410</v>
      </c>
      <c r="DV80" s="15" t="s">
        <v>411</v>
      </c>
      <c r="DW80" s="15" t="s">
        <v>328</v>
      </c>
      <c r="DX80" s="15"/>
      <c r="DY80" s="15"/>
      <c r="DZ80" s="15"/>
      <c r="EA80" s="15"/>
      <c r="EB80" s="15"/>
      <c r="EC80" s="102" t="s">
        <v>411</v>
      </c>
      <c r="ED80" s="99"/>
    </row>
    <row r="81" spans="1:134" x14ac:dyDescent="0.25">
      <c r="A81" s="50" t="s">
        <v>1404</v>
      </c>
      <c r="B81" s="61" t="s">
        <v>445</v>
      </c>
      <c r="C81" s="15" t="s">
        <v>328</v>
      </c>
      <c r="D81" s="15"/>
      <c r="E81" s="15">
        <v>38</v>
      </c>
      <c r="F81" s="15" t="s">
        <v>329</v>
      </c>
      <c r="G81" s="15" t="s">
        <v>399</v>
      </c>
      <c r="H81" s="15" t="s">
        <v>757</v>
      </c>
      <c r="I81" s="18" t="s">
        <v>1202</v>
      </c>
      <c r="J81" s="15" t="s">
        <v>1280</v>
      </c>
      <c r="K81" s="15">
        <v>10</v>
      </c>
      <c r="L81" s="15">
        <v>4</v>
      </c>
      <c r="M81" s="15">
        <v>4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 t="s">
        <v>418</v>
      </c>
      <c r="AJ81" s="14" t="s">
        <v>328</v>
      </c>
      <c r="AK81" s="15"/>
      <c r="AL81" s="15"/>
      <c r="AM81" s="15"/>
      <c r="AN81" s="15" t="s">
        <v>328</v>
      </c>
      <c r="AO81" s="15" t="s">
        <v>328</v>
      </c>
      <c r="AP81" s="15">
        <v>1</v>
      </c>
      <c r="AQ81" s="15">
        <v>4</v>
      </c>
      <c r="AR81" s="15"/>
      <c r="AS81" s="15" t="s">
        <v>328</v>
      </c>
      <c r="AT81" s="15"/>
      <c r="AU81" s="15"/>
      <c r="AV81" s="15">
        <v>2</v>
      </c>
      <c r="AW81" s="15">
        <v>3</v>
      </c>
      <c r="AX81" s="15">
        <v>1</v>
      </c>
      <c r="AY81" s="15"/>
      <c r="AZ81" s="15" t="s">
        <v>328</v>
      </c>
      <c r="BA81" s="15"/>
      <c r="BB81" s="15" t="s">
        <v>328</v>
      </c>
      <c r="BC81" s="15"/>
      <c r="BD81" s="15"/>
      <c r="BE81" s="15"/>
      <c r="BF81" s="15"/>
      <c r="BG81" s="15"/>
      <c r="BH81" s="15"/>
      <c r="BI81" s="15" t="s">
        <v>328</v>
      </c>
      <c r="BJ81" s="15"/>
      <c r="BK81" s="14"/>
      <c r="BL81" s="15" t="s">
        <v>328</v>
      </c>
      <c r="BM81" s="15"/>
      <c r="BN81" s="15" t="s">
        <v>328</v>
      </c>
      <c r="BO81" s="15"/>
      <c r="BP81" s="15" t="s">
        <v>328</v>
      </c>
      <c r="BQ81" s="15"/>
      <c r="BR81" s="15"/>
      <c r="BS81" s="15"/>
      <c r="BT81" s="15" t="s">
        <v>328</v>
      </c>
      <c r="BU81" s="15" t="s">
        <v>328</v>
      </c>
      <c r="BV81" s="15"/>
      <c r="BW81" s="15"/>
      <c r="BX81" s="15"/>
      <c r="BY81" s="15"/>
      <c r="BZ81" s="15" t="s">
        <v>328</v>
      </c>
      <c r="CA81" s="15"/>
      <c r="CB81" s="15"/>
      <c r="CC81" s="15"/>
      <c r="CD81" s="15"/>
      <c r="CE81" s="15"/>
      <c r="CF81" s="15"/>
      <c r="CG81" s="15" t="s">
        <v>328</v>
      </c>
      <c r="CH81" s="15"/>
      <c r="CI81" s="15"/>
      <c r="CJ81" s="15"/>
      <c r="CK81" s="15"/>
      <c r="CL81" s="15">
        <v>3</v>
      </c>
      <c r="CM81" s="15">
        <v>2</v>
      </c>
      <c r="CN81" s="15">
        <v>5</v>
      </c>
      <c r="CO81" s="15">
        <v>4</v>
      </c>
      <c r="CP81" s="15">
        <v>6</v>
      </c>
      <c r="CQ81" s="15">
        <v>1</v>
      </c>
      <c r="CR81" s="15" t="s">
        <v>328</v>
      </c>
      <c r="CS81" s="15" t="s">
        <v>328</v>
      </c>
      <c r="CT81" s="15"/>
      <c r="CU81" s="15"/>
      <c r="CV81" s="15" t="s">
        <v>328</v>
      </c>
      <c r="CW81" s="15"/>
      <c r="CX81" s="15"/>
      <c r="CY81" s="15"/>
      <c r="CZ81" s="15"/>
      <c r="DA81" s="15">
        <v>3</v>
      </c>
      <c r="DB81" s="15">
        <v>4</v>
      </c>
      <c r="DC81" s="15">
        <v>1</v>
      </c>
      <c r="DD81" s="15">
        <v>6</v>
      </c>
      <c r="DE81" s="15">
        <v>2</v>
      </c>
      <c r="DF81" s="15"/>
      <c r="DG81" s="14" t="s">
        <v>905</v>
      </c>
      <c r="DH81" s="15"/>
      <c r="DI81" s="15" t="s">
        <v>328</v>
      </c>
      <c r="DJ81" s="15" t="s">
        <v>328</v>
      </c>
      <c r="DK81" s="15" t="s">
        <v>618</v>
      </c>
      <c r="DL81" s="15"/>
      <c r="DM81" s="14" t="s">
        <v>432</v>
      </c>
      <c r="DN81" s="14" t="s">
        <v>472</v>
      </c>
      <c r="DO81" s="15" t="s">
        <v>328</v>
      </c>
      <c r="DP81" s="15"/>
      <c r="DQ81" s="15"/>
      <c r="DR81" s="15"/>
      <c r="DS81" s="15"/>
      <c r="DT81" s="15"/>
      <c r="DU81" s="15" t="s">
        <v>410</v>
      </c>
      <c r="DV81" s="15" t="s">
        <v>449</v>
      </c>
      <c r="DW81" s="15"/>
      <c r="DX81" s="15" t="s">
        <v>328</v>
      </c>
      <c r="DY81" s="15" t="s">
        <v>328</v>
      </c>
      <c r="DZ81" s="15" t="s">
        <v>397</v>
      </c>
      <c r="EA81" s="15"/>
      <c r="EB81" s="15" t="s">
        <v>1158</v>
      </c>
      <c r="EC81" s="102" t="s">
        <v>450</v>
      </c>
      <c r="ED81" s="99"/>
    </row>
    <row r="82" spans="1:134" x14ac:dyDescent="0.25">
      <c r="A82" s="50" t="s">
        <v>1404</v>
      </c>
      <c r="B82" s="61" t="s">
        <v>452</v>
      </c>
      <c r="C82" s="15" t="s">
        <v>328</v>
      </c>
      <c r="D82" s="15"/>
      <c r="E82" s="15">
        <v>45</v>
      </c>
      <c r="F82" s="15" t="s">
        <v>329</v>
      </c>
      <c r="G82" s="15" t="s">
        <v>399</v>
      </c>
      <c r="H82" s="14" t="s">
        <v>744</v>
      </c>
      <c r="I82" s="8" t="s">
        <v>1205</v>
      </c>
      <c r="J82" s="14" t="s">
        <v>1283</v>
      </c>
      <c r="K82" s="15">
        <v>15</v>
      </c>
      <c r="L82" s="15">
        <v>3</v>
      </c>
      <c r="M82" s="15"/>
      <c r="N82" s="15"/>
      <c r="O82" s="15"/>
      <c r="P82" s="15">
        <v>4</v>
      </c>
      <c r="Q82" s="15"/>
      <c r="R82" s="15"/>
      <c r="S82" s="15"/>
      <c r="T82" s="15"/>
      <c r="U82" s="15"/>
      <c r="V82" s="15"/>
      <c r="W82" s="15"/>
      <c r="X82" s="15"/>
      <c r="Y82" s="15"/>
      <c r="Z82" s="15" t="s">
        <v>328</v>
      </c>
      <c r="AA82" s="15"/>
      <c r="AB82" s="15"/>
      <c r="AC82" s="15"/>
      <c r="AD82" s="15"/>
      <c r="AE82" s="15"/>
      <c r="AF82" s="15"/>
      <c r="AG82" s="15" t="s">
        <v>328</v>
      </c>
      <c r="AH82" s="15"/>
      <c r="AI82" s="15"/>
      <c r="AJ82" s="14" t="s">
        <v>328</v>
      </c>
      <c r="AK82" s="15"/>
      <c r="AL82" s="15"/>
      <c r="AM82" s="15"/>
      <c r="AN82" s="15"/>
      <c r="AO82" s="15" t="s">
        <v>328</v>
      </c>
      <c r="AP82" s="15">
        <v>10</v>
      </c>
      <c r="AQ82" s="15">
        <v>12</v>
      </c>
      <c r="AR82" s="15"/>
      <c r="AS82" s="15" t="s">
        <v>328</v>
      </c>
      <c r="AT82" s="15"/>
      <c r="AU82" s="15"/>
      <c r="AV82" s="15">
        <v>3</v>
      </c>
      <c r="AW82" s="15">
        <v>2</v>
      </c>
      <c r="AX82" s="15">
        <v>4</v>
      </c>
      <c r="AY82" s="15" t="s">
        <v>346</v>
      </c>
      <c r="AZ82" s="15"/>
      <c r="BA82" s="15" t="s">
        <v>328</v>
      </c>
      <c r="BB82" s="15" t="s">
        <v>328</v>
      </c>
      <c r="BC82" s="15"/>
      <c r="BD82" s="15"/>
      <c r="BE82" s="15"/>
      <c r="BF82" s="15"/>
      <c r="BG82" s="15"/>
      <c r="BH82" s="15"/>
      <c r="BI82" s="15"/>
      <c r="BJ82" s="15"/>
      <c r="BK82" s="15"/>
      <c r="BL82" s="15" t="s">
        <v>328</v>
      </c>
      <c r="BM82" s="15"/>
      <c r="BN82" s="15" t="s">
        <v>328</v>
      </c>
      <c r="BO82" s="15"/>
      <c r="BP82" s="15"/>
      <c r="BQ82" s="15"/>
      <c r="BR82" s="15"/>
      <c r="BS82" s="15"/>
      <c r="BT82" s="15" t="s">
        <v>328</v>
      </c>
      <c r="BU82" s="15" t="s">
        <v>328</v>
      </c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4" t="s">
        <v>332</v>
      </c>
      <c r="CG82" s="15" t="s">
        <v>328</v>
      </c>
      <c r="CH82" s="15"/>
      <c r="CI82" s="15" t="s">
        <v>328</v>
      </c>
      <c r="CJ82" s="15"/>
      <c r="CK82" s="15"/>
      <c r="CL82" s="15">
        <v>3</v>
      </c>
      <c r="CM82" s="15">
        <v>1</v>
      </c>
      <c r="CN82" s="15">
        <v>4</v>
      </c>
      <c r="CO82" s="15">
        <v>6</v>
      </c>
      <c r="CP82" s="15">
        <v>5</v>
      </c>
      <c r="CQ82" s="15">
        <v>2</v>
      </c>
      <c r="CR82" s="15"/>
      <c r="CS82" s="15" t="s">
        <v>328</v>
      </c>
      <c r="CT82" s="15"/>
      <c r="CU82" s="15"/>
      <c r="CV82" s="15" t="s">
        <v>328</v>
      </c>
      <c r="CW82" s="15"/>
      <c r="CX82" s="15"/>
      <c r="CY82" s="15" t="s">
        <v>328</v>
      </c>
      <c r="CZ82" s="15" t="s">
        <v>404</v>
      </c>
      <c r="DA82" s="15"/>
      <c r="DB82" s="15"/>
      <c r="DC82" s="15"/>
      <c r="DD82" s="15"/>
      <c r="DE82" s="15"/>
      <c r="DF82" s="15"/>
      <c r="DG82" s="15"/>
      <c r="DH82" s="15" t="s">
        <v>328</v>
      </c>
      <c r="DI82" s="15"/>
      <c r="DJ82" s="15"/>
      <c r="DK82" s="14"/>
      <c r="DL82" s="15"/>
      <c r="DM82" s="14"/>
      <c r="DN82" s="14" t="s">
        <v>1146</v>
      </c>
      <c r="DO82" s="15" t="s">
        <v>328</v>
      </c>
      <c r="DP82" s="15"/>
      <c r="DQ82" s="15"/>
      <c r="DR82" s="14"/>
      <c r="DS82" s="15"/>
      <c r="DT82" s="15"/>
      <c r="DU82" s="14" t="s">
        <v>335</v>
      </c>
      <c r="DV82" s="14" t="s">
        <v>411</v>
      </c>
      <c r="DW82" s="15" t="s">
        <v>328</v>
      </c>
      <c r="DX82" s="15"/>
      <c r="DY82" s="15"/>
      <c r="DZ82" s="15"/>
      <c r="EA82" s="15"/>
      <c r="EB82" s="15"/>
      <c r="EC82" s="101" t="s">
        <v>1145</v>
      </c>
      <c r="ED82" s="99"/>
    </row>
    <row r="83" spans="1:134" x14ac:dyDescent="0.25">
      <c r="A83" s="50" t="s">
        <v>1404</v>
      </c>
      <c r="B83" s="61" t="s">
        <v>454</v>
      </c>
      <c r="C83" s="15" t="s">
        <v>328</v>
      </c>
      <c r="D83" s="15"/>
      <c r="E83" s="15">
        <v>59</v>
      </c>
      <c r="F83" s="15" t="s">
        <v>329</v>
      </c>
      <c r="G83" s="15" t="s">
        <v>330</v>
      </c>
      <c r="H83" s="15" t="s">
        <v>805</v>
      </c>
      <c r="I83" s="15" t="s">
        <v>1206</v>
      </c>
      <c r="J83" s="15" t="s">
        <v>1280</v>
      </c>
      <c r="K83" s="15">
        <v>30</v>
      </c>
      <c r="L83" s="15">
        <v>5</v>
      </c>
      <c r="M83" s="15"/>
      <c r="N83" s="15"/>
      <c r="O83" s="15"/>
      <c r="P83" s="15"/>
      <c r="Q83" s="15">
        <v>5</v>
      </c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 t="s">
        <v>328</v>
      </c>
      <c r="AI83" s="15"/>
      <c r="AJ83" s="15" t="s">
        <v>328</v>
      </c>
      <c r="AK83" s="15"/>
      <c r="AL83" s="15"/>
      <c r="AM83" s="14" t="s">
        <v>328</v>
      </c>
      <c r="AN83" s="15"/>
      <c r="AO83" s="15"/>
      <c r="AP83" s="15">
        <v>10</v>
      </c>
      <c r="AQ83" s="15">
        <v>1</v>
      </c>
      <c r="AR83" s="15"/>
      <c r="AS83" s="15" t="s">
        <v>328</v>
      </c>
      <c r="AT83" s="15"/>
      <c r="AU83" s="15"/>
      <c r="AV83" s="15">
        <v>3</v>
      </c>
      <c r="AW83" s="15">
        <v>1</v>
      </c>
      <c r="AX83" s="15">
        <v>2</v>
      </c>
      <c r="AY83" s="15"/>
      <c r="AZ83" s="15"/>
      <c r="BA83" s="15" t="s">
        <v>328</v>
      </c>
      <c r="BB83" s="15"/>
      <c r="BC83" s="15"/>
      <c r="BD83" s="15"/>
      <c r="BE83" s="15"/>
      <c r="BF83" s="15"/>
      <c r="BG83" s="15"/>
      <c r="BH83" s="15"/>
      <c r="BI83" s="15" t="s">
        <v>328</v>
      </c>
      <c r="BJ83" s="15"/>
      <c r="BK83" s="15"/>
      <c r="BL83" s="15" t="s">
        <v>328</v>
      </c>
      <c r="BM83" s="15"/>
      <c r="BN83" s="15" t="s">
        <v>328</v>
      </c>
      <c r="BO83" s="15"/>
      <c r="BP83" s="15" t="s">
        <v>328</v>
      </c>
      <c r="BQ83" s="15"/>
      <c r="BR83" s="15"/>
      <c r="BS83" s="15"/>
      <c r="BT83" s="15" t="s">
        <v>328</v>
      </c>
      <c r="BU83" s="15" t="s">
        <v>328</v>
      </c>
      <c r="BV83" s="15"/>
      <c r="BW83" s="15"/>
      <c r="BX83" s="15"/>
      <c r="BY83" s="15"/>
      <c r="BZ83" s="15" t="s">
        <v>328</v>
      </c>
      <c r="CA83" s="15"/>
      <c r="CB83" s="15"/>
      <c r="CC83" s="15"/>
      <c r="CD83" s="15"/>
      <c r="CE83" s="15"/>
      <c r="CF83" s="15"/>
      <c r="CG83" s="15" t="s">
        <v>328</v>
      </c>
      <c r="CH83" s="15"/>
      <c r="CI83" s="15"/>
      <c r="CJ83" s="15"/>
      <c r="CK83" s="15"/>
      <c r="CL83" s="15">
        <v>4</v>
      </c>
      <c r="CM83" s="15">
        <v>3</v>
      </c>
      <c r="CN83" s="15">
        <v>1</v>
      </c>
      <c r="CO83" s="15">
        <v>5</v>
      </c>
      <c r="CP83" s="15">
        <v>6</v>
      </c>
      <c r="CQ83" s="15">
        <v>2</v>
      </c>
      <c r="CR83" s="15" t="s">
        <v>328</v>
      </c>
      <c r="CS83" s="15" t="s">
        <v>328</v>
      </c>
      <c r="CT83" s="15"/>
      <c r="CU83" s="15"/>
      <c r="CV83" s="15" t="s">
        <v>328</v>
      </c>
      <c r="CW83" s="15"/>
      <c r="CX83" s="15"/>
      <c r="CY83" s="14"/>
      <c r="CZ83" s="14"/>
      <c r="DA83" s="15">
        <v>2</v>
      </c>
      <c r="DB83" s="15">
        <v>3</v>
      </c>
      <c r="DC83" s="15">
        <v>4</v>
      </c>
      <c r="DD83" s="15">
        <v>5</v>
      </c>
      <c r="DE83" s="15">
        <v>1</v>
      </c>
      <c r="DF83" s="15">
        <v>6</v>
      </c>
      <c r="DG83" s="15"/>
      <c r="DH83" s="15"/>
      <c r="DI83" s="15" t="s">
        <v>328</v>
      </c>
      <c r="DJ83" s="15" t="s">
        <v>328</v>
      </c>
      <c r="DK83" s="14" t="s">
        <v>397</v>
      </c>
      <c r="DL83" s="15"/>
      <c r="DM83" s="14" t="s">
        <v>432</v>
      </c>
      <c r="DN83" s="14" t="s">
        <v>389</v>
      </c>
      <c r="DO83" s="15"/>
      <c r="DP83" s="15" t="s">
        <v>328</v>
      </c>
      <c r="DQ83" s="15" t="s">
        <v>328</v>
      </c>
      <c r="DR83" s="14" t="s">
        <v>354</v>
      </c>
      <c r="DS83" s="15"/>
      <c r="DT83" s="15"/>
      <c r="DU83" s="15" t="s">
        <v>457</v>
      </c>
      <c r="DV83" s="14" t="s">
        <v>411</v>
      </c>
      <c r="DW83" s="15"/>
      <c r="DX83" s="15" t="s">
        <v>328</v>
      </c>
      <c r="DY83" s="15" t="s">
        <v>328</v>
      </c>
      <c r="DZ83" s="14" t="s">
        <v>397</v>
      </c>
      <c r="EA83" s="15"/>
      <c r="EB83" s="14" t="s">
        <v>410</v>
      </c>
      <c r="EC83" s="102" t="s">
        <v>497</v>
      </c>
      <c r="ED83" s="99"/>
    </row>
    <row r="84" spans="1:134" x14ac:dyDescent="0.25">
      <c r="A84" s="50" t="s">
        <v>1404</v>
      </c>
      <c r="B84" s="61" t="s">
        <v>455</v>
      </c>
      <c r="C84" s="15" t="s">
        <v>328</v>
      </c>
      <c r="D84" s="15"/>
      <c r="E84" s="15">
        <v>36</v>
      </c>
      <c r="F84" s="15" t="s">
        <v>329</v>
      </c>
      <c r="G84" s="15" t="s">
        <v>399</v>
      </c>
      <c r="H84" s="15" t="s">
        <v>766</v>
      </c>
      <c r="I84" s="18" t="s">
        <v>1207</v>
      </c>
      <c r="J84" s="15" t="s">
        <v>1285</v>
      </c>
      <c r="K84" s="15">
        <v>6</v>
      </c>
      <c r="L84" s="15">
        <v>1</v>
      </c>
      <c r="M84" s="15"/>
      <c r="N84" s="15"/>
      <c r="O84" s="15"/>
      <c r="P84" s="15">
        <v>1</v>
      </c>
      <c r="Q84" s="15"/>
      <c r="R84" s="15"/>
      <c r="S84" s="15"/>
      <c r="T84" s="15"/>
      <c r="U84" s="15"/>
      <c r="V84" s="15"/>
      <c r="W84" s="15"/>
      <c r="X84" s="15"/>
      <c r="Y84" s="15"/>
      <c r="Z84" s="15" t="s">
        <v>328</v>
      </c>
      <c r="AA84" s="15"/>
      <c r="AB84" s="15"/>
      <c r="AC84" s="15"/>
      <c r="AD84" s="15"/>
      <c r="AE84" s="15"/>
      <c r="AF84" s="15"/>
      <c r="AG84" s="15"/>
      <c r="AH84" s="15"/>
      <c r="AI84" s="15"/>
      <c r="AJ84" s="15" t="s">
        <v>328</v>
      </c>
      <c r="AK84" s="15"/>
      <c r="AL84" s="15"/>
      <c r="AM84" s="14" t="s">
        <v>328</v>
      </c>
      <c r="AN84" s="15"/>
      <c r="AO84" s="15"/>
      <c r="AP84" s="15">
        <v>7</v>
      </c>
      <c r="AQ84" s="15">
        <v>7</v>
      </c>
      <c r="AR84" s="15"/>
      <c r="AS84" s="15" t="s">
        <v>328</v>
      </c>
      <c r="AT84" s="15"/>
      <c r="AU84" s="15"/>
      <c r="AV84" s="15">
        <v>2</v>
      </c>
      <c r="AW84" s="15">
        <v>3</v>
      </c>
      <c r="AX84" s="15">
        <v>1</v>
      </c>
      <c r="AY84" s="15"/>
      <c r="AZ84" s="15" t="s">
        <v>328</v>
      </c>
      <c r="BA84" s="15"/>
      <c r="BB84" s="15" t="s">
        <v>328</v>
      </c>
      <c r="BC84" s="15"/>
      <c r="BD84" s="15"/>
      <c r="BE84" s="15"/>
      <c r="BF84" s="15"/>
      <c r="BG84" s="15"/>
      <c r="BH84" s="15"/>
      <c r="BI84" s="15"/>
      <c r="BJ84" s="15"/>
      <c r="BK84" s="15"/>
      <c r="BL84" s="15" t="s">
        <v>328</v>
      </c>
      <c r="BM84" s="15"/>
      <c r="BN84" s="15" t="s">
        <v>328</v>
      </c>
      <c r="BO84" s="15"/>
      <c r="BP84" s="15"/>
      <c r="BQ84" s="15"/>
      <c r="BR84" s="15"/>
      <c r="BS84" s="15"/>
      <c r="BT84" s="15"/>
      <c r="BU84" s="15"/>
      <c r="BV84" s="15" t="s">
        <v>332</v>
      </c>
      <c r="BW84" s="15"/>
      <c r="BX84" s="15"/>
      <c r="BY84" s="15"/>
      <c r="BZ84" s="15"/>
      <c r="CA84" s="15"/>
      <c r="CB84" s="15"/>
      <c r="CC84" s="15"/>
      <c r="CD84" s="15"/>
      <c r="CE84" s="15"/>
      <c r="CF84" s="15" t="s">
        <v>332</v>
      </c>
      <c r="CG84" s="15" t="s">
        <v>328</v>
      </c>
      <c r="CH84" s="15"/>
      <c r="CI84" s="15"/>
      <c r="CJ84" s="15"/>
      <c r="CK84" s="15"/>
      <c r="CL84" s="15" t="s">
        <v>405</v>
      </c>
      <c r="CM84" s="15" t="s">
        <v>405</v>
      </c>
      <c r="CN84" s="15" t="s">
        <v>405</v>
      </c>
      <c r="CO84" s="15" t="s">
        <v>405</v>
      </c>
      <c r="CP84" s="15" t="s">
        <v>405</v>
      </c>
      <c r="CQ84" s="15" t="s">
        <v>405</v>
      </c>
      <c r="CR84" s="15" t="s">
        <v>328</v>
      </c>
      <c r="CS84" s="15" t="s">
        <v>328</v>
      </c>
      <c r="CT84" s="15"/>
      <c r="CU84" s="15"/>
      <c r="CV84" s="15" t="s">
        <v>328</v>
      </c>
      <c r="CW84" s="15"/>
      <c r="CX84" s="15"/>
      <c r="CY84" s="15" t="s">
        <v>328</v>
      </c>
      <c r="CZ84" s="18" t="s">
        <v>404</v>
      </c>
      <c r="DA84" s="15"/>
      <c r="DB84" s="15"/>
      <c r="DC84" s="15"/>
      <c r="DD84" s="15"/>
      <c r="DE84" s="15"/>
      <c r="DF84" s="15"/>
      <c r="DG84" s="15"/>
      <c r="DH84" s="15"/>
      <c r="DI84" s="15" t="s">
        <v>328</v>
      </c>
      <c r="DJ84" s="15" t="s">
        <v>328</v>
      </c>
      <c r="DK84" s="14" t="s">
        <v>397</v>
      </c>
      <c r="DL84" s="15"/>
      <c r="DM84" s="14" t="s">
        <v>432</v>
      </c>
      <c r="DN84" s="14" t="s">
        <v>389</v>
      </c>
      <c r="DO84" s="15"/>
      <c r="DP84" s="15" t="s">
        <v>328</v>
      </c>
      <c r="DQ84" s="15" t="s">
        <v>328</v>
      </c>
      <c r="DR84" s="14" t="s">
        <v>397</v>
      </c>
      <c r="DS84" s="15"/>
      <c r="DT84" s="15"/>
      <c r="DU84" s="15" t="s">
        <v>428</v>
      </c>
      <c r="DV84" s="15" t="s">
        <v>474</v>
      </c>
      <c r="DW84" s="15"/>
      <c r="DX84" s="15" t="s">
        <v>328</v>
      </c>
      <c r="DY84" s="15" t="s">
        <v>328</v>
      </c>
      <c r="DZ84" s="14" t="s">
        <v>397</v>
      </c>
      <c r="EA84" s="15"/>
      <c r="EB84" s="15" t="s">
        <v>1158</v>
      </c>
      <c r="EC84" s="102" t="s">
        <v>474</v>
      </c>
      <c r="ED84" s="99"/>
    </row>
    <row r="85" spans="1:134" x14ac:dyDescent="0.25">
      <c r="A85" s="50" t="s">
        <v>1404</v>
      </c>
      <c r="B85" s="61" t="s">
        <v>465</v>
      </c>
      <c r="C85" s="15" t="s">
        <v>328</v>
      </c>
      <c r="D85" s="15"/>
      <c r="E85" s="15">
        <v>41</v>
      </c>
      <c r="F85" s="15" t="s">
        <v>329</v>
      </c>
      <c r="G85" s="15" t="s">
        <v>330</v>
      </c>
      <c r="H85" s="15" t="s">
        <v>767</v>
      </c>
      <c r="I85" s="18" t="s">
        <v>1208</v>
      </c>
      <c r="J85" s="15" t="s">
        <v>1286</v>
      </c>
      <c r="K85" s="15">
        <v>23</v>
      </c>
      <c r="L85" s="15">
        <v>2</v>
      </c>
      <c r="M85" s="15"/>
      <c r="N85" s="15"/>
      <c r="O85" s="15"/>
      <c r="P85" s="15"/>
      <c r="Q85" s="15"/>
      <c r="R85" s="15"/>
      <c r="S85" s="15"/>
      <c r="T85" s="15">
        <v>2</v>
      </c>
      <c r="U85" s="15"/>
      <c r="V85" s="15"/>
      <c r="W85" s="15"/>
      <c r="X85" s="15"/>
      <c r="Y85" s="18"/>
      <c r="Z85" s="15"/>
      <c r="AA85" s="15"/>
      <c r="AB85" s="15"/>
      <c r="AC85" s="15"/>
      <c r="AD85" s="15"/>
      <c r="AE85" s="15"/>
      <c r="AF85" s="15"/>
      <c r="AG85" s="15"/>
      <c r="AH85" s="15" t="s">
        <v>328</v>
      </c>
      <c r="AI85" s="15"/>
      <c r="AJ85" s="15"/>
      <c r="AK85" s="14" t="s">
        <v>328</v>
      </c>
      <c r="AL85" s="15"/>
      <c r="AM85" s="15"/>
      <c r="AN85" s="15"/>
      <c r="AO85" s="15" t="s">
        <v>328</v>
      </c>
      <c r="AP85" s="15">
        <v>10</v>
      </c>
      <c r="AQ85" s="15">
        <v>5</v>
      </c>
      <c r="AR85" s="15"/>
      <c r="AS85" s="15"/>
      <c r="AT85" s="15" t="s">
        <v>328</v>
      </c>
      <c r="AU85" s="15"/>
      <c r="AV85" s="15">
        <v>3</v>
      </c>
      <c r="AW85" s="15">
        <v>2</v>
      </c>
      <c r="AX85" s="15">
        <v>1</v>
      </c>
      <c r="AY85" s="15"/>
      <c r="AZ85" s="15"/>
      <c r="BA85" s="15" t="s">
        <v>328</v>
      </c>
      <c r="BB85" s="15"/>
      <c r="BC85" s="15"/>
      <c r="BD85" s="15"/>
      <c r="BE85" s="15"/>
      <c r="BF85" s="15"/>
      <c r="BG85" s="15"/>
      <c r="BH85" s="15"/>
      <c r="BI85" s="15" t="s">
        <v>328</v>
      </c>
      <c r="BJ85" s="15"/>
      <c r="BK85" s="15"/>
      <c r="BL85" s="15"/>
      <c r="BM85" s="15" t="s">
        <v>328</v>
      </c>
      <c r="BN85" s="15"/>
      <c r="BO85" s="15" t="s">
        <v>328</v>
      </c>
      <c r="BP85" s="15"/>
      <c r="BQ85" s="15" t="s">
        <v>328</v>
      </c>
      <c r="BR85" s="15"/>
      <c r="BS85" s="15"/>
      <c r="BT85" s="15"/>
      <c r="BU85" s="15"/>
      <c r="BV85" s="15"/>
      <c r="BW85" s="15"/>
      <c r="BX85" s="15"/>
      <c r="BY85" s="15"/>
      <c r="BZ85" s="15"/>
      <c r="CA85" s="15" t="s">
        <v>328</v>
      </c>
      <c r="CB85" s="15"/>
      <c r="CC85" s="15"/>
      <c r="CD85" s="15"/>
      <c r="CE85" s="15"/>
      <c r="CF85" s="15"/>
      <c r="CG85" s="15"/>
      <c r="CH85" s="15"/>
      <c r="CI85" s="15" t="s">
        <v>328</v>
      </c>
      <c r="CJ85" s="15"/>
      <c r="CK85" s="15"/>
      <c r="CL85" s="15">
        <v>2</v>
      </c>
      <c r="CM85" s="15">
        <v>3</v>
      </c>
      <c r="CN85" s="15">
        <v>4</v>
      </c>
      <c r="CO85" s="15">
        <v>6</v>
      </c>
      <c r="CP85" s="15">
        <v>5</v>
      </c>
      <c r="CQ85" s="15">
        <v>1</v>
      </c>
      <c r="CR85" s="15"/>
      <c r="CS85" s="15"/>
      <c r="CT85" s="15"/>
      <c r="CU85" s="15"/>
      <c r="CV85" s="15"/>
      <c r="CW85" s="15"/>
      <c r="CX85" s="15" t="s">
        <v>332</v>
      </c>
      <c r="CY85" s="15" t="s">
        <v>328</v>
      </c>
      <c r="CZ85" s="15" t="s">
        <v>404</v>
      </c>
      <c r="DA85" s="15"/>
      <c r="DB85" s="15"/>
      <c r="DC85" s="15"/>
      <c r="DD85" s="15"/>
      <c r="DE85" s="15"/>
      <c r="DF85" s="15"/>
      <c r="DG85" s="15"/>
      <c r="DH85" s="15" t="s">
        <v>328</v>
      </c>
      <c r="DI85" s="15"/>
      <c r="DJ85" s="15"/>
      <c r="DK85" s="14"/>
      <c r="DL85" s="15"/>
      <c r="DM85" s="15"/>
      <c r="DN85" s="14" t="s">
        <v>1146</v>
      </c>
      <c r="DO85" s="15" t="s">
        <v>328</v>
      </c>
      <c r="DP85" s="15"/>
      <c r="DQ85" s="15"/>
      <c r="DR85" s="15"/>
      <c r="DS85" s="15"/>
      <c r="DT85" s="15"/>
      <c r="DU85" s="15"/>
      <c r="DV85" s="15" t="s">
        <v>333</v>
      </c>
      <c r="DW85" s="15" t="s">
        <v>328</v>
      </c>
      <c r="DX85" s="15"/>
      <c r="DY85" s="15"/>
      <c r="DZ85" s="15"/>
      <c r="EA85" s="15"/>
      <c r="EB85" s="15"/>
      <c r="EC85" s="102" t="s">
        <v>450</v>
      </c>
      <c r="ED85" s="99"/>
    </row>
    <row r="86" spans="1:134" x14ac:dyDescent="0.25">
      <c r="A86" s="50" t="s">
        <v>1404</v>
      </c>
      <c r="B86" s="61" t="s">
        <v>466</v>
      </c>
      <c r="C86" s="15" t="s">
        <v>328</v>
      </c>
      <c r="D86" s="15"/>
      <c r="E86" s="15">
        <v>40</v>
      </c>
      <c r="F86" s="15" t="s">
        <v>329</v>
      </c>
      <c r="G86" s="15" t="s">
        <v>399</v>
      </c>
      <c r="H86" s="15" t="s">
        <v>754</v>
      </c>
      <c r="I86" s="15" t="s">
        <v>1209</v>
      </c>
      <c r="J86" s="15" t="s">
        <v>1283</v>
      </c>
      <c r="K86" s="15">
        <v>11</v>
      </c>
      <c r="L86" s="15">
        <v>2</v>
      </c>
      <c r="M86" s="15"/>
      <c r="N86" s="15"/>
      <c r="O86" s="15"/>
      <c r="P86" s="15">
        <v>2</v>
      </c>
      <c r="Q86" s="15"/>
      <c r="R86" s="15"/>
      <c r="S86" s="15"/>
      <c r="T86" s="15"/>
      <c r="U86" s="15"/>
      <c r="V86" s="15"/>
      <c r="W86" s="15"/>
      <c r="X86" s="15"/>
      <c r="Y86" s="15"/>
      <c r="Z86" s="15" t="s">
        <v>328</v>
      </c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4" t="s">
        <v>328</v>
      </c>
      <c r="AL86" s="15"/>
      <c r="AM86" s="15"/>
      <c r="AN86" s="15"/>
      <c r="AO86" s="15" t="s">
        <v>328</v>
      </c>
      <c r="AP86" s="15">
        <v>10</v>
      </c>
      <c r="AQ86" s="15">
        <v>4</v>
      </c>
      <c r="AR86" s="15"/>
      <c r="AS86" s="15" t="s">
        <v>328</v>
      </c>
      <c r="AT86" s="15"/>
      <c r="AU86" s="15"/>
      <c r="AV86" s="15">
        <v>4</v>
      </c>
      <c r="AW86" s="15">
        <v>3</v>
      </c>
      <c r="AX86" s="15">
        <v>2</v>
      </c>
      <c r="AY86" s="15" t="s">
        <v>346</v>
      </c>
      <c r="AZ86" s="15" t="s">
        <v>328</v>
      </c>
      <c r="BA86" s="15"/>
      <c r="BB86" s="15"/>
      <c r="BC86" s="15"/>
      <c r="BD86" s="15" t="s">
        <v>328</v>
      </c>
      <c r="BE86" s="15"/>
      <c r="BF86" s="15"/>
      <c r="BG86" s="15"/>
      <c r="BH86" s="15"/>
      <c r="BI86" s="15"/>
      <c r="BJ86" s="15"/>
      <c r="BK86" s="15"/>
      <c r="BL86" s="15" t="s">
        <v>328</v>
      </c>
      <c r="BM86" s="15"/>
      <c r="BN86" s="15" t="s">
        <v>328</v>
      </c>
      <c r="BO86" s="15"/>
      <c r="BP86" s="15" t="s">
        <v>328</v>
      </c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 t="s">
        <v>332</v>
      </c>
      <c r="CG86" s="15" t="s">
        <v>328</v>
      </c>
      <c r="CH86" s="15"/>
      <c r="CI86" s="15"/>
      <c r="CJ86" s="15"/>
      <c r="CK86" s="15"/>
      <c r="CL86" s="15">
        <v>3</v>
      </c>
      <c r="CM86" s="15">
        <v>1</v>
      </c>
      <c r="CN86" s="15">
        <v>4</v>
      </c>
      <c r="CO86" s="15">
        <v>5</v>
      </c>
      <c r="CP86" s="15">
        <v>6</v>
      </c>
      <c r="CQ86" s="15">
        <v>2</v>
      </c>
      <c r="CR86" s="15"/>
      <c r="CS86" s="15" t="s">
        <v>328</v>
      </c>
      <c r="CT86" s="15"/>
      <c r="CU86" s="15" t="s">
        <v>328</v>
      </c>
      <c r="CV86" s="15"/>
      <c r="CW86" s="15" t="s">
        <v>328</v>
      </c>
      <c r="CX86" s="15"/>
      <c r="CY86" s="15"/>
      <c r="CZ86" s="15"/>
      <c r="DA86" s="15">
        <v>5</v>
      </c>
      <c r="DB86" s="15">
        <v>1</v>
      </c>
      <c r="DC86" s="15">
        <v>4</v>
      </c>
      <c r="DD86" s="15">
        <v>3</v>
      </c>
      <c r="DE86" s="15">
        <v>6</v>
      </c>
      <c r="DF86" s="15">
        <v>2</v>
      </c>
      <c r="DG86" s="15"/>
      <c r="DH86" s="15" t="s">
        <v>328</v>
      </c>
      <c r="DI86" s="15"/>
      <c r="DJ86" s="15"/>
      <c r="DK86" s="15"/>
      <c r="DL86" s="15"/>
      <c r="DM86" s="15"/>
      <c r="DN86" s="14" t="s">
        <v>1145</v>
      </c>
      <c r="DO86" s="15" t="s">
        <v>328</v>
      </c>
      <c r="DP86" s="15"/>
      <c r="DQ86" s="15"/>
      <c r="DR86" s="15"/>
      <c r="DS86" s="15"/>
      <c r="DT86" s="15"/>
      <c r="DU86" s="15"/>
      <c r="DV86" s="15" t="s">
        <v>333</v>
      </c>
      <c r="DW86" s="15" t="s">
        <v>328</v>
      </c>
      <c r="DX86" s="15"/>
      <c r="DY86" s="15"/>
      <c r="DZ86" s="15"/>
      <c r="EA86" s="15"/>
      <c r="EB86" s="15"/>
      <c r="EC86" s="102" t="s">
        <v>450</v>
      </c>
      <c r="ED86" s="99"/>
    </row>
    <row r="87" spans="1:134" x14ac:dyDescent="0.25">
      <c r="A87" s="50" t="s">
        <v>1404</v>
      </c>
      <c r="B87" s="61" t="s">
        <v>467</v>
      </c>
      <c r="C87" s="15" t="s">
        <v>328</v>
      </c>
      <c r="D87" s="15"/>
      <c r="E87" s="15">
        <v>52</v>
      </c>
      <c r="F87" s="15" t="s">
        <v>329</v>
      </c>
      <c r="G87" s="15" t="s">
        <v>353</v>
      </c>
      <c r="H87" s="15" t="s">
        <v>768</v>
      </c>
      <c r="I87" s="15" t="s">
        <v>1210</v>
      </c>
      <c r="J87" s="15" t="s">
        <v>1280</v>
      </c>
      <c r="K87" s="15">
        <v>20</v>
      </c>
      <c r="L87" s="15">
        <v>1</v>
      </c>
      <c r="M87" s="15">
        <v>1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 t="s">
        <v>328</v>
      </c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4" t="s">
        <v>328</v>
      </c>
      <c r="AL87" s="15"/>
      <c r="AM87" s="15"/>
      <c r="AN87" s="15"/>
      <c r="AO87" s="15" t="s">
        <v>328</v>
      </c>
      <c r="AP87" s="15">
        <v>6</v>
      </c>
      <c r="AQ87" s="15">
        <v>8</v>
      </c>
      <c r="AR87" s="15"/>
      <c r="AS87" s="15" t="s">
        <v>328</v>
      </c>
      <c r="AT87" s="15"/>
      <c r="AU87" s="15"/>
      <c r="AV87" s="15">
        <v>1</v>
      </c>
      <c r="AW87" s="15">
        <v>3</v>
      </c>
      <c r="AX87" s="15">
        <v>2</v>
      </c>
      <c r="AY87" s="15"/>
      <c r="AZ87" s="15" t="s">
        <v>328</v>
      </c>
      <c r="BA87" s="15"/>
      <c r="BB87" s="15"/>
      <c r="BC87" s="15"/>
      <c r="BD87" s="15"/>
      <c r="BE87" s="15"/>
      <c r="BF87" s="15"/>
      <c r="BG87" s="15"/>
      <c r="BH87" s="15"/>
      <c r="BI87" s="15" t="s">
        <v>328</v>
      </c>
      <c r="BJ87" s="15"/>
      <c r="BK87" s="15"/>
      <c r="BL87" s="15"/>
      <c r="BM87" s="15" t="s">
        <v>328</v>
      </c>
      <c r="BN87" s="15"/>
      <c r="BO87" s="15" t="s">
        <v>328</v>
      </c>
      <c r="BP87" s="15"/>
      <c r="BQ87" s="15"/>
      <c r="BR87" s="15"/>
      <c r="BS87" s="15"/>
      <c r="BT87" s="15" t="s">
        <v>328</v>
      </c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 t="s">
        <v>332</v>
      </c>
      <c r="CG87" s="15" t="s">
        <v>328</v>
      </c>
      <c r="CH87" s="15"/>
      <c r="CI87" s="15"/>
      <c r="CJ87" s="15"/>
      <c r="CK87" s="15"/>
      <c r="CL87" s="15">
        <v>2</v>
      </c>
      <c r="CM87" s="15">
        <v>6</v>
      </c>
      <c r="CN87" s="15">
        <v>3</v>
      </c>
      <c r="CO87" s="15">
        <v>5</v>
      </c>
      <c r="CP87" s="15">
        <v>4</v>
      </c>
      <c r="CQ87" s="15">
        <v>1</v>
      </c>
      <c r="CR87" s="15" t="s">
        <v>328</v>
      </c>
      <c r="CS87" s="15" t="s">
        <v>328</v>
      </c>
      <c r="CT87" s="15"/>
      <c r="CU87" s="15"/>
      <c r="CV87" s="15" t="s">
        <v>328</v>
      </c>
      <c r="CW87" s="15"/>
      <c r="CX87" s="15"/>
      <c r="CY87" s="15" t="s">
        <v>328</v>
      </c>
      <c r="CZ87" s="15" t="s">
        <v>404</v>
      </c>
      <c r="DA87" s="15"/>
      <c r="DB87" s="15"/>
      <c r="DC87" s="15"/>
      <c r="DD87" s="15"/>
      <c r="DE87" s="15"/>
      <c r="DF87" s="15"/>
      <c r="DG87" s="15"/>
      <c r="DH87" s="15" t="s">
        <v>328</v>
      </c>
      <c r="DI87" s="15"/>
      <c r="DJ87" s="15"/>
      <c r="DK87" s="15"/>
      <c r="DL87" s="15"/>
      <c r="DM87" s="15"/>
      <c r="DN87" s="14" t="s">
        <v>1145</v>
      </c>
      <c r="DO87" s="15" t="s">
        <v>328</v>
      </c>
      <c r="DP87" s="15"/>
      <c r="DQ87" s="15"/>
      <c r="DR87" s="15"/>
      <c r="DS87" s="15"/>
      <c r="DT87" s="15"/>
      <c r="DU87" s="15"/>
      <c r="DV87" s="14" t="s">
        <v>333</v>
      </c>
      <c r="DW87" s="15" t="s">
        <v>328</v>
      </c>
      <c r="DX87" s="15"/>
      <c r="DY87" s="15"/>
      <c r="DZ87" s="15"/>
      <c r="EA87" s="15"/>
      <c r="EB87" s="15"/>
      <c r="EC87" s="102" t="s">
        <v>1145</v>
      </c>
      <c r="ED87" s="99"/>
    </row>
    <row r="88" spans="1:134" x14ac:dyDescent="0.25">
      <c r="A88" s="50" t="s">
        <v>1404</v>
      </c>
      <c r="B88" s="61" t="s">
        <v>468</v>
      </c>
      <c r="C88" s="15" t="s">
        <v>328</v>
      </c>
      <c r="D88" s="15"/>
      <c r="E88" s="15">
        <v>38</v>
      </c>
      <c r="F88" s="15" t="s">
        <v>329</v>
      </c>
      <c r="G88" s="15" t="s">
        <v>330</v>
      </c>
      <c r="H88" s="15" t="s">
        <v>737</v>
      </c>
      <c r="I88" s="15" t="s">
        <v>1211</v>
      </c>
      <c r="J88" s="15" t="s">
        <v>1280</v>
      </c>
      <c r="K88" s="15">
        <v>12</v>
      </c>
      <c r="L88" s="15">
        <v>2</v>
      </c>
      <c r="M88" s="15">
        <v>2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 t="s">
        <v>418</v>
      </c>
      <c r="AJ88" s="15"/>
      <c r="AK88" s="14" t="s">
        <v>328</v>
      </c>
      <c r="AL88" s="15"/>
      <c r="AM88" s="15"/>
      <c r="AN88" s="15"/>
      <c r="AO88" s="15" t="s">
        <v>328</v>
      </c>
      <c r="AP88" s="15">
        <v>1</v>
      </c>
      <c r="AQ88" s="15">
        <v>4</v>
      </c>
      <c r="AR88" s="15" t="s">
        <v>328</v>
      </c>
      <c r="AS88" s="15" t="s">
        <v>328</v>
      </c>
      <c r="AT88" s="15"/>
      <c r="AU88" s="15"/>
      <c r="AV88" s="15">
        <v>3</v>
      </c>
      <c r="AW88" s="15">
        <v>1</v>
      </c>
      <c r="AX88" s="15">
        <v>2</v>
      </c>
      <c r="AY88" s="15"/>
      <c r="AZ88" s="15" t="s">
        <v>328</v>
      </c>
      <c r="BA88" s="15"/>
      <c r="BB88" s="15"/>
      <c r="BC88" s="15"/>
      <c r="BD88" s="15"/>
      <c r="BE88" s="15"/>
      <c r="BF88" s="15"/>
      <c r="BG88" s="15"/>
      <c r="BH88" s="15"/>
      <c r="BI88" s="15" t="s">
        <v>328</v>
      </c>
      <c r="BJ88" s="15"/>
      <c r="BK88" s="15"/>
      <c r="BL88" s="15" t="s">
        <v>328</v>
      </c>
      <c r="BM88" s="15"/>
      <c r="BN88" s="15" t="s">
        <v>328</v>
      </c>
      <c r="BO88" s="15"/>
      <c r="BP88" s="15" t="s">
        <v>328</v>
      </c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 t="s">
        <v>332</v>
      </c>
      <c r="CG88" s="15" t="s">
        <v>328</v>
      </c>
      <c r="CH88" s="15"/>
      <c r="CI88" s="15"/>
      <c r="CJ88" s="15"/>
      <c r="CK88" s="15"/>
      <c r="CL88" s="15">
        <v>2</v>
      </c>
      <c r="CM88" s="15">
        <v>1</v>
      </c>
      <c r="CN88" s="15">
        <v>4</v>
      </c>
      <c r="CO88" s="15">
        <v>6</v>
      </c>
      <c r="CP88" s="15">
        <v>5</v>
      </c>
      <c r="CQ88" s="15">
        <v>3</v>
      </c>
      <c r="CR88" s="15" t="s">
        <v>328</v>
      </c>
      <c r="CS88" s="15"/>
      <c r="CT88" s="15"/>
      <c r="CU88" s="15"/>
      <c r="CV88" s="15" t="s">
        <v>328</v>
      </c>
      <c r="CW88" s="15"/>
      <c r="CX88" s="15"/>
      <c r="CY88" s="15"/>
      <c r="CZ88" s="15"/>
      <c r="DA88" s="15">
        <v>2</v>
      </c>
      <c r="DB88" s="15">
        <v>3</v>
      </c>
      <c r="DC88" s="15">
        <v>5</v>
      </c>
      <c r="DD88" s="15">
        <v>4</v>
      </c>
      <c r="DE88" s="15">
        <v>1</v>
      </c>
      <c r="DF88" s="15">
        <v>6</v>
      </c>
      <c r="DG88" s="15"/>
      <c r="DH88" s="15"/>
      <c r="DI88" s="15" t="s">
        <v>328</v>
      </c>
      <c r="DJ88" s="15" t="s">
        <v>328</v>
      </c>
      <c r="DK88" s="14" t="s">
        <v>404</v>
      </c>
      <c r="DL88" s="15"/>
      <c r="DM88" s="15" t="s">
        <v>492</v>
      </c>
      <c r="DN88" s="14" t="s">
        <v>389</v>
      </c>
      <c r="DO88" s="15"/>
      <c r="DP88" s="15" t="s">
        <v>328</v>
      </c>
      <c r="DQ88" s="15" t="s">
        <v>328</v>
      </c>
      <c r="DR88" s="15" t="s">
        <v>478</v>
      </c>
      <c r="DS88" s="15"/>
      <c r="DT88" s="15"/>
      <c r="DU88" s="15" t="s">
        <v>428</v>
      </c>
      <c r="DV88" s="14" t="s">
        <v>411</v>
      </c>
      <c r="DW88" s="15" t="s">
        <v>328</v>
      </c>
      <c r="DX88" s="15"/>
      <c r="DY88" s="15"/>
      <c r="DZ88" s="15"/>
      <c r="EA88" s="15"/>
      <c r="EB88" s="15"/>
      <c r="EC88" s="102" t="s">
        <v>1145</v>
      </c>
      <c r="ED88" s="99"/>
    </row>
    <row r="89" spans="1:134" x14ac:dyDescent="0.25">
      <c r="A89" s="50" t="s">
        <v>1404</v>
      </c>
      <c r="B89" s="61" t="s">
        <v>469</v>
      </c>
      <c r="C89" s="15" t="s">
        <v>328</v>
      </c>
      <c r="D89" s="15"/>
      <c r="E89" s="15">
        <v>38</v>
      </c>
      <c r="F89" s="15" t="s">
        <v>329</v>
      </c>
      <c r="G89" s="15" t="s">
        <v>357</v>
      </c>
      <c r="H89" s="15" t="s">
        <v>741</v>
      </c>
      <c r="I89" s="15" t="s">
        <v>1212</v>
      </c>
      <c r="J89" s="15" t="s">
        <v>1283</v>
      </c>
      <c r="K89" s="15">
        <v>0</v>
      </c>
      <c r="L89" s="15">
        <v>4</v>
      </c>
      <c r="M89" s="15">
        <v>4</v>
      </c>
      <c r="N89" s="15">
        <v>1</v>
      </c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 t="s">
        <v>328</v>
      </c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 t="s">
        <v>328</v>
      </c>
      <c r="AL89" s="15"/>
      <c r="AM89" s="15"/>
      <c r="AN89" s="15"/>
      <c r="AO89" s="14" t="s">
        <v>328</v>
      </c>
      <c r="AP89" s="15">
        <v>5</v>
      </c>
      <c r="AQ89" s="15">
        <v>4</v>
      </c>
      <c r="AR89" s="15"/>
      <c r="AS89" s="15"/>
      <c r="AT89" s="15" t="s">
        <v>328</v>
      </c>
      <c r="AU89" s="15"/>
      <c r="AV89" s="15">
        <v>1</v>
      </c>
      <c r="AW89" s="15">
        <v>3</v>
      </c>
      <c r="AX89" s="15">
        <v>2</v>
      </c>
      <c r="AY89" s="15"/>
      <c r="AZ89" s="15"/>
      <c r="BA89" s="15" t="s">
        <v>328</v>
      </c>
      <c r="BB89" s="15"/>
      <c r="BC89" s="15"/>
      <c r="BD89" s="15"/>
      <c r="BE89" s="15"/>
      <c r="BF89" s="15"/>
      <c r="BG89" s="15"/>
      <c r="BH89" s="15"/>
      <c r="BI89" s="15" t="s">
        <v>328</v>
      </c>
      <c r="BJ89" s="15"/>
      <c r="BK89" s="15"/>
      <c r="BL89" s="15" t="s">
        <v>328</v>
      </c>
      <c r="BM89" s="15"/>
      <c r="BN89" s="15"/>
      <c r="BO89" s="15" t="s">
        <v>328</v>
      </c>
      <c r="BP89" s="15" t="s">
        <v>328</v>
      </c>
      <c r="BQ89" s="15"/>
      <c r="BR89" s="15"/>
      <c r="BS89" s="15"/>
      <c r="BT89" s="15"/>
      <c r="BU89" s="15"/>
      <c r="BV89" s="15" t="s">
        <v>479</v>
      </c>
      <c r="BW89" s="15"/>
      <c r="BX89" s="15"/>
      <c r="BY89" s="15"/>
      <c r="BZ89" s="15"/>
      <c r="CA89" s="15"/>
      <c r="CB89" s="15"/>
      <c r="CC89" s="15"/>
      <c r="CD89" s="15"/>
      <c r="CE89" s="15"/>
      <c r="CF89" s="15" t="s">
        <v>332</v>
      </c>
      <c r="CG89" s="15" t="s">
        <v>328</v>
      </c>
      <c r="CH89" s="15"/>
      <c r="CI89" s="15"/>
      <c r="CJ89" s="15"/>
      <c r="CK89" s="15"/>
      <c r="CL89" s="15">
        <v>3</v>
      </c>
      <c r="CM89" s="15">
        <v>4</v>
      </c>
      <c r="CN89" s="15">
        <v>2</v>
      </c>
      <c r="CO89" s="15">
        <v>6</v>
      </c>
      <c r="CP89" s="15">
        <v>5</v>
      </c>
      <c r="CQ89" s="15">
        <v>1</v>
      </c>
      <c r="CR89" s="15" t="s">
        <v>328</v>
      </c>
      <c r="CS89" s="15"/>
      <c r="CT89" s="15"/>
      <c r="CU89" s="15"/>
      <c r="CV89" s="15"/>
      <c r="CW89" s="15"/>
      <c r="CX89" s="15"/>
      <c r="CY89" s="15"/>
      <c r="CZ89" s="15"/>
      <c r="DA89" s="15">
        <v>1</v>
      </c>
      <c r="DB89" s="15">
        <v>4</v>
      </c>
      <c r="DC89" s="15">
        <v>5</v>
      </c>
      <c r="DD89" s="15">
        <v>3</v>
      </c>
      <c r="DE89" s="15">
        <v>6</v>
      </c>
      <c r="DF89" s="15">
        <v>2</v>
      </c>
      <c r="DG89" s="15"/>
      <c r="DH89" s="15" t="s">
        <v>328</v>
      </c>
      <c r="DI89" s="15"/>
      <c r="DJ89" s="15"/>
      <c r="DK89" s="15"/>
      <c r="DL89" s="15"/>
      <c r="DM89" s="15"/>
      <c r="DN89" s="14" t="s">
        <v>1145</v>
      </c>
      <c r="DO89" s="15"/>
      <c r="DP89" s="15" t="s">
        <v>328</v>
      </c>
      <c r="DQ89" s="15" t="s">
        <v>328</v>
      </c>
      <c r="DR89" s="14" t="s">
        <v>618</v>
      </c>
      <c r="DS89" s="15"/>
      <c r="DT89" s="15"/>
      <c r="DU89" s="15" t="s">
        <v>428</v>
      </c>
      <c r="DV89" s="14" t="s">
        <v>411</v>
      </c>
      <c r="DW89" s="15" t="s">
        <v>328</v>
      </c>
      <c r="DX89" s="15"/>
      <c r="DY89" s="15"/>
      <c r="DZ89" s="15"/>
      <c r="EA89" s="15"/>
      <c r="EB89" s="15"/>
      <c r="EC89" s="101" t="s">
        <v>1145</v>
      </c>
      <c r="ED89" s="99"/>
    </row>
    <row r="90" spans="1:134" x14ac:dyDescent="0.25">
      <c r="A90" s="50" t="s">
        <v>1404</v>
      </c>
      <c r="B90" s="61" t="s">
        <v>470</v>
      </c>
      <c r="C90" s="15" t="s">
        <v>328</v>
      </c>
      <c r="D90" s="15"/>
      <c r="E90" s="15">
        <v>34</v>
      </c>
      <c r="F90" s="15" t="s">
        <v>329</v>
      </c>
      <c r="G90" s="15" t="s">
        <v>330</v>
      </c>
      <c r="H90" s="15" t="s">
        <v>757</v>
      </c>
      <c r="I90" s="15" t="s">
        <v>1202</v>
      </c>
      <c r="J90" s="15" t="s">
        <v>1280</v>
      </c>
      <c r="K90" s="15">
        <v>16</v>
      </c>
      <c r="L90" s="15">
        <v>2</v>
      </c>
      <c r="M90" s="15"/>
      <c r="N90" s="15"/>
      <c r="O90" s="15"/>
      <c r="P90" s="15"/>
      <c r="Q90" s="15"/>
      <c r="R90" s="15"/>
      <c r="S90" s="15"/>
      <c r="T90" s="15">
        <v>3</v>
      </c>
      <c r="U90" s="15"/>
      <c r="V90" s="15"/>
      <c r="W90" s="15"/>
      <c r="X90" s="15"/>
      <c r="Y90" s="18"/>
      <c r="Z90" s="15"/>
      <c r="AA90" s="15"/>
      <c r="AB90" s="15"/>
      <c r="AC90" s="15"/>
      <c r="AD90" s="15"/>
      <c r="AE90" s="15"/>
      <c r="AF90" s="15"/>
      <c r="AG90" s="15"/>
      <c r="AH90" s="15"/>
      <c r="AI90" s="15" t="s">
        <v>423</v>
      </c>
      <c r="AJ90" s="15"/>
      <c r="AK90" s="15" t="s">
        <v>328</v>
      </c>
      <c r="AL90" s="15"/>
      <c r="AM90" s="15"/>
      <c r="AN90" s="15"/>
      <c r="AO90" s="15" t="s">
        <v>328</v>
      </c>
      <c r="AP90" s="15">
        <v>10</v>
      </c>
      <c r="AQ90" s="15">
        <v>3</v>
      </c>
      <c r="AR90" s="15"/>
      <c r="AS90" s="15"/>
      <c r="AT90" s="15"/>
      <c r="AU90" s="15" t="s">
        <v>328</v>
      </c>
      <c r="AV90" s="15">
        <v>3</v>
      </c>
      <c r="AW90" s="15">
        <v>1</v>
      </c>
      <c r="AX90" s="15">
        <v>2</v>
      </c>
      <c r="AY90" s="15"/>
      <c r="AZ90" s="15" t="s">
        <v>328</v>
      </c>
      <c r="BA90" s="15"/>
      <c r="BB90" s="15" t="s">
        <v>328</v>
      </c>
      <c r="BC90" s="15"/>
      <c r="BD90" s="15"/>
      <c r="BE90" s="15" t="s">
        <v>328</v>
      </c>
      <c r="BF90" s="15"/>
      <c r="BG90" s="15" t="s">
        <v>328</v>
      </c>
      <c r="BH90" s="15"/>
      <c r="BI90" s="15" t="s">
        <v>328</v>
      </c>
      <c r="BJ90" s="15"/>
      <c r="BK90" s="15"/>
      <c r="BL90" s="15"/>
      <c r="BM90" s="15" t="s">
        <v>328</v>
      </c>
      <c r="BN90" s="15" t="s">
        <v>328</v>
      </c>
      <c r="BO90" s="15"/>
      <c r="BP90" s="15"/>
      <c r="BQ90" s="15"/>
      <c r="BR90" s="15" t="s">
        <v>328</v>
      </c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 t="s">
        <v>332</v>
      </c>
      <c r="CG90" s="15"/>
      <c r="CH90" s="15"/>
      <c r="CI90" s="15"/>
      <c r="CJ90" s="15" t="s">
        <v>328</v>
      </c>
      <c r="CK90" s="15"/>
      <c r="CL90" s="15">
        <v>2</v>
      </c>
      <c r="CM90" s="15">
        <v>4</v>
      </c>
      <c r="CN90" s="15">
        <v>5</v>
      </c>
      <c r="CO90" s="15">
        <v>6</v>
      </c>
      <c r="CP90" s="15">
        <v>3</v>
      </c>
      <c r="CQ90" s="15">
        <v>1</v>
      </c>
      <c r="CR90" s="15"/>
      <c r="CS90" s="15"/>
      <c r="CT90" s="15"/>
      <c r="CU90" s="15"/>
      <c r="CV90" s="15"/>
      <c r="CW90" s="15"/>
      <c r="CX90" s="15" t="s">
        <v>332</v>
      </c>
      <c r="CY90" s="15" t="s">
        <v>328</v>
      </c>
      <c r="CZ90" s="15" t="s">
        <v>404</v>
      </c>
      <c r="DA90" s="15"/>
      <c r="DB90" s="15"/>
      <c r="DC90" s="15"/>
      <c r="DD90" s="15"/>
      <c r="DE90" s="15"/>
      <c r="DF90" s="15"/>
      <c r="DG90" s="15"/>
      <c r="DH90" s="15" t="s">
        <v>328</v>
      </c>
      <c r="DI90" s="15"/>
      <c r="DJ90" s="15"/>
      <c r="DK90" s="15"/>
      <c r="DL90" s="15"/>
      <c r="DM90" s="15"/>
      <c r="DN90" s="14" t="s">
        <v>1145</v>
      </c>
      <c r="DO90" s="15"/>
      <c r="DP90" s="15" t="s">
        <v>328</v>
      </c>
      <c r="DQ90" s="15" t="s">
        <v>328</v>
      </c>
      <c r="DR90" s="15" t="s">
        <v>397</v>
      </c>
      <c r="DS90" s="15"/>
      <c r="DT90" s="15"/>
      <c r="DU90" s="15"/>
      <c r="DV90" s="15" t="s">
        <v>411</v>
      </c>
      <c r="DW90" s="15"/>
      <c r="DX90" s="15" t="s">
        <v>328</v>
      </c>
      <c r="DY90" s="15" t="s">
        <v>328</v>
      </c>
      <c r="DZ90" s="15" t="s">
        <v>397</v>
      </c>
      <c r="EA90" s="15"/>
      <c r="EB90" s="14" t="s">
        <v>410</v>
      </c>
      <c r="EC90" s="102" t="s">
        <v>450</v>
      </c>
      <c r="ED90" s="99"/>
    </row>
    <row r="91" spans="1:134" x14ac:dyDescent="0.25">
      <c r="A91" s="50" t="s">
        <v>1404</v>
      </c>
      <c r="B91" s="61" t="s">
        <v>458</v>
      </c>
      <c r="C91" s="14" t="s">
        <v>328</v>
      </c>
      <c r="D91" s="14"/>
      <c r="E91" s="14">
        <v>50</v>
      </c>
      <c r="F91" s="15" t="s">
        <v>329</v>
      </c>
      <c r="G91" s="14" t="s">
        <v>399</v>
      </c>
      <c r="H91" s="14" t="s">
        <v>733</v>
      </c>
      <c r="I91" s="8" t="s">
        <v>1213</v>
      </c>
      <c r="J91" s="14" t="s">
        <v>1283</v>
      </c>
      <c r="K91" s="14">
        <v>10</v>
      </c>
      <c r="L91" s="14">
        <v>4</v>
      </c>
      <c r="M91" s="14"/>
      <c r="N91" s="14"/>
      <c r="O91" s="14"/>
      <c r="P91" s="14"/>
      <c r="Q91" s="14"/>
      <c r="R91" s="14"/>
      <c r="S91" s="14"/>
      <c r="T91" s="14">
        <v>4</v>
      </c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 t="s">
        <v>1165</v>
      </c>
      <c r="AJ91" s="14"/>
      <c r="AK91" s="14" t="s">
        <v>328</v>
      </c>
      <c r="AL91" s="14"/>
      <c r="AM91" s="14"/>
      <c r="AN91" s="14"/>
      <c r="AO91" s="14" t="s">
        <v>328</v>
      </c>
      <c r="AP91" s="14">
        <v>10</v>
      </c>
      <c r="AQ91" s="14">
        <v>5</v>
      </c>
      <c r="AR91" s="14"/>
      <c r="AS91" s="14"/>
      <c r="AT91" s="14" t="s">
        <v>328</v>
      </c>
      <c r="AU91" s="14"/>
      <c r="AV91" s="14">
        <v>4</v>
      </c>
      <c r="AW91" s="14">
        <v>2</v>
      </c>
      <c r="AX91" s="14">
        <v>3</v>
      </c>
      <c r="AY91" s="14" t="s">
        <v>346</v>
      </c>
      <c r="AZ91" s="14"/>
      <c r="BA91" s="14" t="s">
        <v>328</v>
      </c>
      <c r="BB91" s="14"/>
      <c r="BC91" s="14"/>
      <c r="BD91" s="14"/>
      <c r="BE91" s="14"/>
      <c r="BF91" s="14"/>
      <c r="BG91" s="14"/>
      <c r="BH91" s="14"/>
      <c r="BI91" s="14" t="s">
        <v>328</v>
      </c>
      <c r="BJ91" s="14"/>
      <c r="BK91" s="14"/>
      <c r="BL91" s="14" t="s">
        <v>328</v>
      </c>
      <c r="BM91" s="14"/>
      <c r="BN91" s="14" t="s">
        <v>328</v>
      </c>
      <c r="BO91" s="14"/>
      <c r="BP91" s="14" t="s">
        <v>328</v>
      </c>
      <c r="BQ91" s="14"/>
      <c r="BR91" s="14" t="s">
        <v>328</v>
      </c>
      <c r="BS91" s="14"/>
      <c r="BT91" s="14"/>
      <c r="BU91" s="14" t="s">
        <v>328</v>
      </c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 t="s">
        <v>332</v>
      </c>
      <c r="CG91" s="14" t="s">
        <v>328</v>
      </c>
      <c r="CH91" s="14"/>
      <c r="CI91" s="14"/>
      <c r="CJ91" s="14"/>
      <c r="CK91" s="14"/>
      <c r="CL91" s="14">
        <v>3</v>
      </c>
      <c r="CM91" s="14">
        <v>2</v>
      </c>
      <c r="CN91" s="14">
        <v>4</v>
      </c>
      <c r="CO91" s="14">
        <v>6</v>
      </c>
      <c r="CP91" s="14">
        <v>5</v>
      </c>
      <c r="CQ91" s="14">
        <v>1</v>
      </c>
      <c r="CR91" s="14"/>
      <c r="CS91" s="14"/>
      <c r="CT91" s="14"/>
      <c r="CU91" s="14"/>
      <c r="CV91" s="14"/>
      <c r="CW91" s="14" t="s">
        <v>328</v>
      </c>
      <c r="CX91" s="14"/>
      <c r="CY91" s="14" t="s">
        <v>328</v>
      </c>
      <c r="CZ91" s="14" t="s">
        <v>404</v>
      </c>
      <c r="DA91" s="14"/>
      <c r="DB91" s="14"/>
      <c r="DC91" s="14"/>
      <c r="DD91" s="14"/>
      <c r="DE91" s="14"/>
      <c r="DF91" s="14"/>
      <c r="DG91" s="14"/>
      <c r="DH91" s="14"/>
      <c r="DI91" s="14" t="s">
        <v>328</v>
      </c>
      <c r="DJ91" s="14" t="s">
        <v>328</v>
      </c>
      <c r="DK91" s="14" t="s">
        <v>397</v>
      </c>
      <c r="DL91" s="14"/>
      <c r="DM91" s="15" t="s">
        <v>492</v>
      </c>
      <c r="DN91" s="14" t="s">
        <v>918</v>
      </c>
      <c r="DO91" s="14"/>
      <c r="DP91" s="14" t="s">
        <v>328</v>
      </c>
      <c r="DQ91" s="14" t="s">
        <v>328</v>
      </c>
      <c r="DR91" s="14" t="s">
        <v>397</v>
      </c>
      <c r="DS91" s="14"/>
      <c r="DT91" s="14"/>
      <c r="DU91" s="14" t="s">
        <v>335</v>
      </c>
      <c r="DV91" s="14" t="s">
        <v>411</v>
      </c>
      <c r="DW91" s="14"/>
      <c r="DX91" s="14" t="s">
        <v>328</v>
      </c>
      <c r="DY91" s="14" t="s">
        <v>328</v>
      </c>
      <c r="DZ91" s="14" t="s">
        <v>397</v>
      </c>
      <c r="EA91" s="14"/>
      <c r="EB91" s="14" t="s">
        <v>410</v>
      </c>
      <c r="EC91" s="101" t="s">
        <v>450</v>
      </c>
      <c r="ED91" s="99"/>
    </row>
    <row r="92" spans="1:134" x14ac:dyDescent="0.25">
      <c r="A92" s="50" t="s">
        <v>1404</v>
      </c>
      <c r="B92" s="61" t="s">
        <v>471</v>
      </c>
      <c r="C92" s="15" t="s">
        <v>328</v>
      </c>
      <c r="D92" s="15"/>
      <c r="E92" s="15">
        <v>58</v>
      </c>
      <c r="F92" s="15" t="s">
        <v>329</v>
      </c>
      <c r="G92" s="15" t="s">
        <v>330</v>
      </c>
      <c r="H92" s="15" t="s">
        <v>755</v>
      </c>
      <c r="I92" s="15" t="s">
        <v>1200</v>
      </c>
      <c r="J92" s="15" t="s">
        <v>1280</v>
      </c>
      <c r="K92" s="15">
        <v>32</v>
      </c>
      <c r="L92" s="15">
        <v>1</v>
      </c>
      <c r="M92" s="15">
        <v>1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 t="s">
        <v>418</v>
      </c>
      <c r="AJ92" s="15"/>
      <c r="AK92" s="15" t="s">
        <v>328</v>
      </c>
      <c r="AL92" s="15"/>
      <c r="AM92" s="15"/>
      <c r="AN92" s="14" t="s">
        <v>328</v>
      </c>
      <c r="AO92" s="15"/>
      <c r="AP92" s="15" t="s">
        <v>396</v>
      </c>
      <c r="AQ92" s="15" t="s">
        <v>396</v>
      </c>
      <c r="AR92" s="15"/>
      <c r="AS92" s="15" t="s">
        <v>328</v>
      </c>
      <c r="AT92" s="15"/>
      <c r="AU92" s="15"/>
      <c r="AV92" s="15">
        <v>1</v>
      </c>
      <c r="AW92" s="15">
        <v>3</v>
      </c>
      <c r="AX92" s="15">
        <v>2</v>
      </c>
      <c r="AY92" s="15"/>
      <c r="AZ92" s="15" t="s">
        <v>328</v>
      </c>
      <c r="BA92" s="15"/>
      <c r="BB92" s="15"/>
      <c r="BC92" s="15"/>
      <c r="BD92" s="15"/>
      <c r="BE92" s="15"/>
      <c r="BF92" s="15"/>
      <c r="BG92" s="15"/>
      <c r="BH92" s="15"/>
      <c r="BI92" s="15" t="s">
        <v>328</v>
      </c>
      <c r="BJ92" s="15"/>
      <c r="BK92" s="15"/>
      <c r="BL92" s="15"/>
      <c r="BM92" s="15" t="s">
        <v>328</v>
      </c>
      <c r="BN92" s="15"/>
      <c r="BO92" s="15" t="s">
        <v>328</v>
      </c>
      <c r="BP92" s="15" t="s">
        <v>328</v>
      </c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 t="s">
        <v>332</v>
      </c>
      <c r="CG92" s="15" t="s">
        <v>328</v>
      </c>
      <c r="CH92" s="15"/>
      <c r="CI92" s="15"/>
      <c r="CJ92" s="15"/>
      <c r="CK92" s="15"/>
      <c r="CL92" s="15">
        <v>2</v>
      </c>
      <c r="CM92" s="15">
        <v>5</v>
      </c>
      <c r="CN92" s="15">
        <v>1</v>
      </c>
      <c r="CO92" s="15">
        <v>4</v>
      </c>
      <c r="CP92" s="15">
        <v>6</v>
      </c>
      <c r="CQ92" s="15">
        <v>3</v>
      </c>
      <c r="CR92" s="15"/>
      <c r="CS92" s="15" t="s">
        <v>328</v>
      </c>
      <c r="CT92" s="15"/>
      <c r="CU92" s="15"/>
      <c r="CV92" s="15"/>
      <c r="CW92" s="15"/>
      <c r="CX92" s="15"/>
      <c r="CY92" s="15" t="s">
        <v>328</v>
      </c>
      <c r="CZ92" s="15" t="s">
        <v>404</v>
      </c>
      <c r="DA92" s="15"/>
      <c r="DB92" s="15"/>
      <c r="DC92" s="15"/>
      <c r="DD92" s="15"/>
      <c r="DE92" s="15"/>
      <c r="DF92" s="15"/>
      <c r="DG92" s="15"/>
      <c r="DH92" s="15" t="s">
        <v>328</v>
      </c>
      <c r="DI92" s="15"/>
      <c r="DJ92" s="15"/>
      <c r="DK92" s="15"/>
      <c r="DL92" s="15"/>
      <c r="DM92" s="15"/>
      <c r="DN92" s="14" t="s">
        <v>1145</v>
      </c>
      <c r="DO92" s="15" t="s">
        <v>328</v>
      </c>
      <c r="DP92" s="15"/>
      <c r="DQ92" s="15"/>
      <c r="DR92" s="15"/>
      <c r="DS92" s="15"/>
      <c r="DT92" s="15"/>
      <c r="DU92" s="15"/>
      <c r="DV92" s="15" t="s">
        <v>1145</v>
      </c>
      <c r="DW92" s="15" t="s">
        <v>328</v>
      </c>
      <c r="DX92" s="15"/>
      <c r="DY92" s="15"/>
      <c r="DZ92" s="15"/>
      <c r="EA92" s="15"/>
      <c r="EB92" s="15"/>
      <c r="EC92" s="102" t="s">
        <v>1145</v>
      </c>
      <c r="ED92" s="99"/>
    </row>
    <row r="93" spans="1:134" x14ac:dyDescent="0.25">
      <c r="A93" s="50" t="s">
        <v>1404</v>
      </c>
      <c r="B93" s="61" t="s">
        <v>459</v>
      </c>
      <c r="C93" s="14" t="s">
        <v>328</v>
      </c>
      <c r="D93" s="14"/>
      <c r="E93" s="14">
        <v>44</v>
      </c>
      <c r="F93" s="14" t="s">
        <v>329</v>
      </c>
      <c r="G93" s="14" t="s">
        <v>399</v>
      </c>
      <c r="H93" s="8" t="s">
        <v>1166</v>
      </c>
      <c r="I93" s="14" t="s">
        <v>1214</v>
      </c>
      <c r="J93" s="14" t="s">
        <v>1280</v>
      </c>
      <c r="K93" s="14">
        <v>8</v>
      </c>
      <c r="L93" s="14">
        <v>1</v>
      </c>
      <c r="M93" s="14"/>
      <c r="N93" s="14"/>
      <c r="O93" s="14"/>
      <c r="P93" s="14"/>
      <c r="Q93" s="14"/>
      <c r="R93" s="14"/>
      <c r="S93" s="14"/>
      <c r="T93" s="14">
        <v>1</v>
      </c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 t="s">
        <v>565</v>
      </c>
      <c r="AJ93" s="14" t="s">
        <v>328</v>
      </c>
      <c r="AK93" s="14"/>
      <c r="AL93" s="14"/>
      <c r="AM93" s="14"/>
      <c r="AN93" s="14" t="s">
        <v>328</v>
      </c>
      <c r="AO93" s="14"/>
      <c r="AP93" s="14">
        <v>10</v>
      </c>
      <c r="AQ93" s="14">
        <v>7</v>
      </c>
      <c r="AR93" s="14"/>
      <c r="AS93" s="14" t="s">
        <v>328</v>
      </c>
      <c r="AT93" s="14"/>
      <c r="AU93" s="14"/>
      <c r="AV93" s="14">
        <v>1</v>
      </c>
      <c r="AW93" s="14">
        <v>2</v>
      </c>
      <c r="AX93" s="14">
        <v>3</v>
      </c>
      <c r="AY93" s="14"/>
      <c r="AZ93" s="14"/>
      <c r="BA93" s="14" t="s">
        <v>328</v>
      </c>
      <c r="BB93" s="14"/>
      <c r="BC93" s="14"/>
      <c r="BD93" s="14"/>
      <c r="BE93" s="14"/>
      <c r="BF93" s="14"/>
      <c r="BG93" s="14" t="s">
        <v>328</v>
      </c>
      <c r="BH93" s="14"/>
      <c r="BI93" s="14"/>
      <c r="BJ93" s="14"/>
      <c r="BK93" s="14"/>
      <c r="BL93" s="14"/>
      <c r="BM93" s="14" t="s">
        <v>328</v>
      </c>
      <c r="BN93" s="14" t="s">
        <v>328</v>
      </c>
      <c r="BO93" s="14"/>
      <c r="BP93" s="14" t="s">
        <v>328</v>
      </c>
      <c r="BQ93" s="14"/>
      <c r="BR93" s="14"/>
      <c r="BS93" s="14"/>
      <c r="BT93" s="14"/>
      <c r="BU93" s="14"/>
      <c r="BV93" s="14"/>
      <c r="BW93" s="14"/>
      <c r="BX93" s="14"/>
      <c r="BY93" s="14"/>
      <c r="BZ93" s="14" t="s">
        <v>328</v>
      </c>
      <c r="CA93" s="14" t="s">
        <v>328</v>
      </c>
      <c r="CB93" s="14"/>
      <c r="CC93" s="14"/>
      <c r="CD93" s="14"/>
      <c r="CE93" s="14"/>
      <c r="CF93" s="14"/>
      <c r="CG93" s="14" t="s">
        <v>328</v>
      </c>
      <c r="CH93" s="14"/>
      <c r="CI93" s="14"/>
      <c r="CJ93" s="14"/>
      <c r="CK93" s="14"/>
      <c r="CL93" s="14">
        <v>3</v>
      </c>
      <c r="CM93" s="14">
        <v>2</v>
      </c>
      <c r="CN93" s="14">
        <v>4</v>
      </c>
      <c r="CO93" s="14">
        <v>5</v>
      </c>
      <c r="CP93" s="14">
        <v>6</v>
      </c>
      <c r="CQ93" s="14">
        <v>1</v>
      </c>
      <c r="CR93" s="14" t="s">
        <v>328</v>
      </c>
      <c r="CS93" s="14"/>
      <c r="CT93" s="14"/>
      <c r="CU93" s="14"/>
      <c r="CV93" s="14"/>
      <c r="CW93" s="14"/>
      <c r="CX93" s="14"/>
      <c r="CY93" s="14"/>
      <c r="CZ93" s="14"/>
      <c r="DA93" s="14">
        <v>2</v>
      </c>
      <c r="DB93" s="14">
        <v>3</v>
      </c>
      <c r="DC93" s="14">
        <v>6</v>
      </c>
      <c r="DD93" s="14">
        <v>5</v>
      </c>
      <c r="DE93" s="14">
        <v>1</v>
      </c>
      <c r="DF93" s="14">
        <v>4</v>
      </c>
      <c r="DG93" s="14"/>
      <c r="DH93" s="14" t="s">
        <v>328</v>
      </c>
      <c r="DI93" s="14"/>
      <c r="DJ93" s="14"/>
      <c r="DK93" s="14"/>
      <c r="DL93" s="14"/>
      <c r="DM93" s="14" t="s">
        <v>1167</v>
      </c>
      <c r="DN93" s="14" t="s">
        <v>396</v>
      </c>
      <c r="DO93" s="14" t="s">
        <v>328</v>
      </c>
      <c r="DP93" s="14"/>
      <c r="DQ93" s="14"/>
      <c r="DR93" s="14"/>
      <c r="DS93" s="14"/>
      <c r="DT93" s="14"/>
      <c r="DU93" s="14" t="s">
        <v>453</v>
      </c>
      <c r="DV93" s="14" t="s">
        <v>1168</v>
      </c>
      <c r="DW93" s="14" t="s">
        <v>328</v>
      </c>
      <c r="DX93" s="14"/>
      <c r="DY93" s="14"/>
      <c r="DZ93" s="14"/>
      <c r="EA93" s="14"/>
      <c r="EB93" s="14"/>
      <c r="EC93" s="101" t="s">
        <v>1169</v>
      </c>
      <c r="ED93" s="99"/>
    </row>
    <row r="94" spans="1:134" x14ac:dyDescent="0.25">
      <c r="A94" s="50" t="s">
        <v>1404</v>
      </c>
      <c r="B94" s="61" t="s">
        <v>461</v>
      </c>
      <c r="C94" s="14" t="s">
        <v>328</v>
      </c>
      <c r="D94" s="14"/>
      <c r="E94" s="14">
        <v>56</v>
      </c>
      <c r="F94" s="14" t="s">
        <v>329</v>
      </c>
      <c r="G94" s="14" t="s">
        <v>330</v>
      </c>
      <c r="H94" s="14" t="s">
        <v>747</v>
      </c>
      <c r="I94" s="14" t="s">
        <v>1216</v>
      </c>
      <c r="J94" s="14" t="s">
        <v>1280</v>
      </c>
      <c r="K94" s="14">
        <v>30</v>
      </c>
      <c r="L94" s="14">
        <v>2</v>
      </c>
      <c r="M94" s="14">
        <v>2</v>
      </c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 t="s">
        <v>418</v>
      </c>
      <c r="AJ94" s="14"/>
      <c r="AK94" s="14" t="s">
        <v>328</v>
      </c>
      <c r="AL94" s="14"/>
      <c r="AM94" s="14"/>
      <c r="AN94" s="14" t="s">
        <v>328</v>
      </c>
      <c r="AO94" s="14"/>
      <c r="AP94" s="14">
        <v>4</v>
      </c>
      <c r="AQ94" s="14">
        <v>5</v>
      </c>
      <c r="AR94" s="14"/>
      <c r="AS94" s="14"/>
      <c r="AT94" s="14" t="s">
        <v>328</v>
      </c>
      <c r="AU94" s="14"/>
      <c r="AV94" s="14">
        <v>2</v>
      </c>
      <c r="AW94" s="14">
        <v>3</v>
      </c>
      <c r="AX94" s="14">
        <v>4</v>
      </c>
      <c r="AY94" s="14" t="s">
        <v>346</v>
      </c>
      <c r="AZ94" s="14" t="s">
        <v>328</v>
      </c>
      <c r="BA94" s="14"/>
      <c r="BB94" s="14"/>
      <c r="BC94" s="14" t="s">
        <v>328</v>
      </c>
      <c r="BD94" s="14" t="s">
        <v>328</v>
      </c>
      <c r="BE94" s="14"/>
      <c r="BF94" s="14"/>
      <c r="BG94" s="14" t="s">
        <v>328</v>
      </c>
      <c r="BH94" s="14" t="s">
        <v>328</v>
      </c>
      <c r="BI94" s="14" t="s">
        <v>328</v>
      </c>
      <c r="BJ94" s="14"/>
      <c r="BK94" s="15"/>
      <c r="BL94" s="14"/>
      <c r="BM94" s="14" t="s">
        <v>328</v>
      </c>
      <c r="BN94" s="14" t="s">
        <v>328</v>
      </c>
      <c r="BO94" s="14"/>
      <c r="BP94" s="14" t="s">
        <v>328</v>
      </c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 t="s">
        <v>332</v>
      </c>
      <c r="CG94" s="14"/>
      <c r="CH94" s="14"/>
      <c r="CI94" s="14"/>
      <c r="CJ94" s="14" t="s">
        <v>328</v>
      </c>
      <c r="CK94" s="14"/>
      <c r="CL94" s="14">
        <v>2</v>
      </c>
      <c r="CM94" s="14">
        <v>3</v>
      </c>
      <c r="CN94" s="14">
        <v>4</v>
      </c>
      <c r="CO94" s="14">
        <v>6</v>
      </c>
      <c r="CP94" s="14">
        <v>5</v>
      </c>
      <c r="CQ94" s="14">
        <v>1</v>
      </c>
      <c r="CR94" s="14"/>
      <c r="CS94" s="14"/>
      <c r="CT94" s="14"/>
      <c r="CU94" s="14"/>
      <c r="CV94" s="14"/>
      <c r="CW94" s="14"/>
      <c r="CX94" s="14" t="s">
        <v>332</v>
      </c>
      <c r="CY94" s="14" t="s">
        <v>328</v>
      </c>
      <c r="CZ94" s="14" t="s">
        <v>404</v>
      </c>
      <c r="DA94" s="14"/>
      <c r="DB94" s="14"/>
      <c r="DC94" s="14"/>
      <c r="DD94" s="14"/>
      <c r="DE94" s="14"/>
      <c r="DF94" s="14"/>
      <c r="DG94" s="14"/>
      <c r="DH94" s="14" t="s">
        <v>328</v>
      </c>
      <c r="DI94" s="14"/>
      <c r="DJ94" s="14"/>
      <c r="DK94" s="14"/>
      <c r="DL94" s="14"/>
      <c r="DM94" s="14"/>
      <c r="DN94" s="14" t="s">
        <v>333</v>
      </c>
      <c r="DO94" s="14" t="s">
        <v>328</v>
      </c>
      <c r="DP94" s="14"/>
      <c r="DQ94" s="14"/>
      <c r="DR94" s="14"/>
      <c r="DS94" s="14"/>
      <c r="DT94" s="14"/>
      <c r="DU94" s="14"/>
      <c r="DV94" s="14" t="s">
        <v>1145</v>
      </c>
      <c r="DW94" s="14" t="s">
        <v>328</v>
      </c>
      <c r="DX94" s="14"/>
      <c r="DY94" s="14"/>
      <c r="DZ94" s="14"/>
      <c r="EA94" s="14"/>
      <c r="EB94" s="14"/>
      <c r="EC94" s="101" t="s">
        <v>450</v>
      </c>
      <c r="ED94" s="99"/>
    </row>
    <row r="95" spans="1:134" x14ac:dyDescent="0.25">
      <c r="A95" s="50" t="s">
        <v>1404</v>
      </c>
      <c r="B95" s="61" t="s">
        <v>462</v>
      </c>
      <c r="C95" s="14" t="s">
        <v>328</v>
      </c>
      <c r="D95" s="14"/>
      <c r="E95" s="14">
        <v>42</v>
      </c>
      <c r="F95" s="14" t="s">
        <v>329</v>
      </c>
      <c r="G95" s="14" t="s">
        <v>357</v>
      </c>
      <c r="H95" s="14" t="s">
        <v>740</v>
      </c>
      <c r="I95" s="14" t="s">
        <v>1204</v>
      </c>
      <c r="J95" s="14" t="s">
        <v>1280</v>
      </c>
      <c r="K95" s="14">
        <v>20</v>
      </c>
      <c r="L95" s="14">
        <v>1</v>
      </c>
      <c r="M95" s="14">
        <v>1</v>
      </c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 t="s">
        <v>418</v>
      </c>
      <c r="AJ95" s="14"/>
      <c r="AK95" s="14" t="s">
        <v>328</v>
      </c>
      <c r="AL95" s="14"/>
      <c r="AM95" s="14"/>
      <c r="AN95" s="14"/>
      <c r="AO95" s="14" t="s">
        <v>328</v>
      </c>
      <c r="AP95" s="14">
        <v>7</v>
      </c>
      <c r="AQ95" s="14">
        <v>8</v>
      </c>
      <c r="AR95" s="14"/>
      <c r="AS95" s="14"/>
      <c r="AT95" s="14" t="s">
        <v>328</v>
      </c>
      <c r="AU95" s="14"/>
      <c r="AV95" s="14">
        <v>3</v>
      </c>
      <c r="AW95" s="14">
        <v>2</v>
      </c>
      <c r="AX95" s="14">
        <v>1</v>
      </c>
      <c r="AY95" s="14"/>
      <c r="AZ95" s="14" t="s">
        <v>328</v>
      </c>
      <c r="BA95" s="14"/>
      <c r="BB95" s="14" t="s">
        <v>328</v>
      </c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 t="s">
        <v>328</v>
      </c>
      <c r="BN95" s="14"/>
      <c r="BO95" s="14" t="s">
        <v>328</v>
      </c>
      <c r="BP95" s="14"/>
      <c r="BQ95" s="14" t="s">
        <v>328</v>
      </c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 t="s">
        <v>328</v>
      </c>
      <c r="CF95" s="14"/>
      <c r="CG95" s="14"/>
      <c r="CH95" s="14"/>
      <c r="CI95" s="14"/>
      <c r="CJ95" s="14" t="s">
        <v>328</v>
      </c>
      <c r="CK95" s="14"/>
      <c r="CL95" s="14">
        <v>2</v>
      </c>
      <c r="CM95" s="14">
        <v>3</v>
      </c>
      <c r="CN95" s="14">
        <v>1</v>
      </c>
      <c r="CO95" s="14">
        <v>5</v>
      </c>
      <c r="CP95" s="14">
        <v>6</v>
      </c>
      <c r="CQ95" s="14">
        <v>4</v>
      </c>
      <c r="CR95" s="14" t="s">
        <v>328</v>
      </c>
      <c r="CS95" s="14"/>
      <c r="CT95" s="14"/>
      <c r="CU95" s="14"/>
      <c r="CV95" s="14" t="s">
        <v>328</v>
      </c>
      <c r="CW95" s="14"/>
      <c r="CX95" s="14"/>
      <c r="CY95" s="14"/>
      <c r="CZ95" s="14"/>
      <c r="DA95" s="14">
        <v>5</v>
      </c>
      <c r="DB95" s="14">
        <v>1</v>
      </c>
      <c r="DC95" s="14">
        <v>6</v>
      </c>
      <c r="DD95" s="14">
        <v>2</v>
      </c>
      <c r="DE95" s="14">
        <v>4</v>
      </c>
      <c r="DF95" s="14">
        <v>3</v>
      </c>
      <c r="DG95" s="14"/>
      <c r="DH95" s="14" t="s">
        <v>328</v>
      </c>
      <c r="DI95" s="14"/>
      <c r="DJ95" s="14"/>
      <c r="DK95" s="14"/>
      <c r="DL95" s="14"/>
      <c r="DM95" s="14"/>
      <c r="DN95" s="14" t="s">
        <v>1145</v>
      </c>
      <c r="DO95" s="14" t="s">
        <v>328</v>
      </c>
      <c r="DP95" s="14"/>
      <c r="DQ95" s="14"/>
      <c r="DR95" s="14"/>
      <c r="DS95" s="14"/>
      <c r="DT95" s="14"/>
      <c r="DU95" s="14"/>
      <c r="DV95" s="14" t="s">
        <v>1145</v>
      </c>
      <c r="DW95" s="14" t="s">
        <v>328</v>
      </c>
      <c r="DX95" s="14"/>
      <c r="DY95" s="14"/>
      <c r="DZ95" s="14"/>
      <c r="EA95" s="14"/>
      <c r="EB95" s="14"/>
      <c r="EC95" s="101" t="s">
        <v>1145</v>
      </c>
      <c r="ED95" s="99"/>
    </row>
    <row r="96" spans="1:134" x14ac:dyDescent="0.25">
      <c r="A96" s="50" t="s">
        <v>1404</v>
      </c>
      <c r="B96" s="61" t="s">
        <v>463</v>
      </c>
      <c r="C96" s="14" t="s">
        <v>328</v>
      </c>
      <c r="D96" s="14"/>
      <c r="E96" s="14">
        <v>47</v>
      </c>
      <c r="F96" s="14" t="s">
        <v>329</v>
      </c>
      <c r="G96" s="14" t="s">
        <v>330</v>
      </c>
      <c r="H96" s="14" t="s">
        <v>380</v>
      </c>
      <c r="I96" s="14" t="s">
        <v>1188</v>
      </c>
      <c r="J96" s="14" t="s">
        <v>1188</v>
      </c>
      <c r="K96" s="14">
        <v>20</v>
      </c>
      <c r="L96" s="14">
        <v>3</v>
      </c>
      <c r="M96" s="14">
        <v>2</v>
      </c>
      <c r="N96" s="14"/>
      <c r="O96" s="14"/>
      <c r="P96" s="14">
        <v>1</v>
      </c>
      <c r="Q96" s="14"/>
      <c r="R96" s="14"/>
      <c r="S96" s="14"/>
      <c r="T96" s="14"/>
      <c r="U96" s="14"/>
      <c r="V96" s="14"/>
      <c r="W96" s="14"/>
      <c r="X96" s="14"/>
      <c r="Y96" s="14"/>
      <c r="Z96" s="14" t="s">
        <v>328</v>
      </c>
      <c r="AA96" s="14"/>
      <c r="AB96" s="14"/>
      <c r="AC96" s="14"/>
      <c r="AD96" s="14"/>
      <c r="AE96" s="14"/>
      <c r="AF96" s="14"/>
      <c r="AG96" s="14"/>
      <c r="AH96" s="14"/>
      <c r="AI96" s="14"/>
      <c r="AJ96" s="14" t="s">
        <v>328</v>
      </c>
      <c r="AK96" s="14"/>
      <c r="AL96" s="14"/>
      <c r="AM96" s="14"/>
      <c r="AN96" s="14"/>
      <c r="AO96" s="14" t="s">
        <v>328</v>
      </c>
      <c r="AP96" s="14">
        <v>10</v>
      </c>
      <c r="AQ96" s="14">
        <v>10</v>
      </c>
      <c r="AR96" s="14"/>
      <c r="AS96" s="14"/>
      <c r="AT96" s="14" t="s">
        <v>328</v>
      </c>
      <c r="AU96" s="14"/>
      <c r="AV96" s="14">
        <v>2</v>
      </c>
      <c r="AW96" s="14">
        <v>1</v>
      </c>
      <c r="AX96" s="14">
        <v>3</v>
      </c>
      <c r="AY96" s="14"/>
      <c r="AZ96" s="14"/>
      <c r="BA96" s="14" t="s">
        <v>328</v>
      </c>
      <c r="BB96" s="14"/>
      <c r="BC96" s="14"/>
      <c r="BD96" s="14" t="s">
        <v>328</v>
      </c>
      <c r="BE96" s="14"/>
      <c r="BF96" s="14"/>
      <c r="BG96" s="14"/>
      <c r="BH96" s="14"/>
      <c r="BI96" s="14"/>
      <c r="BJ96" s="14"/>
      <c r="BK96" s="14"/>
      <c r="BL96" s="14"/>
      <c r="BM96" s="14" t="s">
        <v>328</v>
      </c>
      <c r="BN96" s="14" t="s">
        <v>328</v>
      </c>
      <c r="BO96" s="14"/>
      <c r="BP96" s="14"/>
      <c r="BQ96" s="14"/>
      <c r="BR96" s="14"/>
      <c r="BS96" s="14"/>
      <c r="BT96" s="14" t="s">
        <v>328</v>
      </c>
      <c r="BU96" s="14"/>
      <c r="BV96" s="14"/>
      <c r="BW96" s="14" t="s">
        <v>328</v>
      </c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 t="s">
        <v>328</v>
      </c>
      <c r="CJ96" s="14"/>
      <c r="CK96" s="14"/>
      <c r="CL96" s="14">
        <v>3</v>
      </c>
      <c r="CM96" s="14">
        <v>5</v>
      </c>
      <c r="CN96" s="14">
        <v>4</v>
      </c>
      <c r="CO96" s="14">
        <v>1</v>
      </c>
      <c r="CP96" s="14">
        <v>6</v>
      </c>
      <c r="CQ96" s="14">
        <v>2</v>
      </c>
      <c r="CR96" s="14" t="s">
        <v>328</v>
      </c>
      <c r="CS96" s="14"/>
      <c r="CT96" s="14"/>
      <c r="CU96" s="14"/>
      <c r="CV96" s="14" t="s">
        <v>328</v>
      </c>
      <c r="CW96" s="14"/>
      <c r="CX96" s="14"/>
      <c r="CY96" s="14"/>
      <c r="CZ96" s="14"/>
      <c r="DA96" s="14">
        <v>1</v>
      </c>
      <c r="DB96" s="14">
        <v>3</v>
      </c>
      <c r="DC96" s="14">
        <v>4</v>
      </c>
      <c r="DD96" s="14">
        <v>6</v>
      </c>
      <c r="DE96" s="14">
        <v>2</v>
      </c>
      <c r="DF96" s="14">
        <v>5</v>
      </c>
      <c r="DG96" s="14"/>
      <c r="DH96" s="14" t="s">
        <v>328</v>
      </c>
      <c r="DI96" s="14"/>
      <c r="DJ96" s="14"/>
      <c r="DK96" s="14"/>
      <c r="DL96" s="14"/>
      <c r="DM96" s="14"/>
      <c r="DN96" s="14" t="s">
        <v>1145</v>
      </c>
      <c r="DO96" s="14"/>
      <c r="DP96" s="14" t="s">
        <v>328</v>
      </c>
      <c r="DQ96" s="14" t="s">
        <v>328</v>
      </c>
      <c r="DR96" s="14" t="s">
        <v>354</v>
      </c>
      <c r="DS96" s="14"/>
      <c r="DT96" s="14"/>
      <c r="DU96" s="14" t="s">
        <v>453</v>
      </c>
      <c r="DV96" s="14" t="s">
        <v>438</v>
      </c>
      <c r="DW96" s="14"/>
      <c r="DX96" s="14" t="s">
        <v>328</v>
      </c>
      <c r="DY96" s="14" t="s">
        <v>328</v>
      </c>
      <c r="DZ96" s="14" t="s">
        <v>397</v>
      </c>
      <c r="EA96" s="14"/>
      <c r="EB96" s="14" t="s">
        <v>410</v>
      </c>
      <c r="EC96" s="101" t="s">
        <v>438</v>
      </c>
      <c r="ED96" s="99"/>
    </row>
    <row r="97" spans="1:134" x14ac:dyDescent="0.25">
      <c r="A97" s="50" t="s">
        <v>1404</v>
      </c>
      <c r="B97" s="61" t="s">
        <v>481</v>
      </c>
      <c r="C97" s="14" t="s">
        <v>328</v>
      </c>
      <c r="D97" s="14"/>
      <c r="E97" s="14">
        <v>50</v>
      </c>
      <c r="F97" s="14" t="s">
        <v>329</v>
      </c>
      <c r="G97" s="14" t="s">
        <v>330</v>
      </c>
      <c r="H97" s="14" t="s">
        <v>755</v>
      </c>
      <c r="I97" s="14" t="s">
        <v>1200</v>
      </c>
      <c r="J97" s="14" t="s">
        <v>1280</v>
      </c>
      <c r="K97" s="14">
        <v>25</v>
      </c>
      <c r="L97" s="14">
        <v>1</v>
      </c>
      <c r="M97" s="14">
        <v>1</v>
      </c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 t="s">
        <v>328</v>
      </c>
      <c r="AE97" s="14"/>
      <c r="AF97" s="14"/>
      <c r="AG97" s="14"/>
      <c r="AH97" s="14"/>
      <c r="AI97" s="14" t="s">
        <v>443</v>
      </c>
      <c r="AJ97" s="14"/>
      <c r="AK97" s="14" t="s">
        <v>328</v>
      </c>
      <c r="AL97" s="14"/>
      <c r="AM97" s="14" t="s">
        <v>328</v>
      </c>
      <c r="AN97" s="14"/>
      <c r="AO97" s="14"/>
      <c r="AP97" s="14">
        <v>10</v>
      </c>
      <c r="AQ97" s="14">
        <v>15</v>
      </c>
      <c r="AR97" s="14"/>
      <c r="AS97" s="14" t="s">
        <v>328</v>
      </c>
      <c r="AT97" s="14"/>
      <c r="AU97" s="14"/>
      <c r="AV97" s="14">
        <v>3</v>
      </c>
      <c r="AW97" s="14">
        <v>1</v>
      </c>
      <c r="AX97" s="14">
        <v>2</v>
      </c>
      <c r="AY97" s="14"/>
      <c r="AZ97" s="14"/>
      <c r="BA97" s="14" t="s">
        <v>328</v>
      </c>
      <c r="BB97" s="14"/>
      <c r="BC97" s="14"/>
      <c r="BD97" s="14"/>
      <c r="BE97" s="14"/>
      <c r="BF97" s="14"/>
      <c r="BG97" s="14"/>
      <c r="BH97" s="14"/>
      <c r="BI97" s="14" t="s">
        <v>328</v>
      </c>
      <c r="BJ97" s="14"/>
      <c r="BK97" s="14"/>
      <c r="BL97" s="14" t="s">
        <v>328</v>
      </c>
      <c r="BM97" s="14"/>
      <c r="BN97" s="14" t="s">
        <v>328</v>
      </c>
      <c r="BO97" s="14"/>
      <c r="BP97" s="14"/>
      <c r="BQ97" s="14" t="s">
        <v>328</v>
      </c>
      <c r="BR97" s="14"/>
      <c r="BS97" s="14"/>
      <c r="BT97" s="14"/>
      <c r="BU97" s="14" t="s">
        <v>328</v>
      </c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 t="s">
        <v>332</v>
      </c>
      <c r="CG97" s="14" t="s">
        <v>328</v>
      </c>
      <c r="CH97" s="14"/>
      <c r="CI97" s="14" t="s">
        <v>328</v>
      </c>
      <c r="CJ97" s="14"/>
      <c r="CK97" s="14"/>
      <c r="CL97" s="14">
        <v>1</v>
      </c>
      <c r="CM97" s="14">
        <v>3</v>
      </c>
      <c r="CN97" s="14">
        <v>6</v>
      </c>
      <c r="CO97" s="14">
        <v>4</v>
      </c>
      <c r="CP97" s="14">
        <v>5</v>
      </c>
      <c r="CQ97" s="14">
        <v>2</v>
      </c>
      <c r="CR97" s="14" t="s">
        <v>328</v>
      </c>
      <c r="CS97" s="14" t="s">
        <v>328</v>
      </c>
      <c r="CT97" s="14"/>
      <c r="CU97" s="14" t="s">
        <v>328</v>
      </c>
      <c r="CV97" s="14" t="s">
        <v>328</v>
      </c>
      <c r="CW97" s="14"/>
      <c r="CX97" s="14"/>
      <c r="CY97" s="14" t="s">
        <v>328</v>
      </c>
      <c r="CZ97" s="14" t="s">
        <v>404</v>
      </c>
      <c r="DA97" s="14"/>
      <c r="DB97" s="14"/>
      <c r="DC97" s="14"/>
      <c r="DD97" s="14"/>
      <c r="DE97" s="14"/>
      <c r="DF97" s="14"/>
      <c r="DG97" s="14"/>
      <c r="DH97" s="14" t="s">
        <v>328</v>
      </c>
      <c r="DI97" s="14"/>
      <c r="DJ97" s="14"/>
      <c r="DK97" s="14"/>
      <c r="DL97" s="14"/>
      <c r="DM97" s="14"/>
      <c r="DN97" s="14" t="s">
        <v>1146</v>
      </c>
      <c r="DO97" s="14"/>
      <c r="DP97" s="14" t="s">
        <v>328</v>
      </c>
      <c r="DQ97" s="14" t="s">
        <v>328</v>
      </c>
      <c r="DR97" s="14" t="s">
        <v>397</v>
      </c>
      <c r="DS97" s="14"/>
      <c r="DT97" s="14"/>
      <c r="DU97" s="15" t="s">
        <v>428</v>
      </c>
      <c r="DV97" s="14" t="s">
        <v>411</v>
      </c>
      <c r="DW97" s="14"/>
      <c r="DX97" s="14" t="s">
        <v>328</v>
      </c>
      <c r="DY97" s="14" t="s">
        <v>328</v>
      </c>
      <c r="DZ97" s="14" t="s">
        <v>613</v>
      </c>
      <c r="EA97" s="14"/>
      <c r="EB97" s="14" t="s">
        <v>1171</v>
      </c>
      <c r="EC97" s="101" t="s">
        <v>1174</v>
      </c>
      <c r="ED97" s="99"/>
    </row>
    <row r="98" spans="1:134" x14ac:dyDescent="0.25">
      <c r="A98" s="50" t="s">
        <v>1404</v>
      </c>
      <c r="B98" s="63" t="s">
        <v>482</v>
      </c>
      <c r="C98" s="15" t="s">
        <v>328</v>
      </c>
      <c r="D98" s="15"/>
      <c r="E98" s="15">
        <v>41</v>
      </c>
      <c r="F98" s="15" t="s">
        <v>329</v>
      </c>
      <c r="G98" s="15" t="s">
        <v>330</v>
      </c>
      <c r="H98" s="15" t="s">
        <v>729</v>
      </c>
      <c r="I98" s="18" t="s">
        <v>1217</v>
      </c>
      <c r="J98" s="15" t="s">
        <v>1280</v>
      </c>
      <c r="K98" s="15">
        <v>20</v>
      </c>
      <c r="L98" s="15">
        <v>3</v>
      </c>
      <c r="M98" s="15"/>
      <c r="N98" s="15"/>
      <c r="O98" s="15"/>
      <c r="P98" s="15"/>
      <c r="Q98" s="15">
        <v>3</v>
      </c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 t="s">
        <v>328</v>
      </c>
      <c r="AI98" s="15"/>
      <c r="AJ98" s="15" t="s">
        <v>328</v>
      </c>
      <c r="AK98" s="15"/>
      <c r="AL98" s="15"/>
      <c r="AM98" s="14" t="s">
        <v>328</v>
      </c>
      <c r="AN98" s="15"/>
      <c r="AO98" s="15"/>
      <c r="AP98" s="15">
        <v>10</v>
      </c>
      <c r="AQ98" s="15">
        <v>2</v>
      </c>
      <c r="AR98" s="15"/>
      <c r="AS98" s="15" t="s">
        <v>328</v>
      </c>
      <c r="AT98" s="15"/>
      <c r="AU98" s="15"/>
      <c r="AV98" s="15">
        <v>3</v>
      </c>
      <c r="AW98" s="15">
        <v>2</v>
      </c>
      <c r="AX98" s="15">
        <v>1</v>
      </c>
      <c r="AY98" s="15"/>
      <c r="AZ98" s="15"/>
      <c r="BA98" s="15" t="s">
        <v>328</v>
      </c>
      <c r="BB98" s="15"/>
      <c r="BC98" s="15"/>
      <c r="BD98" s="15"/>
      <c r="BE98" s="15"/>
      <c r="BF98" s="15"/>
      <c r="BG98" s="15"/>
      <c r="BH98" s="15"/>
      <c r="BI98" s="15" t="s">
        <v>328</v>
      </c>
      <c r="BJ98" s="15"/>
      <c r="BK98" s="15"/>
      <c r="BL98" s="15" t="s">
        <v>328</v>
      </c>
      <c r="BM98" s="15"/>
      <c r="BN98" s="15" t="s">
        <v>328</v>
      </c>
      <c r="BO98" s="15"/>
      <c r="BP98" s="15" t="s">
        <v>328</v>
      </c>
      <c r="BQ98" s="15"/>
      <c r="BR98" s="15"/>
      <c r="BS98" s="15"/>
      <c r="BT98" s="15" t="s">
        <v>328</v>
      </c>
      <c r="BU98" s="15" t="s">
        <v>328</v>
      </c>
      <c r="BV98" s="15"/>
      <c r="BW98" s="15"/>
      <c r="BX98" s="15"/>
      <c r="BY98" s="15"/>
      <c r="BZ98" s="15"/>
      <c r="CA98" s="15" t="s">
        <v>328</v>
      </c>
      <c r="CB98" s="15" t="s">
        <v>328</v>
      </c>
      <c r="CC98" s="15"/>
      <c r="CD98" s="15"/>
      <c r="CE98" s="15"/>
      <c r="CF98" s="15"/>
      <c r="CG98" s="15" t="s">
        <v>328</v>
      </c>
      <c r="CH98" s="15"/>
      <c r="CI98" s="15"/>
      <c r="CJ98" s="15"/>
      <c r="CK98" s="15"/>
      <c r="CL98" s="15">
        <v>5</v>
      </c>
      <c r="CM98" s="15">
        <v>1</v>
      </c>
      <c r="CN98" s="15">
        <v>3</v>
      </c>
      <c r="CO98" s="15">
        <v>6</v>
      </c>
      <c r="CP98" s="15">
        <v>4</v>
      </c>
      <c r="CQ98" s="15">
        <v>2</v>
      </c>
      <c r="CR98" s="15" t="s">
        <v>328</v>
      </c>
      <c r="CS98" s="15" t="s">
        <v>328</v>
      </c>
      <c r="CT98" s="15"/>
      <c r="CU98" s="15"/>
      <c r="CV98" s="15" t="s">
        <v>328</v>
      </c>
      <c r="CW98" s="15"/>
      <c r="CX98" s="15"/>
      <c r="CY98" s="15" t="s">
        <v>328</v>
      </c>
      <c r="CZ98" s="15" t="s">
        <v>404</v>
      </c>
      <c r="DA98" s="15"/>
      <c r="DB98" s="15"/>
      <c r="DC98" s="15"/>
      <c r="DD98" s="15"/>
      <c r="DE98" s="15"/>
      <c r="DF98" s="15"/>
      <c r="DG98" s="15"/>
      <c r="DH98" s="15"/>
      <c r="DI98" s="15" t="s">
        <v>328</v>
      </c>
      <c r="DJ98" s="15" t="s">
        <v>328</v>
      </c>
      <c r="DK98" s="15" t="s">
        <v>618</v>
      </c>
      <c r="DL98" s="15"/>
      <c r="DM98" s="15" t="s">
        <v>483</v>
      </c>
      <c r="DN98" s="14" t="s">
        <v>389</v>
      </c>
      <c r="DO98" s="15"/>
      <c r="DP98" s="15" t="s">
        <v>328</v>
      </c>
      <c r="DQ98" s="15" t="s">
        <v>328</v>
      </c>
      <c r="DR98" s="14" t="s">
        <v>618</v>
      </c>
      <c r="DS98" s="15"/>
      <c r="DT98" s="15"/>
      <c r="DU98" s="15" t="s">
        <v>410</v>
      </c>
      <c r="DV98" s="14" t="s">
        <v>411</v>
      </c>
      <c r="DW98" s="15"/>
      <c r="DX98" s="15" t="s">
        <v>328</v>
      </c>
      <c r="DY98" s="15" t="s">
        <v>328</v>
      </c>
      <c r="DZ98" s="15" t="s">
        <v>620</v>
      </c>
      <c r="EA98" s="15"/>
      <c r="EB98" s="14" t="s">
        <v>1158</v>
      </c>
      <c r="EC98" s="102" t="s">
        <v>450</v>
      </c>
      <c r="ED98" s="99"/>
    </row>
    <row r="99" spans="1:134" x14ac:dyDescent="0.25">
      <c r="A99" s="50" t="s">
        <v>1404</v>
      </c>
      <c r="B99" s="61" t="s">
        <v>484</v>
      </c>
      <c r="C99" s="15" t="s">
        <v>328</v>
      </c>
      <c r="D99" s="15"/>
      <c r="E99" s="15">
        <v>37</v>
      </c>
      <c r="F99" s="15" t="s">
        <v>329</v>
      </c>
      <c r="G99" s="15" t="s">
        <v>399</v>
      </c>
      <c r="H99" s="15" t="s">
        <v>743</v>
      </c>
      <c r="I99" s="15" t="s">
        <v>1218</v>
      </c>
      <c r="J99" s="15" t="s">
        <v>1283</v>
      </c>
      <c r="K99" s="15">
        <v>15</v>
      </c>
      <c r="L99" s="15">
        <v>3</v>
      </c>
      <c r="M99" s="15">
        <v>6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 t="s">
        <v>328</v>
      </c>
      <c r="AE99" s="15"/>
      <c r="AF99" s="15"/>
      <c r="AG99" s="15"/>
      <c r="AH99" s="15"/>
      <c r="AI99" s="15"/>
      <c r="AJ99" s="15" t="s">
        <v>328</v>
      </c>
      <c r="AK99" s="15"/>
      <c r="AL99" s="15"/>
      <c r="AM99" s="14" t="s">
        <v>328</v>
      </c>
      <c r="AN99" s="15"/>
      <c r="AO99" s="15"/>
      <c r="AP99" s="15">
        <v>10</v>
      </c>
      <c r="AQ99" s="15">
        <v>5</v>
      </c>
      <c r="AR99" s="15"/>
      <c r="AS99" s="15" t="s">
        <v>328</v>
      </c>
      <c r="AT99" s="15"/>
      <c r="AU99" s="15"/>
      <c r="AV99" s="15">
        <v>3</v>
      </c>
      <c r="AW99" s="15">
        <v>2</v>
      </c>
      <c r="AX99" s="15">
        <v>4</v>
      </c>
      <c r="AY99" s="15" t="s">
        <v>346</v>
      </c>
      <c r="AZ99" s="15"/>
      <c r="BA99" s="15" t="s">
        <v>328</v>
      </c>
      <c r="BB99" s="15"/>
      <c r="BC99" s="15"/>
      <c r="BD99" s="15"/>
      <c r="BE99" s="15"/>
      <c r="BF99" s="15"/>
      <c r="BG99" s="15"/>
      <c r="BH99" s="15"/>
      <c r="BI99" s="15" t="s">
        <v>328</v>
      </c>
      <c r="BJ99" s="15"/>
      <c r="BK99" s="15"/>
      <c r="BL99" s="15" t="s">
        <v>328</v>
      </c>
      <c r="BM99" s="15"/>
      <c r="BN99" s="15" t="s">
        <v>328</v>
      </c>
      <c r="BO99" s="15"/>
      <c r="BP99" s="15" t="s">
        <v>328</v>
      </c>
      <c r="BQ99" s="15"/>
      <c r="BR99" s="15"/>
      <c r="BS99" s="15"/>
      <c r="BT99" s="15" t="s">
        <v>328</v>
      </c>
      <c r="BU99" s="15"/>
      <c r="BV99" s="15"/>
      <c r="BW99" s="15"/>
      <c r="BX99" s="15"/>
      <c r="BY99" s="15"/>
      <c r="BZ99" s="15" t="s">
        <v>328</v>
      </c>
      <c r="CA99" s="15"/>
      <c r="CB99" s="15"/>
      <c r="CC99" s="15"/>
      <c r="CD99" s="15"/>
      <c r="CE99" s="15"/>
      <c r="CF99" s="15"/>
      <c r="CG99" s="15"/>
      <c r="CH99" s="15" t="s">
        <v>328</v>
      </c>
      <c r="CI99" s="15"/>
      <c r="CJ99" s="15"/>
      <c r="CK99" s="15"/>
      <c r="CL99" s="15">
        <v>6</v>
      </c>
      <c r="CM99" s="15">
        <v>1</v>
      </c>
      <c r="CN99" s="15">
        <v>3</v>
      </c>
      <c r="CO99" s="15">
        <v>5</v>
      </c>
      <c r="CP99" s="15">
        <v>4</v>
      </c>
      <c r="CQ99" s="15">
        <v>2</v>
      </c>
      <c r="CR99" s="15" t="s">
        <v>328</v>
      </c>
      <c r="CS99" s="15" t="s">
        <v>328</v>
      </c>
      <c r="CT99" s="15"/>
      <c r="CU99" s="15"/>
      <c r="CV99" s="15" t="s">
        <v>328</v>
      </c>
      <c r="CW99" s="15"/>
      <c r="CX99" s="15"/>
      <c r="CY99" s="15"/>
      <c r="CZ99" s="15"/>
      <c r="DA99" s="15">
        <v>2</v>
      </c>
      <c r="DB99" s="15">
        <v>4</v>
      </c>
      <c r="DC99" s="15">
        <v>6</v>
      </c>
      <c r="DD99" s="15">
        <v>1</v>
      </c>
      <c r="DE99" s="15">
        <v>3</v>
      </c>
      <c r="DF99" s="15">
        <v>5</v>
      </c>
      <c r="DG99" s="14" t="s">
        <v>346</v>
      </c>
      <c r="DH99" s="15"/>
      <c r="DI99" s="15" t="s">
        <v>328</v>
      </c>
      <c r="DJ99" s="15" t="s">
        <v>328</v>
      </c>
      <c r="DK99" s="15" t="s">
        <v>486</v>
      </c>
      <c r="DL99" s="15"/>
      <c r="DM99" s="14" t="s">
        <v>432</v>
      </c>
      <c r="DN99" s="14" t="s">
        <v>389</v>
      </c>
      <c r="DO99" s="15"/>
      <c r="DP99" s="15" t="s">
        <v>328</v>
      </c>
      <c r="DQ99" s="15" t="s">
        <v>328</v>
      </c>
      <c r="DR99" s="15" t="s">
        <v>397</v>
      </c>
      <c r="DS99" s="15"/>
      <c r="DT99" s="15"/>
      <c r="DU99" s="15" t="s">
        <v>410</v>
      </c>
      <c r="DV99" s="14" t="s">
        <v>411</v>
      </c>
      <c r="DW99" s="15"/>
      <c r="DX99" s="15" t="s">
        <v>328</v>
      </c>
      <c r="DY99" s="15" t="s">
        <v>328</v>
      </c>
      <c r="DZ99" s="15" t="s">
        <v>620</v>
      </c>
      <c r="EA99" s="15"/>
      <c r="EB99" s="14" t="s">
        <v>1158</v>
      </c>
      <c r="EC99" s="102" t="s">
        <v>497</v>
      </c>
      <c r="ED99" s="99"/>
    </row>
    <row r="100" spans="1:134" x14ac:dyDescent="0.25">
      <c r="A100" s="50" t="s">
        <v>1404</v>
      </c>
      <c r="B100" s="63" t="s">
        <v>487</v>
      </c>
      <c r="C100" s="15" t="s">
        <v>328</v>
      </c>
      <c r="D100" s="15"/>
      <c r="E100" s="15">
        <v>50</v>
      </c>
      <c r="F100" s="15" t="s">
        <v>329</v>
      </c>
      <c r="G100" s="15" t="s">
        <v>330</v>
      </c>
      <c r="H100" s="15" t="s">
        <v>737</v>
      </c>
      <c r="I100" s="15" t="s">
        <v>1211</v>
      </c>
      <c r="J100" s="15" t="s">
        <v>1280</v>
      </c>
      <c r="K100" s="15">
        <v>25</v>
      </c>
      <c r="L100" s="15">
        <v>1</v>
      </c>
      <c r="M100" s="15"/>
      <c r="N100" s="15"/>
      <c r="O100" s="15"/>
      <c r="P100" s="15"/>
      <c r="Q100" s="15"/>
      <c r="R100" s="15"/>
      <c r="S100" s="15">
        <v>1</v>
      </c>
      <c r="T100" s="15"/>
      <c r="U100" s="15"/>
      <c r="V100" s="15"/>
      <c r="W100" s="15"/>
      <c r="X100" s="15"/>
      <c r="Y100" s="15"/>
      <c r="Z100" s="15"/>
      <c r="AA100" s="15"/>
      <c r="AB100" s="15"/>
      <c r="AC100" s="15" t="s">
        <v>328</v>
      </c>
      <c r="AD100" s="15"/>
      <c r="AE100" s="15"/>
      <c r="AF100" s="15"/>
      <c r="AG100" s="15"/>
      <c r="AH100" s="15"/>
      <c r="AI100" s="15"/>
      <c r="AJ100" s="15"/>
      <c r="AK100" s="15" t="s">
        <v>328</v>
      </c>
      <c r="AL100" s="15"/>
      <c r="AM100" s="14" t="s">
        <v>328</v>
      </c>
      <c r="AN100" s="15"/>
      <c r="AO100" s="15"/>
      <c r="AP100" s="15">
        <v>6</v>
      </c>
      <c r="AQ100" s="15">
        <v>9</v>
      </c>
      <c r="AR100" s="15"/>
      <c r="AS100" s="15" t="s">
        <v>328</v>
      </c>
      <c r="AT100" s="15"/>
      <c r="AU100" s="15"/>
      <c r="AV100" s="15">
        <v>1</v>
      </c>
      <c r="AW100" s="15">
        <v>3</v>
      </c>
      <c r="AX100" s="15">
        <v>2</v>
      </c>
      <c r="AY100" s="15"/>
      <c r="AZ100" s="15" t="s">
        <v>328</v>
      </c>
      <c r="BA100" s="15"/>
      <c r="BB100" s="15"/>
      <c r="BC100" s="15" t="s">
        <v>328</v>
      </c>
      <c r="BD100" s="15"/>
      <c r="BE100" s="15"/>
      <c r="BF100" s="15"/>
      <c r="BG100" s="15"/>
      <c r="BH100" s="15"/>
      <c r="BI100" s="15"/>
      <c r="BJ100" s="15"/>
      <c r="BK100" s="15"/>
      <c r="BL100" s="15"/>
      <c r="BM100" s="15" t="s">
        <v>328</v>
      </c>
      <c r="BN100" s="15"/>
      <c r="BO100" s="15" t="s">
        <v>328</v>
      </c>
      <c r="BP100" s="15"/>
      <c r="BQ100" s="15"/>
      <c r="BR100" s="15" t="s">
        <v>328</v>
      </c>
      <c r="BS100" s="15"/>
      <c r="BT100" s="15"/>
      <c r="BU100" s="15" t="s">
        <v>328</v>
      </c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 t="s">
        <v>332</v>
      </c>
      <c r="CG100" s="15"/>
      <c r="CH100" s="15"/>
      <c r="CI100" s="15" t="s">
        <v>328</v>
      </c>
      <c r="CJ100" s="15"/>
      <c r="CK100" s="15" t="s">
        <v>328</v>
      </c>
      <c r="CL100" s="15">
        <v>4</v>
      </c>
      <c r="CM100" s="15">
        <v>1</v>
      </c>
      <c r="CN100" s="15">
        <v>3</v>
      </c>
      <c r="CO100" s="15">
        <v>5</v>
      </c>
      <c r="CP100" s="15">
        <v>6</v>
      </c>
      <c r="CQ100" s="15">
        <v>2</v>
      </c>
      <c r="CR100" s="15" t="s">
        <v>328</v>
      </c>
      <c r="CS100" s="15"/>
      <c r="CT100" s="15"/>
      <c r="CU100" s="15"/>
      <c r="CV100" s="15" t="s">
        <v>328</v>
      </c>
      <c r="CW100" s="15"/>
      <c r="CX100" s="15"/>
      <c r="CY100" s="15" t="s">
        <v>328</v>
      </c>
      <c r="CZ100" s="15" t="s">
        <v>404</v>
      </c>
      <c r="DA100" s="15"/>
      <c r="DB100" s="15"/>
      <c r="DC100" s="15"/>
      <c r="DD100" s="15"/>
      <c r="DE100" s="15"/>
      <c r="DF100" s="15"/>
      <c r="DG100" s="15"/>
      <c r="DH100" s="15" t="s">
        <v>328</v>
      </c>
      <c r="DI100" s="15"/>
      <c r="DJ100" s="15"/>
      <c r="DK100" s="15"/>
      <c r="DL100" s="15"/>
      <c r="DM100" s="15"/>
      <c r="DN100" s="14" t="s">
        <v>1146</v>
      </c>
      <c r="DO100" s="15" t="s">
        <v>328</v>
      </c>
      <c r="DP100" s="15"/>
      <c r="DQ100" s="15"/>
      <c r="DR100" s="15"/>
      <c r="DS100" s="15"/>
      <c r="DT100" s="15"/>
      <c r="DU100" s="15"/>
      <c r="DV100" s="15" t="s">
        <v>1152</v>
      </c>
      <c r="DW100" s="15" t="s">
        <v>328</v>
      </c>
      <c r="DX100" s="15"/>
      <c r="DY100" s="15"/>
      <c r="DZ100" s="15"/>
      <c r="EA100" s="15"/>
      <c r="EB100" s="15"/>
      <c r="EC100" s="102" t="s">
        <v>1152</v>
      </c>
      <c r="ED100" s="99"/>
    </row>
    <row r="101" spans="1:134" x14ac:dyDescent="0.25">
      <c r="A101" s="50" t="s">
        <v>1404</v>
      </c>
      <c r="B101" s="61" t="s">
        <v>488</v>
      </c>
      <c r="C101" s="15" t="s">
        <v>328</v>
      </c>
      <c r="D101" s="15"/>
      <c r="E101" s="15">
        <v>52</v>
      </c>
      <c r="F101" s="15" t="s">
        <v>329</v>
      </c>
      <c r="G101" s="15" t="s">
        <v>399</v>
      </c>
      <c r="H101" s="15" t="s">
        <v>753</v>
      </c>
      <c r="I101" s="15" t="s">
        <v>1190</v>
      </c>
      <c r="J101" s="15" t="s">
        <v>1280</v>
      </c>
      <c r="K101" s="15">
        <v>10</v>
      </c>
      <c r="L101" s="15">
        <v>1</v>
      </c>
      <c r="M101" s="15">
        <v>1</v>
      </c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 t="s">
        <v>418</v>
      </c>
      <c r="AJ101" s="15"/>
      <c r="AK101" s="15" t="s">
        <v>328</v>
      </c>
      <c r="AL101" s="15"/>
      <c r="AM101" s="14" t="s">
        <v>328</v>
      </c>
      <c r="AN101" s="15"/>
      <c r="AO101" s="15"/>
      <c r="AP101" s="15">
        <v>3</v>
      </c>
      <c r="AQ101" s="15">
        <v>7</v>
      </c>
      <c r="AR101" s="15"/>
      <c r="AS101" s="15"/>
      <c r="AT101" s="15" t="s">
        <v>328</v>
      </c>
      <c r="AU101" s="15"/>
      <c r="AV101" s="15">
        <v>2</v>
      </c>
      <c r="AW101" s="15">
        <v>1</v>
      </c>
      <c r="AX101" s="15">
        <v>3</v>
      </c>
      <c r="AY101" s="15"/>
      <c r="AZ101" s="15" t="s">
        <v>328</v>
      </c>
      <c r="BA101" s="15"/>
      <c r="BB101" s="15"/>
      <c r="BC101" s="15"/>
      <c r="BD101" s="15"/>
      <c r="BE101" s="15"/>
      <c r="BF101" s="15"/>
      <c r="BG101" s="15"/>
      <c r="BH101" s="15"/>
      <c r="BI101" s="15" t="s">
        <v>328</v>
      </c>
      <c r="BJ101" s="15"/>
      <c r="BK101" s="15"/>
      <c r="BL101" s="15"/>
      <c r="BM101" s="15" t="s">
        <v>328</v>
      </c>
      <c r="BN101" s="15"/>
      <c r="BO101" s="15" t="s">
        <v>328</v>
      </c>
      <c r="BP101" s="15"/>
      <c r="BQ101" s="15"/>
      <c r="BR101" s="15"/>
      <c r="BS101" s="15"/>
      <c r="BT101" s="15"/>
      <c r="BU101" s="15" t="s">
        <v>328</v>
      </c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 t="s">
        <v>332</v>
      </c>
      <c r="CG101" s="15" t="s">
        <v>328</v>
      </c>
      <c r="CH101" s="15"/>
      <c r="CI101" s="15"/>
      <c r="CJ101" s="15"/>
      <c r="CK101" s="15"/>
      <c r="CL101" s="15">
        <v>3</v>
      </c>
      <c r="CM101" s="15">
        <v>1</v>
      </c>
      <c r="CN101" s="15">
        <v>4</v>
      </c>
      <c r="CO101" s="15">
        <v>6</v>
      </c>
      <c r="CP101" s="15">
        <v>5</v>
      </c>
      <c r="CQ101" s="15">
        <v>2</v>
      </c>
      <c r="CR101" s="15"/>
      <c r="CS101" s="15"/>
      <c r="CT101" s="15"/>
      <c r="CU101" s="15"/>
      <c r="CV101" s="15"/>
      <c r="CW101" s="15"/>
      <c r="CX101" s="15" t="s">
        <v>332</v>
      </c>
      <c r="CY101" s="15" t="s">
        <v>328</v>
      </c>
      <c r="CZ101" s="15" t="s">
        <v>404</v>
      </c>
      <c r="DA101" s="15"/>
      <c r="DB101" s="15"/>
      <c r="DC101" s="15"/>
      <c r="DD101" s="15"/>
      <c r="DE101" s="15"/>
      <c r="DF101" s="15"/>
      <c r="DG101" s="15"/>
      <c r="DH101" s="15"/>
      <c r="DI101" s="15" t="s">
        <v>328</v>
      </c>
      <c r="DJ101" s="15" t="s">
        <v>328</v>
      </c>
      <c r="DK101" s="14" t="s">
        <v>404</v>
      </c>
      <c r="DL101" s="15"/>
      <c r="DM101" s="14" t="s">
        <v>432</v>
      </c>
      <c r="DN101" s="14" t="s">
        <v>472</v>
      </c>
      <c r="DO101" s="15"/>
      <c r="DP101" s="15" t="s">
        <v>328</v>
      </c>
      <c r="DQ101" s="15" t="s">
        <v>328</v>
      </c>
      <c r="DR101" s="15" t="s">
        <v>489</v>
      </c>
      <c r="DS101" s="15"/>
      <c r="DT101" s="15"/>
      <c r="DU101" s="15" t="s">
        <v>489</v>
      </c>
      <c r="DV101" s="14" t="s">
        <v>411</v>
      </c>
      <c r="DW101" s="15" t="s">
        <v>328</v>
      </c>
      <c r="DX101" s="15"/>
      <c r="DY101" s="15"/>
      <c r="DZ101" s="15"/>
      <c r="EA101" s="15"/>
      <c r="EB101" s="15"/>
      <c r="EC101" s="102" t="s">
        <v>333</v>
      </c>
      <c r="ED101" s="99"/>
    </row>
    <row r="102" spans="1:134" x14ac:dyDescent="0.25">
      <c r="A102" s="50" t="s">
        <v>1404</v>
      </c>
      <c r="B102" s="61" t="s">
        <v>493</v>
      </c>
      <c r="C102" s="15" t="s">
        <v>328</v>
      </c>
      <c r="D102" s="15"/>
      <c r="E102" s="15">
        <v>40</v>
      </c>
      <c r="F102" s="15" t="s">
        <v>329</v>
      </c>
      <c r="G102" s="15" t="s">
        <v>399</v>
      </c>
      <c r="H102" s="15" t="s">
        <v>737</v>
      </c>
      <c r="I102" s="15" t="s">
        <v>1211</v>
      </c>
      <c r="J102" s="15" t="s">
        <v>1280</v>
      </c>
      <c r="K102" s="15">
        <v>15</v>
      </c>
      <c r="L102" s="15">
        <v>2</v>
      </c>
      <c r="M102" s="15"/>
      <c r="N102" s="15"/>
      <c r="O102" s="15"/>
      <c r="P102" s="15">
        <v>2</v>
      </c>
      <c r="Q102" s="15"/>
      <c r="R102" s="15"/>
      <c r="S102" s="15"/>
      <c r="T102" s="15"/>
      <c r="U102" s="15"/>
      <c r="V102" s="15"/>
      <c r="W102" s="15"/>
      <c r="X102" s="15"/>
      <c r="Y102" s="15"/>
      <c r="Z102" s="15" t="s">
        <v>328</v>
      </c>
      <c r="AA102" s="15"/>
      <c r="AB102" s="15"/>
      <c r="AC102" s="15"/>
      <c r="AD102" s="15"/>
      <c r="AE102" s="15"/>
      <c r="AF102" s="15"/>
      <c r="AG102" s="15" t="s">
        <v>328</v>
      </c>
      <c r="AH102" s="15"/>
      <c r="AI102" s="15"/>
      <c r="AJ102" s="15" t="s">
        <v>328</v>
      </c>
      <c r="AK102" s="15"/>
      <c r="AL102" s="15"/>
      <c r="AM102" s="15"/>
      <c r="AN102" s="15"/>
      <c r="AO102" s="14" t="s">
        <v>328</v>
      </c>
      <c r="AP102" s="15">
        <v>10</v>
      </c>
      <c r="AQ102" s="15">
        <v>1</v>
      </c>
      <c r="AR102" s="15"/>
      <c r="AS102" s="15" t="s">
        <v>328</v>
      </c>
      <c r="AT102" s="15"/>
      <c r="AU102" s="15"/>
      <c r="AV102" s="15">
        <v>3</v>
      </c>
      <c r="AW102" s="15">
        <v>2</v>
      </c>
      <c r="AX102" s="15">
        <v>4</v>
      </c>
      <c r="AY102" s="15" t="s">
        <v>346</v>
      </c>
      <c r="AZ102" s="15"/>
      <c r="BA102" s="15" t="s">
        <v>328</v>
      </c>
      <c r="BB102" s="15"/>
      <c r="BC102" s="15"/>
      <c r="BD102" s="15"/>
      <c r="BE102" s="15"/>
      <c r="BF102" s="15"/>
      <c r="BG102" s="15"/>
      <c r="BH102" s="15"/>
      <c r="BI102" s="15" t="s">
        <v>328</v>
      </c>
      <c r="BJ102" s="15"/>
      <c r="BK102" s="15"/>
      <c r="BL102" s="15" t="s">
        <v>328</v>
      </c>
      <c r="BM102" s="15"/>
      <c r="BN102" s="15" t="s">
        <v>328</v>
      </c>
      <c r="BO102" s="15"/>
      <c r="BP102" s="15" t="s">
        <v>328</v>
      </c>
      <c r="BQ102" s="15"/>
      <c r="BR102" s="15"/>
      <c r="BS102" s="15"/>
      <c r="BT102" s="15"/>
      <c r="BU102" s="15" t="s">
        <v>328</v>
      </c>
      <c r="BV102" s="15"/>
      <c r="BW102" s="15"/>
      <c r="BX102" s="15"/>
      <c r="BY102" s="15"/>
      <c r="BZ102" s="15"/>
      <c r="CA102" s="15" t="s">
        <v>328</v>
      </c>
      <c r="CB102" s="15"/>
      <c r="CC102" s="15"/>
      <c r="CD102" s="15"/>
      <c r="CE102" s="15"/>
      <c r="CF102" s="15"/>
      <c r="CG102" s="15" t="s">
        <v>328</v>
      </c>
      <c r="CH102" s="15"/>
      <c r="CI102" s="15"/>
      <c r="CJ102" s="15"/>
      <c r="CK102" s="15"/>
      <c r="CL102" s="15">
        <v>5</v>
      </c>
      <c r="CM102" s="15">
        <v>2</v>
      </c>
      <c r="CN102" s="15">
        <v>4</v>
      </c>
      <c r="CO102" s="15">
        <v>6</v>
      </c>
      <c r="CP102" s="15">
        <v>1</v>
      </c>
      <c r="CQ102" s="15">
        <v>3</v>
      </c>
      <c r="CR102" s="15"/>
      <c r="CS102" s="15" t="s">
        <v>328</v>
      </c>
      <c r="CT102" s="15"/>
      <c r="CU102" s="15" t="s">
        <v>328</v>
      </c>
      <c r="CV102" s="15"/>
      <c r="CW102" s="15" t="s">
        <v>328</v>
      </c>
      <c r="CX102" s="15"/>
      <c r="CY102" s="15"/>
      <c r="CZ102" s="15"/>
      <c r="DA102" s="15">
        <v>2</v>
      </c>
      <c r="DB102" s="15">
        <v>4</v>
      </c>
      <c r="DC102" s="15">
        <v>6</v>
      </c>
      <c r="DD102" s="15">
        <v>5</v>
      </c>
      <c r="DE102" s="15">
        <v>1</v>
      </c>
      <c r="DF102" s="15">
        <v>3</v>
      </c>
      <c r="DG102" s="15"/>
      <c r="DH102" s="15"/>
      <c r="DI102" s="15" t="s">
        <v>328</v>
      </c>
      <c r="DJ102" s="15" t="s">
        <v>328</v>
      </c>
      <c r="DK102" s="15" t="s">
        <v>618</v>
      </c>
      <c r="DL102" s="15"/>
      <c r="DM102" s="15" t="s">
        <v>494</v>
      </c>
      <c r="DN102" s="14" t="s">
        <v>333</v>
      </c>
      <c r="DO102" s="15"/>
      <c r="DP102" s="15" t="s">
        <v>328</v>
      </c>
      <c r="DQ102" s="15" t="s">
        <v>328</v>
      </c>
      <c r="DR102" s="15" t="s">
        <v>420</v>
      </c>
      <c r="DS102" s="15"/>
      <c r="DT102" s="15"/>
      <c r="DU102" s="15" t="s">
        <v>495</v>
      </c>
      <c r="DV102" s="14" t="s">
        <v>411</v>
      </c>
      <c r="DW102" s="15"/>
      <c r="DX102" s="15" t="s">
        <v>328</v>
      </c>
      <c r="DY102" s="15" t="s">
        <v>328</v>
      </c>
      <c r="DZ102" s="15" t="s">
        <v>397</v>
      </c>
      <c r="EA102" s="15"/>
      <c r="EB102" s="15" t="s">
        <v>492</v>
      </c>
      <c r="EC102" s="102" t="s">
        <v>497</v>
      </c>
      <c r="ED102" s="99"/>
    </row>
    <row r="103" spans="1:134" x14ac:dyDescent="0.25">
      <c r="A103" s="50" t="s">
        <v>1404</v>
      </c>
      <c r="B103" s="63" t="s">
        <v>496</v>
      </c>
      <c r="C103" s="15" t="s">
        <v>328</v>
      </c>
      <c r="D103" s="15"/>
      <c r="E103" s="15">
        <v>47</v>
      </c>
      <c r="F103" s="15" t="s">
        <v>329</v>
      </c>
      <c r="G103" s="15" t="s">
        <v>399</v>
      </c>
      <c r="H103" s="15" t="s">
        <v>769</v>
      </c>
      <c r="I103" s="15" t="s">
        <v>1219</v>
      </c>
      <c r="J103" s="15" t="s">
        <v>1183</v>
      </c>
      <c r="K103" s="15">
        <v>20</v>
      </c>
      <c r="L103" s="15">
        <v>4</v>
      </c>
      <c r="M103" s="15"/>
      <c r="N103" s="15">
        <v>2</v>
      </c>
      <c r="O103" s="15"/>
      <c r="P103" s="15">
        <v>2</v>
      </c>
      <c r="Q103" s="15"/>
      <c r="R103" s="15"/>
      <c r="S103" s="15"/>
      <c r="T103" s="15"/>
      <c r="U103" s="15"/>
      <c r="V103" s="15"/>
      <c r="W103" s="15"/>
      <c r="X103" s="15"/>
      <c r="Y103" s="15"/>
      <c r="Z103" s="15" t="s">
        <v>328</v>
      </c>
      <c r="AA103" s="15"/>
      <c r="AB103" s="15"/>
      <c r="AC103" s="15"/>
      <c r="AD103" s="15"/>
      <c r="AE103" s="15"/>
      <c r="AF103" s="15"/>
      <c r="AG103" s="15" t="s">
        <v>328</v>
      </c>
      <c r="AH103" s="15"/>
      <c r="AI103" s="15"/>
      <c r="AJ103" s="15" t="s">
        <v>328</v>
      </c>
      <c r="AK103" s="15"/>
      <c r="AL103" s="14" t="s">
        <v>328</v>
      </c>
      <c r="AM103" s="15"/>
      <c r="AN103" s="15"/>
      <c r="AO103" s="15"/>
      <c r="AP103" s="15">
        <v>10</v>
      </c>
      <c r="AQ103" s="15">
        <v>1</v>
      </c>
      <c r="AR103" s="15"/>
      <c r="AS103" s="15" t="s">
        <v>328</v>
      </c>
      <c r="AT103" s="15"/>
      <c r="AU103" s="15"/>
      <c r="AV103" s="15">
        <v>3</v>
      </c>
      <c r="AW103" s="15">
        <v>4</v>
      </c>
      <c r="AX103" s="15">
        <v>2</v>
      </c>
      <c r="AY103" s="15" t="s">
        <v>346</v>
      </c>
      <c r="AZ103" s="15"/>
      <c r="BA103" s="15" t="s">
        <v>328</v>
      </c>
      <c r="BB103" s="15"/>
      <c r="BC103" s="15"/>
      <c r="BD103" s="15"/>
      <c r="BE103" s="15"/>
      <c r="BF103" s="15"/>
      <c r="BG103" s="15"/>
      <c r="BH103" s="15"/>
      <c r="BI103" s="15" t="s">
        <v>328</v>
      </c>
      <c r="BJ103" s="15"/>
      <c r="BK103" s="15"/>
      <c r="BL103" s="15" t="s">
        <v>328</v>
      </c>
      <c r="BM103" s="15"/>
      <c r="BN103" s="15" t="s">
        <v>328</v>
      </c>
      <c r="BO103" s="15"/>
      <c r="BP103" s="15" t="s">
        <v>328</v>
      </c>
      <c r="BQ103" s="15"/>
      <c r="BR103" s="15"/>
      <c r="BS103" s="15"/>
      <c r="BT103" s="15" t="s">
        <v>328</v>
      </c>
      <c r="BU103" s="15"/>
      <c r="BV103" s="15"/>
      <c r="BW103" s="15"/>
      <c r="BX103" s="15"/>
      <c r="BY103" s="15"/>
      <c r="BZ103" s="15"/>
      <c r="CA103" s="15" t="s">
        <v>328</v>
      </c>
      <c r="CB103" s="15" t="s">
        <v>328</v>
      </c>
      <c r="CC103" s="15"/>
      <c r="CD103" s="15"/>
      <c r="CE103" s="15"/>
      <c r="CF103" s="15"/>
      <c r="CG103" s="15" t="s">
        <v>328</v>
      </c>
      <c r="CH103" s="15"/>
      <c r="CI103" s="15"/>
      <c r="CJ103" s="15"/>
      <c r="CK103" s="15"/>
      <c r="CL103" s="15">
        <v>3</v>
      </c>
      <c r="CM103" s="15">
        <v>2</v>
      </c>
      <c r="CN103" s="15">
        <v>4</v>
      </c>
      <c r="CO103" s="15">
        <v>6</v>
      </c>
      <c r="CP103" s="15">
        <v>5</v>
      </c>
      <c r="CQ103" s="15">
        <v>1</v>
      </c>
      <c r="CR103" s="15" t="s">
        <v>328</v>
      </c>
      <c r="CS103" s="15" t="s">
        <v>328</v>
      </c>
      <c r="CT103" s="15"/>
      <c r="CU103" s="15"/>
      <c r="CV103" s="15" t="s">
        <v>328</v>
      </c>
      <c r="CW103" s="15"/>
      <c r="CX103" s="15"/>
      <c r="CY103" s="15"/>
      <c r="CZ103" s="15"/>
      <c r="DA103" s="15">
        <v>1</v>
      </c>
      <c r="DB103" s="15">
        <v>4</v>
      </c>
      <c r="DC103" s="15">
        <v>5</v>
      </c>
      <c r="DD103" s="15">
        <v>3</v>
      </c>
      <c r="DE103" s="15">
        <v>6</v>
      </c>
      <c r="DF103" s="15">
        <v>2</v>
      </c>
      <c r="DG103" s="15"/>
      <c r="DH103" s="15"/>
      <c r="DI103" s="15" t="s">
        <v>328</v>
      </c>
      <c r="DJ103" s="15" t="s">
        <v>328</v>
      </c>
      <c r="DK103" s="15" t="s">
        <v>405</v>
      </c>
      <c r="DL103" s="15"/>
      <c r="DM103" s="15" t="s">
        <v>492</v>
      </c>
      <c r="DN103" s="14" t="s">
        <v>472</v>
      </c>
      <c r="DO103" s="15"/>
      <c r="DP103" s="15" t="s">
        <v>328</v>
      </c>
      <c r="DQ103" s="15" t="s">
        <v>328</v>
      </c>
      <c r="DR103" s="15" t="s">
        <v>397</v>
      </c>
      <c r="DS103" s="15"/>
      <c r="DT103" s="15"/>
      <c r="DU103" s="15" t="s">
        <v>406</v>
      </c>
      <c r="DV103" s="15" t="s">
        <v>438</v>
      </c>
      <c r="DW103" s="15"/>
      <c r="DX103" s="15" t="s">
        <v>328</v>
      </c>
      <c r="DY103" s="15" t="s">
        <v>328</v>
      </c>
      <c r="DZ103" s="15" t="s">
        <v>406</v>
      </c>
      <c r="EA103" s="15"/>
      <c r="EB103" s="15" t="s">
        <v>492</v>
      </c>
      <c r="EC103" s="102" t="s">
        <v>497</v>
      </c>
      <c r="ED103" s="99"/>
    </row>
    <row r="104" spans="1:134" x14ac:dyDescent="0.25">
      <c r="A104" s="50" t="s">
        <v>1404</v>
      </c>
      <c r="B104" s="65" t="s">
        <v>499</v>
      </c>
      <c r="C104" s="15" t="s">
        <v>328</v>
      </c>
      <c r="D104" s="15"/>
      <c r="E104" s="15">
        <v>42</v>
      </c>
      <c r="F104" s="15" t="s">
        <v>329</v>
      </c>
      <c r="G104" s="15" t="s">
        <v>357</v>
      </c>
      <c r="H104" s="15" t="s">
        <v>736</v>
      </c>
      <c r="I104" s="18" t="s">
        <v>1220</v>
      </c>
      <c r="J104" s="15" t="s">
        <v>1287</v>
      </c>
      <c r="K104" s="15">
        <v>16</v>
      </c>
      <c r="L104" s="15">
        <v>1</v>
      </c>
      <c r="M104" s="15">
        <v>1</v>
      </c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 t="s">
        <v>328</v>
      </c>
      <c r="AB104" s="15"/>
      <c r="AC104" s="15"/>
      <c r="AD104" s="15"/>
      <c r="AE104" s="15" t="s">
        <v>328</v>
      </c>
      <c r="AF104" s="15"/>
      <c r="AG104" s="15"/>
      <c r="AH104" s="15"/>
      <c r="AI104" s="15"/>
      <c r="AJ104" s="15"/>
      <c r="AK104" s="15" t="s">
        <v>328</v>
      </c>
      <c r="AL104" s="15"/>
      <c r="AM104" s="15"/>
      <c r="AN104" s="15"/>
      <c r="AO104" s="15" t="s">
        <v>328</v>
      </c>
      <c r="AP104" s="15">
        <v>5</v>
      </c>
      <c r="AQ104" s="15">
        <v>8</v>
      </c>
      <c r="AR104" s="15"/>
      <c r="AS104" s="15"/>
      <c r="AT104" s="15"/>
      <c r="AU104" s="15" t="s">
        <v>328</v>
      </c>
      <c r="AV104" s="15">
        <v>3</v>
      </c>
      <c r="AW104" s="15">
        <v>1</v>
      </c>
      <c r="AX104" s="15">
        <v>2</v>
      </c>
      <c r="AY104" s="15"/>
      <c r="AZ104" s="15" t="s">
        <v>328</v>
      </c>
      <c r="BA104" s="15"/>
      <c r="BB104" s="15"/>
      <c r="BC104" s="15"/>
      <c r="BD104" s="15"/>
      <c r="BE104" s="15"/>
      <c r="BF104" s="15"/>
      <c r="BG104" s="15"/>
      <c r="BH104" s="15"/>
      <c r="BI104" s="15" t="s">
        <v>328</v>
      </c>
      <c r="BJ104" s="15"/>
      <c r="BK104" s="15"/>
      <c r="BL104" s="15"/>
      <c r="BM104" s="15" t="s">
        <v>328</v>
      </c>
      <c r="BN104" s="15" t="s">
        <v>328</v>
      </c>
      <c r="BO104" s="15"/>
      <c r="BP104" s="15"/>
      <c r="BQ104" s="15"/>
      <c r="BR104" s="15" t="s">
        <v>328</v>
      </c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 t="s">
        <v>332</v>
      </c>
      <c r="CG104" s="15"/>
      <c r="CH104" s="15"/>
      <c r="CI104" s="15" t="s">
        <v>328</v>
      </c>
      <c r="CJ104" s="15"/>
      <c r="CK104" s="15"/>
      <c r="CL104" s="15">
        <v>4</v>
      </c>
      <c r="CM104" s="15">
        <v>5</v>
      </c>
      <c r="CN104" s="15">
        <v>2</v>
      </c>
      <c r="CO104" s="15">
        <v>1</v>
      </c>
      <c r="CP104" s="15">
        <v>6</v>
      </c>
      <c r="CQ104" s="15">
        <v>3</v>
      </c>
      <c r="CR104" s="15"/>
      <c r="CS104" s="15"/>
      <c r="CT104" s="15"/>
      <c r="CU104" s="15"/>
      <c r="CV104" s="15"/>
      <c r="CW104" s="15"/>
      <c r="CX104" s="15" t="s">
        <v>332</v>
      </c>
      <c r="CY104" s="15" t="s">
        <v>328</v>
      </c>
      <c r="CZ104" s="15" t="s">
        <v>404</v>
      </c>
      <c r="DA104" s="15"/>
      <c r="DB104" s="15"/>
      <c r="DC104" s="15"/>
      <c r="DD104" s="15"/>
      <c r="DE104" s="15"/>
      <c r="DF104" s="15"/>
      <c r="DG104" s="15"/>
      <c r="DH104" s="15" t="s">
        <v>328</v>
      </c>
      <c r="DI104" s="15"/>
      <c r="DJ104" s="15"/>
      <c r="DK104" s="15"/>
      <c r="DL104" s="15"/>
      <c r="DM104" s="15"/>
      <c r="DN104" s="14" t="s">
        <v>333</v>
      </c>
      <c r="DO104" s="15" t="s">
        <v>328</v>
      </c>
      <c r="DP104" s="15"/>
      <c r="DQ104" s="15"/>
      <c r="DR104" s="15"/>
      <c r="DS104" s="15"/>
      <c r="DT104" s="15"/>
      <c r="DU104" s="15"/>
      <c r="DV104" s="15" t="s">
        <v>411</v>
      </c>
      <c r="DW104" s="15" t="s">
        <v>328</v>
      </c>
      <c r="DX104" s="15"/>
      <c r="DY104" s="15"/>
      <c r="DZ104" s="15"/>
      <c r="EA104" s="15"/>
      <c r="EB104" s="15"/>
      <c r="EC104" s="102" t="s">
        <v>450</v>
      </c>
      <c r="ED104" s="99"/>
    </row>
    <row r="105" spans="1:134" x14ac:dyDescent="0.25">
      <c r="A105" s="50" t="s">
        <v>1404</v>
      </c>
      <c r="B105" s="65" t="s">
        <v>500</v>
      </c>
      <c r="C105" s="15" t="s">
        <v>328</v>
      </c>
      <c r="D105" s="15"/>
      <c r="E105" s="15">
        <v>27</v>
      </c>
      <c r="F105" s="15" t="s">
        <v>329</v>
      </c>
      <c r="G105" s="15" t="s">
        <v>357</v>
      </c>
      <c r="H105" s="15" t="s">
        <v>729</v>
      </c>
      <c r="I105" s="15" t="s">
        <v>1217</v>
      </c>
      <c r="J105" s="15" t="s">
        <v>1280</v>
      </c>
      <c r="K105" s="15">
        <v>4</v>
      </c>
      <c r="L105" s="15">
        <v>1</v>
      </c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>
        <v>1</v>
      </c>
      <c r="Y105" s="15"/>
      <c r="Z105" s="15" t="s">
        <v>328</v>
      </c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 t="s">
        <v>328</v>
      </c>
      <c r="AL105" s="14" t="s">
        <v>328</v>
      </c>
      <c r="AM105" s="15"/>
      <c r="AN105" s="15"/>
      <c r="AO105" s="15"/>
      <c r="AP105" s="15">
        <v>8</v>
      </c>
      <c r="AQ105" s="15">
        <v>6</v>
      </c>
      <c r="AR105" s="15" t="s">
        <v>328</v>
      </c>
      <c r="AS105" s="15"/>
      <c r="AT105" s="15"/>
      <c r="AU105" s="15"/>
      <c r="AV105" s="15">
        <v>2</v>
      </c>
      <c r="AW105" s="15">
        <v>3</v>
      </c>
      <c r="AX105" s="15">
        <v>1</v>
      </c>
      <c r="AY105" s="15"/>
      <c r="AZ105" s="15" t="s">
        <v>328</v>
      </c>
      <c r="BA105" s="15"/>
      <c r="BB105" s="15"/>
      <c r="BC105" s="15"/>
      <c r="BD105" s="15"/>
      <c r="BE105" s="15"/>
      <c r="BF105" s="15"/>
      <c r="BG105" s="15"/>
      <c r="BH105" s="15"/>
      <c r="BI105" s="15" t="s">
        <v>328</v>
      </c>
      <c r="BJ105" s="15"/>
      <c r="BK105" s="15"/>
      <c r="BL105" s="15"/>
      <c r="BM105" s="15" t="s">
        <v>328</v>
      </c>
      <c r="BN105" s="15" t="s">
        <v>328</v>
      </c>
      <c r="BO105" s="15"/>
      <c r="BP105" s="15"/>
      <c r="BQ105" s="15"/>
      <c r="BR105" s="15"/>
      <c r="BS105" s="15"/>
      <c r="BT105" s="15" t="s">
        <v>328</v>
      </c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 t="s">
        <v>332</v>
      </c>
      <c r="CG105" s="15"/>
      <c r="CH105" s="15"/>
      <c r="CI105" s="15" t="s">
        <v>328</v>
      </c>
      <c r="CJ105" s="15"/>
      <c r="CK105" s="15"/>
      <c r="CL105" s="15">
        <v>2</v>
      </c>
      <c r="CM105" s="15">
        <v>1</v>
      </c>
      <c r="CN105" s="15">
        <v>4</v>
      </c>
      <c r="CO105" s="15">
        <v>5</v>
      </c>
      <c r="CP105" s="15">
        <v>6</v>
      </c>
      <c r="CQ105" s="15">
        <v>3</v>
      </c>
      <c r="CR105" s="15"/>
      <c r="CS105" s="15"/>
      <c r="CT105" s="15"/>
      <c r="CU105" s="15"/>
      <c r="CV105" s="15"/>
      <c r="CW105" s="15"/>
      <c r="CX105" s="15" t="s">
        <v>332</v>
      </c>
      <c r="CY105" s="15" t="s">
        <v>328</v>
      </c>
      <c r="CZ105" s="15" t="s">
        <v>404</v>
      </c>
      <c r="DA105" s="15"/>
      <c r="DB105" s="15"/>
      <c r="DC105" s="15"/>
      <c r="DD105" s="15"/>
      <c r="DE105" s="15"/>
      <c r="DF105" s="15"/>
      <c r="DG105" s="15"/>
      <c r="DH105" s="15" t="s">
        <v>328</v>
      </c>
      <c r="DI105" s="15"/>
      <c r="DJ105" s="15"/>
      <c r="DK105" s="15"/>
      <c r="DL105" s="15"/>
      <c r="DM105" s="15"/>
      <c r="DN105" s="14" t="s">
        <v>472</v>
      </c>
      <c r="DO105" s="15" t="s">
        <v>328</v>
      </c>
      <c r="DP105" s="15"/>
      <c r="DQ105" s="15"/>
      <c r="DR105" s="15"/>
      <c r="DS105" s="15"/>
      <c r="DT105" s="15"/>
      <c r="DU105" s="15"/>
      <c r="DV105" s="15" t="s">
        <v>438</v>
      </c>
      <c r="DW105" s="15" t="s">
        <v>328</v>
      </c>
      <c r="DX105" s="15"/>
      <c r="DY105" s="15"/>
      <c r="DZ105" s="15"/>
      <c r="EA105" s="15"/>
      <c r="EB105" s="15"/>
      <c r="EC105" s="102" t="s">
        <v>411</v>
      </c>
      <c r="ED105" s="99"/>
    </row>
    <row r="106" spans="1:134" x14ac:dyDescent="0.25">
      <c r="A106" s="50" t="s">
        <v>1404</v>
      </c>
      <c r="B106" s="65" t="s">
        <v>501</v>
      </c>
      <c r="C106" s="15" t="s">
        <v>328</v>
      </c>
      <c r="D106" s="15"/>
      <c r="E106" s="15">
        <v>50</v>
      </c>
      <c r="F106" s="15" t="s">
        <v>329</v>
      </c>
      <c r="G106" s="15" t="s">
        <v>1329</v>
      </c>
      <c r="H106" s="15" t="s">
        <v>748</v>
      </c>
      <c r="I106" s="18" t="s">
        <v>1221</v>
      </c>
      <c r="J106" s="15" t="s">
        <v>1280</v>
      </c>
      <c r="K106" s="15">
        <v>30</v>
      </c>
      <c r="L106" s="15">
        <v>1</v>
      </c>
      <c r="M106" s="15">
        <v>1</v>
      </c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 t="s">
        <v>418</v>
      </c>
      <c r="AJ106" s="14" t="s">
        <v>328</v>
      </c>
      <c r="AK106" s="15"/>
      <c r="AL106" s="15" t="s">
        <v>328</v>
      </c>
      <c r="AM106" s="15"/>
      <c r="AN106" s="15"/>
      <c r="AO106" s="15"/>
      <c r="AP106" s="15">
        <v>3</v>
      </c>
      <c r="AQ106" s="15">
        <v>2</v>
      </c>
      <c r="AR106" s="15"/>
      <c r="AS106" s="15"/>
      <c r="AT106" s="15" t="s">
        <v>328</v>
      </c>
      <c r="AU106" s="15"/>
      <c r="AV106" s="15">
        <v>3</v>
      </c>
      <c r="AW106" s="15">
        <v>1</v>
      </c>
      <c r="AX106" s="15">
        <v>2</v>
      </c>
      <c r="AY106" s="15"/>
      <c r="AZ106" s="15" t="s">
        <v>328</v>
      </c>
      <c r="BA106" s="15"/>
      <c r="BB106" s="15"/>
      <c r="BC106" s="15"/>
      <c r="BD106" s="15"/>
      <c r="BE106" s="15"/>
      <c r="BF106" s="15"/>
      <c r="BG106" s="15"/>
      <c r="BH106" s="15"/>
      <c r="BI106" s="15" t="s">
        <v>328</v>
      </c>
      <c r="BJ106" s="15"/>
      <c r="BK106" s="15"/>
      <c r="BL106" s="15"/>
      <c r="BM106" s="15" t="s">
        <v>328</v>
      </c>
      <c r="BN106" s="15" t="s">
        <v>328</v>
      </c>
      <c r="BO106" s="15"/>
      <c r="BP106" s="15"/>
      <c r="BQ106" s="15"/>
      <c r="BR106" s="15"/>
      <c r="BS106" s="15"/>
      <c r="BT106" s="15"/>
      <c r="BU106" s="15" t="s">
        <v>328</v>
      </c>
      <c r="BV106" s="15"/>
      <c r="BW106" s="15"/>
      <c r="BX106" s="15"/>
      <c r="BY106" s="15"/>
      <c r="BZ106" s="15"/>
      <c r="CA106" s="15" t="s">
        <v>328</v>
      </c>
      <c r="CB106" s="15"/>
      <c r="CC106" s="15"/>
      <c r="CD106" s="15" t="s">
        <v>328</v>
      </c>
      <c r="CE106" s="15"/>
      <c r="CF106" s="15"/>
      <c r="CG106" s="15" t="s">
        <v>328</v>
      </c>
      <c r="CH106" s="15" t="s">
        <v>328</v>
      </c>
      <c r="CI106" s="15"/>
      <c r="CJ106" s="15"/>
      <c r="CK106" s="15"/>
      <c r="CL106" s="15">
        <v>3</v>
      </c>
      <c r="CM106" s="15">
        <v>4</v>
      </c>
      <c r="CN106" s="15">
        <v>2</v>
      </c>
      <c r="CO106" s="15">
        <v>6</v>
      </c>
      <c r="CP106" s="15">
        <v>5</v>
      </c>
      <c r="CQ106" s="15">
        <v>1</v>
      </c>
      <c r="CR106" s="15" t="s">
        <v>328</v>
      </c>
      <c r="CS106" s="15"/>
      <c r="CT106" s="15"/>
      <c r="CU106" s="15"/>
      <c r="CV106" s="15" t="s">
        <v>328</v>
      </c>
      <c r="CW106" s="15"/>
      <c r="CX106" s="15"/>
      <c r="CY106" s="15"/>
      <c r="CZ106" s="15"/>
      <c r="DA106" s="15">
        <v>2</v>
      </c>
      <c r="DB106" s="15">
        <v>6</v>
      </c>
      <c r="DC106" s="15">
        <v>5</v>
      </c>
      <c r="DD106" s="15">
        <v>4</v>
      </c>
      <c r="DE106" s="15">
        <v>3</v>
      </c>
      <c r="DF106" s="15">
        <v>1</v>
      </c>
      <c r="DG106" s="15"/>
      <c r="DH106" s="15" t="s">
        <v>328</v>
      </c>
      <c r="DI106" s="15"/>
      <c r="DJ106" s="15"/>
      <c r="DK106" s="15"/>
      <c r="DL106" s="15"/>
      <c r="DM106" s="15"/>
      <c r="DN106" s="14" t="s">
        <v>472</v>
      </c>
      <c r="DO106" s="15"/>
      <c r="DP106" s="15" t="s">
        <v>328</v>
      </c>
      <c r="DQ106" s="15" t="s">
        <v>328</v>
      </c>
      <c r="DR106" s="14" t="s">
        <v>618</v>
      </c>
      <c r="DS106" s="15"/>
      <c r="DT106" s="15"/>
      <c r="DU106" s="15" t="s">
        <v>428</v>
      </c>
      <c r="DV106" s="14" t="s">
        <v>411</v>
      </c>
      <c r="DW106" s="15" t="s">
        <v>328</v>
      </c>
      <c r="DX106" s="15"/>
      <c r="DY106" s="15"/>
      <c r="DZ106" s="15"/>
      <c r="EA106" s="15"/>
      <c r="EB106" s="15"/>
      <c r="EC106" s="102" t="s">
        <v>333</v>
      </c>
      <c r="ED106" s="99"/>
    </row>
    <row r="107" spans="1:134" s="250" customFormat="1" x14ac:dyDescent="0.25">
      <c r="A107" s="50" t="s">
        <v>1404</v>
      </c>
      <c r="B107" s="61" t="s">
        <v>503</v>
      </c>
      <c r="C107" s="15" t="s">
        <v>328</v>
      </c>
      <c r="D107" s="15"/>
      <c r="E107" s="15">
        <v>60</v>
      </c>
      <c r="F107" s="15" t="s">
        <v>329</v>
      </c>
      <c r="G107" s="15" t="s">
        <v>399</v>
      </c>
      <c r="H107" s="15" t="s">
        <v>733</v>
      </c>
      <c r="I107" s="15" t="s">
        <v>1213</v>
      </c>
      <c r="J107" s="15" t="s">
        <v>1283</v>
      </c>
      <c r="K107" s="15">
        <v>30</v>
      </c>
      <c r="L107" s="15">
        <v>5</v>
      </c>
      <c r="M107" s="15">
        <v>7</v>
      </c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 t="s">
        <v>418</v>
      </c>
      <c r="AJ107" s="15" t="s">
        <v>328</v>
      </c>
      <c r="AK107" s="15"/>
      <c r="AL107" s="15"/>
      <c r="AM107" s="15"/>
      <c r="AN107" s="14" t="s">
        <v>328</v>
      </c>
      <c r="AO107" s="15"/>
      <c r="AP107" s="15">
        <v>6</v>
      </c>
      <c r="AQ107" s="15">
        <v>3</v>
      </c>
      <c r="AR107" s="15"/>
      <c r="AS107" s="15" t="s">
        <v>328</v>
      </c>
      <c r="AT107" s="15"/>
      <c r="AU107" s="15"/>
      <c r="AV107" s="15">
        <v>2</v>
      </c>
      <c r="AW107" s="15">
        <v>1</v>
      </c>
      <c r="AX107" s="15">
        <v>3</v>
      </c>
      <c r="AY107" s="15"/>
      <c r="AZ107" s="15"/>
      <c r="BA107" s="15" t="s">
        <v>328</v>
      </c>
      <c r="BB107" s="15"/>
      <c r="BC107" s="15"/>
      <c r="BD107" s="15"/>
      <c r="BE107" s="15"/>
      <c r="BF107" s="15"/>
      <c r="BG107" s="15"/>
      <c r="BH107" s="15"/>
      <c r="BI107" s="15" t="s">
        <v>328</v>
      </c>
      <c r="BJ107" s="15"/>
      <c r="BK107" s="15"/>
      <c r="BL107" s="15" t="s">
        <v>328</v>
      </c>
      <c r="BM107" s="15"/>
      <c r="BN107" s="15" t="s">
        <v>328</v>
      </c>
      <c r="BO107" s="15"/>
      <c r="BP107" s="15" t="s">
        <v>328</v>
      </c>
      <c r="BQ107" s="15"/>
      <c r="BR107" s="15"/>
      <c r="BS107" s="15"/>
      <c r="BT107" s="15" t="s">
        <v>328</v>
      </c>
      <c r="BU107" s="15" t="s">
        <v>328</v>
      </c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 t="s">
        <v>332</v>
      </c>
      <c r="CG107" s="15" t="s">
        <v>328</v>
      </c>
      <c r="CH107" s="15"/>
      <c r="CI107" s="15"/>
      <c r="CJ107" s="15"/>
      <c r="CK107" s="15"/>
      <c r="CL107" s="15">
        <v>5</v>
      </c>
      <c r="CM107" s="15">
        <v>2</v>
      </c>
      <c r="CN107" s="15">
        <v>3</v>
      </c>
      <c r="CO107" s="15">
        <v>4</v>
      </c>
      <c r="CP107" s="15">
        <v>6</v>
      </c>
      <c r="CQ107" s="15">
        <v>1</v>
      </c>
      <c r="CR107" s="15" t="s">
        <v>328</v>
      </c>
      <c r="CS107" s="15" t="s">
        <v>328</v>
      </c>
      <c r="CT107" s="15"/>
      <c r="CU107" s="15"/>
      <c r="CV107" s="15" t="s">
        <v>328</v>
      </c>
      <c r="CW107" s="15" t="s">
        <v>328</v>
      </c>
      <c r="CX107" s="15"/>
      <c r="CY107" s="15" t="s">
        <v>328</v>
      </c>
      <c r="CZ107" s="15" t="s">
        <v>404</v>
      </c>
      <c r="DA107" s="15"/>
      <c r="DB107" s="15"/>
      <c r="DC107" s="15"/>
      <c r="DD107" s="15"/>
      <c r="DE107" s="15"/>
      <c r="DF107" s="15"/>
      <c r="DG107" s="15"/>
      <c r="DH107" s="15"/>
      <c r="DI107" s="15" t="s">
        <v>328</v>
      </c>
      <c r="DJ107" s="15" t="s">
        <v>328</v>
      </c>
      <c r="DK107" s="15" t="s">
        <v>618</v>
      </c>
      <c r="DL107" s="15"/>
      <c r="DM107" s="15" t="s">
        <v>494</v>
      </c>
      <c r="DN107" s="14" t="s">
        <v>472</v>
      </c>
      <c r="DO107" s="15"/>
      <c r="DP107" s="15" t="s">
        <v>328</v>
      </c>
      <c r="DQ107" s="15" t="s">
        <v>328</v>
      </c>
      <c r="DR107" s="15" t="s">
        <v>397</v>
      </c>
      <c r="DS107" s="15"/>
      <c r="DT107" s="15"/>
      <c r="DU107" s="15" t="s">
        <v>410</v>
      </c>
      <c r="DV107" s="14" t="s">
        <v>411</v>
      </c>
      <c r="DW107" s="15"/>
      <c r="DX107" s="15" t="s">
        <v>328</v>
      </c>
      <c r="DY107" s="15" t="s">
        <v>328</v>
      </c>
      <c r="DZ107" s="15" t="s">
        <v>620</v>
      </c>
      <c r="EA107" s="15"/>
      <c r="EB107" s="15" t="s">
        <v>494</v>
      </c>
      <c r="EC107" s="102" t="s">
        <v>450</v>
      </c>
      <c r="ED107" s="99"/>
    </row>
    <row r="108" spans="1:134" s="250" customFormat="1" x14ac:dyDescent="0.25">
      <c r="A108" s="50" t="s">
        <v>1404</v>
      </c>
      <c r="B108" s="63" t="s">
        <v>505</v>
      </c>
      <c r="C108" s="15" t="s">
        <v>328</v>
      </c>
      <c r="D108" s="15"/>
      <c r="E108" s="15">
        <v>57</v>
      </c>
      <c r="F108" s="15" t="s">
        <v>329</v>
      </c>
      <c r="G108" s="15" t="s">
        <v>357</v>
      </c>
      <c r="H108" s="15" t="s">
        <v>742</v>
      </c>
      <c r="I108" s="18" t="s">
        <v>1223</v>
      </c>
      <c r="J108" s="15" t="s">
        <v>1280</v>
      </c>
      <c r="K108" s="15">
        <v>25</v>
      </c>
      <c r="L108" s="15">
        <v>4</v>
      </c>
      <c r="M108" s="15"/>
      <c r="N108" s="15"/>
      <c r="O108" s="15"/>
      <c r="P108" s="15">
        <v>4</v>
      </c>
      <c r="Q108" s="15"/>
      <c r="R108" s="15"/>
      <c r="S108" s="15"/>
      <c r="T108" s="15"/>
      <c r="U108" s="15"/>
      <c r="V108" s="15"/>
      <c r="W108" s="15"/>
      <c r="X108" s="15"/>
      <c r="Y108" s="15"/>
      <c r="Z108" s="15" t="s">
        <v>328</v>
      </c>
      <c r="AA108" s="15"/>
      <c r="AB108" s="15"/>
      <c r="AC108" s="15"/>
      <c r="AD108" s="15"/>
      <c r="AE108" s="15"/>
      <c r="AF108" s="15"/>
      <c r="AG108" s="15" t="s">
        <v>328</v>
      </c>
      <c r="AH108" s="15"/>
      <c r="AI108" s="15"/>
      <c r="AJ108" s="15"/>
      <c r="AK108" s="15" t="s">
        <v>328</v>
      </c>
      <c r="AL108" s="15"/>
      <c r="AM108" s="15"/>
      <c r="AN108" s="15"/>
      <c r="AO108" s="15" t="s">
        <v>328</v>
      </c>
      <c r="AP108" s="15">
        <v>10</v>
      </c>
      <c r="AQ108" s="15">
        <v>8</v>
      </c>
      <c r="AR108" s="15"/>
      <c r="AS108" s="15" t="s">
        <v>328</v>
      </c>
      <c r="AT108" s="15"/>
      <c r="AU108" s="15"/>
      <c r="AV108" s="15">
        <v>2</v>
      </c>
      <c r="AW108" s="15">
        <v>1</v>
      </c>
      <c r="AX108" s="15">
        <v>3</v>
      </c>
      <c r="AY108" s="15"/>
      <c r="AZ108" s="15" t="s">
        <v>328</v>
      </c>
      <c r="BA108" s="15"/>
      <c r="BB108" s="15" t="s">
        <v>328</v>
      </c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 t="s">
        <v>328</v>
      </c>
      <c r="BN108" s="15"/>
      <c r="BO108" s="15" t="s">
        <v>328</v>
      </c>
      <c r="BP108" s="15"/>
      <c r="BQ108" s="15"/>
      <c r="BR108" s="15"/>
      <c r="BS108" s="15"/>
      <c r="BT108" s="15" t="s">
        <v>328</v>
      </c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  <c r="CF108" s="15" t="s">
        <v>332</v>
      </c>
      <c r="CG108" s="15"/>
      <c r="CH108" s="15"/>
      <c r="CI108" s="15"/>
      <c r="CJ108" s="15" t="s">
        <v>328</v>
      </c>
      <c r="CK108" s="15"/>
      <c r="CL108" s="15" t="s">
        <v>405</v>
      </c>
      <c r="CM108" s="15" t="s">
        <v>405</v>
      </c>
      <c r="CN108" s="15" t="s">
        <v>405</v>
      </c>
      <c r="CO108" s="15" t="s">
        <v>405</v>
      </c>
      <c r="CP108" s="15" t="s">
        <v>405</v>
      </c>
      <c r="CQ108" s="15" t="s">
        <v>405</v>
      </c>
      <c r="CR108" s="15" t="s">
        <v>328</v>
      </c>
      <c r="CS108" s="15"/>
      <c r="CT108" s="15"/>
      <c r="CU108" s="15"/>
      <c r="CV108" s="15" t="s">
        <v>328</v>
      </c>
      <c r="CW108" s="15"/>
      <c r="CX108" s="15"/>
      <c r="CY108" s="15" t="s">
        <v>328</v>
      </c>
      <c r="CZ108" s="15" t="s">
        <v>404</v>
      </c>
      <c r="DA108" s="15"/>
      <c r="DB108" s="15"/>
      <c r="DC108" s="15"/>
      <c r="DD108" s="15"/>
      <c r="DE108" s="15"/>
      <c r="DF108" s="15"/>
      <c r="DG108" s="15"/>
      <c r="DH108" s="15" t="s">
        <v>328</v>
      </c>
      <c r="DI108" s="15"/>
      <c r="DJ108" s="15"/>
      <c r="DK108" s="15"/>
      <c r="DL108" s="15"/>
      <c r="DM108" s="15"/>
      <c r="DN108" s="14" t="s">
        <v>333</v>
      </c>
      <c r="DO108" s="15" t="s">
        <v>328</v>
      </c>
      <c r="DP108" s="15"/>
      <c r="DQ108" s="15"/>
      <c r="DR108" s="15"/>
      <c r="DS108" s="15"/>
      <c r="DT108" s="15"/>
      <c r="DU108" s="15"/>
      <c r="DV108" s="15" t="s">
        <v>438</v>
      </c>
      <c r="DW108" s="15" t="s">
        <v>328</v>
      </c>
      <c r="DX108" s="15"/>
      <c r="DY108" s="15"/>
      <c r="DZ108" s="15"/>
      <c r="EA108" s="15"/>
      <c r="EB108" s="15"/>
      <c r="EC108" s="102" t="s">
        <v>450</v>
      </c>
      <c r="ED108" s="99"/>
    </row>
    <row r="109" spans="1:134" x14ac:dyDescent="0.25">
      <c r="A109" s="50" t="s">
        <v>1404</v>
      </c>
      <c r="B109" s="61" t="s">
        <v>506</v>
      </c>
      <c r="C109" s="14" t="s">
        <v>328</v>
      </c>
      <c r="D109" s="14"/>
      <c r="E109" s="14">
        <v>52</v>
      </c>
      <c r="F109" s="14" t="s">
        <v>329</v>
      </c>
      <c r="G109" s="14" t="s">
        <v>330</v>
      </c>
      <c r="H109" s="14" t="s">
        <v>1176</v>
      </c>
      <c r="I109" s="8" t="s">
        <v>1224</v>
      </c>
      <c r="J109" s="14" t="s">
        <v>1188</v>
      </c>
      <c r="K109" s="14">
        <v>20</v>
      </c>
      <c r="L109" s="14">
        <v>1</v>
      </c>
      <c r="M109" s="14">
        <v>4</v>
      </c>
      <c r="N109" s="14"/>
      <c r="O109" s="14">
        <v>4</v>
      </c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 t="s">
        <v>418</v>
      </c>
      <c r="AJ109" s="14"/>
      <c r="AK109" s="14" t="s">
        <v>328</v>
      </c>
      <c r="AL109" s="14"/>
      <c r="AM109" s="14"/>
      <c r="AN109" s="14"/>
      <c r="AO109" s="14" t="s">
        <v>328</v>
      </c>
      <c r="AP109" s="14">
        <v>6</v>
      </c>
      <c r="AQ109" s="14">
        <v>9</v>
      </c>
      <c r="AR109" s="14"/>
      <c r="AS109" s="14" t="s">
        <v>328</v>
      </c>
      <c r="AT109" s="14" t="s">
        <v>328</v>
      </c>
      <c r="AU109" s="14"/>
      <c r="AV109" s="14">
        <v>1</v>
      </c>
      <c r="AW109" s="14">
        <v>2</v>
      </c>
      <c r="AX109" s="14">
        <v>3</v>
      </c>
      <c r="AY109" s="14"/>
      <c r="AZ109" s="14"/>
      <c r="BA109" s="14" t="s">
        <v>328</v>
      </c>
      <c r="BB109" s="14" t="s">
        <v>328</v>
      </c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 t="s">
        <v>328</v>
      </c>
      <c r="BN109" s="14"/>
      <c r="BO109" s="14" t="s">
        <v>328</v>
      </c>
      <c r="BP109" s="14"/>
      <c r="BQ109" s="14"/>
      <c r="BR109" s="14"/>
      <c r="BS109" s="14"/>
      <c r="BT109" s="14" t="s">
        <v>328</v>
      </c>
      <c r="BU109" s="14"/>
      <c r="BV109" s="14"/>
      <c r="BW109" s="14"/>
      <c r="BX109" s="14"/>
      <c r="BY109" s="14"/>
      <c r="BZ109" s="14"/>
      <c r="CA109" s="14" t="s">
        <v>328</v>
      </c>
      <c r="CB109" s="14"/>
      <c r="CC109" s="14"/>
      <c r="CD109" s="14"/>
      <c r="CE109" s="14"/>
      <c r="CF109" s="14"/>
      <c r="CG109" s="14"/>
      <c r="CH109" s="14"/>
      <c r="CI109" s="14"/>
      <c r="CJ109" s="14" t="s">
        <v>328</v>
      </c>
      <c r="CK109" s="14"/>
      <c r="CL109" s="15" t="s">
        <v>405</v>
      </c>
      <c r="CM109" s="15" t="s">
        <v>405</v>
      </c>
      <c r="CN109" s="15" t="s">
        <v>405</v>
      </c>
      <c r="CO109" s="15" t="s">
        <v>405</v>
      </c>
      <c r="CP109" s="15" t="s">
        <v>405</v>
      </c>
      <c r="CQ109" s="15" t="s">
        <v>405</v>
      </c>
      <c r="CR109" s="14" t="s">
        <v>328</v>
      </c>
      <c r="CS109" s="14"/>
      <c r="CT109" s="14"/>
      <c r="CU109" s="14"/>
      <c r="CV109" s="14" t="s">
        <v>328</v>
      </c>
      <c r="CW109" s="14"/>
      <c r="CX109" s="14"/>
      <c r="CY109" s="14"/>
      <c r="CZ109" s="14"/>
      <c r="DA109" s="14">
        <v>2</v>
      </c>
      <c r="DB109" s="14">
        <v>3</v>
      </c>
      <c r="DC109" s="14">
        <v>6</v>
      </c>
      <c r="DD109" s="14">
        <v>5</v>
      </c>
      <c r="DE109" s="14">
        <v>1</v>
      </c>
      <c r="DF109" s="14">
        <v>4</v>
      </c>
      <c r="DG109" s="14"/>
      <c r="DH109" s="14" t="s">
        <v>328</v>
      </c>
      <c r="DI109" s="14"/>
      <c r="DJ109" s="14"/>
      <c r="DK109" s="14"/>
      <c r="DL109" s="14"/>
      <c r="DM109" s="14"/>
      <c r="DN109" s="14" t="s">
        <v>1145</v>
      </c>
      <c r="DO109" s="14" t="s">
        <v>328</v>
      </c>
      <c r="DP109" s="14"/>
      <c r="DQ109" s="14"/>
      <c r="DR109" s="14"/>
      <c r="DS109" s="14"/>
      <c r="DT109" s="14"/>
      <c r="DU109" s="14"/>
      <c r="DV109" s="14" t="s">
        <v>1145</v>
      </c>
      <c r="DW109" s="14" t="s">
        <v>328</v>
      </c>
      <c r="DX109" s="14"/>
      <c r="DY109" s="14"/>
      <c r="DZ109" s="14"/>
      <c r="EA109" s="14"/>
      <c r="EB109" s="14"/>
      <c r="EC109" s="101" t="s">
        <v>1145</v>
      </c>
      <c r="ED109" s="99"/>
    </row>
    <row r="110" spans="1:134" x14ac:dyDescent="0.25">
      <c r="A110" s="50" t="s">
        <v>1404</v>
      </c>
      <c r="B110" s="61" t="s">
        <v>507</v>
      </c>
      <c r="C110" s="14" t="s">
        <v>328</v>
      </c>
      <c r="D110" s="14"/>
      <c r="E110" s="14">
        <v>47</v>
      </c>
      <c r="F110" s="14" t="s">
        <v>329</v>
      </c>
      <c r="G110" s="14" t="s">
        <v>330</v>
      </c>
      <c r="H110" s="14" t="s">
        <v>730</v>
      </c>
      <c r="I110" s="8" t="s">
        <v>1225</v>
      </c>
      <c r="J110" s="14" t="s">
        <v>1280</v>
      </c>
      <c r="K110" s="14">
        <v>22</v>
      </c>
      <c r="L110" s="14">
        <v>1</v>
      </c>
      <c r="M110" s="14">
        <v>7</v>
      </c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 t="s">
        <v>418</v>
      </c>
      <c r="AJ110" s="14"/>
      <c r="AK110" s="14" t="s">
        <v>328</v>
      </c>
      <c r="AL110" s="14"/>
      <c r="AM110" s="14"/>
      <c r="AN110" s="14" t="s">
        <v>328</v>
      </c>
      <c r="AO110" s="14"/>
      <c r="AP110" s="14">
        <v>5</v>
      </c>
      <c r="AQ110" s="14">
        <v>4</v>
      </c>
      <c r="AR110" s="14"/>
      <c r="AS110" s="14" t="s">
        <v>328</v>
      </c>
      <c r="AT110" s="14"/>
      <c r="AU110" s="14"/>
      <c r="AV110" s="14">
        <v>2</v>
      </c>
      <c r="AW110" s="14">
        <v>3</v>
      </c>
      <c r="AX110" s="14">
        <v>4</v>
      </c>
      <c r="AY110" s="14" t="s">
        <v>346</v>
      </c>
      <c r="AZ110" s="14"/>
      <c r="BA110" s="14" t="s">
        <v>328</v>
      </c>
      <c r="BB110" s="14" t="s">
        <v>328</v>
      </c>
      <c r="BC110" s="14" t="s">
        <v>328</v>
      </c>
      <c r="BD110" s="14"/>
      <c r="BE110" s="14"/>
      <c r="BF110" s="14"/>
      <c r="BG110" s="14"/>
      <c r="BH110" s="14"/>
      <c r="BI110" s="14"/>
      <c r="BJ110" s="14"/>
      <c r="BK110" s="14"/>
      <c r="BL110" s="14" t="s">
        <v>328</v>
      </c>
      <c r="BM110" s="14"/>
      <c r="BN110" s="14" t="s">
        <v>328</v>
      </c>
      <c r="BO110" s="14"/>
      <c r="BP110" s="14"/>
      <c r="BQ110" s="14"/>
      <c r="BR110" s="14"/>
      <c r="BS110" s="14"/>
      <c r="BT110" s="14"/>
      <c r="BU110" s="14" t="s">
        <v>328</v>
      </c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 t="s">
        <v>332</v>
      </c>
      <c r="CG110" s="14" t="s">
        <v>328</v>
      </c>
      <c r="CH110" s="14"/>
      <c r="CI110" s="14" t="s">
        <v>328</v>
      </c>
      <c r="CJ110" s="14"/>
      <c r="CK110" s="14"/>
      <c r="CL110" s="14">
        <v>2</v>
      </c>
      <c r="CM110" s="14">
        <v>3</v>
      </c>
      <c r="CN110" s="14">
        <v>4</v>
      </c>
      <c r="CO110" s="14">
        <v>6</v>
      </c>
      <c r="CP110" s="14">
        <v>5</v>
      </c>
      <c r="CQ110" s="14">
        <v>1</v>
      </c>
      <c r="CR110" s="14"/>
      <c r="CS110" s="14" t="s">
        <v>328</v>
      </c>
      <c r="CT110" s="14"/>
      <c r="CU110" s="14"/>
      <c r="CV110" s="14" t="s">
        <v>328</v>
      </c>
      <c r="CW110" s="14"/>
      <c r="CX110" s="14"/>
      <c r="CY110" s="14"/>
      <c r="CZ110" s="14"/>
      <c r="DA110" s="14">
        <v>1</v>
      </c>
      <c r="DB110" s="14">
        <v>2</v>
      </c>
      <c r="DC110" s="14">
        <v>6</v>
      </c>
      <c r="DD110" s="14">
        <v>5</v>
      </c>
      <c r="DE110" s="14">
        <v>4</v>
      </c>
      <c r="DF110" s="14">
        <v>3</v>
      </c>
      <c r="DG110" s="14"/>
      <c r="DH110" s="14" t="s">
        <v>328</v>
      </c>
      <c r="DI110" s="14"/>
      <c r="DJ110" s="14"/>
      <c r="DK110" s="14"/>
      <c r="DL110" s="14"/>
      <c r="DM110" s="14"/>
      <c r="DN110" s="14" t="s">
        <v>1146</v>
      </c>
      <c r="DO110" s="14" t="s">
        <v>328</v>
      </c>
      <c r="DP110" s="14"/>
      <c r="DQ110" s="14"/>
      <c r="DR110" s="14"/>
      <c r="DS110" s="14"/>
      <c r="DT110" s="14"/>
      <c r="DU110" s="14"/>
      <c r="DV110" s="14" t="s">
        <v>1152</v>
      </c>
      <c r="DW110" s="14" t="s">
        <v>328</v>
      </c>
      <c r="DX110" s="14"/>
      <c r="DY110" s="14"/>
      <c r="DZ110" s="14"/>
      <c r="EA110" s="14"/>
      <c r="EB110" s="14"/>
      <c r="EC110" s="101" t="s">
        <v>1152</v>
      </c>
      <c r="ED110" s="99"/>
    </row>
    <row r="111" spans="1:134" x14ac:dyDescent="0.25">
      <c r="A111" s="50" t="s">
        <v>1404</v>
      </c>
      <c r="B111" s="61" t="s">
        <v>508</v>
      </c>
      <c r="C111" s="14" t="s">
        <v>328</v>
      </c>
      <c r="D111" s="14"/>
      <c r="E111" s="14">
        <v>62</v>
      </c>
      <c r="F111" s="14" t="s">
        <v>329</v>
      </c>
      <c r="G111" s="14" t="s">
        <v>357</v>
      </c>
      <c r="H111" s="14" t="s">
        <v>725</v>
      </c>
      <c r="I111" s="8" t="s">
        <v>1226</v>
      </c>
      <c r="J111" s="14" t="s">
        <v>1283</v>
      </c>
      <c r="K111" s="14">
        <v>30</v>
      </c>
      <c r="L111" s="14">
        <v>1</v>
      </c>
      <c r="M111" s="14">
        <v>10</v>
      </c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 t="s">
        <v>418</v>
      </c>
      <c r="AJ111" s="14"/>
      <c r="AK111" s="14" t="s">
        <v>328</v>
      </c>
      <c r="AL111" s="14"/>
      <c r="AM111" s="14" t="s">
        <v>328</v>
      </c>
      <c r="AN111" s="14"/>
      <c r="AO111" s="14"/>
      <c r="AP111" s="14">
        <v>1</v>
      </c>
      <c r="AQ111" s="14">
        <v>4</v>
      </c>
      <c r="AR111" s="14"/>
      <c r="AS111" s="14"/>
      <c r="AT111" s="14" t="s">
        <v>328</v>
      </c>
      <c r="AU111" s="14"/>
      <c r="AV111" s="14">
        <v>1</v>
      </c>
      <c r="AW111" s="14">
        <v>3</v>
      </c>
      <c r="AX111" s="14">
        <v>2</v>
      </c>
      <c r="AY111" s="14"/>
      <c r="AZ111" s="14" t="s">
        <v>328</v>
      </c>
      <c r="BA111" s="14"/>
      <c r="BB111" s="14"/>
      <c r="BC111" s="14"/>
      <c r="BD111" s="14"/>
      <c r="BE111" s="14"/>
      <c r="BF111" s="14"/>
      <c r="BG111" s="14"/>
      <c r="BH111" s="14"/>
      <c r="BI111" s="14" t="s">
        <v>328</v>
      </c>
      <c r="BJ111" s="14"/>
      <c r="BK111" s="14"/>
      <c r="BL111" s="14"/>
      <c r="BM111" s="14" t="s">
        <v>328</v>
      </c>
      <c r="BN111" s="14"/>
      <c r="BO111" s="14" t="s">
        <v>328</v>
      </c>
      <c r="BP111" s="14"/>
      <c r="BQ111" s="14"/>
      <c r="BR111" s="14"/>
      <c r="BS111" s="14"/>
      <c r="BT111" s="14"/>
      <c r="BU111" s="14"/>
      <c r="BV111" s="14" t="s">
        <v>409</v>
      </c>
      <c r="BW111" s="14"/>
      <c r="BX111" s="14"/>
      <c r="BY111" s="14"/>
      <c r="BZ111" s="14"/>
      <c r="CA111" s="14"/>
      <c r="CB111" s="14"/>
      <c r="CC111" s="14"/>
      <c r="CD111" s="14"/>
      <c r="CE111" s="14"/>
      <c r="CF111" s="14" t="s">
        <v>332</v>
      </c>
      <c r="CG111" s="14" t="s">
        <v>328</v>
      </c>
      <c r="CH111" s="14"/>
      <c r="CI111" s="14"/>
      <c r="CJ111" s="14"/>
      <c r="CK111" s="14"/>
      <c r="CL111" s="14">
        <v>4</v>
      </c>
      <c r="CM111" s="14">
        <v>1</v>
      </c>
      <c r="CN111" s="14">
        <v>3</v>
      </c>
      <c r="CO111" s="14">
        <v>5</v>
      </c>
      <c r="CP111" s="14">
        <v>6</v>
      </c>
      <c r="CQ111" s="14">
        <v>2</v>
      </c>
      <c r="CR111" s="14"/>
      <c r="CS111" s="14"/>
      <c r="CT111" s="14"/>
      <c r="CU111" s="14"/>
      <c r="CV111" s="14"/>
      <c r="CW111" s="14"/>
      <c r="CX111" s="14" t="s">
        <v>332</v>
      </c>
      <c r="CY111" s="14"/>
      <c r="CZ111" s="14"/>
      <c r="DA111" s="14">
        <v>3</v>
      </c>
      <c r="DB111" s="14">
        <v>1</v>
      </c>
      <c r="DC111" s="14">
        <v>2</v>
      </c>
      <c r="DD111" s="14">
        <v>6</v>
      </c>
      <c r="DE111" s="14">
        <v>5</v>
      </c>
      <c r="DF111" s="14">
        <v>4</v>
      </c>
      <c r="DG111" s="14"/>
      <c r="DH111" s="14" t="s">
        <v>328</v>
      </c>
      <c r="DI111" s="14"/>
      <c r="DJ111" s="14"/>
      <c r="DK111" s="14"/>
      <c r="DL111" s="14"/>
      <c r="DM111" s="14"/>
      <c r="DN111" s="14" t="s">
        <v>333</v>
      </c>
      <c r="DO111" s="14"/>
      <c r="DP111" s="14" t="s">
        <v>328</v>
      </c>
      <c r="DQ111" s="14" t="s">
        <v>328</v>
      </c>
      <c r="DR111" s="14" t="s">
        <v>354</v>
      </c>
      <c r="DS111" s="14"/>
      <c r="DT111" s="14"/>
      <c r="DU111" s="15" t="s">
        <v>410</v>
      </c>
      <c r="DV111" s="14" t="s">
        <v>411</v>
      </c>
      <c r="DW111" s="14" t="s">
        <v>328</v>
      </c>
      <c r="DX111" s="14"/>
      <c r="DY111" s="14"/>
      <c r="DZ111" s="14"/>
      <c r="EA111" s="14"/>
      <c r="EB111" s="14"/>
      <c r="EC111" s="101" t="s">
        <v>560</v>
      </c>
      <c r="ED111" s="99"/>
    </row>
    <row r="112" spans="1:134" x14ac:dyDescent="0.25">
      <c r="A112" s="50" t="s">
        <v>1404</v>
      </c>
      <c r="B112" s="61" t="s">
        <v>509</v>
      </c>
      <c r="C112" s="14" t="s">
        <v>328</v>
      </c>
      <c r="D112" s="14"/>
      <c r="E112" s="14">
        <v>40</v>
      </c>
      <c r="F112" s="14" t="s">
        <v>329</v>
      </c>
      <c r="G112" s="14" t="s">
        <v>357</v>
      </c>
      <c r="H112" s="14" t="s">
        <v>751</v>
      </c>
      <c r="I112" s="8" t="s">
        <v>1227</v>
      </c>
      <c r="J112" s="14" t="s">
        <v>1183</v>
      </c>
      <c r="K112" s="14">
        <v>15</v>
      </c>
      <c r="L112" s="14">
        <v>2</v>
      </c>
      <c r="M112" s="14">
        <v>2</v>
      </c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 t="s">
        <v>418</v>
      </c>
      <c r="AJ112" s="14"/>
      <c r="AK112" s="14" t="s">
        <v>328</v>
      </c>
      <c r="AL112" s="14"/>
      <c r="AM112" s="14" t="s">
        <v>328</v>
      </c>
      <c r="AN112" s="14"/>
      <c r="AO112" s="14"/>
      <c r="AP112" s="14">
        <v>5</v>
      </c>
      <c r="AQ112" s="14">
        <v>6</v>
      </c>
      <c r="AR112" s="14"/>
      <c r="AS112" s="14"/>
      <c r="AT112" s="14" t="s">
        <v>328</v>
      </c>
      <c r="AU112" s="14"/>
      <c r="AV112" s="14">
        <v>1</v>
      </c>
      <c r="AW112" s="14">
        <v>3</v>
      </c>
      <c r="AX112" s="14">
        <v>2</v>
      </c>
      <c r="AY112" s="14"/>
      <c r="AZ112" s="14" t="s">
        <v>328</v>
      </c>
      <c r="BA112" s="14"/>
      <c r="BB112" s="14"/>
      <c r="BC112" s="14"/>
      <c r="BD112" s="14"/>
      <c r="BE112" s="14"/>
      <c r="BF112" s="14"/>
      <c r="BG112" s="14"/>
      <c r="BH112" s="14"/>
      <c r="BI112" s="14" t="s">
        <v>328</v>
      </c>
      <c r="BJ112" s="14"/>
      <c r="BK112" s="14"/>
      <c r="BL112" s="14"/>
      <c r="BM112" s="14" t="s">
        <v>328</v>
      </c>
      <c r="BN112" s="14" t="s">
        <v>328</v>
      </c>
      <c r="BO112" s="14"/>
      <c r="BP112" s="14"/>
      <c r="BQ112" s="14"/>
      <c r="BR112" s="14"/>
      <c r="BS112" s="14"/>
      <c r="BT112" s="14"/>
      <c r="BU112" s="14" t="s">
        <v>328</v>
      </c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 t="s">
        <v>332</v>
      </c>
      <c r="CG112" s="14" t="s">
        <v>328</v>
      </c>
      <c r="CH112" s="14"/>
      <c r="CI112" s="14"/>
      <c r="CJ112" s="14"/>
      <c r="CK112" s="14"/>
      <c r="CL112" s="14">
        <v>2</v>
      </c>
      <c r="CM112" s="14">
        <v>4</v>
      </c>
      <c r="CN112" s="14">
        <v>1</v>
      </c>
      <c r="CO112" s="14">
        <v>6</v>
      </c>
      <c r="CP112" s="14">
        <v>5</v>
      </c>
      <c r="CQ112" s="14">
        <v>3</v>
      </c>
      <c r="CR112" s="14"/>
      <c r="CS112" s="14"/>
      <c r="CT112" s="14"/>
      <c r="CU112" s="14"/>
      <c r="CV112" s="14"/>
      <c r="CW112" s="14"/>
      <c r="CX112" s="14" t="s">
        <v>332</v>
      </c>
      <c r="CY112" s="14" t="s">
        <v>328</v>
      </c>
      <c r="CZ112" s="14" t="s">
        <v>404</v>
      </c>
      <c r="DA112" s="14"/>
      <c r="DB112" s="14"/>
      <c r="DC112" s="14"/>
      <c r="DD112" s="14"/>
      <c r="DE112" s="14"/>
      <c r="DF112" s="14"/>
      <c r="DG112" s="14"/>
      <c r="DH112" s="14" t="s">
        <v>328</v>
      </c>
      <c r="DI112" s="14"/>
      <c r="DJ112" s="14"/>
      <c r="DK112" s="14"/>
      <c r="DL112" s="14"/>
      <c r="DM112" s="14"/>
      <c r="DN112" s="14" t="s">
        <v>1145</v>
      </c>
      <c r="DO112" s="14"/>
      <c r="DP112" s="14" t="s">
        <v>328</v>
      </c>
      <c r="DQ112" s="14" t="s">
        <v>328</v>
      </c>
      <c r="DR112" s="15" t="s">
        <v>437</v>
      </c>
      <c r="DS112" s="14"/>
      <c r="DT112" s="14"/>
      <c r="DU112" s="15" t="s">
        <v>410</v>
      </c>
      <c r="DV112" s="15" t="s">
        <v>438</v>
      </c>
      <c r="DW112" s="14" t="s">
        <v>328</v>
      </c>
      <c r="DX112" s="14"/>
      <c r="DY112" s="14"/>
      <c r="DZ112" s="14"/>
      <c r="EA112" s="14"/>
      <c r="EB112" s="14"/>
      <c r="EC112" s="101" t="s">
        <v>1146</v>
      </c>
      <c r="ED112" s="99"/>
    </row>
    <row r="113" spans="1:134" x14ac:dyDescent="0.25">
      <c r="A113" s="50" t="s">
        <v>1404</v>
      </c>
      <c r="B113" s="61" t="s">
        <v>510</v>
      </c>
      <c r="C113" s="14" t="s">
        <v>328</v>
      </c>
      <c r="D113" s="14"/>
      <c r="E113" s="14">
        <v>50</v>
      </c>
      <c r="F113" s="14" t="s">
        <v>329</v>
      </c>
      <c r="G113" s="14" t="s">
        <v>399</v>
      </c>
      <c r="H113" s="14" t="s">
        <v>770</v>
      </c>
      <c r="I113" s="8" t="s">
        <v>1228</v>
      </c>
      <c r="J113" s="14" t="s">
        <v>1280</v>
      </c>
      <c r="K113" s="14">
        <v>30</v>
      </c>
      <c r="L113" s="14">
        <v>2</v>
      </c>
      <c r="M113" s="14">
        <v>7</v>
      </c>
      <c r="N113" s="14"/>
      <c r="O113" s="14"/>
      <c r="P113" s="14">
        <v>4</v>
      </c>
      <c r="Q113" s="14"/>
      <c r="R113" s="14"/>
      <c r="S113" s="14"/>
      <c r="T113" s="14"/>
      <c r="U113" s="14"/>
      <c r="V113" s="14"/>
      <c r="W113" s="14"/>
      <c r="X113" s="14"/>
      <c r="Y113" s="14"/>
      <c r="Z113" s="14" t="s">
        <v>328</v>
      </c>
      <c r="AA113" s="14" t="s">
        <v>328</v>
      </c>
      <c r="AB113" s="14"/>
      <c r="AC113" s="14"/>
      <c r="AD113" s="14"/>
      <c r="AE113" s="14"/>
      <c r="AF113" s="14"/>
      <c r="AG113" s="14"/>
      <c r="AH113" s="14"/>
      <c r="AI113" s="14"/>
      <c r="AJ113" s="14" t="s">
        <v>328</v>
      </c>
      <c r="AK113" s="14"/>
      <c r="AL113" s="14"/>
      <c r="AM113" s="14"/>
      <c r="AN113" s="14"/>
      <c r="AO113" s="14" t="s">
        <v>328</v>
      </c>
      <c r="AP113" s="14">
        <v>1</v>
      </c>
      <c r="AQ113" s="14">
        <v>8</v>
      </c>
      <c r="AR113" s="14"/>
      <c r="AS113" s="14" t="s">
        <v>328</v>
      </c>
      <c r="AT113" s="14" t="s">
        <v>328</v>
      </c>
      <c r="AU113" s="14"/>
      <c r="AV113" s="14">
        <v>3</v>
      </c>
      <c r="AW113" s="14">
        <v>4</v>
      </c>
      <c r="AX113" s="14">
        <v>2</v>
      </c>
      <c r="AY113" s="14" t="s">
        <v>346</v>
      </c>
      <c r="AZ113" s="14"/>
      <c r="BA113" s="14" t="s">
        <v>328</v>
      </c>
      <c r="BB113" s="14"/>
      <c r="BC113" s="14"/>
      <c r="BD113" s="14"/>
      <c r="BE113" s="14"/>
      <c r="BF113" s="14"/>
      <c r="BG113" s="14"/>
      <c r="BH113" s="14"/>
      <c r="BI113" s="14" t="s">
        <v>328</v>
      </c>
      <c r="BJ113" s="14"/>
      <c r="BK113" s="14"/>
      <c r="BL113" s="14" t="s">
        <v>328</v>
      </c>
      <c r="BM113" s="14"/>
      <c r="BN113" s="14" t="s">
        <v>328</v>
      </c>
      <c r="BO113" s="14"/>
      <c r="BP113" s="14" t="s">
        <v>328</v>
      </c>
      <c r="BQ113" s="14" t="s">
        <v>328</v>
      </c>
      <c r="BR113" s="14"/>
      <c r="BS113" s="14"/>
      <c r="BT113" s="14"/>
      <c r="BU113" s="14"/>
      <c r="BV113" s="14"/>
      <c r="BW113" s="14"/>
      <c r="BX113" s="14"/>
      <c r="BY113" s="14"/>
      <c r="BZ113" s="14" t="s">
        <v>328</v>
      </c>
      <c r="CA113" s="14" t="s">
        <v>328</v>
      </c>
      <c r="CB113" s="14" t="s">
        <v>328</v>
      </c>
      <c r="CC113" s="14"/>
      <c r="CD113" s="14"/>
      <c r="CE113" s="14"/>
      <c r="CF113" s="14"/>
      <c r="CG113" s="14" t="s">
        <v>328</v>
      </c>
      <c r="CH113" s="14"/>
      <c r="CI113" s="14"/>
      <c r="CJ113" s="14"/>
      <c r="CK113" s="14" t="s">
        <v>328</v>
      </c>
      <c r="CL113" s="14">
        <v>5</v>
      </c>
      <c r="CM113" s="14">
        <v>3</v>
      </c>
      <c r="CN113" s="14">
        <v>6</v>
      </c>
      <c r="CO113" s="14">
        <v>2</v>
      </c>
      <c r="CP113" s="14">
        <v>4</v>
      </c>
      <c r="CQ113" s="14">
        <v>1</v>
      </c>
      <c r="CR113" s="14" t="s">
        <v>328</v>
      </c>
      <c r="CS113" s="14"/>
      <c r="CT113" s="14" t="s">
        <v>328</v>
      </c>
      <c r="CU113" s="14"/>
      <c r="CV113" s="14" t="s">
        <v>328</v>
      </c>
      <c r="CW113" s="14"/>
      <c r="CX113" s="14"/>
      <c r="CY113" s="14" t="s">
        <v>328</v>
      </c>
      <c r="CZ113" s="14" t="s">
        <v>404</v>
      </c>
      <c r="DA113" s="14"/>
      <c r="DB113" s="14"/>
      <c r="DC113" s="14"/>
      <c r="DD113" s="14"/>
      <c r="DE113" s="14"/>
      <c r="DF113" s="14"/>
      <c r="DG113" s="14"/>
      <c r="DH113" s="14"/>
      <c r="DI113" s="14" t="s">
        <v>328</v>
      </c>
      <c r="DJ113" s="14" t="s">
        <v>328</v>
      </c>
      <c r="DK113" s="15" t="s">
        <v>405</v>
      </c>
      <c r="DL113" s="14"/>
      <c r="DM113" s="14" t="s">
        <v>432</v>
      </c>
      <c r="DN113" s="14" t="s">
        <v>333</v>
      </c>
      <c r="DO113" s="14" t="s">
        <v>328</v>
      </c>
      <c r="DP113" s="14"/>
      <c r="DQ113" s="14"/>
      <c r="DR113" s="14"/>
      <c r="DS113" s="14"/>
      <c r="DT113" s="14"/>
      <c r="DU113" s="14"/>
      <c r="DV113" s="14" t="s">
        <v>1148</v>
      </c>
      <c r="DW113" s="14"/>
      <c r="DX113" s="14" t="s">
        <v>328</v>
      </c>
      <c r="DY113" s="14" t="s">
        <v>328</v>
      </c>
      <c r="DZ113" s="14" t="s">
        <v>397</v>
      </c>
      <c r="EA113" s="14"/>
      <c r="EB113" s="14" t="s">
        <v>1158</v>
      </c>
      <c r="EC113" s="101" t="s">
        <v>450</v>
      </c>
      <c r="ED113" s="99"/>
    </row>
    <row r="114" spans="1:134" x14ac:dyDescent="0.25">
      <c r="A114" s="50" t="s">
        <v>1404</v>
      </c>
      <c r="B114" s="61" t="s">
        <v>511</v>
      </c>
      <c r="C114" s="14" t="s">
        <v>328</v>
      </c>
      <c r="D114" s="14"/>
      <c r="E114" s="14">
        <v>40</v>
      </c>
      <c r="F114" s="14" t="s">
        <v>329</v>
      </c>
      <c r="G114" s="14" t="s">
        <v>357</v>
      </c>
      <c r="H114" s="14" t="s">
        <v>753</v>
      </c>
      <c r="I114" s="14" t="s">
        <v>1190</v>
      </c>
      <c r="J114" s="14" t="s">
        <v>1280</v>
      </c>
      <c r="K114" s="14">
        <v>15</v>
      </c>
      <c r="L114" s="14">
        <v>1</v>
      </c>
      <c r="M114" s="14">
        <v>6</v>
      </c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 t="s">
        <v>328</v>
      </c>
      <c r="AE114" s="14"/>
      <c r="AF114" s="14"/>
      <c r="AG114" s="14"/>
      <c r="AH114" s="14"/>
      <c r="AI114" s="14"/>
      <c r="AJ114" s="14" t="s">
        <v>328</v>
      </c>
      <c r="AK114" s="14"/>
      <c r="AL114" s="14"/>
      <c r="AM114" s="14"/>
      <c r="AN114" s="14" t="s">
        <v>328</v>
      </c>
      <c r="AO114" s="14"/>
      <c r="AP114" s="14">
        <v>10</v>
      </c>
      <c r="AQ114" s="14">
        <v>5</v>
      </c>
      <c r="AR114" s="14" t="s">
        <v>328</v>
      </c>
      <c r="AS114" s="14" t="s">
        <v>328</v>
      </c>
      <c r="AT114" s="14"/>
      <c r="AU114" s="14"/>
      <c r="AV114" s="14">
        <v>2</v>
      </c>
      <c r="AW114" s="14">
        <v>1</v>
      </c>
      <c r="AX114" s="14">
        <v>3</v>
      </c>
      <c r="AY114" s="14"/>
      <c r="AZ114" s="14"/>
      <c r="BA114" s="14" t="s">
        <v>328</v>
      </c>
      <c r="BB114" s="14"/>
      <c r="BC114" s="14" t="s">
        <v>328</v>
      </c>
      <c r="BD114" s="14"/>
      <c r="BE114" s="14"/>
      <c r="BF114" s="14"/>
      <c r="BG114" s="14"/>
      <c r="BH114" s="14"/>
      <c r="BI114" s="14"/>
      <c r="BJ114" s="14"/>
      <c r="BK114" s="14"/>
      <c r="BL114" s="14" t="s">
        <v>328</v>
      </c>
      <c r="BM114" s="14"/>
      <c r="BN114" s="14" t="s">
        <v>328</v>
      </c>
      <c r="BO114" s="14"/>
      <c r="BP114" s="14" t="s">
        <v>328</v>
      </c>
      <c r="BQ114" s="14" t="s">
        <v>328</v>
      </c>
      <c r="BR114" s="14"/>
      <c r="BS114" s="14"/>
      <c r="BT114" s="14"/>
      <c r="BU114" s="14"/>
      <c r="BV114" s="14"/>
      <c r="BW114" s="14"/>
      <c r="BX114" s="14"/>
      <c r="BY114" s="14"/>
      <c r="BZ114" s="14" t="s">
        <v>328</v>
      </c>
      <c r="CA114" s="14" t="s">
        <v>328</v>
      </c>
      <c r="CB114" s="14"/>
      <c r="CC114" s="14"/>
      <c r="CD114" s="14"/>
      <c r="CE114" s="14"/>
      <c r="CF114" s="14"/>
      <c r="CG114" s="14" t="s">
        <v>328</v>
      </c>
      <c r="CH114" s="14"/>
      <c r="CI114" s="14" t="s">
        <v>328</v>
      </c>
      <c r="CJ114" s="14"/>
      <c r="CK114" s="14"/>
      <c r="CL114" s="14">
        <v>1</v>
      </c>
      <c r="CM114" s="14">
        <v>4</v>
      </c>
      <c r="CN114" s="14">
        <v>2</v>
      </c>
      <c r="CO114" s="14">
        <v>6</v>
      </c>
      <c r="CP114" s="14">
        <v>5</v>
      </c>
      <c r="CQ114" s="14">
        <v>3</v>
      </c>
      <c r="CR114" s="14"/>
      <c r="CS114" s="14" t="s">
        <v>328</v>
      </c>
      <c r="CT114" s="14"/>
      <c r="CU114" s="14" t="s">
        <v>328</v>
      </c>
      <c r="CV114" s="14"/>
      <c r="CW114" s="14" t="s">
        <v>328</v>
      </c>
      <c r="CX114" s="14"/>
      <c r="CY114" s="14"/>
      <c r="CZ114" s="14"/>
      <c r="DA114" s="14">
        <v>1</v>
      </c>
      <c r="DB114" s="14">
        <v>3</v>
      </c>
      <c r="DC114" s="14">
        <v>6</v>
      </c>
      <c r="DD114" s="14">
        <v>5</v>
      </c>
      <c r="DE114" s="14">
        <v>2</v>
      </c>
      <c r="DF114" s="14">
        <v>4</v>
      </c>
      <c r="DG114" s="14"/>
      <c r="DH114" s="14"/>
      <c r="DI114" s="14" t="s">
        <v>328</v>
      </c>
      <c r="DJ114" s="14" t="s">
        <v>328</v>
      </c>
      <c r="DK114" s="14" t="s">
        <v>387</v>
      </c>
      <c r="DL114" s="14"/>
      <c r="DM114" s="14" t="s">
        <v>916</v>
      </c>
      <c r="DN114" s="14" t="s">
        <v>1146</v>
      </c>
      <c r="DO114" s="14" t="s">
        <v>328</v>
      </c>
      <c r="DP114" s="14"/>
      <c r="DQ114" s="14"/>
      <c r="DR114" s="14"/>
      <c r="DS114" s="14"/>
      <c r="DT114" s="14"/>
      <c r="DU114" s="14"/>
      <c r="DV114" s="14" t="s">
        <v>1149</v>
      </c>
      <c r="DW114" s="14" t="s">
        <v>328</v>
      </c>
      <c r="DX114" s="14"/>
      <c r="DY114" s="14"/>
      <c r="DZ114" s="14"/>
      <c r="EA114" s="14"/>
      <c r="EB114" s="14"/>
      <c r="EC114" s="101" t="s">
        <v>1146</v>
      </c>
      <c r="ED114" s="99"/>
    </row>
    <row r="115" spans="1:134" x14ac:dyDescent="0.25">
      <c r="A115" s="50" t="s">
        <v>1404</v>
      </c>
      <c r="B115" s="61" t="s">
        <v>512</v>
      </c>
      <c r="C115" s="14" t="s">
        <v>328</v>
      </c>
      <c r="D115" s="14"/>
      <c r="E115" s="14">
        <v>52</v>
      </c>
      <c r="F115" s="14" t="s">
        <v>329</v>
      </c>
      <c r="G115" s="14" t="s">
        <v>399</v>
      </c>
      <c r="H115" s="14" t="s">
        <v>734</v>
      </c>
      <c r="I115" s="8" t="s">
        <v>1229</v>
      </c>
      <c r="J115" s="14" t="s">
        <v>1283</v>
      </c>
      <c r="K115" s="14">
        <v>20</v>
      </c>
      <c r="L115" s="14">
        <v>1</v>
      </c>
      <c r="M115" s="14">
        <v>17</v>
      </c>
      <c r="N115" s="14"/>
      <c r="O115" s="14"/>
      <c r="P115" s="14">
        <v>10</v>
      </c>
      <c r="Q115" s="14"/>
      <c r="R115" s="14"/>
      <c r="S115" s="14"/>
      <c r="T115" s="14"/>
      <c r="U115" s="14"/>
      <c r="V115" s="14"/>
      <c r="W115" s="14"/>
      <c r="X115" s="14"/>
      <c r="Y115" s="14"/>
      <c r="Z115" s="14" t="s">
        <v>328</v>
      </c>
      <c r="AA115" s="14"/>
      <c r="AB115" s="14"/>
      <c r="AC115" s="14" t="s">
        <v>328</v>
      </c>
      <c r="AD115" s="14"/>
      <c r="AE115" s="14"/>
      <c r="AF115" s="14"/>
      <c r="AG115" s="14" t="s">
        <v>328</v>
      </c>
      <c r="AH115" s="14"/>
      <c r="AI115" s="14"/>
      <c r="AJ115" s="14" t="s">
        <v>328</v>
      </c>
      <c r="AK115" s="14" t="s">
        <v>328</v>
      </c>
      <c r="AL115" s="14" t="s">
        <v>328</v>
      </c>
      <c r="AM115" s="14"/>
      <c r="AN115" s="14"/>
      <c r="AO115" s="14"/>
      <c r="AP115" s="14">
        <v>8</v>
      </c>
      <c r="AQ115" s="14">
        <v>8</v>
      </c>
      <c r="AR115" s="14"/>
      <c r="AS115" s="14" t="s">
        <v>328</v>
      </c>
      <c r="AT115" s="14"/>
      <c r="AU115" s="14"/>
      <c r="AV115" s="14">
        <v>2</v>
      </c>
      <c r="AW115" s="14">
        <v>4</v>
      </c>
      <c r="AX115" s="14">
        <v>3</v>
      </c>
      <c r="AY115" s="14" t="s">
        <v>346</v>
      </c>
      <c r="AZ115" s="14"/>
      <c r="BA115" s="14" t="s">
        <v>328</v>
      </c>
      <c r="BB115" s="14"/>
      <c r="BC115" s="14"/>
      <c r="BD115" s="14"/>
      <c r="BE115" s="14" t="s">
        <v>328</v>
      </c>
      <c r="BF115" s="14"/>
      <c r="BG115" s="14"/>
      <c r="BH115" s="14"/>
      <c r="BI115" s="14"/>
      <c r="BJ115" s="14"/>
      <c r="BK115" s="14"/>
      <c r="BL115" s="14" t="s">
        <v>328</v>
      </c>
      <c r="BM115" s="14"/>
      <c r="BN115" s="14" t="s">
        <v>328</v>
      </c>
      <c r="BO115" s="14"/>
      <c r="BP115" s="14"/>
      <c r="BQ115" s="14"/>
      <c r="BR115" s="14" t="s">
        <v>328</v>
      </c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 t="s">
        <v>332</v>
      </c>
      <c r="CG115" s="14" t="s">
        <v>328</v>
      </c>
      <c r="CH115" s="14"/>
      <c r="CI115" s="14"/>
      <c r="CJ115" s="14"/>
      <c r="CK115" s="14"/>
      <c r="CL115" s="14">
        <v>4</v>
      </c>
      <c r="CM115" s="14">
        <v>6</v>
      </c>
      <c r="CN115" s="14">
        <v>2</v>
      </c>
      <c r="CO115" s="14">
        <v>5</v>
      </c>
      <c r="CP115" s="14">
        <v>3</v>
      </c>
      <c r="CQ115" s="14">
        <v>1</v>
      </c>
      <c r="CR115" s="14"/>
      <c r="CS115" s="14"/>
      <c r="CT115" s="14"/>
      <c r="CU115" s="14"/>
      <c r="CV115" s="14"/>
      <c r="CW115" s="14"/>
      <c r="CX115" s="14" t="s">
        <v>332</v>
      </c>
      <c r="CY115" s="14" t="s">
        <v>328</v>
      </c>
      <c r="CZ115" s="14" t="s">
        <v>404</v>
      </c>
      <c r="DA115" s="14"/>
      <c r="DB115" s="14"/>
      <c r="DC115" s="14"/>
      <c r="DD115" s="14"/>
      <c r="DE115" s="14"/>
      <c r="DF115" s="14"/>
      <c r="DG115" s="14"/>
      <c r="DH115" s="14"/>
      <c r="DI115" s="14" t="s">
        <v>328</v>
      </c>
      <c r="DJ115" s="14" t="s">
        <v>328</v>
      </c>
      <c r="DK115" s="15" t="s">
        <v>405</v>
      </c>
      <c r="DL115" s="14"/>
      <c r="DM115" s="15" t="s">
        <v>492</v>
      </c>
      <c r="DN115" s="14" t="s">
        <v>333</v>
      </c>
      <c r="DO115" s="14"/>
      <c r="DP115" s="14" t="s">
        <v>328</v>
      </c>
      <c r="DQ115" s="14" t="s">
        <v>328</v>
      </c>
      <c r="DR115" s="14" t="s">
        <v>354</v>
      </c>
      <c r="DS115" s="14"/>
      <c r="DT115" s="14"/>
      <c r="DU115" s="14" t="s">
        <v>492</v>
      </c>
      <c r="DV115" s="14" t="s">
        <v>1177</v>
      </c>
      <c r="DW115" s="14" t="s">
        <v>328</v>
      </c>
      <c r="DX115" s="14"/>
      <c r="DY115" s="14"/>
      <c r="DZ115" s="14"/>
      <c r="EA115" s="14"/>
      <c r="EB115" s="14"/>
      <c r="EC115" s="101" t="s">
        <v>1145</v>
      </c>
      <c r="ED115" s="99"/>
    </row>
    <row r="116" spans="1:134" x14ac:dyDescent="0.25">
      <c r="A116" s="50" t="s">
        <v>1404</v>
      </c>
      <c r="B116" s="61" t="s">
        <v>513</v>
      </c>
      <c r="C116" s="14" t="s">
        <v>328</v>
      </c>
      <c r="D116" s="14"/>
      <c r="E116" s="14">
        <v>35</v>
      </c>
      <c r="F116" s="14" t="s">
        <v>329</v>
      </c>
      <c r="G116" s="14" t="s">
        <v>399</v>
      </c>
      <c r="H116" s="14" t="s">
        <v>737</v>
      </c>
      <c r="I116" s="14" t="s">
        <v>1211</v>
      </c>
      <c r="J116" s="14" t="s">
        <v>1280</v>
      </c>
      <c r="K116" s="14">
        <v>5</v>
      </c>
      <c r="L116" s="14">
        <v>5</v>
      </c>
      <c r="M116" s="14">
        <v>2</v>
      </c>
      <c r="N116" s="14"/>
      <c r="O116" s="14"/>
      <c r="P116" s="14">
        <v>3</v>
      </c>
      <c r="Q116" s="14"/>
      <c r="R116" s="14"/>
      <c r="S116" s="14">
        <v>2</v>
      </c>
      <c r="T116" s="14"/>
      <c r="U116" s="14"/>
      <c r="V116" s="14"/>
      <c r="W116" s="14"/>
      <c r="X116" s="14"/>
      <c r="Y116" s="14"/>
      <c r="Z116" s="14" t="s">
        <v>328</v>
      </c>
      <c r="AA116" s="14"/>
      <c r="AB116" s="14"/>
      <c r="AC116" s="14"/>
      <c r="AD116" s="14" t="s">
        <v>328</v>
      </c>
      <c r="AE116" s="14" t="s">
        <v>328</v>
      </c>
      <c r="AF116" s="14"/>
      <c r="AG116" s="14" t="s">
        <v>328</v>
      </c>
      <c r="AH116" s="14"/>
      <c r="AI116" s="14"/>
      <c r="AJ116" s="14" t="s">
        <v>328</v>
      </c>
      <c r="AK116" s="14"/>
      <c r="AL116" s="14" t="s">
        <v>328</v>
      </c>
      <c r="AM116" s="14"/>
      <c r="AN116" s="14"/>
      <c r="AO116" s="14"/>
      <c r="AP116" s="14">
        <v>10</v>
      </c>
      <c r="AQ116" s="14">
        <v>2</v>
      </c>
      <c r="AR116" s="14"/>
      <c r="AS116" s="14" t="s">
        <v>328</v>
      </c>
      <c r="AT116" s="14" t="s">
        <v>328</v>
      </c>
      <c r="AU116" s="14"/>
      <c r="AV116" s="14">
        <v>2</v>
      </c>
      <c r="AW116" s="14">
        <v>3</v>
      </c>
      <c r="AX116" s="14">
        <v>4</v>
      </c>
      <c r="AY116" s="14" t="s">
        <v>346</v>
      </c>
      <c r="AZ116" s="14"/>
      <c r="BA116" s="14" t="s">
        <v>328</v>
      </c>
      <c r="BB116" s="14"/>
      <c r="BC116" s="14" t="s">
        <v>328</v>
      </c>
      <c r="BD116" s="14"/>
      <c r="BE116" s="14"/>
      <c r="BF116" s="14"/>
      <c r="BG116" s="14"/>
      <c r="BH116" s="14"/>
      <c r="BI116" s="14"/>
      <c r="BJ116" s="14"/>
      <c r="BK116" s="14"/>
      <c r="BL116" s="14" t="s">
        <v>328</v>
      </c>
      <c r="BM116" s="14"/>
      <c r="BN116" s="14" t="s">
        <v>328</v>
      </c>
      <c r="BO116" s="14"/>
      <c r="BP116" s="14" t="s">
        <v>328</v>
      </c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 t="s">
        <v>332</v>
      </c>
      <c r="CG116" s="14" t="s">
        <v>328</v>
      </c>
      <c r="CH116" s="14"/>
      <c r="CI116" s="14"/>
      <c r="CJ116" s="14"/>
      <c r="CK116" s="14"/>
      <c r="CL116" s="14">
        <v>3</v>
      </c>
      <c r="CM116" s="14">
        <v>1</v>
      </c>
      <c r="CN116" s="14">
        <v>2</v>
      </c>
      <c r="CO116" s="14">
        <v>5</v>
      </c>
      <c r="CP116" s="14">
        <v>6</v>
      </c>
      <c r="CQ116" s="14">
        <v>4</v>
      </c>
      <c r="CR116" s="14" t="s">
        <v>328</v>
      </c>
      <c r="CS116" s="14" t="s">
        <v>328</v>
      </c>
      <c r="CT116" s="14"/>
      <c r="CU116" s="14"/>
      <c r="CV116" s="14" t="s">
        <v>328</v>
      </c>
      <c r="CW116" s="14"/>
      <c r="CX116" s="14"/>
      <c r="CY116" s="14" t="s">
        <v>328</v>
      </c>
      <c r="CZ116" s="14" t="s">
        <v>404</v>
      </c>
      <c r="DA116" s="14"/>
      <c r="DB116" s="14"/>
      <c r="DC116" s="14"/>
      <c r="DD116" s="14"/>
      <c r="DE116" s="14"/>
      <c r="DF116" s="14"/>
      <c r="DG116" s="14"/>
      <c r="DH116" s="14"/>
      <c r="DI116" s="14" t="s">
        <v>328</v>
      </c>
      <c r="DJ116" s="14" t="s">
        <v>328</v>
      </c>
      <c r="DK116" s="14" t="s">
        <v>387</v>
      </c>
      <c r="DL116" s="14"/>
      <c r="DM116" s="14" t="s">
        <v>396</v>
      </c>
      <c r="DN116" s="14" t="s">
        <v>1146</v>
      </c>
      <c r="DO116" s="14" t="s">
        <v>328</v>
      </c>
      <c r="DP116" s="14"/>
      <c r="DQ116" s="14"/>
      <c r="DR116" s="14"/>
      <c r="DS116" s="14"/>
      <c r="DT116" s="14"/>
      <c r="DU116" s="14"/>
      <c r="DV116" s="14" t="s">
        <v>1144</v>
      </c>
      <c r="DW116" s="14" t="s">
        <v>328</v>
      </c>
      <c r="DX116" s="14"/>
      <c r="DY116" s="14"/>
      <c r="DZ116" s="14"/>
      <c r="EA116" s="14"/>
      <c r="EB116" s="14"/>
      <c r="EC116" s="101" t="s">
        <v>1152</v>
      </c>
      <c r="ED116" s="99"/>
    </row>
    <row r="117" spans="1:134" x14ac:dyDescent="0.25">
      <c r="A117" s="50" t="s">
        <v>1404</v>
      </c>
      <c r="B117" s="61" t="s">
        <v>514</v>
      </c>
      <c r="C117" s="14" t="s">
        <v>328</v>
      </c>
      <c r="D117" s="14"/>
      <c r="E117" s="14">
        <v>43</v>
      </c>
      <c r="F117" s="14" t="s">
        <v>329</v>
      </c>
      <c r="G117" s="14" t="s">
        <v>357</v>
      </c>
      <c r="H117" s="14" t="s">
        <v>731</v>
      </c>
      <c r="I117" s="14" t="s">
        <v>1230</v>
      </c>
      <c r="J117" s="14" t="s">
        <v>1280</v>
      </c>
      <c r="K117" s="14">
        <v>20</v>
      </c>
      <c r="L117" s="14">
        <v>3</v>
      </c>
      <c r="M117" s="14">
        <v>2</v>
      </c>
      <c r="N117" s="14"/>
      <c r="O117" s="14"/>
      <c r="P117" s="14">
        <v>1</v>
      </c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 t="s">
        <v>418</v>
      </c>
      <c r="AJ117" s="14" t="s">
        <v>328</v>
      </c>
      <c r="AK117" s="14"/>
      <c r="AL117" s="14"/>
      <c r="AM117" s="14"/>
      <c r="AN117" s="14"/>
      <c r="AO117" s="14" t="s">
        <v>328</v>
      </c>
      <c r="AP117" s="14">
        <v>5</v>
      </c>
      <c r="AQ117" s="14">
        <v>7</v>
      </c>
      <c r="AR117" s="14"/>
      <c r="AS117" s="14"/>
      <c r="AT117" s="14" t="s">
        <v>328</v>
      </c>
      <c r="AU117" s="14"/>
      <c r="AV117" s="14">
        <v>2</v>
      </c>
      <c r="AW117" s="14">
        <v>3</v>
      </c>
      <c r="AX117" s="14">
        <v>4</v>
      </c>
      <c r="AY117" s="14" t="s">
        <v>346</v>
      </c>
      <c r="AZ117" s="14"/>
      <c r="BA117" s="14" t="s">
        <v>328</v>
      </c>
      <c r="BB117" s="14" t="s">
        <v>328</v>
      </c>
      <c r="BC117" s="14"/>
      <c r="BD117" s="14"/>
      <c r="BE117" s="14"/>
      <c r="BF117" s="14"/>
      <c r="BG117" s="14"/>
      <c r="BH117" s="14"/>
      <c r="BI117" s="14"/>
      <c r="BJ117" s="14"/>
      <c r="BK117" s="14"/>
      <c r="BL117" s="14" t="s">
        <v>328</v>
      </c>
      <c r="BM117" s="14"/>
      <c r="BN117" s="14" t="s">
        <v>328</v>
      </c>
      <c r="BO117" s="14"/>
      <c r="BP117" s="14"/>
      <c r="BQ117" s="14"/>
      <c r="BR117" s="14" t="s">
        <v>328</v>
      </c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 t="s">
        <v>332</v>
      </c>
      <c r="CG117" s="14"/>
      <c r="CH117" s="14"/>
      <c r="CI117" s="14" t="s">
        <v>328</v>
      </c>
      <c r="CJ117" s="14"/>
      <c r="CK117" s="14"/>
      <c r="CL117" s="14">
        <v>3</v>
      </c>
      <c r="CM117" s="14">
        <v>2</v>
      </c>
      <c r="CN117" s="14">
        <v>1</v>
      </c>
      <c r="CO117" s="14">
        <v>5</v>
      </c>
      <c r="CP117" s="14">
        <v>6</v>
      </c>
      <c r="CQ117" s="14">
        <v>4</v>
      </c>
      <c r="CR117" s="14"/>
      <c r="CS117" s="14" t="s">
        <v>328</v>
      </c>
      <c r="CT117" s="14"/>
      <c r="CU117" s="14"/>
      <c r="CV117" s="14"/>
      <c r="CW117" s="14"/>
      <c r="CX117" s="14"/>
      <c r="CY117" s="14" t="s">
        <v>328</v>
      </c>
      <c r="CZ117" s="14" t="s">
        <v>404</v>
      </c>
      <c r="DA117" s="14"/>
      <c r="DB117" s="14"/>
      <c r="DC117" s="14"/>
      <c r="DD117" s="14"/>
      <c r="DE117" s="14"/>
      <c r="DF117" s="14"/>
      <c r="DG117" s="14"/>
      <c r="DH117" s="14" t="s">
        <v>328</v>
      </c>
      <c r="DI117" s="14"/>
      <c r="DJ117" s="14"/>
      <c r="DK117" s="14"/>
      <c r="DL117" s="14"/>
      <c r="DM117" s="14"/>
      <c r="DN117" s="14" t="s">
        <v>1145</v>
      </c>
      <c r="DO117" s="14" t="s">
        <v>328</v>
      </c>
      <c r="DP117" s="14"/>
      <c r="DQ117" s="14"/>
      <c r="DR117" s="14"/>
      <c r="DS117" s="14"/>
      <c r="DT117" s="14"/>
      <c r="DU117" s="14"/>
      <c r="DV117" s="14" t="s">
        <v>1144</v>
      </c>
      <c r="DW117" s="14" t="s">
        <v>328</v>
      </c>
      <c r="DX117" s="14"/>
      <c r="DY117" s="14"/>
      <c r="DZ117" s="14"/>
      <c r="EA117" s="14"/>
      <c r="EB117" s="14"/>
      <c r="EC117" s="101" t="s">
        <v>1152</v>
      </c>
      <c r="ED117" s="99"/>
    </row>
    <row r="118" spans="1:134" s="1" customFormat="1" x14ac:dyDescent="0.25">
      <c r="A118" s="50" t="s">
        <v>1404</v>
      </c>
      <c r="B118" s="61" t="s">
        <v>517</v>
      </c>
      <c r="C118" s="14" t="s">
        <v>328</v>
      </c>
      <c r="D118" s="14"/>
      <c r="E118" s="14">
        <v>38</v>
      </c>
      <c r="F118" s="14" t="s">
        <v>329</v>
      </c>
      <c r="G118" s="14" t="s">
        <v>399</v>
      </c>
      <c r="H118" s="14" t="s">
        <v>726</v>
      </c>
      <c r="I118" s="8" t="s">
        <v>1231</v>
      </c>
      <c r="J118" s="14" t="s">
        <v>1283</v>
      </c>
      <c r="K118" s="14">
        <v>10</v>
      </c>
      <c r="L118" s="14">
        <v>1</v>
      </c>
      <c r="M118" s="14">
        <v>1</v>
      </c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 t="s">
        <v>418</v>
      </c>
      <c r="AJ118" s="14" t="s">
        <v>328</v>
      </c>
      <c r="AK118" s="14"/>
      <c r="AL118" s="14"/>
      <c r="AM118" s="14" t="s">
        <v>328</v>
      </c>
      <c r="AN118" s="14"/>
      <c r="AO118" s="14"/>
      <c r="AP118" s="14">
        <v>4</v>
      </c>
      <c r="AQ118" s="14">
        <v>6</v>
      </c>
      <c r="AR118" s="14"/>
      <c r="AS118" s="14"/>
      <c r="AT118" s="14" t="s">
        <v>328</v>
      </c>
      <c r="AU118" s="14"/>
      <c r="AV118" s="14">
        <v>1</v>
      </c>
      <c r="AW118" s="14">
        <v>2</v>
      </c>
      <c r="AX118" s="14">
        <v>3</v>
      </c>
      <c r="AY118" s="14"/>
      <c r="AZ118" s="14" t="s">
        <v>328</v>
      </c>
      <c r="BA118" s="14"/>
      <c r="BB118" s="14" t="s">
        <v>328</v>
      </c>
      <c r="BC118" s="14"/>
      <c r="BD118" s="14"/>
      <c r="BE118" s="14"/>
      <c r="BF118" s="14"/>
      <c r="BG118" s="14"/>
      <c r="BH118" s="14"/>
      <c r="BI118" s="14"/>
      <c r="BJ118" s="14"/>
      <c r="BK118" s="14"/>
      <c r="BL118" s="14" t="s">
        <v>328</v>
      </c>
      <c r="BM118" s="14"/>
      <c r="BN118" s="14" t="s">
        <v>328</v>
      </c>
      <c r="BO118" s="14"/>
      <c r="BP118" s="14" t="s">
        <v>328</v>
      </c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 t="s">
        <v>332</v>
      </c>
      <c r="CG118" s="14" t="s">
        <v>328</v>
      </c>
      <c r="CH118" s="14"/>
      <c r="CI118" s="14"/>
      <c r="CJ118" s="14"/>
      <c r="CK118" s="14"/>
      <c r="CL118" s="14">
        <v>2</v>
      </c>
      <c r="CM118" s="14">
        <v>1</v>
      </c>
      <c r="CN118" s="14">
        <v>4</v>
      </c>
      <c r="CO118" s="14">
        <v>5</v>
      </c>
      <c r="CP118" s="14">
        <v>6</v>
      </c>
      <c r="CQ118" s="14">
        <v>3</v>
      </c>
      <c r="CR118" s="14"/>
      <c r="CS118" s="14"/>
      <c r="CT118" s="14"/>
      <c r="CU118" s="14"/>
      <c r="CV118" s="14"/>
      <c r="CW118" s="14"/>
      <c r="CX118" s="14" t="s">
        <v>332</v>
      </c>
      <c r="CY118" s="14" t="s">
        <v>328</v>
      </c>
      <c r="CZ118" s="14" t="s">
        <v>404</v>
      </c>
      <c r="DA118" s="14"/>
      <c r="DB118" s="14"/>
      <c r="DC118" s="14"/>
      <c r="DD118" s="14"/>
      <c r="DE118" s="14"/>
      <c r="DF118" s="14"/>
      <c r="DG118" s="14"/>
      <c r="DH118" s="14" t="s">
        <v>328</v>
      </c>
      <c r="DI118" s="14"/>
      <c r="DJ118" s="14"/>
      <c r="DK118" s="14"/>
      <c r="DL118" s="14"/>
      <c r="DM118" s="14"/>
      <c r="DN118" s="14" t="s">
        <v>333</v>
      </c>
      <c r="DO118" s="14"/>
      <c r="DP118" s="14" t="s">
        <v>328</v>
      </c>
      <c r="DQ118" s="14" t="s">
        <v>328</v>
      </c>
      <c r="DR118" s="14" t="s">
        <v>489</v>
      </c>
      <c r="DS118" s="14"/>
      <c r="DT118" s="14"/>
      <c r="DU118" s="15" t="s">
        <v>489</v>
      </c>
      <c r="DV118" s="14" t="s">
        <v>411</v>
      </c>
      <c r="DW118" s="14" t="s">
        <v>328</v>
      </c>
      <c r="DX118" s="14"/>
      <c r="DY118" s="14"/>
      <c r="DZ118" s="14"/>
      <c r="EA118" s="14"/>
      <c r="EB118" s="14"/>
      <c r="EC118" s="101" t="s">
        <v>333</v>
      </c>
      <c r="ED118" s="99"/>
    </row>
    <row r="119" spans="1:134" x14ac:dyDescent="0.25">
      <c r="A119" s="50" t="s">
        <v>1855</v>
      </c>
      <c r="B119" s="61" t="s">
        <v>519</v>
      </c>
      <c r="C119" s="14" t="s">
        <v>328</v>
      </c>
      <c r="D119" s="14"/>
      <c r="E119" s="14">
        <v>54</v>
      </c>
      <c r="F119" s="14" t="s">
        <v>329</v>
      </c>
      <c r="G119" s="14" t="s">
        <v>330</v>
      </c>
      <c r="H119" s="14" t="s">
        <v>356</v>
      </c>
      <c r="I119" s="14" t="s">
        <v>1183</v>
      </c>
      <c r="J119" s="14" t="s">
        <v>1183</v>
      </c>
      <c r="K119" s="14">
        <v>35</v>
      </c>
      <c r="L119" s="14">
        <v>2</v>
      </c>
      <c r="M119" s="14"/>
      <c r="N119" s="14"/>
      <c r="O119" s="14"/>
      <c r="P119" s="14"/>
      <c r="Q119" s="14"/>
      <c r="R119" s="14"/>
      <c r="S119" s="14"/>
      <c r="T119" s="14">
        <v>2</v>
      </c>
      <c r="U119" s="14"/>
      <c r="V119" s="14"/>
      <c r="W119" s="14"/>
      <c r="X119" s="14"/>
      <c r="Y119" s="14"/>
      <c r="Z119" s="14"/>
      <c r="AA119" s="14"/>
      <c r="AB119" s="14"/>
      <c r="AC119" s="14" t="s">
        <v>328</v>
      </c>
      <c r="AD119" s="14"/>
      <c r="AE119" s="14"/>
      <c r="AF119" s="14"/>
      <c r="AG119" s="14"/>
      <c r="AH119" s="14"/>
      <c r="AI119" s="14"/>
      <c r="AJ119" s="14"/>
      <c r="AK119" s="14" t="s">
        <v>328</v>
      </c>
      <c r="AL119" s="14"/>
      <c r="AM119" s="14" t="s">
        <v>328</v>
      </c>
      <c r="AN119" s="14"/>
      <c r="AO119" s="14"/>
      <c r="AP119" s="14">
        <v>10</v>
      </c>
      <c r="AQ119" s="14">
        <v>1</v>
      </c>
      <c r="AR119" s="14"/>
      <c r="AS119" s="14"/>
      <c r="AT119" s="14" t="s">
        <v>328</v>
      </c>
      <c r="AU119" s="14"/>
      <c r="AV119" s="14">
        <v>1</v>
      </c>
      <c r="AW119" s="14">
        <v>2</v>
      </c>
      <c r="AX119" s="14">
        <v>3</v>
      </c>
      <c r="AY119" s="14"/>
      <c r="AZ119" s="14" t="s">
        <v>328</v>
      </c>
      <c r="BA119" s="14"/>
      <c r="BB119" s="14"/>
      <c r="BC119" s="14"/>
      <c r="BD119" s="14" t="s">
        <v>328</v>
      </c>
      <c r="BE119" s="14"/>
      <c r="BF119" s="14"/>
      <c r="BG119" s="14"/>
      <c r="BH119" s="14"/>
      <c r="BI119" s="14"/>
      <c r="BJ119" s="14"/>
      <c r="BK119" s="14"/>
      <c r="BL119" s="14"/>
      <c r="BM119" s="14" t="s">
        <v>328</v>
      </c>
      <c r="BN119" s="14"/>
      <c r="BO119" s="14" t="s">
        <v>328</v>
      </c>
      <c r="BP119" s="14"/>
      <c r="BQ119" s="14"/>
      <c r="BR119" s="14"/>
      <c r="BS119" s="14"/>
      <c r="BT119" s="14"/>
      <c r="BU119" s="14" t="s">
        <v>328</v>
      </c>
      <c r="BV119" s="14"/>
      <c r="BW119" s="14"/>
      <c r="BX119" s="14"/>
      <c r="BY119" s="14"/>
      <c r="BZ119" s="14"/>
      <c r="CA119" s="14" t="s">
        <v>328</v>
      </c>
      <c r="CB119" s="14" t="s">
        <v>328</v>
      </c>
      <c r="CC119" s="14"/>
      <c r="CD119" s="14"/>
      <c r="CE119" s="14"/>
      <c r="CF119" s="14"/>
      <c r="CG119" s="14" t="s">
        <v>328</v>
      </c>
      <c r="CH119" s="14"/>
      <c r="CI119" s="14"/>
      <c r="CJ119" s="14"/>
      <c r="CK119" s="14"/>
      <c r="CL119" s="14">
        <v>3</v>
      </c>
      <c r="CM119" s="14">
        <v>1</v>
      </c>
      <c r="CN119" s="14">
        <v>2</v>
      </c>
      <c r="CO119" s="14">
        <v>5</v>
      </c>
      <c r="CP119" s="14">
        <v>6</v>
      </c>
      <c r="CQ119" s="14">
        <v>4</v>
      </c>
      <c r="CR119" s="14"/>
      <c r="CS119" s="14"/>
      <c r="CT119" s="14"/>
      <c r="CU119" s="14"/>
      <c r="CV119" s="14" t="s">
        <v>328</v>
      </c>
      <c r="CW119" s="14"/>
      <c r="CX119" s="14"/>
      <c r="CY119" s="14" t="s">
        <v>328</v>
      </c>
      <c r="CZ119" s="14" t="s">
        <v>404</v>
      </c>
      <c r="DA119" s="14"/>
      <c r="DB119" s="14"/>
      <c r="DC119" s="14"/>
      <c r="DD119" s="14"/>
      <c r="DE119" s="14"/>
      <c r="DF119" s="14"/>
      <c r="DG119" s="14"/>
      <c r="DH119" s="14" t="s">
        <v>328</v>
      </c>
      <c r="DI119" s="14"/>
      <c r="DJ119" s="14"/>
      <c r="DK119" s="14"/>
      <c r="DL119" s="14"/>
      <c r="DM119" s="14"/>
      <c r="DN119" s="14" t="s">
        <v>1145</v>
      </c>
      <c r="DO119" s="14" t="s">
        <v>328</v>
      </c>
      <c r="DP119" s="14"/>
      <c r="DQ119" s="14"/>
      <c r="DR119" s="14"/>
      <c r="DS119" s="14"/>
      <c r="DT119" s="14"/>
      <c r="DU119" s="14"/>
      <c r="DV119" s="14" t="s">
        <v>1144</v>
      </c>
      <c r="DW119" s="14" t="s">
        <v>328</v>
      </c>
      <c r="DX119" s="14"/>
      <c r="DY119" s="14"/>
      <c r="DZ119" s="14"/>
      <c r="EA119" s="14"/>
      <c r="EB119" s="14"/>
      <c r="EC119" s="101" t="s">
        <v>333</v>
      </c>
      <c r="ED119" s="99"/>
    </row>
    <row r="120" spans="1:134" x14ac:dyDescent="0.25">
      <c r="A120" s="50" t="s">
        <v>1855</v>
      </c>
      <c r="B120" s="61" t="s">
        <v>521</v>
      </c>
      <c r="C120" s="14" t="s">
        <v>328</v>
      </c>
      <c r="D120" s="14"/>
      <c r="E120" s="14">
        <v>44</v>
      </c>
      <c r="F120" s="14" t="s">
        <v>329</v>
      </c>
      <c r="G120" s="14" t="s">
        <v>330</v>
      </c>
      <c r="H120" s="14" t="s">
        <v>771</v>
      </c>
      <c r="I120" s="8" t="s">
        <v>1232</v>
      </c>
      <c r="J120" s="14" t="s">
        <v>1288</v>
      </c>
      <c r="K120" s="14">
        <v>26</v>
      </c>
      <c r="L120" s="14">
        <v>2</v>
      </c>
      <c r="M120" s="14"/>
      <c r="N120" s="14"/>
      <c r="O120" s="14"/>
      <c r="P120" s="14"/>
      <c r="Q120" s="14"/>
      <c r="R120" s="14"/>
      <c r="S120" s="14"/>
      <c r="T120" s="14"/>
      <c r="U120" s="14"/>
      <c r="V120" s="14">
        <v>2</v>
      </c>
      <c r="W120" s="14"/>
      <c r="X120" s="14"/>
      <c r="Y120" s="14"/>
      <c r="Z120" s="14"/>
      <c r="AA120" s="14"/>
      <c r="AB120" s="14"/>
      <c r="AC120" s="14"/>
      <c r="AD120" s="14"/>
      <c r="AE120" s="14" t="s">
        <v>328</v>
      </c>
      <c r="AF120" s="14"/>
      <c r="AG120" s="14"/>
      <c r="AH120" s="14"/>
      <c r="AI120" s="14"/>
      <c r="AJ120" s="14"/>
      <c r="AK120" s="14" t="s">
        <v>328</v>
      </c>
      <c r="AL120" s="14"/>
      <c r="AM120" s="14"/>
      <c r="AN120" s="14"/>
      <c r="AO120" s="14" t="s">
        <v>328</v>
      </c>
      <c r="AP120" s="14">
        <v>3</v>
      </c>
      <c r="AQ120" s="14">
        <v>1</v>
      </c>
      <c r="AR120" s="14"/>
      <c r="AS120" s="14" t="s">
        <v>328</v>
      </c>
      <c r="AT120" s="14"/>
      <c r="AU120" s="14"/>
      <c r="AV120" s="14">
        <v>1</v>
      </c>
      <c r="AW120" s="14">
        <v>2</v>
      </c>
      <c r="AX120" s="14">
        <v>3</v>
      </c>
      <c r="AY120" s="14"/>
      <c r="AZ120" s="14" t="s">
        <v>328</v>
      </c>
      <c r="BA120" s="14"/>
      <c r="BB120" s="14"/>
      <c r="BC120" s="14" t="s">
        <v>328</v>
      </c>
      <c r="BD120" s="14"/>
      <c r="BE120" s="14"/>
      <c r="BF120" s="14"/>
      <c r="BG120" s="14"/>
      <c r="BH120" s="14"/>
      <c r="BI120" s="14"/>
      <c r="BJ120" s="14"/>
      <c r="BK120" s="14"/>
      <c r="BL120" s="14"/>
      <c r="BM120" s="14" t="s">
        <v>328</v>
      </c>
      <c r="BN120" s="14"/>
      <c r="BO120" s="14" t="s">
        <v>328</v>
      </c>
      <c r="BP120" s="14"/>
      <c r="BQ120" s="14"/>
      <c r="BR120" s="14" t="s">
        <v>328</v>
      </c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 t="s">
        <v>332</v>
      </c>
      <c r="CG120" s="14"/>
      <c r="CH120" s="14"/>
      <c r="CI120" s="14" t="s">
        <v>328</v>
      </c>
      <c r="CJ120" s="14"/>
      <c r="CK120" s="14"/>
      <c r="CL120" s="14">
        <v>5</v>
      </c>
      <c r="CM120" s="14">
        <v>4</v>
      </c>
      <c r="CN120" s="14">
        <v>3</v>
      </c>
      <c r="CO120" s="14">
        <v>2</v>
      </c>
      <c r="CP120" s="14">
        <v>1</v>
      </c>
      <c r="CQ120" s="14">
        <v>6</v>
      </c>
      <c r="CR120" s="14"/>
      <c r="CS120" s="14"/>
      <c r="CT120" s="14"/>
      <c r="CU120" s="14"/>
      <c r="CV120" s="14"/>
      <c r="CW120" s="14"/>
      <c r="CX120" s="14" t="s">
        <v>332</v>
      </c>
      <c r="CY120" s="14"/>
      <c r="CZ120" s="14"/>
      <c r="DA120" s="14">
        <v>2</v>
      </c>
      <c r="DB120" s="14">
        <v>1</v>
      </c>
      <c r="DC120" s="14">
        <v>4</v>
      </c>
      <c r="DD120" s="14">
        <v>5</v>
      </c>
      <c r="DE120" s="14">
        <v>3</v>
      </c>
      <c r="DF120" s="14">
        <v>6</v>
      </c>
      <c r="DG120" s="14"/>
      <c r="DH120" s="14" t="s">
        <v>328</v>
      </c>
      <c r="DI120" s="14"/>
      <c r="DJ120" s="14"/>
      <c r="DK120" s="14"/>
      <c r="DL120" s="14"/>
      <c r="DM120" s="14"/>
      <c r="DN120" s="14" t="s">
        <v>1145</v>
      </c>
      <c r="DO120" s="14" t="s">
        <v>328</v>
      </c>
      <c r="DP120" s="14"/>
      <c r="DQ120" s="14"/>
      <c r="DR120" s="14"/>
      <c r="DS120" s="14"/>
      <c r="DT120" s="14"/>
      <c r="DU120" s="14"/>
      <c r="DV120" s="14" t="s">
        <v>333</v>
      </c>
      <c r="DW120" s="14" t="s">
        <v>328</v>
      </c>
      <c r="DX120" s="14"/>
      <c r="DY120" s="14"/>
      <c r="DZ120" s="14"/>
      <c r="EA120" s="14"/>
      <c r="EB120" s="14"/>
      <c r="EC120" s="101" t="s">
        <v>1146</v>
      </c>
      <c r="ED120" s="48"/>
    </row>
    <row r="121" spans="1:134" x14ac:dyDescent="0.25">
      <c r="A121" s="50" t="s">
        <v>1855</v>
      </c>
      <c r="B121" s="61" t="s">
        <v>522</v>
      </c>
      <c r="C121" s="14" t="s">
        <v>328</v>
      </c>
      <c r="D121" s="14"/>
      <c r="E121" s="14">
        <v>51</v>
      </c>
      <c r="F121" s="14" t="s">
        <v>329</v>
      </c>
      <c r="G121" s="14" t="s">
        <v>584</v>
      </c>
      <c r="H121" s="14" t="s">
        <v>771</v>
      </c>
      <c r="I121" s="14" t="s">
        <v>1232</v>
      </c>
      <c r="J121" s="14" t="s">
        <v>1288</v>
      </c>
      <c r="K121" s="14">
        <v>35</v>
      </c>
      <c r="L121" s="14">
        <v>3</v>
      </c>
      <c r="M121" s="14"/>
      <c r="N121" s="14"/>
      <c r="O121" s="14"/>
      <c r="P121" s="14"/>
      <c r="Q121" s="14"/>
      <c r="R121" s="14"/>
      <c r="S121" s="14"/>
      <c r="T121" s="14"/>
      <c r="U121" s="14"/>
      <c r="V121" s="14">
        <v>3</v>
      </c>
      <c r="W121" s="14"/>
      <c r="X121" s="14"/>
      <c r="Y121" s="14"/>
      <c r="Z121" s="14"/>
      <c r="AA121" s="14"/>
      <c r="AB121" s="14"/>
      <c r="AC121" s="14"/>
      <c r="AD121" s="14"/>
      <c r="AE121" s="14" t="s">
        <v>328</v>
      </c>
      <c r="AF121" s="14"/>
      <c r="AG121" s="14"/>
      <c r="AH121" s="14"/>
      <c r="AI121" s="14"/>
      <c r="AJ121" s="14"/>
      <c r="AK121" s="14" t="s">
        <v>328</v>
      </c>
      <c r="AL121" s="14"/>
      <c r="AM121" s="14"/>
      <c r="AN121" s="14"/>
      <c r="AO121" s="14" t="s">
        <v>328</v>
      </c>
      <c r="AP121" s="15" t="s">
        <v>396</v>
      </c>
      <c r="AQ121" s="15" t="s">
        <v>396</v>
      </c>
      <c r="AR121" s="14" t="s">
        <v>328</v>
      </c>
      <c r="AS121" s="14"/>
      <c r="AT121" s="14"/>
      <c r="AU121" s="14"/>
      <c r="AV121" s="14">
        <v>1</v>
      </c>
      <c r="AW121" s="14">
        <v>3</v>
      </c>
      <c r="AX121" s="14">
        <v>2</v>
      </c>
      <c r="AY121" s="14"/>
      <c r="AZ121" s="14" t="s">
        <v>328</v>
      </c>
      <c r="BA121" s="14"/>
      <c r="BB121" s="14" t="s">
        <v>328</v>
      </c>
      <c r="BC121" s="14"/>
      <c r="BD121" s="14"/>
      <c r="BE121" s="14"/>
      <c r="BF121" s="14"/>
      <c r="BG121" s="14"/>
      <c r="BH121" s="14"/>
      <c r="BI121" s="14"/>
      <c r="BJ121" s="14" t="s">
        <v>328</v>
      </c>
      <c r="BK121" s="14"/>
      <c r="BL121" s="14"/>
      <c r="BM121" s="14" t="s">
        <v>328</v>
      </c>
      <c r="BN121" s="14"/>
      <c r="BO121" s="14" t="s">
        <v>328</v>
      </c>
      <c r="BP121" s="14"/>
      <c r="BQ121" s="14"/>
      <c r="BR121" s="14"/>
      <c r="BS121" s="14"/>
      <c r="BT121" s="14"/>
      <c r="BU121" s="14"/>
      <c r="BV121" s="8" t="s">
        <v>409</v>
      </c>
      <c r="BW121" s="14"/>
      <c r="BX121" s="14"/>
      <c r="BY121" s="14"/>
      <c r="BZ121" s="14"/>
      <c r="CA121" s="14"/>
      <c r="CB121" s="14" t="s">
        <v>328</v>
      </c>
      <c r="CC121" s="14"/>
      <c r="CD121" s="14"/>
      <c r="CE121" s="14"/>
      <c r="CF121" s="14"/>
      <c r="CG121" s="14" t="s">
        <v>328</v>
      </c>
      <c r="CH121" s="14"/>
      <c r="CI121" s="14"/>
      <c r="CJ121" s="14"/>
      <c r="CK121" s="14"/>
      <c r="CL121" s="14">
        <v>6</v>
      </c>
      <c r="CM121" s="14">
        <v>4</v>
      </c>
      <c r="CN121" s="14">
        <v>3</v>
      </c>
      <c r="CO121" s="14">
        <v>1</v>
      </c>
      <c r="CP121" s="14">
        <v>2</v>
      </c>
      <c r="CQ121" s="14">
        <v>5</v>
      </c>
      <c r="CR121" s="14"/>
      <c r="CS121" s="14"/>
      <c r="CT121" s="14"/>
      <c r="CU121" s="14"/>
      <c r="CV121" s="14"/>
      <c r="CW121" s="14"/>
      <c r="CX121" s="14" t="s">
        <v>332</v>
      </c>
      <c r="CY121" s="14" t="s">
        <v>328</v>
      </c>
      <c r="CZ121" s="14" t="s">
        <v>404</v>
      </c>
      <c r="DA121" s="14"/>
      <c r="DB121" s="14"/>
      <c r="DC121" s="14"/>
      <c r="DD121" s="14"/>
      <c r="DE121" s="14"/>
      <c r="DF121" s="14"/>
      <c r="DG121" s="14"/>
      <c r="DH121" s="14" t="s">
        <v>328</v>
      </c>
      <c r="DI121" s="14"/>
      <c r="DJ121" s="14"/>
      <c r="DK121" s="14"/>
      <c r="DL121" s="14"/>
      <c r="DM121" s="14"/>
      <c r="DN121" s="14" t="s">
        <v>1146</v>
      </c>
      <c r="DO121" s="14" t="s">
        <v>328</v>
      </c>
      <c r="DP121" s="14"/>
      <c r="DQ121" s="14"/>
      <c r="DR121" s="14"/>
      <c r="DS121" s="14"/>
      <c r="DT121" s="14"/>
      <c r="DU121" s="14"/>
      <c r="DV121" s="14" t="s">
        <v>1149</v>
      </c>
      <c r="DW121" s="14" t="s">
        <v>328</v>
      </c>
      <c r="DX121" s="14"/>
      <c r="DY121" s="14"/>
      <c r="DZ121" s="14"/>
      <c r="EA121" s="14"/>
      <c r="EB121" s="14"/>
      <c r="EC121" s="101" t="s">
        <v>1145</v>
      </c>
      <c r="ED121" s="48"/>
    </row>
    <row r="122" spans="1:134" x14ac:dyDescent="0.25">
      <c r="A122" s="50" t="s">
        <v>1855</v>
      </c>
      <c r="B122" s="61" t="s">
        <v>523</v>
      </c>
      <c r="C122" s="14" t="s">
        <v>328</v>
      </c>
      <c r="D122" s="14"/>
      <c r="E122" s="14">
        <v>52</v>
      </c>
      <c r="F122" s="14" t="s">
        <v>329</v>
      </c>
      <c r="G122" s="14" t="s">
        <v>724</v>
      </c>
      <c r="H122" s="14" t="s">
        <v>356</v>
      </c>
      <c r="I122" s="14" t="s">
        <v>1183</v>
      </c>
      <c r="J122" s="14" t="s">
        <v>1183</v>
      </c>
      <c r="K122" s="14">
        <v>0</v>
      </c>
      <c r="L122" s="14">
        <v>5</v>
      </c>
      <c r="M122" s="14"/>
      <c r="N122" s="14"/>
      <c r="O122" s="14"/>
      <c r="P122" s="14">
        <v>5</v>
      </c>
      <c r="Q122" s="14"/>
      <c r="R122" s="14"/>
      <c r="S122" s="14"/>
      <c r="T122" s="14"/>
      <c r="U122" s="14"/>
      <c r="V122" s="14"/>
      <c r="W122" s="14"/>
      <c r="X122" s="14"/>
      <c r="Y122" s="14"/>
      <c r="Z122" s="14" t="s">
        <v>328</v>
      </c>
      <c r="AA122" s="14"/>
      <c r="AB122" s="14"/>
      <c r="AC122" s="14"/>
      <c r="AD122" s="14"/>
      <c r="AE122" s="14"/>
      <c r="AF122" s="14"/>
      <c r="AG122" s="14" t="s">
        <v>328</v>
      </c>
      <c r="AH122" s="14"/>
      <c r="AI122" s="14"/>
      <c r="AJ122" s="14" t="s">
        <v>328</v>
      </c>
      <c r="AK122" s="14"/>
      <c r="AL122" s="14"/>
      <c r="AM122" s="14"/>
      <c r="AN122" s="14" t="s">
        <v>328</v>
      </c>
      <c r="AO122" s="14"/>
      <c r="AP122" s="14">
        <v>10</v>
      </c>
      <c r="AQ122" s="14">
        <v>1</v>
      </c>
      <c r="AR122" s="14"/>
      <c r="AS122" s="14" t="s">
        <v>328</v>
      </c>
      <c r="AT122" s="14"/>
      <c r="AU122" s="14"/>
      <c r="AV122" s="14">
        <v>2</v>
      </c>
      <c r="AW122" s="14">
        <v>3</v>
      </c>
      <c r="AX122" s="14">
        <v>1</v>
      </c>
      <c r="AY122" s="14"/>
      <c r="AZ122" s="14"/>
      <c r="BA122" s="14" t="s">
        <v>328</v>
      </c>
      <c r="BB122" s="14"/>
      <c r="BC122" s="14"/>
      <c r="BD122" s="14"/>
      <c r="BE122" s="14"/>
      <c r="BF122" s="14"/>
      <c r="BG122" s="14" t="s">
        <v>328</v>
      </c>
      <c r="BH122" s="14"/>
      <c r="BI122" s="14"/>
      <c r="BJ122" s="14"/>
      <c r="BK122" s="14"/>
      <c r="BL122" s="14"/>
      <c r="BM122" s="14" t="s">
        <v>328</v>
      </c>
      <c r="BN122" s="14" t="s">
        <v>328</v>
      </c>
      <c r="BO122" s="14"/>
      <c r="BP122" s="14"/>
      <c r="BQ122" s="14"/>
      <c r="BR122" s="14"/>
      <c r="BS122" s="14"/>
      <c r="BT122" s="14"/>
      <c r="BU122" s="14" t="s">
        <v>328</v>
      </c>
      <c r="BV122" s="14"/>
      <c r="BW122" s="14" t="s">
        <v>328</v>
      </c>
      <c r="BX122" s="14"/>
      <c r="BY122" s="14"/>
      <c r="BZ122" s="14" t="s">
        <v>328</v>
      </c>
      <c r="CA122" s="14" t="s">
        <v>328</v>
      </c>
      <c r="CB122" s="14"/>
      <c r="CC122" s="14"/>
      <c r="CD122" s="14"/>
      <c r="CE122" s="14"/>
      <c r="CF122" s="14"/>
      <c r="CG122" s="14"/>
      <c r="CH122" s="14"/>
      <c r="CI122" s="14"/>
      <c r="CJ122" s="14"/>
      <c r="CK122" s="14" t="s">
        <v>328</v>
      </c>
      <c r="CL122" s="14">
        <v>2</v>
      </c>
      <c r="CM122" s="14">
        <v>3</v>
      </c>
      <c r="CN122" s="14">
        <v>5</v>
      </c>
      <c r="CO122" s="14">
        <v>4</v>
      </c>
      <c r="CP122" s="14">
        <v>6</v>
      </c>
      <c r="CQ122" s="14">
        <v>1</v>
      </c>
      <c r="CR122" s="14"/>
      <c r="CS122" s="14"/>
      <c r="CT122" s="14"/>
      <c r="CU122" s="14"/>
      <c r="CV122" s="14"/>
      <c r="CW122" s="14" t="s">
        <v>328</v>
      </c>
      <c r="CX122" s="14"/>
      <c r="CY122" s="14"/>
      <c r="CZ122" s="14"/>
      <c r="DA122" s="14">
        <v>1</v>
      </c>
      <c r="DB122" s="14">
        <v>3</v>
      </c>
      <c r="DC122" s="14">
        <v>4</v>
      </c>
      <c r="DD122" s="14">
        <v>5</v>
      </c>
      <c r="DE122" s="14">
        <v>2</v>
      </c>
      <c r="DF122" s="14">
        <v>6</v>
      </c>
      <c r="DG122" s="14"/>
      <c r="DH122" s="14" t="s">
        <v>328</v>
      </c>
      <c r="DI122" s="14"/>
      <c r="DJ122" s="14"/>
      <c r="DK122" s="14"/>
      <c r="DL122" s="14"/>
      <c r="DM122" s="14"/>
      <c r="DN122" s="14" t="s">
        <v>333</v>
      </c>
      <c r="DO122" s="14" t="s">
        <v>328</v>
      </c>
      <c r="DP122" s="14"/>
      <c r="DQ122" s="14"/>
      <c r="DR122" s="14"/>
      <c r="DS122" s="14"/>
      <c r="DT122" s="14"/>
      <c r="DU122" s="14"/>
      <c r="DV122" s="14" t="s">
        <v>1148</v>
      </c>
      <c r="DW122" s="14" t="s">
        <v>328</v>
      </c>
      <c r="DX122" s="14"/>
      <c r="DY122" s="14"/>
      <c r="DZ122" s="14"/>
      <c r="EA122" s="14"/>
      <c r="EB122" s="14"/>
      <c r="EC122" s="101" t="s">
        <v>1145</v>
      </c>
      <c r="ED122" s="48"/>
    </row>
    <row r="123" spans="1:134" x14ac:dyDescent="0.25">
      <c r="A123" s="50" t="s">
        <v>1855</v>
      </c>
      <c r="B123" s="61" t="s">
        <v>524</v>
      </c>
      <c r="C123" s="14" t="s">
        <v>328</v>
      </c>
      <c r="D123" s="14"/>
      <c r="E123" s="14">
        <v>38</v>
      </c>
      <c r="F123" s="14" t="s">
        <v>329</v>
      </c>
      <c r="G123" s="14" t="s">
        <v>399</v>
      </c>
      <c r="H123" s="14" t="s">
        <v>572</v>
      </c>
      <c r="I123" s="8" t="s">
        <v>1233</v>
      </c>
      <c r="J123" s="14" t="s">
        <v>1288</v>
      </c>
      <c r="K123" s="14">
        <v>10</v>
      </c>
      <c r="L123" s="14">
        <v>3</v>
      </c>
      <c r="M123" s="14"/>
      <c r="N123" s="14"/>
      <c r="O123" s="14"/>
      <c r="P123" s="14"/>
      <c r="Q123" s="14"/>
      <c r="R123" s="14"/>
      <c r="S123" s="14"/>
      <c r="T123" s="14"/>
      <c r="U123" s="14"/>
      <c r="V123" s="14">
        <v>3</v>
      </c>
      <c r="W123" s="14"/>
      <c r="X123" s="14"/>
      <c r="Y123" s="14"/>
      <c r="Z123" s="14"/>
      <c r="AA123" s="14"/>
      <c r="AB123" s="14"/>
      <c r="AC123" s="14"/>
      <c r="AD123" s="14"/>
      <c r="AE123" s="14" t="s">
        <v>328</v>
      </c>
      <c r="AF123" s="14"/>
      <c r="AG123" s="14"/>
      <c r="AH123" s="14"/>
      <c r="AI123" s="14"/>
      <c r="AJ123" s="14"/>
      <c r="AK123" s="14" t="s">
        <v>328</v>
      </c>
      <c r="AL123" s="14"/>
      <c r="AM123" s="14" t="s">
        <v>328</v>
      </c>
      <c r="AN123" s="14"/>
      <c r="AO123" s="14"/>
      <c r="AP123" s="14">
        <v>0</v>
      </c>
      <c r="AQ123" s="14">
        <v>0</v>
      </c>
      <c r="AR123" s="14" t="s">
        <v>328</v>
      </c>
      <c r="AS123" s="14"/>
      <c r="AT123" s="14"/>
      <c r="AU123" s="14"/>
      <c r="AV123" s="14">
        <v>3</v>
      </c>
      <c r="AW123" s="14">
        <v>2</v>
      </c>
      <c r="AX123" s="14">
        <v>1</v>
      </c>
      <c r="AY123" s="14"/>
      <c r="AZ123" s="14" t="s">
        <v>328</v>
      </c>
      <c r="BA123" s="14"/>
      <c r="BB123" s="14" t="s">
        <v>328</v>
      </c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 t="s">
        <v>328</v>
      </c>
      <c r="BN123" s="14"/>
      <c r="BO123" s="14" t="s">
        <v>328</v>
      </c>
      <c r="BP123" s="14"/>
      <c r="BQ123" s="14"/>
      <c r="BR123" s="14"/>
      <c r="BS123" s="14"/>
      <c r="BT123" s="14"/>
      <c r="BU123" s="14" t="s">
        <v>328</v>
      </c>
      <c r="BV123" s="14"/>
      <c r="BW123" s="14"/>
      <c r="BX123" s="14"/>
      <c r="BY123" s="14"/>
      <c r="BZ123" s="14"/>
      <c r="CA123" s="14" t="s">
        <v>328</v>
      </c>
      <c r="CB123" s="14"/>
      <c r="CC123" s="14"/>
      <c r="CD123" s="14"/>
      <c r="CE123" s="14"/>
      <c r="CF123" s="14"/>
      <c r="CG123" s="14" t="s">
        <v>328</v>
      </c>
      <c r="CH123" s="14"/>
      <c r="CI123" s="14"/>
      <c r="CJ123" s="14"/>
      <c r="CK123" s="14"/>
      <c r="CL123" s="14">
        <v>2</v>
      </c>
      <c r="CM123" s="14">
        <v>3</v>
      </c>
      <c r="CN123" s="14">
        <v>4</v>
      </c>
      <c r="CO123" s="14">
        <v>6</v>
      </c>
      <c r="CP123" s="14">
        <v>5</v>
      </c>
      <c r="CQ123" s="14">
        <v>1</v>
      </c>
      <c r="CR123" s="14"/>
      <c r="CS123" s="14" t="s">
        <v>328</v>
      </c>
      <c r="CT123" s="14"/>
      <c r="CU123" s="14" t="s">
        <v>328</v>
      </c>
      <c r="CV123" s="14"/>
      <c r="CW123" s="14" t="s">
        <v>328</v>
      </c>
      <c r="CX123" s="14"/>
      <c r="CY123" s="14"/>
      <c r="CZ123" s="14"/>
      <c r="DA123" s="14">
        <v>2</v>
      </c>
      <c r="DB123" s="14">
        <v>6</v>
      </c>
      <c r="DC123" s="14">
        <v>5</v>
      </c>
      <c r="DD123" s="14">
        <v>4</v>
      </c>
      <c r="DE123" s="14">
        <v>1</v>
      </c>
      <c r="DF123" s="14">
        <v>3</v>
      </c>
      <c r="DG123" s="14"/>
      <c r="DH123" s="14" t="s">
        <v>328</v>
      </c>
      <c r="DI123" s="14"/>
      <c r="DJ123" s="14"/>
      <c r="DK123" s="14"/>
      <c r="DL123" s="14"/>
      <c r="DM123" s="14"/>
      <c r="DN123" s="14" t="s">
        <v>1146</v>
      </c>
      <c r="DO123" s="14"/>
      <c r="DP123" s="14" t="s">
        <v>328</v>
      </c>
      <c r="DQ123" s="14" t="s">
        <v>328</v>
      </c>
      <c r="DR123" s="14" t="s">
        <v>923</v>
      </c>
      <c r="DS123" s="14"/>
      <c r="DT123" s="14"/>
      <c r="DU123" s="15" t="s">
        <v>410</v>
      </c>
      <c r="DV123" s="14" t="s">
        <v>411</v>
      </c>
      <c r="DW123" s="14" t="s">
        <v>328</v>
      </c>
      <c r="DX123" s="14"/>
      <c r="DY123" s="14"/>
      <c r="DZ123" s="14"/>
      <c r="EA123" s="14"/>
      <c r="EB123" s="14"/>
      <c r="EC123" s="101" t="s">
        <v>1145</v>
      </c>
      <c r="ED123" s="48"/>
    </row>
    <row r="124" spans="1:134" x14ac:dyDescent="0.25">
      <c r="A124" s="50" t="s">
        <v>1855</v>
      </c>
      <c r="B124" s="61" t="s">
        <v>525</v>
      </c>
      <c r="C124" s="14" t="s">
        <v>328</v>
      </c>
      <c r="D124" s="14"/>
      <c r="E124" s="14">
        <v>67</v>
      </c>
      <c r="F124" s="14" t="s">
        <v>329</v>
      </c>
      <c r="G124" s="14" t="s">
        <v>353</v>
      </c>
      <c r="H124" s="14" t="s">
        <v>776</v>
      </c>
      <c r="I124" s="8" t="s">
        <v>1234</v>
      </c>
      <c r="J124" s="14" t="s">
        <v>1288</v>
      </c>
      <c r="K124" s="14">
        <v>45</v>
      </c>
      <c r="L124" s="14">
        <v>1</v>
      </c>
      <c r="M124" s="14">
        <v>1</v>
      </c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 t="s">
        <v>328</v>
      </c>
      <c r="AA124" s="14" t="s">
        <v>328</v>
      </c>
      <c r="AB124" s="14"/>
      <c r="AC124" s="14" t="s">
        <v>328</v>
      </c>
      <c r="AD124" s="14" t="s">
        <v>328</v>
      </c>
      <c r="AE124" s="14" t="s">
        <v>328</v>
      </c>
      <c r="AF124" s="14" t="s">
        <v>328</v>
      </c>
      <c r="AG124" s="14"/>
      <c r="AH124" s="14"/>
      <c r="AI124" s="14"/>
      <c r="AJ124" s="14"/>
      <c r="AK124" s="14" t="s">
        <v>328</v>
      </c>
      <c r="AL124" s="14"/>
      <c r="AM124" s="14" t="s">
        <v>328</v>
      </c>
      <c r="AN124" s="14"/>
      <c r="AO124" s="14"/>
      <c r="AP124" s="14">
        <v>0</v>
      </c>
      <c r="AQ124" s="14">
        <v>0</v>
      </c>
      <c r="AR124" s="14"/>
      <c r="AS124" s="14" t="s">
        <v>328</v>
      </c>
      <c r="AT124" s="14"/>
      <c r="AU124" s="14"/>
      <c r="AV124" s="14">
        <v>1</v>
      </c>
      <c r="AW124" s="14">
        <v>2</v>
      </c>
      <c r="AX124" s="14">
        <v>3</v>
      </c>
      <c r="AY124" s="14"/>
      <c r="AZ124" s="14" t="s">
        <v>328</v>
      </c>
      <c r="BA124" s="14"/>
      <c r="BB124" s="14" t="s">
        <v>328</v>
      </c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 t="s">
        <v>328</v>
      </c>
      <c r="BN124" s="14" t="s">
        <v>328</v>
      </c>
      <c r="BO124" s="14"/>
      <c r="BP124" s="14"/>
      <c r="BQ124" s="14"/>
      <c r="BR124" s="14"/>
      <c r="BS124" s="14"/>
      <c r="BT124" s="14"/>
      <c r="BU124" s="14"/>
      <c r="BV124" s="14" t="s">
        <v>332</v>
      </c>
      <c r="BW124" s="14"/>
      <c r="BX124" s="14"/>
      <c r="BY124" s="14"/>
      <c r="BZ124" s="14"/>
      <c r="CA124" s="14"/>
      <c r="CB124" s="14" t="s">
        <v>328</v>
      </c>
      <c r="CC124" s="14" t="s">
        <v>328</v>
      </c>
      <c r="CD124" s="14" t="s">
        <v>328</v>
      </c>
      <c r="CE124" s="14"/>
      <c r="CF124" s="14"/>
      <c r="CG124" s="14"/>
      <c r="CH124" s="14" t="s">
        <v>328</v>
      </c>
      <c r="CI124" s="14"/>
      <c r="CJ124" s="14"/>
      <c r="CK124" s="14"/>
      <c r="CL124" s="14">
        <v>5</v>
      </c>
      <c r="CM124" s="14">
        <v>3</v>
      </c>
      <c r="CN124" s="14">
        <v>4</v>
      </c>
      <c r="CO124" s="14">
        <v>1</v>
      </c>
      <c r="CP124" s="14">
        <v>2</v>
      </c>
      <c r="CQ124" s="14">
        <v>6</v>
      </c>
      <c r="CR124" s="14"/>
      <c r="CS124" s="14"/>
      <c r="CT124" s="14"/>
      <c r="CU124" s="14"/>
      <c r="CV124" s="14" t="s">
        <v>328</v>
      </c>
      <c r="CW124" s="14"/>
      <c r="CX124" s="14"/>
      <c r="CY124" s="14" t="s">
        <v>328</v>
      </c>
      <c r="CZ124" s="14" t="s">
        <v>404</v>
      </c>
      <c r="DA124" s="14"/>
      <c r="DB124" s="14"/>
      <c r="DC124" s="14"/>
      <c r="DD124" s="14"/>
      <c r="DE124" s="14"/>
      <c r="DF124" s="14"/>
      <c r="DG124" s="14"/>
      <c r="DH124" s="14" t="s">
        <v>328</v>
      </c>
      <c r="DI124" s="14"/>
      <c r="DJ124" s="14"/>
      <c r="DK124" s="14"/>
      <c r="DL124" s="14"/>
      <c r="DM124" s="14"/>
      <c r="DN124" s="14" t="s">
        <v>1145</v>
      </c>
      <c r="DO124" s="14" t="s">
        <v>328</v>
      </c>
      <c r="DP124" s="14"/>
      <c r="DQ124" s="14"/>
      <c r="DR124" s="14"/>
      <c r="DS124" s="14"/>
      <c r="DT124" s="14"/>
      <c r="DU124" s="14"/>
      <c r="DV124" s="14" t="s">
        <v>1145</v>
      </c>
      <c r="DW124" s="14" t="s">
        <v>328</v>
      </c>
      <c r="DX124" s="14"/>
      <c r="DY124" s="14"/>
      <c r="DZ124" s="14"/>
      <c r="EA124" s="14"/>
      <c r="EB124" s="14"/>
      <c r="EC124" s="101" t="s">
        <v>1145</v>
      </c>
      <c r="ED124" s="48"/>
    </row>
    <row r="125" spans="1:134" x14ac:dyDescent="0.25">
      <c r="A125" s="50" t="s">
        <v>1855</v>
      </c>
      <c r="B125" s="61" t="s">
        <v>526</v>
      </c>
      <c r="C125" s="14" t="s">
        <v>328</v>
      </c>
      <c r="D125" s="14"/>
      <c r="E125" s="14">
        <v>56</v>
      </c>
      <c r="F125" s="14" t="s">
        <v>329</v>
      </c>
      <c r="G125" s="14" t="s">
        <v>330</v>
      </c>
      <c r="H125" s="14" t="s">
        <v>732</v>
      </c>
      <c r="I125" s="8" t="s">
        <v>1235</v>
      </c>
      <c r="J125" s="14" t="s">
        <v>1183</v>
      </c>
      <c r="K125" s="14">
        <v>40</v>
      </c>
      <c r="L125" s="14">
        <v>1</v>
      </c>
      <c r="M125" s="14"/>
      <c r="N125" s="14"/>
      <c r="O125" s="14"/>
      <c r="P125" s="14"/>
      <c r="Q125" s="14">
        <v>1</v>
      </c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 t="s">
        <v>563</v>
      </c>
      <c r="AJ125" s="14" t="s">
        <v>328</v>
      </c>
      <c r="AK125" s="14"/>
      <c r="AL125" s="14"/>
      <c r="AM125" s="14"/>
      <c r="AN125" s="14"/>
      <c r="AO125" s="14" t="s">
        <v>328</v>
      </c>
      <c r="AP125" s="14">
        <v>8</v>
      </c>
      <c r="AQ125" s="14">
        <v>1</v>
      </c>
      <c r="AR125" s="14"/>
      <c r="AS125" s="14" t="s">
        <v>328</v>
      </c>
      <c r="AT125" s="14"/>
      <c r="AU125" s="14"/>
      <c r="AV125" s="14">
        <v>1</v>
      </c>
      <c r="AW125" s="14">
        <v>3</v>
      </c>
      <c r="AX125" s="14">
        <v>2</v>
      </c>
      <c r="AY125" s="14"/>
      <c r="AZ125" s="14" t="s">
        <v>328</v>
      </c>
      <c r="BA125" s="14"/>
      <c r="BB125" s="14"/>
      <c r="BC125" s="14" t="s">
        <v>328</v>
      </c>
      <c r="BD125" s="14"/>
      <c r="BE125" s="14"/>
      <c r="BF125" s="14"/>
      <c r="BG125" s="14"/>
      <c r="BH125" s="14"/>
      <c r="BI125" s="14"/>
      <c r="BJ125" s="14"/>
      <c r="BK125" s="14"/>
      <c r="BL125" s="14"/>
      <c r="BM125" s="14" t="s">
        <v>328</v>
      </c>
      <c r="BN125" s="14"/>
      <c r="BO125" s="14" t="s">
        <v>328</v>
      </c>
      <c r="BP125" s="14"/>
      <c r="BQ125" s="14"/>
      <c r="BR125" s="14"/>
      <c r="BS125" s="14"/>
      <c r="BT125" s="14"/>
      <c r="BU125" s="14"/>
      <c r="BV125" s="14" t="s">
        <v>409</v>
      </c>
      <c r="BW125" s="14"/>
      <c r="BX125" s="14"/>
      <c r="BY125" s="14"/>
      <c r="BZ125" s="14"/>
      <c r="CA125" s="14"/>
      <c r="CB125" s="14" t="s">
        <v>328</v>
      </c>
      <c r="CC125" s="14"/>
      <c r="CD125" s="14" t="s">
        <v>328</v>
      </c>
      <c r="CE125" s="14" t="s">
        <v>328</v>
      </c>
      <c r="CF125" s="14"/>
      <c r="CG125" s="14"/>
      <c r="CH125" s="14"/>
      <c r="CI125" s="14"/>
      <c r="CJ125" s="14" t="s">
        <v>328</v>
      </c>
      <c r="CK125" s="14"/>
      <c r="CL125" s="14">
        <v>6</v>
      </c>
      <c r="CM125" s="14">
        <v>1</v>
      </c>
      <c r="CN125" s="14">
        <v>2</v>
      </c>
      <c r="CO125" s="14">
        <v>4</v>
      </c>
      <c r="CP125" s="14">
        <v>3</v>
      </c>
      <c r="CQ125" s="14">
        <v>5</v>
      </c>
      <c r="CR125" s="14"/>
      <c r="CS125" s="14"/>
      <c r="CT125" s="14"/>
      <c r="CU125" s="14"/>
      <c r="CV125" s="14" t="s">
        <v>328</v>
      </c>
      <c r="CW125" s="14"/>
      <c r="CX125" s="14"/>
      <c r="CY125" s="14" t="s">
        <v>328</v>
      </c>
      <c r="CZ125" s="14" t="s">
        <v>564</v>
      </c>
      <c r="DA125" s="14"/>
      <c r="DB125" s="14"/>
      <c r="DC125" s="14"/>
      <c r="DD125" s="14"/>
      <c r="DE125" s="14"/>
      <c r="DF125" s="14"/>
      <c r="DG125" s="14"/>
      <c r="DH125" s="14" t="s">
        <v>328</v>
      </c>
      <c r="DI125" s="14"/>
      <c r="DJ125" s="14"/>
      <c r="DK125" s="14"/>
      <c r="DL125" s="14"/>
      <c r="DM125" s="14"/>
      <c r="DN125" s="14" t="s">
        <v>1146</v>
      </c>
      <c r="DO125" s="14" t="s">
        <v>328</v>
      </c>
      <c r="DP125" s="14"/>
      <c r="DQ125" s="14"/>
      <c r="DR125" s="14"/>
      <c r="DS125" s="14"/>
      <c r="DT125" s="14"/>
      <c r="DU125" s="14"/>
      <c r="DV125" s="14" t="s">
        <v>1152</v>
      </c>
      <c r="DW125" s="14" t="s">
        <v>328</v>
      </c>
      <c r="DX125" s="14"/>
      <c r="DY125" s="14"/>
      <c r="DZ125" s="14"/>
      <c r="EA125" s="14"/>
      <c r="EB125" s="14"/>
      <c r="EC125" s="101" t="s">
        <v>1146</v>
      </c>
      <c r="ED125" s="48"/>
    </row>
    <row r="126" spans="1:134" x14ac:dyDescent="0.25">
      <c r="A126" s="50" t="s">
        <v>1855</v>
      </c>
      <c r="B126" s="61" t="s">
        <v>527</v>
      </c>
      <c r="C126" s="14" t="s">
        <v>328</v>
      </c>
      <c r="D126" s="14"/>
      <c r="E126" s="14">
        <v>47</v>
      </c>
      <c r="F126" s="14" t="s">
        <v>329</v>
      </c>
      <c r="G126" s="14" t="s">
        <v>357</v>
      </c>
      <c r="H126" s="14" t="s">
        <v>356</v>
      </c>
      <c r="I126" s="14" t="s">
        <v>1183</v>
      </c>
      <c r="J126" s="14" t="s">
        <v>1183</v>
      </c>
      <c r="K126" s="14">
        <v>18</v>
      </c>
      <c r="L126" s="14">
        <v>1</v>
      </c>
      <c r="M126" s="14"/>
      <c r="N126" s="14">
        <v>1</v>
      </c>
      <c r="O126" s="14"/>
      <c r="P126" s="14">
        <v>1</v>
      </c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 t="s">
        <v>328</v>
      </c>
      <c r="AH126" s="14"/>
      <c r="AI126" s="14"/>
      <c r="AJ126" s="14"/>
      <c r="AK126" s="14" t="s">
        <v>328</v>
      </c>
      <c r="AL126" s="14" t="s">
        <v>328</v>
      </c>
      <c r="AM126" s="14"/>
      <c r="AN126" s="14"/>
      <c r="AO126" s="14"/>
      <c r="AP126" s="14">
        <v>5</v>
      </c>
      <c r="AQ126" s="14">
        <v>1</v>
      </c>
      <c r="AR126" s="14" t="s">
        <v>328</v>
      </c>
      <c r="AS126" s="14"/>
      <c r="AT126" s="14"/>
      <c r="AU126" s="14"/>
      <c r="AV126" s="14">
        <v>1</v>
      </c>
      <c r="AW126" s="14">
        <v>2</v>
      </c>
      <c r="AX126" s="14">
        <v>3</v>
      </c>
      <c r="AY126" s="14"/>
      <c r="AZ126" s="14" t="s">
        <v>328</v>
      </c>
      <c r="BA126" s="14"/>
      <c r="BB126" s="14"/>
      <c r="BC126" s="14"/>
      <c r="BD126" s="14" t="s">
        <v>328</v>
      </c>
      <c r="BE126" s="14"/>
      <c r="BF126" s="14"/>
      <c r="BG126" s="14"/>
      <c r="BH126" s="14"/>
      <c r="BI126" s="14"/>
      <c r="BJ126" s="14"/>
      <c r="BK126" s="14"/>
      <c r="BL126" s="14"/>
      <c r="BM126" s="14" t="s">
        <v>328</v>
      </c>
      <c r="BN126" s="14" t="s">
        <v>328</v>
      </c>
      <c r="BO126" s="14"/>
      <c r="BP126" s="14"/>
      <c r="BQ126" s="14" t="s">
        <v>328</v>
      </c>
      <c r="BR126" s="14"/>
      <c r="BS126" s="14"/>
      <c r="BT126" s="14"/>
      <c r="BU126" s="14" t="s">
        <v>328</v>
      </c>
      <c r="BV126" s="14"/>
      <c r="BW126" s="14"/>
      <c r="BX126" s="14"/>
      <c r="BY126" s="14"/>
      <c r="BZ126" s="14" t="s">
        <v>328</v>
      </c>
      <c r="CA126" s="14" t="s">
        <v>328</v>
      </c>
      <c r="CB126" s="14"/>
      <c r="CC126" s="14"/>
      <c r="CD126" s="14"/>
      <c r="CE126" s="14"/>
      <c r="CF126" s="14"/>
      <c r="CG126" s="14" t="s">
        <v>328</v>
      </c>
      <c r="CH126" s="14"/>
      <c r="CI126" s="14"/>
      <c r="CJ126" s="14"/>
      <c r="CK126" s="14"/>
      <c r="CL126" s="14">
        <v>4</v>
      </c>
      <c r="CM126" s="14">
        <v>1</v>
      </c>
      <c r="CN126" s="14">
        <v>2</v>
      </c>
      <c r="CO126" s="14">
        <v>5</v>
      </c>
      <c r="CP126" s="14">
        <v>6</v>
      </c>
      <c r="CQ126" s="14">
        <v>3</v>
      </c>
      <c r="CR126" s="14"/>
      <c r="CS126" s="14" t="s">
        <v>328</v>
      </c>
      <c r="CT126" s="14"/>
      <c r="CU126" s="14"/>
      <c r="CV126" s="14"/>
      <c r="CW126" s="14"/>
      <c r="CX126" s="14"/>
      <c r="CY126" s="14"/>
      <c r="CZ126" s="14"/>
      <c r="DA126" s="14">
        <v>1</v>
      </c>
      <c r="DB126" s="14">
        <v>6</v>
      </c>
      <c r="DC126" s="14">
        <v>3</v>
      </c>
      <c r="DD126" s="14">
        <v>4</v>
      </c>
      <c r="DE126" s="14">
        <v>2</v>
      </c>
      <c r="DF126" s="14">
        <v>5</v>
      </c>
      <c r="DG126" s="14"/>
      <c r="DH126" s="14" t="s">
        <v>328</v>
      </c>
      <c r="DI126" s="14"/>
      <c r="DJ126" s="14"/>
      <c r="DK126" s="14"/>
      <c r="DL126" s="14"/>
      <c r="DM126" s="14"/>
      <c r="DN126" s="14" t="s">
        <v>1145</v>
      </c>
      <c r="DO126" s="14"/>
      <c r="DP126" s="14" t="s">
        <v>328</v>
      </c>
      <c r="DQ126" s="14" t="s">
        <v>328</v>
      </c>
      <c r="DR126" s="14" t="s">
        <v>504</v>
      </c>
      <c r="DS126" s="14"/>
      <c r="DT126" s="14"/>
      <c r="DU126" s="15" t="s">
        <v>428</v>
      </c>
      <c r="DV126" s="14" t="s">
        <v>930</v>
      </c>
      <c r="DW126" s="14" t="s">
        <v>328</v>
      </c>
      <c r="DX126" s="14"/>
      <c r="DY126" s="14"/>
      <c r="DZ126" s="14"/>
      <c r="EA126" s="14"/>
      <c r="EB126" s="14"/>
      <c r="EC126" s="101" t="s">
        <v>1153</v>
      </c>
      <c r="ED126" s="99"/>
    </row>
    <row r="127" spans="1:134" x14ac:dyDescent="0.25">
      <c r="A127" s="50" t="s">
        <v>1855</v>
      </c>
      <c r="B127" s="61" t="s">
        <v>528</v>
      </c>
      <c r="C127" s="14" t="s">
        <v>328</v>
      </c>
      <c r="D127" s="14"/>
      <c r="E127" s="14">
        <v>36</v>
      </c>
      <c r="F127" s="14" t="s">
        <v>376</v>
      </c>
      <c r="G127" s="14" t="s">
        <v>399</v>
      </c>
      <c r="H127" s="14" t="s">
        <v>356</v>
      </c>
      <c r="I127" s="14" t="s">
        <v>1183</v>
      </c>
      <c r="J127" s="14" t="s">
        <v>1183</v>
      </c>
      <c r="K127" s="14">
        <v>0</v>
      </c>
      <c r="L127" s="14">
        <v>3</v>
      </c>
      <c r="M127" s="14">
        <v>1</v>
      </c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 t="s">
        <v>565</v>
      </c>
      <c r="AJ127" s="14" t="s">
        <v>328</v>
      </c>
      <c r="AK127" s="14"/>
      <c r="AL127" s="14"/>
      <c r="AM127" s="14"/>
      <c r="AN127" s="14"/>
      <c r="AO127" s="14" t="s">
        <v>328</v>
      </c>
      <c r="AP127" s="14">
        <v>10</v>
      </c>
      <c r="AQ127" s="14">
        <v>1</v>
      </c>
      <c r="AR127" s="14"/>
      <c r="AS127" s="14"/>
      <c r="AT127" s="14" t="s">
        <v>328</v>
      </c>
      <c r="AU127" s="14"/>
      <c r="AV127" s="14">
        <v>2</v>
      </c>
      <c r="AW127" s="14">
        <v>4</v>
      </c>
      <c r="AX127" s="14">
        <v>3</v>
      </c>
      <c r="AY127" s="14" t="s">
        <v>346</v>
      </c>
      <c r="AZ127" s="14" t="s">
        <v>328</v>
      </c>
      <c r="BA127" s="14"/>
      <c r="BB127" s="14"/>
      <c r="BC127" s="14"/>
      <c r="BD127" s="14"/>
      <c r="BE127" s="14"/>
      <c r="BF127" s="14" t="s">
        <v>328</v>
      </c>
      <c r="BG127" s="14"/>
      <c r="BH127" s="14"/>
      <c r="BI127" s="14"/>
      <c r="BJ127" s="14"/>
      <c r="BK127" s="14"/>
      <c r="BL127" s="14"/>
      <c r="BM127" s="14" t="s">
        <v>328</v>
      </c>
      <c r="BN127" s="14" t="s">
        <v>328</v>
      </c>
      <c r="BO127" s="14"/>
      <c r="BP127" s="14"/>
      <c r="BQ127" s="14"/>
      <c r="BR127" s="14"/>
      <c r="BS127" s="14"/>
      <c r="BT127" s="14" t="s">
        <v>328</v>
      </c>
      <c r="BU127" s="14"/>
      <c r="BV127" s="14"/>
      <c r="BW127" s="14"/>
      <c r="BX127" s="14"/>
      <c r="BY127" s="14"/>
      <c r="BZ127" s="14"/>
      <c r="CA127" s="14" t="s">
        <v>328</v>
      </c>
      <c r="CB127" s="14"/>
      <c r="CC127" s="14"/>
      <c r="CD127" s="14"/>
      <c r="CE127" s="14"/>
      <c r="CF127" s="14"/>
      <c r="CG127" s="14" t="s">
        <v>328</v>
      </c>
      <c r="CH127" s="14"/>
      <c r="CI127" s="14"/>
      <c r="CJ127" s="14"/>
      <c r="CK127" s="14"/>
      <c r="CL127" s="14">
        <v>3</v>
      </c>
      <c r="CM127" s="14">
        <v>4</v>
      </c>
      <c r="CN127" s="14">
        <v>1</v>
      </c>
      <c r="CO127" s="14">
        <v>6</v>
      </c>
      <c r="CP127" s="14">
        <v>5</v>
      </c>
      <c r="CQ127" s="14">
        <v>2</v>
      </c>
      <c r="CR127" s="14"/>
      <c r="CS127" s="14"/>
      <c r="CT127" s="14" t="s">
        <v>328</v>
      </c>
      <c r="CU127" s="14"/>
      <c r="CV127" s="14" t="s">
        <v>328</v>
      </c>
      <c r="CW127" s="14"/>
      <c r="CX127" s="14"/>
      <c r="CY127" s="14"/>
      <c r="CZ127" s="14"/>
      <c r="DA127" s="14">
        <v>1</v>
      </c>
      <c r="DB127" s="14">
        <v>2</v>
      </c>
      <c r="DC127" s="14">
        <v>3</v>
      </c>
      <c r="DD127" s="14">
        <v>4</v>
      </c>
      <c r="DE127" s="14">
        <v>5</v>
      </c>
      <c r="DF127" s="14">
        <v>6</v>
      </c>
      <c r="DG127" s="14"/>
      <c r="DH127" s="14" t="s">
        <v>328</v>
      </c>
      <c r="DI127" s="14"/>
      <c r="DJ127" s="14"/>
      <c r="DK127" s="14"/>
      <c r="DL127" s="14"/>
      <c r="DM127" s="14"/>
      <c r="DN127" s="14" t="s">
        <v>333</v>
      </c>
      <c r="DO127" s="14" t="s">
        <v>328</v>
      </c>
      <c r="DP127" s="14"/>
      <c r="DQ127" s="14"/>
      <c r="DR127" s="14"/>
      <c r="DS127" s="14"/>
      <c r="DT127" s="14"/>
      <c r="DU127" s="14"/>
      <c r="DV127" s="14" t="s">
        <v>333</v>
      </c>
      <c r="DW127" s="14" t="s">
        <v>328</v>
      </c>
      <c r="DX127" s="14"/>
      <c r="DY127" s="14"/>
      <c r="DZ127" s="14"/>
      <c r="EA127" s="14"/>
      <c r="EB127" s="14"/>
      <c r="EC127" s="101" t="s">
        <v>333</v>
      </c>
      <c r="ED127" s="99"/>
    </row>
    <row r="128" spans="1:134" x14ac:dyDescent="0.25">
      <c r="A128" s="50" t="s">
        <v>1855</v>
      </c>
      <c r="B128" s="61" t="s">
        <v>529</v>
      </c>
      <c r="C128" s="14" t="s">
        <v>328</v>
      </c>
      <c r="D128" s="14"/>
      <c r="E128" s="14">
        <v>52</v>
      </c>
      <c r="F128" s="14" t="s">
        <v>329</v>
      </c>
      <c r="G128" s="14" t="s">
        <v>357</v>
      </c>
      <c r="H128" s="14" t="s">
        <v>356</v>
      </c>
      <c r="I128" s="14" t="s">
        <v>1183</v>
      </c>
      <c r="J128" s="14" t="s">
        <v>1183</v>
      </c>
      <c r="K128" s="14">
        <v>20</v>
      </c>
      <c r="L128" s="14">
        <v>2</v>
      </c>
      <c r="M128" s="14">
        <v>2</v>
      </c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 t="s">
        <v>565</v>
      </c>
      <c r="AJ128" s="14" t="s">
        <v>328</v>
      </c>
      <c r="AK128" s="14"/>
      <c r="AL128" s="14"/>
      <c r="AM128" s="14"/>
      <c r="AN128" s="14"/>
      <c r="AO128" s="14" t="s">
        <v>328</v>
      </c>
      <c r="AP128" s="14">
        <v>10</v>
      </c>
      <c r="AQ128" s="14">
        <v>1</v>
      </c>
      <c r="AR128" s="14"/>
      <c r="AS128" s="14"/>
      <c r="AT128" s="14" t="s">
        <v>328</v>
      </c>
      <c r="AU128" s="14"/>
      <c r="AV128" s="14">
        <v>2</v>
      </c>
      <c r="AW128" s="14">
        <v>3</v>
      </c>
      <c r="AX128" s="14">
        <v>4</v>
      </c>
      <c r="AY128" s="14" t="s">
        <v>346</v>
      </c>
      <c r="AZ128" s="14" t="s">
        <v>328</v>
      </c>
      <c r="BA128" s="14"/>
      <c r="BB128" s="14"/>
      <c r="BC128" s="14"/>
      <c r="BD128" s="14"/>
      <c r="BE128" s="14"/>
      <c r="BF128" s="14" t="s">
        <v>328</v>
      </c>
      <c r="BG128" s="14"/>
      <c r="BH128" s="14"/>
      <c r="BI128" s="14"/>
      <c r="BJ128" s="14"/>
      <c r="BK128" s="14"/>
      <c r="BL128" s="14"/>
      <c r="BM128" s="14" t="s">
        <v>328</v>
      </c>
      <c r="BN128" s="14" t="s">
        <v>328</v>
      </c>
      <c r="BO128" s="14"/>
      <c r="BP128" s="14" t="s">
        <v>328</v>
      </c>
      <c r="BQ128" s="14" t="s">
        <v>328</v>
      </c>
      <c r="BR128" s="14" t="s">
        <v>328</v>
      </c>
      <c r="BS128" s="14"/>
      <c r="BT128" s="14"/>
      <c r="BU128" s="14"/>
      <c r="BV128" s="14"/>
      <c r="BW128" s="14" t="s">
        <v>328</v>
      </c>
      <c r="BX128" s="14"/>
      <c r="BY128" s="14"/>
      <c r="BZ128" s="14" t="s">
        <v>328</v>
      </c>
      <c r="CA128" s="14" t="s">
        <v>328</v>
      </c>
      <c r="CB128" s="14"/>
      <c r="CC128" s="14"/>
      <c r="CD128" s="14"/>
      <c r="CE128" s="14"/>
      <c r="CF128" s="14"/>
      <c r="CG128" s="14" t="s">
        <v>328</v>
      </c>
      <c r="CH128" s="14"/>
      <c r="CI128" s="14"/>
      <c r="CJ128" s="14"/>
      <c r="CK128" s="14"/>
      <c r="CL128" s="14">
        <v>1</v>
      </c>
      <c r="CM128" s="14">
        <v>5</v>
      </c>
      <c r="CN128" s="14">
        <v>6</v>
      </c>
      <c r="CO128" s="14">
        <v>3</v>
      </c>
      <c r="CP128" s="14">
        <v>4</v>
      </c>
      <c r="CQ128" s="14">
        <v>2</v>
      </c>
      <c r="CR128" s="14"/>
      <c r="CS128" s="14" t="s">
        <v>328</v>
      </c>
      <c r="CT128" s="14"/>
      <c r="CU128" s="14"/>
      <c r="CV128" s="14"/>
      <c r="CW128" s="14"/>
      <c r="CX128" s="14"/>
      <c r="CY128" s="14"/>
      <c r="CZ128" s="14"/>
      <c r="DA128" s="14">
        <v>1</v>
      </c>
      <c r="DB128" s="14">
        <v>6</v>
      </c>
      <c r="DC128" s="14">
        <v>4</v>
      </c>
      <c r="DD128" s="14">
        <v>2</v>
      </c>
      <c r="DE128" s="14">
        <v>5</v>
      </c>
      <c r="DF128" s="14">
        <v>3</v>
      </c>
      <c r="DG128" s="14"/>
      <c r="DH128" s="14" t="s">
        <v>328</v>
      </c>
      <c r="DI128" s="14"/>
      <c r="DJ128" s="14"/>
      <c r="DK128" s="14"/>
      <c r="DL128" s="14"/>
      <c r="DM128" s="14"/>
      <c r="DN128" s="14" t="s">
        <v>1146</v>
      </c>
      <c r="DO128" s="14"/>
      <c r="DP128" s="14" t="s">
        <v>328</v>
      </c>
      <c r="DQ128" s="14" t="s">
        <v>328</v>
      </c>
      <c r="DR128" s="8" t="s">
        <v>504</v>
      </c>
      <c r="DS128" s="14"/>
      <c r="DT128" s="14"/>
      <c r="DU128" s="15" t="s">
        <v>428</v>
      </c>
      <c r="DV128" s="14" t="s">
        <v>411</v>
      </c>
      <c r="DW128" s="14" t="s">
        <v>328</v>
      </c>
      <c r="DX128" s="14"/>
      <c r="DY128" s="14"/>
      <c r="DZ128" s="14"/>
      <c r="EA128" s="14"/>
      <c r="EB128" s="14"/>
      <c r="EC128" s="101" t="s">
        <v>333</v>
      </c>
      <c r="ED128" s="99"/>
    </row>
    <row r="129" spans="1:134" x14ac:dyDescent="0.25">
      <c r="A129" s="50" t="s">
        <v>1855</v>
      </c>
      <c r="B129" s="61" t="s">
        <v>530</v>
      </c>
      <c r="C129" s="14" t="s">
        <v>328</v>
      </c>
      <c r="D129" s="14"/>
      <c r="E129" s="14">
        <v>68</v>
      </c>
      <c r="F129" s="14" t="s">
        <v>329</v>
      </c>
      <c r="G129" s="14" t="s">
        <v>330</v>
      </c>
      <c r="H129" s="14" t="s">
        <v>772</v>
      </c>
      <c r="I129" s="8" t="s">
        <v>1236</v>
      </c>
      <c r="J129" s="14" t="s">
        <v>1288</v>
      </c>
      <c r="K129" s="14">
        <v>50</v>
      </c>
      <c r="L129" s="14">
        <v>1</v>
      </c>
      <c r="M129" s="14"/>
      <c r="N129" s="14"/>
      <c r="O129" s="14"/>
      <c r="P129" s="14">
        <v>1</v>
      </c>
      <c r="Q129" s="14"/>
      <c r="R129" s="14"/>
      <c r="S129" s="14"/>
      <c r="T129" s="14"/>
      <c r="U129" s="14"/>
      <c r="V129" s="14"/>
      <c r="W129" s="14"/>
      <c r="X129" s="14"/>
      <c r="Y129" s="14"/>
      <c r="Z129" s="14" t="s">
        <v>328</v>
      </c>
      <c r="AA129" s="14"/>
      <c r="AB129" s="14"/>
      <c r="AC129" s="14"/>
      <c r="AD129" s="14"/>
      <c r="AE129" s="14"/>
      <c r="AF129" s="14"/>
      <c r="AG129" s="14" t="s">
        <v>328</v>
      </c>
      <c r="AH129" s="14"/>
      <c r="AI129" s="14"/>
      <c r="AJ129" s="14"/>
      <c r="AK129" s="14" t="s">
        <v>328</v>
      </c>
      <c r="AL129" s="14"/>
      <c r="AM129" s="14" t="s">
        <v>328</v>
      </c>
      <c r="AN129" s="14"/>
      <c r="AO129" s="14" t="s">
        <v>328</v>
      </c>
      <c r="AP129" s="14">
        <v>0</v>
      </c>
      <c r="AQ129" s="14">
        <v>0</v>
      </c>
      <c r="AR129" s="14"/>
      <c r="AS129" s="14" t="s">
        <v>328</v>
      </c>
      <c r="AT129" s="14"/>
      <c r="AU129" s="14"/>
      <c r="AV129" s="14">
        <v>3</v>
      </c>
      <c r="AW129" s="14">
        <v>2</v>
      </c>
      <c r="AX129" s="14">
        <v>1</v>
      </c>
      <c r="AY129" s="14"/>
      <c r="AZ129" s="14" t="s">
        <v>328</v>
      </c>
      <c r="BA129" s="14"/>
      <c r="BB129" s="14" t="s">
        <v>328</v>
      </c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 t="s">
        <v>328</v>
      </c>
      <c r="BN129" s="14"/>
      <c r="BO129" s="14" t="s">
        <v>328</v>
      </c>
      <c r="BP129" s="14"/>
      <c r="BQ129" s="14"/>
      <c r="BR129" s="14"/>
      <c r="BS129" s="14"/>
      <c r="BT129" s="14"/>
      <c r="BU129" s="14"/>
      <c r="BV129" s="14" t="s">
        <v>874</v>
      </c>
      <c r="BW129" s="14"/>
      <c r="BX129" s="14"/>
      <c r="BY129" s="14"/>
      <c r="BZ129" s="14"/>
      <c r="CA129" s="14"/>
      <c r="CB129" s="14"/>
      <c r="CC129" s="14"/>
      <c r="CD129" s="14" t="s">
        <v>328</v>
      </c>
      <c r="CE129" s="14"/>
      <c r="CF129" s="14"/>
      <c r="CG129" s="14"/>
      <c r="CH129" s="14"/>
      <c r="CI129" s="14"/>
      <c r="CJ129" s="14" t="s">
        <v>328</v>
      </c>
      <c r="CK129" s="14"/>
      <c r="CL129" s="14">
        <v>6</v>
      </c>
      <c r="CM129" s="14">
        <v>1</v>
      </c>
      <c r="CN129" s="14">
        <v>2</v>
      </c>
      <c r="CO129" s="14">
        <v>3</v>
      </c>
      <c r="CP129" s="14">
        <v>4</v>
      </c>
      <c r="CQ129" s="14">
        <v>5</v>
      </c>
      <c r="CR129" s="14"/>
      <c r="CS129" s="14"/>
      <c r="CT129" s="14"/>
      <c r="CU129" s="14"/>
      <c r="CV129" s="14"/>
      <c r="CW129" s="14"/>
      <c r="CX129" s="14" t="s">
        <v>332</v>
      </c>
      <c r="CY129" s="14"/>
      <c r="CZ129" s="14"/>
      <c r="DA129" s="14">
        <v>1</v>
      </c>
      <c r="DB129" s="14">
        <v>3</v>
      </c>
      <c r="DC129" s="14">
        <v>5</v>
      </c>
      <c r="DD129" s="14">
        <v>2</v>
      </c>
      <c r="DE129" s="14">
        <v>4</v>
      </c>
      <c r="DF129" s="14">
        <v>6</v>
      </c>
      <c r="DG129" s="14"/>
      <c r="DH129" s="14" t="s">
        <v>328</v>
      </c>
      <c r="DI129" s="14"/>
      <c r="DJ129" s="14"/>
      <c r="DK129" s="14"/>
      <c r="DL129" s="14"/>
      <c r="DM129" s="14"/>
      <c r="DN129" s="14" t="s">
        <v>1145</v>
      </c>
      <c r="DO129" s="14" t="s">
        <v>328</v>
      </c>
      <c r="DP129" s="14"/>
      <c r="DQ129" s="14"/>
      <c r="DR129" s="14"/>
      <c r="DS129" s="14"/>
      <c r="DT129" s="14"/>
      <c r="DU129" s="14"/>
      <c r="DV129" s="14" t="s">
        <v>1145</v>
      </c>
      <c r="DW129" s="14" t="s">
        <v>328</v>
      </c>
      <c r="DX129" s="14"/>
      <c r="DY129" s="14"/>
      <c r="DZ129" s="14"/>
      <c r="EA129" s="14"/>
      <c r="EB129" s="14"/>
      <c r="EC129" s="101" t="s">
        <v>1145</v>
      </c>
      <c r="ED129" s="99"/>
    </row>
    <row r="130" spans="1:134" x14ac:dyDescent="0.25">
      <c r="A130" s="50" t="s">
        <v>1855</v>
      </c>
      <c r="B130" s="61" t="s">
        <v>531</v>
      </c>
      <c r="C130" s="14" t="s">
        <v>328</v>
      </c>
      <c r="D130" s="14"/>
      <c r="E130" s="14">
        <v>24</v>
      </c>
      <c r="F130" s="14" t="s">
        <v>329</v>
      </c>
      <c r="G130" s="14" t="s">
        <v>330</v>
      </c>
      <c r="H130" s="14" t="s">
        <v>567</v>
      </c>
      <c r="I130" s="8" t="s">
        <v>1237</v>
      </c>
      <c r="J130" s="14" t="s">
        <v>1288</v>
      </c>
      <c r="K130" s="14">
        <v>10</v>
      </c>
      <c r="L130" s="14">
        <v>1</v>
      </c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>
        <v>1</v>
      </c>
      <c r="Y130" s="15"/>
      <c r="Z130" s="14" t="s">
        <v>328</v>
      </c>
      <c r="AA130" s="14"/>
      <c r="AB130" s="14"/>
      <c r="AC130" s="14"/>
      <c r="AD130" s="14"/>
      <c r="AE130" s="14" t="s">
        <v>328</v>
      </c>
      <c r="AF130" s="14"/>
      <c r="AG130" s="14"/>
      <c r="AH130" s="14"/>
      <c r="AI130" s="14"/>
      <c r="AJ130" s="14"/>
      <c r="AK130" s="14" t="s">
        <v>328</v>
      </c>
      <c r="AL130" s="14"/>
      <c r="AM130" s="14"/>
      <c r="AN130" s="14"/>
      <c r="AO130" s="14" t="s">
        <v>328</v>
      </c>
      <c r="AP130" s="14">
        <v>0</v>
      </c>
      <c r="AQ130" s="14">
        <v>0</v>
      </c>
      <c r="AR130" s="14"/>
      <c r="AS130" s="14" t="s">
        <v>328</v>
      </c>
      <c r="AT130" s="14"/>
      <c r="AU130" s="14"/>
      <c r="AV130" s="14">
        <v>3</v>
      </c>
      <c r="AW130" s="14">
        <v>1</v>
      </c>
      <c r="AX130" s="14">
        <v>2</v>
      </c>
      <c r="AY130" s="14"/>
      <c r="AZ130" s="14" t="s">
        <v>328</v>
      </c>
      <c r="BA130" s="14"/>
      <c r="BB130" s="14" t="s">
        <v>328</v>
      </c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 t="s">
        <v>328</v>
      </c>
      <c r="BN130" s="14"/>
      <c r="BO130" s="14" t="s">
        <v>328</v>
      </c>
      <c r="BP130" s="14"/>
      <c r="BQ130" s="14" t="s">
        <v>328</v>
      </c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 t="s">
        <v>328</v>
      </c>
      <c r="CC130" s="14"/>
      <c r="CD130" s="14"/>
      <c r="CE130" s="14" t="s">
        <v>328</v>
      </c>
      <c r="CF130" s="14"/>
      <c r="CG130" s="14" t="s">
        <v>328</v>
      </c>
      <c r="CH130" s="14"/>
      <c r="CI130" s="14"/>
      <c r="CJ130" s="14"/>
      <c r="CK130" s="14"/>
      <c r="CL130" s="14">
        <v>5</v>
      </c>
      <c r="CM130" s="14">
        <v>2</v>
      </c>
      <c r="CN130" s="14">
        <v>4</v>
      </c>
      <c r="CO130" s="14">
        <v>1</v>
      </c>
      <c r="CP130" s="14">
        <v>3</v>
      </c>
      <c r="CQ130" s="14">
        <v>6</v>
      </c>
      <c r="CR130" s="14"/>
      <c r="CS130" s="14"/>
      <c r="CT130" s="14"/>
      <c r="CU130" s="14"/>
      <c r="CV130" s="14"/>
      <c r="CW130" s="14"/>
      <c r="CX130" s="14" t="s">
        <v>332</v>
      </c>
      <c r="CY130" s="14"/>
      <c r="CZ130" s="14"/>
      <c r="DA130" s="14">
        <v>1</v>
      </c>
      <c r="DB130" s="14">
        <v>3</v>
      </c>
      <c r="DC130" s="14">
        <v>2</v>
      </c>
      <c r="DD130" s="14">
        <v>6</v>
      </c>
      <c r="DE130" s="14">
        <v>4</v>
      </c>
      <c r="DF130" s="14">
        <v>5</v>
      </c>
      <c r="DG130" s="14"/>
      <c r="DH130" s="14" t="s">
        <v>328</v>
      </c>
      <c r="DI130" s="14"/>
      <c r="DJ130" s="14"/>
      <c r="DK130" s="14"/>
      <c r="DL130" s="14"/>
      <c r="DM130" s="14"/>
      <c r="DN130" s="14" t="s">
        <v>1146</v>
      </c>
      <c r="DO130" s="14" t="s">
        <v>328</v>
      </c>
      <c r="DP130" s="14"/>
      <c r="DQ130" s="14"/>
      <c r="DR130" s="14"/>
      <c r="DS130" s="14"/>
      <c r="DT130" s="14"/>
      <c r="DU130" s="14"/>
      <c r="DV130" s="14" t="s">
        <v>1152</v>
      </c>
      <c r="DW130" s="14" t="s">
        <v>328</v>
      </c>
      <c r="DX130" s="14"/>
      <c r="DY130" s="14"/>
      <c r="DZ130" s="14"/>
      <c r="EA130" s="14"/>
      <c r="EB130" s="14"/>
      <c r="EC130" s="101" t="s">
        <v>1146</v>
      </c>
      <c r="ED130" s="99"/>
    </row>
    <row r="131" spans="1:134" x14ac:dyDescent="0.25">
      <c r="A131" s="50" t="s">
        <v>1855</v>
      </c>
      <c r="B131" s="61" t="s">
        <v>532</v>
      </c>
      <c r="C131" s="14" t="s">
        <v>328</v>
      </c>
      <c r="D131" s="14"/>
      <c r="E131" s="14">
        <v>36</v>
      </c>
      <c r="F131" s="14" t="s">
        <v>329</v>
      </c>
      <c r="G131" s="14" t="s">
        <v>357</v>
      </c>
      <c r="H131" s="14" t="s">
        <v>568</v>
      </c>
      <c r="I131" s="8" t="s">
        <v>1238</v>
      </c>
      <c r="J131" s="14" t="s">
        <v>1288</v>
      </c>
      <c r="K131" s="14">
        <v>20</v>
      </c>
      <c r="L131" s="14">
        <v>2</v>
      </c>
      <c r="M131" s="14">
        <v>2</v>
      </c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 t="s">
        <v>328</v>
      </c>
      <c r="AE131" s="14"/>
      <c r="AF131" s="14"/>
      <c r="AG131" s="14"/>
      <c r="AH131" s="14"/>
      <c r="AI131" s="14"/>
      <c r="AJ131" s="14" t="s">
        <v>328</v>
      </c>
      <c r="AK131" s="14"/>
      <c r="AL131" s="14"/>
      <c r="AM131" s="14"/>
      <c r="AN131" s="14"/>
      <c r="AO131" s="14" t="s">
        <v>328</v>
      </c>
      <c r="AP131" s="14">
        <v>10</v>
      </c>
      <c r="AQ131" s="14">
        <v>1</v>
      </c>
      <c r="AR131" s="14"/>
      <c r="AS131" s="14"/>
      <c r="AT131" s="14" t="s">
        <v>328</v>
      </c>
      <c r="AU131" s="14"/>
      <c r="AV131" s="14">
        <v>1</v>
      </c>
      <c r="AW131" s="14">
        <v>3</v>
      </c>
      <c r="AX131" s="14">
        <v>2</v>
      </c>
      <c r="AY131" s="14"/>
      <c r="AZ131" s="14" t="s">
        <v>328</v>
      </c>
      <c r="BA131" s="14"/>
      <c r="BB131" s="14"/>
      <c r="BC131" s="14"/>
      <c r="BD131" s="14"/>
      <c r="BE131" s="14"/>
      <c r="BF131" s="14"/>
      <c r="BG131" s="14" t="s">
        <v>328</v>
      </c>
      <c r="BH131" s="14"/>
      <c r="BI131" s="14"/>
      <c r="BJ131" s="14"/>
      <c r="BK131" s="14"/>
      <c r="BL131" s="14"/>
      <c r="BM131" s="14" t="s">
        <v>328</v>
      </c>
      <c r="BN131" s="14"/>
      <c r="BO131" s="14" t="s">
        <v>328</v>
      </c>
      <c r="BP131" s="14" t="s">
        <v>328</v>
      </c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 t="s">
        <v>328</v>
      </c>
      <c r="CB131" s="14"/>
      <c r="CC131" s="14"/>
      <c r="CD131" s="14"/>
      <c r="CE131" s="14"/>
      <c r="CF131" s="14"/>
      <c r="CG131" s="14" t="s">
        <v>328</v>
      </c>
      <c r="CH131" s="14"/>
      <c r="CI131" s="14"/>
      <c r="CJ131" s="14"/>
      <c r="CK131" s="14"/>
      <c r="CL131" s="14">
        <v>3</v>
      </c>
      <c r="CM131" s="14">
        <v>1</v>
      </c>
      <c r="CN131" s="14">
        <v>2</v>
      </c>
      <c r="CO131" s="14">
        <v>4</v>
      </c>
      <c r="CP131" s="14">
        <v>5</v>
      </c>
      <c r="CQ131" s="14">
        <v>6</v>
      </c>
      <c r="CR131" s="14"/>
      <c r="CS131" s="14"/>
      <c r="CT131" s="14"/>
      <c r="CU131" s="14"/>
      <c r="CV131" s="14" t="s">
        <v>328</v>
      </c>
      <c r="CW131" s="14"/>
      <c r="CX131" s="14"/>
      <c r="CY131" s="14"/>
      <c r="CZ131" s="14"/>
      <c r="DA131" s="14">
        <v>1</v>
      </c>
      <c r="DB131" s="14">
        <v>3</v>
      </c>
      <c r="DC131" s="14">
        <v>5</v>
      </c>
      <c r="DD131" s="14">
        <v>4</v>
      </c>
      <c r="DE131" s="14">
        <v>2</v>
      </c>
      <c r="DF131" s="14">
        <v>6</v>
      </c>
      <c r="DG131" s="14"/>
      <c r="DH131" s="14" t="s">
        <v>328</v>
      </c>
      <c r="DI131" s="14"/>
      <c r="DJ131" s="14"/>
      <c r="DK131" s="14"/>
      <c r="DL131" s="14"/>
      <c r="DM131" s="14"/>
      <c r="DN131" s="14" t="s">
        <v>333</v>
      </c>
      <c r="DO131" s="14" t="s">
        <v>328</v>
      </c>
      <c r="DP131" s="14"/>
      <c r="DQ131" s="14"/>
      <c r="DR131" s="14"/>
      <c r="DS131" s="14"/>
      <c r="DT131" s="14"/>
      <c r="DU131" s="14"/>
      <c r="DV131" s="14" t="s">
        <v>333</v>
      </c>
      <c r="DW131" s="14" t="s">
        <v>328</v>
      </c>
      <c r="DX131" s="14"/>
      <c r="DY131" s="14"/>
      <c r="DZ131" s="14"/>
      <c r="EA131" s="14"/>
      <c r="EB131" s="14"/>
      <c r="EC131" s="101" t="s">
        <v>333</v>
      </c>
      <c r="ED131" s="99"/>
    </row>
    <row r="132" spans="1:134" x14ac:dyDescent="0.25">
      <c r="A132" s="50" t="s">
        <v>1855</v>
      </c>
      <c r="B132" s="61" t="s">
        <v>533</v>
      </c>
      <c r="C132" s="14" t="s">
        <v>328</v>
      </c>
      <c r="D132" s="14"/>
      <c r="E132" s="14">
        <v>48</v>
      </c>
      <c r="F132" s="14" t="s">
        <v>329</v>
      </c>
      <c r="G132" s="14" t="s">
        <v>357</v>
      </c>
      <c r="H132" s="14" t="s">
        <v>569</v>
      </c>
      <c r="I132" s="14" t="s">
        <v>1239</v>
      </c>
      <c r="J132" s="14" t="s">
        <v>1288</v>
      </c>
      <c r="K132" s="14">
        <v>20</v>
      </c>
      <c r="L132" s="14">
        <v>4</v>
      </c>
      <c r="M132" s="14"/>
      <c r="N132" s="14"/>
      <c r="O132" s="14"/>
      <c r="P132" s="14">
        <v>4</v>
      </c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 t="s">
        <v>328</v>
      </c>
      <c r="AH132" s="14"/>
      <c r="AI132" s="14"/>
      <c r="AJ132" s="14" t="s">
        <v>328</v>
      </c>
      <c r="AK132" s="14"/>
      <c r="AL132" s="14"/>
      <c r="AM132" s="14"/>
      <c r="AN132" s="14"/>
      <c r="AO132" s="14" t="s">
        <v>328</v>
      </c>
      <c r="AP132" s="14">
        <v>10</v>
      </c>
      <c r="AQ132" s="14">
        <v>1</v>
      </c>
      <c r="AR132" s="14"/>
      <c r="AS132" s="14"/>
      <c r="AT132" s="14" t="s">
        <v>328</v>
      </c>
      <c r="AU132" s="14"/>
      <c r="AV132" s="14">
        <v>1</v>
      </c>
      <c r="AW132" s="14">
        <v>2</v>
      </c>
      <c r="AX132" s="14">
        <v>3</v>
      </c>
      <c r="AY132" s="14"/>
      <c r="AZ132" s="14"/>
      <c r="BA132" s="14" t="s">
        <v>328</v>
      </c>
      <c r="BB132" s="14"/>
      <c r="BC132" s="14"/>
      <c r="BD132" s="14"/>
      <c r="BE132" s="14" t="s">
        <v>328</v>
      </c>
      <c r="BF132" s="14"/>
      <c r="BG132" s="14"/>
      <c r="BH132" s="14"/>
      <c r="BI132" s="14"/>
      <c r="BJ132" s="14"/>
      <c r="BK132" s="14"/>
      <c r="BL132" s="14"/>
      <c r="BM132" s="14" t="s">
        <v>328</v>
      </c>
      <c r="BN132" s="14"/>
      <c r="BO132" s="14" t="s">
        <v>328</v>
      </c>
      <c r="BP132" s="14"/>
      <c r="BQ132" s="14"/>
      <c r="BR132" s="14"/>
      <c r="BS132" s="14"/>
      <c r="BT132" s="14"/>
      <c r="BU132" s="14" t="s">
        <v>328</v>
      </c>
      <c r="BV132" s="14"/>
      <c r="BW132" s="14" t="s">
        <v>328</v>
      </c>
      <c r="BX132" s="14"/>
      <c r="BY132" s="14"/>
      <c r="BZ132" s="14"/>
      <c r="CA132" s="14"/>
      <c r="CB132" s="14"/>
      <c r="CC132" s="14"/>
      <c r="CD132" s="14"/>
      <c r="CE132" s="14"/>
      <c r="CF132" s="14"/>
      <c r="CG132" s="14" t="s">
        <v>328</v>
      </c>
      <c r="CH132" s="14"/>
      <c r="CI132" s="14"/>
      <c r="CJ132" s="14"/>
      <c r="CK132" s="14"/>
      <c r="CL132" s="14">
        <v>2</v>
      </c>
      <c r="CM132" s="14">
        <v>4</v>
      </c>
      <c r="CN132" s="14">
        <v>3</v>
      </c>
      <c r="CO132" s="14">
        <v>6</v>
      </c>
      <c r="CP132" s="14">
        <v>5</v>
      </c>
      <c r="CQ132" s="14">
        <v>1</v>
      </c>
      <c r="CR132" s="14" t="s">
        <v>328</v>
      </c>
      <c r="CS132" s="14"/>
      <c r="CT132" s="14"/>
      <c r="CU132" s="14"/>
      <c r="CV132" s="14" t="s">
        <v>328</v>
      </c>
      <c r="CW132" s="14"/>
      <c r="CX132" s="14"/>
      <c r="CY132" s="14"/>
      <c r="CZ132" s="14"/>
      <c r="DA132" s="14">
        <v>4</v>
      </c>
      <c r="DB132" s="14">
        <v>1</v>
      </c>
      <c r="DC132" s="14">
        <v>5</v>
      </c>
      <c r="DD132" s="14">
        <v>2</v>
      </c>
      <c r="DE132" s="14">
        <v>6</v>
      </c>
      <c r="DF132" s="14">
        <v>3</v>
      </c>
      <c r="DG132" s="14"/>
      <c r="DH132" s="14" t="s">
        <v>328</v>
      </c>
      <c r="DI132" s="14"/>
      <c r="DJ132" s="14"/>
      <c r="DK132" s="14"/>
      <c r="DL132" s="14"/>
      <c r="DM132" s="14"/>
      <c r="DN132" s="14" t="s">
        <v>333</v>
      </c>
      <c r="DO132" s="14"/>
      <c r="DP132" s="14" t="s">
        <v>328</v>
      </c>
      <c r="DQ132" s="14"/>
      <c r="DR132" s="14"/>
      <c r="DS132" s="14" t="s">
        <v>328</v>
      </c>
      <c r="DT132" s="14" t="s">
        <v>680</v>
      </c>
      <c r="DU132" s="15" t="s">
        <v>428</v>
      </c>
      <c r="DV132" s="14"/>
      <c r="DW132" s="14" t="s">
        <v>328</v>
      </c>
      <c r="DX132" s="14"/>
      <c r="DY132" s="14"/>
      <c r="DZ132" s="14"/>
      <c r="EA132" s="14"/>
      <c r="EB132" s="14"/>
      <c r="EC132" s="101" t="s">
        <v>450</v>
      </c>
      <c r="ED132" s="99"/>
    </row>
    <row r="133" spans="1:134" s="1" customFormat="1" x14ac:dyDescent="0.25">
      <c r="A133" s="50" t="s">
        <v>1855</v>
      </c>
      <c r="B133" s="61" t="s">
        <v>535</v>
      </c>
      <c r="C133" s="14" t="s">
        <v>328</v>
      </c>
      <c r="D133" s="14"/>
      <c r="E133" s="14">
        <v>67</v>
      </c>
      <c r="F133" s="14" t="s">
        <v>329</v>
      </c>
      <c r="G133" s="14" t="s">
        <v>353</v>
      </c>
      <c r="H133" s="14" t="s">
        <v>773</v>
      </c>
      <c r="I133" s="8" t="s">
        <v>1240</v>
      </c>
      <c r="J133" s="14" t="s">
        <v>1288</v>
      </c>
      <c r="K133" s="14">
        <v>40</v>
      </c>
      <c r="L133" s="14">
        <v>1</v>
      </c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>
        <v>1</v>
      </c>
      <c r="Y133" s="15"/>
      <c r="Z133" s="14" t="s">
        <v>328</v>
      </c>
      <c r="AA133" s="14"/>
      <c r="AB133" s="14"/>
      <c r="AC133" s="14"/>
      <c r="AD133" s="14"/>
      <c r="AE133" s="14" t="s">
        <v>328</v>
      </c>
      <c r="AF133" s="14"/>
      <c r="AG133" s="14"/>
      <c r="AH133" s="14"/>
      <c r="AI133" s="14"/>
      <c r="AJ133" s="14"/>
      <c r="AK133" s="14" t="s">
        <v>328</v>
      </c>
      <c r="AL133" s="14"/>
      <c r="AM133" s="14"/>
      <c r="AN133" s="14"/>
      <c r="AO133" s="14" t="s">
        <v>328</v>
      </c>
      <c r="AP133" s="14">
        <v>0</v>
      </c>
      <c r="AQ133" s="14">
        <v>0</v>
      </c>
      <c r="AR133" s="14"/>
      <c r="AS133" s="14" t="s">
        <v>328</v>
      </c>
      <c r="AT133" s="14"/>
      <c r="AU133" s="14"/>
      <c r="AV133" s="14">
        <v>3</v>
      </c>
      <c r="AW133" s="14">
        <v>2</v>
      </c>
      <c r="AX133" s="14">
        <v>1</v>
      </c>
      <c r="AY133" s="14"/>
      <c r="AZ133" s="14" t="s">
        <v>328</v>
      </c>
      <c r="BA133" s="14"/>
      <c r="BB133" s="14" t="s">
        <v>328</v>
      </c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 t="s">
        <v>328</v>
      </c>
      <c r="BN133" s="14"/>
      <c r="BO133" s="14" t="s">
        <v>328</v>
      </c>
      <c r="BP133" s="14" t="s">
        <v>328</v>
      </c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 t="s">
        <v>328</v>
      </c>
      <c r="CC133" s="14" t="s">
        <v>328</v>
      </c>
      <c r="CD133" s="14" t="s">
        <v>328</v>
      </c>
      <c r="CE133" s="14"/>
      <c r="CF133" s="14"/>
      <c r="CG133" s="14"/>
      <c r="CH133" s="14" t="s">
        <v>328</v>
      </c>
      <c r="CI133" s="14"/>
      <c r="CJ133" s="14"/>
      <c r="CK133" s="14"/>
      <c r="CL133" s="14">
        <v>4</v>
      </c>
      <c r="CM133" s="14">
        <v>3</v>
      </c>
      <c r="CN133" s="14">
        <v>2</v>
      </c>
      <c r="CO133" s="14">
        <v>1</v>
      </c>
      <c r="CP133" s="14">
        <v>5</v>
      </c>
      <c r="CQ133" s="14">
        <v>6</v>
      </c>
      <c r="CR133" s="14"/>
      <c r="CS133" s="14"/>
      <c r="CT133" s="14"/>
      <c r="CU133" s="14"/>
      <c r="CV133" s="14"/>
      <c r="CW133" s="14"/>
      <c r="CX133" s="14" t="s">
        <v>332</v>
      </c>
      <c r="CY133" s="14"/>
      <c r="CZ133" s="14"/>
      <c r="DA133" s="14">
        <v>2</v>
      </c>
      <c r="DB133" s="14">
        <v>3</v>
      </c>
      <c r="DC133" s="14">
        <v>4</v>
      </c>
      <c r="DD133" s="14">
        <v>5</v>
      </c>
      <c r="DE133" s="14">
        <v>1</v>
      </c>
      <c r="DF133" s="14">
        <v>6</v>
      </c>
      <c r="DG133" s="14"/>
      <c r="DH133" s="14" t="s">
        <v>328</v>
      </c>
      <c r="DI133" s="14"/>
      <c r="DJ133" s="14"/>
      <c r="DK133" s="14"/>
      <c r="DL133" s="14"/>
      <c r="DM133" s="14"/>
      <c r="DN133" s="14" t="s">
        <v>1145</v>
      </c>
      <c r="DO133" s="14"/>
      <c r="DP133" s="14" t="s">
        <v>328</v>
      </c>
      <c r="DQ133" s="14"/>
      <c r="DR133" s="14"/>
      <c r="DS133" s="14" t="s">
        <v>328</v>
      </c>
      <c r="DT133" s="14" t="s">
        <v>680</v>
      </c>
      <c r="DU133" s="14" t="s">
        <v>571</v>
      </c>
      <c r="DV133" s="14" t="s">
        <v>929</v>
      </c>
      <c r="DW133" s="14" t="s">
        <v>328</v>
      </c>
      <c r="DX133" s="14"/>
      <c r="DY133" s="14"/>
      <c r="DZ133" s="14"/>
      <c r="EA133" s="14"/>
      <c r="EB133" s="14"/>
      <c r="EC133" s="101" t="s">
        <v>450</v>
      </c>
      <c r="ED133" s="99"/>
    </row>
    <row r="134" spans="1:134" x14ac:dyDescent="0.25">
      <c r="A134" s="50" t="s">
        <v>1855</v>
      </c>
      <c r="B134" s="61" t="s">
        <v>536</v>
      </c>
      <c r="C134" s="14" t="s">
        <v>328</v>
      </c>
      <c r="D134" s="14"/>
      <c r="E134" s="14">
        <v>62</v>
      </c>
      <c r="F134" s="14" t="s">
        <v>329</v>
      </c>
      <c r="G134" s="14" t="s">
        <v>330</v>
      </c>
      <c r="H134" s="14" t="s">
        <v>572</v>
      </c>
      <c r="I134" s="14" t="s">
        <v>1241</v>
      </c>
      <c r="J134" s="14" t="s">
        <v>1288</v>
      </c>
      <c r="K134" s="14">
        <v>45</v>
      </c>
      <c r="L134" s="14">
        <v>2</v>
      </c>
      <c r="M134" s="14">
        <v>2</v>
      </c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 t="s">
        <v>328</v>
      </c>
      <c r="AE134" s="14"/>
      <c r="AF134" s="14" t="s">
        <v>328</v>
      </c>
      <c r="AG134" s="14"/>
      <c r="AH134" s="14"/>
      <c r="AI134" s="14"/>
      <c r="AJ134" s="14" t="s">
        <v>328</v>
      </c>
      <c r="AK134" s="14"/>
      <c r="AL134" s="14" t="s">
        <v>328</v>
      </c>
      <c r="AM134" s="14"/>
      <c r="AN134" s="14"/>
      <c r="AO134" s="14"/>
      <c r="AP134" s="15" t="s">
        <v>396</v>
      </c>
      <c r="AQ134" s="15" t="s">
        <v>396</v>
      </c>
      <c r="AR134" s="14"/>
      <c r="AS134" s="14"/>
      <c r="AT134" s="14" t="s">
        <v>328</v>
      </c>
      <c r="AU134" s="14"/>
      <c r="AV134" s="14">
        <v>1</v>
      </c>
      <c r="AW134" s="14">
        <v>3</v>
      </c>
      <c r="AX134" s="14">
        <v>2</v>
      </c>
      <c r="AY134" s="14"/>
      <c r="AZ134" s="14" t="s">
        <v>328</v>
      </c>
      <c r="BA134" s="14"/>
      <c r="BB134" s="14"/>
      <c r="BC134" s="14"/>
      <c r="BD134" s="14"/>
      <c r="BE134" s="14"/>
      <c r="BF134" s="14"/>
      <c r="BG134" s="14"/>
      <c r="BH134" s="14" t="s">
        <v>328</v>
      </c>
      <c r="BI134" s="14"/>
      <c r="BJ134" s="14"/>
      <c r="BK134" s="14"/>
      <c r="BL134" s="14"/>
      <c r="BM134" s="14" t="s">
        <v>328</v>
      </c>
      <c r="BN134" s="14" t="s">
        <v>328</v>
      </c>
      <c r="BO134" s="14"/>
      <c r="BP134" s="14"/>
      <c r="BQ134" s="14"/>
      <c r="BR134" s="14"/>
      <c r="BS134" s="14"/>
      <c r="BT134" s="14" t="s">
        <v>328</v>
      </c>
      <c r="BU134" s="14"/>
      <c r="BV134" s="14"/>
      <c r="BW134" s="14" t="s">
        <v>328</v>
      </c>
      <c r="BX134" s="14"/>
      <c r="BY134" s="14"/>
      <c r="BZ134" s="14"/>
      <c r="CA134" s="14"/>
      <c r="CB134" s="14"/>
      <c r="CC134" s="14"/>
      <c r="CD134" s="14"/>
      <c r="CE134" s="14"/>
      <c r="CF134" s="14"/>
      <c r="CG134" s="14" t="s">
        <v>328</v>
      </c>
      <c r="CH134" s="14"/>
      <c r="CI134" s="14"/>
      <c r="CJ134" s="14"/>
      <c r="CK134" s="14"/>
      <c r="CL134" s="14">
        <v>3</v>
      </c>
      <c r="CM134" s="14">
        <v>1</v>
      </c>
      <c r="CN134" s="14">
        <v>2</v>
      </c>
      <c r="CO134" s="14">
        <v>5</v>
      </c>
      <c r="CP134" s="14">
        <v>4</v>
      </c>
      <c r="CQ134" s="14">
        <v>6</v>
      </c>
      <c r="CR134" s="14"/>
      <c r="CS134" s="14"/>
      <c r="CT134" s="14"/>
      <c r="CU134" s="14"/>
      <c r="CV134" s="14" t="s">
        <v>328</v>
      </c>
      <c r="CW134" s="14"/>
      <c r="CX134" s="14"/>
      <c r="CY134" s="14"/>
      <c r="CZ134" s="14"/>
      <c r="DA134" s="14">
        <v>1</v>
      </c>
      <c r="DB134" s="14">
        <v>5</v>
      </c>
      <c r="DC134" s="14">
        <v>4</v>
      </c>
      <c r="DD134" s="14">
        <v>2</v>
      </c>
      <c r="DE134" s="14">
        <v>6</v>
      </c>
      <c r="DF134" s="14">
        <v>3</v>
      </c>
      <c r="DG134" s="14"/>
      <c r="DH134" s="14" t="s">
        <v>328</v>
      </c>
      <c r="DI134" s="14"/>
      <c r="DJ134" s="14"/>
      <c r="DK134" s="14"/>
      <c r="DL134" s="14"/>
      <c r="DM134" s="14"/>
      <c r="DN134" s="15" t="s">
        <v>411</v>
      </c>
      <c r="DO134" s="14"/>
      <c r="DP134" s="14" t="s">
        <v>328</v>
      </c>
      <c r="DQ134" s="14" t="s">
        <v>328</v>
      </c>
      <c r="DR134" s="14" t="s">
        <v>924</v>
      </c>
      <c r="DS134" s="14"/>
      <c r="DT134" s="14"/>
      <c r="DU134" s="15" t="s">
        <v>410</v>
      </c>
      <c r="DV134" s="14" t="s">
        <v>411</v>
      </c>
      <c r="DW134" s="14" t="s">
        <v>328</v>
      </c>
      <c r="DX134" s="14"/>
      <c r="DY134" s="14"/>
      <c r="DZ134" s="14"/>
      <c r="EA134" s="14"/>
      <c r="EB134" s="14"/>
      <c r="EC134" s="101" t="s">
        <v>411</v>
      </c>
      <c r="ED134" s="99"/>
    </row>
    <row r="135" spans="1:134" x14ac:dyDescent="0.25">
      <c r="A135" s="50" t="s">
        <v>1855</v>
      </c>
      <c r="B135" s="61" t="s">
        <v>537</v>
      </c>
      <c r="C135" s="14" t="s">
        <v>328</v>
      </c>
      <c r="D135" s="14"/>
      <c r="E135" s="14">
        <v>27</v>
      </c>
      <c r="F135" s="14" t="s">
        <v>329</v>
      </c>
      <c r="G135" s="14" t="s">
        <v>357</v>
      </c>
      <c r="H135" s="14" t="s">
        <v>761</v>
      </c>
      <c r="I135" s="8" t="s">
        <v>1242</v>
      </c>
      <c r="J135" s="14" t="s">
        <v>1288</v>
      </c>
      <c r="K135" s="14">
        <v>10</v>
      </c>
      <c r="L135" s="14">
        <v>1</v>
      </c>
      <c r="M135" s="14">
        <v>1</v>
      </c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 t="s">
        <v>328</v>
      </c>
      <c r="AE135" s="14"/>
      <c r="AF135" s="14" t="s">
        <v>328</v>
      </c>
      <c r="AG135" s="14"/>
      <c r="AH135" s="14"/>
      <c r="AI135" s="14" t="s">
        <v>565</v>
      </c>
      <c r="AJ135" s="14" t="s">
        <v>328</v>
      </c>
      <c r="AK135" s="14"/>
      <c r="AL135" s="14" t="s">
        <v>328</v>
      </c>
      <c r="AM135" s="14"/>
      <c r="AN135" s="14"/>
      <c r="AO135" s="14"/>
      <c r="AP135" s="15" t="s">
        <v>396</v>
      </c>
      <c r="AQ135" s="15" t="s">
        <v>396</v>
      </c>
      <c r="AR135" s="14"/>
      <c r="AS135" s="14"/>
      <c r="AT135" s="14" t="s">
        <v>328</v>
      </c>
      <c r="AU135" s="14"/>
      <c r="AV135" s="14">
        <v>1</v>
      </c>
      <c r="AW135" s="14">
        <v>2</v>
      </c>
      <c r="AX135" s="14">
        <v>3</v>
      </c>
      <c r="AY135" s="14"/>
      <c r="AZ135" s="14" t="s">
        <v>328</v>
      </c>
      <c r="BA135" s="14"/>
      <c r="BB135" s="14"/>
      <c r="BC135" s="14"/>
      <c r="BD135" s="14"/>
      <c r="BE135" s="14"/>
      <c r="BF135" s="14"/>
      <c r="BG135" s="14"/>
      <c r="BH135" s="14"/>
      <c r="BI135" s="14" t="s">
        <v>328</v>
      </c>
      <c r="BJ135" s="14"/>
      <c r="BK135" s="14"/>
      <c r="BL135" s="14"/>
      <c r="BM135" s="14" t="s">
        <v>328</v>
      </c>
      <c r="BN135" s="14" t="s">
        <v>328</v>
      </c>
      <c r="BO135" s="14"/>
      <c r="BP135" s="14"/>
      <c r="BQ135" s="14"/>
      <c r="BR135" s="14"/>
      <c r="BS135" s="14"/>
      <c r="BT135" s="14"/>
      <c r="BU135" s="14" t="s">
        <v>328</v>
      </c>
      <c r="BV135" s="14"/>
      <c r="BW135" s="14"/>
      <c r="BX135" s="14"/>
      <c r="BY135" s="14"/>
      <c r="BZ135" s="14" t="s">
        <v>328</v>
      </c>
      <c r="CA135" s="14" t="s">
        <v>328</v>
      </c>
      <c r="CB135" s="14"/>
      <c r="CC135" s="14"/>
      <c r="CD135" s="14"/>
      <c r="CE135" s="14"/>
      <c r="CF135" s="14"/>
      <c r="CG135" s="14" t="s">
        <v>328</v>
      </c>
      <c r="CH135" s="14"/>
      <c r="CI135" s="14"/>
      <c r="CJ135" s="14"/>
      <c r="CK135" s="14"/>
      <c r="CL135" s="14">
        <v>6</v>
      </c>
      <c r="CM135" s="14">
        <v>2</v>
      </c>
      <c r="CN135" s="14">
        <v>1</v>
      </c>
      <c r="CO135" s="14">
        <v>3</v>
      </c>
      <c r="CP135" s="14">
        <v>4</v>
      </c>
      <c r="CQ135" s="14">
        <v>5</v>
      </c>
      <c r="CR135" s="14"/>
      <c r="CS135" s="14"/>
      <c r="CT135" s="14"/>
      <c r="CU135" s="14"/>
      <c r="CV135" s="14"/>
      <c r="CW135" s="14"/>
      <c r="CX135" s="14" t="s">
        <v>332</v>
      </c>
      <c r="CY135" s="14"/>
      <c r="CZ135" s="14"/>
      <c r="DA135" s="14">
        <v>1</v>
      </c>
      <c r="DB135" s="14">
        <v>2</v>
      </c>
      <c r="DC135" s="14">
        <v>3</v>
      </c>
      <c r="DD135" s="14">
        <v>4</v>
      </c>
      <c r="DE135" s="14">
        <v>6</v>
      </c>
      <c r="DF135" s="14">
        <v>5</v>
      </c>
      <c r="DG135" s="14"/>
      <c r="DH135" s="14" t="s">
        <v>328</v>
      </c>
      <c r="DI135" s="14"/>
      <c r="DJ135" s="14"/>
      <c r="DK135" s="14"/>
      <c r="DL135" s="14"/>
      <c r="DM135" s="14"/>
      <c r="DN135" s="14" t="s">
        <v>333</v>
      </c>
      <c r="DO135" s="14"/>
      <c r="DP135" s="14" t="s">
        <v>328</v>
      </c>
      <c r="DQ135" s="14" t="s">
        <v>328</v>
      </c>
      <c r="DR135" s="14" t="s">
        <v>504</v>
      </c>
      <c r="DS135" s="14"/>
      <c r="DT135" s="14"/>
      <c r="DU135" s="15" t="s">
        <v>410</v>
      </c>
      <c r="DV135" s="14" t="s">
        <v>411</v>
      </c>
      <c r="DW135" s="14" t="s">
        <v>328</v>
      </c>
      <c r="DX135" s="14"/>
      <c r="DY135" s="14"/>
      <c r="DZ135" s="14"/>
      <c r="EA135" s="14"/>
      <c r="EB135" s="14"/>
      <c r="EC135" s="101" t="s">
        <v>333</v>
      </c>
      <c r="ED135" s="99"/>
    </row>
    <row r="136" spans="1:134" x14ac:dyDescent="0.25">
      <c r="A136" s="50" t="s">
        <v>1855</v>
      </c>
      <c r="B136" s="61" t="s">
        <v>538</v>
      </c>
      <c r="C136" s="14" t="s">
        <v>328</v>
      </c>
      <c r="D136" s="14"/>
      <c r="E136" s="14">
        <v>43</v>
      </c>
      <c r="F136" s="14" t="s">
        <v>329</v>
      </c>
      <c r="G136" s="14" t="s">
        <v>330</v>
      </c>
      <c r="H136" s="14" t="s">
        <v>761</v>
      </c>
      <c r="I136" s="14" t="s">
        <v>1242</v>
      </c>
      <c r="J136" s="14" t="s">
        <v>1288</v>
      </c>
      <c r="K136" s="14">
        <v>25</v>
      </c>
      <c r="L136" s="14">
        <v>1</v>
      </c>
      <c r="M136" s="14"/>
      <c r="N136" s="14"/>
      <c r="O136" s="14"/>
      <c r="P136" s="14"/>
      <c r="Q136" s="14">
        <v>1</v>
      </c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 t="s">
        <v>328</v>
      </c>
      <c r="AC136" s="14"/>
      <c r="AD136" s="14"/>
      <c r="AE136" s="14"/>
      <c r="AF136" s="14"/>
      <c r="AG136" s="14"/>
      <c r="AH136" s="14" t="s">
        <v>328</v>
      </c>
      <c r="AI136" s="14"/>
      <c r="AJ136" s="14" t="s">
        <v>328</v>
      </c>
      <c r="AK136" s="14"/>
      <c r="AL136" s="14"/>
      <c r="AM136" s="14"/>
      <c r="AN136" s="14"/>
      <c r="AO136" s="14" t="s">
        <v>328</v>
      </c>
      <c r="AP136" s="14">
        <v>10</v>
      </c>
      <c r="AQ136" s="14">
        <v>1</v>
      </c>
      <c r="AR136" s="14"/>
      <c r="AS136" s="14"/>
      <c r="AT136" s="14" t="s">
        <v>328</v>
      </c>
      <c r="AU136" s="14"/>
      <c r="AV136" s="14">
        <v>1</v>
      </c>
      <c r="AW136" s="14">
        <v>3</v>
      </c>
      <c r="AX136" s="14">
        <v>2</v>
      </c>
      <c r="AY136" s="14"/>
      <c r="AZ136" s="14" t="s">
        <v>328</v>
      </c>
      <c r="BA136" s="14"/>
      <c r="BB136" s="14"/>
      <c r="BC136" s="14"/>
      <c r="BD136" s="14"/>
      <c r="BE136" s="14"/>
      <c r="BF136" s="14"/>
      <c r="BG136" s="14" t="s">
        <v>328</v>
      </c>
      <c r="BH136" s="14"/>
      <c r="BI136" s="14"/>
      <c r="BJ136" s="14"/>
      <c r="BK136" s="14"/>
      <c r="BL136" s="14"/>
      <c r="BM136" s="14" t="s">
        <v>328</v>
      </c>
      <c r="BN136" s="14"/>
      <c r="BO136" s="14" t="s">
        <v>328</v>
      </c>
      <c r="BP136" s="14"/>
      <c r="BQ136" s="14"/>
      <c r="BR136" s="14"/>
      <c r="BS136" s="14"/>
      <c r="BT136" s="14" t="s">
        <v>328</v>
      </c>
      <c r="BU136" s="14"/>
      <c r="BV136" s="14"/>
      <c r="BW136" s="14"/>
      <c r="BX136" s="14"/>
      <c r="BY136" s="14"/>
      <c r="BZ136" s="14"/>
      <c r="CA136" s="14"/>
      <c r="CB136" s="14"/>
      <c r="CC136" s="14" t="s">
        <v>328</v>
      </c>
      <c r="CD136" s="14"/>
      <c r="CE136" s="14"/>
      <c r="CF136" s="14"/>
      <c r="CG136" s="14" t="s">
        <v>328</v>
      </c>
      <c r="CH136" s="14"/>
      <c r="CI136" s="14"/>
      <c r="CJ136" s="14"/>
      <c r="CK136" s="14"/>
      <c r="CL136" s="14">
        <v>3</v>
      </c>
      <c r="CM136" s="14">
        <v>2</v>
      </c>
      <c r="CN136" s="14">
        <v>1</v>
      </c>
      <c r="CO136" s="14">
        <v>6</v>
      </c>
      <c r="CP136" s="14">
        <v>4</v>
      </c>
      <c r="CQ136" s="14">
        <v>5</v>
      </c>
      <c r="CR136" s="14"/>
      <c r="CS136" s="14"/>
      <c r="CT136" s="14"/>
      <c r="CU136" s="14"/>
      <c r="CV136" s="14" t="s">
        <v>328</v>
      </c>
      <c r="CW136" s="14"/>
      <c r="CX136" s="15" t="s">
        <v>905</v>
      </c>
      <c r="CY136" s="14"/>
      <c r="CZ136" s="14"/>
      <c r="DA136" s="14">
        <v>1</v>
      </c>
      <c r="DB136" s="14">
        <v>5</v>
      </c>
      <c r="DC136" s="14">
        <v>2</v>
      </c>
      <c r="DD136" s="14">
        <v>3</v>
      </c>
      <c r="DE136" s="14">
        <v>6</v>
      </c>
      <c r="DF136" s="14">
        <v>4</v>
      </c>
      <c r="DG136" s="14"/>
      <c r="DH136" s="14" t="s">
        <v>328</v>
      </c>
      <c r="DI136" s="14"/>
      <c r="DJ136" s="14"/>
      <c r="DK136" s="14"/>
      <c r="DL136" s="14"/>
      <c r="DM136" s="14"/>
      <c r="DN136" s="14" t="s">
        <v>1146</v>
      </c>
      <c r="DO136" s="14" t="s">
        <v>328</v>
      </c>
      <c r="DP136" s="14"/>
      <c r="DQ136" s="14"/>
      <c r="DR136" s="14"/>
      <c r="DS136" s="14"/>
      <c r="DT136" s="14"/>
      <c r="DU136" s="14"/>
      <c r="DV136" s="14" t="s">
        <v>1152</v>
      </c>
      <c r="DW136" s="14" t="s">
        <v>328</v>
      </c>
      <c r="DX136" s="14"/>
      <c r="DY136" s="14"/>
      <c r="DZ136" s="14"/>
      <c r="EA136" s="14"/>
      <c r="EB136" s="14"/>
      <c r="EC136" s="101" t="s">
        <v>1152</v>
      </c>
      <c r="ED136" s="99"/>
    </row>
    <row r="137" spans="1:134" x14ac:dyDescent="0.25">
      <c r="A137" s="50" t="s">
        <v>1855</v>
      </c>
      <c r="B137" s="61" t="s">
        <v>539</v>
      </c>
      <c r="C137" s="14" t="s">
        <v>328</v>
      </c>
      <c r="D137" s="14"/>
      <c r="E137" s="14">
        <v>57</v>
      </c>
      <c r="F137" s="14" t="s">
        <v>329</v>
      </c>
      <c r="G137" s="14" t="s">
        <v>330</v>
      </c>
      <c r="H137" s="14" t="s">
        <v>573</v>
      </c>
      <c r="I137" s="14" t="s">
        <v>1243</v>
      </c>
      <c r="J137" s="14" t="s">
        <v>1288</v>
      </c>
      <c r="K137" s="14">
        <v>40</v>
      </c>
      <c r="L137" s="14">
        <v>2</v>
      </c>
      <c r="M137" s="14"/>
      <c r="N137" s="14"/>
      <c r="O137" s="14"/>
      <c r="P137" s="14"/>
      <c r="Q137" s="14">
        <v>2</v>
      </c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 t="s">
        <v>328</v>
      </c>
      <c r="AC137" s="14"/>
      <c r="AD137" s="14"/>
      <c r="AE137" s="14"/>
      <c r="AF137" s="14"/>
      <c r="AG137" s="14"/>
      <c r="AH137" s="14" t="s">
        <v>328</v>
      </c>
      <c r="AI137" s="14"/>
      <c r="AJ137" s="14" t="s">
        <v>328</v>
      </c>
      <c r="AK137" s="14"/>
      <c r="AL137" s="14"/>
      <c r="AM137" s="14"/>
      <c r="AN137" s="14"/>
      <c r="AO137" s="14" t="s">
        <v>328</v>
      </c>
      <c r="AP137" s="14">
        <v>10</v>
      </c>
      <c r="AQ137" s="14">
        <v>1</v>
      </c>
      <c r="AR137" s="14" t="s">
        <v>328</v>
      </c>
      <c r="AS137" s="14"/>
      <c r="AT137" s="14"/>
      <c r="AU137" s="14"/>
      <c r="AV137" s="14">
        <v>2</v>
      </c>
      <c r="AW137" s="14">
        <v>3</v>
      </c>
      <c r="AX137" s="14">
        <v>1</v>
      </c>
      <c r="AY137" s="14"/>
      <c r="AZ137" s="14" t="s">
        <v>328</v>
      </c>
      <c r="BA137" s="14"/>
      <c r="BB137" s="14"/>
      <c r="BC137" s="14"/>
      <c r="BD137" s="14"/>
      <c r="BE137" s="14" t="s">
        <v>328</v>
      </c>
      <c r="BF137" s="14"/>
      <c r="BG137" s="14"/>
      <c r="BH137" s="14"/>
      <c r="BI137" s="14"/>
      <c r="BJ137" s="14"/>
      <c r="BK137" s="14"/>
      <c r="BL137" s="14"/>
      <c r="BM137" s="14" t="s">
        <v>328</v>
      </c>
      <c r="BN137" s="14" t="s">
        <v>328</v>
      </c>
      <c r="BO137" s="14"/>
      <c r="BP137" s="14" t="s">
        <v>328</v>
      </c>
      <c r="BQ137" s="14"/>
      <c r="BR137" s="14"/>
      <c r="BS137" s="14"/>
      <c r="BT137" s="14"/>
      <c r="BU137" s="14"/>
      <c r="BV137" s="14"/>
      <c r="BW137" s="14" t="s">
        <v>328</v>
      </c>
      <c r="BX137" s="14"/>
      <c r="BY137" s="14"/>
      <c r="BZ137" s="14" t="s">
        <v>328</v>
      </c>
      <c r="CA137" s="14"/>
      <c r="CB137" s="14"/>
      <c r="CC137" s="14"/>
      <c r="CD137" s="14"/>
      <c r="CE137" s="14"/>
      <c r="CF137" s="14"/>
      <c r="CG137" s="14" t="s">
        <v>328</v>
      </c>
      <c r="CH137" s="14"/>
      <c r="CI137" s="14"/>
      <c r="CJ137" s="14"/>
      <c r="CK137" s="14"/>
      <c r="CL137" s="14">
        <v>2</v>
      </c>
      <c r="CM137" s="14">
        <v>3</v>
      </c>
      <c r="CN137" s="14">
        <v>4</v>
      </c>
      <c r="CO137" s="14">
        <v>6</v>
      </c>
      <c r="CP137" s="14">
        <v>5</v>
      </c>
      <c r="CQ137" s="14">
        <v>1</v>
      </c>
      <c r="CR137" s="14"/>
      <c r="CS137" s="14" t="s">
        <v>328</v>
      </c>
      <c r="CT137" s="14"/>
      <c r="CU137" s="14"/>
      <c r="CV137" s="14"/>
      <c r="CW137" s="14"/>
      <c r="CX137" s="14"/>
      <c r="CY137" s="14"/>
      <c r="CZ137" s="14"/>
      <c r="DA137" s="14">
        <v>1</v>
      </c>
      <c r="DB137" s="14">
        <v>4</v>
      </c>
      <c r="DC137" s="14">
        <v>3</v>
      </c>
      <c r="DD137" s="14">
        <v>5</v>
      </c>
      <c r="DE137" s="14">
        <v>2</v>
      </c>
      <c r="DF137" s="14">
        <v>6</v>
      </c>
      <c r="DG137" s="14"/>
      <c r="DH137" s="14" t="s">
        <v>328</v>
      </c>
      <c r="DI137" s="14"/>
      <c r="DJ137" s="14"/>
      <c r="DK137" s="14"/>
      <c r="DL137" s="14"/>
      <c r="DM137" s="14"/>
      <c r="DN137" s="14" t="s">
        <v>1145</v>
      </c>
      <c r="DO137" s="14"/>
      <c r="DP137" s="14" t="s">
        <v>328</v>
      </c>
      <c r="DQ137" s="14"/>
      <c r="DR137" s="14"/>
      <c r="DS137" s="14" t="s">
        <v>328</v>
      </c>
      <c r="DT137" s="14" t="s">
        <v>680</v>
      </c>
      <c r="DU137" s="15" t="s">
        <v>428</v>
      </c>
      <c r="DV137" s="14" t="s">
        <v>411</v>
      </c>
      <c r="DW137" s="14" t="s">
        <v>328</v>
      </c>
      <c r="DX137" s="14"/>
      <c r="DY137" s="14"/>
      <c r="DZ137" s="14"/>
      <c r="EA137" s="14"/>
      <c r="EB137" s="14"/>
      <c r="EC137" s="101" t="s">
        <v>411</v>
      </c>
      <c r="ED137" s="99"/>
    </row>
    <row r="138" spans="1:134" x14ac:dyDescent="0.25">
      <c r="A138" s="50" t="s">
        <v>1855</v>
      </c>
      <c r="B138" s="61" t="s">
        <v>540</v>
      </c>
      <c r="C138" s="14" t="s">
        <v>328</v>
      </c>
      <c r="D138" s="14"/>
      <c r="E138" s="14">
        <v>38</v>
      </c>
      <c r="F138" s="14" t="s">
        <v>329</v>
      </c>
      <c r="G138" s="14" t="s">
        <v>357</v>
      </c>
      <c r="H138" s="14" t="s">
        <v>759</v>
      </c>
      <c r="I138" s="8" t="s">
        <v>1244</v>
      </c>
      <c r="J138" s="14" t="s">
        <v>1288</v>
      </c>
      <c r="K138" s="14">
        <v>10</v>
      </c>
      <c r="L138" s="14">
        <v>1</v>
      </c>
      <c r="M138" s="14"/>
      <c r="N138" s="14"/>
      <c r="O138" s="14"/>
      <c r="P138" s="14"/>
      <c r="Q138" s="14">
        <v>1</v>
      </c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 t="s">
        <v>328</v>
      </c>
      <c r="AI138" s="14"/>
      <c r="AJ138" s="14" t="s">
        <v>328</v>
      </c>
      <c r="AK138" s="14"/>
      <c r="AL138" s="14"/>
      <c r="AM138" s="14"/>
      <c r="AN138" s="14"/>
      <c r="AO138" s="14" t="s">
        <v>328</v>
      </c>
      <c r="AP138" s="14">
        <v>10</v>
      </c>
      <c r="AQ138" s="14">
        <v>1</v>
      </c>
      <c r="AR138" s="14"/>
      <c r="AS138" s="14"/>
      <c r="AT138" s="14" t="s">
        <v>328</v>
      </c>
      <c r="AU138" s="14"/>
      <c r="AV138" s="14">
        <v>3</v>
      </c>
      <c r="AW138" s="14">
        <v>2</v>
      </c>
      <c r="AX138" s="14">
        <v>1</v>
      </c>
      <c r="AY138" s="14"/>
      <c r="AZ138" s="14" t="s">
        <v>328</v>
      </c>
      <c r="BA138" s="14"/>
      <c r="BB138" s="14"/>
      <c r="BC138" s="14" t="s">
        <v>328</v>
      </c>
      <c r="BD138" s="14"/>
      <c r="BE138" s="14"/>
      <c r="BF138" s="14"/>
      <c r="BG138" s="14"/>
      <c r="BH138" s="14"/>
      <c r="BI138" s="14"/>
      <c r="BJ138" s="14"/>
      <c r="BK138" s="14"/>
      <c r="BL138" s="14"/>
      <c r="BM138" s="14" t="s">
        <v>328</v>
      </c>
      <c r="BN138" s="14"/>
      <c r="BO138" s="14" t="s">
        <v>328</v>
      </c>
      <c r="BP138" s="14"/>
      <c r="BQ138" s="14" t="s">
        <v>328</v>
      </c>
      <c r="BR138" s="14"/>
      <c r="BS138" s="14"/>
      <c r="BT138" s="14"/>
      <c r="BU138" s="14" t="s">
        <v>328</v>
      </c>
      <c r="BV138" s="14"/>
      <c r="BW138" s="14"/>
      <c r="BX138" s="14"/>
      <c r="BY138" s="14"/>
      <c r="BZ138" s="14" t="s">
        <v>328</v>
      </c>
      <c r="CA138" s="14" t="s">
        <v>328</v>
      </c>
      <c r="CB138" s="14"/>
      <c r="CC138" s="14"/>
      <c r="CD138" s="14"/>
      <c r="CE138" s="14"/>
      <c r="CF138" s="14"/>
      <c r="CG138" s="14" t="s">
        <v>328</v>
      </c>
      <c r="CH138" s="14"/>
      <c r="CI138" s="14"/>
      <c r="CJ138" s="14"/>
      <c r="CK138" s="14" t="s">
        <v>328</v>
      </c>
      <c r="CL138" s="14">
        <v>6</v>
      </c>
      <c r="CM138" s="14">
        <v>1</v>
      </c>
      <c r="CN138" s="14">
        <v>2</v>
      </c>
      <c r="CO138" s="14">
        <v>3</v>
      </c>
      <c r="CP138" s="14">
        <v>4</v>
      </c>
      <c r="CQ138" s="14">
        <v>5</v>
      </c>
      <c r="CR138" s="14"/>
      <c r="CS138" s="14"/>
      <c r="CT138" s="14"/>
      <c r="CU138" s="14"/>
      <c r="CV138" s="14"/>
      <c r="CW138" s="14"/>
      <c r="CX138" s="14" t="s">
        <v>332</v>
      </c>
      <c r="CY138" s="14"/>
      <c r="CZ138" s="14"/>
      <c r="DA138" s="14">
        <v>3</v>
      </c>
      <c r="DB138" s="14">
        <v>2</v>
      </c>
      <c r="DC138" s="14">
        <v>1</v>
      </c>
      <c r="DD138" s="14">
        <v>4</v>
      </c>
      <c r="DE138" s="14">
        <v>6</v>
      </c>
      <c r="DF138" s="14">
        <v>5</v>
      </c>
      <c r="DG138" s="14"/>
      <c r="DH138" s="14" t="s">
        <v>328</v>
      </c>
      <c r="DI138" s="14"/>
      <c r="DJ138" s="14"/>
      <c r="DK138" s="14"/>
      <c r="DL138" s="14"/>
      <c r="DM138" s="14"/>
      <c r="DN138" s="14" t="s">
        <v>1145</v>
      </c>
      <c r="DO138" s="14" t="s">
        <v>328</v>
      </c>
      <c r="DP138" s="14"/>
      <c r="DQ138" s="14"/>
      <c r="DR138" s="14"/>
      <c r="DS138" s="14"/>
      <c r="DT138" s="14"/>
      <c r="DU138" s="14"/>
      <c r="DV138" s="14" t="s">
        <v>411</v>
      </c>
      <c r="DW138" s="14" t="s">
        <v>328</v>
      </c>
      <c r="DX138" s="14"/>
      <c r="DY138" s="14"/>
      <c r="DZ138" s="14"/>
      <c r="EA138" s="14"/>
      <c r="EB138" s="14"/>
      <c r="EC138" s="101" t="s">
        <v>333</v>
      </c>
      <c r="ED138" s="99"/>
    </row>
    <row r="139" spans="1:134" x14ac:dyDescent="0.25">
      <c r="A139" s="50" t="s">
        <v>1855</v>
      </c>
      <c r="B139" s="61" t="s">
        <v>541</v>
      </c>
      <c r="C139" s="14" t="s">
        <v>328</v>
      </c>
      <c r="D139" s="14"/>
      <c r="E139" s="14">
        <v>41</v>
      </c>
      <c r="F139" s="14" t="s">
        <v>329</v>
      </c>
      <c r="G139" s="14" t="s">
        <v>399</v>
      </c>
      <c r="H139" s="14" t="s">
        <v>573</v>
      </c>
      <c r="I139" s="14" t="s">
        <v>1243</v>
      </c>
      <c r="J139" s="14" t="s">
        <v>1288</v>
      </c>
      <c r="K139" s="14">
        <v>0</v>
      </c>
      <c r="L139" s="14">
        <v>3</v>
      </c>
      <c r="M139" s="14"/>
      <c r="N139" s="14"/>
      <c r="O139" s="14"/>
      <c r="P139" s="14"/>
      <c r="Q139" s="14">
        <v>3</v>
      </c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 t="s">
        <v>328</v>
      </c>
      <c r="AI139" s="14"/>
      <c r="AJ139" s="14" t="s">
        <v>328</v>
      </c>
      <c r="AK139" s="14"/>
      <c r="AL139" s="14"/>
      <c r="AM139" s="14"/>
      <c r="AN139" s="14"/>
      <c r="AO139" s="14" t="s">
        <v>328</v>
      </c>
      <c r="AP139" s="14">
        <v>10</v>
      </c>
      <c r="AQ139" s="14">
        <v>2</v>
      </c>
      <c r="AR139" s="14"/>
      <c r="AS139" s="14"/>
      <c r="AT139" s="14"/>
      <c r="AU139" s="14" t="s">
        <v>328</v>
      </c>
      <c r="AV139" s="14">
        <v>3</v>
      </c>
      <c r="AW139" s="14">
        <v>1</v>
      </c>
      <c r="AX139" s="14">
        <v>2</v>
      </c>
      <c r="AY139" s="14"/>
      <c r="AZ139" s="14"/>
      <c r="BA139" s="14" t="s">
        <v>328</v>
      </c>
      <c r="BB139" s="14"/>
      <c r="BC139" s="14" t="s">
        <v>328</v>
      </c>
      <c r="BD139" s="14"/>
      <c r="BE139" s="14"/>
      <c r="BF139" s="14"/>
      <c r="BG139" s="14"/>
      <c r="BH139" s="14" t="s">
        <v>328</v>
      </c>
      <c r="BI139" s="14"/>
      <c r="BJ139" s="14"/>
      <c r="BK139" s="14"/>
      <c r="BL139" s="14"/>
      <c r="BM139" s="14" t="s">
        <v>328</v>
      </c>
      <c r="BN139" s="14" t="s">
        <v>328</v>
      </c>
      <c r="BO139" s="14"/>
      <c r="BP139" s="14"/>
      <c r="BQ139" s="14"/>
      <c r="BR139" s="14"/>
      <c r="BS139" s="14"/>
      <c r="BT139" s="14"/>
      <c r="BU139" s="14" t="s">
        <v>328</v>
      </c>
      <c r="BV139" s="14"/>
      <c r="BW139" s="14" t="s">
        <v>328</v>
      </c>
      <c r="BX139" s="14"/>
      <c r="BY139" s="14"/>
      <c r="BZ139" s="14" t="s">
        <v>328</v>
      </c>
      <c r="CA139" s="14" t="s">
        <v>328</v>
      </c>
      <c r="CB139" s="14" t="s">
        <v>328</v>
      </c>
      <c r="CC139" s="14"/>
      <c r="CD139" s="14"/>
      <c r="CE139" s="14"/>
      <c r="CF139" s="14"/>
      <c r="CG139" s="14" t="s">
        <v>328</v>
      </c>
      <c r="CH139" s="14"/>
      <c r="CI139" s="14"/>
      <c r="CJ139" s="14"/>
      <c r="CK139" s="14" t="s">
        <v>328</v>
      </c>
      <c r="CL139" s="14">
        <v>1</v>
      </c>
      <c r="CM139" s="14">
        <v>5</v>
      </c>
      <c r="CN139" s="14">
        <v>6</v>
      </c>
      <c r="CO139" s="14">
        <v>3</v>
      </c>
      <c r="CP139" s="14">
        <v>4</v>
      </c>
      <c r="CQ139" s="14">
        <v>2</v>
      </c>
      <c r="CR139" s="14"/>
      <c r="CS139" s="14"/>
      <c r="CT139" s="14"/>
      <c r="CU139" s="14"/>
      <c r="CV139" s="14"/>
      <c r="CW139" s="14"/>
      <c r="CX139" s="14" t="s">
        <v>332</v>
      </c>
      <c r="CY139" s="14"/>
      <c r="CZ139" s="14"/>
      <c r="DA139" s="14">
        <v>1</v>
      </c>
      <c r="DB139" s="14">
        <v>2</v>
      </c>
      <c r="DC139" s="14">
        <v>6</v>
      </c>
      <c r="DD139" s="14">
        <v>3</v>
      </c>
      <c r="DE139" s="14">
        <v>5</v>
      </c>
      <c r="DF139" s="14">
        <v>4</v>
      </c>
      <c r="DG139" s="14"/>
      <c r="DH139" s="14" t="s">
        <v>328</v>
      </c>
      <c r="DI139" s="14"/>
      <c r="DJ139" s="14"/>
      <c r="DK139" s="14"/>
      <c r="DL139" s="14"/>
      <c r="DM139" s="14"/>
      <c r="DN139" s="14" t="s">
        <v>396</v>
      </c>
      <c r="DO139" s="14" t="s">
        <v>328</v>
      </c>
      <c r="DP139" s="14"/>
      <c r="DQ139" s="14"/>
      <c r="DR139" s="14"/>
      <c r="DS139" s="14"/>
      <c r="DT139" s="14"/>
      <c r="DU139" s="14"/>
      <c r="DV139" s="14" t="s">
        <v>450</v>
      </c>
      <c r="DW139" s="14" t="s">
        <v>328</v>
      </c>
      <c r="DX139" s="14"/>
      <c r="DY139" s="14"/>
      <c r="DZ139" s="14"/>
      <c r="EA139" s="14"/>
      <c r="EB139" s="14"/>
      <c r="EC139" s="101" t="s">
        <v>450</v>
      </c>
      <c r="ED139" s="99"/>
    </row>
    <row r="140" spans="1:134" x14ac:dyDescent="0.25">
      <c r="A140" s="50" t="s">
        <v>1855</v>
      </c>
      <c r="B140" s="61" t="s">
        <v>542</v>
      </c>
      <c r="C140" s="14" t="s">
        <v>328</v>
      </c>
      <c r="D140" s="14"/>
      <c r="E140" s="14">
        <v>52</v>
      </c>
      <c r="F140" s="14" t="s">
        <v>329</v>
      </c>
      <c r="G140" s="14" t="s">
        <v>353</v>
      </c>
      <c r="H140" s="14" t="s">
        <v>774</v>
      </c>
      <c r="I140" s="8" t="s">
        <v>1245</v>
      </c>
      <c r="J140" s="14" t="s">
        <v>1288</v>
      </c>
      <c r="K140" s="14">
        <v>20</v>
      </c>
      <c r="L140" s="14">
        <v>1</v>
      </c>
      <c r="M140" s="14"/>
      <c r="N140" s="14"/>
      <c r="O140" s="14"/>
      <c r="P140" s="14"/>
      <c r="Q140" s="14">
        <v>1</v>
      </c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 t="s">
        <v>328</v>
      </c>
      <c r="AC140" s="14"/>
      <c r="AD140" s="14"/>
      <c r="AE140" s="14"/>
      <c r="AF140" s="14"/>
      <c r="AG140" s="14"/>
      <c r="AH140" s="14" t="s">
        <v>328</v>
      </c>
      <c r="AI140" s="14"/>
      <c r="AJ140" s="14" t="s">
        <v>328</v>
      </c>
      <c r="AK140" s="14"/>
      <c r="AL140" s="14"/>
      <c r="AM140" s="14"/>
      <c r="AN140" s="14"/>
      <c r="AO140" s="14" t="s">
        <v>328</v>
      </c>
      <c r="AP140" s="14">
        <v>10</v>
      </c>
      <c r="AQ140" s="14">
        <v>1</v>
      </c>
      <c r="AR140" s="14"/>
      <c r="AS140" s="14" t="s">
        <v>328</v>
      </c>
      <c r="AT140" s="14"/>
      <c r="AU140" s="14"/>
      <c r="AV140" s="14">
        <v>3</v>
      </c>
      <c r="AW140" s="14">
        <v>2</v>
      </c>
      <c r="AX140" s="14">
        <v>1</v>
      </c>
      <c r="AY140" s="14"/>
      <c r="AZ140" s="14" t="s">
        <v>328</v>
      </c>
      <c r="BA140" s="14"/>
      <c r="BB140" s="14"/>
      <c r="BC140" s="14"/>
      <c r="BD140" s="14" t="s">
        <v>328</v>
      </c>
      <c r="BE140" s="14"/>
      <c r="BF140" s="14"/>
      <c r="BG140" s="14"/>
      <c r="BH140" s="14"/>
      <c r="BI140" s="14"/>
      <c r="BJ140" s="14"/>
      <c r="BK140" s="14"/>
      <c r="BL140" s="14"/>
      <c r="BM140" s="14" t="s">
        <v>328</v>
      </c>
      <c r="BN140" s="14"/>
      <c r="BO140" s="14" t="s">
        <v>328</v>
      </c>
      <c r="BP140" s="14"/>
      <c r="BQ140" s="14"/>
      <c r="BR140" s="14"/>
      <c r="BS140" s="14"/>
      <c r="BT140" s="14" t="s">
        <v>328</v>
      </c>
      <c r="BU140" s="14"/>
      <c r="BV140" s="14"/>
      <c r="BW140" s="14"/>
      <c r="BX140" s="14"/>
      <c r="BY140" s="14"/>
      <c r="BZ140" s="14"/>
      <c r="CA140" s="14"/>
      <c r="CB140" s="14"/>
      <c r="CC140" s="14"/>
      <c r="CD140" s="14" t="s">
        <v>328</v>
      </c>
      <c r="CE140" s="14" t="s">
        <v>328</v>
      </c>
      <c r="CF140" s="14"/>
      <c r="CG140" s="14"/>
      <c r="CH140" s="14" t="s">
        <v>328</v>
      </c>
      <c r="CI140" s="14"/>
      <c r="CJ140" s="14"/>
      <c r="CK140" s="14"/>
      <c r="CL140" s="14">
        <v>5</v>
      </c>
      <c r="CM140" s="14">
        <v>1</v>
      </c>
      <c r="CN140" s="14">
        <v>4</v>
      </c>
      <c r="CO140" s="14">
        <v>2</v>
      </c>
      <c r="CP140" s="14">
        <v>3</v>
      </c>
      <c r="CQ140" s="14">
        <v>6</v>
      </c>
      <c r="CR140" s="14"/>
      <c r="CS140" s="14"/>
      <c r="CT140" s="14"/>
      <c r="CU140" s="14"/>
      <c r="CV140" s="14" t="s">
        <v>328</v>
      </c>
      <c r="CW140" s="14"/>
      <c r="CX140" s="14"/>
      <c r="CY140" s="14"/>
      <c r="CZ140" s="14"/>
      <c r="DA140" s="14">
        <v>1</v>
      </c>
      <c r="DB140" s="14">
        <v>2</v>
      </c>
      <c r="DC140" s="14">
        <v>3</v>
      </c>
      <c r="DD140" s="14">
        <v>4</v>
      </c>
      <c r="DE140" s="14">
        <v>6</v>
      </c>
      <c r="DF140" s="14">
        <v>5</v>
      </c>
      <c r="DG140" s="14"/>
      <c r="DH140" s="14" t="s">
        <v>328</v>
      </c>
      <c r="DI140" s="14"/>
      <c r="DJ140" s="14"/>
      <c r="DK140" s="14"/>
      <c r="DL140" s="14"/>
      <c r="DM140" s="14"/>
      <c r="DN140" s="14" t="s">
        <v>1145</v>
      </c>
      <c r="DO140" s="14" t="s">
        <v>328</v>
      </c>
      <c r="DP140" s="14"/>
      <c r="DQ140" s="14"/>
      <c r="DR140" s="14"/>
      <c r="DS140" s="14"/>
      <c r="DT140" s="14"/>
      <c r="DU140" s="14"/>
      <c r="DV140" s="14" t="s">
        <v>1152</v>
      </c>
      <c r="DW140" s="14" t="s">
        <v>328</v>
      </c>
      <c r="DX140" s="14"/>
      <c r="DY140" s="14"/>
      <c r="DZ140" s="14"/>
      <c r="EA140" s="14"/>
      <c r="EB140" s="14"/>
      <c r="EC140" s="101" t="s">
        <v>333</v>
      </c>
      <c r="ED140" s="99"/>
    </row>
    <row r="141" spans="1:134" x14ac:dyDescent="0.25">
      <c r="A141" s="50" t="s">
        <v>1855</v>
      </c>
      <c r="B141" s="61" t="s">
        <v>543</v>
      </c>
      <c r="C141" s="14" t="s">
        <v>328</v>
      </c>
      <c r="D141" s="14"/>
      <c r="E141" s="14">
        <v>57</v>
      </c>
      <c r="F141" s="14" t="s">
        <v>329</v>
      </c>
      <c r="G141" s="14" t="s">
        <v>353</v>
      </c>
      <c r="H141" s="14" t="s">
        <v>573</v>
      </c>
      <c r="I141" s="14" t="s">
        <v>1243</v>
      </c>
      <c r="J141" s="14" t="s">
        <v>1288</v>
      </c>
      <c r="K141" s="14">
        <v>35</v>
      </c>
      <c r="L141" s="14">
        <v>1</v>
      </c>
      <c r="M141" s="14"/>
      <c r="N141" s="14"/>
      <c r="O141" s="14"/>
      <c r="P141" s="14"/>
      <c r="Q141" s="14">
        <v>1</v>
      </c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 t="s">
        <v>328</v>
      </c>
      <c r="AC141" s="14"/>
      <c r="AD141" s="14"/>
      <c r="AE141" s="14"/>
      <c r="AF141" s="14"/>
      <c r="AG141" s="14"/>
      <c r="AH141" s="14"/>
      <c r="AI141" s="14"/>
      <c r="AJ141" s="14" t="s">
        <v>328</v>
      </c>
      <c r="AK141" s="14"/>
      <c r="AL141" s="14"/>
      <c r="AM141" s="14" t="s">
        <v>328</v>
      </c>
      <c r="AN141" s="14"/>
      <c r="AO141" s="14"/>
      <c r="AP141" s="14">
        <v>10</v>
      </c>
      <c r="AQ141" s="14">
        <v>3</v>
      </c>
      <c r="AR141" s="14"/>
      <c r="AS141" s="14" t="s">
        <v>328</v>
      </c>
      <c r="AT141" s="14"/>
      <c r="AU141" s="14"/>
      <c r="AV141" s="14">
        <v>1</v>
      </c>
      <c r="AW141" s="14">
        <v>3</v>
      </c>
      <c r="AX141" s="14">
        <v>2</v>
      </c>
      <c r="AY141" s="14"/>
      <c r="AZ141" s="14" t="s">
        <v>328</v>
      </c>
      <c r="BA141" s="14"/>
      <c r="BB141" s="14"/>
      <c r="BC141" s="14"/>
      <c r="BD141" s="14" t="s">
        <v>328</v>
      </c>
      <c r="BE141" s="14"/>
      <c r="BF141" s="14"/>
      <c r="BG141" s="14"/>
      <c r="BH141" s="14"/>
      <c r="BI141" s="14"/>
      <c r="BJ141" s="14"/>
      <c r="BK141" s="14"/>
      <c r="BL141" s="14"/>
      <c r="BM141" s="14" t="s">
        <v>328</v>
      </c>
      <c r="BN141" s="14"/>
      <c r="BO141" s="14" t="s">
        <v>328</v>
      </c>
      <c r="BP141" s="14"/>
      <c r="BQ141" s="14"/>
      <c r="BR141" s="14"/>
      <c r="BS141" s="14"/>
      <c r="BT141" s="14"/>
      <c r="BU141" s="14"/>
      <c r="BV141" s="14" t="s">
        <v>874</v>
      </c>
      <c r="BW141" s="14"/>
      <c r="BX141" s="14"/>
      <c r="BY141" s="14"/>
      <c r="BZ141" s="14"/>
      <c r="CA141" s="14"/>
      <c r="CB141" s="14"/>
      <c r="CC141" s="14"/>
      <c r="CD141" s="14"/>
      <c r="CE141" s="14"/>
      <c r="CF141" s="14" t="s">
        <v>332</v>
      </c>
      <c r="CG141" s="14"/>
      <c r="CH141" s="14"/>
      <c r="CI141" s="14" t="s">
        <v>328</v>
      </c>
      <c r="CJ141" s="14"/>
      <c r="CK141" s="14"/>
      <c r="CL141" s="14">
        <v>5</v>
      </c>
      <c r="CM141" s="14">
        <v>2</v>
      </c>
      <c r="CN141" s="14">
        <v>1</v>
      </c>
      <c r="CO141" s="14">
        <v>3</v>
      </c>
      <c r="CP141" s="14">
        <v>4</v>
      </c>
      <c r="CQ141" s="14">
        <v>6</v>
      </c>
      <c r="CR141" s="14"/>
      <c r="CS141" s="14"/>
      <c r="CT141" s="14"/>
      <c r="CU141" s="14"/>
      <c r="CV141" s="14"/>
      <c r="CW141" s="14"/>
      <c r="CX141" s="14" t="s">
        <v>332</v>
      </c>
      <c r="CY141" s="14"/>
      <c r="CZ141" s="14"/>
      <c r="DA141" s="14">
        <v>2</v>
      </c>
      <c r="DB141" s="14">
        <v>5</v>
      </c>
      <c r="DC141" s="14">
        <v>6</v>
      </c>
      <c r="DD141" s="14">
        <v>3</v>
      </c>
      <c r="DE141" s="14">
        <v>1</v>
      </c>
      <c r="DF141" s="14">
        <v>4</v>
      </c>
      <c r="DG141" s="14"/>
      <c r="DH141" s="14" t="s">
        <v>328</v>
      </c>
      <c r="DI141" s="14"/>
      <c r="DJ141" s="14"/>
      <c r="DK141" s="14"/>
      <c r="DL141" s="14"/>
      <c r="DM141" s="14"/>
      <c r="DN141" s="14" t="s">
        <v>333</v>
      </c>
      <c r="DO141" s="14" t="s">
        <v>328</v>
      </c>
      <c r="DP141" s="14"/>
      <c r="DQ141" s="14"/>
      <c r="DR141" s="14"/>
      <c r="DS141" s="14"/>
      <c r="DT141" s="14"/>
      <c r="DU141" s="14"/>
      <c r="DV141" s="14" t="s">
        <v>1145</v>
      </c>
      <c r="DW141" s="14" t="s">
        <v>328</v>
      </c>
      <c r="DX141" s="14"/>
      <c r="DY141" s="14"/>
      <c r="DZ141" s="14"/>
      <c r="EA141" s="14"/>
      <c r="EB141" s="14"/>
      <c r="EC141" s="101" t="s">
        <v>1152</v>
      </c>
      <c r="ED141" s="99"/>
    </row>
    <row r="142" spans="1:134" x14ac:dyDescent="0.25">
      <c r="A142" s="50" t="s">
        <v>1855</v>
      </c>
      <c r="B142" s="61" t="s">
        <v>544</v>
      </c>
      <c r="C142" s="14" t="s">
        <v>328</v>
      </c>
      <c r="D142" s="14"/>
      <c r="E142" s="14">
        <v>46</v>
      </c>
      <c r="F142" s="14" t="s">
        <v>329</v>
      </c>
      <c r="G142" s="14" t="s">
        <v>330</v>
      </c>
      <c r="H142" s="14" t="s">
        <v>573</v>
      </c>
      <c r="I142" s="14" t="s">
        <v>1243</v>
      </c>
      <c r="J142" s="14" t="s">
        <v>1288</v>
      </c>
      <c r="K142" s="14">
        <v>20</v>
      </c>
      <c r="L142" s="14">
        <v>1</v>
      </c>
      <c r="M142" s="14"/>
      <c r="N142" s="14"/>
      <c r="O142" s="14"/>
      <c r="P142" s="14"/>
      <c r="Q142" s="14">
        <v>1</v>
      </c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 t="s">
        <v>328</v>
      </c>
      <c r="AC142" s="14"/>
      <c r="AD142" s="14"/>
      <c r="AE142" s="14"/>
      <c r="AF142" s="14"/>
      <c r="AG142" s="14"/>
      <c r="AH142" s="14" t="s">
        <v>328</v>
      </c>
      <c r="AI142" s="14"/>
      <c r="AJ142" s="14" t="s">
        <v>328</v>
      </c>
      <c r="AK142" s="14"/>
      <c r="AL142" s="14"/>
      <c r="AM142" s="14"/>
      <c r="AN142" s="14"/>
      <c r="AO142" s="14" t="s">
        <v>328</v>
      </c>
      <c r="AP142" s="14">
        <v>10</v>
      </c>
      <c r="AQ142" s="14">
        <v>1</v>
      </c>
      <c r="AR142" s="14"/>
      <c r="AS142" s="14" t="s">
        <v>328</v>
      </c>
      <c r="AT142" s="14"/>
      <c r="AU142" s="14"/>
      <c r="AV142" s="14">
        <v>3</v>
      </c>
      <c r="AW142" s="14">
        <v>2</v>
      </c>
      <c r="AX142" s="14">
        <v>1</v>
      </c>
      <c r="AY142" s="14"/>
      <c r="AZ142" s="14" t="s">
        <v>328</v>
      </c>
      <c r="BA142" s="14"/>
      <c r="BB142" s="14"/>
      <c r="BC142" s="14"/>
      <c r="BD142" s="14" t="s">
        <v>328</v>
      </c>
      <c r="BE142" s="14"/>
      <c r="BF142" s="14"/>
      <c r="BG142" s="14"/>
      <c r="BH142" s="14"/>
      <c r="BI142" s="14"/>
      <c r="BJ142" s="14"/>
      <c r="BK142" s="14"/>
      <c r="BL142" s="14"/>
      <c r="BM142" s="14" t="s">
        <v>328</v>
      </c>
      <c r="BN142" s="14"/>
      <c r="BO142" s="14" t="s">
        <v>328</v>
      </c>
      <c r="BP142" s="14"/>
      <c r="BQ142" s="14"/>
      <c r="BR142" s="14"/>
      <c r="BS142" s="14"/>
      <c r="BT142" s="14"/>
      <c r="BU142" s="14" t="s">
        <v>328</v>
      </c>
      <c r="BV142" s="14"/>
      <c r="BW142" s="14"/>
      <c r="BX142" s="14"/>
      <c r="BY142" s="14"/>
      <c r="BZ142" s="14"/>
      <c r="CA142" s="14"/>
      <c r="CB142" s="14" t="s">
        <v>328</v>
      </c>
      <c r="CC142" s="14" t="s">
        <v>328</v>
      </c>
      <c r="CD142" s="14" t="s">
        <v>328</v>
      </c>
      <c r="CE142" s="14"/>
      <c r="CF142" s="14"/>
      <c r="CG142" s="14"/>
      <c r="CH142" s="14" t="s">
        <v>328</v>
      </c>
      <c r="CI142" s="14"/>
      <c r="CJ142" s="14"/>
      <c r="CK142" s="14"/>
      <c r="CL142" s="14">
        <v>3</v>
      </c>
      <c r="CM142" s="14">
        <v>4</v>
      </c>
      <c r="CN142" s="14">
        <v>1</v>
      </c>
      <c r="CO142" s="14">
        <v>5</v>
      </c>
      <c r="CP142" s="14">
        <v>6</v>
      </c>
      <c r="CQ142" s="14">
        <v>2</v>
      </c>
      <c r="CR142" s="14"/>
      <c r="CS142" s="14"/>
      <c r="CT142" s="14"/>
      <c r="CU142" s="14"/>
      <c r="CV142" s="14"/>
      <c r="CW142" s="14"/>
      <c r="CX142" s="14" t="s">
        <v>332</v>
      </c>
      <c r="CY142" s="14" t="s">
        <v>328</v>
      </c>
      <c r="CZ142" s="14" t="s">
        <v>404</v>
      </c>
      <c r="DA142" s="14"/>
      <c r="DB142" s="14"/>
      <c r="DC142" s="14"/>
      <c r="DD142" s="14"/>
      <c r="DE142" s="14"/>
      <c r="DF142" s="14"/>
      <c r="DG142" s="14"/>
      <c r="DH142" s="14" t="s">
        <v>328</v>
      </c>
      <c r="DI142" s="14"/>
      <c r="DJ142" s="14"/>
      <c r="DK142" s="14"/>
      <c r="DL142" s="14"/>
      <c r="DM142" s="14"/>
      <c r="DN142" s="14" t="s">
        <v>333</v>
      </c>
      <c r="DO142" s="14" t="s">
        <v>328</v>
      </c>
      <c r="DP142" s="14"/>
      <c r="DQ142" s="14"/>
      <c r="DR142" s="14"/>
      <c r="DS142" s="14"/>
      <c r="DT142" s="14"/>
      <c r="DU142" s="14"/>
      <c r="DV142" s="14" t="s">
        <v>411</v>
      </c>
      <c r="DW142" s="14" t="s">
        <v>328</v>
      </c>
      <c r="DX142" s="14"/>
      <c r="DY142" s="14"/>
      <c r="DZ142" s="14"/>
      <c r="EA142" s="14"/>
      <c r="EB142" s="14"/>
      <c r="EC142" s="101" t="s">
        <v>450</v>
      </c>
      <c r="ED142" s="99"/>
    </row>
    <row r="143" spans="1:134" x14ac:dyDescent="0.25">
      <c r="A143" s="50" t="s">
        <v>1855</v>
      </c>
      <c r="B143" s="61" t="s">
        <v>545</v>
      </c>
      <c r="C143" s="14" t="s">
        <v>328</v>
      </c>
      <c r="D143" s="14"/>
      <c r="E143" s="14">
        <v>28</v>
      </c>
      <c r="F143" s="14" t="s">
        <v>329</v>
      </c>
      <c r="G143" s="14" t="s">
        <v>357</v>
      </c>
      <c r="H143" s="14" t="s">
        <v>775</v>
      </c>
      <c r="I143" s="14" t="s">
        <v>1246</v>
      </c>
      <c r="J143" s="14" t="s">
        <v>1335</v>
      </c>
      <c r="K143" s="14">
        <v>10</v>
      </c>
      <c r="L143" s="14">
        <v>1</v>
      </c>
      <c r="M143" s="14"/>
      <c r="N143" s="14"/>
      <c r="O143" s="14"/>
      <c r="P143" s="14"/>
      <c r="Q143" s="14"/>
      <c r="R143" s="14"/>
      <c r="S143" s="14"/>
      <c r="T143" s="14"/>
      <c r="U143" s="14">
        <v>1</v>
      </c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 t="s">
        <v>328</v>
      </c>
      <c r="AI143" s="14"/>
      <c r="AJ143" s="14" t="s">
        <v>328</v>
      </c>
      <c r="AK143" s="14"/>
      <c r="AL143" s="14"/>
      <c r="AM143" s="14" t="s">
        <v>328</v>
      </c>
      <c r="AN143" s="14"/>
      <c r="AO143" s="14"/>
      <c r="AP143" s="14">
        <v>10</v>
      </c>
      <c r="AQ143" s="14">
        <v>1</v>
      </c>
      <c r="AR143" s="14"/>
      <c r="AS143" s="14" t="s">
        <v>328</v>
      </c>
      <c r="AT143" s="14"/>
      <c r="AU143" s="14"/>
      <c r="AV143" s="14">
        <v>3</v>
      </c>
      <c r="AW143" s="14">
        <v>1</v>
      </c>
      <c r="AX143" s="14">
        <v>2</v>
      </c>
      <c r="AY143" s="14"/>
      <c r="AZ143" s="14" t="s">
        <v>328</v>
      </c>
      <c r="BA143" s="14"/>
      <c r="BB143" s="14"/>
      <c r="BC143" s="14" t="s">
        <v>328</v>
      </c>
      <c r="BD143" s="14"/>
      <c r="BE143" s="14"/>
      <c r="BF143" s="14"/>
      <c r="BG143" s="14"/>
      <c r="BH143" s="14"/>
      <c r="BI143" s="14"/>
      <c r="BJ143" s="14"/>
      <c r="BK143" s="14"/>
      <c r="BL143" s="14"/>
      <c r="BM143" s="14" t="s">
        <v>328</v>
      </c>
      <c r="BN143" s="14"/>
      <c r="BO143" s="14" t="s">
        <v>328</v>
      </c>
      <c r="BP143" s="14"/>
      <c r="BQ143" s="14"/>
      <c r="BR143" s="14" t="s">
        <v>328</v>
      </c>
      <c r="BS143" s="14"/>
      <c r="BT143" s="14"/>
      <c r="BU143" s="14" t="s">
        <v>328</v>
      </c>
      <c r="BV143" s="14"/>
      <c r="BW143" s="14"/>
      <c r="BX143" s="14"/>
      <c r="BY143" s="14"/>
      <c r="BZ143" s="14"/>
      <c r="CA143" s="14"/>
      <c r="CB143" s="14"/>
      <c r="CC143" s="14"/>
      <c r="CD143" s="14" t="s">
        <v>328</v>
      </c>
      <c r="CE143" s="14"/>
      <c r="CF143" s="14"/>
      <c r="CG143" s="14"/>
      <c r="CH143" s="14" t="s">
        <v>328</v>
      </c>
      <c r="CI143" s="14"/>
      <c r="CJ143" s="14"/>
      <c r="CK143" s="14"/>
      <c r="CL143" s="14">
        <v>5</v>
      </c>
      <c r="CM143" s="14">
        <v>3</v>
      </c>
      <c r="CN143" s="14">
        <v>4</v>
      </c>
      <c r="CO143" s="14">
        <v>1</v>
      </c>
      <c r="CP143" s="14">
        <v>2</v>
      </c>
      <c r="CQ143" s="14">
        <v>6</v>
      </c>
      <c r="CR143" s="14" t="s">
        <v>328</v>
      </c>
      <c r="CS143" s="14"/>
      <c r="CT143" s="14"/>
      <c r="CU143" s="14"/>
      <c r="CV143" s="14"/>
      <c r="CW143" s="14"/>
      <c r="CX143" s="14"/>
      <c r="CY143" s="14"/>
      <c r="CZ143" s="14"/>
      <c r="DA143" s="14">
        <v>6</v>
      </c>
      <c r="DB143" s="14">
        <v>2</v>
      </c>
      <c r="DC143" s="14">
        <v>5</v>
      </c>
      <c r="DD143" s="14">
        <v>3</v>
      </c>
      <c r="DE143" s="14">
        <v>1</v>
      </c>
      <c r="DF143" s="14">
        <v>4</v>
      </c>
      <c r="DG143" s="14"/>
      <c r="DH143" s="14" t="s">
        <v>328</v>
      </c>
      <c r="DI143" s="14"/>
      <c r="DJ143" s="14"/>
      <c r="DK143" s="14"/>
      <c r="DL143" s="14"/>
      <c r="DM143" s="14"/>
      <c r="DN143" s="14" t="s">
        <v>333</v>
      </c>
      <c r="DO143" s="14"/>
      <c r="DP143" s="14" t="s">
        <v>328</v>
      </c>
      <c r="DQ143" s="14" t="s">
        <v>328</v>
      </c>
      <c r="DR143" s="14" t="s">
        <v>437</v>
      </c>
      <c r="DS143" s="14"/>
      <c r="DT143" s="14"/>
      <c r="DU143" s="15" t="s">
        <v>410</v>
      </c>
      <c r="DV143" s="14" t="s">
        <v>411</v>
      </c>
      <c r="DW143" s="14" t="s">
        <v>328</v>
      </c>
      <c r="DX143" s="14"/>
      <c r="DY143" s="14"/>
      <c r="DZ143" s="14"/>
      <c r="EA143" s="14"/>
      <c r="EB143" s="14"/>
      <c r="EC143" s="101" t="s">
        <v>450</v>
      </c>
      <c r="ED143" s="99"/>
    </row>
    <row r="144" spans="1:134" x14ac:dyDescent="0.25">
      <c r="A144" s="50" t="s">
        <v>1855</v>
      </c>
      <c r="B144" s="61" t="s">
        <v>546</v>
      </c>
      <c r="C144" s="14" t="s">
        <v>328</v>
      </c>
      <c r="D144" s="14"/>
      <c r="E144" s="14">
        <v>36</v>
      </c>
      <c r="F144" s="14" t="s">
        <v>376</v>
      </c>
      <c r="G144" s="14" t="s">
        <v>399</v>
      </c>
      <c r="H144" s="14" t="s">
        <v>578</v>
      </c>
      <c r="I144" s="14" t="s">
        <v>1247</v>
      </c>
      <c r="J144" s="14" t="s">
        <v>1288</v>
      </c>
      <c r="K144" s="14">
        <v>0</v>
      </c>
      <c r="L144" s="14">
        <v>2</v>
      </c>
      <c r="M144" s="14"/>
      <c r="N144" s="14"/>
      <c r="O144" s="14"/>
      <c r="P144" s="14">
        <v>2</v>
      </c>
      <c r="Q144" s="14"/>
      <c r="R144" s="14"/>
      <c r="S144" s="14"/>
      <c r="T144" s="14"/>
      <c r="U144" s="14"/>
      <c r="V144" s="14"/>
      <c r="W144" s="14"/>
      <c r="X144" s="14"/>
      <c r="Y144" s="14"/>
      <c r="Z144" s="14" t="s">
        <v>328</v>
      </c>
      <c r="AA144" s="14"/>
      <c r="AB144" s="14"/>
      <c r="AC144" s="14"/>
      <c r="AD144" s="14"/>
      <c r="AE144" s="14"/>
      <c r="AF144" s="14"/>
      <c r="AG144" s="14" t="s">
        <v>328</v>
      </c>
      <c r="AH144" s="14"/>
      <c r="AI144" s="14"/>
      <c r="AJ144" s="14"/>
      <c r="AK144" s="14" t="s">
        <v>328</v>
      </c>
      <c r="AL144" s="14"/>
      <c r="AM144" s="14"/>
      <c r="AN144" s="14"/>
      <c r="AO144" s="14" t="s">
        <v>328</v>
      </c>
      <c r="AP144" s="14">
        <v>5</v>
      </c>
      <c r="AQ144" s="14">
        <v>1</v>
      </c>
      <c r="AR144" s="14"/>
      <c r="AS144" s="14" t="s">
        <v>328</v>
      </c>
      <c r="AT144" s="14"/>
      <c r="AU144" s="14"/>
      <c r="AV144" s="14">
        <v>1</v>
      </c>
      <c r="AW144" s="14">
        <v>3</v>
      </c>
      <c r="AX144" s="14">
        <v>2</v>
      </c>
      <c r="AY144" s="14"/>
      <c r="AZ144" s="14" t="s">
        <v>328</v>
      </c>
      <c r="BA144" s="14"/>
      <c r="BB144" s="14" t="s">
        <v>328</v>
      </c>
      <c r="BC144" s="14"/>
      <c r="BD144" s="14"/>
      <c r="BE144" s="14"/>
      <c r="BF144" s="14"/>
      <c r="BG144" s="14"/>
      <c r="BH144" s="14"/>
      <c r="BI144" s="14"/>
      <c r="BJ144" s="14"/>
      <c r="BK144" s="14"/>
      <c r="BL144" s="14" t="s">
        <v>328</v>
      </c>
      <c r="BM144" s="14"/>
      <c r="BN144" s="14" t="s">
        <v>328</v>
      </c>
      <c r="BO144" s="14"/>
      <c r="BP144" s="14" t="s">
        <v>328</v>
      </c>
      <c r="BQ144" s="14"/>
      <c r="BR144" s="14"/>
      <c r="BS144" s="14"/>
      <c r="BT144" s="14"/>
      <c r="BU144" s="14" t="s">
        <v>328</v>
      </c>
      <c r="BV144" s="14"/>
      <c r="BW144" s="14" t="s">
        <v>328</v>
      </c>
      <c r="BX144" s="14"/>
      <c r="BY144" s="14"/>
      <c r="BZ144" s="14" t="s">
        <v>328</v>
      </c>
      <c r="CA144" s="14" t="s">
        <v>328</v>
      </c>
      <c r="CB144" s="14" t="s">
        <v>328</v>
      </c>
      <c r="CC144" s="14"/>
      <c r="CD144" s="14"/>
      <c r="CE144" s="14"/>
      <c r="CF144" s="14" t="s">
        <v>579</v>
      </c>
      <c r="CG144" s="14" t="s">
        <v>328</v>
      </c>
      <c r="CH144" s="14"/>
      <c r="CI144" s="14"/>
      <c r="CJ144" s="14"/>
      <c r="CK144" s="14"/>
      <c r="CL144" s="14">
        <v>2</v>
      </c>
      <c r="CM144" s="14">
        <v>5</v>
      </c>
      <c r="CN144" s="14">
        <v>6</v>
      </c>
      <c r="CO144" s="14">
        <v>3</v>
      </c>
      <c r="CP144" s="14">
        <v>4</v>
      </c>
      <c r="CQ144" s="14">
        <v>1</v>
      </c>
      <c r="CR144" s="14"/>
      <c r="CS144" s="14"/>
      <c r="CT144" s="14"/>
      <c r="CU144" s="14" t="s">
        <v>328</v>
      </c>
      <c r="CV144" s="14"/>
      <c r="CW144" s="14"/>
      <c r="CX144" s="14"/>
      <c r="CY144" s="14"/>
      <c r="CZ144" s="14"/>
      <c r="DA144" s="14">
        <v>3</v>
      </c>
      <c r="DB144" s="14">
        <v>2</v>
      </c>
      <c r="DC144" s="14">
        <v>1</v>
      </c>
      <c r="DD144" s="14">
        <v>6</v>
      </c>
      <c r="DE144" s="14">
        <v>4</v>
      </c>
      <c r="DF144" s="14">
        <v>5</v>
      </c>
      <c r="DG144" s="14"/>
      <c r="DH144" s="14" t="s">
        <v>328</v>
      </c>
      <c r="DI144" s="14"/>
      <c r="DJ144" s="14"/>
      <c r="DK144" s="14"/>
      <c r="DL144" s="14"/>
      <c r="DM144" s="14"/>
      <c r="DN144" s="14" t="s">
        <v>1145</v>
      </c>
      <c r="DO144" s="14" t="s">
        <v>328</v>
      </c>
      <c r="DP144" s="14"/>
      <c r="DQ144" s="14"/>
      <c r="DR144" s="14"/>
      <c r="DS144" s="14"/>
      <c r="DT144" s="14"/>
      <c r="DU144" s="14"/>
      <c r="DV144" s="14" t="s">
        <v>411</v>
      </c>
      <c r="DW144" s="14" t="s">
        <v>328</v>
      </c>
      <c r="DX144" s="14"/>
      <c r="DY144" s="14"/>
      <c r="DZ144" s="14"/>
      <c r="EA144" s="14"/>
      <c r="EB144" s="14"/>
      <c r="EC144" s="101" t="s">
        <v>450</v>
      </c>
      <c r="ED144" s="99"/>
    </row>
    <row r="145" spans="1:134" x14ac:dyDescent="0.25">
      <c r="A145" s="50" t="s">
        <v>1855</v>
      </c>
      <c r="B145" s="61" t="s">
        <v>547</v>
      </c>
      <c r="C145" s="14" t="s">
        <v>328</v>
      </c>
      <c r="D145" s="14"/>
      <c r="E145" s="14">
        <v>44</v>
      </c>
      <c r="F145" s="14" t="s">
        <v>329</v>
      </c>
      <c r="G145" s="14" t="s">
        <v>330</v>
      </c>
      <c r="H145" s="14" t="s">
        <v>567</v>
      </c>
      <c r="I145" s="8" t="s">
        <v>1237</v>
      </c>
      <c r="J145" s="14" t="s">
        <v>1288</v>
      </c>
      <c r="K145" s="14">
        <v>24</v>
      </c>
      <c r="L145" s="14">
        <v>1</v>
      </c>
      <c r="M145" s="14"/>
      <c r="N145" s="14"/>
      <c r="O145" s="14"/>
      <c r="P145" s="14"/>
      <c r="Q145" s="14"/>
      <c r="R145" s="14"/>
      <c r="S145" s="14"/>
      <c r="T145" s="14"/>
      <c r="U145" s="14"/>
      <c r="V145" s="14">
        <v>1</v>
      </c>
      <c r="W145" s="14"/>
      <c r="X145" s="14"/>
      <c r="Y145" s="14"/>
      <c r="Z145" s="14"/>
      <c r="AA145" s="14"/>
      <c r="AB145" s="14"/>
      <c r="AC145" s="14"/>
      <c r="AD145" s="14"/>
      <c r="AE145" s="14" t="s">
        <v>328</v>
      </c>
      <c r="AF145" s="14"/>
      <c r="AG145" s="14"/>
      <c r="AH145" s="14"/>
      <c r="AI145" s="14"/>
      <c r="AJ145" s="14"/>
      <c r="AK145" s="14" t="s">
        <v>328</v>
      </c>
      <c r="AL145" s="14"/>
      <c r="AM145" s="14" t="s">
        <v>328</v>
      </c>
      <c r="AN145" s="14"/>
      <c r="AO145" s="14"/>
      <c r="AP145" s="14">
        <v>5</v>
      </c>
      <c r="AQ145" s="14">
        <v>8</v>
      </c>
      <c r="AR145" s="14"/>
      <c r="AS145" s="14" t="s">
        <v>328</v>
      </c>
      <c r="AT145" s="14"/>
      <c r="AU145" s="14"/>
      <c r="AV145" s="14">
        <v>2</v>
      </c>
      <c r="AW145" s="14">
        <v>3</v>
      </c>
      <c r="AX145" s="14">
        <v>1</v>
      </c>
      <c r="AY145" s="14"/>
      <c r="AZ145" s="14" t="s">
        <v>328</v>
      </c>
      <c r="BA145" s="14"/>
      <c r="BB145" s="14" t="s">
        <v>328</v>
      </c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 t="s">
        <v>328</v>
      </c>
      <c r="BN145" s="14"/>
      <c r="BO145" s="14" t="s">
        <v>328</v>
      </c>
      <c r="BP145" s="14"/>
      <c r="BQ145" s="14"/>
      <c r="BR145" s="14"/>
      <c r="BS145" s="14"/>
      <c r="BT145" s="14"/>
      <c r="BU145" s="14" t="s">
        <v>328</v>
      </c>
      <c r="BV145" s="14"/>
      <c r="BW145" s="14"/>
      <c r="BX145" s="14"/>
      <c r="BY145" s="14"/>
      <c r="BZ145" s="14"/>
      <c r="CA145" s="14" t="s">
        <v>328</v>
      </c>
      <c r="CB145" s="14" t="s">
        <v>328</v>
      </c>
      <c r="CC145" s="14"/>
      <c r="CD145" s="14"/>
      <c r="CE145" s="14"/>
      <c r="CF145" s="14"/>
      <c r="CG145" s="14" t="s">
        <v>328</v>
      </c>
      <c r="CH145" s="14"/>
      <c r="CI145" s="14"/>
      <c r="CJ145" s="14"/>
      <c r="CK145" s="14"/>
      <c r="CL145" s="14">
        <v>3</v>
      </c>
      <c r="CM145" s="14">
        <v>4</v>
      </c>
      <c r="CN145" s="14">
        <v>6</v>
      </c>
      <c r="CO145" s="14">
        <v>2</v>
      </c>
      <c r="CP145" s="14">
        <v>1</v>
      </c>
      <c r="CQ145" s="14">
        <v>5</v>
      </c>
      <c r="CR145" s="14"/>
      <c r="CS145" s="14"/>
      <c r="CT145" s="14"/>
      <c r="CU145" s="14"/>
      <c r="CV145" s="14"/>
      <c r="CW145" s="14"/>
      <c r="CX145" s="14" t="s">
        <v>332</v>
      </c>
      <c r="CY145" s="14"/>
      <c r="CZ145" s="14"/>
      <c r="DA145" s="14">
        <v>1</v>
      </c>
      <c r="DB145" s="14">
        <v>2</v>
      </c>
      <c r="DC145" s="14">
        <v>3</v>
      </c>
      <c r="DD145" s="14">
        <v>4</v>
      </c>
      <c r="DE145" s="14">
        <v>5</v>
      </c>
      <c r="DF145" s="14">
        <v>6</v>
      </c>
      <c r="DG145" s="14"/>
      <c r="DH145" s="14" t="s">
        <v>328</v>
      </c>
      <c r="DI145" s="14"/>
      <c r="DJ145" s="14"/>
      <c r="DK145" s="14"/>
      <c r="DL145" s="14"/>
      <c r="DM145" s="14"/>
      <c r="DN145" s="14" t="s">
        <v>333</v>
      </c>
      <c r="DO145" s="14" t="s">
        <v>328</v>
      </c>
      <c r="DP145" s="14"/>
      <c r="DQ145" s="14"/>
      <c r="DR145" s="14"/>
      <c r="DS145" s="14"/>
      <c r="DT145" s="14"/>
      <c r="DU145" s="14"/>
      <c r="DV145" s="14" t="s">
        <v>1144</v>
      </c>
      <c r="DW145" s="14" t="s">
        <v>328</v>
      </c>
      <c r="DX145" s="14"/>
      <c r="DY145" s="14"/>
      <c r="DZ145" s="14"/>
      <c r="EA145" s="14"/>
      <c r="EB145" s="14"/>
      <c r="EC145" s="101" t="s">
        <v>333</v>
      </c>
      <c r="ED145" s="99"/>
    </row>
    <row r="146" spans="1:134" x14ac:dyDescent="0.25">
      <c r="A146" s="50" t="s">
        <v>1855</v>
      </c>
      <c r="B146" s="61" t="s">
        <v>548</v>
      </c>
      <c r="C146" s="14" t="s">
        <v>328</v>
      </c>
      <c r="D146" s="14"/>
      <c r="E146" s="14">
        <v>47</v>
      </c>
      <c r="F146" s="14" t="s">
        <v>329</v>
      </c>
      <c r="G146" s="14" t="s">
        <v>330</v>
      </c>
      <c r="H146" s="14" t="s">
        <v>586</v>
      </c>
      <c r="I146" s="8" t="s">
        <v>1248</v>
      </c>
      <c r="J146" s="14" t="s">
        <v>1288</v>
      </c>
      <c r="K146" s="14">
        <v>30</v>
      </c>
      <c r="L146" s="14">
        <v>1</v>
      </c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>
        <v>1</v>
      </c>
      <c r="Y146" s="15"/>
      <c r="Z146" s="14" t="s">
        <v>328</v>
      </c>
      <c r="AA146" s="14" t="s">
        <v>328</v>
      </c>
      <c r="AB146" s="14"/>
      <c r="AC146" s="14"/>
      <c r="AD146" s="14"/>
      <c r="AE146" s="14"/>
      <c r="AF146" s="14"/>
      <c r="AG146" s="14"/>
      <c r="AH146" s="14"/>
      <c r="AI146" s="14"/>
      <c r="AJ146" s="14"/>
      <c r="AK146" s="14" t="s">
        <v>328</v>
      </c>
      <c r="AL146" s="14"/>
      <c r="AM146" s="14" t="s">
        <v>328</v>
      </c>
      <c r="AN146" s="14" t="s">
        <v>328</v>
      </c>
      <c r="AO146" s="14" t="s">
        <v>328</v>
      </c>
      <c r="AP146" s="14">
        <v>0</v>
      </c>
      <c r="AQ146" s="14">
        <v>0</v>
      </c>
      <c r="AR146" s="14"/>
      <c r="AS146" s="14" t="s">
        <v>328</v>
      </c>
      <c r="AT146" s="14"/>
      <c r="AU146" s="14"/>
      <c r="AV146" s="14">
        <v>3</v>
      </c>
      <c r="AW146" s="14">
        <v>1</v>
      </c>
      <c r="AX146" s="14">
        <v>2</v>
      </c>
      <c r="AY146" s="14"/>
      <c r="AZ146" s="14" t="s">
        <v>328</v>
      </c>
      <c r="BA146" s="14"/>
      <c r="BB146" s="14" t="s">
        <v>328</v>
      </c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 t="s">
        <v>328</v>
      </c>
      <c r="BN146" s="14"/>
      <c r="BO146" s="14" t="s">
        <v>328</v>
      </c>
      <c r="BP146" s="14" t="s">
        <v>328</v>
      </c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 t="s">
        <v>328</v>
      </c>
      <c r="CE146" s="14"/>
      <c r="CF146" s="14"/>
      <c r="CG146" s="14" t="s">
        <v>328</v>
      </c>
      <c r="CH146" s="14"/>
      <c r="CI146" s="14"/>
      <c r="CJ146" s="14"/>
      <c r="CK146" s="14"/>
      <c r="CL146" s="14">
        <v>6</v>
      </c>
      <c r="CM146" s="14">
        <v>3</v>
      </c>
      <c r="CN146" s="14">
        <v>2</v>
      </c>
      <c r="CO146" s="14">
        <v>1</v>
      </c>
      <c r="CP146" s="14">
        <v>5</v>
      </c>
      <c r="CQ146" s="14">
        <v>4</v>
      </c>
      <c r="CR146" s="14"/>
      <c r="CS146" s="14"/>
      <c r="CT146" s="14"/>
      <c r="CU146" s="14"/>
      <c r="CV146" s="14" t="s">
        <v>328</v>
      </c>
      <c r="CW146" s="14"/>
      <c r="CX146" s="14"/>
      <c r="CY146" s="14"/>
      <c r="CZ146" s="14"/>
      <c r="DA146" s="14">
        <v>1</v>
      </c>
      <c r="DB146" s="14">
        <v>2</v>
      </c>
      <c r="DC146" s="14">
        <v>3</v>
      </c>
      <c r="DD146" s="14">
        <v>4</v>
      </c>
      <c r="DE146" s="14">
        <v>6</v>
      </c>
      <c r="DF146" s="14">
        <v>5</v>
      </c>
      <c r="DG146" s="14"/>
      <c r="DH146" s="14" t="s">
        <v>328</v>
      </c>
      <c r="DI146" s="14"/>
      <c r="DJ146" s="14"/>
      <c r="DK146" s="14"/>
      <c r="DL146" s="14"/>
      <c r="DM146" s="14"/>
      <c r="DN146" s="14" t="s">
        <v>624</v>
      </c>
      <c r="DO146" s="14"/>
      <c r="DP146" s="14" t="s">
        <v>328</v>
      </c>
      <c r="DQ146" s="14" t="s">
        <v>328</v>
      </c>
      <c r="DR146" s="14" t="s">
        <v>437</v>
      </c>
      <c r="DS146" s="14"/>
      <c r="DT146" s="14"/>
      <c r="DU146" s="14" t="s">
        <v>571</v>
      </c>
      <c r="DV146" s="14" t="s">
        <v>411</v>
      </c>
      <c r="DW146" s="14" t="s">
        <v>328</v>
      </c>
      <c r="DX146" s="14"/>
      <c r="DY146" s="14"/>
      <c r="DZ146" s="14"/>
      <c r="EA146" s="14"/>
      <c r="EB146" s="14"/>
      <c r="EC146" s="101" t="s">
        <v>333</v>
      </c>
      <c r="ED146" s="99"/>
    </row>
    <row r="147" spans="1:134" x14ac:dyDescent="0.25">
      <c r="A147" s="50" t="s">
        <v>1855</v>
      </c>
      <c r="B147" s="61" t="s">
        <v>549</v>
      </c>
      <c r="C147" s="14" t="s">
        <v>328</v>
      </c>
      <c r="D147" s="14"/>
      <c r="E147" s="14">
        <v>57</v>
      </c>
      <c r="F147" s="14" t="s">
        <v>329</v>
      </c>
      <c r="G147" s="14" t="s">
        <v>353</v>
      </c>
      <c r="H147" s="14" t="s">
        <v>776</v>
      </c>
      <c r="I147" s="8" t="s">
        <v>1234</v>
      </c>
      <c r="J147" s="14" t="s">
        <v>1288</v>
      </c>
      <c r="K147" s="14">
        <v>40</v>
      </c>
      <c r="L147" s="14">
        <v>1</v>
      </c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>
        <v>1</v>
      </c>
      <c r="Y147" s="15"/>
      <c r="Z147" s="14" t="s">
        <v>328</v>
      </c>
      <c r="AA147" s="14" t="s">
        <v>328</v>
      </c>
      <c r="AB147" s="14"/>
      <c r="AC147" s="14"/>
      <c r="AD147" s="14"/>
      <c r="AE147" s="14" t="s">
        <v>328</v>
      </c>
      <c r="AF147" s="14"/>
      <c r="AG147" s="14"/>
      <c r="AH147" s="14"/>
      <c r="AI147" s="14"/>
      <c r="AJ147" s="14"/>
      <c r="AK147" s="14" t="s">
        <v>328</v>
      </c>
      <c r="AL147" s="14"/>
      <c r="AM147" s="14"/>
      <c r="AN147" s="14"/>
      <c r="AO147" s="14" t="s">
        <v>328</v>
      </c>
      <c r="AP147" s="14">
        <v>0</v>
      </c>
      <c r="AQ147" s="14">
        <v>0</v>
      </c>
      <c r="AR147" s="14"/>
      <c r="AS147" s="14" t="s">
        <v>328</v>
      </c>
      <c r="AT147" s="14"/>
      <c r="AU147" s="14"/>
      <c r="AV147" s="14">
        <v>2</v>
      </c>
      <c r="AW147" s="14">
        <v>3</v>
      </c>
      <c r="AX147" s="14">
        <v>1</v>
      </c>
      <c r="AY147" s="14"/>
      <c r="AZ147" s="14" t="s">
        <v>328</v>
      </c>
      <c r="BA147" s="14"/>
      <c r="BB147" s="14" t="s">
        <v>328</v>
      </c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 t="s">
        <v>328</v>
      </c>
      <c r="BN147" s="14" t="s">
        <v>328</v>
      </c>
      <c r="BO147" s="14"/>
      <c r="BP147" s="14"/>
      <c r="BQ147" s="14" t="s">
        <v>328</v>
      </c>
      <c r="BR147" s="14"/>
      <c r="BS147" s="14"/>
      <c r="BT147" s="14"/>
      <c r="BU147" s="14" t="s">
        <v>328</v>
      </c>
      <c r="BV147" s="14"/>
      <c r="BW147" s="14"/>
      <c r="BX147" s="14"/>
      <c r="BY147" s="14"/>
      <c r="BZ147" s="14"/>
      <c r="CA147" s="14"/>
      <c r="CB147" s="14"/>
      <c r="CC147" s="14"/>
      <c r="CD147" s="14" t="s">
        <v>328</v>
      </c>
      <c r="CE147" s="14" t="s">
        <v>328</v>
      </c>
      <c r="CF147" s="14"/>
      <c r="CG147" s="14" t="s">
        <v>328</v>
      </c>
      <c r="CH147" s="14"/>
      <c r="CI147" s="14"/>
      <c r="CJ147" s="14"/>
      <c r="CK147" s="14"/>
      <c r="CL147" s="14">
        <v>6</v>
      </c>
      <c r="CM147" s="14">
        <v>2</v>
      </c>
      <c r="CN147" s="14">
        <v>1</v>
      </c>
      <c r="CO147" s="14">
        <v>3</v>
      </c>
      <c r="CP147" s="14">
        <v>4</v>
      </c>
      <c r="CQ147" s="14">
        <v>5</v>
      </c>
      <c r="CR147" s="14"/>
      <c r="CS147" s="14"/>
      <c r="CT147" s="14"/>
      <c r="CU147" s="14"/>
      <c r="CV147" s="14" t="s">
        <v>328</v>
      </c>
      <c r="CW147" s="14"/>
      <c r="CX147" s="14"/>
      <c r="CY147" s="14"/>
      <c r="CZ147" s="14"/>
      <c r="DA147" s="14">
        <v>1</v>
      </c>
      <c r="DB147" s="14">
        <v>3</v>
      </c>
      <c r="DC147" s="14">
        <v>2</v>
      </c>
      <c r="DD147" s="14">
        <v>4</v>
      </c>
      <c r="DE147" s="14">
        <v>6</v>
      </c>
      <c r="DF147" s="14">
        <v>5</v>
      </c>
      <c r="DG147" s="14"/>
      <c r="DH147" s="14" t="s">
        <v>328</v>
      </c>
      <c r="DI147" s="14"/>
      <c r="DJ147" s="14"/>
      <c r="DK147" s="14"/>
      <c r="DL147" s="14"/>
      <c r="DM147" s="14"/>
      <c r="DN147" s="14" t="s">
        <v>624</v>
      </c>
      <c r="DO147" s="14"/>
      <c r="DP147" s="14" t="s">
        <v>328</v>
      </c>
      <c r="DQ147" s="14"/>
      <c r="DR147" s="14"/>
      <c r="DS147" s="14" t="s">
        <v>328</v>
      </c>
      <c r="DT147" s="14" t="s">
        <v>680</v>
      </c>
      <c r="DU147" s="14"/>
      <c r="DV147" s="14" t="s">
        <v>582</v>
      </c>
      <c r="DW147" s="14" t="s">
        <v>328</v>
      </c>
      <c r="DX147" s="14"/>
      <c r="DY147" s="14"/>
      <c r="DZ147" s="14"/>
      <c r="EA147" s="14"/>
      <c r="EB147" s="14"/>
      <c r="EC147" s="101" t="s">
        <v>450</v>
      </c>
      <c r="ED147" s="99"/>
    </row>
    <row r="148" spans="1:134" x14ac:dyDescent="0.25">
      <c r="A148" s="50" t="s">
        <v>1855</v>
      </c>
      <c r="B148" s="61" t="s">
        <v>550</v>
      </c>
      <c r="C148" s="14" t="s">
        <v>328</v>
      </c>
      <c r="D148" s="14"/>
      <c r="E148" s="14">
        <v>24</v>
      </c>
      <c r="F148" s="14" t="s">
        <v>329</v>
      </c>
      <c r="G148" s="14" t="s">
        <v>357</v>
      </c>
      <c r="H148" s="14" t="s">
        <v>578</v>
      </c>
      <c r="I148" s="8" t="s">
        <v>1247</v>
      </c>
      <c r="J148" s="14" t="s">
        <v>1288</v>
      </c>
      <c r="K148" s="14">
        <v>4</v>
      </c>
      <c r="L148" s="14">
        <v>2</v>
      </c>
      <c r="M148" s="14">
        <v>2</v>
      </c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 t="s">
        <v>328</v>
      </c>
      <c r="AB148" s="14"/>
      <c r="AC148" s="14" t="s">
        <v>328</v>
      </c>
      <c r="AD148" s="14" t="s">
        <v>328</v>
      </c>
      <c r="AE148" s="14"/>
      <c r="AF148" s="14" t="s">
        <v>328</v>
      </c>
      <c r="AG148" s="14"/>
      <c r="AH148" s="14"/>
      <c r="AI148" s="14"/>
      <c r="AJ148" s="14"/>
      <c r="AK148" s="14" t="s">
        <v>328</v>
      </c>
      <c r="AL148" s="14" t="s">
        <v>328</v>
      </c>
      <c r="AM148" s="14" t="s">
        <v>328</v>
      </c>
      <c r="AN148" s="14"/>
      <c r="AO148" s="14" t="s">
        <v>328</v>
      </c>
      <c r="AP148" s="14">
        <v>0</v>
      </c>
      <c r="AQ148" s="14">
        <v>0</v>
      </c>
      <c r="AR148" s="14" t="s">
        <v>328</v>
      </c>
      <c r="AS148" s="14" t="s">
        <v>328</v>
      </c>
      <c r="AT148" s="14"/>
      <c r="AU148" s="14"/>
      <c r="AV148" s="14">
        <v>1</v>
      </c>
      <c r="AW148" s="14">
        <v>3</v>
      </c>
      <c r="AX148" s="14">
        <v>2</v>
      </c>
      <c r="AY148" s="14"/>
      <c r="AZ148" s="14" t="s">
        <v>328</v>
      </c>
      <c r="BA148" s="14"/>
      <c r="BB148" s="14" t="s">
        <v>328</v>
      </c>
      <c r="BC148" s="14" t="s">
        <v>328</v>
      </c>
      <c r="BD148" s="14"/>
      <c r="BE148" s="14"/>
      <c r="BF148" s="14"/>
      <c r="BG148" s="14"/>
      <c r="BH148" s="14"/>
      <c r="BI148" s="14"/>
      <c r="BJ148" s="14"/>
      <c r="BK148" s="14"/>
      <c r="BL148" s="14"/>
      <c r="BM148" s="14" t="s">
        <v>328</v>
      </c>
      <c r="BN148" s="14"/>
      <c r="BO148" s="14" t="s">
        <v>328</v>
      </c>
      <c r="BP148" s="14"/>
      <c r="BQ148" s="14"/>
      <c r="BR148" s="14"/>
      <c r="BS148" s="14"/>
      <c r="BT148" s="14"/>
      <c r="BU148" s="14" t="s">
        <v>328</v>
      </c>
      <c r="BV148" s="14"/>
      <c r="BW148" s="14"/>
      <c r="BX148" s="14"/>
      <c r="BY148" s="14"/>
      <c r="BZ148" s="14"/>
      <c r="CA148" s="14" t="s">
        <v>328</v>
      </c>
      <c r="CB148" s="14" t="s">
        <v>328</v>
      </c>
      <c r="CC148" s="14"/>
      <c r="CD148" s="14"/>
      <c r="CE148" s="14"/>
      <c r="CF148" s="14"/>
      <c r="CG148" s="14" t="s">
        <v>328</v>
      </c>
      <c r="CH148" s="14"/>
      <c r="CI148" s="14"/>
      <c r="CJ148" s="14"/>
      <c r="CK148" s="14"/>
      <c r="CL148" s="14">
        <v>5</v>
      </c>
      <c r="CM148" s="14">
        <v>1</v>
      </c>
      <c r="CN148" s="14">
        <v>6</v>
      </c>
      <c r="CO148" s="14">
        <v>2</v>
      </c>
      <c r="CP148" s="14">
        <v>3</v>
      </c>
      <c r="CQ148" s="14">
        <v>4</v>
      </c>
      <c r="CR148" s="14"/>
      <c r="CS148" s="14"/>
      <c r="CT148" s="14"/>
      <c r="CU148" s="14"/>
      <c r="CV148" s="14"/>
      <c r="CW148" s="14"/>
      <c r="CX148" s="14" t="s">
        <v>332</v>
      </c>
      <c r="CY148" s="14"/>
      <c r="CZ148" s="14"/>
      <c r="DA148" s="14">
        <v>1</v>
      </c>
      <c r="DB148" s="14">
        <v>2</v>
      </c>
      <c r="DC148" s="14">
        <v>3</v>
      </c>
      <c r="DD148" s="14">
        <v>4</v>
      </c>
      <c r="DE148" s="14">
        <v>5</v>
      </c>
      <c r="DF148" s="14">
        <v>6</v>
      </c>
      <c r="DG148" s="14"/>
      <c r="DH148" s="14" t="s">
        <v>328</v>
      </c>
      <c r="DI148" s="14"/>
      <c r="DJ148" s="14"/>
      <c r="DK148" s="14"/>
      <c r="DL148" s="14"/>
      <c r="DM148" s="14"/>
      <c r="DN148" s="14" t="s">
        <v>1145</v>
      </c>
      <c r="DO148" s="14" t="s">
        <v>328</v>
      </c>
      <c r="DP148" s="14"/>
      <c r="DQ148" s="14"/>
      <c r="DR148" s="14"/>
      <c r="DS148" s="14"/>
      <c r="DT148" s="14"/>
      <c r="DU148" s="14"/>
      <c r="DV148" s="14" t="s">
        <v>1156</v>
      </c>
      <c r="DW148" s="14" t="s">
        <v>328</v>
      </c>
      <c r="DX148" s="14"/>
      <c r="DY148" s="14"/>
      <c r="DZ148" s="14"/>
      <c r="EA148" s="14"/>
      <c r="EB148" s="14"/>
      <c r="EC148" s="101" t="s">
        <v>1155</v>
      </c>
      <c r="ED148" s="99"/>
    </row>
    <row r="149" spans="1:134" x14ac:dyDescent="0.25">
      <c r="A149" s="50" t="s">
        <v>1855</v>
      </c>
      <c r="B149" s="61" t="s">
        <v>551</v>
      </c>
      <c r="C149" s="14" t="s">
        <v>328</v>
      </c>
      <c r="D149" s="14"/>
      <c r="E149" s="14">
        <v>42</v>
      </c>
      <c r="F149" s="14" t="s">
        <v>329</v>
      </c>
      <c r="G149" s="14" t="s">
        <v>584</v>
      </c>
      <c r="H149" s="14" t="s">
        <v>777</v>
      </c>
      <c r="I149" s="8" t="s">
        <v>1249</v>
      </c>
      <c r="J149" s="14" t="s">
        <v>1288</v>
      </c>
      <c r="K149" s="14">
        <v>26</v>
      </c>
      <c r="L149" s="14">
        <v>1</v>
      </c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>
        <v>1</v>
      </c>
      <c r="Y149" s="15"/>
      <c r="Z149" s="14" t="s">
        <v>328</v>
      </c>
      <c r="AA149" s="14" t="s">
        <v>328</v>
      </c>
      <c r="AB149" s="14"/>
      <c r="AC149" s="14" t="s">
        <v>328</v>
      </c>
      <c r="AD149" s="14" t="s">
        <v>328</v>
      </c>
      <c r="AE149" s="14" t="s">
        <v>328</v>
      </c>
      <c r="AF149" s="14" t="s">
        <v>328</v>
      </c>
      <c r="AG149" s="14"/>
      <c r="AH149" s="14"/>
      <c r="AI149" s="14"/>
      <c r="AJ149" s="14"/>
      <c r="AK149" s="14" t="s">
        <v>328</v>
      </c>
      <c r="AL149" s="14"/>
      <c r="AM149" s="14" t="s">
        <v>328</v>
      </c>
      <c r="AN149" s="14"/>
      <c r="AO149" s="14"/>
      <c r="AP149" s="14">
        <v>0</v>
      </c>
      <c r="AQ149" s="14">
        <v>0</v>
      </c>
      <c r="AR149" s="14"/>
      <c r="AS149" s="14" t="s">
        <v>328</v>
      </c>
      <c r="AT149" s="14"/>
      <c r="AU149" s="14"/>
      <c r="AV149" s="14">
        <v>2</v>
      </c>
      <c r="AW149" s="14">
        <v>1</v>
      </c>
      <c r="AX149" s="14">
        <v>3</v>
      </c>
      <c r="AY149" s="14"/>
      <c r="AZ149" s="14" t="s">
        <v>328</v>
      </c>
      <c r="BA149" s="14"/>
      <c r="BB149" s="14" t="s">
        <v>328</v>
      </c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 t="s">
        <v>328</v>
      </c>
      <c r="BN149" s="14"/>
      <c r="BO149" s="14" t="s">
        <v>328</v>
      </c>
      <c r="BP149" s="14"/>
      <c r="BQ149" s="14"/>
      <c r="BR149" s="14"/>
      <c r="BS149" s="14"/>
      <c r="BT149" s="14"/>
      <c r="BU149" s="14"/>
      <c r="BV149" s="14" t="s">
        <v>409</v>
      </c>
      <c r="BW149" s="14"/>
      <c r="BX149" s="14"/>
      <c r="BY149" s="14"/>
      <c r="BZ149" s="14"/>
      <c r="CA149" s="14"/>
      <c r="CB149" s="14" t="s">
        <v>328</v>
      </c>
      <c r="CC149" s="14"/>
      <c r="CD149" s="14"/>
      <c r="CE149" s="14" t="s">
        <v>328</v>
      </c>
      <c r="CF149" s="14"/>
      <c r="CG149" s="14" t="s">
        <v>328</v>
      </c>
      <c r="CH149" s="14"/>
      <c r="CI149" s="14"/>
      <c r="CJ149" s="14"/>
      <c r="CK149" s="14"/>
      <c r="CL149" s="14">
        <v>5</v>
      </c>
      <c r="CM149" s="14">
        <v>3</v>
      </c>
      <c r="CN149" s="14">
        <v>4</v>
      </c>
      <c r="CO149" s="14">
        <v>1</v>
      </c>
      <c r="CP149" s="14">
        <v>2</v>
      </c>
      <c r="CQ149" s="14">
        <v>6</v>
      </c>
      <c r="CR149" s="14"/>
      <c r="CS149" s="14"/>
      <c r="CT149" s="14"/>
      <c r="CU149" s="14"/>
      <c r="CV149" s="14" t="s">
        <v>328</v>
      </c>
      <c r="CW149" s="14"/>
      <c r="CX149" s="14"/>
      <c r="CY149" s="14"/>
      <c r="CZ149" s="14"/>
      <c r="DA149" s="14">
        <v>1</v>
      </c>
      <c r="DB149" s="14">
        <v>3</v>
      </c>
      <c r="DC149" s="14">
        <v>4</v>
      </c>
      <c r="DD149" s="14">
        <v>5</v>
      </c>
      <c r="DE149" s="14">
        <v>2</v>
      </c>
      <c r="DF149" s="14">
        <v>6</v>
      </c>
      <c r="DG149" s="14"/>
      <c r="DH149" s="14" t="s">
        <v>328</v>
      </c>
      <c r="DI149" s="14"/>
      <c r="DJ149" s="14"/>
      <c r="DK149" s="14"/>
      <c r="DL149" s="14"/>
      <c r="DM149" s="14"/>
      <c r="DN149" s="14" t="s">
        <v>1146</v>
      </c>
      <c r="DO149" s="14"/>
      <c r="DP149" s="14" t="s">
        <v>328</v>
      </c>
      <c r="DQ149" s="14" t="s">
        <v>328</v>
      </c>
      <c r="DR149" s="14" t="s">
        <v>437</v>
      </c>
      <c r="DS149" s="14"/>
      <c r="DT149" s="14"/>
      <c r="DU149" s="15" t="s">
        <v>410</v>
      </c>
      <c r="DV149" s="14" t="s">
        <v>411</v>
      </c>
      <c r="DW149" s="14" t="s">
        <v>328</v>
      </c>
      <c r="DX149" s="14"/>
      <c r="DY149" s="14"/>
      <c r="DZ149" s="14"/>
      <c r="EA149" s="14"/>
      <c r="EB149" s="14"/>
      <c r="EC149" s="101" t="s">
        <v>1155</v>
      </c>
      <c r="ED149" s="99"/>
    </row>
    <row r="150" spans="1:134" x14ac:dyDescent="0.25">
      <c r="A150" s="50" t="s">
        <v>1855</v>
      </c>
      <c r="B150" s="61" t="s">
        <v>552</v>
      </c>
      <c r="C150" s="14" t="s">
        <v>328</v>
      </c>
      <c r="D150" s="14"/>
      <c r="E150" s="14">
        <v>49</v>
      </c>
      <c r="F150" s="14" t="s">
        <v>329</v>
      </c>
      <c r="G150" s="14" t="s">
        <v>330</v>
      </c>
      <c r="H150" s="14" t="s">
        <v>578</v>
      </c>
      <c r="I150" s="8" t="s">
        <v>1247</v>
      </c>
      <c r="J150" s="14" t="s">
        <v>1288</v>
      </c>
      <c r="K150" s="14">
        <v>30</v>
      </c>
      <c r="L150" s="14">
        <v>1</v>
      </c>
      <c r="M150" s="14"/>
      <c r="N150" s="14">
        <v>1</v>
      </c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 t="s">
        <v>328</v>
      </c>
      <c r="AA150" s="14"/>
      <c r="AB150" s="14"/>
      <c r="AC150" s="14"/>
      <c r="AD150" s="14"/>
      <c r="AE150" s="14"/>
      <c r="AF150" s="14"/>
      <c r="AG150" s="14" t="s">
        <v>328</v>
      </c>
      <c r="AH150" s="14"/>
      <c r="AI150" s="14"/>
      <c r="AJ150" s="14"/>
      <c r="AK150" s="14" t="s">
        <v>328</v>
      </c>
      <c r="AL150" s="14"/>
      <c r="AM150" s="14" t="s">
        <v>328</v>
      </c>
      <c r="AN150" s="14"/>
      <c r="AO150" s="14"/>
      <c r="AP150" s="15" t="s">
        <v>396</v>
      </c>
      <c r="AQ150" s="15" t="s">
        <v>396</v>
      </c>
      <c r="AR150" s="14" t="s">
        <v>328</v>
      </c>
      <c r="AS150" s="14"/>
      <c r="AT150" s="14"/>
      <c r="AU150" s="14"/>
      <c r="AV150" s="14">
        <v>3</v>
      </c>
      <c r="AW150" s="14">
        <v>1</v>
      </c>
      <c r="AX150" s="14">
        <v>2</v>
      </c>
      <c r="AY150" s="14"/>
      <c r="AZ150" s="14" t="s">
        <v>328</v>
      </c>
      <c r="BA150" s="14"/>
      <c r="BB150" s="14" t="s">
        <v>328</v>
      </c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 t="s">
        <v>328</v>
      </c>
      <c r="BN150" s="14"/>
      <c r="BO150" s="14" t="s">
        <v>328</v>
      </c>
      <c r="BP150" s="14" t="s">
        <v>328</v>
      </c>
      <c r="BQ150" s="14"/>
      <c r="BR150" s="14"/>
      <c r="BS150" s="14"/>
      <c r="BT150" s="14"/>
      <c r="BU150" s="14"/>
      <c r="BV150" s="14"/>
      <c r="BW150" s="14"/>
      <c r="BX150" s="14"/>
      <c r="BY150" s="14"/>
      <c r="BZ150" s="14" t="s">
        <v>328</v>
      </c>
      <c r="CA150" s="14" t="s">
        <v>328</v>
      </c>
      <c r="CB150" s="14"/>
      <c r="CC150" s="14"/>
      <c r="CD150" s="14"/>
      <c r="CE150" s="14"/>
      <c r="CF150" s="14"/>
      <c r="CG150" s="14" t="s">
        <v>328</v>
      </c>
      <c r="CH150" s="14"/>
      <c r="CI150" s="14"/>
      <c r="CJ150" s="14"/>
      <c r="CK150" s="14"/>
      <c r="CL150" s="14">
        <v>4</v>
      </c>
      <c r="CM150" s="14">
        <v>2</v>
      </c>
      <c r="CN150" s="14">
        <v>1</v>
      </c>
      <c r="CO150" s="14">
        <v>6</v>
      </c>
      <c r="CP150" s="14">
        <v>5</v>
      </c>
      <c r="CQ150" s="14">
        <v>3</v>
      </c>
      <c r="CR150" s="14"/>
      <c r="CS150" s="14"/>
      <c r="CT150" s="14"/>
      <c r="CU150" s="14"/>
      <c r="CV150" s="14"/>
      <c r="CW150" s="14"/>
      <c r="CX150" s="14" t="s">
        <v>332</v>
      </c>
      <c r="CY150" s="14"/>
      <c r="CZ150" s="14"/>
      <c r="DA150" s="14">
        <v>1</v>
      </c>
      <c r="DB150" s="14">
        <v>4</v>
      </c>
      <c r="DC150" s="14">
        <v>3</v>
      </c>
      <c r="DD150" s="14">
        <v>5</v>
      </c>
      <c r="DE150" s="14">
        <v>2</v>
      </c>
      <c r="DF150" s="14">
        <v>6</v>
      </c>
      <c r="DG150" s="14"/>
      <c r="DH150" s="14" t="s">
        <v>328</v>
      </c>
      <c r="DI150" s="14"/>
      <c r="DJ150" s="14"/>
      <c r="DK150" s="14"/>
      <c r="DL150" s="14"/>
      <c r="DM150" s="14"/>
      <c r="DN150" s="14" t="s">
        <v>333</v>
      </c>
      <c r="DO150" s="14"/>
      <c r="DP150" s="14" t="s">
        <v>328</v>
      </c>
      <c r="DQ150" s="14" t="s">
        <v>328</v>
      </c>
      <c r="DR150" s="14" t="s">
        <v>437</v>
      </c>
      <c r="DS150" s="14"/>
      <c r="DT150" s="14"/>
      <c r="DU150" s="15" t="s">
        <v>410</v>
      </c>
      <c r="DV150" s="14" t="s">
        <v>411</v>
      </c>
      <c r="DW150" s="14" t="s">
        <v>328</v>
      </c>
      <c r="DX150" s="14"/>
      <c r="DY150" s="14"/>
      <c r="DZ150" s="14"/>
      <c r="EA150" s="14"/>
      <c r="EB150" s="14"/>
      <c r="EC150" s="101" t="s">
        <v>1155</v>
      </c>
      <c r="ED150" s="99"/>
    </row>
    <row r="151" spans="1:134" x14ac:dyDescent="0.25">
      <c r="A151" s="50" t="s">
        <v>1855</v>
      </c>
      <c r="B151" s="61" t="s">
        <v>553</v>
      </c>
      <c r="C151" s="14" t="s">
        <v>328</v>
      </c>
      <c r="D151" s="14"/>
      <c r="E151" s="14">
        <v>56</v>
      </c>
      <c r="F151" s="14" t="s">
        <v>329</v>
      </c>
      <c r="G151" s="14" t="s">
        <v>330</v>
      </c>
      <c r="H151" s="14" t="s">
        <v>573</v>
      </c>
      <c r="I151" s="8" t="s">
        <v>1243</v>
      </c>
      <c r="J151" s="14" t="s">
        <v>1288</v>
      </c>
      <c r="K151" s="14">
        <v>40</v>
      </c>
      <c r="L151" s="14">
        <v>1</v>
      </c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>
        <v>1</v>
      </c>
      <c r="Y151" s="15"/>
      <c r="Z151" s="14"/>
      <c r="AA151" s="14"/>
      <c r="AB151" s="14"/>
      <c r="AC151" s="14"/>
      <c r="AD151" s="14"/>
      <c r="AE151" s="14" t="s">
        <v>328</v>
      </c>
      <c r="AF151" s="14"/>
      <c r="AG151" s="14"/>
      <c r="AH151" s="14"/>
      <c r="AI151" s="14"/>
      <c r="AJ151" s="14"/>
      <c r="AK151" s="14" t="s">
        <v>328</v>
      </c>
      <c r="AL151" s="14"/>
      <c r="AM151" s="14"/>
      <c r="AN151" s="14" t="s">
        <v>328</v>
      </c>
      <c r="AO151" s="14"/>
      <c r="AP151" s="14">
        <v>3</v>
      </c>
      <c r="AQ151" s="14">
        <v>1</v>
      </c>
      <c r="AR151" s="14"/>
      <c r="AS151" s="14" t="s">
        <v>328</v>
      </c>
      <c r="AT151" s="14"/>
      <c r="AU151" s="14"/>
      <c r="AV151" s="14">
        <v>3</v>
      </c>
      <c r="AW151" s="14">
        <v>2</v>
      </c>
      <c r="AX151" s="14">
        <v>1</v>
      </c>
      <c r="AY151" s="14"/>
      <c r="AZ151" s="14" t="s">
        <v>328</v>
      </c>
      <c r="BA151" s="14"/>
      <c r="BB151" s="14"/>
      <c r="BC151" s="14" t="s">
        <v>328</v>
      </c>
      <c r="BD151" s="14"/>
      <c r="BE151" s="14"/>
      <c r="BF151" s="14"/>
      <c r="BG151" s="14"/>
      <c r="BH151" s="14"/>
      <c r="BI151" s="14"/>
      <c r="BJ151" s="14"/>
      <c r="BK151" s="14"/>
      <c r="BL151" s="14"/>
      <c r="BM151" s="14" t="s">
        <v>328</v>
      </c>
      <c r="BN151" s="14"/>
      <c r="BO151" s="14" t="s">
        <v>328</v>
      </c>
      <c r="BP151" s="14"/>
      <c r="BQ151" s="14"/>
      <c r="BR151" s="14"/>
      <c r="BS151" s="14"/>
      <c r="BT151" s="14"/>
      <c r="BU151" s="14"/>
      <c r="BV151" s="14" t="s">
        <v>874</v>
      </c>
      <c r="BW151" s="14"/>
      <c r="BX151" s="14"/>
      <c r="BY151" s="14"/>
      <c r="BZ151" s="14"/>
      <c r="CA151" s="14"/>
      <c r="CB151" s="14"/>
      <c r="CC151" s="14"/>
      <c r="CD151" s="14" t="s">
        <v>328</v>
      </c>
      <c r="CE151" s="14"/>
      <c r="CF151" s="14"/>
      <c r="CG151" s="14" t="s">
        <v>328</v>
      </c>
      <c r="CH151" s="14"/>
      <c r="CI151" s="14"/>
      <c r="CJ151" s="14"/>
      <c r="CK151" s="14"/>
      <c r="CL151" s="14">
        <v>4</v>
      </c>
      <c r="CM151" s="14">
        <v>3</v>
      </c>
      <c r="CN151" s="14">
        <v>2</v>
      </c>
      <c r="CO151" s="14">
        <v>1</v>
      </c>
      <c r="CP151" s="14">
        <v>5</v>
      </c>
      <c r="CQ151" s="14">
        <v>6</v>
      </c>
      <c r="CR151" s="14"/>
      <c r="CS151" s="14"/>
      <c r="CT151" s="14"/>
      <c r="CU151" s="14"/>
      <c r="CV151" s="14" t="s">
        <v>328</v>
      </c>
      <c r="CW151" s="14"/>
      <c r="CX151" s="14"/>
      <c r="CY151" s="14"/>
      <c r="CZ151" s="14"/>
      <c r="DA151" s="14">
        <v>2</v>
      </c>
      <c r="DB151" s="14">
        <v>3</v>
      </c>
      <c r="DC151" s="14">
        <v>1</v>
      </c>
      <c r="DD151" s="14">
        <v>6</v>
      </c>
      <c r="DE151" s="14">
        <v>4</v>
      </c>
      <c r="DF151" s="14">
        <v>5</v>
      </c>
      <c r="DG151" s="14"/>
      <c r="DH151" s="14" t="s">
        <v>328</v>
      </c>
      <c r="DI151" s="14"/>
      <c r="DJ151" s="14"/>
      <c r="DK151" s="14"/>
      <c r="DL151" s="14"/>
      <c r="DM151" s="14"/>
      <c r="DN151" s="14" t="s">
        <v>1146</v>
      </c>
      <c r="DO151" s="14"/>
      <c r="DP151" s="14" t="s">
        <v>328</v>
      </c>
      <c r="DQ151" s="14" t="s">
        <v>328</v>
      </c>
      <c r="DR151" s="14" t="s">
        <v>437</v>
      </c>
      <c r="DS151" s="14"/>
      <c r="DT151" s="14"/>
      <c r="DU151" s="14" t="s">
        <v>926</v>
      </c>
      <c r="DV151" s="14" t="s">
        <v>411</v>
      </c>
      <c r="DW151" s="14" t="s">
        <v>328</v>
      </c>
      <c r="DX151" s="14"/>
      <c r="DY151" s="14"/>
      <c r="DZ151" s="14"/>
      <c r="EA151" s="14"/>
      <c r="EB151" s="14"/>
      <c r="EC151" s="101" t="s">
        <v>593</v>
      </c>
      <c r="ED151" s="99"/>
    </row>
    <row r="152" spans="1:134" x14ac:dyDescent="0.25">
      <c r="A152" s="50" t="s">
        <v>1855</v>
      </c>
      <c r="B152" s="61" t="s">
        <v>554</v>
      </c>
      <c r="C152" s="14" t="s">
        <v>328</v>
      </c>
      <c r="D152" s="14"/>
      <c r="E152" s="14">
        <v>62</v>
      </c>
      <c r="F152" s="14" t="s">
        <v>329</v>
      </c>
      <c r="G152" s="14" t="s">
        <v>353</v>
      </c>
      <c r="H152" s="14" t="s">
        <v>578</v>
      </c>
      <c r="I152" s="8" t="s">
        <v>1247</v>
      </c>
      <c r="J152" s="14" t="s">
        <v>1288</v>
      </c>
      <c r="K152" s="14">
        <v>40</v>
      </c>
      <c r="L152" s="14">
        <v>1</v>
      </c>
      <c r="M152" s="14"/>
      <c r="N152" s="14"/>
      <c r="O152" s="14"/>
      <c r="P152" s="14"/>
      <c r="Q152" s="14"/>
      <c r="R152" s="14"/>
      <c r="S152" s="14"/>
      <c r="T152" s="14"/>
      <c r="U152" s="14">
        <v>1</v>
      </c>
      <c r="V152" s="14"/>
      <c r="W152" s="14"/>
      <c r="X152" s="14"/>
      <c r="Y152" s="14"/>
      <c r="Z152" s="14"/>
      <c r="AA152" s="14"/>
      <c r="AB152" s="14"/>
      <c r="AC152" s="14" t="s">
        <v>328</v>
      </c>
      <c r="AD152" s="14"/>
      <c r="AE152" s="14"/>
      <c r="AF152" s="14"/>
      <c r="AG152" s="14"/>
      <c r="AH152" s="14"/>
      <c r="AI152" s="14"/>
      <c r="AJ152" s="14" t="s">
        <v>328</v>
      </c>
      <c r="AK152" s="14"/>
      <c r="AL152" s="14"/>
      <c r="AM152" s="14"/>
      <c r="AN152" s="14"/>
      <c r="AO152" s="14" t="s">
        <v>328</v>
      </c>
      <c r="AP152" s="14">
        <v>10</v>
      </c>
      <c r="AQ152" s="14">
        <v>1</v>
      </c>
      <c r="AR152" s="14"/>
      <c r="AS152" s="14" t="s">
        <v>328</v>
      </c>
      <c r="AT152" s="14"/>
      <c r="AU152" s="14"/>
      <c r="AV152" s="14">
        <v>1</v>
      </c>
      <c r="AW152" s="14">
        <v>3</v>
      </c>
      <c r="AX152" s="14">
        <v>2</v>
      </c>
      <c r="AY152" s="14"/>
      <c r="AZ152" s="14" t="s">
        <v>328</v>
      </c>
      <c r="BA152" s="14"/>
      <c r="BB152" s="14"/>
      <c r="BC152" s="14" t="s">
        <v>328</v>
      </c>
      <c r="BD152" s="14"/>
      <c r="BE152" s="14"/>
      <c r="BF152" s="14"/>
      <c r="BG152" s="14"/>
      <c r="BH152" s="14"/>
      <c r="BI152" s="14"/>
      <c r="BJ152" s="14"/>
      <c r="BK152" s="14"/>
      <c r="BL152" s="14"/>
      <c r="BM152" s="14" t="s">
        <v>328</v>
      </c>
      <c r="BN152" s="14" t="s">
        <v>328</v>
      </c>
      <c r="BO152" s="14"/>
      <c r="BP152" s="14" t="s">
        <v>328</v>
      </c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 t="s">
        <v>328</v>
      </c>
      <c r="CB152" s="14" t="s">
        <v>328</v>
      </c>
      <c r="CC152" s="14"/>
      <c r="CD152" s="14" t="s">
        <v>328</v>
      </c>
      <c r="CE152" s="14"/>
      <c r="CF152" s="14"/>
      <c r="CG152" s="14"/>
      <c r="CH152" s="14" t="s">
        <v>328</v>
      </c>
      <c r="CI152" s="14"/>
      <c r="CJ152" s="14"/>
      <c r="CK152" s="14"/>
      <c r="CL152" s="14">
        <v>1</v>
      </c>
      <c r="CM152" s="14">
        <v>2</v>
      </c>
      <c r="CN152" s="14">
        <v>3</v>
      </c>
      <c r="CO152" s="14">
        <v>4</v>
      </c>
      <c r="CP152" s="14">
        <v>5</v>
      </c>
      <c r="CQ152" s="14">
        <v>6</v>
      </c>
      <c r="CR152" s="14"/>
      <c r="CS152" s="14"/>
      <c r="CT152" s="14"/>
      <c r="CU152" s="14"/>
      <c r="CV152" s="14"/>
      <c r="CW152" s="14"/>
      <c r="CX152" s="14" t="s">
        <v>332</v>
      </c>
      <c r="CY152" s="14"/>
      <c r="CZ152" s="14"/>
      <c r="DA152" s="14">
        <v>1</v>
      </c>
      <c r="DB152" s="14">
        <v>4</v>
      </c>
      <c r="DC152" s="14">
        <v>2</v>
      </c>
      <c r="DD152" s="14">
        <v>5</v>
      </c>
      <c r="DE152" s="14">
        <v>3</v>
      </c>
      <c r="DF152" s="14">
        <v>6</v>
      </c>
      <c r="DG152" s="14"/>
      <c r="DH152" s="14" t="s">
        <v>328</v>
      </c>
      <c r="DI152" s="14"/>
      <c r="DJ152" s="14"/>
      <c r="DK152" s="14"/>
      <c r="DL152" s="14"/>
      <c r="DM152" s="14"/>
      <c r="DN152" s="14" t="s">
        <v>333</v>
      </c>
      <c r="DO152" s="14" t="s">
        <v>328</v>
      </c>
      <c r="DP152" s="14"/>
      <c r="DQ152" s="14"/>
      <c r="DR152" s="14"/>
      <c r="DS152" s="14"/>
      <c r="DT152" s="14"/>
      <c r="DU152" s="14"/>
      <c r="DV152" s="14" t="s">
        <v>590</v>
      </c>
      <c r="DW152" s="14" t="s">
        <v>328</v>
      </c>
      <c r="DX152" s="14"/>
      <c r="DY152" s="14"/>
      <c r="DZ152" s="14"/>
      <c r="EA152" s="14"/>
      <c r="EB152" s="14"/>
      <c r="EC152" s="101" t="s">
        <v>934</v>
      </c>
      <c r="ED152" s="99"/>
    </row>
    <row r="153" spans="1:134" x14ac:dyDescent="0.25">
      <c r="A153" s="50" t="s">
        <v>1855</v>
      </c>
      <c r="B153" s="61" t="s">
        <v>555</v>
      </c>
      <c r="C153" s="14" t="s">
        <v>328</v>
      </c>
      <c r="D153" s="14"/>
      <c r="E153" s="14">
        <v>36</v>
      </c>
      <c r="F153" s="14" t="s">
        <v>329</v>
      </c>
      <c r="G153" s="14" t="s">
        <v>357</v>
      </c>
      <c r="H153" s="14" t="s">
        <v>586</v>
      </c>
      <c r="I153" s="8" t="s">
        <v>1248</v>
      </c>
      <c r="J153" s="14" t="s">
        <v>1288</v>
      </c>
      <c r="K153" s="14">
        <v>6</v>
      </c>
      <c r="L153" s="14">
        <v>1</v>
      </c>
      <c r="M153" s="14"/>
      <c r="N153" s="14"/>
      <c r="O153" s="14"/>
      <c r="P153" s="14">
        <v>1</v>
      </c>
      <c r="Q153" s="14"/>
      <c r="R153" s="14"/>
      <c r="S153" s="14"/>
      <c r="T153" s="14"/>
      <c r="U153" s="14"/>
      <c r="V153" s="14"/>
      <c r="W153" s="14"/>
      <c r="X153" s="14"/>
      <c r="Y153" s="14"/>
      <c r="Z153" s="14" t="s">
        <v>328</v>
      </c>
      <c r="AA153" s="14"/>
      <c r="AB153" s="14"/>
      <c r="AC153" s="14"/>
      <c r="AD153" s="14"/>
      <c r="AE153" s="14"/>
      <c r="AF153" s="14"/>
      <c r="AG153" s="14" t="s">
        <v>328</v>
      </c>
      <c r="AH153" s="14"/>
      <c r="AI153" s="14"/>
      <c r="AJ153" s="14"/>
      <c r="AK153" s="14" t="s">
        <v>328</v>
      </c>
      <c r="AL153" s="14"/>
      <c r="AM153" s="14"/>
      <c r="AN153" s="14" t="s">
        <v>328</v>
      </c>
      <c r="AO153" s="14"/>
      <c r="AP153" s="15" t="s">
        <v>396</v>
      </c>
      <c r="AQ153" s="15" t="s">
        <v>396</v>
      </c>
      <c r="AR153" s="14"/>
      <c r="AS153" s="14" t="s">
        <v>328</v>
      </c>
      <c r="AT153" s="14"/>
      <c r="AU153" s="14"/>
      <c r="AV153" s="14">
        <v>1</v>
      </c>
      <c r="AW153" s="14">
        <v>3</v>
      </c>
      <c r="AX153" s="14">
        <v>2</v>
      </c>
      <c r="AY153" s="14"/>
      <c r="AZ153" s="14" t="s">
        <v>328</v>
      </c>
      <c r="BA153" s="14"/>
      <c r="BB153" s="14"/>
      <c r="BC153" s="14"/>
      <c r="BD153" s="14"/>
      <c r="BE153" s="14"/>
      <c r="BF153" s="14"/>
      <c r="BG153" s="14"/>
      <c r="BH153" s="14"/>
      <c r="BI153" s="14"/>
      <c r="BJ153" s="14" t="s">
        <v>328</v>
      </c>
      <c r="BK153" s="14"/>
      <c r="BL153" s="14"/>
      <c r="BM153" s="14" t="s">
        <v>328</v>
      </c>
      <c r="BN153" s="14" t="s">
        <v>328</v>
      </c>
      <c r="BO153" s="14"/>
      <c r="BP153" s="14"/>
      <c r="BQ153" s="14"/>
      <c r="BR153" s="14"/>
      <c r="BS153" s="14"/>
      <c r="BT153" s="14"/>
      <c r="BU153" s="14" t="s">
        <v>328</v>
      </c>
      <c r="BV153" s="14"/>
      <c r="BW153" s="14"/>
      <c r="BX153" s="14"/>
      <c r="BY153" s="14"/>
      <c r="BZ153" s="14"/>
      <c r="CA153" s="14"/>
      <c r="CB153" s="14" t="s">
        <v>328</v>
      </c>
      <c r="CC153" s="14"/>
      <c r="CD153" s="14"/>
      <c r="CE153" s="14"/>
      <c r="CF153" s="14"/>
      <c r="CG153" s="14" t="s">
        <v>328</v>
      </c>
      <c r="CH153" s="14"/>
      <c r="CI153" s="14"/>
      <c r="CJ153" s="14"/>
      <c r="CK153" s="14"/>
      <c r="CL153" s="14">
        <v>6</v>
      </c>
      <c r="CM153" s="14">
        <v>1</v>
      </c>
      <c r="CN153" s="14">
        <v>2</v>
      </c>
      <c r="CO153" s="14">
        <v>3</v>
      </c>
      <c r="CP153" s="14">
        <v>4</v>
      </c>
      <c r="CQ153" s="14">
        <v>5</v>
      </c>
      <c r="CR153" s="14"/>
      <c r="CS153" s="14"/>
      <c r="CT153" s="14"/>
      <c r="CU153" s="14"/>
      <c r="CV153" s="14"/>
      <c r="CW153" s="14"/>
      <c r="CX153" s="14" t="s">
        <v>332</v>
      </c>
      <c r="CY153" s="14"/>
      <c r="CZ153" s="14"/>
      <c r="DA153" s="14">
        <v>1</v>
      </c>
      <c r="DB153" s="14">
        <v>4</v>
      </c>
      <c r="DC153" s="14">
        <v>3</v>
      </c>
      <c r="DD153" s="14">
        <v>6</v>
      </c>
      <c r="DE153" s="14">
        <v>2</v>
      </c>
      <c r="DF153" s="14">
        <v>5</v>
      </c>
      <c r="DG153" s="14"/>
      <c r="DH153" s="14" t="s">
        <v>328</v>
      </c>
      <c r="DI153" s="14"/>
      <c r="DJ153" s="14"/>
      <c r="DK153" s="14"/>
      <c r="DL153" s="14"/>
      <c r="DM153" s="14"/>
      <c r="DN153" s="14" t="s">
        <v>389</v>
      </c>
      <c r="DO153" s="14"/>
      <c r="DP153" s="14" t="s">
        <v>328</v>
      </c>
      <c r="DQ153" s="14" t="s">
        <v>328</v>
      </c>
      <c r="DR153" s="14" t="s">
        <v>504</v>
      </c>
      <c r="DS153" s="14"/>
      <c r="DT153" s="14"/>
      <c r="DU153" s="14" t="s">
        <v>335</v>
      </c>
      <c r="DV153" s="14" t="s">
        <v>411</v>
      </c>
      <c r="DW153" s="14" t="s">
        <v>328</v>
      </c>
      <c r="DX153" s="14"/>
      <c r="DY153" s="14"/>
      <c r="DZ153" s="14"/>
      <c r="EA153" s="14"/>
      <c r="EB153" s="14"/>
      <c r="EC153" s="101" t="s">
        <v>593</v>
      </c>
      <c r="ED153" s="99"/>
    </row>
    <row r="154" spans="1:134" x14ac:dyDescent="0.25">
      <c r="A154" s="50" t="s">
        <v>1404</v>
      </c>
      <c r="B154" s="61" t="s">
        <v>556</v>
      </c>
      <c r="C154" s="15" t="s">
        <v>328</v>
      </c>
      <c r="D154" s="15"/>
      <c r="E154" s="15">
        <v>30</v>
      </c>
      <c r="F154" s="15" t="s">
        <v>329</v>
      </c>
      <c r="G154" s="15" t="s">
        <v>399</v>
      </c>
      <c r="H154" s="14" t="s">
        <v>753</v>
      </c>
      <c r="I154" s="14" t="s">
        <v>1190</v>
      </c>
      <c r="J154" s="14" t="s">
        <v>1280</v>
      </c>
      <c r="K154" s="15">
        <v>6</v>
      </c>
      <c r="L154" s="15">
        <v>1</v>
      </c>
      <c r="M154" s="15">
        <v>1</v>
      </c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 t="s">
        <v>328</v>
      </c>
      <c r="AA154" s="15" t="s">
        <v>328</v>
      </c>
      <c r="AB154" s="15"/>
      <c r="AC154" s="15"/>
      <c r="AD154" s="15"/>
      <c r="AE154" s="15" t="s">
        <v>328</v>
      </c>
      <c r="AF154" s="15"/>
      <c r="AG154" s="15"/>
      <c r="AH154" s="15"/>
      <c r="AI154" s="15"/>
      <c r="AJ154" s="15"/>
      <c r="AK154" s="15" t="s">
        <v>328</v>
      </c>
      <c r="AL154" s="14" t="s">
        <v>328</v>
      </c>
      <c r="AM154" s="15"/>
      <c r="AN154" s="15"/>
      <c r="AO154" s="15"/>
      <c r="AP154" s="15">
        <v>10</v>
      </c>
      <c r="AQ154" s="15">
        <v>3</v>
      </c>
      <c r="AR154" s="15"/>
      <c r="AS154" s="15"/>
      <c r="AT154" s="15" t="s">
        <v>328</v>
      </c>
      <c r="AU154" s="15"/>
      <c r="AV154" s="15">
        <v>4</v>
      </c>
      <c r="AW154" s="15">
        <v>3</v>
      </c>
      <c r="AX154" s="15">
        <v>2</v>
      </c>
      <c r="AY154" s="15" t="s">
        <v>346</v>
      </c>
      <c r="AZ154" s="15" t="s">
        <v>328</v>
      </c>
      <c r="BA154" s="15"/>
      <c r="BB154" s="15"/>
      <c r="BC154" s="15"/>
      <c r="BD154" s="15"/>
      <c r="BE154" s="15"/>
      <c r="BF154" s="15"/>
      <c r="BG154" s="15"/>
      <c r="BH154" s="15"/>
      <c r="BI154" s="15" t="s">
        <v>328</v>
      </c>
      <c r="BJ154" s="15"/>
      <c r="BK154" s="15"/>
      <c r="BL154" s="15"/>
      <c r="BM154" s="15" t="s">
        <v>328</v>
      </c>
      <c r="BN154" s="15" t="s">
        <v>328</v>
      </c>
      <c r="BO154" s="15"/>
      <c r="BP154" s="15" t="s">
        <v>328</v>
      </c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 t="s">
        <v>332</v>
      </c>
      <c r="CG154" s="15" t="s">
        <v>328</v>
      </c>
      <c r="CH154" s="15"/>
      <c r="CI154" s="15"/>
      <c r="CJ154" s="15"/>
      <c r="CK154" s="15"/>
      <c r="CL154" s="15">
        <v>1</v>
      </c>
      <c r="CM154" s="15">
        <v>5</v>
      </c>
      <c r="CN154" s="15">
        <v>2</v>
      </c>
      <c r="CO154" s="15">
        <v>4</v>
      </c>
      <c r="CP154" s="15">
        <v>6</v>
      </c>
      <c r="CQ154" s="15">
        <v>3</v>
      </c>
      <c r="CR154" s="15"/>
      <c r="CS154" s="15"/>
      <c r="CT154" s="15"/>
      <c r="CU154" s="15"/>
      <c r="CV154" s="15"/>
      <c r="CW154" s="15"/>
      <c r="CX154" s="15" t="s">
        <v>332</v>
      </c>
      <c r="CY154" s="15" t="s">
        <v>328</v>
      </c>
      <c r="CZ154" s="15" t="s">
        <v>404</v>
      </c>
      <c r="DA154" s="15"/>
      <c r="DB154" s="15"/>
      <c r="DC154" s="15"/>
      <c r="DD154" s="15"/>
      <c r="DE154" s="15"/>
      <c r="DF154" s="15"/>
      <c r="DG154" s="15"/>
      <c r="DH154" s="15" t="s">
        <v>328</v>
      </c>
      <c r="DI154" s="15"/>
      <c r="DJ154" s="15"/>
      <c r="DK154" s="15"/>
      <c r="DL154" s="15"/>
      <c r="DM154" s="15"/>
      <c r="DN154" s="14" t="s">
        <v>333</v>
      </c>
      <c r="DO154" s="15"/>
      <c r="DP154" s="15" t="s">
        <v>328</v>
      </c>
      <c r="DQ154" s="15" t="s">
        <v>328</v>
      </c>
      <c r="DR154" s="15" t="s">
        <v>437</v>
      </c>
      <c r="DS154" s="15"/>
      <c r="DT154" s="15"/>
      <c r="DU154" s="15" t="s">
        <v>410</v>
      </c>
      <c r="DV154" s="14" t="s">
        <v>625</v>
      </c>
      <c r="DW154" s="15" t="s">
        <v>328</v>
      </c>
      <c r="DX154" s="15"/>
      <c r="DY154" s="15"/>
      <c r="DZ154" s="15"/>
      <c r="EA154" s="15"/>
      <c r="EB154" s="15"/>
      <c r="EC154" s="102" t="s">
        <v>1155</v>
      </c>
      <c r="ED154" s="99"/>
    </row>
    <row r="155" spans="1:134" x14ac:dyDescent="0.25">
      <c r="A155" s="50" t="s">
        <v>1404</v>
      </c>
      <c r="B155" s="61" t="s">
        <v>588</v>
      </c>
      <c r="C155" s="15" t="s">
        <v>328</v>
      </c>
      <c r="D155" s="15"/>
      <c r="E155" s="15">
        <v>65</v>
      </c>
      <c r="F155" s="15" t="s">
        <v>329</v>
      </c>
      <c r="G155" s="15" t="s">
        <v>357</v>
      </c>
      <c r="H155" s="15" t="s">
        <v>738</v>
      </c>
      <c r="I155" s="15" t="s">
        <v>1251</v>
      </c>
      <c r="J155" s="15" t="s">
        <v>1283</v>
      </c>
      <c r="K155" s="15">
        <v>30</v>
      </c>
      <c r="L155" s="15">
        <v>1</v>
      </c>
      <c r="M155" s="15">
        <v>1</v>
      </c>
      <c r="N155" s="15"/>
      <c r="O155" s="15"/>
      <c r="P155" s="15">
        <v>1</v>
      </c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 t="s">
        <v>418</v>
      </c>
      <c r="AJ155" s="15"/>
      <c r="AK155" s="15" t="s">
        <v>328</v>
      </c>
      <c r="AL155" s="15"/>
      <c r="AM155" s="15"/>
      <c r="AN155" s="14" t="s">
        <v>328</v>
      </c>
      <c r="AO155" s="15"/>
      <c r="AP155" s="15">
        <v>5</v>
      </c>
      <c r="AQ155" s="15">
        <v>4</v>
      </c>
      <c r="AR155" s="15"/>
      <c r="AS155" s="15"/>
      <c r="AT155" s="15"/>
      <c r="AU155" s="15" t="s">
        <v>328</v>
      </c>
      <c r="AV155" s="15">
        <v>2</v>
      </c>
      <c r="AW155" s="15">
        <v>1</v>
      </c>
      <c r="AX155" s="15">
        <v>3</v>
      </c>
      <c r="AY155" s="15"/>
      <c r="AZ155" s="15" t="s">
        <v>328</v>
      </c>
      <c r="BA155" s="15"/>
      <c r="BB155" s="15" t="s">
        <v>328</v>
      </c>
      <c r="BC155" s="15"/>
      <c r="BD155" s="15"/>
      <c r="BE155" s="15"/>
      <c r="BF155" s="15"/>
      <c r="BG155" s="15"/>
      <c r="BH155" s="15"/>
      <c r="BI155" s="15"/>
      <c r="BJ155" s="15"/>
      <c r="BK155" s="15"/>
      <c r="BL155" s="15" t="s">
        <v>328</v>
      </c>
      <c r="BM155" s="15"/>
      <c r="BN155" s="15" t="s">
        <v>328</v>
      </c>
      <c r="BO155" s="15"/>
      <c r="BP155" s="15"/>
      <c r="BQ155" s="15"/>
      <c r="BR155" s="15" t="s">
        <v>328</v>
      </c>
      <c r="BS155" s="15"/>
      <c r="BT155" s="15"/>
      <c r="BU155" s="15"/>
      <c r="BV155" s="15"/>
      <c r="BW155" s="15"/>
      <c r="BX155" s="15"/>
      <c r="BY155" s="15"/>
      <c r="BZ155" s="15" t="s">
        <v>328</v>
      </c>
      <c r="CA155" s="15"/>
      <c r="CB155" s="15"/>
      <c r="CC155" s="15"/>
      <c r="CD155" s="15"/>
      <c r="CE155" s="15"/>
      <c r="CF155" s="15"/>
      <c r="CG155" s="15"/>
      <c r="CH155" s="15"/>
      <c r="CI155" s="15"/>
      <c r="CJ155" s="15" t="s">
        <v>328</v>
      </c>
      <c r="CK155" s="15"/>
      <c r="CL155" s="15">
        <v>4</v>
      </c>
      <c r="CM155" s="15">
        <v>2</v>
      </c>
      <c r="CN155" s="15">
        <v>3</v>
      </c>
      <c r="CO155" s="15">
        <v>5</v>
      </c>
      <c r="CP155" s="15">
        <v>6</v>
      </c>
      <c r="CQ155" s="15">
        <v>1</v>
      </c>
      <c r="CR155" s="15"/>
      <c r="CS155" s="15" t="s">
        <v>328</v>
      </c>
      <c r="CT155" s="15"/>
      <c r="CU155" s="15"/>
      <c r="CV155" s="15"/>
      <c r="CW155" s="15"/>
      <c r="CX155" s="15"/>
      <c r="CY155" s="15"/>
      <c r="CZ155" s="15"/>
      <c r="DA155" s="15">
        <v>6</v>
      </c>
      <c r="DB155" s="15">
        <v>4</v>
      </c>
      <c r="DC155" s="15">
        <v>1</v>
      </c>
      <c r="DD155" s="15">
        <v>2</v>
      </c>
      <c r="DE155" s="15">
        <v>5</v>
      </c>
      <c r="DF155" s="15">
        <v>3</v>
      </c>
      <c r="DG155" s="15"/>
      <c r="DH155" s="15"/>
      <c r="DI155" s="15" t="s">
        <v>328</v>
      </c>
      <c r="DJ155" s="15" t="s">
        <v>328</v>
      </c>
      <c r="DK155" s="14" t="s">
        <v>404</v>
      </c>
      <c r="DL155" s="15"/>
      <c r="DM155" s="15" t="s">
        <v>492</v>
      </c>
      <c r="DN155" s="14" t="s">
        <v>389</v>
      </c>
      <c r="DO155" s="15"/>
      <c r="DP155" s="15" t="s">
        <v>328</v>
      </c>
      <c r="DQ155" s="15" t="s">
        <v>328</v>
      </c>
      <c r="DR155" s="15" t="s">
        <v>437</v>
      </c>
      <c r="DS155" s="15"/>
      <c r="DT155" s="15"/>
      <c r="DU155" s="14" t="s">
        <v>571</v>
      </c>
      <c r="DV155" s="14" t="s">
        <v>1157</v>
      </c>
      <c r="DW155" s="15" t="s">
        <v>328</v>
      </c>
      <c r="DX155" s="15"/>
      <c r="DY155" s="15"/>
      <c r="DZ155" s="15"/>
      <c r="EA155" s="15"/>
      <c r="EB155" s="15"/>
      <c r="EC155" s="102" t="s">
        <v>1155</v>
      </c>
      <c r="ED155" s="99"/>
    </row>
    <row r="156" spans="1:134" x14ac:dyDescent="0.25">
      <c r="A156" s="50" t="s">
        <v>1404</v>
      </c>
      <c r="B156" s="61" t="s">
        <v>589</v>
      </c>
      <c r="C156" s="15" t="s">
        <v>328</v>
      </c>
      <c r="D156" s="15"/>
      <c r="E156" s="15">
        <v>60</v>
      </c>
      <c r="F156" s="15" t="s">
        <v>329</v>
      </c>
      <c r="G156" s="15" t="s">
        <v>353</v>
      </c>
      <c r="H156" s="15" t="s">
        <v>749</v>
      </c>
      <c r="I156" s="15" t="s">
        <v>1203</v>
      </c>
      <c r="J156" s="15" t="s">
        <v>1284</v>
      </c>
      <c r="K156" s="15">
        <v>40</v>
      </c>
      <c r="L156" s="15">
        <v>5</v>
      </c>
      <c r="M156" s="15"/>
      <c r="N156" s="15"/>
      <c r="O156" s="15">
        <v>30</v>
      </c>
      <c r="P156" s="15">
        <v>10</v>
      </c>
      <c r="Q156" s="15"/>
      <c r="R156" s="15"/>
      <c r="S156" s="15"/>
      <c r="T156" s="15"/>
      <c r="U156" s="15"/>
      <c r="V156" s="15"/>
      <c r="W156" s="15"/>
      <c r="X156" s="15"/>
      <c r="Y156" s="15"/>
      <c r="Z156" s="15" t="s">
        <v>328</v>
      </c>
      <c r="AA156" s="15"/>
      <c r="AB156" s="15" t="s">
        <v>328</v>
      </c>
      <c r="AC156" s="15"/>
      <c r="AD156" s="15"/>
      <c r="AE156" s="15"/>
      <c r="AF156" s="15"/>
      <c r="AG156" s="15" t="s">
        <v>328</v>
      </c>
      <c r="AH156" s="15"/>
      <c r="AI156" s="15"/>
      <c r="AJ156" s="15"/>
      <c r="AK156" s="15" t="s">
        <v>328</v>
      </c>
      <c r="AL156" s="15"/>
      <c r="AM156" s="15"/>
      <c r="AN156" s="14" t="s">
        <v>328</v>
      </c>
      <c r="AO156" s="15"/>
      <c r="AP156" s="15">
        <v>10</v>
      </c>
      <c r="AQ156" s="15">
        <v>5</v>
      </c>
      <c r="AR156" s="15" t="s">
        <v>328</v>
      </c>
      <c r="AS156" s="15" t="s">
        <v>328</v>
      </c>
      <c r="AT156" s="15"/>
      <c r="AU156" s="15"/>
      <c r="AV156" s="15">
        <v>1</v>
      </c>
      <c r="AW156" s="15">
        <v>2</v>
      </c>
      <c r="AX156" s="15">
        <v>3</v>
      </c>
      <c r="AY156" s="15"/>
      <c r="AZ156" s="15" t="s">
        <v>328</v>
      </c>
      <c r="BA156" s="15"/>
      <c r="BB156" s="15" t="s">
        <v>328</v>
      </c>
      <c r="BC156" s="15"/>
      <c r="BD156" s="15"/>
      <c r="BE156" s="15" t="s">
        <v>328</v>
      </c>
      <c r="BF156" s="15"/>
      <c r="BG156" s="15"/>
      <c r="BH156" s="15"/>
      <c r="BI156" s="15"/>
      <c r="BJ156" s="15"/>
      <c r="BK156" s="15"/>
      <c r="BL156" s="15"/>
      <c r="BM156" s="15" t="s">
        <v>328</v>
      </c>
      <c r="BN156" s="15"/>
      <c r="BO156" s="15" t="s">
        <v>328</v>
      </c>
      <c r="BP156" s="15"/>
      <c r="BQ156" s="15"/>
      <c r="BR156" s="15" t="s">
        <v>328</v>
      </c>
      <c r="BS156" s="15"/>
      <c r="BT156" s="15"/>
      <c r="BU156" s="15" t="s">
        <v>328</v>
      </c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 t="s">
        <v>332</v>
      </c>
      <c r="CG156" s="15"/>
      <c r="CH156" s="15"/>
      <c r="CI156" s="15"/>
      <c r="CJ156" s="15" t="s">
        <v>328</v>
      </c>
      <c r="CK156" s="15"/>
      <c r="CL156" s="15" t="s">
        <v>405</v>
      </c>
      <c r="CM156" s="15" t="s">
        <v>405</v>
      </c>
      <c r="CN156" s="15" t="s">
        <v>405</v>
      </c>
      <c r="CO156" s="15" t="s">
        <v>405</v>
      </c>
      <c r="CP156" s="15" t="s">
        <v>405</v>
      </c>
      <c r="CQ156" s="15" t="s">
        <v>405</v>
      </c>
      <c r="CR156" s="15" t="s">
        <v>328</v>
      </c>
      <c r="CS156" s="15" t="s">
        <v>328</v>
      </c>
      <c r="CT156" s="15"/>
      <c r="CU156" s="15"/>
      <c r="CV156" s="15" t="s">
        <v>328</v>
      </c>
      <c r="CW156" s="15" t="s">
        <v>328</v>
      </c>
      <c r="CX156" s="15"/>
      <c r="CY156" s="15" t="s">
        <v>328</v>
      </c>
      <c r="CZ156" s="15" t="s">
        <v>404</v>
      </c>
      <c r="DA156" s="15"/>
      <c r="DB156" s="15"/>
      <c r="DC156" s="15"/>
      <c r="DD156" s="15"/>
      <c r="DE156" s="15"/>
      <c r="DF156" s="15"/>
      <c r="DG156" s="15"/>
      <c r="DH156" s="15"/>
      <c r="DI156" s="15" t="s">
        <v>328</v>
      </c>
      <c r="DJ156" s="15" t="s">
        <v>328</v>
      </c>
      <c r="DK156" s="15" t="s">
        <v>405</v>
      </c>
      <c r="DL156" s="15"/>
      <c r="DM156" s="15" t="s">
        <v>492</v>
      </c>
      <c r="DN156" s="14" t="s">
        <v>396</v>
      </c>
      <c r="DO156" s="15"/>
      <c r="DP156" s="15" t="s">
        <v>328</v>
      </c>
      <c r="DQ156" s="15" t="s">
        <v>328</v>
      </c>
      <c r="DR156" s="15" t="s">
        <v>437</v>
      </c>
      <c r="DS156" s="15"/>
      <c r="DT156" s="15"/>
      <c r="DU156" s="15" t="s">
        <v>410</v>
      </c>
      <c r="DV156" s="15" t="s">
        <v>590</v>
      </c>
      <c r="DW156" s="15"/>
      <c r="DX156" s="15" t="s">
        <v>328</v>
      </c>
      <c r="DY156" s="15" t="s">
        <v>328</v>
      </c>
      <c r="DZ156" s="15" t="s">
        <v>397</v>
      </c>
      <c r="EA156" s="15"/>
      <c r="EB156" s="15" t="s">
        <v>432</v>
      </c>
      <c r="EC156" s="102" t="s">
        <v>934</v>
      </c>
      <c r="ED156" s="99"/>
    </row>
    <row r="157" spans="1:134" x14ac:dyDescent="0.25">
      <c r="A157" s="50" t="s">
        <v>1404</v>
      </c>
      <c r="B157" s="61" t="s">
        <v>591</v>
      </c>
      <c r="C157" s="15" t="s">
        <v>328</v>
      </c>
      <c r="D157" s="15"/>
      <c r="E157" s="15">
        <v>48</v>
      </c>
      <c r="F157" s="15" t="s">
        <v>329</v>
      </c>
      <c r="G157" s="15" t="s">
        <v>399</v>
      </c>
      <c r="H157" s="15" t="s">
        <v>749</v>
      </c>
      <c r="I157" s="15" t="s">
        <v>1203</v>
      </c>
      <c r="J157" s="15" t="s">
        <v>1284</v>
      </c>
      <c r="K157" s="15">
        <v>15</v>
      </c>
      <c r="L157" s="15">
        <v>3</v>
      </c>
      <c r="M157" s="15"/>
      <c r="N157" s="15"/>
      <c r="O157" s="15">
        <v>6</v>
      </c>
      <c r="P157" s="15">
        <v>3</v>
      </c>
      <c r="Q157" s="15"/>
      <c r="R157" s="15"/>
      <c r="S157" s="15"/>
      <c r="T157" s="15">
        <v>3</v>
      </c>
      <c r="U157" s="15"/>
      <c r="V157" s="15"/>
      <c r="W157" s="15"/>
      <c r="X157" s="15"/>
      <c r="Y157" s="15"/>
      <c r="Z157" s="15" t="s">
        <v>328</v>
      </c>
      <c r="AA157" s="15"/>
      <c r="AB157" s="15"/>
      <c r="AC157" s="15" t="s">
        <v>328</v>
      </c>
      <c r="AD157" s="15"/>
      <c r="AE157" s="15"/>
      <c r="AF157" s="15" t="s">
        <v>328</v>
      </c>
      <c r="AG157" s="15" t="s">
        <v>328</v>
      </c>
      <c r="AH157" s="15"/>
      <c r="AI157" s="15" t="s">
        <v>423</v>
      </c>
      <c r="AJ157" s="15" t="s">
        <v>328</v>
      </c>
      <c r="AK157" s="15"/>
      <c r="AL157" s="15"/>
      <c r="AM157" s="14" t="s">
        <v>328</v>
      </c>
      <c r="AN157" s="15"/>
      <c r="AO157" s="15"/>
      <c r="AP157" s="15">
        <v>10</v>
      </c>
      <c r="AQ157" s="15">
        <v>4</v>
      </c>
      <c r="AR157" s="15"/>
      <c r="AS157" s="15" t="s">
        <v>328</v>
      </c>
      <c r="AT157" s="15" t="s">
        <v>328</v>
      </c>
      <c r="AU157" s="15"/>
      <c r="AV157" s="15">
        <v>4</v>
      </c>
      <c r="AW157" s="15">
        <v>3</v>
      </c>
      <c r="AX157" s="15">
        <v>2</v>
      </c>
      <c r="AY157" s="15" t="s">
        <v>346</v>
      </c>
      <c r="AZ157" s="15"/>
      <c r="BA157" s="15" t="s">
        <v>328</v>
      </c>
      <c r="BB157" s="15" t="s">
        <v>328</v>
      </c>
      <c r="BC157" s="15"/>
      <c r="BD157" s="15"/>
      <c r="BE157" s="15" t="s">
        <v>328</v>
      </c>
      <c r="BF157" s="15"/>
      <c r="BG157" s="15"/>
      <c r="BH157" s="15"/>
      <c r="BI157" s="15"/>
      <c r="BJ157" s="15"/>
      <c r="BK157" s="15"/>
      <c r="BL157" s="15" t="s">
        <v>328</v>
      </c>
      <c r="BM157" s="15"/>
      <c r="BN157" s="15" t="s">
        <v>328</v>
      </c>
      <c r="BO157" s="15"/>
      <c r="BP157" s="15" t="s">
        <v>328</v>
      </c>
      <c r="BQ157" s="15"/>
      <c r="BR157" s="15"/>
      <c r="BS157" s="15"/>
      <c r="BT157" s="15" t="s">
        <v>328</v>
      </c>
      <c r="BU157" s="15" t="s">
        <v>328</v>
      </c>
      <c r="BV157" s="15"/>
      <c r="BW157" s="15"/>
      <c r="BX157" s="15"/>
      <c r="BY157" s="15"/>
      <c r="BZ157" s="15"/>
      <c r="CA157" s="15" t="s">
        <v>328</v>
      </c>
      <c r="CB157" s="15" t="s">
        <v>328</v>
      </c>
      <c r="CC157" s="15"/>
      <c r="CD157" s="15"/>
      <c r="CE157" s="15"/>
      <c r="CF157" s="15"/>
      <c r="CG157" s="15" t="s">
        <v>328</v>
      </c>
      <c r="CH157" s="15"/>
      <c r="CI157" s="15"/>
      <c r="CJ157" s="15"/>
      <c r="CK157" s="15" t="s">
        <v>328</v>
      </c>
      <c r="CL157" s="15">
        <v>3</v>
      </c>
      <c r="CM157" s="15">
        <v>1</v>
      </c>
      <c r="CN157" s="15">
        <v>4</v>
      </c>
      <c r="CO157" s="15">
        <v>5</v>
      </c>
      <c r="CP157" s="15">
        <v>6</v>
      </c>
      <c r="CQ157" s="15">
        <v>2</v>
      </c>
      <c r="CR157" s="15" t="s">
        <v>328</v>
      </c>
      <c r="CS157" s="15" t="s">
        <v>328</v>
      </c>
      <c r="CT157" s="15" t="s">
        <v>328</v>
      </c>
      <c r="CU157" s="15" t="s">
        <v>328</v>
      </c>
      <c r="CV157" s="15" t="s">
        <v>328</v>
      </c>
      <c r="CW157" s="15" t="s">
        <v>328</v>
      </c>
      <c r="CX157" s="15" t="s">
        <v>905</v>
      </c>
      <c r="CY157" s="15" t="s">
        <v>328</v>
      </c>
      <c r="CZ157" s="15" t="s">
        <v>404</v>
      </c>
      <c r="DA157" s="15"/>
      <c r="DB157" s="15"/>
      <c r="DC157" s="15"/>
      <c r="DD157" s="15"/>
      <c r="DE157" s="15"/>
      <c r="DF157" s="15"/>
      <c r="DG157" s="15"/>
      <c r="DH157" s="15"/>
      <c r="DI157" s="15" t="s">
        <v>328</v>
      </c>
      <c r="DJ157" s="15" t="s">
        <v>328</v>
      </c>
      <c r="DK157" s="15" t="s">
        <v>405</v>
      </c>
      <c r="DL157" s="15"/>
      <c r="DM157" s="15" t="s">
        <v>916</v>
      </c>
      <c r="DN157" s="14" t="s">
        <v>333</v>
      </c>
      <c r="DO157" s="15"/>
      <c r="DP157" s="15" t="s">
        <v>328</v>
      </c>
      <c r="DQ157" s="15" t="s">
        <v>328</v>
      </c>
      <c r="DR157" s="15" t="s">
        <v>607</v>
      </c>
      <c r="DS157" s="15"/>
      <c r="DT157" s="15"/>
      <c r="DU157" s="15" t="s">
        <v>489</v>
      </c>
      <c r="DV157" s="15" t="s">
        <v>590</v>
      </c>
      <c r="DW157" s="15"/>
      <c r="DX157" s="15" t="s">
        <v>328</v>
      </c>
      <c r="DY157" s="15" t="s">
        <v>328</v>
      </c>
      <c r="DZ157" s="15" t="s">
        <v>592</v>
      </c>
      <c r="EA157" s="15"/>
      <c r="EB157" s="15" t="s">
        <v>489</v>
      </c>
      <c r="EC157" s="102" t="s">
        <v>593</v>
      </c>
      <c r="ED157" s="99"/>
    </row>
    <row r="158" spans="1:134" x14ac:dyDescent="0.25">
      <c r="A158" s="50" t="s">
        <v>1404</v>
      </c>
      <c r="B158" s="61" t="s">
        <v>594</v>
      </c>
      <c r="C158" s="15" t="s">
        <v>328</v>
      </c>
      <c r="D158" s="15"/>
      <c r="E158" s="15">
        <v>59</v>
      </c>
      <c r="F158" s="15" t="s">
        <v>329</v>
      </c>
      <c r="G158" s="15" t="s">
        <v>357</v>
      </c>
      <c r="H158" s="14" t="s">
        <v>753</v>
      </c>
      <c r="I158" s="14" t="s">
        <v>1190</v>
      </c>
      <c r="J158" s="14" t="s">
        <v>1280</v>
      </c>
      <c r="K158" s="15">
        <v>20</v>
      </c>
      <c r="L158" s="15">
        <v>1</v>
      </c>
      <c r="M158" s="15"/>
      <c r="N158" s="15">
        <v>10</v>
      </c>
      <c r="O158" s="15"/>
      <c r="P158" s="15">
        <v>10</v>
      </c>
      <c r="Q158" s="15"/>
      <c r="R158" s="15"/>
      <c r="S158" s="15"/>
      <c r="T158" s="15"/>
      <c r="U158" s="15"/>
      <c r="V158" s="15"/>
      <c r="W158" s="15"/>
      <c r="X158" s="15"/>
      <c r="Y158" s="15"/>
      <c r="Z158" s="15" t="s">
        <v>328</v>
      </c>
      <c r="AA158" s="15"/>
      <c r="AB158" s="15"/>
      <c r="AC158" s="15"/>
      <c r="AD158" s="15"/>
      <c r="AE158" s="15"/>
      <c r="AF158" s="15"/>
      <c r="AG158" s="15" t="s">
        <v>328</v>
      </c>
      <c r="AH158" s="15"/>
      <c r="AI158" s="15"/>
      <c r="AJ158" s="14" t="s">
        <v>328</v>
      </c>
      <c r="AK158" s="15"/>
      <c r="AL158" s="15"/>
      <c r="AM158" s="15"/>
      <c r="AN158" s="15"/>
      <c r="AO158" s="15" t="s">
        <v>328</v>
      </c>
      <c r="AP158" s="15">
        <v>10</v>
      </c>
      <c r="AQ158" s="15">
        <v>6</v>
      </c>
      <c r="AR158" s="15"/>
      <c r="AS158" s="15" t="s">
        <v>328</v>
      </c>
      <c r="AT158" s="15"/>
      <c r="AU158" s="15"/>
      <c r="AV158" s="15">
        <v>4</v>
      </c>
      <c r="AW158" s="15">
        <v>3</v>
      </c>
      <c r="AX158" s="15">
        <v>2</v>
      </c>
      <c r="AY158" s="15" t="s">
        <v>346</v>
      </c>
      <c r="AZ158" s="15"/>
      <c r="BA158" s="15" t="s">
        <v>328</v>
      </c>
      <c r="BB158" s="15"/>
      <c r="BC158" s="15" t="s">
        <v>328</v>
      </c>
      <c r="BD158" s="15"/>
      <c r="BE158" s="15"/>
      <c r="BF158" s="15"/>
      <c r="BG158" s="15"/>
      <c r="BH158" s="15"/>
      <c r="BI158" s="15"/>
      <c r="BJ158" s="15"/>
      <c r="BK158" s="15"/>
      <c r="BL158" s="15" t="s">
        <v>328</v>
      </c>
      <c r="BM158" s="15"/>
      <c r="BN158" s="15" t="s">
        <v>328</v>
      </c>
      <c r="BO158" s="15"/>
      <c r="BP158" s="15" t="s">
        <v>328</v>
      </c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 t="s">
        <v>332</v>
      </c>
      <c r="CG158" s="15" t="s">
        <v>328</v>
      </c>
      <c r="CH158" s="15"/>
      <c r="CI158" s="15"/>
      <c r="CJ158" s="15"/>
      <c r="CK158" s="15"/>
      <c r="CL158" s="15">
        <v>2</v>
      </c>
      <c r="CM158" s="15">
        <v>1</v>
      </c>
      <c r="CN158" s="15">
        <v>4</v>
      </c>
      <c r="CO158" s="15">
        <v>6</v>
      </c>
      <c r="CP158" s="15">
        <v>5</v>
      </c>
      <c r="CQ158" s="15">
        <v>3</v>
      </c>
      <c r="CR158" s="15" t="s">
        <v>328</v>
      </c>
      <c r="CS158" s="15" t="s">
        <v>328</v>
      </c>
      <c r="CT158" s="15"/>
      <c r="CU158" s="15"/>
      <c r="CV158" s="15" t="s">
        <v>328</v>
      </c>
      <c r="CW158" s="15"/>
      <c r="CX158" s="15"/>
      <c r="CY158" s="15" t="s">
        <v>328</v>
      </c>
      <c r="CZ158" s="15" t="s">
        <v>404</v>
      </c>
      <c r="DA158" s="15"/>
      <c r="DB158" s="15"/>
      <c r="DC158" s="15"/>
      <c r="DD158" s="15"/>
      <c r="DE158" s="15"/>
      <c r="DF158" s="15"/>
      <c r="DG158" s="15"/>
      <c r="DH158" s="15" t="s">
        <v>328</v>
      </c>
      <c r="DI158" s="15"/>
      <c r="DJ158" s="15"/>
      <c r="DK158" s="15"/>
      <c r="DL158" s="15"/>
      <c r="DM158" s="15"/>
      <c r="DN158" s="14" t="s">
        <v>1145</v>
      </c>
      <c r="DO158" s="15" t="s">
        <v>328</v>
      </c>
      <c r="DP158" s="15"/>
      <c r="DQ158" s="15"/>
      <c r="DR158" s="15"/>
      <c r="DS158" s="15"/>
      <c r="DT158" s="15"/>
      <c r="DU158" s="15"/>
      <c r="DV158" s="15" t="s">
        <v>1152</v>
      </c>
      <c r="DW158" s="15" t="s">
        <v>328</v>
      </c>
      <c r="DX158" s="15"/>
      <c r="DY158" s="15"/>
      <c r="DZ158" s="15"/>
      <c r="EA158" s="15"/>
      <c r="EB158" s="15"/>
      <c r="EC158" s="101" t="s">
        <v>333</v>
      </c>
      <c r="ED158" s="99"/>
    </row>
    <row r="159" spans="1:134" x14ac:dyDescent="0.25">
      <c r="A159" s="50" t="s">
        <v>1404</v>
      </c>
      <c r="B159" s="61" t="s">
        <v>595</v>
      </c>
      <c r="C159" s="15" t="s">
        <v>328</v>
      </c>
      <c r="D159" s="15"/>
      <c r="E159" s="15">
        <v>32</v>
      </c>
      <c r="F159" s="15" t="s">
        <v>329</v>
      </c>
      <c r="G159" s="15" t="s">
        <v>357</v>
      </c>
      <c r="H159" s="15" t="s">
        <v>762</v>
      </c>
      <c r="I159" s="15" t="s">
        <v>1252</v>
      </c>
      <c r="J159" s="15" t="s">
        <v>1283</v>
      </c>
      <c r="K159" s="15">
        <v>15</v>
      </c>
      <c r="L159" s="15">
        <v>3</v>
      </c>
      <c r="M159" s="15">
        <v>6</v>
      </c>
      <c r="N159" s="15"/>
      <c r="O159" s="15">
        <v>5</v>
      </c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 t="s">
        <v>418</v>
      </c>
      <c r="AJ159" s="15" t="s">
        <v>328</v>
      </c>
      <c r="AK159" s="15"/>
      <c r="AL159" s="14" t="s">
        <v>328</v>
      </c>
      <c r="AM159" s="15"/>
      <c r="AN159" s="15"/>
      <c r="AO159" s="15"/>
      <c r="AP159" s="15">
        <v>9</v>
      </c>
      <c r="AQ159" s="15">
        <v>3</v>
      </c>
      <c r="AR159" s="15"/>
      <c r="AS159" s="15" t="s">
        <v>328</v>
      </c>
      <c r="AT159" s="15" t="s">
        <v>328</v>
      </c>
      <c r="AU159" s="15"/>
      <c r="AV159" s="15">
        <v>4</v>
      </c>
      <c r="AW159" s="15">
        <v>3</v>
      </c>
      <c r="AX159" s="15">
        <v>2</v>
      </c>
      <c r="AY159" s="15" t="s">
        <v>346</v>
      </c>
      <c r="AZ159" s="15"/>
      <c r="BA159" s="15" t="s">
        <v>328</v>
      </c>
      <c r="BB159" s="15"/>
      <c r="BC159" s="15"/>
      <c r="BD159" s="15"/>
      <c r="BE159" s="15"/>
      <c r="BF159" s="15"/>
      <c r="BG159" s="15"/>
      <c r="BH159" s="15"/>
      <c r="BI159" s="15" t="s">
        <v>328</v>
      </c>
      <c r="BJ159" s="15"/>
      <c r="BK159" s="15"/>
      <c r="BL159" s="15" t="s">
        <v>328</v>
      </c>
      <c r="BM159" s="15"/>
      <c r="BN159" s="15" t="s">
        <v>328</v>
      </c>
      <c r="BO159" s="15"/>
      <c r="BP159" s="15" t="s">
        <v>328</v>
      </c>
      <c r="BQ159" s="15"/>
      <c r="BR159" s="15"/>
      <c r="BS159" s="15"/>
      <c r="BT159" s="15" t="s">
        <v>328</v>
      </c>
      <c r="BU159" s="15" t="s">
        <v>328</v>
      </c>
      <c r="BV159" s="15"/>
      <c r="BW159" s="15"/>
      <c r="BX159" s="15"/>
      <c r="BY159" s="15"/>
      <c r="BZ159" s="15" t="s">
        <v>328</v>
      </c>
      <c r="CA159" s="15" t="s">
        <v>328</v>
      </c>
      <c r="CB159" s="15" t="s">
        <v>328</v>
      </c>
      <c r="CC159" s="15"/>
      <c r="CD159" s="15"/>
      <c r="CE159" s="15"/>
      <c r="CF159" s="15"/>
      <c r="CG159" s="15" t="s">
        <v>328</v>
      </c>
      <c r="CH159" s="15"/>
      <c r="CI159" s="15"/>
      <c r="CJ159" s="15"/>
      <c r="CK159" s="15" t="s">
        <v>328</v>
      </c>
      <c r="CL159" s="15">
        <v>3</v>
      </c>
      <c r="CM159" s="15">
        <v>1</v>
      </c>
      <c r="CN159" s="15">
        <v>4</v>
      </c>
      <c r="CO159" s="15">
        <v>5</v>
      </c>
      <c r="CP159" s="15">
        <v>6</v>
      </c>
      <c r="CQ159" s="15">
        <v>2</v>
      </c>
      <c r="CR159" s="15" t="s">
        <v>328</v>
      </c>
      <c r="CS159" s="15" t="s">
        <v>328</v>
      </c>
      <c r="CT159" s="15"/>
      <c r="CU159" s="15"/>
      <c r="CV159" s="15" t="s">
        <v>328</v>
      </c>
      <c r="CW159" s="15"/>
      <c r="CX159" s="15"/>
      <c r="CY159" s="15"/>
      <c r="CZ159" s="15"/>
      <c r="DA159" s="15">
        <v>5</v>
      </c>
      <c r="DB159" s="15">
        <v>1</v>
      </c>
      <c r="DC159" s="15">
        <v>4</v>
      </c>
      <c r="DD159" s="15">
        <v>3</v>
      </c>
      <c r="DE159" s="15">
        <v>6</v>
      </c>
      <c r="DF159" s="15">
        <v>2</v>
      </c>
      <c r="DG159" s="15"/>
      <c r="DH159" s="15"/>
      <c r="DI159" s="15" t="s">
        <v>328</v>
      </c>
      <c r="DJ159" s="15" t="s">
        <v>328</v>
      </c>
      <c r="DK159" s="15" t="s">
        <v>405</v>
      </c>
      <c r="DL159" s="14"/>
      <c r="DM159" s="15" t="s">
        <v>492</v>
      </c>
      <c r="DN159" s="14" t="s">
        <v>624</v>
      </c>
      <c r="DO159" s="15"/>
      <c r="DP159" s="15" t="s">
        <v>328</v>
      </c>
      <c r="DQ159" s="15" t="s">
        <v>328</v>
      </c>
      <c r="DR159" s="15" t="s">
        <v>489</v>
      </c>
      <c r="DS159" s="15"/>
      <c r="DT159" s="15"/>
      <c r="DU159" s="15" t="s">
        <v>489</v>
      </c>
      <c r="DV159" s="15" t="s">
        <v>593</v>
      </c>
      <c r="DW159" s="15"/>
      <c r="DX159" s="15" t="s">
        <v>328</v>
      </c>
      <c r="DY159" s="15" t="s">
        <v>328</v>
      </c>
      <c r="DZ159" s="15" t="s">
        <v>405</v>
      </c>
      <c r="EA159" s="15"/>
      <c r="EB159" s="15" t="s">
        <v>432</v>
      </c>
      <c r="EC159" s="102" t="s">
        <v>474</v>
      </c>
      <c r="ED159" s="99"/>
    </row>
    <row r="160" spans="1:134" x14ac:dyDescent="0.25">
      <c r="A160" s="50" t="s">
        <v>1404</v>
      </c>
      <c r="B160" s="61" t="s">
        <v>596</v>
      </c>
      <c r="C160" s="15" t="s">
        <v>328</v>
      </c>
      <c r="D160" s="15"/>
      <c r="E160" s="15">
        <v>45</v>
      </c>
      <c r="F160" s="15" t="s">
        <v>329</v>
      </c>
      <c r="G160" s="15" t="s">
        <v>357</v>
      </c>
      <c r="H160" s="15" t="s">
        <v>758</v>
      </c>
      <c r="I160" s="15" t="s">
        <v>1197</v>
      </c>
      <c r="J160" s="15" t="s">
        <v>1283</v>
      </c>
      <c r="K160" s="15">
        <v>5</v>
      </c>
      <c r="L160" s="15">
        <v>2</v>
      </c>
      <c r="M160" s="15"/>
      <c r="N160" s="15"/>
      <c r="O160" s="15"/>
      <c r="P160" s="15"/>
      <c r="Q160" s="15">
        <v>2</v>
      </c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 t="s">
        <v>328</v>
      </c>
      <c r="AI160" s="15"/>
      <c r="AJ160" s="15" t="s">
        <v>328</v>
      </c>
      <c r="AK160" s="15"/>
      <c r="AL160" s="14" t="s">
        <v>328</v>
      </c>
      <c r="AM160" s="15"/>
      <c r="AN160" s="15"/>
      <c r="AO160" s="15"/>
      <c r="AP160" s="15">
        <v>10</v>
      </c>
      <c r="AQ160" s="15">
        <v>3</v>
      </c>
      <c r="AR160" s="15"/>
      <c r="AS160" s="15" t="s">
        <v>328</v>
      </c>
      <c r="AT160" s="15" t="s">
        <v>328</v>
      </c>
      <c r="AU160" s="15"/>
      <c r="AV160" s="15">
        <v>2</v>
      </c>
      <c r="AW160" s="15">
        <v>3</v>
      </c>
      <c r="AX160" s="15">
        <v>4</v>
      </c>
      <c r="AY160" s="15" t="s">
        <v>346</v>
      </c>
      <c r="AZ160" s="15"/>
      <c r="BA160" s="15" t="s">
        <v>328</v>
      </c>
      <c r="BB160" s="15"/>
      <c r="BC160" s="15"/>
      <c r="BD160" s="15"/>
      <c r="BE160" s="15"/>
      <c r="BF160" s="15"/>
      <c r="BG160" s="15"/>
      <c r="BH160" s="15"/>
      <c r="BI160" s="15" t="s">
        <v>328</v>
      </c>
      <c r="BJ160" s="15"/>
      <c r="BK160" s="15"/>
      <c r="BL160" s="15" t="s">
        <v>328</v>
      </c>
      <c r="BM160" s="15"/>
      <c r="BN160" s="15" t="s">
        <v>328</v>
      </c>
      <c r="BO160" s="15"/>
      <c r="BP160" s="15" t="s">
        <v>328</v>
      </c>
      <c r="BQ160" s="15"/>
      <c r="BR160" s="15"/>
      <c r="BS160" s="15"/>
      <c r="BT160" s="15" t="s">
        <v>328</v>
      </c>
      <c r="BU160" s="15" t="s">
        <v>328</v>
      </c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 t="s">
        <v>332</v>
      </c>
      <c r="CG160" s="15" t="s">
        <v>328</v>
      </c>
      <c r="CH160" s="15"/>
      <c r="CI160" s="15" t="s">
        <v>328</v>
      </c>
      <c r="CJ160" s="15"/>
      <c r="CK160" s="15"/>
      <c r="CL160" s="15">
        <v>3</v>
      </c>
      <c r="CM160" s="15">
        <v>2</v>
      </c>
      <c r="CN160" s="15">
        <v>4</v>
      </c>
      <c r="CO160" s="15">
        <v>5</v>
      </c>
      <c r="CP160" s="15">
        <v>6</v>
      </c>
      <c r="CQ160" s="15">
        <v>1</v>
      </c>
      <c r="CR160" s="15" t="s">
        <v>328</v>
      </c>
      <c r="CS160" s="15" t="s">
        <v>328</v>
      </c>
      <c r="CT160" s="15"/>
      <c r="CU160" s="15"/>
      <c r="CV160" s="15" t="s">
        <v>328</v>
      </c>
      <c r="CW160" s="15"/>
      <c r="CX160" s="15"/>
      <c r="CY160" s="15" t="s">
        <v>328</v>
      </c>
      <c r="CZ160" s="15" t="s">
        <v>404</v>
      </c>
      <c r="DA160" s="15"/>
      <c r="DB160" s="15"/>
      <c r="DC160" s="15"/>
      <c r="DD160" s="15"/>
      <c r="DE160" s="15"/>
      <c r="DF160" s="15"/>
      <c r="DG160" s="15"/>
      <c r="DH160" s="15"/>
      <c r="DI160" s="15" t="s">
        <v>328</v>
      </c>
      <c r="DJ160" s="15" t="s">
        <v>328</v>
      </c>
      <c r="DK160" s="14" t="s">
        <v>397</v>
      </c>
      <c r="DL160" s="15"/>
      <c r="DM160" s="15" t="s">
        <v>1340</v>
      </c>
      <c r="DN160" s="14" t="s">
        <v>396</v>
      </c>
      <c r="DO160" s="15"/>
      <c r="DP160" s="15" t="s">
        <v>328</v>
      </c>
      <c r="DQ160" s="15" t="s">
        <v>328</v>
      </c>
      <c r="DR160" s="15" t="s">
        <v>437</v>
      </c>
      <c r="DS160" s="15"/>
      <c r="DT160" s="15"/>
      <c r="DU160" s="15" t="s">
        <v>410</v>
      </c>
      <c r="DV160" s="14" t="s">
        <v>411</v>
      </c>
      <c r="DW160" s="15"/>
      <c r="DX160" s="15" t="s">
        <v>328</v>
      </c>
      <c r="DY160" s="15" t="s">
        <v>328</v>
      </c>
      <c r="DZ160" s="15" t="s">
        <v>397</v>
      </c>
      <c r="EA160" s="15"/>
      <c r="EB160" s="15" t="s">
        <v>587</v>
      </c>
      <c r="EC160" s="102" t="s">
        <v>333</v>
      </c>
      <c r="ED160" s="99"/>
    </row>
    <row r="161" spans="1:134" x14ac:dyDescent="0.25">
      <c r="A161" s="50" t="s">
        <v>1404</v>
      </c>
      <c r="B161" s="61" t="s">
        <v>597</v>
      </c>
      <c r="C161" s="15" t="s">
        <v>328</v>
      </c>
      <c r="D161" s="15"/>
      <c r="E161" s="15">
        <v>46</v>
      </c>
      <c r="F161" s="15" t="s">
        <v>329</v>
      </c>
      <c r="G161" s="15" t="s">
        <v>355</v>
      </c>
      <c r="H161" s="15" t="s">
        <v>730</v>
      </c>
      <c r="I161" s="15" t="s">
        <v>1225</v>
      </c>
      <c r="J161" s="15" t="s">
        <v>1280</v>
      </c>
      <c r="K161" s="15">
        <v>15</v>
      </c>
      <c r="L161" s="15">
        <v>1</v>
      </c>
      <c r="M161" s="15"/>
      <c r="N161" s="15"/>
      <c r="O161" s="15"/>
      <c r="P161" s="15"/>
      <c r="Q161" s="15">
        <v>1</v>
      </c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 t="s">
        <v>563</v>
      </c>
      <c r="AJ161" s="14" t="s">
        <v>328</v>
      </c>
      <c r="AK161" s="15"/>
      <c r="AL161" s="15"/>
      <c r="AM161" s="15"/>
      <c r="AN161" s="15"/>
      <c r="AO161" s="15" t="s">
        <v>328</v>
      </c>
      <c r="AP161" s="15">
        <v>10</v>
      </c>
      <c r="AQ161" s="15">
        <v>3</v>
      </c>
      <c r="AR161" s="15"/>
      <c r="AS161" s="15" t="s">
        <v>328</v>
      </c>
      <c r="AT161" s="15"/>
      <c r="AU161" s="15"/>
      <c r="AV161" s="15">
        <v>1</v>
      </c>
      <c r="AW161" s="15">
        <v>3</v>
      </c>
      <c r="AX161" s="15">
        <v>2</v>
      </c>
      <c r="AY161" s="15"/>
      <c r="AZ161" s="15" t="s">
        <v>328</v>
      </c>
      <c r="BA161" s="15"/>
      <c r="BB161" s="15" t="s">
        <v>328</v>
      </c>
      <c r="BC161" s="15"/>
      <c r="BD161" s="15"/>
      <c r="BE161" s="15"/>
      <c r="BF161" s="15"/>
      <c r="BG161" s="15"/>
      <c r="BH161" s="15"/>
      <c r="BI161" s="15"/>
      <c r="BJ161" s="15"/>
      <c r="BK161" s="15"/>
      <c r="BL161" s="15" t="s">
        <v>328</v>
      </c>
      <c r="BM161" s="15"/>
      <c r="BN161" s="15" t="s">
        <v>328</v>
      </c>
      <c r="BO161" s="15"/>
      <c r="BP161" s="15" t="s">
        <v>328</v>
      </c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 t="s">
        <v>332</v>
      </c>
      <c r="CG161" s="15"/>
      <c r="CH161" s="15" t="s">
        <v>328</v>
      </c>
      <c r="CI161" s="15"/>
      <c r="CJ161" s="15"/>
      <c r="CK161" s="15"/>
      <c r="CL161" s="15">
        <v>4</v>
      </c>
      <c r="CM161" s="15">
        <v>1</v>
      </c>
      <c r="CN161" s="15">
        <v>2</v>
      </c>
      <c r="CO161" s="15">
        <v>5</v>
      </c>
      <c r="CP161" s="15">
        <v>6</v>
      </c>
      <c r="CQ161" s="15">
        <v>3</v>
      </c>
      <c r="CR161" s="15"/>
      <c r="CS161" s="15"/>
      <c r="CT161" s="15"/>
      <c r="CU161" s="15"/>
      <c r="CV161" s="15"/>
      <c r="CW161" s="15"/>
      <c r="CX161" s="15" t="s">
        <v>905</v>
      </c>
      <c r="CY161" s="15"/>
      <c r="CZ161" s="15"/>
      <c r="DA161" s="15">
        <v>4</v>
      </c>
      <c r="DB161" s="15">
        <v>1</v>
      </c>
      <c r="DC161" s="15">
        <v>2</v>
      </c>
      <c r="DD161" s="15">
        <v>6</v>
      </c>
      <c r="DE161" s="15">
        <v>5</v>
      </c>
      <c r="DF161" s="15">
        <v>3</v>
      </c>
      <c r="DG161" s="15"/>
      <c r="DH161" s="15" t="s">
        <v>328</v>
      </c>
      <c r="DI161" s="15"/>
      <c r="DJ161" s="15"/>
      <c r="DK161" s="15"/>
      <c r="DL161" s="15"/>
      <c r="DM161" s="15"/>
      <c r="DN161" s="14" t="s">
        <v>333</v>
      </c>
      <c r="DO161" s="15"/>
      <c r="DP161" s="15" t="s">
        <v>328</v>
      </c>
      <c r="DQ161" s="15" t="s">
        <v>328</v>
      </c>
      <c r="DR161" s="15" t="s">
        <v>420</v>
      </c>
      <c r="DS161" s="15"/>
      <c r="DT161" s="15"/>
      <c r="DU161" s="15" t="s">
        <v>410</v>
      </c>
      <c r="DV161" s="15" t="s">
        <v>598</v>
      </c>
      <c r="DW161" s="15" t="s">
        <v>328</v>
      </c>
      <c r="DX161" s="15"/>
      <c r="DY161" s="15"/>
      <c r="DZ161" s="15"/>
      <c r="EA161" s="15"/>
      <c r="EB161" s="15"/>
      <c r="EC161" s="102" t="s">
        <v>450</v>
      </c>
      <c r="ED161" s="99"/>
    </row>
    <row r="162" spans="1:134" x14ac:dyDescent="0.25">
      <c r="A162" s="50" t="s">
        <v>1404</v>
      </c>
      <c r="B162" s="61" t="s">
        <v>599</v>
      </c>
      <c r="C162" s="15" t="s">
        <v>328</v>
      </c>
      <c r="D162" s="15"/>
      <c r="E162" s="15">
        <v>40</v>
      </c>
      <c r="F162" s="15" t="s">
        <v>329</v>
      </c>
      <c r="G162" s="15" t="s">
        <v>399</v>
      </c>
      <c r="H162" s="15" t="s">
        <v>741</v>
      </c>
      <c r="I162" s="15" t="s">
        <v>1212</v>
      </c>
      <c r="J162" s="15" t="s">
        <v>1283</v>
      </c>
      <c r="K162" s="15">
        <v>10</v>
      </c>
      <c r="L162" s="15">
        <v>1</v>
      </c>
      <c r="M162" s="15"/>
      <c r="N162" s="15"/>
      <c r="O162" s="15"/>
      <c r="P162" s="15">
        <v>1</v>
      </c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 t="s">
        <v>328</v>
      </c>
      <c r="AH162" s="15"/>
      <c r="AI162" s="15"/>
      <c r="AJ162" s="15"/>
      <c r="AK162" s="15" t="s">
        <v>328</v>
      </c>
      <c r="AL162" s="15"/>
      <c r="AM162" s="15"/>
      <c r="AN162" s="14" t="s">
        <v>328</v>
      </c>
      <c r="AO162" s="15"/>
      <c r="AP162" s="15">
        <v>9</v>
      </c>
      <c r="AQ162" s="15">
        <v>2</v>
      </c>
      <c r="AR162" s="15"/>
      <c r="AS162" s="15"/>
      <c r="AT162" s="15" t="s">
        <v>328</v>
      </c>
      <c r="AU162" s="15"/>
      <c r="AV162" s="15">
        <v>1</v>
      </c>
      <c r="AW162" s="15">
        <v>3</v>
      </c>
      <c r="AX162" s="15">
        <v>2</v>
      </c>
      <c r="AY162" s="15"/>
      <c r="AZ162" s="15" t="s">
        <v>328</v>
      </c>
      <c r="BA162" s="15"/>
      <c r="BB162" s="15"/>
      <c r="BC162" s="15"/>
      <c r="BD162" s="15"/>
      <c r="BE162" s="15" t="s">
        <v>328</v>
      </c>
      <c r="BF162" s="15"/>
      <c r="BG162" s="15"/>
      <c r="BH162" s="15"/>
      <c r="BI162" s="15"/>
      <c r="BJ162" s="15"/>
      <c r="BK162" s="15"/>
      <c r="BL162" s="15" t="s">
        <v>328</v>
      </c>
      <c r="BM162" s="15"/>
      <c r="BN162" s="15" t="s">
        <v>328</v>
      </c>
      <c r="BO162" s="15"/>
      <c r="BP162" s="15" t="s">
        <v>328</v>
      </c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 t="s">
        <v>332</v>
      </c>
      <c r="CG162" s="15" t="s">
        <v>328</v>
      </c>
      <c r="CH162" s="15"/>
      <c r="CI162" s="15"/>
      <c r="CJ162" s="15"/>
      <c r="CK162" s="15"/>
      <c r="CL162" s="15">
        <v>4</v>
      </c>
      <c r="CM162" s="15">
        <v>1</v>
      </c>
      <c r="CN162" s="15">
        <v>2</v>
      </c>
      <c r="CO162" s="15">
        <v>6</v>
      </c>
      <c r="CP162" s="15">
        <v>5</v>
      </c>
      <c r="CQ162" s="15">
        <v>3</v>
      </c>
      <c r="CR162" s="15"/>
      <c r="CS162" s="15"/>
      <c r="CT162" s="15"/>
      <c r="CU162" s="15"/>
      <c r="CV162" s="15"/>
      <c r="CW162" s="15"/>
      <c r="CX162" s="15" t="s">
        <v>332</v>
      </c>
      <c r="CY162" s="15"/>
      <c r="CZ162" s="15"/>
      <c r="DA162" s="15">
        <v>3</v>
      </c>
      <c r="DB162" s="15">
        <v>1</v>
      </c>
      <c r="DC162" s="15">
        <v>2</v>
      </c>
      <c r="DD162" s="15">
        <v>4</v>
      </c>
      <c r="DE162" s="15">
        <v>5</v>
      </c>
      <c r="DF162" s="15">
        <v>6</v>
      </c>
      <c r="DG162" s="15"/>
      <c r="DH162" s="15" t="s">
        <v>328</v>
      </c>
      <c r="DI162" s="15"/>
      <c r="DJ162" s="15"/>
      <c r="DK162" s="15"/>
      <c r="DL162" s="15"/>
      <c r="DM162" s="15"/>
      <c r="DN162" s="14" t="s">
        <v>333</v>
      </c>
      <c r="DO162" s="15"/>
      <c r="DP162" s="15" t="s">
        <v>328</v>
      </c>
      <c r="DQ162" s="15" t="s">
        <v>328</v>
      </c>
      <c r="DR162" s="15" t="s">
        <v>420</v>
      </c>
      <c r="DS162" s="15"/>
      <c r="DT162" s="15"/>
      <c r="DU162" s="15" t="s">
        <v>335</v>
      </c>
      <c r="DV162" s="15" t="s">
        <v>600</v>
      </c>
      <c r="DW162" s="15" t="s">
        <v>328</v>
      </c>
      <c r="DX162" s="15"/>
      <c r="DY162" s="15"/>
      <c r="DZ162" s="15"/>
      <c r="EA162" s="15"/>
      <c r="EB162" s="15"/>
      <c r="EC162" s="102" t="s">
        <v>1152</v>
      </c>
      <c r="ED162" s="99"/>
    </row>
    <row r="163" spans="1:134" x14ac:dyDescent="0.25">
      <c r="A163" s="50" t="s">
        <v>1404</v>
      </c>
      <c r="B163" s="61" t="s">
        <v>601</v>
      </c>
      <c r="C163" s="15" t="s">
        <v>328</v>
      </c>
      <c r="D163" s="15"/>
      <c r="E163" s="15">
        <v>53</v>
      </c>
      <c r="F163" s="15" t="s">
        <v>329</v>
      </c>
      <c r="G163" s="15" t="s">
        <v>399</v>
      </c>
      <c r="H163" s="15" t="s">
        <v>778</v>
      </c>
      <c r="I163" s="15" t="s">
        <v>1253</v>
      </c>
      <c r="J163" s="15" t="s">
        <v>1280</v>
      </c>
      <c r="K163" s="15">
        <v>22</v>
      </c>
      <c r="L163" s="15">
        <v>5</v>
      </c>
      <c r="M163" s="15">
        <v>2</v>
      </c>
      <c r="N163" s="15"/>
      <c r="O163" s="15">
        <v>1</v>
      </c>
      <c r="P163" s="15">
        <v>2</v>
      </c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 t="s">
        <v>328</v>
      </c>
      <c r="AD163" s="15"/>
      <c r="AE163" s="15"/>
      <c r="AF163" s="15"/>
      <c r="AG163" s="15" t="s">
        <v>328</v>
      </c>
      <c r="AH163" s="15"/>
      <c r="AI163" s="15"/>
      <c r="AJ163" s="14" t="s">
        <v>328</v>
      </c>
      <c r="AK163" s="15"/>
      <c r="AL163" s="15"/>
      <c r="AM163" s="15"/>
      <c r="AN163" s="15" t="s">
        <v>328</v>
      </c>
      <c r="AO163" s="15" t="s">
        <v>328</v>
      </c>
      <c r="AP163" s="15">
        <v>10</v>
      </c>
      <c r="AQ163" s="15">
        <v>6</v>
      </c>
      <c r="AR163" s="15"/>
      <c r="AS163" s="15" t="s">
        <v>328</v>
      </c>
      <c r="AT163" s="15" t="s">
        <v>328</v>
      </c>
      <c r="AU163" s="15"/>
      <c r="AV163" s="15">
        <v>2</v>
      </c>
      <c r="AW163" s="15">
        <v>3</v>
      </c>
      <c r="AX163" s="15">
        <v>4</v>
      </c>
      <c r="AY163" s="15" t="s">
        <v>346</v>
      </c>
      <c r="AZ163" s="15"/>
      <c r="BA163" s="15" t="s">
        <v>328</v>
      </c>
      <c r="BB163" s="15" t="s">
        <v>328</v>
      </c>
      <c r="BC163" s="15"/>
      <c r="BD163" s="15"/>
      <c r="BE163" s="15"/>
      <c r="BF163" s="15"/>
      <c r="BG163" s="15"/>
      <c r="BH163" s="15"/>
      <c r="BI163" s="15" t="s">
        <v>328</v>
      </c>
      <c r="BJ163" s="15"/>
      <c r="BK163" s="15"/>
      <c r="BL163" s="15" t="s">
        <v>328</v>
      </c>
      <c r="BM163" s="15"/>
      <c r="BN163" s="15" t="s">
        <v>328</v>
      </c>
      <c r="BO163" s="15"/>
      <c r="BP163" s="15" t="s">
        <v>328</v>
      </c>
      <c r="BQ163" s="15"/>
      <c r="BR163" s="15"/>
      <c r="BS163" s="15"/>
      <c r="BT163" s="15" t="s">
        <v>328</v>
      </c>
      <c r="BU163" s="15"/>
      <c r="BV163" s="15"/>
      <c r="BW163" s="15"/>
      <c r="BX163" s="15"/>
      <c r="BY163" s="15"/>
      <c r="BZ163" s="15" t="s">
        <v>328</v>
      </c>
      <c r="CA163" s="15" t="s">
        <v>328</v>
      </c>
      <c r="CB163" s="15" t="s">
        <v>328</v>
      </c>
      <c r="CC163" s="15"/>
      <c r="CD163" s="15"/>
      <c r="CE163" s="15"/>
      <c r="CF163" s="15"/>
      <c r="CG163" s="15" t="s">
        <v>328</v>
      </c>
      <c r="CH163" s="15"/>
      <c r="CI163" s="15" t="s">
        <v>328</v>
      </c>
      <c r="CJ163" s="15"/>
      <c r="CK163" s="15"/>
      <c r="CL163" s="15">
        <v>4</v>
      </c>
      <c r="CM163" s="15">
        <v>1</v>
      </c>
      <c r="CN163" s="15">
        <v>3</v>
      </c>
      <c r="CO163" s="15">
        <v>6</v>
      </c>
      <c r="CP163" s="15">
        <v>5</v>
      </c>
      <c r="CQ163" s="15">
        <v>2</v>
      </c>
      <c r="CR163" s="15"/>
      <c r="CS163" s="15" t="s">
        <v>328</v>
      </c>
      <c r="CT163" s="15" t="s">
        <v>328</v>
      </c>
      <c r="CU163" s="15" t="s">
        <v>328</v>
      </c>
      <c r="CV163" s="15"/>
      <c r="CW163" s="15" t="s">
        <v>328</v>
      </c>
      <c r="CX163" s="15"/>
      <c r="CY163" s="15"/>
      <c r="CZ163" s="15"/>
      <c r="DA163" s="15">
        <v>1</v>
      </c>
      <c r="DB163" s="15">
        <v>3</v>
      </c>
      <c r="DC163" s="15">
        <v>4</v>
      </c>
      <c r="DD163" s="15">
        <v>5</v>
      </c>
      <c r="DE163" s="15">
        <v>2</v>
      </c>
      <c r="DF163" s="15">
        <v>6</v>
      </c>
      <c r="DG163" s="15"/>
      <c r="DH163" s="15"/>
      <c r="DI163" s="15" t="s">
        <v>328</v>
      </c>
      <c r="DJ163" s="15" t="s">
        <v>328</v>
      </c>
      <c r="DK163" s="15" t="s">
        <v>618</v>
      </c>
      <c r="DL163" s="15"/>
      <c r="DM163" s="15" t="s">
        <v>917</v>
      </c>
      <c r="DN163" s="14" t="s">
        <v>333</v>
      </c>
      <c r="DO163" s="15"/>
      <c r="DP163" s="15" t="s">
        <v>328</v>
      </c>
      <c r="DQ163" s="15" t="s">
        <v>328</v>
      </c>
      <c r="DR163" s="15" t="s">
        <v>504</v>
      </c>
      <c r="DS163" s="15"/>
      <c r="DT163" s="15"/>
      <c r="DU163" s="15" t="s">
        <v>410</v>
      </c>
      <c r="DV163" s="15" t="s">
        <v>602</v>
      </c>
      <c r="DW163" s="15"/>
      <c r="DX163" s="15" t="s">
        <v>328</v>
      </c>
      <c r="DY163" s="15" t="s">
        <v>328</v>
      </c>
      <c r="DZ163" s="15" t="s">
        <v>405</v>
      </c>
      <c r="EA163" s="15"/>
      <c r="EB163" s="15" t="s">
        <v>1158</v>
      </c>
      <c r="EC163" s="102" t="s">
        <v>1159</v>
      </c>
      <c r="ED163" s="99"/>
    </row>
    <row r="164" spans="1:134" x14ac:dyDescent="0.25">
      <c r="A164" s="50" t="s">
        <v>1404</v>
      </c>
      <c r="B164" s="61" t="s">
        <v>603</v>
      </c>
      <c r="C164" s="15" t="s">
        <v>328</v>
      </c>
      <c r="D164" s="15"/>
      <c r="E164" s="15">
        <v>65</v>
      </c>
      <c r="F164" s="15" t="s">
        <v>329</v>
      </c>
      <c r="G164" s="15" t="s">
        <v>357</v>
      </c>
      <c r="H164" s="15" t="s">
        <v>728</v>
      </c>
      <c r="I164" s="15" t="s">
        <v>1254</v>
      </c>
      <c r="J164" s="15" t="s">
        <v>1280</v>
      </c>
      <c r="K164" s="15">
        <v>20</v>
      </c>
      <c r="L164" s="15">
        <v>2</v>
      </c>
      <c r="M164" s="15">
        <v>1</v>
      </c>
      <c r="N164" s="15"/>
      <c r="O164" s="15"/>
      <c r="P164" s="15">
        <v>1</v>
      </c>
      <c r="Q164" s="15"/>
      <c r="R164" s="15"/>
      <c r="S164" s="15"/>
      <c r="T164" s="15"/>
      <c r="U164" s="15"/>
      <c r="V164" s="15"/>
      <c r="W164" s="15"/>
      <c r="X164" s="15"/>
      <c r="Y164" s="15"/>
      <c r="Z164" s="15" t="s">
        <v>328</v>
      </c>
      <c r="AA164" s="15" t="s">
        <v>328</v>
      </c>
      <c r="AB164" s="15"/>
      <c r="AC164" s="15"/>
      <c r="AD164" s="15"/>
      <c r="AE164" s="15"/>
      <c r="AF164" s="15"/>
      <c r="AG164" s="15"/>
      <c r="AH164" s="15"/>
      <c r="AI164" s="15"/>
      <c r="AJ164" s="15" t="s">
        <v>328</v>
      </c>
      <c r="AK164" s="15"/>
      <c r="AL164" s="15"/>
      <c r="AM164" s="15"/>
      <c r="AN164" s="15"/>
      <c r="AO164" s="14" t="s">
        <v>328</v>
      </c>
      <c r="AP164" s="15">
        <v>10</v>
      </c>
      <c r="AQ164" s="15">
        <v>3</v>
      </c>
      <c r="AR164" s="15"/>
      <c r="AS164" s="15"/>
      <c r="AT164" s="15" t="s">
        <v>328</v>
      </c>
      <c r="AU164" s="15"/>
      <c r="AV164" s="15">
        <v>2</v>
      </c>
      <c r="AW164" s="15">
        <v>4</v>
      </c>
      <c r="AX164" s="15">
        <v>3</v>
      </c>
      <c r="AY164" s="15" t="s">
        <v>346</v>
      </c>
      <c r="AZ164" s="15" t="s">
        <v>328</v>
      </c>
      <c r="BA164" s="15"/>
      <c r="BB164" s="15"/>
      <c r="BC164" s="15"/>
      <c r="BD164" s="15"/>
      <c r="BE164" s="15" t="s">
        <v>328</v>
      </c>
      <c r="BF164" s="15"/>
      <c r="BG164" s="15"/>
      <c r="BH164" s="15"/>
      <c r="BI164" s="15"/>
      <c r="BJ164" s="15"/>
      <c r="BK164" s="15"/>
      <c r="BL164" s="15" t="s">
        <v>328</v>
      </c>
      <c r="BM164" s="15"/>
      <c r="BN164" s="15" t="s">
        <v>328</v>
      </c>
      <c r="BO164" s="15"/>
      <c r="BP164" s="15"/>
      <c r="BQ164" s="15"/>
      <c r="BR164" s="15" t="s">
        <v>328</v>
      </c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 t="s">
        <v>328</v>
      </c>
      <c r="CF164" s="15"/>
      <c r="CG164" s="15" t="s">
        <v>328</v>
      </c>
      <c r="CH164" s="15"/>
      <c r="CI164" s="15"/>
      <c r="CJ164" s="15"/>
      <c r="CK164" s="15"/>
      <c r="CL164" s="15">
        <v>4</v>
      </c>
      <c r="CM164" s="15">
        <v>1</v>
      </c>
      <c r="CN164" s="15">
        <v>2</v>
      </c>
      <c r="CO164" s="15">
        <v>6</v>
      </c>
      <c r="CP164" s="15">
        <v>5</v>
      </c>
      <c r="CQ164" s="15">
        <v>3</v>
      </c>
      <c r="CR164" s="15"/>
      <c r="CS164" s="15"/>
      <c r="CT164" s="15"/>
      <c r="CU164" s="15"/>
      <c r="CV164" s="15"/>
      <c r="CW164" s="15"/>
      <c r="CX164" s="15" t="s">
        <v>332</v>
      </c>
      <c r="CY164" s="15"/>
      <c r="CZ164" s="15"/>
      <c r="DA164" s="15">
        <v>6</v>
      </c>
      <c r="DB164" s="15">
        <v>1</v>
      </c>
      <c r="DC164" s="15">
        <v>2</v>
      </c>
      <c r="DD164" s="15">
        <v>5</v>
      </c>
      <c r="DE164" s="15">
        <v>4</v>
      </c>
      <c r="DF164" s="15">
        <v>3</v>
      </c>
      <c r="DG164" s="15"/>
      <c r="DH164" s="15"/>
      <c r="DI164" s="15" t="s">
        <v>328</v>
      </c>
      <c r="DJ164" s="15" t="s">
        <v>328</v>
      </c>
      <c r="DK164" s="15" t="s">
        <v>618</v>
      </c>
      <c r="DL164" s="15"/>
      <c r="DM164" s="15" t="s">
        <v>604</v>
      </c>
      <c r="DN164" s="14" t="s">
        <v>333</v>
      </c>
      <c r="DO164" s="15"/>
      <c r="DP164" s="15" t="s">
        <v>328</v>
      </c>
      <c r="DQ164" s="15" t="s">
        <v>328</v>
      </c>
      <c r="DR164" s="15" t="s">
        <v>504</v>
      </c>
      <c r="DS164" s="15"/>
      <c r="DT164" s="15"/>
      <c r="DU164" s="15" t="s">
        <v>410</v>
      </c>
      <c r="DV164" s="15" t="s">
        <v>605</v>
      </c>
      <c r="DW164" s="15" t="s">
        <v>328</v>
      </c>
      <c r="DX164" s="15"/>
      <c r="DY164" s="15"/>
      <c r="DZ164" s="15"/>
      <c r="EA164" s="15"/>
      <c r="EB164" s="15"/>
      <c r="EC164" s="102" t="s">
        <v>333</v>
      </c>
      <c r="ED164" s="99"/>
    </row>
    <row r="165" spans="1:134" x14ac:dyDescent="0.25">
      <c r="A165" s="50" t="s">
        <v>1404</v>
      </c>
      <c r="B165" s="61" t="s">
        <v>606</v>
      </c>
      <c r="C165" s="15" t="s">
        <v>328</v>
      </c>
      <c r="D165" s="15"/>
      <c r="E165" s="15">
        <v>51</v>
      </c>
      <c r="F165" s="15" t="s">
        <v>329</v>
      </c>
      <c r="G165" s="15" t="s">
        <v>399</v>
      </c>
      <c r="H165" s="15" t="s">
        <v>779</v>
      </c>
      <c r="I165" s="18" t="s">
        <v>1255</v>
      </c>
      <c r="J165" s="15" t="s">
        <v>1280</v>
      </c>
      <c r="K165" s="15">
        <v>20</v>
      </c>
      <c r="L165" s="15">
        <v>3</v>
      </c>
      <c r="M165" s="15"/>
      <c r="N165" s="15"/>
      <c r="O165" s="15"/>
      <c r="P165" s="15"/>
      <c r="Q165" s="15"/>
      <c r="R165" s="15"/>
      <c r="S165" s="15"/>
      <c r="T165" s="15">
        <v>3</v>
      </c>
      <c r="U165" s="15"/>
      <c r="V165" s="15"/>
      <c r="W165" s="15"/>
      <c r="X165" s="15"/>
      <c r="Y165" s="15"/>
      <c r="Z165" s="15"/>
      <c r="AA165" s="15"/>
      <c r="AB165" s="15"/>
      <c r="AC165" s="15" t="s">
        <v>328</v>
      </c>
      <c r="AD165" s="15"/>
      <c r="AE165" s="15"/>
      <c r="AF165" s="15" t="s">
        <v>328</v>
      </c>
      <c r="AG165" s="15"/>
      <c r="AH165" s="15"/>
      <c r="AI165" s="15"/>
      <c r="AJ165" s="15" t="s">
        <v>328</v>
      </c>
      <c r="AK165" s="15"/>
      <c r="AL165" s="15"/>
      <c r="AM165" s="15"/>
      <c r="AN165" s="15"/>
      <c r="AO165" s="14" t="s">
        <v>328</v>
      </c>
      <c r="AP165" s="15">
        <v>10</v>
      </c>
      <c r="AQ165" s="15">
        <v>5</v>
      </c>
      <c r="AR165" s="15"/>
      <c r="AS165" s="15" t="s">
        <v>328</v>
      </c>
      <c r="AT165" s="15" t="s">
        <v>328</v>
      </c>
      <c r="AU165" s="15"/>
      <c r="AV165" s="15">
        <v>2</v>
      </c>
      <c r="AW165" s="15">
        <v>4</v>
      </c>
      <c r="AX165" s="15">
        <v>3</v>
      </c>
      <c r="AY165" s="15" t="s">
        <v>346</v>
      </c>
      <c r="AZ165" s="15"/>
      <c r="BA165" s="15" t="s">
        <v>328</v>
      </c>
      <c r="BB165" s="15" t="s">
        <v>328</v>
      </c>
      <c r="BC165" s="15"/>
      <c r="BD165" s="15"/>
      <c r="BE165" s="15" t="s">
        <v>328</v>
      </c>
      <c r="BF165" s="15"/>
      <c r="BG165" s="15"/>
      <c r="BH165" s="15"/>
      <c r="BI165" s="15"/>
      <c r="BJ165" s="15"/>
      <c r="BK165" s="15"/>
      <c r="BL165" s="15" t="s">
        <v>328</v>
      </c>
      <c r="BM165" s="15"/>
      <c r="BN165" s="15" t="s">
        <v>328</v>
      </c>
      <c r="BO165" s="15"/>
      <c r="BP165" s="15" t="s">
        <v>328</v>
      </c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 t="s">
        <v>332</v>
      </c>
      <c r="CG165" s="15" t="s">
        <v>328</v>
      </c>
      <c r="CH165" s="15"/>
      <c r="CI165" s="15"/>
      <c r="CJ165" s="15"/>
      <c r="CK165" s="15"/>
      <c r="CL165" s="15">
        <v>5</v>
      </c>
      <c r="CM165" s="15">
        <v>2</v>
      </c>
      <c r="CN165" s="15">
        <v>4</v>
      </c>
      <c r="CO165" s="15">
        <v>1</v>
      </c>
      <c r="CP165" s="15">
        <v>6</v>
      </c>
      <c r="CQ165" s="15">
        <v>3</v>
      </c>
      <c r="CR165" s="15" t="s">
        <v>328</v>
      </c>
      <c r="CS165" s="15"/>
      <c r="CT165" s="15"/>
      <c r="CU165" s="15"/>
      <c r="CV165" s="15" t="s">
        <v>328</v>
      </c>
      <c r="CW165" s="15"/>
      <c r="CX165" s="15"/>
      <c r="CY165" s="15" t="s">
        <v>328</v>
      </c>
      <c r="CZ165" s="15" t="s">
        <v>404</v>
      </c>
      <c r="DA165" s="15"/>
      <c r="DB165" s="15"/>
      <c r="DC165" s="15"/>
      <c r="DD165" s="15"/>
      <c r="DE165" s="15"/>
      <c r="DF165" s="15"/>
      <c r="DG165" s="15"/>
      <c r="DH165" s="15"/>
      <c r="DI165" s="15" t="s">
        <v>328</v>
      </c>
      <c r="DJ165" s="15" t="s">
        <v>328</v>
      </c>
      <c r="DK165" s="15" t="s">
        <v>405</v>
      </c>
      <c r="DL165" s="15"/>
      <c r="DM165" s="15" t="s">
        <v>492</v>
      </c>
      <c r="DN165" s="14" t="s">
        <v>624</v>
      </c>
      <c r="DO165" s="15"/>
      <c r="DP165" s="15" t="s">
        <v>328</v>
      </c>
      <c r="DQ165" s="15" t="s">
        <v>328</v>
      </c>
      <c r="DR165" s="15" t="s">
        <v>607</v>
      </c>
      <c r="DS165" s="15"/>
      <c r="DT165" s="15"/>
      <c r="DU165" s="15" t="s">
        <v>607</v>
      </c>
      <c r="DV165" s="15" t="s">
        <v>608</v>
      </c>
      <c r="DW165" s="15" t="s">
        <v>328</v>
      </c>
      <c r="DX165" s="15"/>
      <c r="DY165" s="15"/>
      <c r="DZ165" s="15"/>
      <c r="EA165" s="15"/>
      <c r="EB165" s="15"/>
      <c r="EC165" s="102" t="s">
        <v>1160</v>
      </c>
      <c r="ED165" s="99"/>
    </row>
    <row r="166" spans="1:134" x14ac:dyDescent="0.25">
      <c r="A166" s="50" t="s">
        <v>1404</v>
      </c>
      <c r="B166" s="61" t="s">
        <v>609</v>
      </c>
      <c r="C166" s="15" t="s">
        <v>328</v>
      </c>
      <c r="D166" s="15"/>
      <c r="E166" s="15">
        <v>55</v>
      </c>
      <c r="F166" s="15" t="s">
        <v>329</v>
      </c>
      <c r="G166" s="15" t="s">
        <v>399</v>
      </c>
      <c r="H166" s="15" t="s">
        <v>728</v>
      </c>
      <c r="I166" s="15" t="s">
        <v>1254</v>
      </c>
      <c r="J166" s="15" t="s">
        <v>1280</v>
      </c>
      <c r="K166" s="15">
        <v>25</v>
      </c>
      <c r="L166" s="15">
        <v>4</v>
      </c>
      <c r="M166" s="15"/>
      <c r="N166" s="15"/>
      <c r="O166" s="15"/>
      <c r="P166" s="15"/>
      <c r="Q166" s="15"/>
      <c r="R166" s="15"/>
      <c r="S166" s="15"/>
      <c r="T166" s="15"/>
      <c r="U166" s="15"/>
      <c r="V166" s="15">
        <v>4</v>
      </c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 t="s">
        <v>692</v>
      </c>
      <c r="AJ166" s="15"/>
      <c r="AK166" s="15" t="s">
        <v>328</v>
      </c>
      <c r="AL166" s="15"/>
      <c r="AM166" s="15"/>
      <c r="AN166" s="15"/>
      <c r="AO166" s="15" t="s">
        <v>328</v>
      </c>
      <c r="AP166" s="15">
        <v>10</v>
      </c>
      <c r="AQ166" s="15">
        <v>3</v>
      </c>
      <c r="AR166" s="15"/>
      <c r="AS166" s="15" t="s">
        <v>328</v>
      </c>
      <c r="AT166" s="15" t="s">
        <v>328</v>
      </c>
      <c r="AU166" s="15"/>
      <c r="AV166" s="15">
        <v>1</v>
      </c>
      <c r="AW166" s="15">
        <v>3</v>
      </c>
      <c r="AX166" s="15">
        <v>2</v>
      </c>
      <c r="AY166" s="15"/>
      <c r="AZ166" s="15"/>
      <c r="BA166" s="15" t="s">
        <v>328</v>
      </c>
      <c r="BB166" s="15" t="s">
        <v>328</v>
      </c>
      <c r="BC166" s="15"/>
      <c r="BD166" s="15"/>
      <c r="BE166" s="15"/>
      <c r="BF166" s="15"/>
      <c r="BG166" s="15"/>
      <c r="BH166" s="15"/>
      <c r="BI166" s="15" t="s">
        <v>328</v>
      </c>
      <c r="BJ166" s="15"/>
      <c r="BK166" s="15"/>
      <c r="BL166" s="15" t="s">
        <v>328</v>
      </c>
      <c r="BM166" s="15"/>
      <c r="BN166" s="15" t="s">
        <v>328</v>
      </c>
      <c r="BO166" s="15"/>
      <c r="BP166" s="15"/>
      <c r="BQ166" s="15"/>
      <c r="BR166" s="15"/>
      <c r="BS166" s="15"/>
      <c r="BT166" s="15" t="s">
        <v>328</v>
      </c>
      <c r="BU166" s="15"/>
      <c r="BV166" s="15"/>
      <c r="BW166" s="15"/>
      <c r="BX166" s="15"/>
      <c r="BY166" s="15"/>
      <c r="BZ166" s="15"/>
      <c r="CA166" s="15" t="s">
        <v>328</v>
      </c>
      <c r="CB166" s="15"/>
      <c r="CC166" s="15"/>
      <c r="CD166" s="15"/>
      <c r="CE166" s="15"/>
      <c r="CF166" s="15"/>
      <c r="CG166" s="15" t="s">
        <v>328</v>
      </c>
      <c r="CH166" s="15"/>
      <c r="CI166" s="15"/>
      <c r="CJ166" s="15"/>
      <c r="CK166" s="15"/>
      <c r="CL166" s="15">
        <v>2</v>
      </c>
      <c r="CM166" s="15">
        <v>1</v>
      </c>
      <c r="CN166" s="15">
        <v>4</v>
      </c>
      <c r="CO166" s="15">
        <v>5</v>
      </c>
      <c r="CP166" s="15">
        <v>6</v>
      </c>
      <c r="CQ166" s="15">
        <v>3</v>
      </c>
      <c r="CR166" s="15" t="s">
        <v>328</v>
      </c>
      <c r="CS166" s="15" t="s">
        <v>328</v>
      </c>
      <c r="CT166" s="15"/>
      <c r="CU166" s="15"/>
      <c r="CV166" s="15" t="s">
        <v>328</v>
      </c>
      <c r="CW166" s="15"/>
      <c r="CX166" s="15"/>
      <c r="CY166" s="15"/>
      <c r="CZ166" s="15"/>
      <c r="DA166" s="15">
        <v>4</v>
      </c>
      <c r="DB166" s="15">
        <v>1</v>
      </c>
      <c r="DC166" s="15">
        <v>6</v>
      </c>
      <c r="DD166" s="15">
        <v>5</v>
      </c>
      <c r="DE166" s="15">
        <v>2</v>
      </c>
      <c r="DF166" s="15">
        <v>3</v>
      </c>
      <c r="DG166" s="15"/>
      <c r="DH166" s="15"/>
      <c r="DI166" s="15" t="s">
        <v>328</v>
      </c>
      <c r="DJ166" s="15" t="s">
        <v>328</v>
      </c>
      <c r="DK166" s="15" t="s">
        <v>405</v>
      </c>
      <c r="DL166" s="15"/>
      <c r="DM166" s="15" t="s">
        <v>492</v>
      </c>
      <c r="DN166" s="14" t="s">
        <v>333</v>
      </c>
      <c r="DO166" s="15"/>
      <c r="DP166" s="15" t="s">
        <v>328</v>
      </c>
      <c r="DQ166" s="15" t="s">
        <v>328</v>
      </c>
      <c r="DR166" s="15" t="s">
        <v>397</v>
      </c>
      <c r="DS166" s="15"/>
      <c r="DT166" s="15"/>
      <c r="DU166" s="15" t="s">
        <v>610</v>
      </c>
      <c r="DV166" s="14" t="s">
        <v>411</v>
      </c>
      <c r="DW166" s="15" t="s">
        <v>328</v>
      </c>
      <c r="DX166" s="15"/>
      <c r="DY166" s="15"/>
      <c r="DZ166" s="15"/>
      <c r="EA166" s="15"/>
      <c r="EB166" s="15"/>
      <c r="EC166" s="102" t="s">
        <v>497</v>
      </c>
      <c r="ED166" s="99"/>
    </row>
    <row r="167" spans="1:134" x14ac:dyDescent="0.25">
      <c r="A167" s="50" t="s">
        <v>1404</v>
      </c>
      <c r="B167" s="61" t="s">
        <v>614</v>
      </c>
      <c r="C167" s="15" t="s">
        <v>328</v>
      </c>
      <c r="D167" s="15"/>
      <c r="E167" s="15">
        <v>44</v>
      </c>
      <c r="F167" s="15" t="s">
        <v>329</v>
      </c>
      <c r="G167" s="15" t="s">
        <v>355</v>
      </c>
      <c r="H167" s="15" t="s">
        <v>730</v>
      </c>
      <c r="I167" s="15" t="s">
        <v>1225</v>
      </c>
      <c r="J167" s="15" t="s">
        <v>1280</v>
      </c>
      <c r="K167" s="15">
        <v>15</v>
      </c>
      <c r="L167" s="15">
        <v>4</v>
      </c>
      <c r="M167" s="15">
        <v>2</v>
      </c>
      <c r="N167" s="15"/>
      <c r="O167" s="15">
        <v>20</v>
      </c>
      <c r="P167" s="15">
        <v>2</v>
      </c>
      <c r="Q167" s="15"/>
      <c r="R167" s="15"/>
      <c r="S167" s="15"/>
      <c r="T167" s="15"/>
      <c r="U167" s="15"/>
      <c r="V167" s="15"/>
      <c r="W167" s="15"/>
      <c r="X167" s="15"/>
      <c r="Y167" s="15"/>
      <c r="Z167" s="15" t="s">
        <v>328</v>
      </c>
      <c r="AA167" s="15"/>
      <c r="AB167" s="15"/>
      <c r="AC167" s="15"/>
      <c r="AD167" s="15" t="s">
        <v>328</v>
      </c>
      <c r="AE167" s="15"/>
      <c r="AF167" s="15"/>
      <c r="AG167" s="15" t="s">
        <v>328</v>
      </c>
      <c r="AH167" s="15"/>
      <c r="AI167" s="15"/>
      <c r="AJ167" s="15"/>
      <c r="AK167" s="14" t="s">
        <v>328</v>
      </c>
      <c r="AL167" s="15"/>
      <c r="AM167" s="15"/>
      <c r="AN167" s="15"/>
      <c r="AO167" s="15" t="s">
        <v>328</v>
      </c>
      <c r="AP167" s="15">
        <v>8</v>
      </c>
      <c r="AQ167" s="15">
        <v>7</v>
      </c>
      <c r="AR167" s="15"/>
      <c r="AS167" s="15" t="s">
        <v>328</v>
      </c>
      <c r="AT167" s="15" t="s">
        <v>328</v>
      </c>
      <c r="AU167" s="15"/>
      <c r="AV167" s="15">
        <v>1</v>
      </c>
      <c r="AW167" s="15">
        <v>3</v>
      </c>
      <c r="AX167" s="15">
        <v>2</v>
      </c>
      <c r="AY167" s="15"/>
      <c r="AZ167" s="15"/>
      <c r="BA167" s="15" t="s">
        <v>328</v>
      </c>
      <c r="BB167" s="15" t="s">
        <v>328</v>
      </c>
      <c r="BC167" s="15"/>
      <c r="BD167" s="15"/>
      <c r="BE167" s="15" t="s">
        <v>328</v>
      </c>
      <c r="BF167" s="15"/>
      <c r="BG167" s="15"/>
      <c r="BH167" s="15"/>
      <c r="BI167" s="15"/>
      <c r="BJ167" s="15"/>
      <c r="BK167" s="15"/>
      <c r="BL167" s="15" t="s">
        <v>328</v>
      </c>
      <c r="BM167" s="15"/>
      <c r="BN167" s="15" t="s">
        <v>328</v>
      </c>
      <c r="BO167" s="15"/>
      <c r="BP167" s="15" t="s">
        <v>328</v>
      </c>
      <c r="BQ167" s="15"/>
      <c r="BR167" s="15"/>
      <c r="BS167" s="15"/>
      <c r="BT167" s="15" t="s">
        <v>328</v>
      </c>
      <c r="BU167" s="15"/>
      <c r="BV167" s="15"/>
      <c r="BW167" s="15"/>
      <c r="BX167" s="15"/>
      <c r="BY167" s="15"/>
      <c r="BZ167" s="15" t="s">
        <v>328</v>
      </c>
      <c r="CA167" s="15" t="s">
        <v>328</v>
      </c>
      <c r="CB167" s="15"/>
      <c r="CC167" s="15"/>
      <c r="CD167" s="15"/>
      <c r="CE167" s="15"/>
      <c r="CF167" s="15"/>
      <c r="CG167" s="15" t="s">
        <v>328</v>
      </c>
      <c r="CH167" s="15"/>
      <c r="CI167" s="15"/>
      <c r="CJ167" s="15"/>
      <c r="CK167" s="15" t="s">
        <v>328</v>
      </c>
      <c r="CL167" s="15">
        <v>6</v>
      </c>
      <c r="CM167" s="15">
        <v>1</v>
      </c>
      <c r="CN167" s="15">
        <v>3</v>
      </c>
      <c r="CO167" s="15">
        <v>4</v>
      </c>
      <c r="CP167" s="15">
        <v>5</v>
      </c>
      <c r="CQ167" s="15">
        <v>2</v>
      </c>
      <c r="CR167" s="15" t="s">
        <v>328</v>
      </c>
      <c r="CS167" s="15" t="s">
        <v>328</v>
      </c>
      <c r="CT167" s="15"/>
      <c r="CU167" s="15" t="s">
        <v>328</v>
      </c>
      <c r="CV167" s="15"/>
      <c r="CW167" s="15" t="s">
        <v>328</v>
      </c>
      <c r="CX167" s="15"/>
      <c r="CY167" s="15"/>
      <c r="CZ167" s="15"/>
      <c r="DA167" s="15">
        <v>2</v>
      </c>
      <c r="DB167" s="15">
        <v>3</v>
      </c>
      <c r="DC167" s="15">
        <v>4</v>
      </c>
      <c r="DD167" s="15">
        <v>5</v>
      </c>
      <c r="DE167" s="15">
        <v>1</v>
      </c>
      <c r="DF167" s="15">
        <v>6</v>
      </c>
      <c r="DG167" s="15"/>
      <c r="DH167" s="15"/>
      <c r="DI167" s="15" t="s">
        <v>328</v>
      </c>
      <c r="DJ167" s="15" t="s">
        <v>328</v>
      </c>
      <c r="DK167" s="15" t="s">
        <v>405</v>
      </c>
      <c r="DL167" s="15"/>
      <c r="DM167" s="14" t="s">
        <v>432</v>
      </c>
      <c r="DN167" s="14" t="s">
        <v>333</v>
      </c>
      <c r="DO167" s="15"/>
      <c r="DP167" s="15" t="s">
        <v>328</v>
      </c>
      <c r="DQ167" s="15" t="s">
        <v>328</v>
      </c>
      <c r="DR167" s="15" t="s">
        <v>437</v>
      </c>
      <c r="DS167" s="15"/>
      <c r="DT167" s="15"/>
      <c r="DU167" s="15" t="s">
        <v>410</v>
      </c>
      <c r="DV167" s="15" t="s">
        <v>438</v>
      </c>
      <c r="DW167" s="15"/>
      <c r="DX167" s="15" t="s">
        <v>328</v>
      </c>
      <c r="DY167" s="15" t="s">
        <v>328</v>
      </c>
      <c r="DZ167" s="15" t="s">
        <v>397</v>
      </c>
      <c r="EA167" s="15"/>
      <c r="EB167" s="15" t="s">
        <v>432</v>
      </c>
      <c r="EC167" s="102" t="s">
        <v>497</v>
      </c>
      <c r="ED167" s="99"/>
    </row>
    <row r="168" spans="1:134" x14ac:dyDescent="0.25">
      <c r="A168" s="50" t="s">
        <v>1404</v>
      </c>
      <c r="B168" s="61" t="s">
        <v>615</v>
      </c>
      <c r="C168" s="15" t="s">
        <v>328</v>
      </c>
      <c r="D168" s="15"/>
      <c r="E168" s="15">
        <v>35</v>
      </c>
      <c r="F168" s="15" t="s">
        <v>329</v>
      </c>
      <c r="G168" s="15" t="s">
        <v>399</v>
      </c>
      <c r="H168" s="15" t="s">
        <v>380</v>
      </c>
      <c r="I168" s="15" t="s">
        <v>1188</v>
      </c>
      <c r="J168" s="15" t="s">
        <v>1188</v>
      </c>
      <c r="K168" s="15">
        <v>2</v>
      </c>
      <c r="L168" s="15">
        <v>1</v>
      </c>
      <c r="M168" s="15"/>
      <c r="N168" s="15"/>
      <c r="O168" s="15"/>
      <c r="P168" s="15">
        <v>1</v>
      </c>
      <c r="Q168" s="15"/>
      <c r="R168" s="15"/>
      <c r="S168" s="15"/>
      <c r="T168" s="15"/>
      <c r="U168" s="15"/>
      <c r="V168" s="15"/>
      <c r="W168" s="15"/>
      <c r="X168" s="15"/>
      <c r="Y168" s="15"/>
      <c r="Z168" s="15" t="s">
        <v>328</v>
      </c>
      <c r="AA168" s="15"/>
      <c r="AB168" s="15"/>
      <c r="AC168" s="15"/>
      <c r="AD168" s="15"/>
      <c r="AE168" s="15"/>
      <c r="AF168" s="15"/>
      <c r="AG168" s="15" t="s">
        <v>328</v>
      </c>
      <c r="AH168" s="15"/>
      <c r="AI168" s="15"/>
      <c r="AJ168" s="15" t="s">
        <v>328</v>
      </c>
      <c r="AK168" s="15"/>
      <c r="AL168" s="15"/>
      <c r="AM168" s="15"/>
      <c r="AN168" s="14" t="s">
        <v>328</v>
      </c>
      <c r="AO168" s="15"/>
      <c r="AP168" s="15">
        <v>10</v>
      </c>
      <c r="AQ168" s="15">
        <v>3</v>
      </c>
      <c r="AR168" s="15"/>
      <c r="AS168" s="15" t="s">
        <v>328</v>
      </c>
      <c r="AT168" s="15"/>
      <c r="AU168" s="15"/>
      <c r="AV168" s="15">
        <v>4</v>
      </c>
      <c r="AW168" s="15">
        <v>3</v>
      </c>
      <c r="AX168" s="15">
        <v>2</v>
      </c>
      <c r="AY168" s="15" t="s">
        <v>346</v>
      </c>
      <c r="AZ168" s="15"/>
      <c r="BA168" s="15" t="s">
        <v>328</v>
      </c>
      <c r="BB168" s="15"/>
      <c r="BC168" s="15"/>
      <c r="BD168" s="15"/>
      <c r="BE168" s="15" t="s">
        <v>328</v>
      </c>
      <c r="BF168" s="15"/>
      <c r="BG168" s="15"/>
      <c r="BH168" s="15"/>
      <c r="BI168" s="15"/>
      <c r="BJ168" s="15"/>
      <c r="BK168" s="15"/>
      <c r="BL168" s="15" t="s">
        <v>328</v>
      </c>
      <c r="BM168" s="15"/>
      <c r="BN168" s="15" t="s">
        <v>328</v>
      </c>
      <c r="BO168" s="15"/>
      <c r="BP168" s="15" t="s">
        <v>328</v>
      </c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 t="s">
        <v>332</v>
      </c>
      <c r="CG168" s="15" t="s">
        <v>328</v>
      </c>
      <c r="CH168" s="15"/>
      <c r="CI168" s="15"/>
      <c r="CJ168" s="15"/>
      <c r="CK168" s="15"/>
      <c r="CL168" s="15">
        <v>3</v>
      </c>
      <c r="CM168" s="15">
        <v>1</v>
      </c>
      <c r="CN168" s="15">
        <v>4</v>
      </c>
      <c r="CO168" s="15">
        <v>5</v>
      </c>
      <c r="CP168" s="15">
        <v>6</v>
      </c>
      <c r="CQ168" s="15">
        <v>2</v>
      </c>
      <c r="CR168" s="15"/>
      <c r="CS168" s="15" t="s">
        <v>328</v>
      </c>
      <c r="CT168" s="15" t="s">
        <v>328</v>
      </c>
      <c r="CU168" s="15" t="s">
        <v>328</v>
      </c>
      <c r="CV168" s="15"/>
      <c r="CW168" s="15" t="s">
        <v>328</v>
      </c>
      <c r="CX168" s="15"/>
      <c r="CY168" s="15"/>
      <c r="CZ168" s="15"/>
      <c r="DA168" s="15">
        <v>2</v>
      </c>
      <c r="DB168" s="15">
        <v>3</v>
      </c>
      <c r="DC168" s="15">
        <v>6</v>
      </c>
      <c r="DD168" s="15">
        <v>5</v>
      </c>
      <c r="DE168" s="15">
        <v>1</v>
      </c>
      <c r="DF168" s="15">
        <v>4</v>
      </c>
      <c r="DG168" s="15"/>
      <c r="DH168" s="15"/>
      <c r="DI168" s="15" t="s">
        <v>328</v>
      </c>
      <c r="DJ168" s="15" t="s">
        <v>328</v>
      </c>
      <c r="DK168" s="15" t="s">
        <v>618</v>
      </c>
      <c r="DL168" s="15"/>
      <c r="DM168" s="15" t="s">
        <v>916</v>
      </c>
      <c r="DN168" s="14" t="s">
        <v>333</v>
      </c>
      <c r="DO168" s="15"/>
      <c r="DP168" s="15" t="s">
        <v>328</v>
      </c>
      <c r="DQ168" s="15" t="s">
        <v>328</v>
      </c>
      <c r="DR168" s="15" t="s">
        <v>420</v>
      </c>
      <c r="DS168" s="15"/>
      <c r="DT168" s="15"/>
      <c r="DU168" s="15" t="s">
        <v>491</v>
      </c>
      <c r="DV168" s="15" t="s">
        <v>616</v>
      </c>
      <c r="DW168" s="15"/>
      <c r="DX168" s="15" t="s">
        <v>328</v>
      </c>
      <c r="DY168" s="15" t="s">
        <v>328</v>
      </c>
      <c r="DZ168" s="15" t="s">
        <v>420</v>
      </c>
      <c r="EA168" s="15"/>
      <c r="EB168" s="15" t="s">
        <v>432</v>
      </c>
      <c r="EC168" s="102" t="s">
        <v>497</v>
      </c>
      <c r="ED168" s="99"/>
    </row>
    <row r="169" spans="1:134" x14ac:dyDescent="0.25">
      <c r="A169" s="50" t="s">
        <v>1404</v>
      </c>
      <c r="B169" s="61" t="s">
        <v>617</v>
      </c>
      <c r="C169" s="15" t="s">
        <v>328</v>
      </c>
      <c r="D169" s="15"/>
      <c r="E169" s="15">
        <v>40</v>
      </c>
      <c r="F169" s="15" t="s">
        <v>329</v>
      </c>
      <c r="G169" s="15" t="s">
        <v>399</v>
      </c>
      <c r="H169" s="15" t="s">
        <v>760</v>
      </c>
      <c r="I169" s="15" t="s">
        <v>1256</v>
      </c>
      <c r="J169" s="15" t="s">
        <v>1256</v>
      </c>
      <c r="K169" s="15">
        <v>5</v>
      </c>
      <c r="L169" s="15">
        <v>2</v>
      </c>
      <c r="M169" s="15">
        <v>2</v>
      </c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 t="s">
        <v>418</v>
      </c>
      <c r="AJ169" s="15"/>
      <c r="AK169" s="14" t="s">
        <v>328</v>
      </c>
      <c r="AL169" s="15"/>
      <c r="AM169" s="15"/>
      <c r="AN169" s="15" t="s">
        <v>328</v>
      </c>
      <c r="AO169" s="15"/>
      <c r="AP169" s="15">
        <v>5</v>
      </c>
      <c r="AQ169" s="15">
        <v>6</v>
      </c>
      <c r="AR169" s="15"/>
      <c r="AS169" s="15" t="s">
        <v>328</v>
      </c>
      <c r="AT169" s="15"/>
      <c r="AU169" s="15"/>
      <c r="AV169" s="15">
        <v>1</v>
      </c>
      <c r="AW169" s="15">
        <v>3</v>
      </c>
      <c r="AX169" s="15">
        <v>2</v>
      </c>
      <c r="AY169" s="15"/>
      <c r="AZ169" s="15" t="s">
        <v>328</v>
      </c>
      <c r="BA169" s="15"/>
      <c r="BB169" s="15" t="s">
        <v>328</v>
      </c>
      <c r="BC169" s="15"/>
      <c r="BD169" s="15"/>
      <c r="BE169" s="15" t="s">
        <v>328</v>
      </c>
      <c r="BF169" s="15"/>
      <c r="BG169" s="15"/>
      <c r="BH169" s="15"/>
      <c r="BI169" s="15"/>
      <c r="BJ169" s="15"/>
      <c r="BK169" s="15"/>
      <c r="BL169" s="15" t="s">
        <v>328</v>
      </c>
      <c r="BM169" s="15"/>
      <c r="BN169" s="15" t="s">
        <v>328</v>
      </c>
      <c r="BO169" s="15"/>
      <c r="BP169" s="15"/>
      <c r="BQ169" s="15"/>
      <c r="BR169" s="15"/>
      <c r="BS169" s="15"/>
      <c r="BT169" s="15" t="s">
        <v>328</v>
      </c>
      <c r="BU169" s="15"/>
      <c r="BV169" s="15"/>
      <c r="BW169" s="15"/>
      <c r="BX169" s="15"/>
      <c r="BY169" s="15"/>
      <c r="BZ169" s="15"/>
      <c r="CA169" s="15" t="s">
        <v>328</v>
      </c>
      <c r="CB169" s="15"/>
      <c r="CC169" s="15"/>
      <c r="CD169" s="15"/>
      <c r="CE169" s="15"/>
      <c r="CF169" s="15"/>
      <c r="CG169" s="15" t="s">
        <v>328</v>
      </c>
      <c r="CH169" s="15"/>
      <c r="CI169" s="15" t="s">
        <v>328</v>
      </c>
      <c r="CJ169" s="15"/>
      <c r="CK169" s="15"/>
      <c r="CL169" s="15">
        <v>2</v>
      </c>
      <c r="CM169" s="15">
        <v>1</v>
      </c>
      <c r="CN169" s="15">
        <v>4</v>
      </c>
      <c r="CO169" s="15">
        <v>6</v>
      </c>
      <c r="CP169" s="15">
        <v>5</v>
      </c>
      <c r="CQ169" s="15">
        <v>3</v>
      </c>
      <c r="CR169" s="15" t="s">
        <v>328</v>
      </c>
      <c r="CS169" s="15"/>
      <c r="CT169" s="15"/>
      <c r="CU169" s="15"/>
      <c r="CV169" s="15" t="s">
        <v>328</v>
      </c>
      <c r="CW169" s="15"/>
      <c r="CX169" s="15"/>
      <c r="CY169" s="15" t="s">
        <v>328</v>
      </c>
      <c r="CZ169" s="15" t="s">
        <v>404</v>
      </c>
      <c r="DA169" s="15"/>
      <c r="DB169" s="15"/>
      <c r="DC169" s="15"/>
      <c r="DD169" s="15"/>
      <c r="DE169" s="15"/>
      <c r="DF169" s="15"/>
      <c r="DG169" s="15"/>
      <c r="DH169" s="15"/>
      <c r="DI169" s="15" t="s">
        <v>328</v>
      </c>
      <c r="DJ169" s="15" t="s">
        <v>328</v>
      </c>
      <c r="DK169" s="15" t="s">
        <v>618</v>
      </c>
      <c r="DL169" s="15"/>
      <c r="DM169" s="15" t="s">
        <v>494</v>
      </c>
      <c r="DN169" s="14" t="s">
        <v>624</v>
      </c>
      <c r="DO169" s="15"/>
      <c r="DP169" s="15" t="s">
        <v>328</v>
      </c>
      <c r="DQ169" s="15" t="s">
        <v>328</v>
      </c>
      <c r="DR169" s="15" t="s">
        <v>504</v>
      </c>
      <c r="DS169" s="15"/>
      <c r="DT169" s="15"/>
      <c r="DU169" s="15" t="s">
        <v>491</v>
      </c>
      <c r="DV169" s="15" t="s">
        <v>619</v>
      </c>
      <c r="DW169" s="15"/>
      <c r="DX169" s="15" t="s">
        <v>328</v>
      </c>
      <c r="DY169" s="15" t="s">
        <v>328</v>
      </c>
      <c r="DZ169" s="15" t="s">
        <v>620</v>
      </c>
      <c r="EA169" s="15"/>
      <c r="EB169" s="15" t="s">
        <v>621</v>
      </c>
      <c r="EC169" s="102" t="s">
        <v>686</v>
      </c>
      <c r="ED169" s="99"/>
    </row>
    <row r="170" spans="1:134" x14ac:dyDescent="0.25">
      <c r="A170" s="50" t="s">
        <v>1404</v>
      </c>
      <c r="B170" s="61" t="s">
        <v>622</v>
      </c>
      <c r="C170" s="15" t="s">
        <v>328</v>
      </c>
      <c r="D170" s="15"/>
      <c r="E170" s="15">
        <v>53</v>
      </c>
      <c r="F170" s="15" t="s">
        <v>329</v>
      </c>
      <c r="G170" s="15" t="s">
        <v>357</v>
      </c>
      <c r="H170" s="15" t="s">
        <v>737</v>
      </c>
      <c r="I170" s="15" t="s">
        <v>1211</v>
      </c>
      <c r="J170" s="15" t="s">
        <v>1280</v>
      </c>
      <c r="K170" s="15">
        <v>23</v>
      </c>
      <c r="L170" s="15">
        <v>5</v>
      </c>
      <c r="M170" s="15">
        <v>2</v>
      </c>
      <c r="N170" s="15"/>
      <c r="O170" s="15">
        <v>6</v>
      </c>
      <c r="P170" s="15">
        <v>2</v>
      </c>
      <c r="Q170" s="15">
        <v>1</v>
      </c>
      <c r="R170" s="15"/>
      <c r="S170" s="15"/>
      <c r="T170" s="15"/>
      <c r="U170" s="15"/>
      <c r="V170" s="15"/>
      <c r="W170" s="15"/>
      <c r="X170" s="15"/>
      <c r="Y170" s="15"/>
      <c r="Z170" s="15" t="s">
        <v>328</v>
      </c>
      <c r="AA170" s="15"/>
      <c r="AB170" s="15" t="s">
        <v>328</v>
      </c>
      <c r="AC170" s="15"/>
      <c r="AD170" s="15"/>
      <c r="AE170" s="15" t="s">
        <v>328</v>
      </c>
      <c r="AF170" s="15"/>
      <c r="AG170" s="15" t="s">
        <v>328</v>
      </c>
      <c r="AH170" s="15"/>
      <c r="AI170" s="15" t="s">
        <v>418</v>
      </c>
      <c r="AJ170" s="15" t="s">
        <v>328</v>
      </c>
      <c r="AK170" s="15"/>
      <c r="AL170" s="15"/>
      <c r="AM170" s="14" t="s">
        <v>328</v>
      </c>
      <c r="AN170" s="15"/>
      <c r="AO170" s="15"/>
      <c r="AP170" s="15">
        <v>6</v>
      </c>
      <c r="AQ170" s="15">
        <v>8</v>
      </c>
      <c r="AR170" s="15"/>
      <c r="AS170" s="15" t="s">
        <v>328</v>
      </c>
      <c r="AT170" s="15" t="s">
        <v>328</v>
      </c>
      <c r="AU170" s="15"/>
      <c r="AV170" s="15">
        <v>2</v>
      </c>
      <c r="AW170" s="15">
        <v>3</v>
      </c>
      <c r="AX170" s="15">
        <v>4</v>
      </c>
      <c r="AY170" s="15" t="s">
        <v>346</v>
      </c>
      <c r="AZ170" s="15"/>
      <c r="BA170" s="15" t="s">
        <v>328</v>
      </c>
      <c r="BB170" s="15"/>
      <c r="BC170" s="15"/>
      <c r="BD170" s="15"/>
      <c r="BE170" s="15"/>
      <c r="BF170" s="15"/>
      <c r="BG170" s="15"/>
      <c r="BH170" s="15"/>
      <c r="BI170" s="15" t="s">
        <v>328</v>
      </c>
      <c r="BJ170" s="15"/>
      <c r="BK170" s="15"/>
      <c r="BL170" s="15" t="s">
        <v>328</v>
      </c>
      <c r="BM170" s="15"/>
      <c r="BN170" s="15" t="s">
        <v>328</v>
      </c>
      <c r="BO170" s="15"/>
      <c r="BP170" s="15" t="s">
        <v>328</v>
      </c>
      <c r="BQ170" s="15"/>
      <c r="BR170" s="15"/>
      <c r="BS170" s="15"/>
      <c r="BT170" s="15" t="s">
        <v>328</v>
      </c>
      <c r="BU170" s="15" t="s">
        <v>328</v>
      </c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 t="s">
        <v>332</v>
      </c>
      <c r="CG170" s="15" t="s">
        <v>328</v>
      </c>
      <c r="CH170" s="15"/>
      <c r="CI170" s="15" t="s">
        <v>328</v>
      </c>
      <c r="CJ170" s="15"/>
      <c r="CK170" s="15"/>
      <c r="CL170" s="15">
        <v>3</v>
      </c>
      <c r="CM170" s="15">
        <v>2</v>
      </c>
      <c r="CN170" s="15">
        <v>5</v>
      </c>
      <c r="CO170" s="15">
        <v>4</v>
      </c>
      <c r="CP170" s="15">
        <v>6</v>
      </c>
      <c r="CQ170" s="15">
        <v>1</v>
      </c>
      <c r="CR170" s="15" t="s">
        <v>328</v>
      </c>
      <c r="CS170" s="15" t="s">
        <v>328</v>
      </c>
      <c r="CT170" s="15"/>
      <c r="CU170" s="15"/>
      <c r="CV170" s="15" t="s">
        <v>328</v>
      </c>
      <c r="CW170" s="15"/>
      <c r="CX170" s="15"/>
      <c r="CY170" s="15" t="s">
        <v>328</v>
      </c>
      <c r="CZ170" s="15" t="s">
        <v>404</v>
      </c>
      <c r="DA170" s="15"/>
      <c r="DB170" s="15"/>
      <c r="DC170" s="15"/>
      <c r="DD170" s="15"/>
      <c r="DE170" s="15"/>
      <c r="DF170" s="15"/>
      <c r="DG170" s="15"/>
      <c r="DH170" s="15"/>
      <c r="DI170" s="15" t="s">
        <v>328</v>
      </c>
      <c r="DJ170" s="15" t="s">
        <v>328</v>
      </c>
      <c r="DK170" s="14" t="s">
        <v>397</v>
      </c>
      <c r="DL170" s="15"/>
      <c r="DM170" s="14" t="s">
        <v>432</v>
      </c>
      <c r="DN170" s="15" t="s">
        <v>411</v>
      </c>
      <c r="DO170" s="15"/>
      <c r="DP170" s="15" t="s">
        <v>328</v>
      </c>
      <c r="DQ170" s="15" t="s">
        <v>328</v>
      </c>
      <c r="DR170" s="15" t="s">
        <v>489</v>
      </c>
      <c r="DS170" s="15"/>
      <c r="DT170" s="15"/>
      <c r="DU170" s="15" t="s">
        <v>489</v>
      </c>
      <c r="DV170" s="15" t="s">
        <v>411</v>
      </c>
      <c r="DW170" s="15"/>
      <c r="DX170" s="15" t="s">
        <v>328</v>
      </c>
      <c r="DY170" s="15" t="s">
        <v>328</v>
      </c>
      <c r="DZ170" s="15" t="s">
        <v>397</v>
      </c>
      <c r="EA170" s="15"/>
      <c r="EB170" s="15" t="s">
        <v>432</v>
      </c>
      <c r="EC170" s="102" t="s">
        <v>333</v>
      </c>
      <c r="ED170" s="99"/>
    </row>
    <row r="171" spans="1:134" x14ac:dyDescent="0.25">
      <c r="A171" s="50" t="s">
        <v>1404</v>
      </c>
      <c r="B171" s="61" t="s">
        <v>623</v>
      </c>
      <c r="C171" s="15" t="s">
        <v>328</v>
      </c>
      <c r="D171" s="15"/>
      <c r="E171" s="15">
        <v>35</v>
      </c>
      <c r="F171" s="15" t="s">
        <v>329</v>
      </c>
      <c r="G171" s="15" t="s">
        <v>399</v>
      </c>
      <c r="H171" s="15" t="s">
        <v>1178</v>
      </c>
      <c r="I171" s="15" t="s">
        <v>1295</v>
      </c>
      <c r="J171" s="15" t="s">
        <v>1283</v>
      </c>
      <c r="K171" s="15">
        <v>5</v>
      </c>
      <c r="L171" s="15">
        <v>1</v>
      </c>
      <c r="M171" s="15"/>
      <c r="N171" s="15"/>
      <c r="O171" s="15"/>
      <c r="P171" s="15">
        <v>1</v>
      </c>
      <c r="Q171" s="15"/>
      <c r="R171" s="15"/>
      <c r="S171" s="15"/>
      <c r="T171" s="15"/>
      <c r="U171" s="15"/>
      <c r="V171" s="15"/>
      <c r="W171" s="15"/>
      <c r="X171" s="15"/>
      <c r="Y171" s="15"/>
      <c r="Z171" s="15" t="s">
        <v>328</v>
      </c>
      <c r="AA171" s="15"/>
      <c r="AB171" s="15"/>
      <c r="AC171" s="15"/>
      <c r="AD171" s="15"/>
      <c r="AE171" s="15"/>
      <c r="AF171" s="15"/>
      <c r="AG171" s="15" t="s">
        <v>328</v>
      </c>
      <c r="AH171" s="15"/>
      <c r="AI171" s="15"/>
      <c r="AJ171" s="15" t="s">
        <v>328</v>
      </c>
      <c r="AK171" s="15"/>
      <c r="AL171" s="15"/>
      <c r="AM171" s="14" t="s">
        <v>328</v>
      </c>
      <c r="AN171" s="15"/>
      <c r="AO171" s="15"/>
      <c r="AP171" s="15">
        <v>10</v>
      </c>
      <c r="AQ171" s="15">
        <v>7</v>
      </c>
      <c r="AR171" s="15" t="s">
        <v>328</v>
      </c>
      <c r="AS171" s="15" t="s">
        <v>328</v>
      </c>
      <c r="AT171" s="15"/>
      <c r="AU171" s="15"/>
      <c r="AV171" s="15">
        <v>1</v>
      </c>
      <c r="AW171" s="15">
        <v>3</v>
      </c>
      <c r="AX171" s="15">
        <v>2</v>
      </c>
      <c r="AY171" s="15"/>
      <c r="AZ171" s="15"/>
      <c r="BA171" s="15" t="s">
        <v>328</v>
      </c>
      <c r="BB171" s="15"/>
      <c r="BC171" s="15"/>
      <c r="BD171" s="15"/>
      <c r="BE171" s="15"/>
      <c r="BF171" s="15"/>
      <c r="BG171" s="15"/>
      <c r="BH171" s="15"/>
      <c r="BI171" s="15" t="s">
        <v>328</v>
      </c>
      <c r="BJ171" s="15"/>
      <c r="BK171" s="15"/>
      <c r="BL171" s="15" t="s">
        <v>328</v>
      </c>
      <c r="BM171" s="15"/>
      <c r="BN171" s="15" t="s">
        <v>328</v>
      </c>
      <c r="BO171" s="15"/>
      <c r="BP171" s="15" t="s">
        <v>328</v>
      </c>
      <c r="BQ171" s="15"/>
      <c r="BR171" s="15"/>
      <c r="BS171" s="15"/>
      <c r="BT171" s="15"/>
      <c r="BU171" s="15" t="s">
        <v>328</v>
      </c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 t="s">
        <v>332</v>
      </c>
      <c r="CG171" s="15" t="s">
        <v>328</v>
      </c>
      <c r="CH171" s="15"/>
      <c r="CI171" s="15" t="s">
        <v>328</v>
      </c>
      <c r="CJ171" s="15"/>
      <c r="CK171" s="15" t="s">
        <v>328</v>
      </c>
      <c r="CL171" s="15">
        <v>4</v>
      </c>
      <c r="CM171" s="15">
        <v>1</v>
      </c>
      <c r="CN171" s="15">
        <v>3</v>
      </c>
      <c r="CO171" s="15">
        <v>6</v>
      </c>
      <c r="CP171" s="15">
        <v>5</v>
      </c>
      <c r="CQ171" s="15">
        <v>2</v>
      </c>
      <c r="CR171" s="15" t="s">
        <v>328</v>
      </c>
      <c r="CS171" s="15"/>
      <c r="CT171" s="15"/>
      <c r="CU171" s="15"/>
      <c r="CV171" s="15" t="s">
        <v>328</v>
      </c>
      <c r="CW171" s="15"/>
      <c r="CX171" s="15"/>
      <c r="CY171" s="15"/>
      <c r="CZ171" s="15"/>
      <c r="DA171" s="15">
        <v>2</v>
      </c>
      <c r="DB171" s="15">
        <v>3</v>
      </c>
      <c r="DC171" s="15">
        <v>6</v>
      </c>
      <c r="DD171" s="15">
        <v>5</v>
      </c>
      <c r="DE171" s="15">
        <v>1</v>
      </c>
      <c r="DF171" s="15">
        <v>4</v>
      </c>
      <c r="DG171" s="15"/>
      <c r="DH171" s="15"/>
      <c r="DI171" s="15" t="s">
        <v>328</v>
      </c>
      <c r="DJ171" s="15" t="s">
        <v>328</v>
      </c>
      <c r="DK171" s="15" t="s">
        <v>618</v>
      </c>
      <c r="DL171" s="15"/>
      <c r="DM171" s="15" t="s">
        <v>916</v>
      </c>
      <c r="DN171" s="14" t="s">
        <v>624</v>
      </c>
      <c r="DO171" s="15"/>
      <c r="DP171" s="15" t="s">
        <v>328</v>
      </c>
      <c r="DQ171" s="15" t="s">
        <v>328</v>
      </c>
      <c r="DR171" s="15" t="s">
        <v>437</v>
      </c>
      <c r="DS171" s="15"/>
      <c r="DT171" s="15"/>
      <c r="DU171" s="15" t="s">
        <v>491</v>
      </c>
      <c r="DV171" s="15" t="s">
        <v>625</v>
      </c>
      <c r="DW171" s="15"/>
      <c r="DX171" s="15" t="s">
        <v>328</v>
      </c>
      <c r="DY171" s="15" t="s">
        <v>328</v>
      </c>
      <c r="DZ171" s="15" t="s">
        <v>397</v>
      </c>
      <c r="EA171" s="15"/>
      <c r="EB171" s="15" t="s">
        <v>626</v>
      </c>
      <c r="EC171" s="102" t="s">
        <v>686</v>
      </c>
      <c r="ED171" s="99"/>
    </row>
    <row r="172" spans="1:134" x14ac:dyDescent="0.25">
      <c r="A172" s="50" t="s">
        <v>1404</v>
      </c>
      <c r="B172" s="61" t="s">
        <v>627</v>
      </c>
      <c r="C172" s="15" t="s">
        <v>328</v>
      </c>
      <c r="D172" s="15"/>
      <c r="E172" s="15">
        <v>55</v>
      </c>
      <c r="F172" s="15" t="s">
        <v>329</v>
      </c>
      <c r="G172" s="15" t="s">
        <v>399</v>
      </c>
      <c r="H172" s="15" t="s">
        <v>780</v>
      </c>
      <c r="I172" s="18" t="s">
        <v>1257</v>
      </c>
      <c r="J172" s="15" t="s">
        <v>1280</v>
      </c>
      <c r="K172" s="15">
        <v>25</v>
      </c>
      <c r="L172" s="15">
        <v>3</v>
      </c>
      <c r="M172" s="15"/>
      <c r="N172" s="15"/>
      <c r="O172" s="15"/>
      <c r="P172" s="15">
        <v>3</v>
      </c>
      <c r="Q172" s="15"/>
      <c r="R172" s="15"/>
      <c r="S172" s="15"/>
      <c r="T172" s="15"/>
      <c r="U172" s="15"/>
      <c r="V172" s="15"/>
      <c r="W172" s="15"/>
      <c r="X172" s="15"/>
      <c r="Y172" s="15"/>
      <c r="Z172" s="15" t="s">
        <v>328</v>
      </c>
      <c r="AA172" s="15"/>
      <c r="AB172" s="15"/>
      <c r="AC172" s="15"/>
      <c r="AD172" s="15"/>
      <c r="AE172" s="15"/>
      <c r="AF172" s="15"/>
      <c r="AG172" s="15" t="s">
        <v>328</v>
      </c>
      <c r="AH172" s="15"/>
      <c r="AI172" s="15"/>
      <c r="AJ172" s="15" t="s">
        <v>328</v>
      </c>
      <c r="AK172" s="15"/>
      <c r="AL172" s="15"/>
      <c r="AM172" s="14" t="s">
        <v>328</v>
      </c>
      <c r="AN172" s="15"/>
      <c r="AO172" s="15"/>
      <c r="AP172" s="15">
        <v>10</v>
      </c>
      <c r="AQ172" s="15">
        <v>8</v>
      </c>
      <c r="AR172" s="15"/>
      <c r="AS172" s="15" t="s">
        <v>328</v>
      </c>
      <c r="AT172" s="15"/>
      <c r="AU172" s="15"/>
      <c r="AV172" s="15">
        <v>4</v>
      </c>
      <c r="AW172" s="15">
        <v>3</v>
      </c>
      <c r="AX172" s="15">
        <v>2</v>
      </c>
      <c r="AY172" s="15" t="s">
        <v>346</v>
      </c>
      <c r="AZ172" s="15"/>
      <c r="BA172" s="15" t="s">
        <v>328</v>
      </c>
      <c r="BB172" s="15"/>
      <c r="BC172" s="15" t="s">
        <v>328</v>
      </c>
      <c r="BD172" s="15"/>
      <c r="BE172" s="15"/>
      <c r="BF172" s="15"/>
      <c r="BG172" s="15"/>
      <c r="BH172" s="15"/>
      <c r="BI172" s="15"/>
      <c r="BJ172" s="15"/>
      <c r="BK172" s="15"/>
      <c r="BL172" s="15" t="s">
        <v>328</v>
      </c>
      <c r="BM172" s="15"/>
      <c r="BN172" s="15" t="s">
        <v>328</v>
      </c>
      <c r="BO172" s="15"/>
      <c r="BP172" s="15"/>
      <c r="BQ172" s="15"/>
      <c r="BR172" s="15"/>
      <c r="BS172" s="15"/>
      <c r="BT172" s="15" t="s">
        <v>328</v>
      </c>
      <c r="BU172" s="15" t="s">
        <v>328</v>
      </c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 t="s">
        <v>332</v>
      </c>
      <c r="CG172" s="15" t="s">
        <v>328</v>
      </c>
      <c r="CH172" s="15"/>
      <c r="CI172" s="15"/>
      <c r="CJ172" s="15"/>
      <c r="CK172" s="15" t="s">
        <v>328</v>
      </c>
      <c r="CL172" s="15">
        <v>4</v>
      </c>
      <c r="CM172" s="15">
        <v>1</v>
      </c>
      <c r="CN172" s="15">
        <v>3</v>
      </c>
      <c r="CO172" s="15">
        <v>5</v>
      </c>
      <c r="CP172" s="15">
        <v>6</v>
      </c>
      <c r="CQ172" s="15">
        <v>2</v>
      </c>
      <c r="CR172" s="15" t="s">
        <v>328</v>
      </c>
      <c r="CS172" s="15" t="s">
        <v>328</v>
      </c>
      <c r="CT172" s="15"/>
      <c r="CU172" s="15"/>
      <c r="CV172" s="15" t="s">
        <v>328</v>
      </c>
      <c r="CW172" s="15" t="s">
        <v>328</v>
      </c>
      <c r="CX172" s="15"/>
      <c r="CY172" s="15" t="s">
        <v>328</v>
      </c>
      <c r="CZ172" s="15" t="s">
        <v>404</v>
      </c>
      <c r="DA172" s="15"/>
      <c r="DB172" s="15"/>
      <c r="DC172" s="15"/>
      <c r="DD172" s="15"/>
      <c r="DE172" s="15"/>
      <c r="DF172" s="15"/>
      <c r="DG172" s="15"/>
      <c r="DH172" s="15"/>
      <c r="DI172" s="15" t="s">
        <v>328</v>
      </c>
      <c r="DJ172" s="15" t="s">
        <v>328</v>
      </c>
      <c r="DK172" s="14" t="s">
        <v>397</v>
      </c>
      <c r="DL172" s="15"/>
      <c r="DM172" s="14" t="s">
        <v>432</v>
      </c>
      <c r="DN172" s="15" t="s">
        <v>411</v>
      </c>
      <c r="DO172" s="15"/>
      <c r="DP172" s="15" t="s">
        <v>328</v>
      </c>
      <c r="DQ172" s="15" t="s">
        <v>328</v>
      </c>
      <c r="DR172" s="15" t="s">
        <v>437</v>
      </c>
      <c r="DS172" s="15"/>
      <c r="DT172" s="15"/>
      <c r="DU172" s="15" t="s">
        <v>410</v>
      </c>
      <c r="DV172" s="15" t="s">
        <v>411</v>
      </c>
      <c r="DW172" s="15"/>
      <c r="DX172" s="15" t="s">
        <v>328</v>
      </c>
      <c r="DY172" s="15" t="s">
        <v>328</v>
      </c>
      <c r="DZ172" s="15" t="s">
        <v>397</v>
      </c>
      <c r="EA172" s="15"/>
      <c r="EB172" s="15" t="s">
        <v>432</v>
      </c>
      <c r="EC172" s="102" t="s">
        <v>497</v>
      </c>
      <c r="ED172" s="99"/>
    </row>
    <row r="173" spans="1:134" x14ac:dyDescent="0.25">
      <c r="A173" s="50" t="s">
        <v>1855</v>
      </c>
      <c r="B173" s="61" t="s">
        <v>630</v>
      </c>
      <c r="C173" s="15" t="s">
        <v>328</v>
      </c>
      <c r="D173" s="15"/>
      <c r="E173" s="15">
        <v>45</v>
      </c>
      <c r="F173" s="15" t="s">
        <v>329</v>
      </c>
      <c r="G173" s="15" t="s">
        <v>399</v>
      </c>
      <c r="H173" s="14" t="s">
        <v>751</v>
      </c>
      <c r="I173" s="14" t="s">
        <v>1227</v>
      </c>
      <c r="J173" s="14" t="s">
        <v>1183</v>
      </c>
      <c r="K173" s="15">
        <v>0</v>
      </c>
      <c r="L173" s="15">
        <v>3</v>
      </c>
      <c r="M173" s="15"/>
      <c r="N173" s="15"/>
      <c r="O173" s="15"/>
      <c r="P173" s="15"/>
      <c r="Q173" s="15"/>
      <c r="R173" s="15"/>
      <c r="S173" s="15"/>
      <c r="T173" s="15">
        <v>3</v>
      </c>
      <c r="U173" s="15"/>
      <c r="V173" s="15"/>
      <c r="W173" s="15"/>
      <c r="X173" s="15"/>
      <c r="Y173" s="15"/>
      <c r="Z173" s="15"/>
      <c r="AA173" s="15"/>
      <c r="AB173" s="15"/>
      <c r="AC173" s="15"/>
      <c r="AD173" s="15" t="s">
        <v>328</v>
      </c>
      <c r="AE173" s="15"/>
      <c r="AF173" s="15"/>
      <c r="AG173" s="15"/>
      <c r="AH173" s="15"/>
      <c r="AI173" s="15" t="s">
        <v>832</v>
      </c>
      <c r="AJ173" s="15" t="s">
        <v>328</v>
      </c>
      <c r="AK173" s="15"/>
      <c r="AL173" s="15"/>
      <c r="AM173" s="15" t="s">
        <v>328</v>
      </c>
      <c r="AN173" s="15"/>
      <c r="AO173" s="15"/>
      <c r="AP173" s="15">
        <v>10</v>
      </c>
      <c r="AQ173" s="15">
        <v>1</v>
      </c>
      <c r="AR173" s="15"/>
      <c r="AS173" s="15" t="s">
        <v>328</v>
      </c>
      <c r="AT173" s="15"/>
      <c r="AU173" s="15"/>
      <c r="AV173" s="15">
        <v>3</v>
      </c>
      <c r="AW173" s="15">
        <v>2</v>
      </c>
      <c r="AX173" s="15">
        <v>1</v>
      </c>
      <c r="AY173" s="15"/>
      <c r="AZ173" s="15" t="s">
        <v>328</v>
      </c>
      <c r="BA173" s="15"/>
      <c r="BB173" s="15"/>
      <c r="BC173" s="15"/>
      <c r="BD173" s="15"/>
      <c r="BE173" s="15" t="s">
        <v>328</v>
      </c>
      <c r="BF173" s="15"/>
      <c r="BG173" s="15"/>
      <c r="BH173" s="15"/>
      <c r="BI173" s="15"/>
      <c r="BJ173" s="15"/>
      <c r="BK173" s="15"/>
      <c r="BL173" s="15"/>
      <c r="BM173" s="15" t="s">
        <v>328</v>
      </c>
      <c r="BN173" s="15"/>
      <c r="BO173" s="15" t="s">
        <v>328</v>
      </c>
      <c r="BP173" s="15"/>
      <c r="BQ173" s="15" t="s">
        <v>328</v>
      </c>
      <c r="BR173" s="15"/>
      <c r="BS173" s="15"/>
      <c r="BT173" s="15"/>
      <c r="BU173" s="15" t="s">
        <v>328</v>
      </c>
      <c r="BV173" s="15"/>
      <c r="BW173" s="15"/>
      <c r="BX173" s="15"/>
      <c r="BY173" s="15"/>
      <c r="BZ173" s="15"/>
      <c r="CA173" s="15" t="s">
        <v>328</v>
      </c>
      <c r="CB173" s="15" t="s">
        <v>328</v>
      </c>
      <c r="CC173" s="15"/>
      <c r="CD173" s="15"/>
      <c r="CE173" s="15"/>
      <c r="CF173" s="15"/>
      <c r="CG173" s="15" t="s">
        <v>328</v>
      </c>
      <c r="CH173" s="15"/>
      <c r="CI173" s="15"/>
      <c r="CJ173" s="15"/>
      <c r="CK173" s="15"/>
      <c r="CL173" s="15">
        <v>2</v>
      </c>
      <c r="CM173" s="15">
        <v>4</v>
      </c>
      <c r="CN173" s="15">
        <v>1</v>
      </c>
      <c r="CO173" s="15">
        <v>5</v>
      </c>
      <c r="CP173" s="15">
        <v>6</v>
      </c>
      <c r="CQ173" s="15">
        <v>3</v>
      </c>
      <c r="CR173" s="15"/>
      <c r="CS173" s="15" t="s">
        <v>328</v>
      </c>
      <c r="CT173" s="15"/>
      <c r="CU173" s="15"/>
      <c r="CV173" s="15"/>
      <c r="CW173" s="15"/>
      <c r="CX173" s="15"/>
      <c r="CY173" s="15"/>
      <c r="CZ173" s="15"/>
      <c r="DA173" s="15">
        <v>1</v>
      </c>
      <c r="DB173" s="15">
        <v>6</v>
      </c>
      <c r="DC173" s="15">
        <v>3</v>
      </c>
      <c r="DD173" s="15">
        <v>4</v>
      </c>
      <c r="DE173" s="15">
        <v>2</v>
      </c>
      <c r="DF173" s="15">
        <v>5</v>
      </c>
      <c r="DG173" s="15"/>
      <c r="DH173" s="15" t="s">
        <v>328</v>
      </c>
      <c r="DI173" s="15"/>
      <c r="DJ173" s="15"/>
      <c r="DK173" s="15"/>
      <c r="DL173" s="15"/>
      <c r="DM173" s="15"/>
      <c r="DN173" s="14" t="s">
        <v>1145</v>
      </c>
      <c r="DO173" s="15"/>
      <c r="DP173" s="15" t="s">
        <v>328</v>
      </c>
      <c r="DQ173" s="15"/>
      <c r="DR173" s="15"/>
      <c r="DS173" s="15" t="s">
        <v>328</v>
      </c>
      <c r="DT173" s="15" t="s">
        <v>680</v>
      </c>
      <c r="DU173" s="15" t="s">
        <v>410</v>
      </c>
      <c r="DV173" s="15" t="s">
        <v>681</v>
      </c>
      <c r="DW173" s="15" t="s">
        <v>328</v>
      </c>
      <c r="DX173" s="15"/>
      <c r="DY173" s="15"/>
      <c r="DZ173" s="15"/>
      <c r="EA173" s="15"/>
      <c r="EB173" s="15"/>
      <c r="EC173" s="102" t="s">
        <v>1152</v>
      </c>
      <c r="ED173" s="99"/>
    </row>
    <row r="174" spans="1:134" x14ac:dyDescent="0.25">
      <c r="A174" s="50" t="s">
        <v>1855</v>
      </c>
      <c r="B174" s="61" t="s">
        <v>631</v>
      </c>
      <c r="C174" s="15" t="s">
        <v>328</v>
      </c>
      <c r="D174" s="15"/>
      <c r="E174" s="15">
        <v>23</v>
      </c>
      <c r="F174" s="15" t="s">
        <v>329</v>
      </c>
      <c r="G174" s="15" t="s">
        <v>330</v>
      </c>
      <c r="H174" s="15" t="s">
        <v>769</v>
      </c>
      <c r="I174" s="15" t="s">
        <v>1219</v>
      </c>
      <c r="J174" s="15" t="s">
        <v>1183</v>
      </c>
      <c r="K174" s="15">
        <v>5</v>
      </c>
      <c r="L174" s="15">
        <v>1</v>
      </c>
      <c r="M174" s="15">
        <v>1</v>
      </c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 t="s">
        <v>328</v>
      </c>
      <c r="AE174" s="15"/>
      <c r="AF174" s="15"/>
      <c r="AG174" s="15"/>
      <c r="AH174" s="15"/>
      <c r="AI174" s="15"/>
      <c r="AJ174" s="15" t="s">
        <v>328</v>
      </c>
      <c r="AK174" s="15"/>
      <c r="AL174" s="15"/>
      <c r="AM174" s="15"/>
      <c r="AN174" s="15"/>
      <c r="AO174" s="15" t="s">
        <v>328</v>
      </c>
      <c r="AP174" s="15">
        <v>10</v>
      </c>
      <c r="AQ174" s="15">
        <v>1</v>
      </c>
      <c r="AR174" s="15"/>
      <c r="AS174" s="15" t="s">
        <v>328</v>
      </c>
      <c r="AT174" s="15"/>
      <c r="AU174" s="15"/>
      <c r="AV174" s="15">
        <v>2</v>
      </c>
      <c r="AW174" s="15">
        <v>3</v>
      </c>
      <c r="AX174" s="15">
        <v>1</v>
      </c>
      <c r="AY174" s="15"/>
      <c r="AZ174" s="15" t="s">
        <v>328</v>
      </c>
      <c r="BA174" s="15"/>
      <c r="BB174" s="15"/>
      <c r="BC174" s="15"/>
      <c r="BD174" s="15" t="s">
        <v>328</v>
      </c>
      <c r="BE174" s="15"/>
      <c r="BF174" s="15"/>
      <c r="BG174" s="15"/>
      <c r="BH174" s="15"/>
      <c r="BI174" s="15"/>
      <c r="BJ174" s="15"/>
      <c r="BK174" s="15"/>
      <c r="BL174" s="15"/>
      <c r="BM174" s="15" t="s">
        <v>328</v>
      </c>
      <c r="BN174" s="15"/>
      <c r="BO174" s="15" t="s">
        <v>328</v>
      </c>
      <c r="BP174" s="15"/>
      <c r="BQ174" s="15" t="s">
        <v>328</v>
      </c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 t="s">
        <v>328</v>
      </c>
      <c r="CC174" s="15" t="s">
        <v>328</v>
      </c>
      <c r="CD174" s="15"/>
      <c r="CE174" s="15" t="s">
        <v>328</v>
      </c>
      <c r="CF174" s="15"/>
      <c r="CG174" s="15" t="s">
        <v>328</v>
      </c>
      <c r="CH174" s="15"/>
      <c r="CI174" s="15"/>
      <c r="CJ174" s="15"/>
      <c r="CK174" s="15"/>
      <c r="CL174" s="15">
        <v>6</v>
      </c>
      <c r="CM174" s="15">
        <v>1</v>
      </c>
      <c r="CN174" s="15">
        <v>4</v>
      </c>
      <c r="CO174" s="15">
        <v>3</v>
      </c>
      <c r="CP174" s="15">
        <v>2</v>
      </c>
      <c r="CQ174" s="15">
        <v>5</v>
      </c>
      <c r="CR174" s="15"/>
      <c r="CS174" s="15"/>
      <c r="CT174" s="15"/>
      <c r="CU174" s="15"/>
      <c r="CV174" s="15"/>
      <c r="CW174" s="15"/>
      <c r="CX174" s="15" t="s">
        <v>332</v>
      </c>
      <c r="CY174" s="15"/>
      <c r="CZ174" s="15"/>
      <c r="DA174" s="15">
        <v>1</v>
      </c>
      <c r="DB174" s="15">
        <v>2</v>
      </c>
      <c r="DC174" s="15">
        <v>3</v>
      </c>
      <c r="DD174" s="15">
        <v>4</v>
      </c>
      <c r="DE174" s="15">
        <v>5</v>
      </c>
      <c r="DF174" s="15">
        <v>6</v>
      </c>
      <c r="DG174" s="15"/>
      <c r="DH174" s="15" t="s">
        <v>328</v>
      </c>
      <c r="DI174" s="15"/>
      <c r="DJ174" s="15"/>
      <c r="DK174" s="15"/>
      <c r="DL174" s="15"/>
      <c r="DM174" s="15"/>
      <c r="DN174" s="14" t="s">
        <v>1145</v>
      </c>
      <c r="DO174" s="15" t="s">
        <v>328</v>
      </c>
      <c r="DP174" s="15"/>
      <c r="DQ174" s="15"/>
      <c r="DR174" s="15"/>
      <c r="DS174" s="15"/>
      <c r="DT174" s="15"/>
      <c r="DU174" s="15"/>
      <c r="DV174" s="15" t="s">
        <v>1144</v>
      </c>
      <c r="DW174" s="15" t="s">
        <v>328</v>
      </c>
      <c r="DX174" s="15"/>
      <c r="DY174" s="15"/>
      <c r="DZ174" s="15"/>
      <c r="EA174" s="15"/>
      <c r="EB174" s="15"/>
      <c r="EC174" s="102" t="s">
        <v>1145</v>
      </c>
      <c r="ED174" s="99"/>
    </row>
    <row r="175" spans="1:134" x14ac:dyDescent="0.25">
      <c r="A175" s="50" t="s">
        <v>1855</v>
      </c>
      <c r="B175" s="61" t="s">
        <v>632</v>
      </c>
      <c r="C175" s="15" t="s">
        <v>328</v>
      </c>
      <c r="D175" s="15"/>
      <c r="E175" s="15">
        <v>49</v>
      </c>
      <c r="F175" s="15" t="s">
        <v>329</v>
      </c>
      <c r="G175" s="15" t="s">
        <v>357</v>
      </c>
      <c r="H175" s="15" t="s">
        <v>356</v>
      </c>
      <c r="I175" s="15" t="s">
        <v>1183</v>
      </c>
      <c r="J175" s="15" t="s">
        <v>1183</v>
      </c>
      <c r="K175" s="15">
        <v>25</v>
      </c>
      <c r="L175" s="15">
        <v>2</v>
      </c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>
        <v>2</v>
      </c>
      <c r="X175" s="15"/>
      <c r="Y175" s="15"/>
      <c r="Z175" s="15"/>
      <c r="AA175" s="15"/>
      <c r="AB175" s="15" t="s">
        <v>328</v>
      </c>
      <c r="AC175" s="15"/>
      <c r="AD175" s="15" t="s">
        <v>328</v>
      </c>
      <c r="AE175" s="15"/>
      <c r="AF175" s="15"/>
      <c r="AG175" s="15"/>
      <c r="AH175" s="15"/>
      <c r="AI175" s="15"/>
      <c r="AJ175" s="15" t="s">
        <v>328</v>
      </c>
      <c r="AK175" s="15"/>
      <c r="AL175" s="15"/>
      <c r="AM175" s="15"/>
      <c r="AN175" s="15"/>
      <c r="AO175" s="15" t="s">
        <v>328</v>
      </c>
      <c r="AP175" s="15">
        <v>10</v>
      </c>
      <c r="AQ175" s="15">
        <v>1</v>
      </c>
      <c r="AR175" s="15"/>
      <c r="AS175" s="15" t="s">
        <v>328</v>
      </c>
      <c r="AT175" s="15"/>
      <c r="AU175" s="15"/>
      <c r="AV175" s="15">
        <v>1</v>
      </c>
      <c r="AW175" s="15">
        <v>3</v>
      </c>
      <c r="AX175" s="15">
        <v>2</v>
      </c>
      <c r="AY175" s="15"/>
      <c r="AZ175" s="15" t="s">
        <v>328</v>
      </c>
      <c r="BA175" s="15"/>
      <c r="BB175" s="15"/>
      <c r="BC175" s="15" t="s">
        <v>328</v>
      </c>
      <c r="BD175" s="15"/>
      <c r="BE175" s="15"/>
      <c r="BF175" s="15"/>
      <c r="BG175" s="15"/>
      <c r="BH175" s="15"/>
      <c r="BI175" s="15"/>
      <c r="BJ175" s="15"/>
      <c r="BK175" s="15"/>
      <c r="BL175" s="15"/>
      <c r="BM175" s="15" t="s">
        <v>328</v>
      </c>
      <c r="BN175" s="15" t="s">
        <v>328</v>
      </c>
      <c r="BO175" s="15"/>
      <c r="BP175" s="15"/>
      <c r="BQ175" s="15"/>
      <c r="BR175" s="15"/>
      <c r="BS175" s="15"/>
      <c r="BT175" s="15"/>
      <c r="BU175" s="15" t="s">
        <v>328</v>
      </c>
      <c r="BV175" s="15"/>
      <c r="BW175" s="15" t="s">
        <v>328</v>
      </c>
      <c r="BX175" s="15"/>
      <c r="BY175" s="15"/>
      <c r="BZ175" s="15" t="s">
        <v>328</v>
      </c>
      <c r="CA175" s="15" t="s">
        <v>328</v>
      </c>
      <c r="CB175" s="15"/>
      <c r="CC175" s="15"/>
      <c r="CD175" s="15"/>
      <c r="CE175" s="15"/>
      <c r="CF175" s="15"/>
      <c r="CG175" s="15" t="s">
        <v>328</v>
      </c>
      <c r="CH175" s="15"/>
      <c r="CI175" s="15"/>
      <c r="CJ175" s="15"/>
      <c r="CK175" s="15"/>
      <c r="CL175" s="15">
        <v>2</v>
      </c>
      <c r="CM175" s="15">
        <v>5</v>
      </c>
      <c r="CN175" s="15">
        <v>6</v>
      </c>
      <c r="CO175" s="15">
        <v>3</v>
      </c>
      <c r="CP175" s="15">
        <v>4</v>
      </c>
      <c r="CQ175" s="15">
        <v>1</v>
      </c>
      <c r="CR175" s="15"/>
      <c r="CS175" s="15" t="s">
        <v>328</v>
      </c>
      <c r="CT175" s="15"/>
      <c r="CU175" s="15"/>
      <c r="CV175" s="15"/>
      <c r="CW175" s="15"/>
      <c r="CX175" s="15"/>
      <c r="CY175" s="15"/>
      <c r="CZ175" s="15"/>
      <c r="DA175" s="15">
        <v>1</v>
      </c>
      <c r="DB175" s="15">
        <v>6</v>
      </c>
      <c r="DC175" s="15">
        <v>2</v>
      </c>
      <c r="DD175" s="15">
        <v>3</v>
      </c>
      <c r="DE175" s="15">
        <v>5</v>
      </c>
      <c r="DF175" s="15">
        <v>4</v>
      </c>
      <c r="DG175" s="15"/>
      <c r="DH175" s="15" t="s">
        <v>328</v>
      </c>
      <c r="DI175" s="15"/>
      <c r="DJ175" s="15"/>
      <c r="DK175" s="15"/>
      <c r="DL175" s="15"/>
      <c r="DM175" s="15"/>
      <c r="DN175" s="15" t="s">
        <v>411</v>
      </c>
      <c r="DO175" s="15"/>
      <c r="DP175" s="15" t="s">
        <v>328</v>
      </c>
      <c r="DQ175" s="15" t="s">
        <v>328</v>
      </c>
      <c r="DR175" s="15" t="s">
        <v>397</v>
      </c>
      <c r="DS175" s="15"/>
      <c r="DT175" s="15"/>
      <c r="DU175" s="15" t="s">
        <v>428</v>
      </c>
      <c r="DV175" s="15" t="s">
        <v>682</v>
      </c>
      <c r="DW175" s="15" t="s">
        <v>328</v>
      </c>
      <c r="DX175" s="15"/>
      <c r="DY175" s="15"/>
      <c r="DZ175" s="15"/>
      <c r="EA175" s="15"/>
      <c r="EB175" s="15"/>
      <c r="EC175" s="102" t="s">
        <v>497</v>
      </c>
      <c r="ED175" s="99"/>
    </row>
    <row r="176" spans="1:134" x14ac:dyDescent="0.25">
      <c r="A176" s="50" t="s">
        <v>1855</v>
      </c>
      <c r="B176" s="61" t="s">
        <v>633</v>
      </c>
      <c r="C176" s="15" t="s">
        <v>328</v>
      </c>
      <c r="D176" s="15"/>
      <c r="E176" s="15">
        <v>36</v>
      </c>
      <c r="F176" s="15" t="s">
        <v>329</v>
      </c>
      <c r="G176" s="15" t="s">
        <v>399</v>
      </c>
      <c r="H176" s="14" t="s">
        <v>751</v>
      </c>
      <c r="I176" s="14" t="s">
        <v>1227</v>
      </c>
      <c r="J176" s="14" t="s">
        <v>1183</v>
      </c>
      <c r="K176" s="15">
        <v>0</v>
      </c>
      <c r="L176" s="15">
        <v>3</v>
      </c>
      <c r="M176" s="15"/>
      <c r="N176" s="15"/>
      <c r="O176" s="15"/>
      <c r="P176" s="15"/>
      <c r="Q176" s="15"/>
      <c r="R176" s="15"/>
      <c r="S176" s="15"/>
      <c r="T176" s="15">
        <v>3</v>
      </c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 t="s">
        <v>832</v>
      </c>
      <c r="AJ176" s="15"/>
      <c r="AK176" s="15" t="s">
        <v>328</v>
      </c>
      <c r="AL176" s="15"/>
      <c r="AM176" s="15" t="s">
        <v>328</v>
      </c>
      <c r="AN176" s="15"/>
      <c r="AO176" s="15"/>
      <c r="AP176" s="15">
        <v>10</v>
      </c>
      <c r="AQ176" s="15">
        <v>1</v>
      </c>
      <c r="AR176" s="15"/>
      <c r="AS176" s="15" t="s">
        <v>328</v>
      </c>
      <c r="AT176" s="15"/>
      <c r="AU176" s="15"/>
      <c r="AV176" s="15">
        <v>3</v>
      </c>
      <c r="AW176" s="15">
        <v>2</v>
      </c>
      <c r="AX176" s="15">
        <v>1</v>
      </c>
      <c r="AY176" s="15"/>
      <c r="AZ176" s="15" t="s">
        <v>328</v>
      </c>
      <c r="BA176" s="15"/>
      <c r="BB176" s="15"/>
      <c r="BC176" s="15"/>
      <c r="BD176" s="15"/>
      <c r="BE176" s="15" t="s">
        <v>328</v>
      </c>
      <c r="BF176" s="15"/>
      <c r="BG176" s="15"/>
      <c r="BH176" s="15"/>
      <c r="BI176" s="15"/>
      <c r="BJ176" s="15"/>
      <c r="BK176" s="15"/>
      <c r="BL176" s="15" t="s">
        <v>328</v>
      </c>
      <c r="BM176" s="15"/>
      <c r="BN176" s="15" t="s">
        <v>328</v>
      </c>
      <c r="BO176" s="15"/>
      <c r="BP176" s="15"/>
      <c r="BQ176" s="15"/>
      <c r="BR176" s="15"/>
      <c r="BS176" s="15"/>
      <c r="BT176" s="15" t="s">
        <v>328</v>
      </c>
      <c r="BU176" s="15" t="s">
        <v>328</v>
      </c>
      <c r="BV176" s="15"/>
      <c r="BW176" s="15" t="s">
        <v>328</v>
      </c>
      <c r="BX176" s="15"/>
      <c r="BY176" s="15"/>
      <c r="BZ176" s="15" t="s">
        <v>328</v>
      </c>
      <c r="CA176" s="15" t="s">
        <v>328</v>
      </c>
      <c r="CB176" s="15"/>
      <c r="CC176" s="15"/>
      <c r="CD176" s="15" t="s">
        <v>328</v>
      </c>
      <c r="CE176" s="15"/>
      <c r="CF176" s="15"/>
      <c r="CG176" s="15" t="s">
        <v>328</v>
      </c>
      <c r="CH176" s="15"/>
      <c r="CI176" s="15"/>
      <c r="CJ176" s="15"/>
      <c r="CK176" s="15"/>
      <c r="CL176" s="15">
        <v>3</v>
      </c>
      <c r="CM176" s="15">
        <v>5</v>
      </c>
      <c r="CN176" s="15">
        <v>4</v>
      </c>
      <c r="CO176" s="15">
        <v>1</v>
      </c>
      <c r="CP176" s="15">
        <v>6</v>
      </c>
      <c r="CQ176" s="15">
        <v>2</v>
      </c>
      <c r="CR176" s="15"/>
      <c r="CS176" s="15"/>
      <c r="CT176" s="15"/>
      <c r="CU176" s="15"/>
      <c r="CV176" s="15"/>
      <c r="CW176" s="15"/>
      <c r="CX176" s="15" t="s">
        <v>332</v>
      </c>
      <c r="CY176" s="15"/>
      <c r="CZ176" s="15"/>
      <c r="DA176" s="15">
        <v>1</v>
      </c>
      <c r="DB176" s="15">
        <v>2</v>
      </c>
      <c r="DC176" s="15">
        <v>4</v>
      </c>
      <c r="DD176" s="15">
        <v>5</v>
      </c>
      <c r="DE176" s="15">
        <v>3</v>
      </c>
      <c r="DF176" s="15">
        <v>6</v>
      </c>
      <c r="DG176" s="15"/>
      <c r="DH176" s="15" t="s">
        <v>328</v>
      </c>
      <c r="DI176" s="15"/>
      <c r="DJ176" s="15"/>
      <c r="DK176" s="15"/>
      <c r="DL176" s="15"/>
      <c r="DM176" s="15"/>
      <c r="DN176" s="14" t="s">
        <v>333</v>
      </c>
      <c r="DO176" s="15"/>
      <c r="DP176" s="15" t="s">
        <v>328</v>
      </c>
      <c r="DQ176" s="15"/>
      <c r="DR176" s="15"/>
      <c r="DS176" s="15" t="s">
        <v>328</v>
      </c>
      <c r="DT176" s="15" t="s">
        <v>680</v>
      </c>
      <c r="DU176" s="15" t="s">
        <v>335</v>
      </c>
      <c r="DV176" s="15" t="s">
        <v>683</v>
      </c>
      <c r="DW176" s="15"/>
      <c r="DX176" s="15" t="s">
        <v>328</v>
      </c>
      <c r="DY176" s="15" t="s">
        <v>328</v>
      </c>
      <c r="DZ176" s="15" t="s">
        <v>684</v>
      </c>
      <c r="EA176" s="15"/>
      <c r="EB176" s="15" t="s">
        <v>685</v>
      </c>
      <c r="EC176" s="102" t="s">
        <v>686</v>
      </c>
      <c r="ED176" s="99"/>
    </row>
    <row r="177" spans="1:134" x14ac:dyDescent="0.25">
      <c r="A177" s="50" t="s">
        <v>1855</v>
      </c>
      <c r="B177" s="61" t="s">
        <v>634</v>
      </c>
      <c r="C177" s="15" t="s">
        <v>328</v>
      </c>
      <c r="D177" s="15"/>
      <c r="E177" s="15">
        <v>46</v>
      </c>
      <c r="F177" s="15" t="s">
        <v>329</v>
      </c>
      <c r="G177" s="15" t="s">
        <v>353</v>
      </c>
      <c r="H177" s="15" t="s">
        <v>781</v>
      </c>
      <c r="I177" s="18" t="s">
        <v>1258</v>
      </c>
      <c r="J177" s="15" t="s">
        <v>1183</v>
      </c>
      <c r="K177" s="15">
        <v>30</v>
      </c>
      <c r="L177" s="15">
        <v>1</v>
      </c>
      <c r="M177" s="15"/>
      <c r="N177" s="15"/>
      <c r="O177" s="15"/>
      <c r="P177" s="15"/>
      <c r="Q177" s="15"/>
      <c r="R177" s="15"/>
      <c r="S177" s="15"/>
      <c r="T177" s="15">
        <v>1</v>
      </c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 t="s">
        <v>832</v>
      </c>
      <c r="AJ177" s="15"/>
      <c r="AK177" s="15" t="s">
        <v>328</v>
      </c>
      <c r="AL177" s="15"/>
      <c r="AM177" s="15" t="s">
        <v>328</v>
      </c>
      <c r="AN177" s="15"/>
      <c r="AO177" s="15"/>
      <c r="AP177" s="15">
        <v>8</v>
      </c>
      <c r="AQ177" s="15">
        <v>3</v>
      </c>
      <c r="AR177" s="15"/>
      <c r="AS177" s="15" t="s">
        <v>328</v>
      </c>
      <c r="AT177" s="15"/>
      <c r="AU177" s="15"/>
      <c r="AV177" s="15">
        <v>3</v>
      </c>
      <c r="AW177" s="15">
        <v>2</v>
      </c>
      <c r="AX177" s="15">
        <v>1</v>
      </c>
      <c r="AY177" s="15"/>
      <c r="AZ177" s="15" t="s">
        <v>328</v>
      </c>
      <c r="BA177" s="15"/>
      <c r="BB177" s="15"/>
      <c r="BC177" s="15"/>
      <c r="BD177" s="15" t="s">
        <v>328</v>
      </c>
      <c r="BE177" s="15"/>
      <c r="BF177" s="15"/>
      <c r="BG177" s="15"/>
      <c r="BH177" s="15"/>
      <c r="BI177" s="15"/>
      <c r="BJ177" s="15"/>
      <c r="BK177" s="15"/>
      <c r="BL177" s="15"/>
      <c r="BM177" s="15" t="s">
        <v>328</v>
      </c>
      <c r="BN177" s="15"/>
      <c r="BO177" s="15" t="s">
        <v>328</v>
      </c>
      <c r="BP177" s="15" t="s">
        <v>328</v>
      </c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 t="s">
        <v>328</v>
      </c>
      <c r="CE177" s="15" t="s">
        <v>328</v>
      </c>
      <c r="CF177" s="15"/>
      <c r="CG177" s="15"/>
      <c r="CH177" s="15" t="s">
        <v>328</v>
      </c>
      <c r="CI177" s="15"/>
      <c r="CJ177" s="15"/>
      <c r="CK177" s="15"/>
      <c r="CL177" s="15">
        <v>5</v>
      </c>
      <c r="CM177" s="15">
        <v>2</v>
      </c>
      <c r="CN177" s="15">
        <v>1</v>
      </c>
      <c r="CO177" s="15">
        <v>4</v>
      </c>
      <c r="CP177" s="15">
        <v>3</v>
      </c>
      <c r="CQ177" s="15">
        <v>6</v>
      </c>
      <c r="CR177" s="15"/>
      <c r="CS177" s="15"/>
      <c r="CT177" s="15"/>
      <c r="CU177" s="15"/>
      <c r="CV177" s="15"/>
      <c r="CW177" s="15"/>
      <c r="CX177" s="15" t="s">
        <v>332</v>
      </c>
      <c r="CY177" s="15"/>
      <c r="CZ177" s="15"/>
      <c r="DA177" s="15">
        <v>1</v>
      </c>
      <c r="DB177" s="15">
        <v>3</v>
      </c>
      <c r="DC177" s="15">
        <v>5</v>
      </c>
      <c r="DD177" s="15">
        <v>4</v>
      </c>
      <c r="DE177" s="15">
        <v>2</v>
      </c>
      <c r="DF177" s="15">
        <v>6</v>
      </c>
      <c r="DG177" s="15"/>
      <c r="DH177" s="15" t="s">
        <v>328</v>
      </c>
      <c r="DI177" s="15"/>
      <c r="DJ177" s="15"/>
      <c r="DK177" s="15"/>
      <c r="DL177" s="15"/>
      <c r="DM177" s="15"/>
      <c r="DN177" s="14" t="s">
        <v>1146</v>
      </c>
      <c r="DO177" s="15" t="s">
        <v>328</v>
      </c>
      <c r="DP177" s="15"/>
      <c r="DQ177" s="15"/>
      <c r="DR177" s="15"/>
      <c r="DS177" s="15"/>
      <c r="DT177" s="15"/>
      <c r="DU177" s="15"/>
      <c r="DV177" s="15" t="s">
        <v>1144</v>
      </c>
      <c r="DW177" s="15" t="s">
        <v>328</v>
      </c>
      <c r="DX177" s="15"/>
      <c r="DY177" s="15"/>
      <c r="DZ177" s="15"/>
      <c r="EA177" s="15"/>
      <c r="EB177" s="15"/>
      <c r="EC177" s="102" t="s">
        <v>1145</v>
      </c>
      <c r="ED177" s="99"/>
    </row>
    <row r="178" spans="1:134" x14ac:dyDescent="0.25">
      <c r="A178" s="50" t="s">
        <v>1855</v>
      </c>
      <c r="B178" s="61" t="s">
        <v>635</v>
      </c>
      <c r="C178" s="15" t="s">
        <v>328</v>
      </c>
      <c r="D178" s="15"/>
      <c r="E178" s="15">
        <v>54</v>
      </c>
      <c r="F178" s="15" t="s">
        <v>329</v>
      </c>
      <c r="G178" s="15" t="s">
        <v>330</v>
      </c>
      <c r="H178" s="14" t="s">
        <v>751</v>
      </c>
      <c r="I178" s="14" t="s">
        <v>1227</v>
      </c>
      <c r="J178" s="14" t="s">
        <v>1183</v>
      </c>
      <c r="K178" s="15">
        <v>35</v>
      </c>
      <c r="L178" s="15">
        <v>1</v>
      </c>
      <c r="M178" s="15">
        <v>1</v>
      </c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 t="s">
        <v>328</v>
      </c>
      <c r="AE178" s="15"/>
      <c r="AF178" s="15"/>
      <c r="AG178" s="15"/>
      <c r="AH178" s="15"/>
      <c r="AI178" s="15"/>
      <c r="AJ178" s="15"/>
      <c r="AK178" s="15" t="s">
        <v>328</v>
      </c>
      <c r="AL178" s="15"/>
      <c r="AM178" s="15"/>
      <c r="AN178" s="15"/>
      <c r="AO178" s="15" t="s">
        <v>328</v>
      </c>
      <c r="AP178" s="15">
        <v>5</v>
      </c>
      <c r="AQ178" s="15">
        <v>1</v>
      </c>
      <c r="AR178" s="15"/>
      <c r="AS178" s="15" t="s">
        <v>328</v>
      </c>
      <c r="AT178" s="15"/>
      <c r="AU178" s="15"/>
      <c r="AV178" s="15">
        <v>2</v>
      </c>
      <c r="AW178" s="15">
        <v>3</v>
      </c>
      <c r="AX178" s="15">
        <v>1</v>
      </c>
      <c r="AY178" s="15"/>
      <c r="AZ178" s="15" t="s">
        <v>328</v>
      </c>
      <c r="BA178" s="15"/>
      <c r="BB178" s="15"/>
      <c r="BC178" s="15"/>
      <c r="BD178" s="15"/>
      <c r="BE178" s="15"/>
      <c r="BF178" s="15"/>
      <c r="BG178" s="15" t="s">
        <v>328</v>
      </c>
      <c r="BH178" s="15"/>
      <c r="BI178" s="15"/>
      <c r="BJ178" s="15"/>
      <c r="BK178" s="15"/>
      <c r="BL178" s="15"/>
      <c r="BM178" s="15" t="s">
        <v>328</v>
      </c>
      <c r="BN178" s="15" t="s">
        <v>328</v>
      </c>
      <c r="BO178" s="15"/>
      <c r="BP178" s="15"/>
      <c r="BQ178" s="15" t="s">
        <v>328</v>
      </c>
      <c r="BR178" s="15"/>
      <c r="BS178" s="15"/>
      <c r="BT178" s="15"/>
      <c r="BU178" s="15"/>
      <c r="BV178" s="15"/>
      <c r="BW178" s="15"/>
      <c r="BX178" s="15"/>
      <c r="BY178" s="15"/>
      <c r="BZ178" s="15" t="s">
        <v>328</v>
      </c>
      <c r="CA178" s="15" t="s">
        <v>328</v>
      </c>
      <c r="CB178" s="15" t="s">
        <v>328</v>
      </c>
      <c r="CC178" s="15"/>
      <c r="CD178" s="15"/>
      <c r="CE178" s="15"/>
      <c r="CF178" s="15"/>
      <c r="CG178" s="15" t="s">
        <v>328</v>
      </c>
      <c r="CH178" s="15"/>
      <c r="CI178" s="15"/>
      <c r="CJ178" s="15"/>
      <c r="CK178" s="15"/>
      <c r="CL178" s="15">
        <v>6</v>
      </c>
      <c r="CM178" s="15">
        <v>3</v>
      </c>
      <c r="CN178" s="15">
        <v>4</v>
      </c>
      <c r="CO178" s="15">
        <v>1</v>
      </c>
      <c r="CP178" s="15">
        <v>2</v>
      </c>
      <c r="CQ178" s="15">
        <v>5</v>
      </c>
      <c r="CR178" s="15"/>
      <c r="CS178" s="15"/>
      <c r="CT178" s="15"/>
      <c r="CU178" s="15"/>
      <c r="CV178" s="15" t="s">
        <v>328</v>
      </c>
      <c r="CW178" s="15"/>
      <c r="CX178" s="15"/>
      <c r="CY178" s="15"/>
      <c r="CZ178" s="15"/>
      <c r="DA178" s="15">
        <v>1</v>
      </c>
      <c r="DB178" s="15">
        <v>2</v>
      </c>
      <c r="DC178" s="15">
        <v>3</v>
      </c>
      <c r="DD178" s="15">
        <v>4</v>
      </c>
      <c r="DE178" s="15">
        <v>6</v>
      </c>
      <c r="DF178" s="15">
        <v>5</v>
      </c>
      <c r="DG178" s="15"/>
      <c r="DH178" s="15" t="s">
        <v>328</v>
      </c>
      <c r="DI178" s="15"/>
      <c r="DJ178" s="15"/>
      <c r="DK178" s="15"/>
      <c r="DL178" s="15"/>
      <c r="DM178" s="15"/>
      <c r="DN178" s="14" t="s">
        <v>333</v>
      </c>
      <c r="DO178" s="15"/>
      <c r="DP178" s="15" t="s">
        <v>328</v>
      </c>
      <c r="DQ178" s="15" t="s">
        <v>328</v>
      </c>
      <c r="DR178" s="15" t="s">
        <v>437</v>
      </c>
      <c r="DS178" s="15"/>
      <c r="DT178" s="15"/>
      <c r="DU178" s="15" t="s">
        <v>489</v>
      </c>
      <c r="DV178" s="15" t="s">
        <v>411</v>
      </c>
      <c r="DW178" s="15"/>
      <c r="DX178" s="15" t="s">
        <v>328</v>
      </c>
      <c r="DY178" s="15" t="s">
        <v>328</v>
      </c>
      <c r="DZ178" s="15" t="s">
        <v>397</v>
      </c>
      <c r="EA178" s="15"/>
      <c r="EB178" s="15" t="s">
        <v>437</v>
      </c>
      <c r="EC178" s="102" t="s">
        <v>411</v>
      </c>
      <c r="ED178" s="99"/>
    </row>
    <row r="179" spans="1:134" x14ac:dyDescent="0.25">
      <c r="A179" s="50" t="s">
        <v>1855</v>
      </c>
      <c r="B179" s="61" t="s">
        <v>636</v>
      </c>
      <c r="C179" s="15" t="s">
        <v>328</v>
      </c>
      <c r="D179" s="15"/>
      <c r="E179" s="15">
        <v>57</v>
      </c>
      <c r="F179" s="15" t="s">
        <v>329</v>
      </c>
      <c r="G179" s="15" t="s">
        <v>353</v>
      </c>
      <c r="H179" s="15" t="s">
        <v>578</v>
      </c>
      <c r="I179" s="15" t="s">
        <v>1247</v>
      </c>
      <c r="J179" s="15" t="s">
        <v>1288</v>
      </c>
      <c r="K179" s="15">
        <v>0</v>
      </c>
      <c r="L179" s="15">
        <v>4</v>
      </c>
      <c r="M179" s="15"/>
      <c r="N179" s="15"/>
      <c r="O179" s="15"/>
      <c r="P179" s="15"/>
      <c r="Q179" s="15">
        <v>4</v>
      </c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 t="s">
        <v>328</v>
      </c>
      <c r="AC179" s="15"/>
      <c r="AD179" s="15"/>
      <c r="AE179" s="15"/>
      <c r="AF179" s="15"/>
      <c r="AG179" s="15"/>
      <c r="AH179" s="15" t="s">
        <v>328</v>
      </c>
      <c r="AI179" s="15"/>
      <c r="AJ179" s="15"/>
      <c r="AK179" s="15" t="s">
        <v>328</v>
      </c>
      <c r="AL179" s="15"/>
      <c r="AM179" s="15" t="s">
        <v>328</v>
      </c>
      <c r="AN179" s="15"/>
      <c r="AO179" s="15"/>
      <c r="AP179" s="15">
        <v>5</v>
      </c>
      <c r="AQ179" s="15">
        <v>1</v>
      </c>
      <c r="AR179" s="15"/>
      <c r="AS179" s="15"/>
      <c r="AT179" s="15" t="s">
        <v>328</v>
      </c>
      <c r="AU179" s="15"/>
      <c r="AV179" s="15">
        <v>1</v>
      </c>
      <c r="AW179" s="15">
        <v>2</v>
      </c>
      <c r="AX179" s="15">
        <v>3</v>
      </c>
      <c r="AY179" s="15"/>
      <c r="AZ179" s="15" t="s">
        <v>328</v>
      </c>
      <c r="BA179" s="15"/>
      <c r="BB179" s="15"/>
      <c r="BC179" s="15"/>
      <c r="BD179" s="15"/>
      <c r="BE179" s="15"/>
      <c r="BF179" s="15"/>
      <c r="BG179" s="15"/>
      <c r="BH179" s="15" t="s">
        <v>328</v>
      </c>
      <c r="BI179" s="15"/>
      <c r="BJ179" s="15"/>
      <c r="BK179" s="15"/>
      <c r="BL179" s="15"/>
      <c r="BM179" s="15" t="s">
        <v>328</v>
      </c>
      <c r="BN179" s="15" t="s">
        <v>328</v>
      </c>
      <c r="BO179" s="15"/>
      <c r="BP179" s="15" t="s">
        <v>328</v>
      </c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 t="s">
        <v>328</v>
      </c>
      <c r="CE179" s="15"/>
      <c r="CF179" s="15"/>
      <c r="CG179" s="15"/>
      <c r="CH179" s="15" t="s">
        <v>328</v>
      </c>
      <c r="CI179" s="15"/>
      <c r="CJ179" s="15"/>
      <c r="CK179" s="15"/>
      <c r="CL179" s="15">
        <v>5</v>
      </c>
      <c r="CM179" s="15">
        <v>3</v>
      </c>
      <c r="CN179" s="15">
        <v>1</v>
      </c>
      <c r="CO179" s="15">
        <v>4</v>
      </c>
      <c r="CP179" s="15">
        <v>2</v>
      </c>
      <c r="CQ179" s="15">
        <v>6</v>
      </c>
      <c r="CR179" s="15"/>
      <c r="CS179" s="15" t="s">
        <v>328</v>
      </c>
      <c r="CT179" s="15"/>
      <c r="CU179" s="15"/>
      <c r="CV179" s="15" t="s">
        <v>328</v>
      </c>
      <c r="CW179" s="15"/>
      <c r="CX179" s="15"/>
      <c r="CY179" s="15"/>
      <c r="CZ179" s="15"/>
      <c r="DA179" s="15">
        <v>1</v>
      </c>
      <c r="DB179" s="15">
        <v>5</v>
      </c>
      <c r="DC179" s="15">
        <v>2</v>
      </c>
      <c r="DD179" s="15">
        <v>3</v>
      </c>
      <c r="DE179" s="15">
        <v>6</v>
      </c>
      <c r="DF179" s="15">
        <v>4</v>
      </c>
      <c r="DG179" s="15"/>
      <c r="DH179" s="15" t="s">
        <v>328</v>
      </c>
      <c r="DI179" s="15"/>
      <c r="DJ179" s="15"/>
      <c r="DK179" s="15"/>
      <c r="DL179" s="15"/>
      <c r="DM179" s="15"/>
      <c r="DN179" s="14" t="s">
        <v>1146</v>
      </c>
      <c r="DO179" s="15"/>
      <c r="DP179" s="15" t="s">
        <v>328</v>
      </c>
      <c r="DQ179" s="15"/>
      <c r="DR179" s="15"/>
      <c r="DS179" s="15" t="s">
        <v>328</v>
      </c>
      <c r="DT179" s="15" t="s">
        <v>680</v>
      </c>
      <c r="DU179" s="15" t="s">
        <v>428</v>
      </c>
      <c r="DV179" s="15" t="s">
        <v>450</v>
      </c>
      <c r="DW179" s="15" t="s">
        <v>328</v>
      </c>
      <c r="DX179" s="15"/>
      <c r="DY179" s="15"/>
      <c r="DZ179" s="15"/>
      <c r="EA179" s="15"/>
      <c r="EB179" s="15"/>
      <c r="EC179" s="102" t="s">
        <v>450</v>
      </c>
      <c r="ED179" s="99"/>
    </row>
    <row r="180" spans="1:134" x14ac:dyDescent="0.25">
      <c r="A180" s="50" t="s">
        <v>1855</v>
      </c>
      <c r="B180" s="61" t="s">
        <v>637</v>
      </c>
      <c r="C180" s="15" t="s">
        <v>328</v>
      </c>
      <c r="D180" s="15"/>
      <c r="E180" s="15">
        <v>48</v>
      </c>
      <c r="F180" s="15" t="s">
        <v>329</v>
      </c>
      <c r="G180" s="15" t="s">
        <v>330</v>
      </c>
      <c r="H180" s="15" t="s">
        <v>578</v>
      </c>
      <c r="I180" s="15" t="s">
        <v>1247</v>
      </c>
      <c r="J180" s="15" t="s">
        <v>1288</v>
      </c>
      <c r="K180" s="15">
        <v>30</v>
      </c>
      <c r="L180" s="15">
        <v>1</v>
      </c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>
        <v>1</v>
      </c>
      <c r="Y180" s="15"/>
      <c r="Z180" s="15"/>
      <c r="AA180" s="15" t="s">
        <v>328</v>
      </c>
      <c r="AB180" s="15"/>
      <c r="AC180" s="15"/>
      <c r="AD180" s="15" t="s">
        <v>328</v>
      </c>
      <c r="AE180" s="15" t="s">
        <v>328</v>
      </c>
      <c r="AF180" s="15"/>
      <c r="AG180" s="15"/>
      <c r="AH180" s="15"/>
      <c r="AI180" s="15"/>
      <c r="AJ180" s="15"/>
      <c r="AK180" s="15" t="s">
        <v>328</v>
      </c>
      <c r="AL180" s="15"/>
      <c r="AM180" s="15" t="s">
        <v>328</v>
      </c>
      <c r="AN180" s="15"/>
      <c r="AO180" s="15"/>
      <c r="AP180" s="15">
        <v>3</v>
      </c>
      <c r="AQ180" s="15">
        <v>10</v>
      </c>
      <c r="AR180" s="15"/>
      <c r="AS180" s="15" t="s">
        <v>328</v>
      </c>
      <c r="AT180" s="15"/>
      <c r="AU180" s="15"/>
      <c r="AV180" s="15">
        <v>3</v>
      </c>
      <c r="AW180" s="15">
        <v>2</v>
      </c>
      <c r="AX180" s="15">
        <v>1</v>
      </c>
      <c r="AY180" s="15"/>
      <c r="AZ180" s="15" t="s">
        <v>328</v>
      </c>
      <c r="BA180" s="15"/>
      <c r="BB180" s="15" t="s">
        <v>328</v>
      </c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 t="s">
        <v>328</v>
      </c>
      <c r="BN180" s="15"/>
      <c r="BO180" s="15" t="s">
        <v>328</v>
      </c>
      <c r="BP180" s="15"/>
      <c r="BQ180" s="15" t="s">
        <v>328</v>
      </c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 t="s">
        <v>328</v>
      </c>
      <c r="CC180" s="15" t="s">
        <v>328</v>
      </c>
      <c r="CD180" s="15" t="s">
        <v>328</v>
      </c>
      <c r="CE180" s="15"/>
      <c r="CF180" s="15"/>
      <c r="CG180" s="15"/>
      <c r="CH180" s="15" t="s">
        <v>328</v>
      </c>
      <c r="CI180" s="15"/>
      <c r="CJ180" s="15"/>
      <c r="CK180" s="15"/>
      <c r="CL180" s="15">
        <v>6</v>
      </c>
      <c r="CM180" s="15">
        <v>1</v>
      </c>
      <c r="CN180" s="15">
        <v>2</v>
      </c>
      <c r="CO180" s="15">
        <v>3</v>
      </c>
      <c r="CP180" s="15">
        <v>5</v>
      </c>
      <c r="CQ180" s="15">
        <v>4</v>
      </c>
      <c r="CR180" s="15"/>
      <c r="CS180" s="15"/>
      <c r="CT180" s="15"/>
      <c r="CU180" s="15"/>
      <c r="CV180" s="15" t="s">
        <v>328</v>
      </c>
      <c r="CW180" s="15"/>
      <c r="CX180" s="15"/>
      <c r="CY180" s="15"/>
      <c r="CZ180" s="15"/>
      <c r="DA180" s="15">
        <v>3</v>
      </c>
      <c r="DB180" s="15">
        <v>2</v>
      </c>
      <c r="DC180" s="15">
        <v>1</v>
      </c>
      <c r="DD180" s="15">
        <v>4</v>
      </c>
      <c r="DE180" s="15">
        <v>5</v>
      </c>
      <c r="DF180" s="15">
        <v>6</v>
      </c>
      <c r="DG180" s="15"/>
      <c r="DH180" s="15" t="s">
        <v>328</v>
      </c>
      <c r="DI180" s="15"/>
      <c r="DJ180" s="15"/>
      <c r="DK180" s="15"/>
      <c r="DL180" s="15"/>
      <c r="DM180" s="15"/>
      <c r="DN180" s="14" t="s">
        <v>333</v>
      </c>
      <c r="DO180" s="15" t="s">
        <v>328</v>
      </c>
      <c r="DP180" s="15"/>
      <c r="DQ180" s="15"/>
      <c r="DR180" s="15"/>
      <c r="DS180" s="15"/>
      <c r="DT180" s="15"/>
      <c r="DU180" s="15"/>
      <c r="DV180" s="15" t="s">
        <v>333</v>
      </c>
      <c r="DW180" s="15" t="s">
        <v>328</v>
      </c>
      <c r="DX180" s="15"/>
      <c r="DY180" s="15"/>
      <c r="DZ180" s="15"/>
      <c r="EA180" s="15"/>
      <c r="EB180" s="15"/>
      <c r="EC180" s="102" t="s">
        <v>333</v>
      </c>
      <c r="ED180" s="99"/>
    </row>
    <row r="181" spans="1:134" x14ac:dyDescent="0.25">
      <c r="A181" s="50" t="s">
        <v>1855</v>
      </c>
      <c r="B181" s="61" t="s">
        <v>638</v>
      </c>
      <c r="C181" s="15" t="s">
        <v>328</v>
      </c>
      <c r="D181" s="15"/>
      <c r="E181" s="15">
        <v>54</v>
      </c>
      <c r="F181" s="15" t="s">
        <v>329</v>
      </c>
      <c r="G181" s="15" t="s">
        <v>353</v>
      </c>
      <c r="H181" s="15" t="s">
        <v>782</v>
      </c>
      <c r="I181" s="18" t="s">
        <v>1259</v>
      </c>
      <c r="J181" s="15" t="s">
        <v>1182</v>
      </c>
      <c r="K181" s="15">
        <v>30</v>
      </c>
      <c r="L181" s="15">
        <v>1</v>
      </c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>
        <v>1</v>
      </c>
      <c r="Y181" s="15"/>
      <c r="Z181" s="15" t="s">
        <v>328</v>
      </c>
      <c r="AA181" s="15" t="s">
        <v>328</v>
      </c>
      <c r="AB181" s="15"/>
      <c r="AC181" s="15"/>
      <c r="AD181" s="15"/>
      <c r="AE181" s="15" t="s">
        <v>328</v>
      </c>
      <c r="AF181" s="15"/>
      <c r="AG181" s="15"/>
      <c r="AH181" s="15"/>
      <c r="AI181" s="15"/>
      <c r="AJ181" s="15"/>
      <c r="AK181" s="15" t="s">
        <v>328</v>
      </c>
      <c r="AL181" s="15"/>
      <c r="AM181" s="15" t="s">
        <v>328</v>
      </c>
      <c r="AN181" s="15"/>
      <c r="AO181" s="15"/>
      <c r="AP181" s="15">
        <v>6</v>
      </c>
      <c r="AQ181" s="15">
        <v>2</v>
      </c>
      <c r="AR181" s="15"/>
      <c r="AS181" s="15" t="s">
        <v>328</v>
      </c>
      <c r="AT181" s="15"/>
      <c r="AU181" s="15"/>
      <c r="AV181" s="15">
        <v>2</v>
      </c>
      <c r="AW181" s="15">
        <v>1</v>
      </c>
      <c r="AX181" s="15">
        <v>3</v>
      </c>
      <c r="AY181" s="15"/>
      <c r="AZ181" s="15" t="s">
        <v>328</v>
      </c>
      <c r="BA181" s="15"/>
      <c r="BB181" s="15" t="s">
        <v>328</v>
      </c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 t="s">
        <v>328</v>
      </c>
      <c r="BN181" s="15"/>
      <c r="BO181" s="15" t="s">
        <v>328</v>
      </c>
      <c r="BP181" s="15"/>
      <c r="BQ181" s="15"/>
      <c r="BR181" s="15"/>
      <c r="BS181" s="15"/>
      <c r="BT181" s="15"/>
      <c r="BU181" s="15"/>
      <c r="BV181" s="14" t="s">
        <v>874</v>
      </c>
      <c r="BW181" s="15"/>
      <c r="BX181" s="15"/>
      <c r="BY181" s="15"/>
      <c r="BZ181" s="15"/>
      <c r="CA181" s="15"/>
      <c r="CB181" s="15"/>
      <c r="CC181" s="15"/>
      <c r="CD181" s="15"/>
      <c r="CE181" s="15" t="s">
        <v>328</v>
      </c>
      <c r="CF181" s="15"/>
      <c r="CG181" s="15"/>
      <c r="CH181" s="15"/>
      <c r="CI181" s="15"/>
      <c r="CJ181" s="15" t="s">
        <v>328</v>
      </c>
      <c r="CK181" s="15"/>
      <c r="CL181" s="15">
        <v>6</v>
      </c>
      <c r="CM181" s="15">
        <v>3</v>
      </c>
      <c r="CN181" s="15">
        <v>4</v>
      </c>
      <c r="CO181" s="15">
        <v>1</v>
      </c>
      <c r="CP181" s="15">
        <v>2</v>
      </c>
      <c r="CQ181" s="15">
        <v>5</v>
      </c>
      <c r="CR181" s="15"/>
      <c r="CS181" s="15"/>
      <c r="CT181" s="15"/>
      <c r="CU181" s="15"/>
      <c r="CV181" s="15"/>
      <c r="CW181" s="15"/>
      <c r="CX181" s="15" t="s">
        <v>332</v>
      </c>
      <c r="CY181" s="15"/>
      <c r="CZ181" s="15"/>
      <c r="DA181" s="15">
        <v>2</v>
      </c>
      <c r="DB181" s="15">
        <v>3</v>
      </c>
      <c r="DC181" s="15">
        <v>4</v>
      </c>
      <c r="DD181" s="15">
        <v>5</v>
      </c>
      <c r="DE181" s="15">
        <v>1</v>
      </c>
      <c r="DF181" s="15">
        <v>6</v>
      </c>
      <c r="DG181" s="15"/>
      <c r="DH181" s="15" t="s">
        <v>328</v>
      </c>
      <c r="DI181" s="15"/>
      <c r="DJ181" s="15"/>
      <c r="DK181" s="15"/>
      <c r="DL181" s="15"/>
      <c r="DM181" s="15"/>
      <c r="DN181" s="14" t="s">
        <v>1145</v>
      </c>
      <c r="DO181" s="15" t="s">
        <v>328</v>
      </c>
      <c r="DP181" s="15"/>
      <c r="DQ181" s="15"/>
      <c r="DR181" s="15"/>
      <c r="DS181" s="15"/>
      <c r="DT181" s="15"/>
      <c r="DU181" s="15"/>
      <c r="DV181" s="15" t="s">
        <v>1145</v>
      </c>
      <c r="DW181" s="15" t="s">
        <v>328</v>
      </c>
      <c r="DX181" s="15"/>
      <c r="DY181" s="15"/>
      <c r="DZ181" s="15"/>
      <c r="EA181" s="15"/>
      <c r="EB181" s="15"/>
      <c r="EC181" s="102" t="s">
        <v>1145</v>
      </c>
      <c r="ED181" s="99"/>
    </row>
    <row r="182" spans="1:134" x14ac:dyDescent="0.25">
      <c r="A182" s="50" t="s">
        <v>1855</v>
      </c>
      <c r="B182" s="61" t="s">
        <v>639</v>
      </c>
      <c r="C182" s="15" t="s">
        <v>328</v>
      </c>
      <c r="D182" s="15"/>
      <c r="E182" s="15">
        <v>39</v>
      </c>
      <c r="F182" s="15" t="s">
        <v>329</v>
      </c>
      <c r="G182" s="15" t="s">
        <v>330</v>
      </c>
      <c r="H182" s="15" t="s">
        <v>776</v>
      </c>
      <c r="I182" s="15" t="s">
        <v>1234</v>
      </c>
      <c r="J182" s="15" t="s">
        <v>1288</v>
      </c>
      <c r="K182" s="15">
        <v>10</v>
      </c>
      <c r="L182" s="15">
        <v>1</v>
      </c>
      <c r="M182" s="15"/>
      <c r="N182" s="15">
        <v>1</v>
      </c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 t="s">
        <v>328</v>
      </c>
      <c r="AA182" s="15"/>
      <c r="AB182" s="15"/>
      <c r="AC182" s="15"/>
      <c r="AD182" s="15"/>
      <c r="AE182" s="15"/>
      <c r="AF182" s="15"/>
      <c r="AG182" s="15" t="s">
        <v>328</v>
      </c>
      <c r="AH182" s="15"/>
      <c r="AI182" s="15"/>
      <c r="AJ182" s="15" t="s">
        <v>328</v>
      </c>
      <c r="AK182" s="15"/>
      <c r="AL182" s="15"/>
      <c r="AM182" s="15"/>
      <c r="AN182" s="15" t="s">
        <v>328</v>
      </c>
      <c r="AO182" s="15"/>
      <c r="AP182" s="15">
        <v>10</v>
      </c>
      <c r="AQ182" s="15">
        <v>1</v>
      </c>
      <c r="AR182" s="15"/>
      <c r="AS182" s="15" t="s">
        <v>328</v>
      </c>
      <c r="AT182" s="15"/>
      <c r="AU182" s="15"/>
      <c r="AV182" s="15">
        <v>2</v>
      </c>
      <c r="AW182" s="15">
        <v>3</v>
      </c>
      <c r="AX182" s="15">
        <v>1</v>
      </c>
      <c r="AY182" s="15"/>
      <c r="AZ182" s="15" t="s">
        <v>328</v>
      </c>
      <c r="BA182" s="15"/>
      <c r="BB182" s="15" t="s">
        <v>328</v>
      </c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 t="s">
        <v>328</v>
      </c>
      <c r="BN182" s="15"/>
      <c r="BO182" s="15" t="s">
        <v>328</v>
      </c>
      <c r="BP182" s="15"/>
      <c r="BQ182" s="15" t="s">
        <v>328</v>
      </c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 t="s">
        <v>328</v>
      </c>
      <c r="CC182" s="15"/>
      <c r="CD182" s="15"/>
      <c r="CE182" s="15" t="s">
        <v>328</v>
      </c>
      <c r="CF182" s="15"/>
      <c r="CG182" s="15" t="s">
        <v>328</v>
      </c>
      <c r="CH182" s="15"/>
      <c r="CI182" s="15"/>
      <c r="CJ182" s="15"/>
      <c r="CK182" s="15"/>
      <c r="CL182" s="15">
        <v>5</v>
      </c>
      <c r="CM182" s="15">
        <v>1</v>
      </c>
      <c r="CN182" s="15">
        <v>6</v>
      </c>
      <c r="CO182" s="15">
        <v>3</v>
      </c>
      <c r="CP182" s="15">
        <v>2</v>
      </c>
      <c r="CQ182" s="15">
        <v>4</v>
      </c>
      <c r="CR182" s="15"/>
      <c r="CS182" s="15"/>
      <c r="CT182" s="15"/>
      <c r="CU182" s="15"/>
      <c r="CV182" s="15" t="s">
        <v>328</v>
      </c>
      <c r="CW182" s="15"/>
      <c r="CX182" s="15"/>
      <c r="CY182" s="15" t="s">
        <v>328</v>
      </c>
      <c r="CZ182" s="15" t="s">
        <v>404</v>
      </c>
      <c r="DA182" s="15"/>
      <c r="DB182" s="15"/>
      <c r="DC182" s="15"/>
      <c r="DD182" s="15"/>
      <c r="DE182" s="15"/>
      <c r="DF182" s="15"/>
      <c r="DG182" s="15"/>
      <c r="DH182" s="15" t="s">
        <v>328</v>
      </c>
      <c r="DI182" s="15"/>
      <c r="DJ182" s="15"/>
      <c r="DK182" s="15"/>
      <c r="DL182" s="15"/>
      <c r="DM182" s="15"/>
      <c r="DN182" s="14" t="s">
        <v>1146</v>
      </c>
      <c r="DO182" s="15" t="s">
        <v>328</v>
      </c>
      <c r="DP182" s="15"/>
      <c r="DQ182" s="15"/>
      <c r="DR182" s="15"/>
      <c r="DS182" s="15"/>
      <c r="DT182" s="15"/>
      <c r="DU182" s="15"/>
      <c r="DV182" s="15" t="s">
        <v>1152</v>
      </c>
      <c r="DW182" s="15" t="s">
        <v>328</v>
      </c>
      <c r="DX182" s="15"/>
      <c r="DY182" s="15"/>
      <c r="DZ182" s="15"/>
      <c r="EA182" s="15"/>
      <c r="EB182" s="15"/>
      <c r="EC182" s="102" t="s">
        <v>1152</v>
      </c>
      <c r="ED182" s="99"/>
    </row>
    <row r="183" spans="1:134" x14ac:dyDescent="0.25">
      <c r="A183" s="50" t="s">
        <v>1855</v>
      </c>
      <c r="B183" s="61" t="s">
        <v>640</v>
      </c>
      <c r="C183" s="15" t="s">
        <v>328</v>
      </c>
      <c r="D183" s="15"/>
      <c r="E183" s="15">
        <v>62</v>
      </c>
      <c r="F183" s="15" t="s">
        <v>329</v>
      </c>
      <c r="G183" s="15" t="s">
        <v>584</v>
      </c>
      <c r="H183" s="15" t="s">
        <v>578</v>
      </c>
      <c r="I183" s="15" t="s">
        <v>1247</v>
      </c>
      <c r="J183" s="15" t="s">
        <v>1288</v>
      </c>
      <c r="K183" s="15">
        <v>0</v>
      </c>
      <c r="L183" s="15">
        <v>2</v>
      </c>
      <c r="M183" s="15">
        <v>2</v>
      </c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 t="s">
        <v>328</v>
      </c>
      <c r="AG183" s="15"/>
      <c r="AH183" s="15"/>
      <c r="AI183" s="15"/>
      <c r="AJ183" s="15" t="s">
        <v>328</v>
      </c>
      <c r="AK183" s="15"/>
      <c r="AL183" s="15"/>
      <c r="AM183" s="15"/>
      <c r="AN183" s="15"/>
      <c r="AO183" s="15" t="s">
        <v>328</v>
      </c>
      <c r="AP183" s="15">
        <v>10</v>
      </c>
      <c r="AQ183" s="15">
        <v>1</v>
      </c>
      <c r="AR183" s="15"/>
      <c r="AS183" s="15"/>
      <c r="AT183" s="15" t="s">
        <v>328</v>
      </c>
      <c r="AU183" s="15"/>
      <c r="AV183" s="15">
        <v>3</v>
      </c>
      <c r="AW183" s="15">
        <v>2</v>
      </c>
      <c r="AX183" s="15">
        <v>1</v>
      </c>
      <c r="AY183" s="15"/>
      <c r="AZ183" s="15" t="s">
        <v>328</v>
      </c>
      <c r="BA183" s="15"/>
      <c r="BB183" s="15"/>
      <c r="BC183" s="15"/>
      <c r="BD183" s="15"/>
      <c r="BE183" s="15"/>
      <c r="BF183" s="15" t="s">
        <v>328</v>
      </c>
      <c r="BG183" s="15"/>
      <c r="BH183" s="15"/>
      <c r="BI183" s="15"/>
      <c r="BJ183" s="15"/>
      <c r="BK183" s="15"/>
      <c r="BL183" s="15"/>
      <c r="BM183" s="15" t="s">
        <v>328</v>
      </c>
      <c r="BN183" s="15" t="s">
        <v>328</v>
      </c>
      <c r="BO183" s="15"/>
      <c r="BP183" s="15"/>
      <c r="BQ183" s="15"/>
      <c r="BR183" s="15"/>
      <c r="BS183" s="15"/>
      <c r="BT183" s="15"/>
      <c r="BU183" s="15" t="s">
        <v>328</v>
      </c>
      <c r="BV183" s="15"/>
      <c r="BW183" s="15" t="s">
        <v>328</v>
      </c>
      <c r="BX183" s="15"/>
      <c r="BY183" s="15"/>
      <c r="BZ183" s="15"/>
      <c r="CA183" s="15" t="s">
        <v>328</v>
      </c>
      <c r="CB183" s="15"/>
      <c r="CC183" s="15"/>
      <c r="CD183" s="15"/>
      <c r="CE183" s="15"/>
      <c r="CF183" s="15"/>
      <c r="CG183" s="15" t="s">
        <v>328</v>
      </c>
      <c r="CH183" s="15"/>
      <c r="CI183" s="15"/>
      <c r="CJ183" s="15"/>
      <c r="CK183" s="15"/>
      <c r="CL183" s="15">
        <v>1</v>
      </c>
      <c r="CM183" s="15">
        <v>3</v>
      </c>
      <c r="CN183" s="15">
        <v>4</v>
      </c>
      <c r="CO183" s="15">
        <v>5</v>
      </c>
      <c r="CP183" s="15">
        <v>6</v>
      </c>
      <c r="CQ183" s="15">
        <v>2</v>
      </c>
      <c r="CR183" s="15"/>
      <c r="CS183" s="15" t="s">
        <v>328</v>
      </c>
      <c r="CT183" s="15"/>
      <c r="CU183" s="15"/>
      <c r="CV183" s="15"/>
      <c r="CW183" s="15"/>
      <c r="CX183" s="15"/>
      <c r="CY183" s="15"/>
      <c r="CZ183" s="15"/>
      <c r="DA183" s="15">
        <v>4</v>
      </c>
      <c r="DB183" s="15">
        <v>5</v>
      </c>
      <c r="DC183" s="15">
        <v>1</v>
      </c>
      <c r="DD183" s="15">
        <v>2</v>
      </c>
      <c r="DE183" s="15">
        <v>6</v>
      </c>
      <c r="DF183" s="15">
        <v>3</v>
      </c>
      <c r="DG183" s="15"/>
      <c r="DH183" s="15" t="s">
        <v>328</v>
      </c>
      <c r="DI183" s="15"/>
      <c r="DJ183" s="15"/>
      <c r="DK183" s="15"/>
      <c r="DL183" s="15"/>
      <c r="DM183" s="15"/>
      <c r="DN183" s="14" t="s">
        <v>1145</v>
      </c>
      <c r="DO183" s="15" t="s">
        <v>328</v>
      </c>
      <c r="DP183" s="15"/>
      <c r="DQ183" s="15"/>
      <c r="DR183" s="15"/>
      <c r="DS183" s="15"/>
      <c r="DT183" s="15"/>
      <c r="DU183" s="15"/>
      <c r="DV183" s="15" t="s">
        <v>497</v>
      </c>
      <c r="DW183" s="15" t="s">
        <v>328</v>
      </c>
      <c r="DX183" s="15"/>
      <c r="DY183" s="15"/>
      <c r="DZ183" s="15"/>
      <c r="EA183" s="15"/>
      <c r="EB183" s="15"/>
      <c r="EC183" s="102" t="s">
        <v>474</v>
      </c>
      <c r="ED183" s="99"/>
    </row>
    <row r="184" spans="1:134" x14ac:dyDescent="0.25">
      <c r="A184" s="50" t="s">
        <v>1855</v>
      </c>
      <c r="B184" s="61" t="s">
        <v>641</v>
      </c>
      <c r="C184" s="15" t="s">
        <v>328</v>
      </c>
      <c r="D184" s="15"/>
      <c r="E184" s="15">
        <v>45</v>
      </c>
      <c r="F184" s="15" t="s">
        <v>329</v>
      </c>
      <c r="G184" s="15" t="s">
        <v>399</v>
      </c>
      <c r="H184" s="15" t="s">
        <v>578</v>
      </c>
      <c r="I184" s="15" t="s">
        <v>1247</v>
      </c>
      <c r="J184" s="15" t="s">
        <v>1288</v>
      </c>
      <c r="K184" s="15">
        <v>0</v>
      </c>
      <c r="L184" s="15">
        <v>3</v>
      </c>
      <c r="M184" s="15">
        <v>3</v>
      </c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 t="s">
        <v>328</v>
      </c>
      <c r="AB184" s="15"/>
      <c r="AC184" s="15"/>
      <c r="AD184" s="15" t="s">
        <v>328</v>
      </c>
      <c r="AE184" s="15"/>
      <c r="AF184" s="15"/>
      <c r="AG184" s="15"/>
      <c r="AH184" s="15"/>
      <c r="AI184" s="15"/>
      <c r="AJ184" s="15" t="s">
        <v>328</v>
      </c>
      <c r="AK184" s="15"/>
      <c r="AL184" s="15"/>
      <c r="AM184" s="15"/>
      <c r="AN184" s="15"/>
      <c r="AO184" s="15" t="s">
        <v>328</v>
      </c>
      <c r="AP184" s="15">
        <v>10</v>
      </c>
      <c r="AQ184" s="15">
        <v>3</v>
      </c>
      <c r="AR184" s="15"/>
      <c r="AS184" s="15"/>
      <c r="AT184" s="15" t="s">
        <v>328</v>
      </c>
      <c r="AU184" s="15"/>
      <c r="AV184" s="15">
        <v>1</v>
      </c>
      <c r="AW184" s="15">
        <v>3</v>
      </c>
      <c r="AX184" s="15">
        <v>2</v>
      </c>
      <c r="AY184" s="15"/>
      <c r="AZ184" s="15"/>
      <c r="BA184" s="15" t="s">
        <v>328</v>
      </c>
      <c r="BB184" s="15"/>
      <c r="BC184" s="15"/>
      <c r="BD184" s="15"/>
      <c r="BE184" s="15" t="s">
        <v>328</v>
      </c>
      <c r="BF184" s="15"/>
      <c r="BG184" s="15"/>
      <c r="BH184" s="15"/>
      <c r="BI184" s="15"/>
      <c r="BJ184" s="15"/>
      <c r="BK184" s="15"/>
      <c r="BL184" s="15"/>
      <c r="BM184" s="15" t="s">
        <v>328</v>
      </c>
      <c r="BN184" s="15" t="s">
        <v>328</v>
      </c>
      <c r="BO184" s="15"/>
      <c r="BP184" s="15" t="s">
        <v>328</v>
      </c>
      <c r="BQ184" s="15"/>
      <c r="BR184" s="15"/>
      <c r="BS184" s="15"/>
      <c r="BT184" s="15"/>
      <c r="BU184" s="15"/>
      <c r="BV184" s="15"/>
      <c r="BW184" s="15" t="s">
        <v>328</v>
      </c>
      <c r="BX184" s="15"/>
      <c r="BY184" s="15" t="s">
        <v>328</v>
      </c>
      <c r="BZ184" s="15" t="s">
        <v>328</v>
      </c>
      <c r="CA184" s="15" t="s">
        <v>328</v>
      </c>
      <c r="CB184" s="15"/>
      <c r="CC184" s="15"/>
      <c r="CD184" s="15"/>
      <c r="CE184" s="15"/>
      <c r="CF184" s="15"/>
      <c r="CG184" s="15" t="s">
        <v>328</v>
      </c>
      <c r="CH184" s="15"/>
      <c r="CI184" s="15"/>
      <c r="CJ184" s="15"/>
      <c r="CK184" s="15"/>
      <c r="CL184" s="15">
        <v>2</v>
      </c>
      <c r="CM184" s="15">
        <v>3</v>
      </c>
      <c r="CN184" s="15">
        <v>6</v>
      </c>
      <c r="CO184" s="15">
        <v>4</v>
      </c>
      <c r="CP184" s="15">
        <v>5</v>
      </c>
      <c r="CQ184" s="15">
        <v>1</v>
      </c>
      <c r="CR184" s="15"/>
      <c r="CS184" s="15" t="s">
        <v>328</v>
      </c>
      <c r="CT184" s="15"/>
      <c r="CU184" s="15" t="s">
        <v>328</v>
      </c>
      <c r="CV184" s="15"/>
      <c r="CW184" s="15" t="s">
        <v>328</v>
      </c>
      <c r="CX184" s="15"/>
      <c r="CY184" s="15"/>
      <c r="CZ184" s="15"/>
      <c r="DA184" s="15">
        <v>1</v>
      </c>
      <c r="DB184" s="15">
        <v>3</v>
      </c>
      <c r="DC184" s="15">
        <v>4</v>
      </c>
      <c r="DD184" s="15">
        <v>5</v>
      </c>
      <c r="DE184" s="15">
        <v>2</v>
      </c>
      <c r="DF184" s="15">
        <v>6</v>
      </c>
      <c r="DG184" s="15"/>
      <c r="DH184" s="15" t="s">
        <v>328</v>
      </c>
      <c r="DI184" s="15"/>
      <c r="DJ184" s="15"/>
      <c r="DK184" s="15"/>
      <c r="DL184" s="15"/>
      <c r="DM184" s="15"/>
      <c r="DN184" s="14" t="s">
        <v>333</v>
      </c>
      <c r="DO184" s="15" t="s">
        <v>328</v>
      </c>
      <c r="DP184" s="15"/>
      <c r="DQ184" s="15"/>
      <c r="DR184" s="15"/>
      <c r="DS184" s="15"/>
      <c r="DT184" s="15"/>
      <c r="DU184" s="15"/>
      <c r="DV184" s="15" t="s">
        <v>333</v>
      </c>
      <c r="DW184" s="15" t="s">
        <v>328</v>
      </c>
      <c r="DX184" s="15"/>
      <c r="DY184" s="15"/>
      <c r="DZ184" s="15"/>
      <c r="EA184" s="15"/>
      <c r="EB184" s="15"/>
      <c r="EC184" s="102" t="s">
        <v>333</v>
      </c>
      <c r="ED184" s="99"/>
    </row>
    <row r="185" spans="1:134" x14ac:dyDescent="0.25">
      <c r="A185" s="50" t="s">
        <v>1855</v>
      </c>
      <c r="B185" s="61" t="s">
        <v>642</v>
      </c>
      <c r="C185" s="15" t="s">
        <v>328</v>
      </c>
      <c r="D185" s="15"/>
      <c r="E185" s="15">
        <v>67</v>
      </c>
      <c r="F185" s="15" t="s">
        <v>329</v>
      </c>
      <c r="G185" s="15" t="s">
        <v>330</v>
      </c>
      <c r="H185" s="15" t="s">
        <v>783</v>
      </c>
      <c r="I185" s="18" t="s">
        <v>783</v>
      </c>
      <c r="J185" s="15" t="s">
        <v>1183</v>
      </c>
      <c r="K185" s="15">
        <v>40</v>
      </c>
      <c r="L185" s="15">
        <v>1</v>
      </c>
      <c r="M185" s="15">
        <v>1</v>
      </c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 t="s">
        <v>328</v>
      </c>
      <c r="AB185" s="15"/>
      <c r="AC185" s="15" t="s">
        <v>328</v>
      </c>
      <c r="AD185" s="15" t="s">
        <v>328</v>
      </c>
      <c r="AE185" s="15"/>
      <c r="AF185" s="15" t="s">
        <v>328</v>
      </c>
      <c r="AG185" s="15"/>
      <c r="AH185" s="15"/>
      <c r="AI185" s="15"/>
      <c r="AJ185" s="15"/>
      <c r="AK185" s="15" t="s">
        <v>328</v>
      </c>
      <c r="AL185" s="15"/>
      <c r="AM185" s="15" t="s">
        <v>328</v>
      </c>
      <c r="AN185" s="15"/>
      <c r="AO185" s="15"/>
      <c r="AP185" s="15">
        <v>5</v>
      </c>
      <c r="AQ185" s="15">
        <v>6</v>
      </c>
      <c r="AR185" s="15"/>
      <c r="AS185" s="15" t="s">
        <v>328</v>
      </c>
      <c r="AT185" s="15"/>
      <c r="AU185" s="15"/>
      <c r="AV185" s="15">
        <v>3</v>
      </c>
      <c r="AW185" s="15">
        <v>2</v>
      </c>
      <c r="AX185" s="15">
        <v>1</v>
      </c>
      <c r="AY185" s="15"/>
      <c r="AZ185" s="15" t="s">
        <v>328</v>
      </c>
      <c r="BA185" s="15"/>
      <c r="BB185" s="15" t="s">
        <v>328</v>
      </c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 t="s">
        <v>328</v>
      </c>
      <c r="BN185" s="15"/>
      <c r="BO185" s="15" t="s">
        <v>328</v>
      </c>
      <c r="BP185" s="15"/>
      <c r="BQ185" s="15"/>
      <c r="BR185" s="15"/>
      <c r="BS185" s="15"/>
      <c r="BT185" s="15"/>
      <c r="BU185" s="15"/>
      <c r="BV185" s="15" t="s">
        <v>875</v>
      </c>
      <c r="BW185" s="15"/>
      <c r="BX185" s="15"/>
      <c r="BY185" s="15"/>
      <c r="BZ185" s="15"/>
      <c r="CA185" s="15"/>
      <c r="CB185" s="15"/>
      <c r="CC185" s="15"/>
      <c r="CD185" s="15" t="s">
        <v>328</v>
      </c>
      <c r="CE185" s="15"/>
      <c r="CF185" s="15"/>
      <c r="CG185" s="15"/>
      <c r="CH185" s="15" t="s">
        <v>328</v>
      </c>
      <c r="CI185" s="15"/>
      <c r="CJ185" s="15"/>
      <c r="CK185" s="15"/>
      <c r="CL185" s="15">
        <v>5</v>
      </c>
      <c r="CM185" s="15">
        <v>1</v>
      </c>
      <c r="CN185" s="15">
        <v>3</v>
      </c>
      <c r="CO185" s="15">
        <v>4</v>
      </c>
      <c r="CP185" s="15">
        <v>2</v>
      </c>
      <c r="CQ185" s="15">
        <v>6</v>
      </c>
      <c r="CR185" s="15"/>
      <c r="CS185" s="15"/>
      <c r="CT185" s="15"/>
      <c r="CU185" s="15"/>
      <c r="CV185" s="15" t="s">
        <v>328</v>
      </c>
      <c r="CW185" s="15"/>
      <c r="CX185" s="15"/>
      <c r="CY185" s="15"/>
      <c r="CZ185" s="15"/>
      <c r="DA185" s="15">
        <v>1</v>
      </c>
      <c r="DB185" s="15">
        <v>2</v>
      </c>
      <c r="DC185" s="15">
        <v>3</v>
      </c>
      <c r="DD185" s="15">
        <v>4</v>
      </c>
      <c r="DE185" s="15">
        <v>6</v>
      </c>
      <c r="DF185" s="15">
        <v>5</v>
      </c>
      <c r="DG185" s="15"/>
      <c r="DH185" s="15" t="s">
        <v>328</v>
      </c>
      <c r="DI185" s="15"/>
      <c r="DJ185" s="15"/>
      <c r="DK185" s="15"/>
      <c r="DL185" s="15"/>
      <c r="DM185" s="15"/>
      <c r="DN185" s="14" t="s">
        <v>1146</v>
      </c>
      <c r="DO185" s="15" t="s">
        <v>328</v>
      </c>
      <c r="DP185" s="15"/>
      <c r="DQ185" s="15"/>
      <c r="DR185" s="15"/>
      <c r="DS185" s="15"/>
      <c r="DT185" s="15"/>
      <c r="DU185" s="15"/>
      <c r="DV185" s="15" t="s">
        <v>1144</v>
      </c>
      <c r="DW185" s="15" t="s">
        <v>328</v>
      </c>
      <c r="DX185" s="15"/>
      <c r="DY185" s="15"/>
      <c r="DZ185" s="15"/>
      <c r="EA185" s="15"/>
      <c r="EB185" s="15"/>
      <c r="EC185" s="102" t="s">
        <v>1145</v>
      </c>
      <c r="ED185" s="99"/>
    </row>
    <row r="186" spans="1:134" x14ac:dyDescent="0.25">
      <c r="A186" s="50" t="s">
        <v>1855</v>
      </c>
      <c r="B186" s="61" t="s">
        <v>643</v>
      </c>
      <c r="C186" s="15" t="s">
        <v>328</v>
      </c>
      <c r="D186" s="15"/>
      <c r="E186" s="15">
        <v>32</v>
      </c>
      <c r="F186" s="15" t="s">
        <v>329</v>
      </c>
      <c r="G186" s="15" t="s">
        <v>399</v>
      </c>
      <c r="H186" s="15" t="s">
        <v>578</v>
      </c>
      <c r="I186" s="15" t="s">
        <v>1247</v>
      </c>
      <c r="J186" s="15" t="s">
        <v>1288</v>
      </c>
      <c r="K186" s="15">
        <v>0</v>
      </c>
      <c r="L186" s="15">
        <v>2</v>
      </c>
      <c r="M186" s="15">
        <v>2</v>
      </c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 t="s">
        <v>328</v>
      </c>
      <c r="AB186" s="15" t="s">
        <v>328</v>
      </c>
      <c r="AC186" s="15" t="s">
        <v>328</v>
      </c>
      <c r="AD186" s="15" t="s">
        <v>328</v>
      </c>
      <c r="AE186" s="15" t="s">
        <v>328</v>
      </c>
      <c r="AF186" s="15" t="s">
        <v>328</v>
      </c>
      <c r="AG186" s="15"/>
      <c r="AH186" s="15"/>
      <c r="AI186" s="15"/>
      <c r="AJ186" s="15" t="s">
        <v>328</v>
      </c>
      <c r="AK186" s="15"/>
      <c r="AL186" s="15" t="s">
        <v>328</v>
      </c>
      <c r="AM186" s="15"/>
      <c r="AN186" s="15" t="s">
        <v>328</v>
      </c>
      <c r="AO186" s="15"/>
      <c r="AP186" s="15">
        <v>10</v>
      </c>
      <c r="AQ186" s="15">
        <v>3</v>
      </c>
      <c r="AR186" s="15"/>
      <c r="AS186" s="15"/>
      <c r="AT186" s="15" t="s">
        <v>328</v>
      </c>
      <c r="AU186" s="15"/>
      <c r="AV186" s="15">
        <v>1</v>
      </c>
      <c r="AW186" s="15">
        <v>3</v>
      </c>
      <c r="AX186" s="15">
        <v>2</v>
      </c>
      <c r="AY186" s="15"/>
      <c r="AZ186" s="15" t="s">
        <v>328</v>
      </c>
      <c r="BA186" s="15"/>
      <c r="BB186" s="15"/>
      <c r="BC186" s="15"/>
      <c r="BD186" s="15"/>
      <c r="BE186" s="15"/>
      <c r="BF186" s="15"/>
      <c r="BG186" s="15" t="s">
        <v>328</v>
      </c>
      <c r="BH186" s="15" t="s">
        <v>328</v>
      </c>
      <c r="BI186" s="15"/>
      <c r="BJ186" s="15"/>
      <c r="BK186" s="15"/>
      <c r="BL186" s="15"/>
      <c r="BM186" s="15" t="s">
        <v>328</v>
      </c>
      <c r="BN186" s="15" t="s">
        <v>328</v>
      </c>
      <c r="BO186" s="15"/>
      <c r="BP186" s="15"/>
      <c r="BQ186" s="15" t="s">
        <v>328</v>
      </c>
      <c r="BR186" s="15"/>
      <c r="BS186" s="15"/>
      <c r="BT186" s="15"/>
      <c r="BU186" s="15" t="s">
        <v>328</v>
      </c>
      <c r="BV186" s="15"/>
      <c r="BW186" s="15" t="s">
        <v>328</v>
      </c>
      <c r="BX186" s="15"/>
      <c r="BY186" s="15"/>
      <c r="BZ186" s="15" t="s">
        <v>328</v>
      </c>
      <c r="CA186" s="15" t="s">
        <v>328</v>
      </c>
      <c r="CB186" s="15" t="s">
        <v>328</v>
      </c>
      <c r="CC186" s="15"/>
      <c r="CD186" s="15"/>
      <c r="CE186" s="15"/>
      <c r="CF186" s="15"/>
      <c r="CG186" s="15" t="s">
        <v>328</v>
      </c>
      <c r="CH186" s="15"/>
      <c r="CI186" s="15"/>
      <c r="CJ186" s="15"/>
      <c r="CK186" s="15"/>
      <c r="CL186" s="15">
        <v>3</v>
      </c>
      <c r="CM186" s="15">
        <v>1</v>
      </c>
      <c r="CN186" s="15">
        <v>4</v>
      </c>
      <c r="CO186" s="15">
        <v>5</v>
      </c>
      <c r="CP186" s="15">
        <v>6</v>
      </c>
      <c r="CQ186" s="15">
        <v>2</v>
      </c>
      <c r="CR186" s="15"/>
      <c r="CS186" s="15" t="s">
        <v>328</v>
      </c>
      <c r="CT186" s="15"/>
      <c r="CU186" s="15"/>
      <c r="CV186" s="15"/>
      <c r="CW186" s="15"/>
      <c r="CX186" s="15"/>
      <c r="CY186" s="15"/>
      <c r="CZ186" s="15"/>
      <c r="DA186" s="15">
        <v>2</v>
      </c>
      <c r="DB186" s="15">
        <v>6</v>
      </c>
      <c r="DC186" s="15">
        <v>1</v>
      </c>
      <c r="DD186" s="15">
        <v>4</v>
      </c>
      <c r="DE186" s="15">
        <v>3</v>
      </c>
      <c r="DF186" s="15">
        <v>5</v>
      </c>
      <c r="DG186" s="15"/>
      <c r="DH186" s="15" t="s">
        <v>328</v>
      </c>
      <c r="DI186" s="15"/>
      <c r="DJ186" s="15"/>
      <c r="DK186" s="15"/>
      <c r="DL186" s="15"/>
      <c r="DM186" s="15"/>
      <c r="DN186" s="14" t="s">
        <v>1146</v>
      </c>
      <c r="DO186" s="15" t="s">
        <v>328</v>
      </c>
      <c r="DP186" s="15"/>
      <c r="DQ186" s="15"/>
      <c r="DR186" s="15"/>
      <c r="DS186" s="15"/>
      <c r="DT186" s="15"/>
      <c r="DU186" s="15"/>
      <c r="DV186" s="15" t="s">
        <v>602</v>
      </c>
      <c r="DW186" s="15" t="s">
        <v>328</v>
      </c>
      <c r="DX186" s="15"/>
      <c r="DY186" s="15"/>
      <c r="DZ186" s="15"/>
      <c r="EA186" s="15"/>
      <c r="EB186" s="15"/>
      <c r="EC186" s="102" t="s">
        <v>497</v>
      </c>
      <c r="ED186" s="99"/>
    </row>
    <row r="187" spans="1:134" x14ac:dyDescent="0.25">
      <c r="A187" s="50" t="s">
        <v>1855</v>
      </c>
      <c r="B187" s="61" t="s">
        <v>644</v>
      </c>
      <c r="C187" s="15" t="s">
        <v>328</v>
      </c>
      <c r="D187" s="15"/>
      <c r="E187" s="15">
        <v>47</v>
      </c>
      <c r="F187" s="15" t="s">
        <v>376</v>
      </c>
      <c r="G187" s="15" t="s">
        <v>399</v>
      </c>
      <c r="H187" s="15" t="s">
        <v>784</v>
      </c>
      <c r="I187" s="18" t="s">
        <v>1260</v>
      </c>
      <c r="J187" s="15" t="s">
        <v>1288</v>
      </c>
      <c r="K187" s="15">
        <v>0</v>
      </c>
      <c r="L187" s="15">
        <v>3</v>
      </c>
      <c r="M187" s="15">
        <v>6</v>
      </c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 t="s">
        <v>328</v>
      </c>
      <c r="AE187" s="15"/>
      <c r="AF187" s="15" t="s">
        <v>328</v>
      </c>
      <c r="AG187" s="15"/>
      <c r="AH187" s="15"/>
      <c r="AI187" s="15"/>
      <c r="AJ187" s="15" t="s">
        <v>328</v>
      </c>
      <c r="AK187" s="15"/>
      <c r="AL187" s="15" t="s">
        <v>328</v>
      </c>
      <c r="AM187" s="15"/>
      <c r="AN187" s="15"/>
      <c r="AO187" s="15"/>
      <c r="AP187" s="15">
        <v>10</v>
      </c>
      <c r="AQ187" s="15">
        <v>2</v>
      </c>
      <c r="AR187" s="15"/>
      <c r="AS187" s="15"/>
      <c r="AT187" s="15"/>
      <c r="AU187" s="15" t="s">
        <v>328</v>
      </c>
      <c r="AV187" s="15">
        <v>2</v>
      </c>
      <c r="AW187" s="15">
        <v>4</v>
      </c>
      <c r="AX187" s="15">
        <v>3</v>
      </c>
      <c r="AY187" s="18" t="s">
        <v>346</v>
      </c>
      <c r="AZ187" s="15"/>
      <c r="BA187" s="15" t="s">
        <v>328</v>
      </c>
      <c r="BB187" s="15"/>
      <c r="BC187" s="15"/>
      <c r="BD187" s="15"/>
      <c r="BE187" s="15"/>
      <c r="BF187" s="15"/>
      <c r="BG187" s="15" t="s">
        <v>328</v>
      </c>
      <c r="BH187" s="15"/>
      <c r="BI187" s="15"/>
      <c r="BJ187" s="15"/>
      <c r="BK187" s="15"/>
      <c r="BL187" s="15" t="s">
        <v>328</v>
      </c>
      <c r="BM187" s="15"/>
      <c r="BN187" s="15" t="s">
        <v>328</v>
      </c>
      <c r="BO187" s="15"/>
      <c r="BP187" s="15" t="s">
        <v>328</v>
      </c>
      <c r="BQ187" s="15" t="s">
        <v>328</v>
      </c>
      <c r="BR187" s="15" t="s">
        <v>328</v>
      </c>
      <c r="BS187" s="15"/>
      <c r="BT187" s="15"/>
      <c r="BU187" s="15" t="s">
        <v>328</v>
      </c>
      <c r="BV187" s="15"/>
      <c r="BW187" s="15" t="s">
        <v>328</v>
      </c>
      <c r="BX187" s="15"/>
      <c r="BY187" s="15"/>
      <c r="BZ187" s="15"/>
      <c r="CA187" s="15" t="s">
        <v>328</v>
      </c>
      <c r="CB187" s="15"/>
      <c r="CC187" s="15"/>
      <c r="CD187" s="15"/>
      <c r="CE187" s="15"/>
      <c r="CF187" s="15"/>
      <c r="CG187" s="15" t="s">
        <v>328</v>
      </c>
      <c r="CH187" s="15"/>
      <c r="CI187" s="15"/>
      <c r="CJ187" s="15"/>
      <c r="CK187" s="15"/>
      <c r="CL187" s="15">
        <v>1</v>
      </c>
      <c r="CM187" s="15">
        <v>5</v>
      </c>
      <c r="CN187" s="15">
        <v>6</v>
      </c>
      <c r="CO187" s="15">
        <v>3</v>
      </c>
      <c r="CP187" s="15">
        <v>4</v>
      </c>
      <c r="CQ187" s="15">
        <v>2</v>
      </c>
      <c r="CR187" s="15"/>
      <c r="CS187" s="15"/>
      <c r="CT187" s="15"/>
      <c r="CU187" s="15" t="s">
        <v>328</v>
      </c>
      <c r="CV187" s="15"/>
      <c r="CW187" s="15" t="s">
        <v>328</v>
      </c>
      <c r="CX187" s="15"/>
      <c r="CY187" s="15"/>
      <c r="CZ187" s="15"/>
      <c r="DA187" s="15">
        <v>1</v>
      </c>
      <c r="DB187" s="15">
        <v>4</v>
      </c>
      <c r="DC187" s="15">
        <v>2</v>
      </c>
      <c r="DD187" s="15">
        <v>5</v>
      </c>
      <c r="DE187" s="15">
        <v>3</v>
      </c>
      <c r="DF187" s="15">
        <v>6</v>
      </c>
      <c r="DG187" s="15"/>
      <c r="DH187" s="15" t="s">
        <v>328</v>
      </c>
      <c r="DI187" s="15"/>
      <c r="DJ187" s="15"/>
      <c r="DK187" s="15"/>
      <c r="DL187" s="15"/>
      <c r="DM187" s="15"/>
      <c r="DN187" s="15" t="s">
        <v>411</v>
      </c>
      <c r="DO187" s="15"/>
      <c r="DP187" s="15" t="s">
        <v>328</v>
      </c>
      <c r="DQ187" s="15" t="s">
        <v>328</v>
      </c>
      <c r="DR187" s="15" t="s">
        <v>397</v>
      </c>
      <c r="DS187" s="15"/>
      <c r="DT187" s="15"/>
      <c r="DU187" s="15"/>
      <c r="DV187" s="15" t="s">
        <v>474</v>
      </c>
      <c r="DW187" s="15"/>
      <c r="DX187" s="15" t="s">
        <v>328</v>
      </c>
      <c r="DY187" s="15" t="s">
        <v>328</v>
      </c>
      <c r="DZ187" s="15" t="s">
        <v>691</v>
      </c>
      <c r="EA187" s="15"/>
      <c r="EB187" s="15" t="s">
        <v>559</v>
      </c>
      <c r="EC187" s="102" t="s">
        <v>1155</v>
      </c>
      <c r="ED187" s="99"/>
    </row>
    <row r="188" spans="1:134" x14ac:dyDescent="0.25">
      <c r="A188" s="50" t="s">
        <v>1855</v>
      </c>
      <c r="B188" s="61" t="s">
        <v>645</v>
      </c>
      <c r="C188" s="15" t="s">
        <v>328</v>
      </c>
      <c r="D188" s="15"/>
      <c r="E188" s="15">
        <v>54</v>
      </c>
      <c r="F188" s="15" t="s">
        <v>329</v>
      </c>
      <c r="G188" s="15" t="s">
        <v>330</v>
      </c>
      <c r="H188" s="15" t="s">
        <v>750</v>
      </c>
      <c r="I188" s="18" t="s">
        <v>1261</v>
      </c>
      <c r="J188" s="15" t="s">
        <v>1288</v>
      </c>
      <c r="K188" s="15">
        <v>0</v>
      </c>
      <c r="L188" s="15">
        <v>1</v>
      </c>
      <c r="M188" s="15">
        <v>1</v>
      </c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 t="s">
        <v>328</v>
      </c>
      <c r="AG188" s="15"/>
      <c r="AH188" s="15"/>
      <c r="AI188" s="15"/>
      <c r="AJ188" s="15" t="s">
        <v>328</v>
      </c>
      <c r="AK188" s="15"/>
      <c r="AL188" s="15"/>
      <c r="AM188" s="15"/>
      <c r="AN188" s="15"/>
      <c r="AO188" s="15" t="s">
        <v>328</v>
      </c>
      <c r="AP188" s="15">
        <v>10</v>
      </c>
      <c r="AQ188" s="15">
        <v>1</v>
      </c>
      <c r="AR188" s="15"/>
      <c r="AS188" s="15"/>
      <c r="AT188" s="15" t="s">
        <v>328</v>
      </c>
      <c r="AU188" s="15"/>
      <c r="AV188" s="15">
        <v>2</v>
      </c>
      <c r="AW188" s="15">
        <v>3</v>
      </c>
      <c r="AX188" s="15">
        <v>1</v>
      </c>
      <c r="AY188" s="15"/>
      <c r="AZ188" s="15" t="s">
        <v>328</v>
      </c>
      <c r="BA188" s="15"/>
      <c r="BB188" s="15"/>
      <c r="BC188" s="15"/>
      <c r="BD188" s="15"/>
      <c r="BE188" s="15" t="s">
        <v>328</v>
      </c>
      <c r="BF188" s="15"/>
      <c r="BG188" s="15"/>
      <c r="BH188" s="15"/>
      <c r="BI188" s="15"/>
      <c r="BJ188" s="15"/>
      <c r="BK188" s="15"/>
      <c r="BL188" s="15"/>
      <c r="BM188" s="15" t="s">
        <v>328</v>
      </c>
      <c r="BN188" s="15"/>
      <c r="BO188" s="15" t="s">
        <v>328</v>
      </c>
      <c r="BP188" s="15" t="s">
        <v>328</v>
      </c>
      <c r="BQ188" s="15"/>
      <c r="BR188" s="15"/>
      <c r="BS188" s="15"/>
      <c r="BT188" s="15"/>
      <c r="BU188" s="15"/>
      <c r="BV188" s="15"/>
      <c r="BW188" s="15"/>
      <c r="BX188" s="15"/>
      <c r="BY188" s="15"/>
      <c r="BZ188" s="15" t="s">
        <v>328</v>
      </c>
      <c r="CA188" s="15" t="s">
        <v>328</v>
      </c>
      <c r="CB188" s="15" t="s">
        <v>328</v>
      </c>
      <c r="CC188" s="15"/>
      <c r="CD188" s="15"/>
      <c r="CE188" s="15"/>
      <c r="CF188" s="15"/>
      <c r="CG188" s="15" t="s">
        <v>328</v>
      </c>
      <c r="CH188" s="15"/>
      <c r="CI188" s="15"/>
      <c r="CJ188" s="15"/>
      <c r="CK188" s="15"/>
      <c r="CL188" s="15">
        <v>4</v>
      </c>
      <c r="CM188" s="15">
        <v>1</v>
      </c>
      <c r="CN188" s="15">
        <v>2</v>
      </c>
      <c r="CO188" s="15">
        <v>6</v>
      </c>
      <c r="CP188" s="15">
        <v>3</v>
      </c>
      <c r="CQ188" s="15">
        <v>5</v>
      </c>
      <c r="CR188" s="15"/>
      <c r="CS188" s="15"/>
      <c r="CT188" s="15"/>
      <c r="CU188" s="15"/>
      <c r="CV188" s="15" t="s">
        <v>328</v>
      </c>
      <c r="CW188" s="15"/>
      <c r="CX188" s="15"/>
      <c r="CY188" s="15"/>
      <c r="CZ188" s="15"/>
      <c r="DA188" s="15">
        <v>5</v>
      </c>
      <c r="DB188" s="15">
        <v>1</v>
      </c>
      <c r="DC188" s="15">
        <v>2</v>
      </c>
      <c r="DD188" s="15">
        <v>3</v>
      </c>
      <c r="DE188" s="15">
        <v>6</v>
      </c>
      <c r="DF188" s="15">
        <v>4</v>
      </c>
      <c r="DG188" s="15"/>
      <c r="DH188" s="15" t="s">
        <v>328</v>
      </c>
      <c r="DI188" s="15"/>
      <c r="DJ188" s="15"/>
      <c r="DK188" s="15"/>
      <c r="DL188" s="15"/>
      <c r="DM188" s="15"/>
      <c r="DN188" s="14" t="s">
        <v>333</v>
      </c>
      <c r="DO188" s="15" t="s">
        <v>328</v>
      </c>
      <c r="DP188" s="15"/>
      <c r="DQ188" s="15"/>
      <c r="DR188" s="15"/>
      <c r="DS188" s="15"/>
      <c r="DT188" s="15"/>
      <c r="DU188" s="15"/>
      <c r="DV188" s="15" t="s">
        <v>333</v>
      </c>
      <c r="DW188" s="15" t="s">
        <v>328</v>
      </c>
      <c r="DX188" s="15"/>
      <c r="DY188" s="15"/>
      <c r="DZ188" s="15"/>
      <c r="EA188" s="15"/>
      <c r="EB188" s="15"/>
      <c r="EC188" s="102" t="s">
        <v>333</v>
      </c>
      <c r="ED188" s="99"/>
    </row>
    <row r="189" spans="1:134" x14ac:dyDescent="0.25">
      <c r="A189" s="50" t="s">
        <v>1855</v>
      </c>
      <c r="B189" s="61" t="s">
        <v>646</v>
      </c>
      <c r="C189" s="15" t="s">
        <v>328</v>
      </c>
      <c r="D189" s="15"/>
      <c r="E189" s="15">
        <v>51</v>
      </c>
      <c r="F189" s="15" t="s">
        <v>329</v>
      </c>
      <c r="G189" s="15" t="s">
        <v>330</v>
      </c>
      <c r="H189" s="15" t="s">
        <v>784</v>
      </c>
      <c r="I189" s="15" t="s">
        <v>1260</v>
      </c>
      <c r="J189" s="15" t="s">
        <v>1288</v>
      </c>
      <c r="K189" s="15">
        <v>30</v>
      </c>
      <c r="L189" s="15">
        <v>1</v>
      </c>
      <c r="M189" s="15"/>
      <c r="N189" s="15"/>
      <c r="O189" s="15"/>
      <c r="P189" s="15"/>
      <c r="Q189" s="15"/>
      <c r="R189" s="15"/>
      <c r="S189" s="15"/>
      <c r="T189" s="15"/>
      <c r="U189" s="15">
        <v>1</v>
      </c>
      <c r="V189" s="15"/>
      <c r="W189" s="15"/>
      <c r="X189" s="15"/>
      <c r="Y189" s="15"/>
      <c r="Z189" s="15"/>
      <c r="AA189" s="15"/>
      <c r="AB189" s="15"/>
      <c r="AC189" s="15" t="s">
        <v>328</v>
      </c>
      <c r="AD189" s="15"/>
      <c r="AE189" s="15"/>
      <c r="AF189" s="15"/>
      <c r="AG189" s="15"/>
      <c r="AH189" s="15"/>
      <c r="AI189" s="15"/>
      <c r="AJ189" s="15" t="s">
        <v>328</v>
      </c>
      <c r="AK189" s="15"/>
      <c r="AL189" s="15"/>
      <c r="AM189" s="15"/>
      <c r="AN189" s="15"/>
      <c r="AO189" s="15" t="s">
        <v>328</v>
      </c>
      <c r="AP189" s="15">
        <v>10</v>
      </c>
      <c r="AQ189" s="15">
        <v>1</v>
      </c>
      <c r="AR189" s="15"/>
      <c r="AS189" s="15"/>
      <c r="AT189" s="15" t="s">
        <v>328</v>
      </c>
      <c r="AU189" s="15"/>
      <c r="AV189" s="15">
        <v>1</v>
      </c>
      <c r="AW189" s="15">
        <v>2</v>
      </c>
      <c r="AX189" s="15">
        <v>3</v>
      </c>
      <c r="AY189" s="15"/>
      <c r="AZ189" s="15" t="s">
        <v>328</v>
      </c>
      <c r="BA189" s="15"/>
      <c r="BB189" s="15"/>
      <c r="BC189" s="15" t="s">
        <v>328</v>
      </c>
      <c r="BD189" s="15"/>
      <c r="BE189" s="15"/>
      <c r="BF189" s="15"/>
      <c r="BG189" s="15"/>
      <c r="BH189" s="15"/>
      <c r="BI189" s="15"/>
      <c r="BJ189" s="15"/>
      <c r="BK189" s="15"/>
      <c r="BL189" s="15"/>
      <c r="BM189" s="15" t="s">
        <v>328</v>
      </c>
      <c r="BN189" s="15"/>
      <c r="BO189" s="15" t="s">
        <v>328</v>
      </c>
      <c r="BP189" s="15" t="s">
        <v>328</v>
      </c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 t="s">
        <v>328</v>
      </c>
      <c r="CC189" s="15"/>
      <c r="CD189" s="15"/>
      <c r="CE189" s="15"/>
      <c r="CF189" s="15"/>
      <c r="CG189" s="15"/>
      <c r="CH189" s="15" t="s">
        <v>328</v>
      </c>
      <c r="CI189" s="15"/>
      <c r="CJ189" s="15"/>
      <c r="CK189" s="15"/>
      <c r="CL189" s="15">
        <v>3</v>
      </c>
      <c r="CM189" s="15">
        <v>2</v>
      </c>
      <c r="CN189" s="15">
        <v>1</v>
      </c>
      <c r="CO189" s="15">
        <v>6</v>
      </c>
      <c r="CP189" s="15">
        <v>5</v>
      </c>
      <c r="CQ189" s="15">
        <v>4</v>
      </c>
      <c r="CR189" s="15"/>
      <c r="CS189" s="15"/>
      <c r="CT189" s="15"/>
      <c r="CU189" s="15"/>
      <c r="CV189" s="15"/>
      <c r="CW189" s="15"/>
      <c r="CX189" s="15" t="s">
        <v>332</v>
      </c>
      <c r="CY189" s="15"/>
      <c r="CZ189" s="15"/>
      <c r="DA189" s="15">
        <v>1</v>
      </c>
      <c r="DB189" s="15">
        <v>4</v>
      </c>
      <c r="DC189" s="15">
        <v>3</v>
      </c>
      <c r="DD189" s="15">
        <v>5</v>
      </c>
      <c r="DE189" s="15">
        <v>2</v>
      </c>
      <c r="DF189" s="15">
        <v>6</v>
      </c>
      <c r="DG189" s="15"/>
      <c r="DH189" s="15" t="s">
        <v>328</v>
      </c>
      <c r="DI189" s="15"/>
      <c r="DJ189" s="15"/>
      <c r="DK189" s="15"/>
      <c r="DL189" s="15"/>
      <c r="DM189" s="15"/>
      <c r="DN189" s="14" t="s">
        <v>1146</v>
      </c>
      <c r="DO189" s="15" t="s">
        <v>328</v>
      </c>
      <c r="DP189" s="15"/>
      <c r="DQ189" s="15"/>
      <c r="DR189" s="15"/>
      <c r="DS189" s="15"/>
      <c r="DT189" s="15"/>
      <c r="DU189" s="15"/>
      <c r="DV189" s="15" t="s">
        <v>450</v>
      </c>
      <c r="DW189" s="15" t="s">
        <v>328</v>
      </c>
      <c r="DX189" s="15"/>
      <c r="DY189" s="15"/>
      <c r="DZ189" s="15"/>
      <c r="EA189" s="15"/>
      <c r="EB189" s="15"/>
      <c r="EC189" s="102" t="s">
        <v>450</v>
      </c>
      <c r="ED189" s="99"/>
    </row>
    <row r="190" spans="1:134" x14ac:dyDescent="0.25">
      <c r="A190" s="50" t="s">
        <v>1855</v>
      </c>
      <c r="B190" s="61" t="s">
        <v>647</v>
      </c>
      <c r="C190" s="15" t="s">
        <v>328</v>
      </c>
      <c r="D190" s="15"/>
      <c r="E190" s="15">
        <v>26</v>
      </c>
      <c r="F190" s="15" t="s">
        <v>329</v>
      </c>
      <c r="G190" s="15" t="s">
        <v>357</v>
      </c>
      <c r="H190" s="15" t="s">
        <v>785</v>
      </c>
      <c r="I190" s="15" t="s">
        <v>1260</v>
      </c>
      <c r="J190" s="15" t="s">
        <v>1288</v>
      </c>
      <c r="K190" s="15">
        <v>4</v>
      </c>
      <c r="L190" s="15">
        <v>1</v>
      </c>
      <c r="M190" s="15">
        <v>1</v>
      </c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 t="s">
        <v>328</v>
      </c>
      <c r="AE190" s="15"/>
      <c r="AF190" s="15" t="s">
        <v>328</v>
      </c>
      <c r="AG190" s="15"/>
      <c r="AH190" s="15"/>
      <c r="AI190" s="15"/>
      <c r="AJ190" s="15" t="s">
        <v>328</v>
      </c>
      <c r="AK190" s="15"/>
      <c r="AL190" s="15"/>
      <c r="AM190" s="15"/>
      <c r="AN190" s="15" t="s">
        <v>328</v>
      </c>
      <c r="AO190" s="15"/>
      <c r="AP190" s="15">
        <v>10</v>
      </c>
      <c r="AQ190" s="15">
        <v>1</v>
      </c>
      <c r="AR190" s="15"/>
      <c r="AS190" s="15"/>
      <c r="AT190" s="15" t="s">
        <v>328</v>
      </c>
      <c r="AU190" s="15"/>
      <c r="AV190" s="15">
        <v>1</v>
      </c>
      <c r="AW190" s="15">
        <v>2</v>
      </c>
      <c r="AX190" s="15">
        <v>3</v>
      </c>
      <c r="AY190" s="15"/>
      <c r="AZ190" s="15" t="s">
        <v>328</v>
      </c>
      <c r="BA190" s="15"/>
      <c r="BB190" s="15"/>
      <c r="BC190" s="15"/>
      <c r="BD190" s="15"/>
      <c r="BE190" s="15" t="s">
        <v>328</v>
      </c>
      <c r="BF190" s="15"/>
      <c r="BG190" s="15"/>
      <c r="BH190" s="15"/>
      <c r="BI190" s="15"/>
      <c r="BJ190" s="15"/>
      <c r="BK190" s="15"/>
      <c r="BL190" s="15"/>
      <c r="BM190" s="15" t="s">
        <v>328</v>
      </c>
      <c r="BN190" s="15"/>
      <c r="BO190" s="15" t="s">
        <v>328</v>
      </c>
      <c r="BP190" s="15"/>
      <c r="BQ190" s="15" t="s">
        <v>328</v>
      </c>
      <c r="BR190" s="15"/>
      <c r="BS190" s="15"/>
      <c r="BT190" s="15"/>
      <c r="BU190" s="15" t="s">
        <v>328</v>
      </c>
      <c r="BV190" s="15"/>
      <c r="BW190" s="15"/>
      <c r="BX190" s="15"/>
      <c r="BY190" s="15"/>
      <c r="BZ190" s="15"/>
      <c r="CA190" s="15" t="s">
        <v>328</v>
      </c>
      <c r="CB190" s="15"/>
      <c r="CC190" s="15"/>
      <c r="CD190" s="15"/>
      <c r="CE190" s="15"/>
      <c r="CF190" s="15"/>
      <c r="CG190" s="15" t="s">
        <v>328</v>
      </c>
      <c r="CH190" s="15"/>
      <c r="CI190" s="15"/>
      <c r="CJ190" s="15"/>
      <c r="CK190" s="15"/>
      <c r="CL190" s="15">
        <v>1</v>
      </c>
      <c r="CM190" s="15">
        <v>6</v>
      </c>
      <c r="CN190" s="15">
        <v>2</v>
      </c>
      <c r="CO190" s="15">
        <v>4</v>
      </c>
      <c r="CP190" s="15">
        <v>5</v>
      </c>
      <c r="CQ190" s="15">
        <v>3</v>
      </c>
      <c r="CR190" s="15"/>
      <c r="CS190" s="15" t="s">
        <v>328</v>
      </c>
      <c r="CT190" s="15"/>
      <c r="CU190" s="15"/>
      <c r="CV190" s="15"/>
      <c r="CW190" s="15"/>
      <c r="CX190" s="15"/>
      <c r="CY190" s="15"/>
      <c r="CZ190" s="15"/>
      <c r="DA190" s="15">
        <v>2</v>
      </c>
      <c r="DB190" s="15">
        <v>6</v>
      </c>
      <c r="DC190" s="15">
        <v>1</v>
      </c>
      <c r="DD190" s="15">
        <v>3</v>
      </c>
      <c r="DE190" s="15">
        <v>5</v>
      </c>
      <c r="DF190" s="15">
        <v>4</v>
      </c>
      <c r="DG190" s="15"/>
      <c r="DH190" s="15" t="s">
        <v>328</v>
      </c>
      <c r="DI190" s="15"/>
      <c r="DJ190" s="15"/>
      <c r="DK190" s="15"/>
      <c r="DL190" s="15"/>
      <c r="DM190" s="15"/>
      <c r="DN190" s="15" t="s">
        <v>411</v>
      </c>
      <c r="DO190" s="15" t="s">
        <v>328</v>
      </c>
      <c r="DP190" s="15"/>
      <c r="DQ190" s="15"/>
      <c r="DR190" s="15"/>
      <c r="DS190" s="15"/>
      <c r="DT190" s="15"/>
      <c r="DU190" s="15"/>
      <c r="DV190" s="15" t="s">
        <v>1144</v>
      </c>
      <c r="DW190" s="15" t="s">
        <v>328</v>
      </c>
      <c r="DX190" s="15"/>
      <c r="DY190" s="15"/>
      <c r="DZ190" s="15"/>
      <c r="EA190" s="15"/>
      <c r="EB190" s="15"/>
      <c r="EC190" s="102" t="s">
        <v>450</v>
      </c>
      <c r="ED190" s="99"/>
    </row>
    <row r="191" spans="1:134" x14ac:dyDescent="0.25">
      <c r="A191" s="50" t="s">
        <v>1855</v>
      </c>
      <c r="B191" s="61" t="s">
        <v>648</v>
      </c>
      <c r="C191" s="15" t="s">
        <v>328</v>
      </c>
      <c r="D191" s="15"/>
      <c r="E191" s="15">
        <v>38</v>
      </c>
      <c r="F191" s="15" t="s">
        <v>329</v>
      </c>
      <c r="G191" s="15" t="s">
        <v>357</v>
      </c>
      <c r="H191" s="15" t="s">
        <v>578</v>
      </c>
      <c r="I191" s="15" t="s">
        <v>1247</v>
      </c>
      <c r="J191" s="15" t="s">
        <v>1288</v>
      </c>
      <c r="K191" s="15">
        <v>15</v>
      </c>
      <c r="L191" s="15">
        <v>2</v>
      </c>
      <c r="M191" s="15">
        <v>2</v>
      </c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 t="s">
        <v>328</v>
      </c>
      <c r="AE191" s="15"/>
      <c r="AF191" s="15" t="s">
        <v>328</v>
      </c>
      <c r="AG191" s="15"/>
      <c r="AH191" s="15"/>
      <c r="AI191" s="15"/>
      <c r="AJ191" s="15" t="s">
        <v>328</v>
      </c>
      <c r="AK191" s="15"/>
      <c r="AL191" s="15"/>
      <c r="AM191" s="15"/>
      <c r="AN191" s="15" t="s">
        <v>328</v>
      </c>
      <c r="AO191" s="15"/>
      <c r="AP191" s="15">
        <v>10</v>
      </c>
      <c r="AQ191" s="15">
        <v>1</v>
      </c>
      <c r="AR191" s="15"/>
      <c r="AS191" s="15"/>
      <c r="AT191" s="15" t="s">
        <v>328</v>
      </c>
      <c r="AU191" s="15"/>
      <c r="AV191" s="15">
        <v>1</v>
      </c>
      <c r="AW191" s="15">
        <v>3</v>
      </c>
      <c r="AX191" s="15">
        <v>2</v>
      </c>
      <c r="AY191" s="15"/>
      <c r="AZ191" s="15" t="s">
        <v>328</v>
      </c>
      <c r="BA191" s="15"/>
      <c r="BB191" s="15"/>
      <c r="BC191" s="15"/>
      <c r="BD191" s="15"/>
      <c r="BE191" s="15" t="s">
        <v>328</v>
      </c>
      <c r="BF191" s="15"/>
      <c r="BG191" s="15"/>
      <c r="BH191" s="15"/>
      <c r="BI191" s="15"/>
      <c r="BJ191" s="15"/>
      <c r="BK191" s="15"/>
      <c r="BL191" s="15"/>
      <c r="BM191" s="15" t="s">
        <v>328</v>
      </c>
      <c r="BN191" s="15"/>
      <c r="BO191" s="15" t="s">
        <v>328</v>
      </c>
      <c r="BP191" s="15"/>
      <c r="BQ191" s="15" t="s">
        <v>328</v>
      </c>
      <c r="BR191" s="15" t="s">
        <v>328</v>
      </c>
      <c r="BS191" s="15"/>
      <c r="BT191" s="15"/>
      <c r="BU191" s="15"/>
      <c r="BV191" s="15"/>
      <c r="BW191" s="15"/>
      <c r="BX191" s="15"/>
      <c r="BY191" s="15"/>
      <c r="BZ191" s="15"/>
      <c r="CA191" s="15" t="s">
        <v>328</v>
      </c>
      <c r="CB191" s="15"/>
      <c r="CC191" s="15"/>
      <c r="CD191" s="15"/>
      <c r="CE191" s="15" t="s">
        <v>328</v>
      </c>
      <c r="CF191" s="15"/>
      <c r="CG191" s="15" t="s">
        <v>328</v>
      </c>
      <c r="CH191" s="15"/>
      <c r="CI191" s="15"/>
      <c r="CJ191" s="15"/>
      <c r="CK191" s="15"/>
      <c r="CL191" s="15">
        <v>3</v>
      </c>
      <c r="CM191" s="15">
        <v>1</v>
      </c>
      <c r="CN191" s="15">
        <v>2</v>
      </c>
      <c r="CO191" s="15">
        <v>5</v>
      </c>
      <c r="CP191" s="15">
        <v>6</v>
      </c>
      <c r="CQ191" s="15">
        <v>4</v>
      </c>
      <c r="CR191" s="15"/>
      <c r="CS191" s="15"/>
      <c r="CT191" s="15"/>
      <c r="CU191" s="15"/>
      <c r="CV191" s="15" t="s">
        <v>328</v>
      </c>
      <c r="CW191" s="15"/>
      <c r="CX191" s="15"/>
      <c r="CY191" s="15"/>
      <c r="CZ191" s="15"/>
      <c r="DA191" s="15">
        <v>1</v>
      </c>
      <c r="DB191" s="15">
        <v>2</v>
      </c>
      <c r="DC191" s="15">
        <v>3</v>
      </c>
      <c r="DD191" s="15">
        <v>4</v>
      </c>
      <c r="DE191" s="15">
        <v>6</v>
      </c>
      <c r="DF191" s="15">
        <v>5</v>
      </c>
      <c r="DG191" s="15"/>
      <c r="DH191" s="15" t="s">
        <v>328</v>
      </c>
      <c r="DI191" s="15"/>
      <c r="DJ191" s="15"/>
      <c r="DK191" s="15"/>
      <c r="DL191" s="15"/>
      <c r="DM191" s="15"/>
      <c r="DN191" s="14" t="s">
        <v>333</v>
      </c>
      <c r="DO191" s="15" t="s">
        <v>328</v>
      </c>
      <c r="DP191" s="15"/>
      <c r="DQ191" s="15"/>
      <c r="DR191" s="15"/>
      <c r="DS191" s="15"/>
      <c r="DT191" s="15"/>
      <c r="DU191" s="15"/>
      <c r="DV191" s="15" t="s">
        <v>474</v>
      </c>
      <c r="DW191" s="15" t="s">
        <v>328</v>
      </c>
      <c r="DX191" s="15"/>
      <c r="DY191" s="15"/>
      <c r="DZ191" s="15"/>
      <c r="EA191" s="15"/>
      <c r="EB191" s="15"/>
      <c r="EC191" s="102" t="s">
        <v>450</v>
      </c>
      <c r="ED191" s="99"/>
    </row>
    <row r="192" spans="1:134" x14ac:dyDescent="0.25">
      <c r="A192" s="50" t="s">
        <v>1855</v>
      </c>
      <c r="B192" s="61" t="s">
        <v>649</v>
      </c>
      <c r="C192" s="15" t="s">
        <v>328</v>
      </c>
      <c r="D192" s="15"/>
      <c r="E192" s="15">
        <v>52</v>
      </c>
      <c r="F192" s="15" t="s">
        <v>329</v>
      </c>
      <c r="G192" s="15" t="s">
        <v>353</v>
      </c>
      <c r="H192" s="15" t="s">
        <v>785</v>
      </c>
      <c r="I192" s="15" t="s">
        <v>1262</v>
      </c>
      <c r="J192" s="15" t="s">
        <v>1288</v>
      </c>
      <c r="K192" s="15">
        <v>0</v>
      </c>
      <c r="L192" s="15">
        <v>1</v>
      </c>
      <c r="M192" s="15"/>
      <c r="N192" s="15"/>
      <c r="O192" s="15"/>
      <c r="P192" s="15"/>
      <c r="Q192" s="15"/>
      <c r="R192" s="15"/>
      <c r="S192" s="15"/>
      <c r="T192" s="15">
        <v>1</v>
      </c>
      <c r="U192" s="15"/>
      <c r="V192" s="15"/>
      <c r="W192" s="15"/>
      <c r="X192" s="15"/>
      <c r="Y192" s="15"/>
      <c r="Z192" s="15"/>
      <c r="AA192" s="15"/>
      <c r="AB192" s="15"/>
      <c r="AC192" s="15"/>
      <c r="AD192" s="15" t="s">
        <v>328</v>
      </c>
      <c r="AE192" s="15"/>
      <c r="AF192" s="15"/>
      <c r="AG192" s="15"/>
      <c r="AH192" s="15"/>
      <c r="AI192" s="15" t="s">
        <v>1165</v>
      </c>
      <c r="AJ192" s="15" t="s">
        <v>328</v>
      </c>
      <c r="AK192" s="15"/>
      <c r="AL192" s="15" t="s">
        <v>328</v>
      </c>
      <c r="AM192" s="15"/>
      <c r="AN192" s="15"/>
      <c r="AO192" s="15"/>
      <c r="AP192" s="15">
        <v>10</v>
      </c>
      <c r="AQ192" s="15">
        <v>1</v>
      </c>
      <c r="AR192" s="15"/>
      <c r="AS192" s="15"/>
      <c r="AT192" s="15" t="s">
        <v>328</v>
      </c>
      <c r="AU192" s="15"/>
      <c r="AV192" s="15">
        <v>1</v>
      </c>
      <c r="AW192" s="15">
        <v>2</v>
      </c>
      <c r="AX192" s="15">
        <v>3</v>
      </c>
      <c r="AY192" s="15"/>
      <c r="AZ192" s="15" t="s">
        <v>328</v>
      </c>
      <c r="BA192" s="15"/>
      <c r="BB192" s="15"/>
      <c r="BC192" s="15"/>
      <c r="BD192" s="15"/>
      <c r="BE192" s="15"/>
      <c r="BF192" s="15"/>
      <c r="BG192" s="15" t="s">
        <v>328</v>
      </c>
      <c r="BH192" s="15"/>
      <c r="BI192" s="15"/>
      <c r="BJ192" s="15"/>
      <c r="BK192" s="15"/>
      <c r="BL192" s="15"/>
      <c r="BM192" s="15" t="s">
        <v>328</v>
      </c>
      <c r="BN192" s="15"/>
      <c r="BO192" s="15" t="s">
        <v>328</v>
      </c>
      <c r="BP192" s="15"/>
      <c r="BQ192" s="15" t="s">
        <v>328</v>
      </c>
      <c r="BR192" s="15"/>
      <c r="BS192" s="15"/>
      <c r="BT192" s="15"/>
      <c r="BU192" s="15" t="s">
        <v>328</v>
      </c>
      <c r="BV192" s="15"/>
      <c r="BW192" s="15"/>
      <c r="BX192" s="15"/>
      <c r="BY192" s="15"/>
      <c r="BZ192" s="15"/>
      <c r="CA192" s="15"/>
      <c r="CB192" s="15"/>
      <c r="CC192" s="15"/>
      <c r="CD192" s="15" t="s">
        <v>328</v>
      </c>
      <c r="CE192" s="15" t="s">
        <v>328</v>
      </c>
      <c r="CF192" s="15"/>
      <c r="CG192" s="15"/>
      <c r="CH192" s="15" t="s">
        <v>328</v>
      </c>
      <c r="CI192" s="15"/>
      <c r="CJ192" s="15"/>
      <c r="CK192" s="15"/>
      <c r="CL192" s="15">
        <v>3</v>
      </c>
      <c r="CM192" s="15">
        <v>2</v>
      </c>
      <c r="CN192" s="15">
        <v>1</v>
      </c>
      <c r="CO192" s="15">
        <v>5</v>
      </c>
      <c r="CP192" s="15">
        <v>6</v>
      </c>
      <c r="CQ192" s="15">
        <v>4</v>
      </c>
      <c r="CR192" s="15"/>
      <c r="CS192" s="15"/>
      <c r="CT192" s="15"/>
      <c r="CU192" s="15"/>
      <c r="CV192" s="15"/>
      <c r="CW192" s="15"/>
      <c r="CX192" s="15" t="s">
        <v>332</v>
      </c>
      <c r="CY192" s="15"/>
      <c r="CZ192" s="15"/>
      <c r="DA192" s="15">
        <v>1</v>
      </c>
      <c r="DB192" s="15">
        <v>4</v>
      </c>
      <c r="DC192" s="15">
        <v>3</v>
      </c>
      <c r="DD192" s="15">
        <v>5</v>
      </c>
      <c r="DE192" s="15">
        <v>2</v>
      </c>
      <c r="DF192" s="15">
        <v>6</v>
      </c>
      <c r="DG192" s="15"/>
      <c r="DH192" s="15" t="s">
        <v>328</v>
      </c>
      <c r="DI192" s="15"/>
      <c r="DJ192" s="15"/>
      <c r="DK192" s="15"/>
      <c r="DL192" s="15"/>
      <c r="DM192" s="15"/>
      <c r="DN192" s="15" t="s">
        <v>411</v>
      </c>
      <c r="DO192" s="15" t="s">
        <v>328</v>
      </c>
      <c r="DP192" s="15"/>
      <c r="DQ192" s="15"/>
      <c r="DR192" s="15"/>
      <c r="DS192" s="15"/>
      <c r="DT192" s="15"/>
      <c r="DU192" s="15"/>
      <c r="DV192" s="15" t="s">
        <v>411</v>
      </c>
      <c r="DW192" s="15" t="s">
        <v>328</v>
      </c>
      <c r="DX192" s="15"/>
      <c r="DY192" s="15"/>
      <c r="DZ192" s="15"/>
      <c r="EA192" s="15"/>
      <c r="EB192" s="15"/>
      <c r="EC192" s="102" t="s">
        <v>411</v>
      </c>
      <c r="ED192" s="99"/>
    </row>
    <row r="193" spans="1:134" x14ac:dyDescent="0.25">
      <c r="A193" s="50" t="s">
        <v>1855</v>
      </c>
      <c r="B193" s="61" t="s">
        <v>650</v>
      </c>
      <c r="C193" s="15" t="s">
        <v>328</v>
      </c>
      <c r="D193" s="15"/>
      <c r="E193" s="15">
        <v>51</v>
      </c>
      <c r="F193" s="15" t="s">
        <v>329</v>
      </c>
      <c r="G193" s="15" t="s">
        <v>330</v>
      </c>
      <c r="H193" s="15" t="s">
        <v>785</v>
      </c>
      <c r="I193" s="15" t="s">
        <v>1262</v>
      </c>
      <c r="J193" s="15" t="s">
        <v>1288</v>
      </c>
      <c r="K193" s="15">
        <v>30</v>
      </c>
      <c r="L193" s="15">
        <v>1</v>
      </c>
      <c r="M193" s="15"/>
      <c r="N193" s="15"/>
      <c r="O193" s="15"/>
      <c r="P193" s="15"/>
      <c r="Q193" s="15"/>
      <c r="R193" s="15"/>
      <c r="S193" s="15"/>
      <c r="T193" s="15">
        <v>1</v>
      </c>
      <c r="U193" s="15"/>
      <c r="V193" s="15"/>
      <c r="W193" s="15"/>
      <c r="X193" s="15"/>
      <c r="Y193" s="15"/>
      <c r="Z193" s="15"/>
      <c r="AA193" s="15"/>
      <c r="AB193" s="15"/>
      <c r="AC193" s="15"/>
      <c r="AD193" s="15" t="s">
        <v>328</v>
      </c>
      <c r="AE193" s="15"/>
      <c r="AF193" s="15"/>
      <c r="AG193" s="15"/>
      <c r="AH193" s="15"/>
      <c r="AI193" s="15" t="s">
        <v>1165</v>
      </c>
      <c r="AJ193" s="15" t="s">
        <v>328</v>
      </c>
      <c r="AK193" s="15"/>
      <c r="AL193" s="15" t="s">
        <v>328</v>
      </c>
      <c r="AM193" s="15"/>
      <c r="AN193" s="15"/>
      <c r="AO193" s="15"/>
      <c r="AP193" s="15">
        <v>10</v>
      </c>
      <c r="AQ193" s="15">
        <v>5</v>
      </c>
      <c r="AR193" s="15"/>
      <c r="AS193" s="15"/>
      <c r="AT193" s="15" t="s">
        <v>328</v>
      </c>
      <c r="AU193" s="15"/>
      <c r="AV193" s="15">
        <v>1</v>
      </c>
      <c r="AW193" s="15">
        <v>3</v>
      </c>
      <c r="AX193" s="15">
        <v>2</v>
      </c>
      <c r="AY193" s="15"/>
      <c r="AZ193" s="15" t="s">
        <v>328</v>
      </c>
      <c r="BA193" s="15"/>
      <c r="BB193" s="15"/>
      <c r="BC193" s="15"/>
      <c r="BD193" s="15"/>
      <c r="BE193" s="15"/>
      <c r="BF193" s="15"/>
      <c r="BG193" s="15" t="s">
        <v>328</v>
      </c>
      <c r="BH193" s="15"/>
      <c r="BI193" s="15"/>
      <c r="BJ193" s="15"/>
      <c r="BK193" s="15"/>
      <c r="BL193" s="15"/>
      <c r="BM193" s="15" t="s">
        <v>328</v>
      </c>
      <c r="BN193" s="15"/>
      <c r="BO193" s="15" t="s">
        <v>328</v>
      </c>
      <c r="BP193" s="15"/>
      <c r="BQ193" s="15" t="s">
        <v>328</v>
      </c>
      <c r="BR193" s="15"/>
      <c r="BS193" s="15"/>
      <c r="BT193" s="15"/>
      <c r="BU193" s="15" t="s">
        <v>328</v>
      </c>
      <c r="BV193" s="15"/>
      <c r="BW193" s="15"/>
      <c r="BX193" s="15"/>
      <c r="BY193" s="15"/>
      <c r="BZ193" s="15" t="s">
        <v>328</v>
      </c>
      <c r="CA193" s="15" t="s">
        <v>328</v>
      </c>
      <c r="CB193" s="15"/>
      <c r="CC193" s="15"/>
      <c r="CD193" s="15"/>
      <c r="CE193" s="15"/>
      <c r="CF193" s="15"/>
      <c r="CG193" s="15"/>
      <c r="CH193" s="15" t="s">
        <v>328</v>
      </c>
      <c r="CI193" s="15"/>
      <c r="CJ193" s="15"/>
      <c r="CK193" s="15"/>
      <c r="CL193" s="15">
        <v>3</v>
      </c>
      <c r="CM193" s="15">
        <v>1</v>
      </c>
      <c r="CN193" s="15">
        <v>2</v>
      </c>
      <c r="CO193" s="15">
        <v>5</v>
      </c>
      <c r="CP193" s="15">
        <v>6</v>
      </c>
      <c r="CQ193" s="15">
        <v>4</v>
      </c>
      <c r="CR193" s="15" t="s">
        <v>328</v>
      </c>
      <c r="CS193" s="15"/>
      <c r="CT193" s="15"/>
      <c r="CU193" s="15"/>
      <c r="CV193" s="15"/>
      <c r="CW193" s="15"/>
      <c r="CX193" s="15"/>
      <c r="CY193" s="15"/>
      <c r="CZ193" s="15"/>
      <c r="DA193" s="15">
        <v>3</v>
      </c>
      <c r="DB193" s="15">
        <v>4</v>
      </c>
      <c r="DC193" s="15">
        <v>2</v>
      </c>
      <c r="DD193" s="15">
        <v>5</v>
      </c>
      <c r="DE193" s="15">
        <v>1</v>
      </c>
      <c r="DF193" s="15">
        <v>6</v>
      </c>
      <c r="DG193" s="15"/>
      <c r="DH193" s="15" t="s">
        <v>328</v>
      </c>
      <c r="DI193" s="15"/>
      <c r="DJ193" s="15"/>
      <c r="DK193" s="15"/>
      <c r="DL193" s="15"/>
      <c r="DM193" s="15"/>
      <c r="DN193" s="14" t="s">
        <v>333</v>
      </c>
      <c r="DO193" s="15" t="s">
        <v>328</v>
      </c>
      <c r="DP193" s="15"/>
      <c r="DQ193" s="15"/>
      <c r="DR193" s="15"/>
      <c r="DS193" s="15"/>
      <c r="DT193" s="15"/>
      <c r="DU193" s="15"/>
      <c r="DV193" s="15" t="s">
        <v>1155</v>
      </c>
      <c r="DW193" s="15" t="s">
        <v>328</v>
      </c>
      <c r="DX193" s="15"/>
      <c r="DY193" s="15"/>
      <c r="DZ193" s="15"/>
      <c r="EA193" s="15"/>
      <c r="EB193" s="15"/>
      <c r="EC193" s="102" t="s">
        <v>1155</v>
      </c>
      <c r="ED193" s="99"/>
    </row>
    <row r="194" spans="1:134" x14ac:dyDescent="0.25">
      <c r="A194" s="50" t="s">
        <v>1855</v>
      </c>
      <c r="B194" s="61" t="s">
        <v>651</v>
      </c>
      <c r="C194" s="15" t="s">
        <v>328</v>
      </c>
      <c r="D194" s="15"/>
      <c r="E194" s="15">
        <v>56</v>
      </c>
      <c r="F194" s="15" t="s">
        <v>329</v>
      </c>
      <c r="G194" s="15" t="s">
        <v>330</v>
      </c>
      <c r="H194" s="15" t="s">
        <v>784</v>
      </c>
      <c r="I194" s="15" t="s">
        <v>1260</v>
      </c>
      <c r="J194" s="15" t="s">
        <v>1288</v>
      </c>
      <c r="K194" s="15">
        <v>30</v>
      </c>
      <c r="L194" s="15">
        <v>1</v>
      </c>
      <c r="M194" s="15"/>
      <c r="N194" s="15"/>
      <c r="O194" s="15"/>
      <c r="P194" s="15"/>
      <c r="Q194" s="15"/>
      <c r="R194" s="15"/>
      <c r="S194" s="15"/>
      <c r="T194" s="15"/>
      <c r="U194" s="15">
        <v>1</v>
      </c>
      <c r="V194" s="15"/>
      <c r="W194" s="15"/>
      <c r="X194" s="15"/>
      <c r="Y194" s="15"/>
      <c r="Z194" s="15"/>
      <c r="AA194" s="15"/>
      <c r="AB194" s="15"/>
      <c r="AC194" s="15" t="s">
        <v>328</v>
      </c>
      <c r="AD194" s="15"/>
      <c r="AE194" s="15"/>
      <c r="AF194" s="15"/>
      <c r="AG194" s="15"/>
      <c r="AH194" s="15"/>
      <c r="AI194" s="15"/>
      <c r="AJ194" s="15" t="s">
        <v>328</v>
      </c>
      <c r="AK194" s="15"/>
      <c r="AL194" s="15"/>
      <c r="AM194" s="15" t="s">
        <v>328</v>
      </c>
      <c r="AN194" s="15"/>
      <c r="AO194" s="15"/>
      <c r="AP194" s="15">
        <v>10</v>
      </c>
      <c r="AQ194" s="15">
        <v>1</v>
      </c>
      <c r="AR194" s="15"/>
      <c r="AS194" s="15"/>
      <c r="AT194" s="15" t="s">
        <v>328</v>
      </c>
      <c r="AU194" s="15"/>
      <c r="AV194" s="15">
        <v>3</v>
      </c>
      <c r="AW194" s="15">
        <v>1</v>
      </c>
      <c r="AX194" s="15">
        <v>2</v>
      </c>
      <c r="AY194" s="15"/>
      <c r="AZ194" s="15" t="s">
        <v>328</v>
      </c>
      <c r="BA194" s="15"/>
      <c r="BB194" s="15"/>
      <c r="BC194" s="15" t="s">
        <v>328</v>
      </c>
      <c r="BD194" s="15"/>
      <c r="BE194" s="15"/>
      <c r="BF194" s="15"/>
      <c r="BG194" s="15"/>
      <c r="BH194" s="15"/>
      <c r="BI194" s="15"/>
      <c r="BJ194" s="15"/>
      <c r="BK194" s="15"/>
      <c r="BL194" s="15"/>
      <c r="BM194" s="15" t="s">
        <v>328</v>
      </c>
      <c r="BN194" s="15"/>
      <c r="BO194" s="15" t="s">
        <v>328</v>
      </c>
      <c r="BP194" s="15"/>
      <c r="BQ194" s="15"/>
      <c r="BR194" s="15"/>
      <c r="BS194" s="15"/>
      <c r="BT194" s="15"/>
      <c r="BU194" s="15" t="s">
        <v>328</v>
      </c>
      <c r="BV194" s="15"/>
      <c r="BW194" s="15"/>
      <c r="BX194" s="15"/>
      <c r="BY194" s="15"/>
      <c r="BZ194" s="15" t="s">
        <v>328</v>
      </c>
      <c r="CA194" s="15"/>
      <c r="CB194" s="15"/>
      <c r="CC194" s="15"/>
      <c r="CD194" s="15" t="s">
        <v>328</v>
      </c>
      <c r="CE194" s="15"/>
      <c r="CF194" s="15"/>
      <c r="CG194" s="15"/>
      <c r="CH194" s="15" t="s">
        <v>328</v>
      </c>
      <c r="CI194" s="15"/>
      <c r="CJ194" s="15"/>
      <c r="CK194" s="15"/>
      <c r="CL194" s="15">
        <v>5</v>
      </c>
      <c r="CM194" s="15">
        <v>3</v>
      </c>
      <c r="CN194" s="15">
        <v>4</v>
      </c>
      <c r="CO194" s="15">
        <v>1</v>
      </c>
      <c r="CP194" s="15">
        <v>2</v>
      </c>
      <c r="CQ194" s="15">
        <v>6</v>
      </c>
      <c r="CR194" s="15"/>
      <c r="CS194" s="15"/>
      <c r="CT194" s="15"/>
      <c r="CU194" s="15"/>
      <c r="CV194" s="15" t="s">
        <v>328</v>
      </c>
      <c r="CW194" s="15"/>
      <c r="CX194" s="15"/>
      <c r="CY194" s="15"/>
      <c r="CZ194" s="15"/>
      <c r="DA194" s="15">
        <v>1</v>
      </c>
      <c r="DB194" s="15">
        <v>3</v>
      </c>
      <c r="DC194" s="15">
        <v>2</v>
      </c>
      <c r="DD194" s="15">
        <v>4</v>
      </c>
      <c r="DE194" s="15">
        <v>5</v>
      </c>
      <c r="DF194" s="15">
        <v>6</v>
      </c>
      <c r="DG194" s="15"/>
      <c r="DH194" s="15" t="s">
        <v>328</v>
      </c>
      <c r="DI194" s="15"/>
      <c r="DJ194" s="15"/>
      <c r="DK194" s="15"/>
      <c r="DL194" s="15"/>
      <c r="DM194" s="15"/>
      <c r="DN194" s="14" t="s">
        <v>333</v>
      </c>
      <c r="DO194" s="15" t="s">
        <v>328</v>
      </c>
      <c r="DP194" s="15"/>
      <c r="DQ194" s="15"/>
      <c r="DR194" s="15"/>
      <c r="DS194" s="15"/>
      <c r="DT194" s="15"/>
      <c r="DU194" s="15"/>
      <c r="DV194" s="15" t="s">
        <v>333</v>
      </c>
      <c r="DW194" s="15" t="s">
        <v>328</v>
      </c>
      <c r="DX194" s="15"/>
      <c r="DY194" s="15"/>
      <c r="DZ194" s="15"/>
      <c r="EA194" s="15"/>
      <c r="EB194" s="15"/>
      <c r="EC194" s="102" t="s">
        <v>333</v>
      </c>
      <c r="ED194" s="99"/>
    </row>
    <row r="195" spans="1:134" x14ac:dyDescent="0.25">
      <c r="A195" s="50" t="s">
        <v>1855</v>
      </c>
      <c r="B195" s="61" t="s">
        <v>652</v>
      </c>
      <c r="C195" s="15" t="s">
        <v>328</v>
      </c>
      <c r="D195" s="15"/>
      <c r="E195" s="15">
        <v>42</v>
      </c>
      <c r="F195" s="15" t="s">
        <v>329</v>
      </c>
      <c r="G195" s="15" t="s">
        <v>399</v>
      </c>
      <c r="H195" s="15" t="s">
        <v>784</v>
      </c>
      <c r="I195" s="15" t="s">
        <v>1260</v>
      </c>
      <c r="J195" s="15" t="s">
        <v>1288</v>
      </c>
      <c r="K195" s="15">
        <v>0</v>
      </c>
      <c r="L195" s="15">
        <v>3</v>
      </c>
      <c r="M195" s="15"/>
      <c r="N195" s="15"/>
      <c r="O195" s="15"/>
      <c r="P195" s="15"/>
      <c r="Q195" s="15">
        <v>3</v>
      </c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 t="s">
        <v>328</v>
      </c>
      <c r="AC195" s="15"/>
      <c r="AD195" s="15"/>
      <c r="AE195" s="15"/>
      <c r="AF195" s="15"/>
      <c r="AG195" s="15"/>
      <c r="AH195" s="15" t="s">
        <v>328</v>
      </c>
      <c r="AI195" s="15"/>
      <c r="AJ195" s="15" t="s">
        <v>328</v>
      </c>
      <c r="AK195" s="15"/>
      <c r="AL195" s="15"/>
      <c r="AM195" s="15"/>
      <c r="AN195" s="15" t="s">
        <v>328</v>
      </c>
      <c r="AO195" s="15"/>
      <c r="AP195" s="15">
        <v>10</v>
      </c>
      <c r="AQ195" s="15">
        <v>1</v>
      </c>
      <c r="AR195" s="15"/>
      <c r="AS195" s="15"/>
      <c r="AT195" s="15" t="s">
        <v>328</v>
      </c>
      <c r="AU195" s="15"/>
      <c r="AV195" s="15">
        <v>1</v>
      </c>
      <c r="AW195" s="15">
        <v>2</v>
      </c>
      <c r="AX195" s="15">
        <v>3</v>
      </c>
      <c r="AY195" s="15"/>
      <c r="AZ195" s="15" t="s">
        <v>328</v>
      </c>
      <c r="BA195" s="15"/>
      <c r="BB195" s="15"/>
      <c r="BC195" s="15"/>
      <c r="BD195" s="15" t="s">
        <v>328</v>
      </c>
      <c r="BE195" s="15"/>
      <c r="BF195" s="15"/>
      <c r="BG195" s="15"/>
      <c r="BH195" s="15"/>
      <c r="BI195" s="15"/>
      <c r="BJ195" s="15"/>
      <c r="BK195" s="15"/>
      <c r="BL195" s="15"/>
      <c r="BM195" s="15" t="s">
        <v>328</v>
      </c>
      <c r="BN195" s="15"/>
      <c r="BO195" s="15" t="s">
        <v>328</v>
      </c>
      <c r="BP195" s="15"/>
      <c r="BQ195" s="15"/>
      <c r="BR195" s="15"/>
      <c r="BS195" s="15"/>
      <c r="BT195" s="15" t="s">
        <v>328</v>
      </c>
      <c r="BU195" s="15"/>
      <c r="BV195" s="15"/>
      <c r="BW195" s="15" t="s">
        <v>328</v>
      </c>
      <c r="BX195" s="15"/>
      <c r="BY195" s="15"/>
      <c r="BZ195" s="15" t="s">
        <v>328</v>
      </c>
      <c r="CA195" s="15" t="s">
        <v>328</v>
      </c>
      <c r="CB195" s="15"/>
      <c r="CC195" s="15"/>
      <c r="CD195" s="15"/>
      <c r="CE195" s="15"/>
      <c r="CF195" s="14" t="s">
        <v>579</v>
      </c>
      <c r="CG195" s="15" t="s">
        <v>328</v>
      </c>
      <c r="CH195" s="15"/>
      <c r="CI195" s="15"/>
      <c r="CJ195" s="15"/>
      <c r="CK195" s="15"/>
      <c r="CL195" s="15">
        <v>4</v>
      </c>
      <c r="CM195" s="15">
        <v>1</v>
      </c>
      <c r="CN195" s="15">
        <v>6</v>
      </c>
      <c r="CO195" s="15">
        <v>2</v>
      </c>
      <c r="CP195" s="15">
        <v>3</v>
      </c>
      <c r="CQ195" s="15">
        <v>5</v>
      </c>
      <c r="CR195" s="15"/>
      <c r="CS195" s="15"/>
      <c r="CT195" s="15"/>
      <c r="CU195" s="15"/>
      <c r="CV195" s="15"/>
      <c r="CW195" s="15"/>
      <c r="CX195" s="15" t="s">
        <v>332</v>
      </c>
      <c r="CY195" s="15"/>
      <c r="CZ195" s="15"/>
      <c r="DA195" s="15">
        <v>5</v>
      </c>
      <c r="DB195" s="15">
        <v>1</v>
      </c>
      <c r="DC195" s="15">
        <v>2</v>
      </c>
      <c r="DD195" s="15">
        <v>3</v>
      </c>
      <c r="DE195" s="15">
        <v>6</v>
      </c>
      <c r="DF195" s="15">
        <v>4</v>
      </c>
      <c r="DG195" s="15"/>
      <c r="DH195" s="15" t="s">
        <v>328</v>
      </c>
      <c r="DI195" s="15"/>
      <c r="DJ195" s="15"/>
      <c r="DK195" s="15"/>
      <c r="DL195" s="15"/>
      <c r="DM195" s="15"/>
      <c r="DN195" s="14" t="s">
        <v>333</v>
      </c>
      <c r="DO195" s="15" t="s">
        <v>328</v>
      </c>
      <c r="DP195" s="15"/>
      <c r="DQ195" s="15"/>
      <c r="DR195" s="15"/>
      <c r="DS195" s="15"/>
      <c r="DT195" s="15"/>
      <c r="DU195" s="15"/>
      <c r="DV195" s="15" t="s">
        <v>1179</v>
      </c>
      <c r="DW195" s="15" t="s">
        <v>328</v>
      </c>
      <c r="DX195" s="15"/>
      <c r="DY195" s="15"/>
      <c r="DZ195" s="15"/>
      <c r="EA195" s="15"/>
      <c r="EB195" s="15"/>
      <c r="EC195" s="102" t="s">
        <v>1155</v>
      </c>
      <c r="ED195" s="99"/>
    </row>
    <row r="196" spans="1:134" x14ac:dyDescent="0.25">
      <c r="A196" s="50" t="s">
        <v>1855</v>
      </c>
      <c r="B196" s="61" t="s">
        <v>653</v>
      </c>
      <c r="C196" s="15" t="s">
        <v>328</v>
      </c>
      <c r="D196" s="15"/>
      <c r="E196" s="15">
        <v>52</v>
      </c>
      <c r="F196" s="15" t="s">
        <v>329</v>
      </c>
      <c r="G196" s="15" t="s">
        <v>584</v>
      </c>
      <c r="H196" s="15" t="s">
        <v>764</v>
      </c>
      <c r="I196" s="15" t="s">
        <v>1191</v>
      </c>
      <c r="J196" s="15" t="s">
        <v>1281</v>
      </c>
      <c r="K196" s="15">
        <v>30</v>
      </c>
      <c r="L196" s="15">
        <v>1</v>
      </c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>
        <v>1</v>
      </c>
      <c r="Y196" s="15"/>
      <c r="Z196" s="15" t="s">
        <v>328</v>
      </c>
      <c r="AA196" s="15" t="s">
        <v>328</v>
      </c>
      <c r="AB196" s="15"/>
      <c r="AC196" s="15"/>
      <c r="AD196" s="15"/>
      <c r="AE196" s="15" t="s">
        <v>328</v>
      </c>
      <c r="AF196" s="15"/>
      <c r="AG196" s="15"/>
      <c r="AH196" s="15"/>
      <c r="AI196" s="15"/>
      <c r="AJ196" s="15"/>
      <c r="AK196" s="15" t="s">
        <v>328</v>
      </c>
      <c r="AL196" s="15"/>
      <c r="AM196" s="15"/>
      <c r="AN196" s="15"/>
      <c r="AO196" s="15" t="s">
        <v>328</v>
      </c>
      <c r="AP196" s="15">
        <v>6</v>
      </c>
      <c r="AQ196" s="15">
        <v>9</v>
      </c>
      <c r="AR196" s="15"/>
      <c r="AS196" s="15"/>
      <c r="AT196" s="15" t="s">
        <v>328</v>
      </c>
      <c r="AU196" s="15"/>
      <c r="AV196" s="15">
        <v>1</v>
      </c>
      <c r="AW196" s="15">
        <v>2</v>
      </c>
      <c r="AX196" s="15">
        <v>3</v>
      </c>
      <c r="AY196" s="15"/>
      <c r="AZ196" s="15" t="s">
        <v>328</v>
      </c>
      <c r="BA196" s="15"/>
      <c r="BB196" s="15" t="s">
        <v>328</v>
      </c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 t="s">
        <v>328</v>
      </c>
      <c r="BN196" s="15"/>
      <c r="BO196" s="15" t="s">
        <v>328</v>
      </c>
      <c r="BP196" s="15" t="s">
        <v>328</v>
      </c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 t="s">
        <v>328</v>
      </c>
      <c r="CC196" s="15"/>
      <c r="CD196" s="15" t="s">
        <v>328</v>
      </c>
      <c r="CE196" s="15" t="s">
        <v>328</v>
      </c>
      <c r="CF196" s="15"/>
      <c r="CG196" s="15"/>
      <c r="CH196" s="15" t="s">
        <v>328</v>
      </c>
      <c r="CI196" s="15"/>
      <c r="CJ196" s="15"/>
      <c r="CK196" s="15"/>
      <c r="CL196" s="15">
        <v>6</v>
      </c>
      <c r="CM196" s="15">
        <v>1</v>
      </c>
      <c r="CN196" s="15">
        <v>2</v>
      </c>
      <c r="CO196" s="15">
        <v>3</v>
      </c>
      <c r="CP196" s="15">
        <v>4</v>
      </c>
      <c r="CQ196" s="15">
        <v>5</v>
      </c>
      <c r="CR196" s="15"/>
      <c r="CS196" s="15"/>
      <c r="CT196" s="15"/>
      <c r="CU196" s="15"/>
      <c r="CV196" s="15"/>
      <c r="CW196" s="15"/>
      <c r="CX196" s="15" t="s">
        <v>332</v>
      </c>
      <c r="CY196" s="15"/>
      <c r="CZ196" s="15"/>
      <c r="DA196" s="15">
        <v>1</v>
      </c>
      <c r="DB196" s="15">
        <v>3</v>
      </c>
      <c r="DC196" s="15">
        <v>4</v>
      </c>
      <c r="DD196" s="15">
        <v>5</v>
      </c>
      <c r="DE196" s="15">
        <v>2</v>
      </c>
      <c r="DF196" s="15">
        <v>6</v>
      </c>
      <c r="DG196" s="15"/>
      <c r="DH196" s="15" t="s">
        <v>328</v>
      </c>
      <c r="DI196" s="15"/>
      <c r="DJ196" s="15"/>
      <c r="DK196" s="15"/>
      <c r="DL196" s="15"/>
      <c r="DM196" s="15"/>
      <c r="DN196" s="14" t="s">
        <v>1146</v>
      </c>
      <c r="DO196" s="15" t="s">
        <v>328</v>
      </c>
      <c r="DP196" s="15"/>
      <c r="DQ196" s="15"/>
      <c r="DR196" s="15"/>
      <c r="DS196" s="15"/>
      <c r="DT196" s="15"/>
      <c r="DU196" s="15"/>
      <c r="DV196" s="15" t="s">
        <v>1152</v>
      </c>
      <c r="DW196" s="15" t="s">
        <v>328</v>
      </c>
      <c r="DX196" s="15"/>
      <c r="DY196" s="15"/>
      <c r="DZ196" s="15"/>
      <c r="EA196" s="15"/>
      <c r="EB196" s="15"/>
      <c r="EC196" s="102" t="s">
        <v>1152</v>
      </c>
      <c r="ED196" s="99"/>
    </row>
    <row r="197" spans="1:134" x14ac:dyDescent="0.25">
      <c r="A197" s="50" t="s">
        <v>1855</v>
      </c>
      <c r="B197" s="61" t="s">
        <v>654</v>
      </c>
      <c r="C197" s="15" t="s">
        <v>328</v>
      </c>
      <c r="D197" s="15"/>
      <c r="E197" s="15">
        <v>48</v>
      </c>
      <c r="F197" s="15" t="s">
        <v>329</v>
      </c>
      <c r="G197" s="15" t="s">
        <v>353</v>
      </c>
      <c r="H197" s="15" t="s">
        <v>802</v>
      </c>
      <c r="I197" s="15" t="s">
        <v>1263</v>
      </c>
      <c r="J197" s="15" t="s">
        <v>1289</v>
      </c>
      <c r="K197" s="15">
        <v>20</v>
      </c>
      <c r="L197" s="15">
        <v>1</v>
      </c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>
        <v>1</v>
      </c>
      <c r="Y197" s="15"/>
      <c r="Z197" s="15" t="s">
        <v>328</v>
      </c>
      <c r="AA197" s="15" t="s">
        <v>328</v>
      </c>
      <c r="AB197" s="15"/>
      <c r="AC197" s="15"/>
      <c r="AD197" s="15"/>
      <c r="AE197" s="15" t="s">
        <v>328</v>
      </c>
      <c r="AF197" s="15"/>
      <c r="AG197" s="15"/>
      <c r="AH197" s="15"/>
      <c r="AI197" s="15"/>
      <c r="AJ197" s="15"/>
      <c r="AK197" s="15" t="s">
        <v>328</v>
      </c>
      <c r="AL197" s="15"/>
      <c r="AM197" s="15"/>
      <c r="AN197" s="15" t="s">
        <v>328</v>
      </c>
      <c r="AO197" s="15"/>
      <c r="AP197" s="15">
        <v>8</v>
      </c>
      <c r="AQ197" s="15">
        <v>5</v>
      </c>
      <c r="AR197" s="15"/>
      <c r="AS197" s="15"/>
      <c r="AT197" s="15" t="s">
        <v>328</v>
      </c>
      <c r="AU197" s="15"/>
      <c r="AV197" s="15">
        <v>1</v>
      </c>
      <c r="AW197" s="15">
        <v>3</v>
      </c>
      <c r="AX197" s="15">
        <v>2</v>
      </c>
      <c r="AY197" s="15"/>
      <c r="AZ197" s="15" t="s">
        <v>328</v>
      </c>
      <c r="BA197" s="15"/>
      <c r="BB197" s="15" t="s">
        <v>328</v>
      </c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 t="s">
        <v>328</v>
      </c>
      <c r="BN197" s="15"/>
      <c r="BO197" s="15" t="s">
        <v>328</v>
      </c>
      <c r="BP197" s="15"/>
      <c r="BQ197" s="15"/>
      <c r="BR197" s="15"/>
      <c r="BS197" s="15"/>
      <c r="BT197" s="15"/>
      <c r="BU197" s="15" t="s">
        <v>328</v>
      </c>
      <c r="BV197" s="15"/>
      <c r="BW197" s="15"/>
      <c r="BX197" s="15"/>
      <c r="BY197" s="15"/>
      <c r="BZ197" s="15"/>
      <c r="CA197" s="15"/>
      <c r="CB197" s="15" t="s">
        <v>328</v>
      </c>
      <c r="CC197" s="15"/>
      <c r="CD197" s="15"/>
      <c r="CE197" s="15" t="s">
        <v>328</v>
      </c>
      <c r="CF197" s="15"/>
      <c r="CG197" s="15"/>
      <c r="CH197" s="15" t="s">
        <v>328</v>
      </c>
      <c r="CI197" s="15"/>
      <c r="CJ197" s="15"/>
      <c r="CK197" s="15"/>
      <c r="CL197" s="15">
        <v>3</v>
      </c>
      <c r="CM197" s="15">
        <v>1</v>
      </c>
      <c r="CN197" s="15">
        <v>2</v>
      </c>
      <c r="CO197" s="15">
        <v>5</v>
      </c>
      <c r="CP197" s="15">
        <v>6</v>
      </c>
      <c r="CQ197" s="15">
        <v>4</v>
      </c>
      <c r="CR197" s="15"/>
      <c r="CS197" s="15"/>
      <c r="CT197" s="15"/>
      <c r="CU197" s="15"/>
      <c r="CV197" s="15"/>
      <c r="CW197" s="15"/>
      <c r="CX197" s="15" t="s">
        <v>332</v>
      </c>
      <c r="CY197" s="15"/>
      <c r="CZ197" s="15"/>
      <c r="DA197" s="15">
        <v>1</v>
      </c>
      <c r="DB197" s="15">
        <v>3</v>
      </c>
      <c r="DC197" s="15">
        <v>2</v>
      </c>
      <c r="DD197" s="15">
        <v>4</v>
      </c>
      <c r="DE197" s="15">
        <v>5</v>
      </c>
      <c r="DF197" s="15">
        <v>6</v>
      </c>
      <c r="DG197" s="15"/>
      <c r="DH197" s="15" t="s">
        <v>328</v>
      </c>
      <c r="DI197" s="15"/>
      <c r="DJ197" s="15"/>
      <c r="DK197" s="15"/>
      <c r="DL197" s="15"/>
      <c r="DM197" s="15"/>
      <c r="DN197" s="14" t="s">
        <v>333</v>
      </c>
      <c r="DO197" s="15" t="s">
        <v>328</v>
      </c>
      <c r="DP197" s="15"/>
      <c r="DQ197" s="15"/>
      <c r="DR197" s="15"/>
      <c r="DS197" s="15"/>
      <c r="DT197" s="15"/>
      <c r="DU197" s="15"/>
      <c r="DV197" s="15" t="s">
        <v>333</v>
      </c>
      <c r="DW197" s="15" t="s">
        <v>328</v>
      </c>
      <c r="DX197" s="15"/>
      <c r="DY197" s="15"/>
      <c r="DZ197" s="15"/>
      <c r="EA197" s="15"/>
      <c r="EB197" s="15"/>
      <c r="EC197" s="102" t="s">
        <v>333</v>
      </c>
      <c r="ED197" s="99"/>
    </row>
    <row r="198" spans="1:134" x14ac:dyDescent="0.25">
      <c r="A198" s="50" t="s">
        <v>1855</v>
      </c>
      <c r="B198" s="61" t="s">
        <v>655</v>
      </c>
      <c r="C198" s="15" t="s">
        <v>328</v>
      </c>
      <c r="D198" s="15"/>
      <c r="E198" s="15">
        <v>61</v>
      </c>
      <c r="F198" s="15" t="s">
        <v>329</v>
      </c>
      <c r="G198" s="15" t="s">
        <v>584</v>
      </c>
      <c r="H198" s="15" t="s">
        <v>786</v>
      </c>
      <c r="I198" s="18" t="s">
        <v>1264</v>
      </c>
      <c r="J198" s="15" t="s">
        <v>1256</v>
      </c>
      <c r="K198" s="15">
        <v>40</v>
      </c>
      <c r="L198" s="15">
        <v>1</v>
      </c>
      <c r="M198" s="15"/>
      <c r="N198" s="15"/>
      <c r="O198" s="15"/>
      <c r="P198" s="15"/>
      <c r="Q198" s="15"/>
      <c r="R198" s="15"/>
      <c r="S198" s="15"/>
      <c r="T198" s="15"/>
      <c r="U198" s="15"/>
      <c r="V198" s="15">
        <v>1</v>
      </c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 t="s">
        <v>692</v>
      </c>
      <c r="AJ198" s="15"/>
      <c r="AK198" s="15" t="s">
        <v>328</v>
      </c>
      <c r="AL198" s="15"/>
      <c r="AM198" s="15" t="s">
        <v>328</v>
      </c>
      <c r="AN198" s="15"/>
      <c r="AO198" s="15"/>
      <c r="AP198" s="15">
        <v>10</v>
      </c>
      <c r="AQ198" s="15">
        <v>3</v>
      </c>
      <c r="AR198" s="15"/>
      <c r="AS198" s="15"/>
      <c r="AT198" s="15" t="s">
        <v>328</v>
      </c>
      <c r="AU198" s="15"/>
      <c r="AV198" s="15">
        <v>1</v>
      </c>
      <c r="AW198" s="15">
        <v>3</v>
      </c>
      <c r="AX198" s="15">
        <v>2</v>
      </c>
      <c r="AY198" s="15"/>
      <c r="AZ198" s="15" t="s">
        <v>328</v>
      </c>
      <c r="BA198" s="15"/>
      <c r="BB198" s="15" t="s">
        <v>328</v>
      </c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 t="s">
        <v>328</v>
      </c>
      <c r="BN198" s="15"/>
      <c r="BO198" s="15" t="s">
        <v>328</v>
      </c>
      <c r="BP198" s="15"/>
      <c r="BQ198" s="15"/>
      <c r="BR198" s="15"/>
      <c r="BS198" s="15"/>
      <c r="BT198" s="15"/>
      <c r="BU198" s="15" t="s">
        <v>328</v>
      </c>
      <c r="BV198" s="15"/>
      <c r="BW198" s="15"/>
      <c r="BX198" s="15"/>
      <c r="BY198" s="15"/>
      <c r="BZ198" s="15" t="s">
        <v>328</v>
      </c>
      <c r="CA198" s="15"/>
      <c r="CB198" s="15" t="s">
        <v>328</v>
      </c>
      <c r="CC198" s="15"/>
      <c r="CD198" s="15"/>
      <c r="CE198" s="15"/>
      <c r="CF198" s="15"/>
      <c r="CG198" s="15" t="s">
        <v>328</v>
      </c>
      <c r="CH198" s="15"/>
      <c r="CI198" s="15"/>
      <c r="CJ198" s="15"/>
      <c r="CK198" s="15"/>
      <c r="CL198" s="15">
        <v>2</v>
      </c>
      <c r="CM198" s="15">
        <v>4</v>
      </c>
      <c r="CN198" s="15">
        <v>1</v>
      </c>
      <c r="CO198" s="15">
        <v>5</v>
      </c>
      <c r="CP198" s="15">
        <v>6</v>
      </c>
      <c r="CQ198" s="15">
        <v>3</v>
      </c>
      <c r="CR198" s="15" t="s">
        <v>328</v>
      </c>
      <c r="CS198" s="15"/>
      <c r="CT198" s="15"/>
      <c r="CU198" s="15"/>
      <c r="CV198" s="15"/>
      <c r="CW198" s="15"/>
      <c r="CX198" s="15"/>
      <c r="CY198" s="15"/>
      <c r="CZ198" s="15"/>
      <c r="DA198" s="15">
        <v>3</v>
      </c>
      <c r="DB198" s="15">
        <v>4</v>
      </c>
      <c r="DC198" s="15">
        <v>1</v>
      </c>
      <c r="DD198" s="15">
        <v>5</v>
      </c>
      <c r="DE198" s="15">
        <v>2</v>
      </c>
      <c r="DF198" s="15">
        <v>6</v>
      </c>
      <c r="DG198" s="15"/>
      <c r="DH198" s="15" t="s">
        <v>328</v>
      </c>
      <c r="DI198" s="15"/>
      <c r="DJ198" s="15"/>
      <c r="DK198" s="15"/>
      <c r="DL198" s="15"/>
      <c r="DM198" s="15"/>
      <c r="DN198" s="14" t="s">
        <v>333</v>
      </c>
      <c r="DO198" s="15" t="s">
        <v>328</v>
      </c>
      <c r="DP198" s="15"/>
      <c r="DQ198" s="15"/>
      <c r="DR198" s="15"/>
      <c r="DS198" s="15"/>
      <c r="DT198" s="15"/>
      <c r="DU198" s="15"/>
      <c r="DV198" s="15" t="s">
        <v>1155</v>
      </c>
      <c r="DW198" s="15" t="s">
        <v>328</v>
      </c>
      <c r="DX198" s="15"/>
      <c r="DY198" s="15"/>
      <c r="DZ198" s="15"/>
      <c r="EA198" s="15"/>
      <c r="EB198" s="15"/>
      <c r="EC198" s="102" t="s">
        <v>1155</v>
      </c>
      <c r="ED198" s="99"/>
    </row>
    <row r="199" spans="1:134" x14ac:dyDescent="0.25">
      <c r="A199" s="50" t="s">
        <v>1855</v>
      </c>
      <c r="B199" s="61" t="s">
        <v>656</v>
      </c>
      <c r="C199" s="15" t="s">
        <v>328</v>
      </c>
      <c r="D199" s="15"/>
      <c r="E199" s="15">
        <v>41</v>
      </c>
      <c r="F199" s="15" t="s">
        <v>329</v>
      </c>
      <c r="G199" s="15" t="s">
        <v>330</v>
      </c>
      <c r="H199" s="15" t="s">
        <v>787</v>
      </c>
      <c r="I199" s="18" t="s">
        <v>1265</v>
      </c>
      <c r="J199" s="15" t="s">
        <v>1290</v>
      </c>
      <c r="K199" s="15">
        <v>15</v>
      </c>
      <c r="L199" s="15">
        <v>1</v>
      </c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>
        <v>1</v>
      </c>
      <c r="Y199" s="15"/>
      <c r="Z199" s="15"/>
      <c r="AA199" s="15"/>
      <c r="AB199" s="15"/>
      <c r="AC199" s="15"/>
      <c r="AD199" s="15"/>
      <c r="AE199" s="15" t="s">
        <v>328</v>
      </c>
      <c r="AF199" s="15"/>
      <c r="AG199" s="15"/>
      <c r="AH199" s="15"/>
      <c r="AI199" s="15"/>
      <c r="AJ199" s="15"/>
      <c r="AK199" s="15" t="s">
        <v>328</v>
      </c>
      <c r="AL199" s="15"/>
      <c r="AM199" s="15"/>
      <c r="AN199" s="15"/>
      <c r="AO199" s="15" t="s">
        <v>328</v>
      </c>
      <c r="AP199" s="15">
        <v>8</v>
      </c>
      <c r="AQ199" s="15">
        <v>5</v>
      </c>
      <c r="AR199" s="15"/>
      <c r="AS199" s="15"/>
      <c r="AT199" s="15" t="s">
        <v>328</v>
      </c>
      <c r="AU199" s="15"/>
      <c r="AV199" s="15">
        <v>1</v>
      </c>
      <c r="AW199" s="15">
        <v>3</v>
      </c>
      <c r="AX199" s="15">
        <v>2</v>
      </c>
      <c r="AY199" s="15"/>
      <c r="AZ199" s="15" t="s">
        <v>328</v>
      </c>
      <c r="BA199" s="15"/>
      <c r="BB199" s="15" t="s">
        <v>328</v>
      </c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 t="s">
        <v>328</v>
      </c>
      <c r="BN199" s="15"/>
      <c r="BO199" s="15" t="s">
        <v>328</v>
      </c>
      <c r="BP199" s="15" t="s">
        <v>328</v>
      </c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 t="s">
        <v>328</v>
      </c>
      <c r="CC199" s="15" t="s">
        <v>328</v>
      </c>
      <c r="CD199" s="15"/>
      <c r="CE199" s="15"/>
      <c r="CF199" s="15"/>
      <c r="CG199" s="15"/>
      <c r="CH199" s="15" t="s">
        <v>328</v>
      </c>
      <c r="CI199" s="15"/>
      <c r="CJ199" s="15"/>
      <c r="CK199" s="15"/>
      <c r="CL199" s="15">
        <v>5</v>
      </c>
      <c r="CM199" s="15">
        <v>1</v>
      </c>
      <c r="CN199" s="15">
        <v>4</v>
      </c>
      <c r="CO199" s="15">
        <v>3</v>
      </c>
      <c r="CP199" s="15">
        <v>2</v>
      </c>
      <c r="CQ199" s="15">
        <v>6</v>
      </c>
      <c r="CR199" s="15"/>
      <c r="CS199" s="15"/>
      <c r="CT199" s="15"/>
      <c r="CU199" s="15"/>
      <c r="CV199" s="15"/>
      <c r="CW199" s="15"/>
      <c r="CX199" s="15" t="s">
        <v>332</v>
      </c>
      <c r="CY199" s="15"/>
      <c r="CZ199" s="15"/>
      <c r="DA199" s="15">
        <v>1</v>
      </c>
      <c r="DB199" s="15">
        <v>4</v>
      </c>
      <c r="DC199" s="15">
        <v>3</v>
      </c>
      <c r="DD199" s="15">
        <v>5</v>
      </c>
      <c r="DE199" s="15">
        <v>2</v>
      </c>
      <c r="DF199" s="15">
        <v>6</v>
      </c>
      <c r="DG199" s="15"/>
      <c r="DH199" s="15" t="s">
        <v>328</v>
      </c>
      <c r="DI199" s="15"/>
      <c r="DJ199" s="15"/>
      <c r="DK199" s="15"/>
      <c r="DL199" s="15"/>
      <c r="DM199" s="15"/>
      <c r="DN199" s="14" t="s">
        <v>1145</v>
      </c>
      <c r="DO199" s="15" t="s">
        <v>328</v>
      </c>
      <c r="DP199" s="15"/>
      <c r="DQ199" s="15"/>
      <c r="DR199" s="15"/>
      <c r="DS199" s="15"/>
      <c r="DT199" s="15"/>
      <c r="DU199" s="15"/>
      <c r="DV199" s="15" t="s">
        <v>1145</v>
      </c>
      <c r="DW199" s="15" t="s">
        <v>328</v>
      </c>
      <c r="DX199" s="15"/>
      <c r="DY199" s="15"/>
      <c r="DZ199" s="15"/>
      <c r="EA199" s="15"/>
      <c r="EB199" s="15"/>
      <c r="EC199" s="102" t="s">
        <v>1145</v>
      </c>
      <c r="ED199" s="99"/>
    </row>
    <row r="200" spans="1:134" x14ac:dyDescent="0.25">
      <c r="A200" s="50" t="s">
        <v>1855</v>
      </c>
      <c r="B200" s="61" t="s">
        <v>657</v>
      </c>
      <c r="C200" s="15" t="s">
        <v>328</v>
      </c>
      <c r="D200" s="15"/>
      <c r="E200" s="15">
        <v>48</v>
      </c>
      <c r="F200" s="15" t="s">
        <v>329</v>
      </c>
      <c r="G200" s="15" t="s">
        <v>357</v>
      </c>
      <c r="H200" s="15" t="s">
        <v>788</v>
      </c>
      <c r="I200" s="15" t="s">
        <v>1266</v>
      </c>
      <c r="J200" s="14" t="s">
        <v>1335</v>
      </c>
      <c r="K200" s="15">
        <v>20</v>
      </c>
      <c r="L200" s="15">
        <v>1</v>
      </c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>
        <v>1</v>
      </c>
      <c r="Y200" s="15"/>
      <c r="Z200" s="15" t="s">
        <v>328</v>
      </c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 t="s">
        <v>328</v>
      </c>
      <c r="AL200" s="15"/>
      <c r="AM200" s="15"/>
      <c r="AN200" s="15" t="s">
        <v>328</v>
      </c>
      <c r="AO200" s="15"/>
      <c r="AP200" s="15">
        <v>5</v>
      </c>
      <c r="AQ200" s="15">
        <v>10</v>
      </c>
      <c r="AR200" s="15"/>
      <c r="AS200" s="15"/>
      <c r="AT200" s="15" t="s">
        <v>328</v>
      </c>
      <c r="AU200" s="15"/>
      <c r="AV200" s="15">
        <v>2</v>
      </c>
      <c r="AW200" s="15">
        <v>1</v>
      </c>
      <c r="AX200" s="15">
        <v>3</v>
      </c>
      <c r="AY200" s="15"/>
      <c r="AZ200" s="15" t="s">
        <v>328</v>
      </c>
      <c r="BA200" s="15"/>
      <c r="BB200" s="15" t="s">
        <v>328</v>
      </c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 t="s">
        <v>328</v>
      </c>
      <c r="BN200" s="15"/>
      <c r="BO200" s="15" t="s">
        <v>328</v>
      </c>
      <c r="BP200" s="15" t="s">
        <v>328</v>
      </c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 t="s">
        <v>328</v>
      </c>
      <c r="CC200" s="15"/>
      <c r="CD200" s="15"/>
      <c r="CE200" s="15" t="s">
        <v>328</v>
      </c>
      <c r="CF200" s="15"/>
      <c r="CG200" s="15"/>
      <c r="CH200" s="15" t="s">
        <v>328</v>
      </c>
      <c r="CI200" s="15"/>
      <c r="CJ200" s="15"/>
      <c r="CK200" s="15"/>
      <c r="CL200" s="15">
        <v>6</v>
      </c>
      <c r="CM200" s="15">
        <v>1</v>
      </c>
      <c r="CN200" s="15">
        <v>2</v>
      </c>
      <c r="CO200" s="15">
        <v>4</v>
      </c>
      <c r="CP200" s="15">
        <v>3</v>
      </c>
      <c r="CQ200" s="15">
        <v>5</v>
      </c>
      <c r="CR200" s="15"/>
      <c r="CS200" s="15"/>
      <c r="CT200" s="15"/>
      <c r="CU200" s="15"/>
      <c r="CV200" s="15"/>
      <c r="CW200" s="15"/>
      <c r="CX200" s="15" t="s">
        <v>332</v>
      </c>
      <c r="CY200" s="15"/>
      <c r="CZ200" s="15"/>
      <c r="DA200" s="15">
        <v>1</v>
      </c>
      <c r="DB200" s="15">
        <v>3</v>
      </c>
      <c r="DC200" s="15">
        <v>4</v>
      </c>
      <c r="DD200" s="15">
        <v>5</v>
      </c>
      <c r="DE200" s="15">
        <v>2</v>
      </c>
      <c r="DF200" s="15">
        <v>6</v>
      </c>
      <c r="DG200" s="15"/>
      <c r="DH200" s="15" t="s">
        <v>328</v>
      </c>
      <c r="DI200" s="15"/>
      <c r="DJ200" s="15"/>
      <c r="DK200" s="15"/>
      <c r="DL200" s="15"/>
      <c r="DM200" s="15"/>
      <c r="DN200" s="14" t="s">
        <v>1146</v>
      </c>
      <c r="DO200" s="15" t="s">
        <v>328</v>
      </c>
      <c r="DP200" s="15"/>
      <c r="DQ200" s="15"/>
      <c r="DR200" s="15"/>
      <c r="DS200" s="15"/>
      <c r="DT200" s="15"/>
      <c r="DU200" s="15"/>
      <c r="DV200" s="15" t="s">
        <v>1152</v>
      </c>
      <c r="DW200" s="15" t="s">
        <v>328</v>
      </c>
      <c r="DX200" s="15"/>
      <c r="DY200" s="15"/>
      <c r="DZ200" s="15"/>
      <c r="EA200" s="15"/>
      <c r="EB200" s="15"/>
      <c r="EC200" s="102" t="s">
        <v>1152</v>
      </c>
      <c r="ED200" s="99"/>
    </row>
    <row r="201" spans="1:134" x14ac:dyDescent="0.25">
      <c r="A201" s="50" t="s">
        <v>1855</v>
      </c>
      <c r="B201" s="61" t="s">
        <v>658</v>
      </c>
      <c r="C201" s="15" t="s">
        <v>328</v>
      </c>
      <c r="D201" s="15"/>
      <c r="E201" s="15">
        <v>34</v>
      </c>
      <c r="F201" s="15" t="s">
        <v>329</v>
      </c>
      <c r="G201" s="15" t="s">
        <v>399</v>
      </c>
      <c r="H201" s="15" t="s">
        <v>732</v>
      </c>
      <c r="I201" s="15" t="s">
        <v>1235</v>
      </c>
      <c r="J201" s="15" t="s">
        <v>1183</v>
      </c>
      <c r="K201" s="15">
        <v>0</v>
      </c>
      <c r="L201" s="15">
        <v>5</v>
      </c>
      <c r="M201" s="15">
        <v>3</v>
      </c>
      <c r="N201" s="15">
        <v>2</v>
      </c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 t="s">
        <v>328</v>
      </c>
      <c r="AA201" s="15" t="s">
        <v>328</v>
      </c>
      <c r="AB201" s="15"/>
      <c r="AC201" s="15" t="s">
        <v>328</v>
      </c>
      <c r="AD201" s="15" t="s">
        <v>328</v>
      </c>
      <c r="AE201" s="15"/>
      <c r="AF201" s="15" t="s">
        <v>328</v>
      </c>
      <c r="AG201" s="15"/>
      <c r="AH201" s="15"/>
      <c r="AI201" s="15"/>
      <c r="AJ201" s="15"/>
      <c r="AK201" s="15" t="s">
        <v>328</v>
      </c>
      <c r="AL201" s="15"/>
      <c r="AM201" s="15" t="s">
        <v>328</v>
      </c>
      <c r="AN201" s="15" t="s">
        <v>328</v>
      </c>
      <c r="AO201" s="15"/>
      <c r="AP201" s="15">
        <v>5</v>
      </c>
      <c r="AQ201" s="15">
        <v>5</v>
      </c>
      <c r="AR201" s="15"/>
      <c r="AS201" s="15" t="s">
        <v>328</v>
      </c>
      <c r="AT201" s="15"/>
      <c r="AU201" s="15"/>
      <c r="AV201" s="15">
        <v>2</v>
      </c>
      <c r="AW201" s="15">
        <v>3</v>
      </c>
      <c r="AX201" s="15">
        <v>1</v>
      </c>
      <c r="AY201" s="15"/>
      <c r="AZ201" s="15" t="s">
        <v>328</v>
      </c>
      <c r="BA201" s="15"/>
      <c r="BB201" s="15" t="s">
        <v>328</v>
      </c>
      <c r="BC201" s="15"/>
      <c r="BD201" s="15"/>
      <c r="BE201" s="15"/>
      <c r="BF201" s="15" t="s">
        <v>328</v>
      </c>
      <c r="BG201" s="15"/>
      <c r="BH201" s="15"/>
      <c r="BI201" s="15"/>
      <c r="BJ201" s="15"/>
      <c r="BK201" s="15"/>
      <c r="BL201" s="15"/>
      <c r="BM201" s="15" t="s">
        <v>328</v>
      </c>
      <c r="BN201" s="15" t="s">
        <v>328</v>
      </c>
      <c r="BO201" s="15"/>
      <c r="BP201" s="15"/>
      <c r="BQ201" s="15"/>
      <c r="BR201" s="15"/>
      <c r="BS201" s="15"/>
      <c r="BT201" s="15"/>
      <c r="BU201" s="15" t="s">
        <v>328</v>
      </c>
      <c r="BV201" s="15"/>
      <c r="BW201" s="15" t="s">
        <v>328</v>
      </c>
      <c r="BX201" s="15"/>
      <c r="BY201" s="15"/>
      <c r="BZ201" s="15" t="s">
        <v>328</v>
      </c>
      <c r="CA201" s="15" t="s">
        <v>328</v>
      </c>
      <c r="CB201" s="15"/>
      <c r="CC201" s="15"/>
      <c r="CD201" s="15"/>
      <c r="CE201" s="15"/>
      <c r="CF201" s="15"/>
      <c r="CG201" s="15"/>
      <c r="CH201" s="15"/>
      <c r="CI201" s="15"/>
      <c r="CJ201" s="15" t="s">
        <v>328</v>
      </c>
      <c r="CK201" s="15"/>
      <c r="CL201" s="15">
        <v>1</v>
      </c>
      <c r="CM201" s="15">
        <v>3</v>
      </c>
      <c r="CN201" s="15">
        <v>6</v>
      </c>
      <c r="CO201" s="15">
        <v>4</v>
      </c>
      <c r="CP201" s="15">
        <v>5</v>
      </c>
      <c r="CQ201" s="15">
        <v>2</v>
      </c>
      <c r="CR201" s="15"/>
      <c r="CS201" s="15" t="s">
        <v>328</v>
      </c>
      <c r="CT201" s="15" t="s">
        <v>328</v>
      </c>
      <c r="CU201" s="15"/>
      <c r="CV201" s="15"/>
      <c r="CW201" s="15"/>
      <c r="CX201" s="15"/>
      <c r="CY201" s="15"/>
      <c r="CZ201" s="15"/>
      <c r="DA201" s="15">
        <v>1</v>
      </c>
      <c r="DB201" s="15">
        <v>5</v>
      </c>
      <c r="DC201" s="15">
        <v>6</v>
      </c>
      <c r="DD201" s="15">
        <v>3</v>
      </c>
      <c r="DE201" s="15">
        <v>2</v>
      </c>
      <c r="DF201" s="15">
        <v>4</v>
      </c>
      <c r="DG201" s="15"/>
      <c r="DH201" s="15" t="s">
        <v>328</v>
      </c>
      <c r="DI201" s="15"/>
      <c r="DJ201" s="15"/>
      <c r="DK201" s="15"/>
      <c r="DL201" s="15"/>
      <c r="DM201" s="15"/>
      <c r="DN201" s="15" t="s">
        <v>411</v>
      </c>
      <c r="DO201" s="15" t="s">
        <v>328</v>
      </c>
      <c r="DP201" s="15"/>
      <c r="DQ201" s="15"/>
      <c r="DR201" s="15"/>
      <c r="DS201" s="15"/>
      <c r="DT201" s="15"/>
      <c r="DU201" s="15"/>
      <c r="DV201" s="15" t="s">
        <v>411</v>
      </c>
      <c r="DW201" s="15" t="s">
        <v>328</v>
      </c>
      <c r="DX201" s="15"/>
      <c r="DY201" s="15"/>
      <c r="DZ201" s="15"/>
      <c r="EA201" s="15"/>
      <c r="EB201" s="15"/>
      <c r="EC201" s="102" t="s">
        <v>411</v>
      </c>
      <c r="ED201" s="99"/>
    </row>
    <row r="202" spans="1:134" x14ac:dyDescent="0.25">
      <c r="A202" s="50" t="s">
        <v>1855</v>
      </c>
      <c r="B202" s="61" t="s">
        <v>659</v>
      </c>
      <c r="C202" s="15" t="s">
        <v>328</v>
      </c>
      <c r="D202" s="15"/>
      <c r="E202" s="15">
        <v>47</v>
      </c>
      <c r="F202" s="15" t="s">
        <v>329</v>
      </c>
      <c r="G202" s="15" t="s">
        <v>330</v>
      </c>
      <c r="H202" s="15" t="s">
        <v>732</v>
      </c>
      <c r="I202" s="15" t="s">
        <v>1235</v>
      </c>
      <c r="J202" s="15" t="s">
        <v>1183</v>
      </c>
      <c r="K202" s="15">
        <v>25</v>
      </c>
      <c r="L202" s="15">
        <v>1</v>
      </c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>
        <v>1</v>
      </c>
      <c r="Y202" s="15"/>
      <c r="Z202" s="15"/>
      <c r="AA202" s="15" t="s">
        <v>328</v>
      </c>
      <c r="AB202" s="15"/>
      <c r="AC202" s="15"/>
      <c r="AD202" s="15"/>
      <c r="AE202" s="15" t="s">
        <v>328</v>
      </c>
      <c r="AF202" s="15"/>
      <c r="AG202" s="15"/>
      <c r="AH202" s="15"/>
      <c r="AI202" s="15"/>
      <c r="AJ202" s="15"/>
      <c r="AK202" s="15" t="s">
        <v>328</v>
      </c>
      <c r="AL202" s="15"/>
      <c r="AM202" s="15" t="s">
        <v>328</v>
      </c>
      <c r="AN202" s="15"/>
      <c r="AO202" s="15"/>
      <c r="AP202" s="15">
        <v>8</v>
      </c>
      <c r="AQ202" s="15">
        <v>4</v>
      </c>
      <c r="AR202" s="15"/>
      <c r="AS202" s="15" t="s">
        <v>328</v>
      </c>
      <c r="AT202" s="15"/>
      <c r="AU202" s="15"/>
      <c r="AV202" s="15">
        <v>3</v>
      </c>
      <c r="AW202" s="15">
        <v>2</v>
      </c>
      <c r="AX202" s="15">
        <v>1</v>
      </c>
      <c r="AY202" s="15"/>
      <c r="AZ202" s="15" t="s">
        <v>328</v>
      </c>
      <c r="BA202" s="15"/>
      <c r="BB202" s="15" t="s">
        <v>328</v>
      </c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 t="s">
        <v>328</v>
      </c>
      <c r="BN202" s="15"/>
      <c r="BO202" s="15" t="s">
        <v>328</v>
      </c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 t="s">
        <v>328</v>
      </c>
      <c r="CE202" s="15" t="s">
        <v>328</v>
      </c>
      <c r="CF202" s="15"/>
      <c r="CG202" s="15"/>
      <c r="CH202" s="15" t="s">
        <v>328</v>
      </c>
      <c r="CI202" s="15"/>
      <c r="CJ202" s="15"/>
      <c r="CK202" s="15"/>
      <c r="CL202" s="15">
        <v>4</v>
      </c>
      <c r="CM202" s="15">
        <v>1</v>
      </c>
      <c r="CN202" s="15">
        <v>5</v>
      </c>
      <c r="CO202" s="15">
        <v>3</v>
      </c>
      <c r="CP202" s="15">
        <v>2</v>
      </c>
      <c r="CQ202" s="15">
        <v>6</v>
      </c>
      <c r="CR202" s="15"/>
      <c r="CS202" s="15"/>
      <c r="CT202" s="15"/>
      <c r="CU202" s="15"/>
      <c r="CV202" s="15"/>
      <c r="CW202" s="15"/>
      <c r="CX202" s="15" t="s">
        <v>332</v>
      </c>
      <c r="CY202" s="15"/>
      <c r="CZ202" s="15"/>
      <c r="DA202" s="15">
        <v>1</v>
      </c>
      <c r="DB202" s="15">
        <v>3</v>
      </c>
      <c r="DC202" s="15">
        <v>4</v>
      </c>
      <c r="DD202" s="15">
        <v>5</v>
      </c>
      <c r="DE202" s="15">
        <v>2</v>
      </c>
      <c r="DF202" s="15">
        <v>6</v>
      </c>
      <c r="DG202" s="15"/>
      <c r="DH202" s="15" t="s">
        <v>328</v>
      </c>
      <c r="DI202" s="15"/>
      <c r="DJ202" s="15"/>
      <c r="DK202" s="15"/>
      <c r="DL202" s="15"/>
      <c r="DM202" s="15"/>
      <c r="DN202" s="14" t="s">
        <v>333</v>
      </c>
      <c r="DO202" s="15" t="s">
        <v>328</v>
      </c>
      <c r="DP202" s="15"/>
      <c r="DQ202" s="15"/>
      <c r="DR202" s="15"/>
      <c r="DS202" s="15"/>
      <c r="DT202" s="15"/>
      <c r="DU202" s="15"/>
      <c r="DV202" s="15" t="s">
        <v>333</v>
      </c>
      <c r="DW202" s="15" t="s">
        <v>328</v>
      </c>
      <c r="DX202" s="15"/>
      <c r="DY202" s="15"/>
      <c r="DZ202" s="15"/>
      <c r="EA202" s="15"/>
      <c r="EB202" s="15"/>
      <c r="EC202" s="102" t="s">
        <v>333</v>
      </c>
      <c r="ED202" s="99"/>
    </row>
    <row r="203" spans="1:134" x14ac:dyDescent="0.25">
      <c r="A203" s="50" t="s">
        <v>1855</v>
      </c>
      <c r="B203" s="61" t="s">
        <v>660</v>
      </c>
      <c r="C203" s="15" t="s">
        <v>328</v>
      </c>
      <c r="D203" s="15"/>
      <c r="E203" s="15">
        <v>33</v>
      </c>
      <c r="F203" s="15" t="s">
        <v>329</v>
      </c>
      <c r="G203" s="15" t="s">
        <v>330</v>
      </c>
      <c r="H203" s="15" t="s">
        <v>789</v>
      </c>
      <c r="I203" s="18" t="s">
        <v>1267</v>
      </c>
      <c r="J203" s="15" t="s">
        <v>1291</v>
      </c>
      <c r="K203" s="15">
        <v>10</v>
      </c>
      <c r="L203" s="15">
        <v>1</v>
      </c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>
        <v>1</v>
      </c>
      <c r="Y203" s="15"/>
      <c r="Z203" s="15" t="s">
        <v>328</v>
      </c>
      <c r="AA203" s="15" t="s">
        <v>328</v>
      </c>
      <c r="AB203" s="15"/>
      <c r="AC203" s="15"/>
      <c r="AD203" s="15"/>
      <c r="AE203" s="15" t="s">
        <v>328</v>
      </c>
      <c r="AF203" s="15"/>
      <c r="AG203" s="15"/>
      <c r="AH203" s="15"/>
      <c r="AI203" s="15"/>
      <c r="AJ203" s="15"/>
      <c r="AK203" s="15" t="s">
        <v>328</v>
      </c>
      <c r="AL203" s="15"/>
      <c r="AM203" s="15" t="s">
        <v>328</v>
      </c>
      <c r="AN203" s="15"/>
      <c r="AO203" s="15"/>
      <c r="AP203" s="15">
        <v>5</v>
      </c>
      <c r="AQ203" s="15">
        <v>12</v>
      </c>
      <c r="AR203" s="15"/>
      <c r="AS203" s="15" t="s">
        <v>328</v>
      </c>
      <c r="AT203" s="15"/>
      <c r="AU203" s="15"/>
      <c r="AV203" s="15">
        <v>2</v>
      </c>
      <c r="AW203" s="15">
        <v>1</v>
      </c>
      <c r="AX203" s="15">
        <v>3</v>
      </c>
      <c r="AY203" s="15"/>
      <c r="AZ203" s="15"/>
      <c r="BA203" s="15" t="s">
        <v>328</v>
      </c>
      <c r="BB203" s="15" t="s">
        <v>328</v>
      </c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 t="s">
        <v>328</v>
      </c>
      <c r="BN203" s="15"/>
      <c r="BO203" s="15" t="s">
        <v>328</v>
      </c>
      <c r="BP203" s="15" t="s">
        <v>328</v>
      </c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 t="s">
        <v>328</v>
      </c>
      <c r="CD203" s="15"/>
      <c r="CE203" s="15" t="s">
        <v>328</v>
      </c>
      <c r="CF203" s="15"/>
      <c r="CG203" s="15"/>
      <c r="CH203" s="15"/>
      <c r="CI203" s="15"/>
      <c r="CJ203" s="15" t="s">
        <v>328</v>
      </c>
      <c r="CK203" s="15"/>
      <c r="CL203" s="15">
        <v>4</v>
      </c>
      <c r="CM203" s="15">
        <v>1</v>
      </c>
      <c r="CN203" s="15">
        <v>6</v>
      </c>
      <c r="CO203" s="15">
        <v>3</v>
      </c>
      <c r="CP203" s="15">
        <v>2</v>
      </c>
      <c r="CQ203" s="15">
        <v>5</v>
      </c>
      <c r="CR203" s="15"/>
      <c r="CS203" s="15"/>
      <c r="CT203" s="15"/>
      <c r="CU203" s="15"/>
      <c r="CV203" s="15" t="s">
        <v>328</v>
      </c>
      <c r="CW203" s="15"/>
      <c r="CX203" s="15"/>
      <c r="CY203" s="15"/>
      <c r="CZ203" s="15"/>
      <c r="DA203" s="15">
        <v>2</v>
      </c>
      <c r="DB203" s="15">
        <v>3</v>
      </c>
      <c r="DC203" s="15">
        <v>1</v>
      </c>
      <c r="DD203" s="15">
        <v>4</v>
      </c>
      <c r="DE203" s="15">
        <v>5</v>
      </c>
      <c r="DF203" s="15">
        <v>6</v>
      </c>
      <c r="DG203" s="15"/>
      <c r="DH203" s="15" t="s">
        <v>328</v>
      </c>
      <c r="DI203" s="15"/>
      <c r="DJ203" s="15"/>
      <c r="DK203" s="15"/>
      <c r="DL203" s="15"/>
      <c r="DM203" s="15"/>
      <c r="DN203" s="15" t="s">
        <v>411</v>
      </c>
      <c r="DO203" s="15"/>
      <c r="DP203" s="15" t="s">
        <v>328</v>
      </c>
      <c r="DQ203" s="15"/>
      <c r="DR203" s="15"/>
      <c r="DS203" s="15" t="s">
        <v>328</v>
      </c>
      <c r="DT203" s="15" t="s">
        <v>680</v>
      </c>
      <c r="DU203" s="15" t="s">
        <v>927</v>
      </c>
      <c r="DV203" s="15" t="s">
        <v>625</v>
      </c>
      <c r="DW203" s="15" t="s">
        <v>328</v>
      </c>
      <c r="DX203" s="15"/>
      <c r="DY203" s="15"/>
      <c r="DZ203" s="15"/>
      <c r="EA203" s="15"/>
      <c r="EB203" s="15"/>
      <c r="EC203" s="102" t="s">
        <v>450</v>
      </c>
      <c r="ED203" s="99"/>
    </row>
    <row r="204" spans="1:134" x14ac:dyDescent="0.25">
      <c r="A204" s="50" t="s">
        <v>1855</v>
      </c>
      <c r="B204" s="61" t="s">
        <v>661</v>
      </c>
      <c r="C204" s="15" t="s">
        <v>328</v>
      </c>
      <c r="D204" s="15"/>
      <c r="E204" s="15">
        <v>44</v>
      </c>
      <c r="F204" s="15" t="s">
        <v>329</v>
      </c>
      <c r="G204" s="15" t="s">
        <v>357</v>
      </c>
      <c r="H204" s="15" t="s">
        <v>790</v>
      </c>
      <c r="I204" s="18" t="s">
        <v>1268</v>
      </c>
      <c r="J204" s="15" t="s">
        <v>1446</v>
      </c>
      <c r="K204" s="15">
        <v>20</v>
      </c>
      <c r="L204" s="15">
        <v>1</v>
      </c>
      <c r="M204" s="15">
        <v>1</v>
      </c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 t="s">
        <v>328</v>
      </c>
      <c r="AB204" s="15"/>
      <c r="AC204" s="15"/>
      <c r="AD204" s="15" t="s">
        <v>328</v>
      </c>
      <c r="AE204" s="15"/>
      <c r="AF204" s="15" t="s">
        <v>328</v>
      </c>
      <c r="AG204" s="15"/>
      <c r="AH204" s="15"/>
      <c r="AI204" s="15"/>
      <c r="AJ204" s="15"/>
      <c r="AK204" s="15" t="s">
        <v>328</v>
      </c>
      <c r="AL204" s="15"/>
      <c r="AM204" s="15" t="s">
        <v>328</v>
      </c>
      <c r="AN204" s="15"/>
      <c r="AO204" s="15"/>
      <c r="AP204" s="15">
        <v>6</v>
      </c>
      <c r="AQ204" s="15">
        <v>2</v>
      </c>
      <c r="AR204" s="15"/>
      <c r="AS204" s="15" t="s">
        <v>328</v>
      </c>
      <c r="AT204" s="15"/>
      <c r="AU204" s="15"/>
      <c r="AV204" s="15">
        <v>1</v>
      </c>
      <c r="AW204" s="15">
        <v>3</v>
      </c>
      <c r="AX204" s="15">
        <v>2</v>
      </c>
      <c r="AY204" s="15"/>
      <c r="AZ204" s="15" t="s">
        <v>328</v>
      </c>
      <c r="BA204" s="15"/>
      <c r="BB204" s="15" t="s">
        <v>328</v>
      </c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 t="s">
        <v>328</v>
      </c>
      <c r="BN204" s="15" t="s">
        <v>328</v>
      </c>
      <c r="BO204" s="15"/>
      <c r="BP204" s="15"/>
      <c r="BQ204" s="15" t="s">
        <v>328</v>
      </c>
      <c r="BR204" s="15"/>
      <c r="BS204" s="15"/>
      <c r="BT204" s="15"/>
      <c r="BU204" s="15" t="s">
        <v>328</v>
      </c>
      <c r="BV204" s="15"/>
      <c r="BW204" s="15"/>
      <c r="BX204" s="15"/>
      <c r="BY204" s="15"/>
      <c r="BZ204" s="15" t="s">
        <v>328</v>
      </c>
      <c r="CA204" s="15" t="s">
        <v>328</v>
      </c>
      <c r="CB204" s="15" t="s">
        <v>328</v>
      </c>
      <c r="CC204" s="15"/>
      <c r="CD204" s="15"/>
      <c r="CE204" s="15"/>
      <c r="CF204" s="15"/>
      <c r="CG204" s="15" t="s">
        <v>328</v>
      </c>
      <c r="CH204" s="15"/>
      <c r="CI204" s="15"/>
      <c r="CJ204" s="15"/>
      <c r="CK204" s="15"/>
      <c r="CL204" s="15">
        <v>5</v>
      </c>
      <c r="CM204" s="15">
        <v>1</v>
      </c>
      <c r="CN204" s="15">
        <v>2</v>
      </c>
      <c r="CO204" s="15">
        <v>3</v>
      </c>
      <c r="CP204" s="15">
        <v>4</v>
      </c>
      <c r="CQ204" s="15">
        <v>6</v>
      </c>
      <c r="CR204" s="15"/>
      <c r="CS204" s="15" t="s">
        <v>328</v>
      </c>
      <c r="CT204" s="15" t="s">
        <v>328</v>
      </c>
      <c r="CU204" s="15"/>
      <c r="CV204" s="15"/>
      <c r="CW204" s="15"/>
      <c r="CX204" s="15"/>
      <c r="CY204" s="15"/>
      <c r="CZ204" s="15"/>
      <c r="DA204" s="15">
        <v>1</v>
      </c>
      <c r="DB204" s="15">
        <v>5</v>
      </c>
      <c r="DC204" s="15">
        <v>6</v>
      </c>
      <c r="DD204" s="15">
        <v>2</v>
      </c>
      <c r="DE204" s="15">
        <v>4</v>
      </c>
      <c r="DF204" s="15">
        <v>3</v>
      </c>
      <c r="DG204" s="15"/>
      <c r="DH204" s="15" t="s">
        <v>328</v>
      </c>
      <c r="DI204" s="15"/>
      <c r="DJ204" s="15"/>
      <c r="DK204" s="15"/>
      <c r="DL204" s="15"/>
      <c r="DM204" s="15"/>
      <c r="DN204" s="14" t="s">
        <v>396</v>
      </c>
      <c r="DO204" s="15"/>
      <c r="DP204" s="15" t="s">
        <v>328</v>
      </c>
      <c r="DQ204" s="15" t="s">
        <v>328</v>
      </c>
      <c r="DR204" s="15" t="s">
        <v>437</v>
      </c>
      <c r="DS204" s="15"/>
      <c r="DT204" s="15"/>
      <c r="DU204" s="15" t="s">
        <v>489</v>
      </c>
      <c r="DV204" s="15" t="s">
        <v>593</v>
      </c>
      <c r="DW204" s="15" t="s">
        <v>328</v>
      </c>
      <c r="DX204" s="15"/>
      <c r="DY204" s="15"/>
      <c r="DZ204" s="15"/>
      <c r="EA204" s="15"/>
      <c r="EB204" s="15"/>
      <c r="EC204" s="102" t="s">
        <v>450</v>
      </c>
      <c r="ED204" s="99"/>
    </row>
    <row r="205" spans="1:134" x14ac:dyDescent="0.25">
      <c r="A205" s="50" t="s">
        <v>1855</v>
      </c>
      <c r="B205" s="61" t="s">
        <v>662</v>
      </c>
      <c r="C205" s="15" t="s">
        <v>328</v>
      </c>
      <c r="D205" s="15"/>
      <c r="E205" s="15">
        <v>53</v>
      </c>
      <c r="F205" s="15" t="s">
        <v>329</v>
      </c>
      <c r="G205" s="15" t="s">
        <v>330</v>
      </c>
      <c r="H205" s="15" t="s">
        <v>791</v>
      </c>
      <c r="I205" s="18" t="s">
        <v>1269</v>
      </c>
      <c r="J205" s="15" t="s">
        <v>1292</v>
      </c>
      <c r="K205" s="15">
        <v>25</v>
      </c>
      <c r="L205" s="15">
        <v>1</v>
      </c>
      <c r="M205" s="15">
        <v>1</v>
      </c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 t="s">
        <v>328</v>
      </c>
      <c r="AA205" s="15" t="s">
        <v>328</v>
      </c>
      <c r="AB205" s="15"/>
      <c r="AC205" s="15"/>
      <c r="AD205" s="15" t="s">
        <v>328</v>
      </c>
      <c r="AE205" s="15"/>
      <c r="AF205" s="15" t="s">
        <v>328</v>
      </c>
      <c r="AG205" s="15"/>
      <c r="AH205" s="15"/>
      <c r="AI205" s="15"/>
      <c r="AJ205" s="15"/>
      <c r="AK205" s="15" t="s">
        <v>328</v>
      </c>
      <c r="AL205" s="15"/>
      <c r="AM205" s="15" t="s">
        <v>328</v>
      </c>
      <c r="AN205" s="15" t="s">
        <v>328</v>
      </c>
      <c r="AO205" s="15"/>
      <c r="AP205" s="15">
        <v>8</v>
      </c>
      <c r="AQ205" s="15">
        <v>2</v>
      </c>
      <c r="AR205" s="15"/>
      <c r="AS205" s="15"/>
      <c r="AT205" s="15" t="s">
        <v>328</v>
      </c>
      <c r="AU205" s="15"/>
      <c r="AV205" s="15">
        <v>1</v>
      </c>
      <c r="AW205" s="15">
        <v>3</v>
      </c>
      <c r="AX205" s="15">
        <v>2</v>
      </c>
      <c r="AY205" s="15"/>
      <c r="AZ205" s="15" t="s">
        <v>328</v>
      </c>
      <c r="BA205" s="15"/>
      <c r="BB205" s="15" t="s">
        <v>328</v>
      </c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 t="s">
        <v>328</v>
      </c>
      <c r="BN205" s="15" t="s">
        <v>328</v>
      </c>
      <c r="BO205" s="15"/>
      <c r="BP205" s="15"/>
      <c r="BQ205" s="15"/>
      <c r="BR205" s="15"/>
      <c r="BS205" s="15"/>
      <c r="BT205" s="15"/>
      <c r="BU205" s="15" t="s">
        <v>328</v>
      </c>
      <c r="BV205" s="15"/>
      <c r="BW205" s="15"/>
      <c r="BX205" s="15"/>
      <c r="BY205" s="15"/>
      <c r="BZ205" s="15"/>
      <c r="CA205" s="15"/>
      <c r="CB205" s="15" t="s">
        <v>328</v>
      </c>
      <c r="CC205" s="15"/>
      <c r="CD205" s="15"/>
      <c r="CE205" s="15"/>
      <c r="CF205" s="14" t="s">
        <v>579</v>
      </c>
      <c r="CG205" s="15"/>
      <c r="CH205" s="15" t="s">
        <v>328</v>
      </c>
      <c r="CI205" s="15"/>
      <c r="CJ205" s="15"/>
      <c r="CK205" s="15"/>
      <c r="CL205" s="15">
        <v>1</v>
      </c>
      <c r="CM205" s="15">
        <v>4</v>
      </c>
      <c r="CN205" s="15">
        <v>3</v>
      </c>
      <c r="CO205" s="15">
        <v>5</v>
      </c>
      <c r="CP205" s="15">
        <v>6</v>
      </c>
      <c r="CQ205" s="15">
        <v>2</v>
      </c>
      <c r="CR205" s="15" t="s">
        <v>328</v>
      </c>
      <c r="CS205" s="15"/>
      <c r="CT205" s="15"/>
      <c r="CU205" s="15"/>
      <c r="CV205" s="15"/>
      <c r="CW205" s="15"/>
      <c r="CX205" s="15"/>
      <c r="CY205" s="15"/>
      <c r="CZ205" s="15"/>
      <c r="DA205" s="15">
        <v>3</v>
      </c>
      <c r="DB205" s="15">
        <v>4</v>
      </c>
      <c r="DC205" s="15">
        <v>2</v>
      </c>
      <c r="DD205" s="15">
        <v>5</v>
      </c>
      <c r="DE205" s="15">
        <v>1</v>
      </c>
      <c r="DF205" s="15">
        <v>6</v>
      </c>
      <c r="DG205" s="15"/>
      <c r="DH205" s="15" t="s">
        <v>328</v>
      </c>
      <c r="DI205" s="15"/>
      <c r="DJ205" s="15"/>
      <c r="DK205" s="15"/>
      <c r="DL205" s="15"/>
      <c r="DM205" s="15"/>
      <c r="DN205" s="15" t="s">
        <v>411</v>
      </c>
      <c r="DO205" s="15"/>
      <c r="DP205" s="15" t="s">
        <v>328</v>
      </c>
      <c r="DQ205" s="15" t="s">
        <v>328</v>
      </c>
      <c r="DR205" s="15" t="s">
        <v>420</v>
      </c>
      <c r="DS205" s="15"/>
      <c r="DT205" s="15"/>
      <c r="DU205" s="15"/>
      <c r="DV205" s="15" t="s">
        <v>625</v>
      </c>
      <c r="DW205" s="15" t="s">
        <v>328</v>
      </c>
      <c r="DX205" s="15"/>
      <c r="DY205" s="15"/>
      <c r="DZ205" s="15"/>
      <c r="EA205" s="15"/>
      <c r="EB205" s="15"/>
      <c r="EC205" s="102" t="s">
        <v>1161</v>
      </c>
      <c r="ED205" s="99"/>
    </row>
    <row r="206" spans="1:134" x14ac:dyDescent="0.25">
      <c r="A206" s="50" t="s">
        <v>1855</v>
      </c>
      <c r="B206" s="61" t="s">
        <v>663</v>
      </c>
      <c r="C206" s="15" t="s">
        <v>328</v>
      </c>
      <c r="D206" s="15"/>
      <c r="E206" s="15">
        <v>52</v>
      </c>
      <c r="F206" s="15" t="s">
        <v>329</v>
      </c>
      <c r="G206" s="15" t="s">
        <v>353</v>
      </c>
      <c r="H206" s="15" t="s">
        <v>792</v>
      </c>
      <c r="I206" s="18" t="s">
        <v>1270</v>
      </c>
      <c r="J206" s="15" t="s">
        <v>1337</v>
      </c>
      <c r="K206" s="15">
        <v>25</v>
      </c>
      <c r="L206" s="15">
        <v>1</v>
      </c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>
        <v>1</v>
      </c>
      <c r="Y206" s="15"/>
      <c r="Z206" s="15" t="s">
        <v>328</v>
      </c>
      <c r="AA206" s="15"/>
      <c r="AB206" s="15"/>
      <c r="AC206" s="15"/>
      <c r="AD206" s="15"/>
      <c r="AE206" s="15" t="s">
        <v>328</v>
      </c>
      <c r="AF206" s="15"/>
      <c r="AG206" s="15"/>
      <c r="AH206" s="15"/>
      <c r="AI206" s="15"/>
      <c r="AJ206" s="15"/>
      <c r="AK206" s="15" t="s">
        <v>328</v>
      </c>
      <c r="AL206" s="15"/>
      <c r="AM206" s="15" t="s">
        <v>328</v>
      </c>
      <c r="AN206" s="15"/>
      <c r="AO206" s="15"/>
      <c r="AP206" s="15">
        <v>5</v>
      </c>
      <c r="AQ206" s="15">
        <v>3</v>
      </c>
      <c r="AR206" s="15"/>
      <c r="AS206" s="15" t="s">
        <v>328</v>
      </c>
      <c r="AT206" s="15"/>
      <c r="AU206" s="15"/>
      <c r="AV206" s="15">
        <v>3</v>
      </c>
      <c r="AW206" s="15">
        <v>2</v>
      </c>
      <c r="AX206" s="15">
        <v>1</v>
      </c>
      <c r="AY206" s="15"/>
      <c r="AZ206" s="15" t="s">
        <v>328</v>
      </c>
      <c r="BA206" s="15"/>
      <c r="BB206" s="15" t="s">
        <v>328</v>
      </c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 t="s">
        <v>328</v>
      </c>
      <c r="BN206" s="15"/>
      <c r="BO206" s="15" t="s">
        <v>328</v>
      </c>
      <c r="BP206" s="15" t="s">
        <v>328</v>
      </c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 t="s">
        <v>328</v>
      </c>
      <c r="CE206" s="15" t="s">
        <v>328</v>
      </c>
      <c r="CF206" s="15"/>
      <c r="CG206" s="15"/>
      <c r="CH206" s="15"/>
      <c r="CI206" s="15"/>
      <c r="CJ206" s="15" t="s">
        <v>328</v>
      </c>
      <c r="CK206" s="15"/>
      <c r="CL206" s="15">
        <v>4</v>
      </c>
      <c r="CM206" s="15">
        <v>3</v>
      </c>
      <c r="CN206" s="15">
        <v>5</v>
      </c>
      <c r="CO206" s="15">
        <v>2</v>
      </c>
      <c r="CP206" s="15">
        <v>1</v>
      </c>
      <c r="CQ206" s="15">
        <v>6</v>
      </c>
      <c r="CR206" s="15"/>
      <c r="CS206" s="15"/>
      <c r="CT206" s="15"/>
      <c r="CU206" s="15"/>
      <c r="CV206" s="15" t="s">
        <v>328</v>
      </c>
      <c r="CW206" s="15"/>
      <c r="CX206" s="15"/>
      <c r="CY206" s="15"/>
      <c r="CZ206" s="15"/>
      <c r="DA206" s="15">
        <v>1</v>
      </c>
      <c r="DB206" s="15">
        <v>2</v>
      </c>
      <c r="DC206" s="15">
        <v>3</v>
      </c>
      <c r="DD206" s="15">
        <v>4</v>
      </c>
      <c r="DE206" s="15">
        <v>5</v>
      </c>
      <c r="DF206" s="15">
        <v>6</v>
      </c>
      <c r="DG206" s="15"/>
      <c r="DH206" s="15" t="s">
        <v>328</v>
      </c>
      <c r="DI206" s="15"/>
      <c r="DJ206" s="15"/>
      <c r="DK206" s="15"/>
      <c r="DL206" s="15"/>
      <c r="DM206" s="15"/>
      <c r="DN206" s="14" t="s">
        <v>333</v>
      </c>
      <c r="DO206" s="15" t="s">
        <v>328</v>
      </c>
      <c r="DP206" s="15"/>
      <c r="DQ206" s="15"/>
      <c r="DR206" s="15"/>
      <c r="DS206" s="15"/>
      <c r="DT206" s="15"/>
      <c r="DU206" s="15"/>
      <c r="DV206" s="15" t="s">
        <v>333</v>
      </c>
      <c r="DW206" s="15" t="s">
        <v>328</v>
      </c>
      <c r="DX206" s="15"/>
      <c r="DY206" s="15"/>
      <c r="DZ206" s="15"/>
      <c r="EA206" s="15"/>
      <c r="EB206" s="15"/>
      <c r="EC206" s="102" t="s">
        <v>333</v>
      </c>
      <c r="ED206" s="99"/>
    </row>
    <row r="207" spans="1:134" x14ac:dyDescent="0.25">
      <c r="A207" s="50" t="s">
        <v>1855</v>
      </c>
      <c r="B207" s="61" t="s">
        <v>664</v>
      </c>
      <c r="C207" s="15" t="s">
        <v>328</v>
      </c>
      <c r="D207" s="15"/>
      <c r="E207" s="15">
        <v>61</v>
      </c>
      <c r="F207" s="15" t="s">
        <v>329</v>
      </c>
      <c r="G207" s="15" t="s">
        <v>584</v>
      </c>
      <c r="H207" s="15" t="s">
        <v>793</v>
      </c>
      <c r="I207" s="18" t="s">
        <v>1271</v>
      </c>
      <c r="J207" s="15" t="s">
        <v>1188</v>
      </c>
      <c r="K207" s="15">
        <v>40</v>
      </c>
      <c r="L207" s="15">
        <v>1</v>
      </c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>
        <v>1</v>
      </c>
      <c r="Y207" s="15"/>
      <c r="Z207" s="15" t="s">
        <v>328</v>
      </c>
      <c r="AA207" s="15"/>
      <c r="AB207" s="15"/>
      <c r="AC207" s="15"/>
      <c r="AD207" s="15"/>
      <c r="AE207" s="15" t="s">
        <v>328</v>
      </c>
      <c r="AF207" s="15"/>
      <c r="AG207" s="15"/>
      <c r="AH207" s="15"/>
      <c r="AI207" s="15"/>
      <c r="AJ207" s="15"/>
      <c r="AK207" s="15" t="s">
        <v>328</v>
      </c>
      <c r="AL207" s="15"/>
      <c r="AM207" s="15" t="s">
        <v>328</v>
      </c>
      <c r="AN207" s="15"/>
      <c r="AO207" s="15"/>
      <c r="AP207" s="15">
        <v>5</v>
      </c>
      <c r="AQ207" s="15">
        <v>5</v>
      </c>
      <c r="AR207" s="15"/>
      <c r="AS207" s="15" t="s">
        <v>328</v>
      </c>
      <c r="AT207" s="15"/>
      <c r="AU207" s="15"/>
      <c r="AV207" s="15">
        <v>1</v>
      </c>
      <c r="AW207" s="15">
        <v>3</v>
      </c>
      <c r="AX207" s="15">
        <v>2</v>
      </c>
      <c r="AY207" s="15"/>
      <c r="AZ207" s="15" t="s">
        <v>328</v>
      </c>
      <c r="BA207" s="15"/>
      <c r="BB207" s="15" t="s">
        <v>328</v>
      </c>
      <c r="BC207" s="15"/>
      <c r="BD207" s="15"/>
      <c r="BE207" s="15"/>
      <c r="BF207" s="15"/>
      <c r="BG207" s="15"/>
      <c r="BH207" s="15"/>
      <c r="BI207" s="15"/>
      <c r="BJ207" s="15"/>
      <c r="BK207" s="15"/>
      <c r="BL207" s="15" t="s">
        <v>696</v>
      </c>
      <c r="BM207" s="15" t="s">
        <v>328</v>
      </c>
      <c r="BN207" s="15"/>
      <c r="BO207" s="15" t="s">
        <v>328</v>
      </c>
      <c r="BP207" s="15" t="s">
        <v>328</v>
      </c>
      <c r="BQ207" s="15" t="s">
        <v>328</v>
      </c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 t="s">
        <v>328</v>
      </c>
      <c r="CC207" s="15"/>
      <c r="CD207" s="15"/>
      <c r="CE207" s="15"/>
      <c r="CF207" s="15"/>
      <c r="CG207" s="15"/>
      <c r="CH207" s="15" t="s">
        <v>328</v>
      </c>
      <c r="CI207" s="15"/>
      <c r="CJ207" s="15"/>
      <c r="CK207" s="15"/>
      <c r="CL207" s="15">
        <v>4</v>
      </c>
      <c r="CM207" s="15">
        <v>1</v>
      </c>
      <c r="CN207" s="15">
        <v>2</v>
      </c>
      <c r="CO207" s="15">
        <v>5</v>
      </c>
      <c r="CP207" s="15">
        <v>6</v>
      </c>
      <c r="CQ207" s="15">
        <v>3</v>
      </c>
      <c r="CR207" s="15"/>
      <c r="CS207" s="15"/>
      <c r="CT207" s="15"/>
      <c r="CU207" s="15"/>
      <c r="CV207" s="15" t="s">
        <v>328</v>
      </c>
      <c r="CW207" s="15"/>
      <c r="CX207" s="15"/>
      <c r="CY207" s="15"/>
      <c r="CZ207" s="15"/>
      <c r="DA207" s="15">
        <v>1</v>
      </c>
      <c r="DB207" s="15">
        <v>2</v>
      </c>
      <c r="DC207" s="15">
        <v>3</v>
      </c>
      <c r="DD207" s="15">
        <v>4</v>
      </c>
      <c r="DE207" s="15">
        <v>5</v>
      </c>
      <c r="DF207" s="15">
        <v>6</v>
      </c>
      <c r="DG207" s="15"/>
      <c r="DH207" s="15" t="s">
        <v>328</v>
      </c>
      <c r="DI207" s="15"/>
      <c r="DJ207" s="15"/>
      <c r="DK207" s="15"/>
      <c r="DL207" s="15"/>
      <c r="DM207" s="15"/>
      <c r="DN207" s="14" t="s">
        <v>1145</v>
      </c>
      <c r="DO207" s="15" t="s">
        <v>328</v>
      </c>
      <c r="DP207" s="15"/>
      <c r="DQ207" s="15"/>
      <c r="DR207" s="15"/>
      <c r="DS207" s="15"/>
      <c r="DT207" s="15"/>
      <c r="DU207" s="15"/>
      <c r="DV207" s="15" t="s">
        <v>1145</v>
      </c>
      <c r="DW207" s="15" t="s">
        <v>328</v>
      </c>
      <c r="DX207" s="15"/>
      <c r="DY207" s="15"/>
      <c r="DZ207" s="15"/>
      <c r="EA207" s="15"/>
      <c r="EB207" s="15"/>
      <c r="EC207" s="102" t="s">
        <v>1145</v>
      </c>
      <c r="ED207" s="99"/>
    </row>
    <row r="208" spans="1:134" x14ac:dyDescent="0.25">
      <c r="A208" s="50" t="s">
        <v>1855</v>
      </c>
      <c r="B208" s="61" t="s">
        <v>665</v>
      </c>
      <c r="C208" s="15" t="s">
        <v>328</v>
      </c>
      <c r="D208" s="15"/>
      <c r="E208" s="15">
        <v>41</v>
      </c>
      <c r="F208" s="15" t="s">
        <v>329</v>
      </c>
      <c r="G208" s="15" t="s">
        <v>330</v>
      </c>
      <c r="H208" s="14" t="s">
        <v>751</v>
      </c>
      <c r="I208" s="14" t="s">
        <v>1227</v>
      </c>
      <c r="J208" s="14" t="s">
        <v>1183</v>
      </c>
      <c r="K208" s="15">
        <v>16</v>
      </c>
      <c r="L208" s="15">
        <v>1</v>
      </c>
      <c r="M208" s="15"/>
      <c r="N208" s="15">
        <v>1</v>
      </c>
      <c r="O208" s="15"/>
      <c r="P208" s="15">
        <v>1</v>
      </c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 t="s">
        <v>328</v>
      </c>
      <c r="AH208" s="15"/>
      <c r="AI208" s="15"/>
      <c r="AJ208" s="15"/>
      <c r="AK208" s="15" t="s">
        <v>328</v>
      </c>
      <c r="AL208" s="15"/>
      <c r="AM208" s="15"/>
      <c r="AN208" s="15" t="s">
        <v>328</v>
      </c>
      <c r="AO208" s="15"/>
      <c r="AP208" s="15">
        <v>9</v>
      </c>
      <c r="AQ208" s="15">
        <v>4</v>
      </c>
      <c r="AR208" s="15"/>
      <c r="AS208" s="15"/>
      <c r="AT208" s="15" t="s">
        <v>328</v>
      </c>
      <c r="AU208" s="15"/>
      <c r="AV208" s="15">
        <v>1</v>
      </c>
      <c r="AW208" s="15">
        <v>3</v>
      </c>
      <c r="AX208" s="15">
        <v>2</v>
      </c>
      <c r="AY208" s="15"/>
      <c r="AZ208" s="15"/>
      <c r="BA208" s="15" t="s">
        <v>328</v>
      </c>
      <c r="BB208" s="15"/>
      <c r="BC208" s="15" t="s">
        <v>328</v>
      </c>
      <c r="BD208" s="15"/>
      <c r="BE208" s="15"/>
      <c r="BF208" s="15"/>
      <c r="BG208" s="15"/>
      <c r="BH208" s="15"/>
      <c r="BI208" s="15"/>
      <c r="BJ208" s="15"/>
      <c r="BK208" s="15"/>
      <c r="BL208" s="15"/>
      <c r="BM208" s="15" t="s">
        <v>328</v>
      </c>
      <c r="BN208" s="15"/>
      <c r="BO208" s="15" t="s">
        <v>328</v>
      </c>
      <c r="BP208" s="15"/>
      <c r="BQ208" s="15"/>
      <c r="BR208" s="15"/>
      <c r="BS208" s="15"/>
      <c r="BT208" s="15"/>
      <c r="BU208" s="15" t="s">
        <v>328</v>
      </c>
      <c r="BV208" s="15"/>
      <c r="BW208" s="15"/>
      <c r="BX208" s="15"/>
      <c r="BY208" s="15"/>
      <c r="BZ208" s="15" t="s">
        <v>328</v>
      </c>
      <c r="CA208" s="15"/>
      <c r="CB208" s="15" t="s">
        <v>328</v>
      </c>
      <c r="CC208" s="15"/>
      <c r="CD208" s="15"/>
      <c r="CE208" s="15"/>
      <c r="CF208" s="15"/>
      <c r="CG208" s="15" t="s">
        <v>328</v>
      </c>
      <c r="CH208" s="15"/>
      <c r="CI208" s="15"/>
      <c r="CJ208" s="15"/>
      <c r="CK208" s="15"/>
      <c r="CL208" s="15">
        <v>5</v>
      </c>
      <c r="CM208" s="15">
        <v>3</v>
      </c>
      <c r="CN208" s="15">
        <v>4</v>
      </c>
      <c r="CO208" s="15">
        <v>1</v>
      </c>
      <c r="CP208" s="15">
        <v>2</v>
      </c>
      <c r="CQ208" s="15">
        <v>6</v>
      </c>
      <c r="CR208" s="15"/>
      <c r="CS208" s="15"/>
      <c r="CT208" s="15"/>
      <c r="CU208" s="15"/>
      <c r="CV208" s="15"/>
      <c r="CW208" s="15"/>
      <c r="CX208" s="15" t="s">
        <v>332</v>
      </c>
      <c r="CY208" s="15"/>
      <c r="CZ208" s="15"/>
      <c r="DA208" s="15">
        <v>1</v>
      </c>
      <c r="DB208" s="15">
        <v>2</v>
      </c>
      <c r="DC208" s="15">
        <v>3</v>
      </c>
      <c r="DD208" s="15">
        <v>4</v>
      </c>
      <c r="DE208" s="15">
        <v>6</v>
      </c>
      <c r="DF208" s="15">
        <v>5</v>
      </c>
      <c r="DG208" s="15"/>
      <c r="DH208" s="15" t="s">
        <v>328</v>
      </c>
      <c r="DI208" s="15"/>
      <c r="DJ208" s="15"/>
      <c r="DK208" s="15"/>
      <c r="DL208" s="15"/>
      <c r="DM208" s="15"/>
      <c r="DN208" s="14" t="s">
        <v>1146</v>
      </c>
      <c r="DO208" s="15" t="s">
        <v>328</v>
      </c>
      <c r="DP208" s="15"/>
      <c r="DQ208" s="15"/>
      <c r="DR208" s="15"/>
      <c r="DS208" s="15"/>
      <c r="DT208" s="15"/>
      <c r="DU208" s="15"/>
      <c r="DV208" s="15" t="s">
        <v>1148</v>
      </c>
      <c r="DW208" s="15" t="s">
        <v>328</v>
      </c>
      <c r="DX208" s="15"/>
      <c r="DY208" s="15"/>
      <c r="DZ208" s="15"/>
      <c r="EA208" s="15"/>
      <c r="EB208" s="15"/>
      <c r="EC208" s="102" t="s">
        <v>1148</v>
      </c>
      <c r="ED208" s="99"/>
    </row>
    <row r="209" spans="1:134" x14ac:dyDescent="0.25">
      <c r="A209" s="50" t="s">
        <v>1855</v>
      </c>
      <c r="B209" s="61" t="s">
        <v>666</v>
      </c>
      <c r="C209" s="15" t="s">
        <v>328</v>
      </c>
      <c r="D209" s="15"/>
      <c r="E209" s="15">
        <v>31</v>
      </c>
      <c r="F209" s="15" t="s">
        <v>329</v>
      </c>
      <c r="G209" s="15" t="s">
        <v>357</v>
      </c>
      <c r="H209" s="15" t="s">
        <v>794</v>
      </c>
      <c r="I209" s="18" t="s">
        <v>1272</v>
      </c>
      <c r="J209" s="15" t="s">
        <v>1287</v>
      </c>
      <c r="K209" s="15">
        <v>0</v>
      </c>
      <c r="L209" s="15">
        <v>2</v>
      </c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>
        <v>1</v>
      </c>
      <c r="Y209" s="15"/>
      <c r="Z209" s="15" t="s">
        <v>328</v>
      </c>
      <c r="AA209" s="15"/>
      <c r="AB209" s="15"/>
      <c r="AC209" s="15"/>
      <c r="AD209" s="15"/>
      <c r="AE209" s="15" t="s">
        <v>328</v>
      </c>
      <c r="AF209" s="15"/>
      <c r="AG209" s="15"/>
      <c r="AH209" s="15"/>
      <c r="AI209" s="15"/>
      <c r="AJ209" s="15"/>
      <c r="AK209" s="15" t="s">
        <v>328</v>
      </c>
      <c r="AL209" s="15"/>
      <c r="AM209" s="15"/>
      <c r="AN209" s="15"/>
      <c r="AO209" s="15" t="s">
        <v>328</v>
      </c>
      <c r="AP209" s="15">
        <v>10</v>
      </c>
      <c r="AQ209" s="15">
        <v>3</v>
      </c>
      <c r="AR209" s="15"/>
      <c r="AS209" s="15" t="s">
        <v>328</v>
      </c>
      <c r="AT209" s="15"/>
      <c r="AU209" s="15"/>
      <c r="AV209" s="15">
        <v>3</v>
      </c>
      <c r="AW209" s="15">
        <v>2</v>
      </c>
      <c r="AX209" s="15">
        <v>1</v>
      </c>
      <c r="AY209" s="15"/>
      <c r="AZ209" s="15" t="s">
        <v>328</v>
      </c>
      <c r="BA209" s="15"/>
      <c r="BB209" s="15" t="s">
        <v>328</v>
      </c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 t="s">
        <v>328</v>
      </c>
      <c r="BN209" s="15"/>
      <c r="BO209" s="15" t="s">
        <v>328</v>
      </c>
      <c r="BP209" s="15"/>
      <c r="BQ209" s="15"/>
      <c r="BR209" s="15"/>
      <c r="BS209" s="15"/>
      <c r="BT209" s="15"/>
      <c r="BU209" s="15" t="s">
        <v>328</v>
      </c>
      <c r="BV209" s="15"/>
      <c r="BW209" s="15"/>
      <c r="BX209" s="15"/>
      <c r="BY209" s="15"/>
      <c r="BZ209" s="15"/>
      <c r="CA209" s="15"/>
      <c r="CB209" s="15" t="s">
        <v>328</v>
      </c>
      <c r="CC209" s="15"/>
      <c r="CD209" s="15"/>
      <c r="CE209" s="15" t="s">
        <v>328</v>
      </c>
      <c r="CF209" s="15"/>
      <c r="CG209" s="15"/>
      <c r="CH209" s="15" t="s">
        <v>328</v>
      </c>
      <c r="CI209" s="15"/>
      <c r="CJ209" s="15"/>
      <c r="CK209" s="15"/>
      <c r="CL209" s="15">
        <v>6</v>
      </c>
      <c r="CM209" s="15">
        <v>2</v>
      </c>
      <c r="CN209" s="15">
        <v>1</v>
      </c>
      <c r="CO209" s="15">
        <v>3</v>
      </c>
      <c r="CP209" s="15">
        <v>4</v>
      </c>
      <c r="CQ209" s="15">
        <v>5</v>
      </c>
      <c r="CR209" s="15"/>
      <c r="CS209" s="15"/>
      <c r="CT209" s="15"/>
      <c r="CU209" s="15"/>
      <c r="CV209" s="15"/>
      <c r="CW209" s="15"/>
      <c r="CX209" s="15" t="s">
        <v>332</v>
      </c>
      <c r="CY209" s="15"/>
      <c r="CZ209" s="15"/>
      <c r="DA209" s="15">
        <v>1</v>
      </c>
      <c r="DB209" s="15">
        <v>3</v>
      </c>
      <c r="DC209" s="15">
        <v>2</v>
      </c>
      <c r="DD209" s="15">
        <v>4</v>
      </c>
      <c r="DE209" s="15">
        <v>6</v>
      </c>
      <c r="DF209" s="15">
        <v>5</v>
      </c>
      <c r="DG209" s="15"/>
      <c r="DH209" s="15" t="s">
        <v>328</v>
      </c>
      <c r="DI209" s="15"/>
      <c r="DJ209" s="15"/>
      <c r="DK209" s="15"/>
      <c r="DL209" s="15"/>
      <c r="DM209" s="15"/>
      <c r="DN209" s="14" t="s">
        <v>396</v>
      </c>
      <c r="DO209" s="15" t="s">
        <v>328</v>
      </c>
      <c r="DP209" s="15"/>
      <c r="DQ209" s="15"/>
      <c r="DR209" s="15"/>
      <c r="DS209" s="15"/>
      <c r="DT209" s="15"/>
      <c r="DU209" s="15"/>
      <c r="DV209" s="15" t="s">
        <v>497</v>
      </c>
      <c r="DW209" s="15" t="s">
        <v>328</v>
      </c>
      <c r="DX209" s="15"/>
      <c r="DY209" s="15"/>
      <c r="DZ209" s="15"/>
      <c r="EA209" s="15"/>
      <c r="EB209" s="15"/>
      <c r="EC209" s="102" t="s">
        <v>450</v>
      </c>
      <c r="ED209" s="99"/>
    </row>
    <row r="210" spans="1:134" x14ac:dyDescent="0.25">
      <c r="A210" s="50" t="s">
        <v>1855</v>
      </c>
      <c r="B210" s="61" t="s">
        <v>667</v>
      </c>
      <c r="C210" s="15" t="s">
        <v>328</v>
      </c>
      <c r="D210" s="15"/>
      <c r="E210" s="15">
        <v>39</v>
      </c>
      <c r="F210" s="15" t="s">
        <v>329</v>
      </c>
      <c r="G210" s="15" t="s">
        <v>330</v>
      </c>
      <c r="H210" s="15" t="s">
        <v>795</v>
      </c>
      <c r="I210" s="18" t="s">
        <v>1273</v>
      </c>
      <c r="J210" s="15" t="s">
        <v>1293</v>
      </c>
      <c r="K210" s="15">
        <v>5</v>
      </c>
      <c r="L210" s="15">
        <v>1</v>
      </c>
      <c r="M210" s="15">
        <v>1</v>
      </c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 t="s">
        <v>328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 t="s">
        <v>328</v>
      </c>
      <c r="AL210" s="15"/>
      <c r="AM210" s="15"/>
      <c r="AN210" s="15" t="s">
        <v>328</v>
      </c>
      <c r="AO210" s="15"/>
      <c r="AP210" s="15">
        <v>5</v>
      </c>
      <c r="AQ210" s="15">
        <v>7</v>
      </c>
      <c r="AR210" s="15"/>
      <c r="AS210" s="15"/>
      <c r="AT210" s="15" t="s">
        <v>328</v>
      </c>
      <c r="AU210" s="15"/>
      <c r="AV210" s="15">
        <v>1</v>
      </c>
      <c r="AW210" s="15">
        <v>3</v>
      </c>
      <c r="AX210" s="15">
        <v>2</v>
      </c>
      <c r="AY210" s="15"/>
      <c r="AZ210" s="15" t="s">
        <v>328</v>
      </c>
      <c r="BA210" s="15"/>
      <c r="BB210" s="15" t="s">
        <v>328</v>
      </c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 t="s">
        <v>328</v>
      </c>
      <c r="BN210" s="15"/>
      <c r="BO210" s="15" t="s">
        <v>328</v>
      </c>
      <c r="BP210" s="15" t="s">
        <v>328</v>
      </c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 t="s">
        <v>328</v>
      </c>
      <c r="CE210" s="15"/>
      <c r="CF210" s="15"/>
      <c r="CG210" s="15"/>
      <c r="CH210" s="15" t="s">
        <v>328</v>
      </c>
      <c r="CI210" s="15"/>
      <c r="CJ210" s="15"/>
      <c r="CK210" s="15"/>
      <c r="CL210" s="15">
        <v>5</v>
      </c>
      <c r="CM210" s="15">
        <v>4</v>
      </c>
      <c r="CN210" s="15">
        <v>3</v>
      </c>
      <c r="CO210" s="15">
        <v>1</v>
      </c>
      <c r="CP210" s="15">
        <v>2</v>
      </c>
      <c r="CQ210" s="15">
        <v>6</v>
      </c>
      <c r="CR210" s="15"/>
      <c r="CS210" s="15"/>
      <c r="CT210" s="15"/>
      <c r="CU210" s="15"/>
      <c r="CV210" s="15"/>
      <c r="CW210" s="15"/>
      <c r="CX210" s="15" t="s">
        <v>332</v>
      </c>
      <c r="CY210" s="15"/>
      <c r="CZ210" s="15"/>
      <c r="DA210" s="15">
        <v>1</v>
      </c>
      <c r="DB210" s="15">
        <v>3</v>
      </c>
      <c r="DC210" s="15">
        <v>4</v>
      </c>
      <c r="DD210" s="15">
        <v>5</v>
      </c>
      <c r="DE210" s="15">
        <v>2</v>
      </c>
      <c r="DF210" s="15">
        <v>6</v>
      </c>
      <c r="DG210" s="15"/>
      <c r="DH210" s="15" t="s">
        <v>328</v>
      </c>
      <c r="DI210" s="15"/>
      <c r="DJ210" s="15"/>
      <c r="DK210" s="15"/>
      <c r="DL210" s="15"/>
      <c r="DM210" s="15"/>
      <c r="DN210" s="15" t="s">
        <v>411</v>
      </c>
      <c r="DO210" s="15" t="s">
        <v>328</v>
      </c>
      <c r="DP210" s="15"/>
      <c r="DQ210" s="15"/>
      <c r="DR210" s="15"/>
      <c r="DS210" s="15"/>
      <c r="DT210" s="15"/>
      <c r="DU210" s="15"/>
      <c r="DV210" s="15" t="s">
        <v>450</v>
      </c>
      <c r="DW210" s="15" t="s">
        <v>328</v>
      </c>
      <c r="DX210" s="15"/>
      <c r="DY210" s="15"/>
      <c r="DZ210" s="15"/>
      <c r="EA210" s="15"/>
      <c r="EB210" s="15"/>
      <c r="EC210" s="102" t="s">
        <v>450</v>
      </c>
      <c r="ED210" s="99"/>
    </row>
    <row r="211" spans="1:134" x14ac:dyDescent="0.25">
      <c r="A211" s="50" t="s">
        <v>1855</v>
      </c>
      <c r="B211" s="61" t="s">
        <v>668</v>
      </c>
      <c r="C211" s="15" t="s">
        <v>328</v>
      </c>
      <c r="D211" s="15"/>
      <c r="E211" s="15">
        <v>48</v>
      </c>
      <c r="F211" s="15" t="s">
        <v>329</v>
      </c>
      <c r="G211" s="15" t="s">
        <v>399</v>
      </c>
      <c r="H211" s="15" t="s">
        <v>796</v>
      </c>
      <c r="I211" s="18" t="s">
        <v>1274</v>
      </c>
      <c r="J211" s="15" t="s">
        <v>1288</v>
      </c>
      <c r="K211" s="15">
        <v>0</v>
      </c>
      <c r="L211" s="15">
        <v>2</v>
      </c>
      <c r="M211" s="15"/>
      <c r="N211" s="15"/>
      <c r="O211" s="15"/>
      <c r="P211" s="15"/>
      <c r="Q211" s="15"/>
      <c r="R211" s="15"/>
      <c r="S211" s="15"/>
      <c r="T211" s="15"/>
      <c r="U211" s="15"/>
      <c r="V211" s="15">
        <v>2</v>
      </c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 t="s">
        <v>692</v>
      </c>
      <c r="AJ211" s="15" t="s">
        <v>328</v>
      </c>
      <c r="AK211" s="15"/>
      <c r="AL211" s="15"/>
      <c r="AM211" s="15"/>
      <c r="AN211" s="15" t="s">
        <v>328</v>
      </c>
      <c r="AO211" s="15"/>
      <c r="AP211" s="15">
        <v>10</v>
      </c>
      <c r="AQ211" s="15">
        <v>2</v>
      </c>
      <c r="AR211" s="15"/>
      <c r="AS211" s="15"/>
      <c r="AT211" s="15" t="s">
        <v>328</v>
      </c>
      <c r="AU211" s="15"/>
      <c r="AV211" s="15">
        <v>1</v>
      </c>
      <c r="AW211" s="15">
        <v>2</v>
      </c>
      <c r="AX211" s="15">
        <v>3</v>
      </c>
      <c r="AY211" s="15"/>
      <c r="AZ211" s="15"/>
      <c r="BA211" s="15" t="s">
        <v>328</v>
      </c>
      <c r="BB211" s="15" t="s">
        <v>328</v>
      </c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 t="s">
        <v>328</v>
      </c>
      <c r="BN211" s="15" t="s">
        <v>328</v>
      </c>
      <c r="BO211" s="15"/>
      <c r="BP211" s="15" t="s">
        <v>328</v>
      </c>
      <c r="BQ211" s="15"/>
      <c r="BR211" s="15"/>
      <c r="BS211" s="15"/>
      <c r="BT211" s="15"/>
      <c r="BU211" s="15" t="s">
        <v>328</v>
      </c>
      <c r="BV211" s="15"/>
      <c r="BW211" s="15" t="s">
        <v>328</v>
      </c>
      <c r="BX211" s="15"/>
      <c r="BY211" s="15"/>
      <c r="BZ211" s="15"/>
      <c r="CA211" s="15" t="s">
        <v>328</v>
      </c>
      <c r="CB211" s="15"/>
      <c r="CC211" s="15"/>
      <c r="CD211" s="15"/>
      <c r="CE211" s="15"/>
      <c r="CF211" s="15"/>
      <c r="CG211" s="15" t="s">
        <v>328</v>
      </c>
      <c r="CH211" s="15"/>
      <c r="CI211" s="15"/>
      <c r="CJ211" s="15"/>
      <c r="CK211" s="15"/>
      <c r="CL211" s="15">
        <v>2</v>
      </c>
      <c r="CM211" s="15">
        <v>5</v>
      </c>
      <c r="CN211" s="15">
        <v>6</v>
      </c>
      <c r="CO211" s="15">
        <v>3</v>
      </c>
      <c r="CP211" s="15">
        <v>4</v>
      </c>
      <c r="CQ211" s="15">
        <v>1</v>
      </c>
      <c r="CR211" s="15"/>
      <c r="CS211" s="15" t="s">
        <v>328</v>
      </c>
      <c r="CT211" s="15"/>
      <c r="CU211" s="15"/>
      <c r="CV211" s="15"/>
      <c r="CW211" s="15"/>
      <c r="CX211" s="15"/>
      <c r="CY211" s="15"/>
      <c r="CZ211" s="15"/>
      <c r="DA211" s="15">
        <v>3</v>
      </c>
      <c r="DB211" s="15">
        <v>4</v>
      </c>
      <c r="DC211" s="15">
        <v>5</v>
      </c>
      <c r="DD211" s="15">
        <v>1</v>
      </c>
      <c r="DE211" s="15">
        <v>6</v>
      </c>
      <c r="DF211" s="15">
        <v>2</v>
      </c>
      <c r="DG211" s="15"/>
      <c r="DH211" s="15" t="s">
        <v>328</v>
      </c>
      <c r="DI211" s="15"/>
      <c r="DJ211" s="15"/>
      <c r="DK211" s="15"/>
      <c r="DL211" s="15"/>
      <c r="DM211" s="15"/>
      <c r="DN211" s="15" t="s">
        <v>411</v>
      </c>
      <c r="DO211" s="15"/>
      <c r="DP211" s="15" t="s">
        <v>328</v>
      </c>
      <c r="DQ211" s="15" t="s">
        <v>328</v>
      </c>
      <c r="DR211" s="15" t="s">
        <v>397</v>
      </c>
      <c r="DS211" s="15"/>
      <c r="DT211" s="15"/>
      <c r="DU211" s="15" t="s">
        <v>492</v>
      </c>
      <c r="DV211" s="15" t="s">
        <v>1161</v>
      </c>
      <c r="DW211" s="15" t="s">
        <v>328</v>
      </c>
      <c r="DX211" s="15"/>
      <c r="DY211" s="15"/>
      <c r="DZ211" s="15"/>
      <c r="EA211" s="15"/>
      <c r="EB211" s="15"/>
      <c r="EC211" s="102" t="s">
        <v>438</v>
      </c>
      <c r="ED211" s="99"/>
    </row>
    <row r="212" spans="1:134" x14ac:dyDescent="0.25">
      <c r="A212" s="50" t="s">
        <v>1855</v>
      </c>
      <c r="B212" s="61" t="s">
        <v>670</v>
      </c>
      <c r="C212" s="15" t="s">
        <v>328</v>
      </c>
      <c r="D212" s="15"/>
      <c r="E212" s="15">
        <v>36</v>
      </c>
      <c r="F212" s="15" t="s">
        <v>329</v>
      </c>
      <c r="G212" s="15" t="s">
        <v>357</v>
      </c>
      <c r="H212" s="15" t="s">
        <v>732</v>
      </c>
      <c r="I212" s="15" t="s">
        <v>1235</v>
      </c>
      <c r="J212" s="15" t="s">
        <v>1183</v>
      </c>
      <c r="K212" s="15">
        <v>5</v>
      </c>
      <c r="L212" s="15">
        <v>3</v>
      </c>
      <c r="M212" s="15"/>
      <c r="N212" s="15"/>
      <c r="O212" s="15"/>
      <c r="P212" s="15"/>
      <c r="Q212" s="15"/>
      <c r="R212" s="15"/>
      <c r="S212" s="15"/>
      <c r="T212" s="15">
        <v>6</v>
      </c>
      <c r="U212" s="15"/>
      <c r="V212" s="15"/>
      <c r="W212" s="15"/>
      <c r="X212" s="15"/>
      <c r="Y212" s="18"/>
      <c r="Z212" s="15"/>
      <c r="AA212" s="15"/>
      <c r="AB212" s="15"/>
      <c r="AC212" s="15"/>
      <c r="AD212" s="15" t="s">
        <v>328</v>
      </c>
      <c r="AE212" s="15"/>
      <c r="AF212" s="15" t="s">
        <v>328</v>
      </c>
      <c r="AG212" s="15"/>
      <c r="AH212" s="15"/>
      <c r="AI212" s="15" t="s">
        <v>1165</v>
      </c>
      <c r="AJ212" s="15" t="s">
        <v>328</v>
      </c>
      <c r="AK212" s="15"/>
      <c r="AL212" s="15" t="s">
        <v>328</v>
      </c>
      <c r="AM212" s="15"/>
      <c r="AN212" s="15"/>
      <c r="AO212" s="15"/>
      <c r="AP212" s="15">
        <v>6</v>
      </c>
      <c r="AQ212" s="15">
        <v>6</v>
      </c>
      <c r="AR212" s="15"/>
      <c r="AS212" s="15"/>
      <c r="AT212" s="15" t="s">
        <v>328</v>
      </c>
      <c r="AU212" s="15"/>
      <c r="AV212" s="15">
        <v>1</v>
      </c>
      <c r="AW212" s="15">
        <v>2</v>
      </c>
      <c r="AX212" s="15">
        <v>3</v>
      </c>
      <c r="AY212" s="15"/>
      <c r="AZ212" s="15" t="s">
        <v>328</v>
      </c>
      <c r="BA212" s="15"/>
      <c r="BB212" s="15"/>
      <c r="BC212" s="15"/>
      <c r="BD212" s="15"/>
      <c r="BE212" s="15" t="s">
        <v>328</v>
      </c>
      <c r="BF212" s="15"/>
      <c r="BG212" s="15"/>
      <c r="BH212" s="15"/>
      <c r="BI212" s="15"/>
      <c r="BJ212" s="15"/>
      <c r="BK212" s="15"/>
      <c r="BL212" s="15"/>
      <c r="BM212" s="15" t="s">
        <v>328</v>
      </c>
      <c r="BN212" s="15"/>
      <c r="BO212" s="15" t="s">
        <v>328</v>
      </c>
      <c r="BP212" s="15" t="s">
        <v>328</v>
      </c>
      <c r="BQ212" s="15"/>
      <c r="BR212" s="15"/>
      <c r="BS212" s="15"/>
      <c r="BT212" s="15"/>
      <c r="BU212" s="15" t="s">
        <v>328</v>
      </c>
      <c r="BV212" s="15"/>
      <c r="BW212" s="15" t="s">
        <v>328</v>
      </c>
      <c r="BX212" s="15"/>
      <c r="BY212" s="15"/>
      <c r="BZ212" s="15"/>
      <c r="CA212" s="15" t="s">
        <v>328</v>
      </c>
      <c r="CB212" s="15"/>
      <c r="CC212" s="15"/>
      <c r="CD212" s="15"/>
      <c r="CE212" s="15"/>
      <c r="CF212" s="15"/>
      <c r="CG212" s="15" t="s">
        <v>328</v>
      </c>
      <c r="CH212" s="15"/>
      <c r="CI212" s="15"/>
      <c r="CJ212" s="15"/>
      <c r="CK212" s="15"/>
      <c r="CL212" s="15">
        <v>3</v>
      </c>
      <c r="CM212" s="15">
        <v>1</v>
      </c>
      <c r="CN212" s="15">
        <v>2</v>
      </c>
      <c r="CO212" s="15">
        <v>6</v>
      </c>
      <c r="CP212" s="15">
        <v>5</v>
      </c>
      <c r="CQ212" s="15">
        <v>4</v>
      </c>
      <c r="CR212" s="15"/>
      <c r="CS212" s="15" t="s">
        <v>328</v>
      </c>
      <c r="CT212" s="15"/>
      <c r="CU212" s="15"/>
      <c r="CV212" s="15"/>
      <c r="CW212" s="15"/>
      <c r="CX212" s="15"/>
      <c r="CY212" s="15"/>
      <c r="CZ212" s="15"/>
      <c r="DA212" s="15">
        <v>1</v>
      </c>
      <c r="DB212" s="15">
        <v>5</v>
      </c>
      <c r="DC212" s="15">
        <v>3</v>
      </c>
      <c r="DD212" s="15">
        <v>4</v>
      </c>
      <c r="DE212" s="15">
        <v>2</v>
      </c>
      <c r="DF212" s="15">
        <v>6</v>
      </c>
      <c r="DG212" s="15"/>
      <c r="DH212" s="15" t="s">
        <v>328</v>
      </c>
      <c r="DI212" s="15"/>
      <c r="DJ212" s="15"/>
      <c r="DK212" s="15"/>
      <c r="DL212" s="15"/>
      <c r="DM212" s="15"/>
      <c r="DN212" s="15" t="s">
        <v>411</v>
      </c>
      <c r="DO212" s="15"/>
      <c r="DP212" s="15" t="s">
        <v>328</v>
      </c>
      <c r="DQ212" s="15"/>
      <c r="DR212" s="15"/>
      <c r="DS212" s="15" t="s">
        <v>328</v>
      </c>
      <c r="DT212" s="15" t="s">
        <v>680</v>
      </c>
      <c r="DU212" s="15" t="s">
        <v>428</v>
      </c>
      <c r="DV212" s="15" t="s">
        <v>1145</v>
      </c>
      <c r="DW212" s="15" t="s">
        <v>328</v>
      </c>
      <c r="DX212" s="15"/>
      <c r="DY212" s="15"/>
      <c r="DZ212" s="15"/>
      <c r="EA212" s="15"/>
      <c r="EB212" s="15"/>
      <c r="EC212" s="102" t="s">
        <v>450</v>
      </c>
      <c r="ED212" s="99"/>
    </row>
    <row r="213" spans="1:134" x14ac:dyDescent="0.25">
      <c r="A213" s="50" t="s">
        <v>1855</v>
      </c>
      <c r="B213" s="61" t="s">
        <v>671</v>
      </c>
      <c r="C213" s="15" t="s">
        <v>328</v>
      </c>
      <c r="D213" s="15"/>
      <c r="E213" s="15">
        <v>57</v>
      </c>
      <c r="F213" s="15" t="s">
        <v>329</v>
      </c>
      <c r="G213" s="15" t="s">
        <v>584</v>
      </c>
      <c r="H213" s="15" t="s">
        <v>797</v>
      </c>
      <c r="I213" s="18" t="s">
        <v>1275</v>
      </c>
      <c r="J213" s="15" t="s">
        <v>1183</v>
      </c>
      <c r="K213" s="15">
        <v>36</v>
      </c>
      <c r="L213" s="15">
        <v>1</v>
      </c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>
        <v>1</v>
      </c>
      <c r="Y213" s="15"/>
      <c r="Z213" s="15"/>
      <c r="AA213" s="15"/>
      <c r="AB213" s="15"/>
      <c r="AC213" s="15"/>
      <c r="AD213" s="15"/>
      <c r="AE213" s="15" t="s">
        <v>328</v>
      </c>
      <c r="AF213" s="15"/>
      <c r="AG213" s="15"/>
      <c r="AH213" s="15"/>
      <c r="AI213" s="15"/>
      <c r="AJ213" s="15"/>
      <c r="AK213" s="15" t="s">
        <v>328</v>
      </c>
      <c r="AL213" s="15"/>
      <c r="AM213" s="15" t="s">
        <v>328</v>
      </c>
      <c r="AN213" s="15"/>
      <c r="AO213" s="15" t="s">
        <v>328</v>
      </c>
      <c r="AP213" s="15">
        <v>8</v>
      </c>
      <c r="AQ213" s="15">
        <v>10</v>
      </c>
      <c r="AR213" s="15"/>
      <c r="AS213" s="15" t="s">
        <v>328</v>
      </c>
      <c r="AT213" s="15"/>
      <c r="AU213" s="15"/>
      <c r="AV213" s="15">
        <v>3</v>
      </c>
      <c r="AW213" s="15">
        <v>2</v>
      </c>
      <c r="AX213" s="15">
        <v>1</v>
      </c>
      <c r="AY213" s="15"/>
      <c r="AZ213" s="15" t="s">
        <v>328</v>
      </c>
      <c r="BA213" s="15"/>
      <c r="BB213" s="15" t="s">
        <v>328</v>
      </c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 t="s">
        <v>328</v>
      </c>
      <c r="BN213" s="15"/>
      <c r="BO213" s="15" t="s">
        <v>328</v>
      </c>
      <c r="BP213" s="15"/>
      <c r="BQ213" s="15"/>
      <c r="BR213" s="15"/>
      <c r="BS213" s="15"/>
      <c r="BT213" s="15"/>
      <c r="BU213" s="15"/>
      <c r="BV213" s="14" t="s">
        <v>332</v>
      </c>
      <c r="BW213" s="15"/>
      <c r="BX213" s="15"/>
      <c r="BY213" s="15"/>
      <c r="BZ213" s="15"/>
      <c r="CA213" s="15"/>
      <c r="CB213" s="15"/>
      <c r="CC213" s="15"/>
      <c r="CD213" s="15"/>
      <c r="CE213" s="15"/>
      <c r="CF213" s="15" t="s">
        <v>332</v>
      </c>
      <c r="CG213" s="15" t="s">
        <v>328</v>
      </c>
      <c r="CH213" s="15"/>
      <c r="CI213" s="15"/>
      <c r="CJ213" s="15"/>
      <c r="CK213" s="15"/>
      <c r="CL213" s="15">
        <v>4</v>
      </c>
      <c r="CM213" s="15">
        <v>1</v>
      </c>
      <c r="CN213" s="15">
        <v>6</v>
      </c>
      <c r="CO213" s="15">
        <v>3</v>
      </c>
      <c r="CP213" s="15">
        <v>2</v>
      </c>
      <c r="CQ213" s="15">
        <v>5</v>
      </c>
      <c r="CR213" s="15"/>
      <c r="CS213" s="15"/>
      <c r="CT213" s="15"/>
      <c r="CU213" s="15"/>
      <c r="CV213" s="15"/>
      <c r="CW213" s="15"/>
      <c r="CX213" s="15" t="s">
        <v>332</v>
      </c>
      <c r="CY213" s="15" t="s">
        <v>328</v>
      </c>
      <c r="CZ213" s="15" t="s">
        <v>700</v>
      </c>
      <c r="DA213" s="15"/>
      <c r="DB213" s="15"/>
      <c r="DC213" s="15"/>
      <c r="DD213" s="15"/>
      <c r="DE213" s="15"/>
      <c r="DF213" s="15"/>
      <c r="DG213" s="15"/>
      <c r="DH213" s="15" t="s">
        <v>328</v>
      </c>
      <c r="DI213" s="15"/>
      <c r="DJ213" s="15"/>
      <c r="DK213" s="15"/>
      <c r="DL213" s="15"/>
      <c r="DM213" s="15"/>
      <c r="DN213" s="14" t="s">
        <v>333</v>
      </c>
      <c r="DO213" s="15" t="s">
        <v>328</v>
      </c>
      <c r="DP213" s="15"/>
      <c r="DQ213" s="15"/>
      <c r="DR213" s="15"/>
      <c r="DS213" s="15"/>
      <c r="DT213" s="15"/>
      <c r="DU213" s="15"/>
      <c r="DV213" s="15" t="s">
        <v>333</v>
      </c>
      <c r="DW213" s="15" t="s">
        <v>328</v>
      </c>
      <c r="DX213" s="15"/>
      <c r="DY213" s="15"/>
      <c r="DZ213" s="15"/>
      <c r="EA213" s="15"/>
      <c r="EB213" s="15"/>
      <c r="EC213" s="102" t="s">
        <v>333</v>
      </c>
      <c r="ED213" s="99"/>
    </row>
    <row r="214" spans="1:134" x14ac:dyDescent="0.25">
      <c r="A214" s="50" t="s">
        <v>1855</v>
      </c>
      <c r="B214" s="61" t="s">
        <v>672</v>
      </c>
      <c r="C214" s="15" t="s">
        <v>328</v>
      </c>
      <c r="D214" s="15"/>
      <c r="E214" s="15">
        <v>45</v>
      </c>
      <c r="F214" s="15" t="s">
        <v>329</v>
      </c>
      <c r="G214" s="15" t="s">
        <v>357</v>
      </c>
      <c r="H214" s="15" t="s">
        <v>798</v>
      </c>
      <c r="I214" s="18" t="s">
        <v>1276</v>
      </c>
      <c r="J214" s="15" t="s">
        <v>1288</v>
      </c>
      <c r="K214" s="15">
        <v>0</v>
      </c>
      <c r="L214" s="15">
        <v>2</v>
      </c>
      <c r="M214" s="15">
        <v>2</v>
      </c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 t="s">
        <v>328</v>
      </c>
      <c r="AE214" s="15"/>
      <c r="AF214" s="15" t="s">
        <v>328</v>
      </c>
      <c r="AG214" s="15"/>
      <c r="AH214" s="15"/>
      <c r="AI214" s="15"/>
      <c r="AJ214" s="15"/>
      <c r="AK214" s="15" t="s">
        <v>328</v>
      </c>
      <c r="AL214" s="15"/>
      <c r="AM214" s="15"/>
      <c r="AN214" s="15" t="s">
        <v>328</v>
      </c>
      <c r="AO214" s="15"/>
      <c r="AP214" s="15">
        <v>10</v>
      </c>
      <c r="AQ214" s="15">
        <v>1</v>
      </c>
      <c r="AR214" s="15"/>
      <c r="AS214" s="15"/>
      <c r="AT214" s="15" t="s">
        <v>328</v>
      </c>
      <c r="AU214" s="15"/>
      <c r="AV214" s="15">
        <v>1</v>
      </c>
      <c r="AW214" s="15">
        <v>2</v>
      </c>
      <c r="AX214" s="15">
        <v>3</v>
      </c>
      <c r="AY214" s="15"/>
      <c r="AZ214" s="15" t="s">
        <v>328</v>
      </c>
      <c r="BA214" s="15"/>
      <c r="BB214" s="15"/>
      <c r="BC214" s="15"/>
      <c r="BD214" s="15"/>
      <c r="BE214" s="15"/>
      <c r="BF214" s="15"/>
      <c r="BG214" s="15" t="s">
        <v>328</v>
      </c>
      <c r="BH214" s="15"/>
      <c r="BI214" s="15"/>
      <c r="BJ214" s="15"/>
      <c r="BK214" s="15"/>
      <c r="BL214" s="15"/>
      <c r="BM214" s="15" t="s">
        <v>328</v>
      </c>
      <c r="BN214" s="15"/>
      <c r="BO214" s="15" t="s">
        <v>328</v>
      </c>
      <c r="BP214" s="15"/>
      <c r="BQ214" s="15"/>
      <c r="BR214" s="15"/>
      <c r="BS214" s="15"/>
      <c r="BT214" s="15" t="s">
        <v>328</v>
      </c>
      <c r="BU214" s="15"/>
      <c r="BV214" s="15"/>
      <c r="BW214" s="15"/>
      <c r="BX214" s="15"/>
      <c r="BY214" s="15"/>
      <c r="BZ214" s="15"/>
      <c r="CA214" s="15"/>
      <c r="CB214" s="15" t="s">
        <v>328</v>
      </c>
      <c r="CC214" s="15"/>
      <c r="CD214" s="15"/>
      <c r="CE214" s="15" t="s">
        <v>328</v>
      </c>
      <c r="CF214" s="15"/>
      <c r="CG214" s="15"/>
      <c r="CH214" s="15" t="s">
        <v>328</v>
      </c>
      <c r="CI214" s="15"/>
      <c r="CJ214" s="15"/>
      <c r="CK214" s="15"/>
      <c r="CL214" s="15">
        <v>4</v>
      </c>
      <c r="CM214" s="15">
        <v>1</v>
      </c>
      <c r="CN214" s="15">
        <v>5</v>
      </c>
      <c r="CO214" s="15">
        <v>3</v>
      </c>
      <c r="CP214" s="15">
        <v>2</v>
      </c>
      <c r="CQ214" s="15">
        <v>6</v>
      </c>
      <c r="CR214" s="15"/>
      <c r="CS214" s="15"/>
      <c r="CT214" s="15"/>
      <c r="CU214" s="15"/>
      <c r="CV214" s="15"/>
      <c r="CW214" s="15"/>
      <c r="CX214" s="15" t="s">
        <v>332</v>
      </c>
      <c r="CY214" s="15"/>
      <c r="CZ214" s="15"/>
      <c r="DA214" s="15">
        <v>6</v>
      </c>
      <c r="DB214" s="15">
        <v>1</v>
      </c>
      <c r="DC214" s="15">
        <v>2</v>
      </c>
      <c r="DD214" s="15">
        <v>3</v>
      </c>
      <c r="DE214" s="15">
        <v>5</v>
      </c>
      <c r="DF214" s="15">
        <v>4</v>
      </c>
      <c r="DG214" s="15"/>
      <c r="DH214" s="15" t="s">
        <v>328</v>
      </c>
      <c r="DI214" s="15"/>
      <c r="DJ214" s="15"/>
      <c r="DK214" s="15"/>
      <c r="DL214" s="15"/>
      <c r="DM214" s="15"/>
      <c r="DN214" s="14" t="s">
        <v>1145</v>
      </c>
      <c r="DO214" s="15" t="s">
        <v>328</v>
      </c>
      <c r="DP214" s="15"/>
      <c r="DQ214" s="15"/>
      <c r="DR214" s="15"/>
      <c r="DS214" s="15"/>
      <c r="DT214" s="15"/>
      <c r="DU214" s="15"/>
      <c r="DV214" s="15" t="s">
        <v>1145</v>
      </c>
      <c r="DW214" s="15" t="s">
        <v>328</v>
      </c>
      <c r="DX214" s="15"/>
      <c r="DY214" s="15"/>
      <c r="DZ214" s="15"/>
      <c r="EA214" s="15"/>
      <c r="EB214" s="15"/>
      <c r="EC214" s="102" t="s">
        <v>1145</v>
      </c>
      <c r="ED214" s="99"/>
    </row>
    <row r="215" spans="1:134" x14ac:dyDescent="0.25">
      <c r="A215" s="50" t="s">
        <v>1855</v>
      </c>
      <c r="B215" s="61" t="s">
        <v>673</v>
      </c>
      <c r="C215" s="15" t="s">
        <v>328</v>
      </c>
      <c r="D215" s="15"/>
      <c r="E215" s="15">
        <v>23</v>
      </c>
      <c r="F215" s="15" t="s">
        <v>329</v>
      </c>
      <c r="G215" s="15" t="s">
        <v>357</v>
      </c>
      <c r="H215" s="15" t="s">
        <v>356</v>
      </c>
      <c r="I215" s="15" t="s">
        <v>1183</v>
      </c>
      <c r="J215" s="15" t="s">
        <v>1183</v>
      </c>
      <c r="K215" s="15">
        <v>1</v>
      </c>
      <c r="L215" s="15">
        <v>1</v>
      </c>
      <c r="M215" s="15">
        <v>1</v>
      </c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 t="s">
        <v>328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 t="s">
        <v>328</v>
      </c>
      <c r="AL215" s="15"/>
      <c r="AM215" s="15"/>
      <c r="AN215" s="15"/>
      <c r="AO215" s="15" t="s">
        <v>328</v>
      </c>
      <c r="AP215" s="15">
        <v>10</v>
      </c>
      <c r="AQ215" s="15">
        <v>1</v>
      </c>
      <c r="AR215" s="15"/>
      <c r="AS215" s="15"/>
      <c r="AT215" s="15" t="s">
        <v>328</v>
      </c>
      <c r="AU215" s="15"/>
      <c r="AV215" s="15">
        <v>1</v>
      </c>
      <c r="AW215" s="15">
        <v>2</v>
      </c>
      <c r="AX215" s="15">
        <v>3</v>
      </c>
      <c r="AY215" s="15"/>
      <c r="AZ215" s="15" t="s">
        <v>328</v>
      </c>
      <c r="BA215" s="15"/>
      <c r="BB215" s="15"/>
      <c r="BC215" s="15" t="s">
        <v>328</v>
      </c>
      <c r="BD215" s="15"/>
      <c r="BE215" s="15"/>
      <c r="BF215" s="15"/>
      <c r="BG215" s="15"/>
      <c r="BH215" s="15"/>
      <c r="BI215" s="15"/>
      <c r="BJ215" s="15"/>
      <c r="BK215" s="15"/>
      <c r="BL215" s="15"/>
      <c r="BM215" s="15" t="s">
        <v>328</v>
      </c>
      <c r="BN215" s="15"/>
      <c r="BO215" s="15" t="s">
        <v>328</v>
      </c>
      <c r="BP215" s="15"/>
      <c r="BQ215" s="15" t="s">
        <v>328</v>
      </c>
      <c r="BR215" s="15"/>
      <c r="BS215" s="15"/>
      <c r="BT215" s="15"/>
      <c r="BU215" s="15"/>
      <c r="BV215" s="15"/>
      <c r="BW215" s="15"/>
      <c r="BX215" s="15"/>
      <c r="BY215" s="15"/>
      <c r="BZ215" s="15" t="s">
        <v>328</v>
      </c>
      <c r="CA215" s="15"/>
      <c r="CB215" s="15" t="s">
        <v>328</v>
      </c>
      <c r="CC215" s="15"/>
      <c r="CD215" s="15"/>
      <c r="CE215" s="15"/>
      <c r="CF215" s="15"/>
      <c r="CG215" s="15"/>
      <c r="CH215" s="15"/>
      <c r="CI215" s="15"/>
      <c r="CJ215" s="15" t="s">
        <v>328</v>
      </c>
      <c r="CK215" s="15"/>
      <c r="CL215" s="15">
        <v>1</v>
      </c>
      <c r="CM215" s="15">
        <v>3</v>
      </c>
      <c r="CN215" s="15">
        <v>6</v>
      </c>
      <c r="CO215" s="15">
        <v>4</v>
      </c>
      <c r="CP215" s="15">
        <v>5</v>
      </c>
      <c r="CQ215" s="15">
        <v>2</v>
      </c>
      <c r="CR215" s="15"/>
      <c r="CS215" s="15"/>
      <c r="CT215" s="15"/>
      <c r="CU215" s="15"/>
      <c r="CV215" s="15"/>
      <c r="CW215" s="15"/>
      <c r="CX215" s="15" t="s">
        <v>332</v>
      </c>
      <c r="CY215" s="15"/>
      <c r="CZ215" s="15"/>
      <c r="DA215" s="15">
        <v>4</v>
      </c>
      <c r="DB215" s="15">
        <v>5</v>
      </c>
      <c r="DC215" s="15">
        <v>6</v>
      </c>
      <c r="DD215" s="15">
        <v>2</v>
      </c>
      <c r="DE215" s="15">
        <v>1</v>
      </c>
      <c r="DF215" s="15">
        <v>3</v>
      </c>
      <c r="DG215" s="15"/>
      <c r="DH215" s="15" t="s">
        <v>328</v>
      </c>
      <c r="DI215" s="15"/>
      <c r="DJ215" s="15"/>
      <c r="DK215" s="15"/>
      <c r="DL215" s="15"/>
      <c r="DM215" s="15"/>
      <c r="DN215" s="14" t="s">
        <v>333</v>
      </c>
      <c r="DO215" s="15" t="s">
        <v>328</v>
      </c>
      <c r="DP215" s="15"/>
      <c r="DQ215" s="15"/>
      <c r="DR215" s="15"/>
      <c r="DS215" s="15"/>
      <c r="DT215" s="15"/>
      <c r="DU215" s="15"/>
      <c r="DV215" s="15" t="s">
        <v>1155</v>
      </c>
      <c r="DW215" s="15" t="s">
        <v>328</v>
      </c>
      <c r="DX215" s="15"/>
      <c r="DY215" s="15"/>
      <c r="DZ215" s="15"/>
      <c r="EA215" s="15"/>
      <c r="EB215" s="15"/>
      <c r="EC215" s="102" t="s">
        <v>1155</v>
      </c>
      <c r="ED215" s="99"/>
    </row>
    <row r="216" spans="1:134" x14ac:dyDescent="0.25">
      <c r="A216" s="50" t="s">
        <v>1855</v>
      </c>
      <c r="B216" s="61" t="s">
        <v>674</v>
      </c>
      <c r="C216" s="15" t="s">
        <v>328</v>
      </c>
      <c r="D216" s="15"/>
      <c r="E216" s="15">
        <v>50</v>
      </c>
      <c r="F216" s="15" t="s">
        <v>329</v>
      </c>
      <c r="G216" s="15" t="s">
        <v>357</v>
      </c>
      <c r="H216" s="15" t="s">
        <v>356</v>
      </c>
      <c r="I216" s="15" t="s">
        <v>1183</v>
      </c>
      <c r="J216" s="15" t="s">
        <v>1183</v>
      </c>
      <c r="K216" s="15">
        <v>0</v>
      </c>
      <c r="L216" s="15">
        <v>3</v>
      </c>
      <c r="M216" s="15">
        <v>6</v>
      </c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 t="s">
        <v>328</v>
      </c>
      <c r="AE216" s="15"/>
      <c r="AF216" s="15" t="s">
        <v>328</v>
      </c>
      <c r="AG216" s="15"/>
      <c r="AH216" s="15"/>
      <c r="AI216" s="15"/>
      <c r="AJ216" s="15" t="s">
        <v>328</v>
      </c>
      <c r="AK216" s="15"/>
      <c r="AL216" s="15"/>
      <c r="AM216" s="15"/>
      <c r="AN216" s="15" t="s">
        <v>328</v>
      </c>
      <c r="AO216" s="15"/>
      <c r="AP216" s="15">
        <v>10</v>
      </c>
      <c r="AQ216" s="15">
        <v>2</v>
      </c>
      <c r="AR216" s="15"/>
      <c r="AS216" s="15" t="s">
        <v>328</v>
      </c>
      <c r="AT216" s="15"/>
      <c r="AU216" s="15"/>
      <c r="AV216" s="15">
        <v>1</v>
      </c>
      <c r="AW216" s="15">
        <v>2</v>
      </c>
      <c r="AX216" s="15">
        <v>3</v>
      </c>
      <c r="AY216" s="15"/>
      <c r="AZ216" s="15"/>
      <c r="BA216" s="15" t="s">
        <v>328</v>
      </c>
      <c r="BB216" s="15"/>
      <c r="BC216" s="15"/>
      <c r="BD216" s="15"/>
      <c r="BE216" s="15" t="s">
        <v>328</v>
      </c>
      <c r="BF216" s="15"/>
      <c r="BG216" s="15"/>
      <c r="BH216" s="15"/>
      <c r="BI216" s="15"/>
      <c r="BJ216" s="15"/>
      <c r="BK216" s="15"/>
      <c r="BL216" s="15"/>
      <c r="BM216" s="15" t="s">
        <v>328</v>
      </c>
      <c r="BN216" s="15" t="s">
        <v>328</v>
      </c>
      <c r="BO216" s="15"/>
      <c r="BP216" s="15"/>
      <c r="BQ216" s="15"/>
      <c r="BR216" s="15"/>
      <c r="BS216" s="15"/>
      <c r="BT216" s="15" t="s">
        <v>328</v>
      </c>
      <c r="BU216" s="15" t="s">
        <v>328</v>
      </c>
      <c r="BV216" s="15"/>
      <c r="BW216" s="15"/>
      <c r="BX216" s="15"/>
      <c r="BY216" s="15"/>
      <c r="BZ216" s="15" t="s">
        <v>328</v>
      </c>
      <c r="CA216" s="15" t="s">
        <v>328</v>
      </c>
      <c r="CB216" s="15"/>
      <c r="CC216" s="15"/>
      <c r="CD216" s="15"/>
      <c r="CE216" s="15"/>
      <c r="CF216" s="15"/>
      <c r="CG216" s="15" t="s">
        <v>328</v>
      </c>
      <c r="CH216" s="15"/>
      <c r="CI216" s="15"/>
      <c r="CJ216" s="15"/>
      <c r="CK216" s="15"/>
      <c r="CL216" s="15">
        <v>2</v>
      </c>
      <c r="CM216" s="15">
        <v>5</v>
      </c>
      <c r="CN216" s="15">
        <v>6</v>
      </c>
      <c r="CO216" s="15">
        <v>3</v>
      </c>
      <c r="CP216" s="15">
        <v>4</v>
      </c>
      <c r="CQ216" s="15">
        <v>1</v>
      </c>
      <c r="CR216" s="15"/>
      <c r="CS216" s="15" t="s">
        <v>328</v>
      </c>
      <c r="CT216" s="15"/>
      <c r="CU216" s="15"/>
      <c r="CV216" s="15" t="s">
        <v>328</v>
      </c>
      <c r="CW216" s="15"/>
      <c r="CX216" s="15"/>
      <c r="CY216" s="15"/>
      <c r="CZ216" s="15"/>
      <c r="DA216" s="15">
        <v>1</v>
      </c>
      <c r="DB216" s="15">
        <v>5</v>
      </c>
      <c r="DC216" s="15">
        <v>4</v>
      </c>
      <c r="DD216" s="15">
        <v>2</v>
      </c>
      <c r="DE216" s="15">
        <v>6</v>
      </c>
      <c r="DF216" s="15">
        <v>3</v>
      </c>
      <c r="DG216" s="15"/>
      <c r="DH216" s="15" t="s">
        <v>328</v>
      </c>
      <c r="DI216" s="15"/>
      <c r="DJ216" s="15"/>
      <c r="DK216" s="15"/>
      <c r="DL216" s="15"/>
      <c r="DM216" s="15"/>
      <c r="DN216" s="15" t="s">
        <v>411</v>
      </c>
      <c r="DO216" s="15"/>
      <c r="DP216" s="15" t="s">
        <v>328</v>
      </c>
      <c r="DQ216" s="15" t="s">
        <v>328</v>
      </c>
      <c r="DR216" s="15" t="s">
        <v>420</v>
      </c>
      <c r="DS216" s="15"/>
      <c r="DT216" s="15"/>
      <c r="DU216" s="15"/>
      <c r="DV216" s="15" t="s">
        <v>411</v>
      </c>
      <c r="DW216" s="15"/>
      <c r="DX216" s="15" t="s">
        <v>328</v>
      </c>
      <c r="DY216" s="15" t="s">
        <v>328</v>
      </c>
      <c r="DZ216" s="15" t="s">
        <v>420</v>
      </c>
      <c r="EA216" s="15"/>
      <c r="EB216" s="15" t="s">
        <v>559</v>
      </c>
      <c r="EC216" s="102" t="s">
        <v>494</v>
      </c>
      <c r="ED216" s="99"/>
    </row>
    <row r="217" spans="1:134" x14ac:dyDescent="0.25">
      <c r="A217" s="50" t="s">
        <v>1855</v>
      </c>
      <c r="B217" s="61" t="s">
        <v>675</v>
      </c>
      <c r="C217" s="15" t="s">
        <v>328</v>
      </c>
      <c r="D217" s="15"/>
      <c r="E217" s="15">
        <v>38</v>
      </c>
      <c r="F217" s="15" t="s">
        <v>329</v>
      </c>
      <c r="G217" s="15" t="s">
        <v>399</v>
      </c>
      <c r="H217" s="15" t="s">
        <v>732</v>
      </c>
      <c r="I217" s="15" t="s">
        <v>1235</v>
      </c>
      <c r="J217" s="15" t="s">
        <v>1183</v>
      </c>
      <c r="K217" s="15">
        <v>0</v>
      </c>
      <c r="L217" s="15">
        <v>2</v>
      </c>
      <c r="M217" s="15"/>
      <c r="N217" s="15"/>
      <c r="O217" s="15"/>
      <c r="P217" s="15"/>
      <c r="Q217" s="15">
        <v>2</v>
      </c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 t="s">
        <v>328</v>
      </c>
      <c r="AC217" s="15"/>
      <c r="AD217" s="15"/>
      <c r="AE217" s="15"/>
      <c r="AF217" s="15"/>
      <c r="AG217" s="15"/>
      <c r="AH217" s="15" t="s">
        <v>328</v>
      </c>
      <c r="AI217" s="15"/>
      <c r="AJ217" s="15" t="s">
        <v>328</v>
      </c>
      <c r="AK217" s="15"/>
      <c r="AL217" s="15"/>
      <c r="AM217" s="15"/>
      <c r="AN217" s="15" t="s">
        <v>328</v>
      </c>
      <c r="AO217" s="15"/>
      <c r="AP217" s="15">
        <v>10</v>
      </c>
      <c r="AQ217" s="15">
        <v>1</v>
      </c>
      <c r="AR217" s="15"/>
      <c r="AS217" s="15" t="s">
        <v>328</v>
      </c>
      <c r="AT217" s="15"/>
      <c r="AU217" s="15"/>
      <c r="AV217" s="15">
        <v>1</v>
      </c>
      <c r="AW217" s="15">
        <v>3</v>
      </c>
      <c r="AX217" s="15">
        <v>2</v>
      </c>
      <c r="AY217" s="15"/>
      <c r="AZ217" s="15" t="s">
        <v>328</v>
      </c>
      <c r="BA217" s="15"/>
      <c r="BB217" s="15"/>
      <c r="BC217" s="15"/>
      <c r="BD217" s="15"/>
      <c r="BE217" s="15"/>
      <c r="BF217" s="15"/>
      <c r="BG217" s="15" t="s">
        <v>328</v>
      </c>
      <c r="BH217" s="15"/>
      <c r="BI217" s="15"/>
      <c r="BJ217" s="15"/>
      <c r="BK217" s="15"/>
      <c r="BL217" s="15"/>
      <c r="BM217" s="15" t="s">
        <v>328</v>
      </c>
      <c r="BN217" s="15" t="s">
        <v>328</v>
      </c>
      <c r="BO217" s="15"/>
      <c r="BP217" s="15"/>
      <c r="BQ217" s="15"/>
      <c r="BR217" s="15"/>
      <c r="BS217" s="15"/>
      <c r="BT217" s="15" t="s">
        <v>328</v>
      </c>
      <c r="BU217" s="15"/>
      <c r="BV217" s="15"/>
      <c r="BW217" s="15" t="s">
        <v>328</v>
      </c>
      <c r="BX217" s="15"/>
      <c r="BY217" s="15"/>
      <c r="BZ217" s="15"/>
      <c r="CA217" s="15" t="s">
        <v>328</v>
      </c>
      <c r="CB217" s="15"/>
      <c r="CC217" s="15"/>
      <c r="CD217" s="15"/>
      <c r="CE217" s="15"/>
      <c r="CF217" s="14" t="s">
        <v>579</v>
      </c>
      <c r="CG217" s="15" t="s">
        <v>328</v>
      </c>
      <c r="CH217" s="15"/>
      <c r="CI217" s="15"/>
      <c r="CJ217" s="15"/>
      <c r="CK217" s="15"/>
      <c r="CL217" s="15">
        <v>3</v>
      </c>
      <c r="CM217" s="15">
        <v>1</v>
      </c>
      <c r="CN217" s="15">
        <v>2</v>
      </c>
      <c r="CO217" s="15">
        <v>5</v>
      </c>
      <c r="CP217" s="15">
        <v>6</v>
      </c>
      <c r="CQ217" s="15">
        <v>4</v>
      </c>
      <c r="CR217" s="15"/>
      <c r="CS217" s="15"/>
      <c r="CT217" s="15"/>
      <c r="CU217" s="15"/>
      <c r="CV217" s="15"/>
      <c r="CW217" s="15"/>
      <c r="CX217" s="15" t="s">
        <v>332</v>
      </c>
      <c r="CY217" s="15"/>
      <c r="CZ217" s="15"/>
      <c r="DA217" s="15">
        <v>4</v>
      </c>
      <c r="DB217" s="15">
        <v>6</v>
      </c>
      <c r="DC217" s="15">
        <v>3</v>
      </c>
      <c r="DD217" s="15">
        <v>1</v>
      </c>
      <c r="DE217" s="15">
        <v>5</v>
      </c>
      <c r="DF217" s="15">
        <v>2</v>
      </c>
      <c r="DG217" s="15"/>
      <c r="DH217" s="15" t="s">
        <v>328</v>
      </c>
      <c r="DI217" s="15"/>
      <c r="DJ217" s="15"/>
      <c r="DK217" s="15"/>
      <c r="DL217" s="15"/>
      <c r="DM217" s="15"/>
      <c r="DN217" s="14" t="s">
        <v>333</v>
      </c>
      <c r="DO217" s="15" t="s">
        <v>328</v>
      </c>
      <c r="DP217" s="15"/>
      <c r="DQ217" s="15"/>
      <c r="DR217" s="15"/>
      <c r="DS217" s="15"/>
      <c r="DT217" s="15"/>
      <c r="DU217" s="15"/>
      <c r="DV217" s="15" t="s">
        <v>1144</v>
      </c>
      <c r="DW217" s="15" t="s">
        <v>328</v>
      </c>
      <c r="DX217" s="15"/>
      <c r="DY217" s="15"/>
      <c r="DZ217" s="15"/>
      <c r="EA217" s="15"/>
      <c r="EB217" s="15"/>
      <c r="EC217" s="102" t="s">
        <v>1144</v>
      </c>
      <c r="ED217" s="99"/>
    </row>
    <row r="218" spans="1:134" x14ac:dyDescent="0.25">
      <c r="A218" s="50" t="s">
        <v>1855</v>
      </c>
      <c r="B218" s="61" t="s">
        <v>676</v>
      </c>
      <c r="C218" s="15" t="s">
        <v>328</v>
      </c>
      <c r="D218" s="15"/>
      <c r="E218" s="15">
        <v>52</v>
      </c>
      <c r="F218" s="15" t="s">
        <v>329</v>
      </c>
      <c r="G218" s="15" t="s">
        <v>330</v>
      </c>
      <c r="H218" s="15" t="s">
        <v>797</v>
      </c>
      <c r="I218" s="18" t="s">
        <v>1275</v>
      </c>
      <c r="J218" s="15" t="s">
        <v>1183</v>
      </c>
      <c r="K218" s="15">
        <v>30</v>
      </c>
      <c r="L218" s="15">
        <v>1</v>
      </c>
      <c r="M218" s="15"/>
      <c r="N218" s="15"/>
      <c r="O218" s="15"/>
      <c r="P218" s="15"/>
      <c r="Q218" s="15"/>
      <c r="R218" s="15"/>
      <c r="S218" s="15"/>
      <c r="T218" s="15"/>
      <c r="U218" s="15">
        <v>1</v>
      </c>
      <c r="V218" s="15"/>
      <c r="W218" s="15"/>
      <c r="X218" s="15"/>
      <c r="Y218" s="15"/>
      <c r="Z218" s="15"/>
      <c r="AA218" s="15"/>
      <c r="AB218" s="15"/>
      <c r="AC218" s="15" t="s">
        <v>328</v>
      </c>
      <c r="AD218" s="15"/>
      <c r="AE218" s="15"/>
      <c r="AF218" s="15"/>
      <c r="AG218" s="15"/>
      <c r="AH218" s="15"/>
      <c r="AI218" s="15"/>
      <c r="AJ218" s="15" t="s">
        <v>328</v>
      </c>
      <c r="AK218" s="15"/>
      <c r="AL218" s="15"/>
      <c r="AM218" s="15"/>
      <c r="AN218" s="15"/>
      <c r="AO218" s="15" t="s">
        <v>328</v>
      </c>
      <c r="AP218" s="15">
        <v>10</v>
      </c>
      <c r="AQ218" s="15">
        <v>1</v>
      </c>
      <c r="AR218" s="15"/>
      <c r="AS218" s="15" t="s">
        <v>328</v>
      </c>
      <c r="AT218" s="15"/>
      <c r="AU218" s="15"/>
      <c r="AV218" s="15">
        <v>3</v>
      </c>
      <c r="AW218" s="15">
        <v>2</v>
      </c>
      <c r="AX218" s="15">
        <v>1</v>
      </c>
      <c r="AY218" s="15"/>
      <c r="AZ218" s="15" t="s">
        <v>328</v>
      </c>
      <c r="BA218" s="15"/>
      <c r="BB218" s="15"/>
      <c r="BC218" s="15" t="s">
        <v>328</v>
      </c>
      <c r="BD218" s="15"/>
      <c r="BE218" s="15"/>
      <c r="BF218" s="15"/>
      <c r="BG218" s="15"/>
      <c r="BH218" s="15"/>
      <c r="BI218" s="15"/>
      <c r="BJ218" s="15"/>
      <c r="BK218" s="15"/>
      <c r="BL218" s="15"/>
      <c r="BM218" s="15" t="s">
        <v>328</v>
      </c>
      <c r="BN218" s="15"/>
      <c r="BO218" s="15" t="s">
        <v>328</v>
      </c>
      <c r="BP218" s="15" t="s">
        <v>328</v>
      </c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 t="s">
        <v>332</v>
      </c>
      <c r="CG218" s="15"/>
      <c r="CH218" s="15" t="s">
        <v>328</v>
      </c>
      <c r="CI218" s="15"/>
      <c r="CJ218" s="15"/>
      <c r="CK218" s="15"/>
      <c r="CL218" s="15">
        <v>5</v>
      </c>
      <c r="CM218" s="15">
        <v>4</v>
      </c>
      <c r="CN218" s="15">
        <v>3</v>
      </c>
      <c r="CO218" s="15">
        <v>1</v>
      </c>
      <c r="CP218" s="15">
        <v>2</v>
      </c>
      <c r="CQ218" s="15">
        <v>6</v>
      </c>
      <c r="CR218" s="15"/>
      <c r="CS218" s="15"/>
      <c r="CT218" s="15"/>
      <c r="CU218" s="15"/>
      <c r="CV218" s="15"/>
      <c r="CW218" s="15"/>
      <c r="CX218" s="15" t="s">
        <v>332</v>
      </c>
      <c r="CY218" s="15"/>
      <c r="CZ218" s="15"/>
      <c r="DA218" s="15">
        <v>1</v>
      </c>
      <c r="DB218" s="15">
        <v>4</v>
      </c>
      <c r="DC218" s="15">
        <v>3</v>
      </c>
      <c r="DD218" s="15">
        <v>5</v>
      </c>
      <c r="DE218" s="15">
        <v>2</v>
      </c>
      <c r="DF218" s="15">
        <v>6</v>
      </c>
      <c r="DG218" s="15"/>
      <c r="DH218" s="15" t="s">
        <v>328</v>
      </c>
      <c r="DI218" s="15"/>
      <c r="DJ218" s="15"/>
      <c r="DK218" s="15"/>
      <c r="DL218" s="15"/>
      <c r="DM218" s="15"/>
      <c r="DN218" s="14" t="s">
        <v>1146</v>
      </c>
      <c r="DO218" s="15" t="s">
        <v>328</v>
      </c>
      <c r="DP218" s="15"/>
      <c r="DQ218" s="15"/>
      <c r="DR218" s="15"/>
      <c r="DS218" s="15"/>
      <c r="DT218" s="15"/>
      <c r="DU218" s="15"/>
      <c r="DV218" s="15" t="s">
        <v>1152</v>
      </c>
      <c r="DW218" s="15" t="s">
        <v>328</v>
      </c>
      <c r="DX218" s="15"/>
      <c r="DY218" s="15"/>
      <c r="DZ218" s="15"/>
      <c r="EA218" s="15"/>
      <c r="EB218" s="15"/>
      <c r="EC218" s="102" t="s">
        <v>1152</v>
      </c>
      <c r="ED218" s="99"/>
    </row>
    <row r="219" spans="1:134" x14ac:dyDescent="0.25">
      <c r="A219" s="50" t="s">
        <v>1855</v>
      </c>
      <c r="B219" s="61" t="s">
        <v>677</v>
      </c>
      <c r="C219" s="15" t="s">
        <v>328</v>
      </c>
      <c r="D219" s="15"/>
      <c r="E219" s="15">
        <v>47</v>
      </c>
      <c r="F219" s="15" t="s">
        <v>329</v>
      </c>
      <c r="G219" s="15" t="s">
        <v>330</v>
      </c>
      <c r="H219" s="15" t="s">
        <v>788</v>
      </c>
      <c r="I219" s="15" t="s">
        <v>1266</v>
      </c>
      <c r="J219" s="14" t="s">
        <v>1335</v>
      </c>
      <c r="K219" s="15">
        <v>20</v>
      </c>
      <c r="L219" s="15">
        <v>1</v>
      </c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>
        <v>1</v>
      </c>
      <c r="Y219" s="15"/>
      <c r="Z219" s="15" t="s">
        <v>328</v>
      </c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 t="s">
        <v>328</v>
      </c>
      <c r="AL219" s="15"/>
      <c r="AM219" s="15"/>
      <c r="AN219" s="15" t="s">
        <v>328</v>
      </c>
      <c r="AO219" s="15"/>
      <c r="AP219" s="15">
        <v>10</v>
      </c>
      <c r="AQ219" s="15">
        <v>1</v>
      </c>
      <c r="AR219" s="15"/>
      <c r="AS219" s="15" t="s">
        <v>328</v>
      </c>
      <c r="AT219" s="15"/>
      <c r="AU219" s="15"/>
      <c r="AV219" s="15">
        <v>1</v>
      </c>
      <c r="AW219" s="15">
        <v>2</v>
      </c>
      <c r="AX219" s="15">
        <v>3</v>
      </c>
      <c r="AY219" s="15"/>
      <c r="AZ219" s="15" t="s">
        <v>328</v>
      </c>
      <c r="BA219" s="15"/>
      <c r="BB219" s="15" t="s">
        <v>328</v>
      </c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 t="s">
        <v>328</v>
      </c>
      <c r="BN219" s="15"/>
      <c r="BO219" s="15" t="s">
        <v>328</v>
      </c>
      <c r="BP219" s="15" t="s">
        <v>328</v>
      </c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 t="s">
        <v>328</v>
      </c>
      <c r="CE219" s="15"/>
      <c r="CF219" s="15"/>
      <c r="CG219" s="15"/>
      <c r="CH219" s="15" t="s">
        <v>328</v>
      </c>
      <c r="CI219" s="15"/>
      <c r="CJ219" s="15"/>
      <c r="CK219" s="15"/>
      <c r="CL219" s="15">
        <v>4</v>
      </c>
      <c r="CM219" s="15">
        <v>1</v>
      </c>
      <c r="CN219" s="15">
        <v>6</v>
      </c>
      <c r="CO219" s="15">
        <v>3</v>
      </c>
      <c r="CP219" s="15">
        <v>2</v>
      </c>
      <c r="CQ219" s="15">
        <v>5</v>
      </c>
      <c r="CR219" s="15"/>
      <c r="CS219" s="15"/>
      <c r="CT219" s="15"/>
      <c r="CU219" s="15"/>
      <c r="CV219" s="15"/>
      <c r="CW219" s="15"/>
      <c r="CX219" s="15" t="s">
        <v>332</v>
      </c>
      <c r="CY219" s="15"/>
      <c r="CZ219" s="15"/>
      <c r="DA219" s="15">
        <v>1</v>
      </c>
      <c r="DB219" s="15">
        <v>4</v>
      </c>
      <c r="DC219" s="15">
        <v>3</v>
      </c>
      <c r="DD219" s="15">
        <v>6</v>
      </c>
      <c r="DE219" s="15">
        <v>2</v>
      </c>
      <c r="DF219" s="15">
        <v>5</v>
      </c>
      <c r="DG219" s="15"/>
      <c r="DH219" s="15" t="s">
        <v>328</v>
      </c>
      <c r="DI219" s="15"/>
      <c r="DJ219" s="15"/>
      <c r="DK219" s="15"/>
      <c r="DL219" s="15"/>
      <c r="DM219" s="15"/>
      <c r="DN219" s="15" t="s">
        <v>411</v>
      </c>
      <c r="DO219" s="15" t="s">
        <v>328</v>
      </c>
      <c r="DP219" s="15"/>
      <c r="DQ219" s="15"/>
      <c r="DR219" s="15"/>
      <c r="DS219" s="15"/>
      <c r="DT219" s="15"/>
      <c r="DU219" s="15"/>
      <c r="DV219" s="15" t="s">
        <v>497</v>
      </c>
      <c r="DW219" s="15" t="s">
        <v>328</v>
      </c>
      <c r="DX219" s="15"/>
      <c r="DY219" s="15"/>
      <c r="DZ219" s="15"/>
      <c r="EA219" s="15"/>
      <c r="EB219" s="15"/>
      <c r="EC219" s="102" t="s">
        <v>497</v>
      </c>
      <c r="ED219" s="99"/>
    </row>
    <row r="220" spans="1:134" x14ac:dyDescent="0.25">
      <c r="A220" s="50" t="s">
        <v>1855</v>
      </c>
      <c r="B220" s="61" t="s">
        <v>678</v>
      </c>
      <c r="C220" s="15" t="s">
        <v>328</v>
      </c>
      <c r="D220" s="15"/>
      <c r="E220" s="15">
        <v>56</v>
      </c>
      <c r="F220" s="15" t="s">
        <v>329</v>
      </c>
      <c r="G220" s="15" t="s">
        <v>353</v>
      </c>
      <c r="H220" s="15" t="s">
        <v>799</v>
      </c>
      <c r="I220" s="18" t="s">
        <v>1277</v>
      </c>
      <c r="J220" s="15" t="s">
        <v>1293</v>
      </c>
      <c r="K220" s="15">
        <v>0</v>
      </c>
      <c r="L220" s="15">
        <v>1</v>
      </c>
      <c r="M220" s="15">
        <v>1</v>
      </c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 t="s">
        <v>328</v>
      </c>
      <c r="AB220" s="15"/>
      <c r="AC220" s="15"/>
      <c r="AD220" s="15" t="s">
        <v>328</v>
      </c>
      <c r="AE220" s="15"/>
      <c r="AF220" s="15"/>
      <c r="AG220" s="15"/>
      <c r="AH220" s="15"/>
      <c r="AI220" s="15"/>
      <c r="AJ220" s="15"/>
      <c r="AK220" s="15" t="s">
        <v>328</v>
      </c>
      <c r="AL220" s="15"/>
      <c r="AM220" s="15" t="s">
        <v>328</v>
      </c>
      <c r="AN220" s="15"/>
      <c r="AO220" s="15"/>
      <c r="AP220" s="15">
        <v>10</v>
      </c>
      <c r="AQ220" s="15">
        <v>3</v>
      </c>
      <c r="AR220" s="15"/>
      <c r="AS220" s="15"/>
      <c r="AT220" s="15" t="s">
        <v>328</v>
      </c>
      <c r="AU220" s="15"/>
      <c r="AV220" s="15">
        <v>1</v>
      </c>
      <c r="AW220" s="15">
        <v>3</v>
      </c>
      <c r="AX220" s="15">
        <v>2</v>
      </c>
      <c r="AY220" s="15"/>
      <c r="AZ220" s="15" t="s">
        <v>328</v>
      </c>
      <c r="BA220" s="15"/>
      <c r="BB220" s="15" t="s">
        <v>328</v>
      </c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 t="s">
        <v>328</v>
      </c>
      <c r="BN220" s="15"/>
      <c r="BO220" s="15" t="s">
        <v>328</v>
      </c>
      <c r="BP220" s="15"/>
      <c r="BQ220" s="15" t="s">
        <v>328</v>
      </c>
      <c r="BR220" s="15"/>
      <c r="BS220" s="15"/>
      <c r="BT220" s="15"/>
      <c r="BU220" s="15" t="s">
        <v>328</v>
      </c>
      <c r="BV220" s="15"/>
      <c r="BW220" s="15"/>
      <c r="BX220" s="15"/>
      <c r="BY220" s="15"/>
      <c r="BZ220" s="15"/>
      <c r="CA220" s="15"/>
      <c r="CB220" s="15" t="s">
        <v>328</v>
      </c>
      <c r="CC220" s="15"/>
      <c r="CD220" s="15" t="s">
        <v>328</v>
      </c>
      <c r="CE220" s="15"/>
      <c r="CF220" s="15"/>
      <c r="CG220" s="15" t="s">
        <v>328</v>
      </c>
      <c r="CH220" s="15"/>
      <c r="CI220" s="15"/>
      <c r="CJ220" s="15"/>
      <c r="CK220" s="15"/>
      <c r="CL220" s="15">
        <v>6</v>
      </c>
      <c r="CM220" s="15">
        <v>1</v>
      </c>
      <c r="CN220" s="15">
        <v>2</v>
      </c>
      <c r="CO220" s="15">
        <v>3</v>
      </c>
      <c r="CP220" s="15">
        <v>4</v>
      </c>
      <c r="CQ220" s="15">
        <v>5</v>
      </c>
      <c r="CR220" s="15"/>
      <c r="CS220" s="15"/>
      <c r="CT220" s="15"/>
      <c r="CU220" s="15"/>
      <c r="CV220" s="15"/>
      <c r="CW220" s="15"/>
      <c r="CX220" s="15" t="s">
        <v>332</v>
      </c>
      <c r="CY220" s="15"/>
      <c r="CZ220" s="15"/>
      <c r="DA220" s="15">
        <v>3</v>
      </c>
      <c r="DB220" s="15">
        <v>4</v>
      </c>
      <c r="DC220" s="15">
        <v>2</v>
      </c>
      <c r="DD220" s="15">
        <v>5</v>
      </c>
      <c r="DE220" s="15">
        <v>1</v>
      </c>
      <c r="DF220" s="15">
        <v>6</v>
      </c>
      <c r="DG220" s="15"/>
      <c r="DH220" s="15" t="s">
        <v>328</v>
      </c>
      <c r="DI220" s="15"/>
      <c r="DJ220" s="15"/>
      <c r="DK220" s="15"/>
      <c r="DL220" s="15"/>
      <c r="DM220" s="15"/>
      <c r="DN220" s="14" t="s">
        <v>1146</v>
      </c>
      <c r="DO220" s="15" t="s">
        <v>328</v>
      </c>
      <c r="DP220" s="15"/>
      <c r="DQ220" s="15"/>
      <c r="DR220" s="15"/>
      <c r="DS220" s="15"/>
      <c r="DT220" s="15"/>
      <c r="DU220" s="15"/>
      <c r="DV220" s="15" t="s">
        <v>1294</v>
      </c>
      <c r="DW220" s="15" t="s">
        <v>328</v>
      </c>
      <c r="DX220" s="15"/>
      <c r="DY220" s="15"/>
      <c r="DZ220" s="15"/>
      <c r="EA220" s="15"/>
      <c r="EB220" s="15"/>
      <c r="EC220" s="102" t="s">
        <v>1294</v>
      </c>
      <c r="ED220" s="99"/>
    </row>
    <row r="221" spans="1:134" x14ac:dyDescent="0.25">
      <c r="A221" s="50" t="s">
        <v>1855</v>
      </c>
      <c r="B221" s="61" t="s">
        <v>679</v>
      </c>
      <c r="C221" s="15" t="s">
        <v>328</v>
      </c>
      <c r="D221" s="15"/>
      <c r="E221" s="15">
        <v>57</v>
      </c>
      <c r="F221" s="15" t="s">
        <v>329</v>
      </c>
      <c r="G221" s="15" t="s">
        <v>584</v>
      </c>
      <c r="H221" s="15" t="s">
        <v>800</v>
      </c>
      <c r="I221" s="18" t="s">
        <v>1278</v>
      </c>
      <c r="J221" s="14" t="s">
        <v>1335</v>
      </c>
      <c r="K221" s="15">
        <v>35</v>
      </c>
      <c r="L221" s="15">
        <v>1</v>
      </c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>
        <v>1</v>
      </c>
      <c r="Y221" s="15"/>
      <c r="Z221" s="15" t="s">
        <v>328</v>
      </c>
      <c r="AA221" s="15"/>
      <c r="AB221" s="15"/>
      <c r="AC221" s="15"/>
      <c r="AD221" s="15"/>
      <c r="AE221" s="15" t="s">
        <v>328</v>
      </c>
      <c r="AF221" s="15"/>
      <c r="AG221" s="15"/>
      <c r="AH221" s="15"/>
      <c r="AI221" s="15"/>
      <c r="AJ221" s="15"/>
      <c r="AK221" s="15" t="s">
        <v>328</v>
      </c>
      <c r="AL221" s="15"/>
      <c r="AM221" s="15" t="s">
        <v>328</v>
      </c>
      <c r="AN221" s="15"/>
      <c r="AO221" s="15"/>
      <c r="AP221" s="15">
        <v>5</v>
      </c>
      <c r="AQ221" s="15">
        <v>5</v>
      </c>
      <c r="AR221" s="15"/>
      <c r="AS221" s="15"/>
      <c r="AT221" s="15" t="s">
        <v>328</v>
      </c>
      <c r="AU221" s="15"/>
      <c r="AV221" s="15">
        <v>1</v>
      </c>
      <c r="AW221" s="15">
        <v>3</v>
      </c>
      <c r="AX221" s="15">
        <v>2</v>
      </c>
      <c r="AY221" s="15"/>
      <c r="AZ221" s="15" t="s">
        <v>328</v>
      </c>
      <c r="BA221" s="15"/>
      <c r="BB221" s="15" t="s">
        <v>328</v>
      </c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 t="s">
        <v>328</v>
      </c>
      <c r="BN221" s="15"/>
      <c r="BO221" s="15" t="s">
        <v>328</v>
      </c>
      <c r="BP221" s="15" t="s">
        <v>328</v>
      </c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 t="s">
        <v>328</v>
      </c>
      <c r="CC221" s="15"/>
      <c r="CD221" s="15"/>
      <c r="CE221" s="15" t="s">
        <v>328</v>
      </c>
      <c r="CF221" s="15"/>
      <c r="CG221" s="15"/>
      <c r="CH221" s="15"/>
      <c r="CI221" s="15" t="s">
        <v>328</v>
      </c>
      <c r="CJ221" s="15"/>
      <c r="CK221" s="15"/>
      <c r="CL221" s="15">
        <v>4</v>
      </c>
      <c r="CM221" s="15">
        <v>2</v>
      </c>
      <c r="CN221" s="15">
        <v>1</v>
      </c>
      <c r="CO221" s="15">
        <v>6</v>
      </c>
      <c r="CP221" s="15">
        <v>3</v>
      </c>
      <c r="CQ221" s="15">
        <v>5</v>
      </c>
      <c r="CR221" s="15"/>
      <c r="CS221" s="15"/>
      <c r="CT221" s="15"/>
      <c r="CU221" s="15"/>
      <c r="CV221" s="15"/>
      <c r="CW221" s="15"/>
      <c r="CX221" s="15" t="s">
        <v>332</v>
      </c>
      <c r="CY221" s="15"/>
      <c r="CZ221" s="15"/>
      <c r="DA221" s="15">
        <v>1</v>
      </c>
      <c r="DB221" s="15">
        <v>2</v>
      </c>
      <c r="DC221" s="15">
        <v>3</v>
      </c>
      <c r="DD221" s="15">
        <v>4</v>
      </c>
      <c r="DE221" s="15">
        <v>5</v>
      </c>
      <c r="DF221" s="15">
        <v>6</v>
      </c>
      <c r="DG221" s="15"/>
      <c r="DH221" s="15" t="s">
        <v>328</v>
      </c>
      <c r="DI221" s="15"/>
      <c r="DJ221" s="15"/>
      <c r="DK221" s="15"/>
      <c r="DL221" s="15"/>
      <c r="DM221" s="15"/>
      <c r="DN221" s="15" t="s">
        <v>411</v>
      </c>
      <c r="DO221" s="15" t="s">
        <v>328</v>
      </c>
      <c r="DP221" s="15"/>
      <c r="DQ221" s="15"/>
      <c r="DR221" s="15"/>
      <c r="DS221" s="15"/>
      <c r="DT221" s="15"/>
      <c r="DU221" s="15"/>
      <c r="DV221" s="15" t="s">
        <v>411</v>
      </c>
      <c r="DW221" s="15" t="s">
        <v>328</v>
      </c>
      <c r="DX221" s="15"/>
      <c r="DY221" s="15"/>
      <c r="DZ221" s="15"/>
      <c r="EA221" s="15"/>
      <c r="EB221" s="15"/>
      <c r="EC221" s="102" t="s">
        <v>411</v>
      </c>
      <c r="ED221" s="99"/>
    </row>
    <row r="222" spans="1:134" x14ac:dyDescent="0.25">
      <c r="A222" s="50" t="s">
        <v>1855</v>
      </c>
      <c r="B222" s="61" t="s">
        <v>699</v>
      </c>
      <c r="C222" s="15" t="s">
        <v>328</v>
      </c>
      <c r="D222" s="15"/>
      <c r="E222" s="15">
        <v>49</v>
      </c>
      <c r="F222" s="15" t="s">
        <v>329</v>
      </c>
      <c r="G222" s="15" t="s">
        <v>330</v>
      </c>
      <c r="H222" s="15" t="s">
        <v>801</v>
      </c>
      <c r="I222" s="18" t="s">
        <v>1279</v>
      </c>
      <c r="J222" s="15" t="s">
        <v>1290</v>
      </c>
      <c r="K222" s="15">
        <v>18</v>
      </c>
      <c r="L222" s="15">
        <v>1</v>
      </c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>
        <v>1</v>
      </c>
      <c r="Y222" s="15"/>
      <c r="Z222" s="15" t="s">
        <v>328</v>
      </c>
      <c r="AA222" s="15"/>
      <c r="AB222" s="15"/>
      <c r="AC222" s="15"/>
      <c r="AD222" s="15"/>
      <c r="AE222" s="15" t="s">
        <v>328</v>
      </c>
      <c r="AF222" s="15"/>
      <c r="AG222" s="15"/>
      <c r="AH222" s="15"/>
      <c r="AI222" s="15"/>
      <c r="AJ222" s="15"/>
      <c r="AK222" s="15" t="s">
        <v>328</v>
      </c>
      <c r="AL222" s="15"/>
      <c r="AM222" s="15" t="s">
        <v>328</v>
      </c>
      <c r="AN222" s="15"/>
      <c r="AO222" s="15"/>
      <c r="AP222" s="15">
        <v>3</v>
      </c>
      <c r="AQ222" s="15">
        <v>6</v>
      </c>
      <c r="AR222" s="15"/>
      <c r="AS222" s="15"/>
      <c r="AT222" s="15" t="s">
        <v>328</v>
      </c>
      <c r="AU222" s="15"/>
      <c r="AV222" s="15">
        <v>2</v>
      </c>
      <c r="AW222" s="15">
        <v>3</v>
      </c>
      <c r="AX222" s="15">
        <v>1</v>
      </c>
      <c r="AY222" s="15"/>
      <c r="AZ222" s="15" t="s">
        <v>328</v>
      </c>
      <c r="BA222" s="15"/>
      <c r="BB222" s="15" t="s">
        <v>328</v>
      </c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 t="s">
        <v>328</v>
      </c>
      <c r="BN222" s="15" t="s">
        <v>328</v>
      </c>
      <c r="BO222" s="15"/>
      <c r="BP222" s="15"/>
      <c r="BQ222" s="15"/>
      <c r="BR222" s="15"/>
      <c r="BS222" s="15"/>
      <c r="BT222" s="15"/>
      <c r="BU222" s="98"/>
      <c r="BV222" s="15" t="s">
        <v>409</v>
      </c>
      <c r="BW222" s="15"/>
      <c r="BX222" s="15"/>
      <c r="BY222" s="15"/>
      <c r="BZ222" s="15"/>
      <c r="CA222" s="15"/>
      <c r="CB222" s="15"/>
      <c r="CC222" s="15"/>
      <c r="CD222" s="15"/>
      <c r="CE222" s="15"/>
      <c r="CF222" s="15" t="s">
        <v>332</v>
      </c>
      <c r="CG222" s="15"/>
      <c r="CH222" s="15"/>
      <c r="CI222" s="15"/>
      <c r="CJ222" s="15" t="s">
        <v>328</v>
      </c>
      <c r="CK222" s="15"/>
      <c r="CL222" s="15">
        <v>1</v>
      </c>
      <c r="CM222" s="15">
        <v>2</v>
      </c>
      <c r="CN222" s="15">
        <v>3</v>
      </c>
      <c r="CO222" s="15">
        <v>4</v>
      </c>
      <c r="CP222" s="15">
        <v>5</v>
      </c>
      <c r="CQ222" s="15">
        <v>6</v>
      </c>
      <c r="CR222" s="15"/>
      <c r="CS222" s="15"/>
      <c r="CT222" s="15"/>
      <c r="CU222" s="15"/>
      <c r="CV222" s="15"/>
      <c r="CW222" s="15"/>
      <c r="CX222" s="15" t="s">
        <v>332</v>
      </c>
      <c r="CY222" s="15" t="s">
        <v>328</v>
      </c>
      <c r="CZ222" s="15" t="s">
        <v>700</v>
      </c>
      <c r="DA222" s="15"/>
      <c r="DB222" s="15"/>
      <c r="DC222" s="15"/>
      <c r="DD222" s="15"/>
      <c r="DE222" s="15"/>
      <c r="DF222" s="15"/>
      <c r="DG222" s="15"/>
      <c r="DH222" s="15" t="s">
        <v>328</v>
      </c>
      <c r="DI222" s="15"/>
      <c r="DJ222" s="15"/>
      <c r="DK222" s="15"/>
      <c r="DL222" s="15"/>
      <c r="DM222" s="15"/>
      <c r="DN222" s="14" t="s">
        <v>1145</v>
      </c>
      <c r="DO222" s="15" t="s">
        <v>328</v>
      </c>
      <c r="DP222" s="15"/>
      <c r="DQ222" s="15"/>
      <c r="DR222" s="15"/>
      <c r="DS222" s="15"/>
      <c r="DT222" s="15"/>
      <c r="DU222" s="15"/>
      <c r="DV222" s="15" t="s">
        <v>1145</v>
      </c>
      <c r="DW222" s="15" t="s">
        <v>328</v>
      </c>
      <c r="DX222" s="15"/>
      <c r="DY222" s="15"/>
      <c r="DZ222" s="15"/>
      <c r="EA222" s="15"/>
      <c r="EB222" s="15"/>
      <c r="EC222" s="102" t="s">
        <v>1145</v>
      </c>
      <c r="ED222" s="99"/>
    </row>
    <row r="223" spans="1:134" x14ac:dyDescent="0.25">
      <c r="A223" s="50" t="s">
        <v>1404</v>
      </c>
      <c r="B223" s="61" t="s">
        <v>1030</v>
      </c>
      <c r="C223" s="15" t="s">
        <v>328</v>
      </c>
      <c r="D223" s="15"/>
      <c r="E223" s="15">
        <v>50</v>
      </c>
      <c r="F223" s="15" t="s">
        <v>329</v>
      </c>
      <c r="G223" s="15" t="s">
        <v>399</v>
      </c>
      <c r="H223" s="15" t="s">
        <v>1031</v>
      </c>
      <c r="I223" s="18" t="s">
        <v>1203</v>
      </c>
      <c r="J223" s="15" t="s">
        <v>1284</v>
      </c>
      <c r="K223" s="15">
        <v>20</v>
      </c>
      <c r="L223" s="15">
        <v>1</v>
      </c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>
        <v>1</v>
      </c>
      <c r="Y223" s="14"/>
      <c r="Z223" s="15" t="s">
        <v>328</v>
      </c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 t="s">
        <v>328</v>
      </c>
      <c r="AL223" s="15"/>
      <c r="AM223" s="15"/>
      <c r="AN223" s="15"/>
      <c r="AO223" s="15" t="s">
        <v>328</v>
      </c>
      <c r="AP223" s="15">
        <v>6</v>
      </c>
      <c r="AQ223" s="15">
        <v>4</v>
      </c>
      <c r="AR223" s="15"/>
      <c r="AS223" s="15"/>
      <c r="AT223" s="15" t="s">
        <v>328</v>
      </c>
      <c r="AU223" s="15"/>
      <c r="AV223" s="15">
        <v>2</v>
      </c>
      <c r="AW223" s="15">
        <v>3</v>
      </c>
      <c r="AX223" s="15">
        <v>1</v>
      </c>
      <c r="AY223" s="15"/>
      <c r="AZ223" s="15" t="s">
        <v>328</v>
      </c>
      <c r="BA223" s="15"/>
      <c r="BB223" s="15" t="s">
        <v>328</v>
      </c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 t="s">
        <v>328</v>
      </c>
      <c r="BN223" s="15"/>
      <c r="BO223" s="15" t="s">
        <v>328</v>
      </c>
      <c r="BP223" s="15" t="s">
        <v>328</v>
      </c>
      <c r="BQ223" s="15"/>
      <c r="BR223" s="15" t="s">
        <v>328</v>
      </c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 t="s">
        <v>332</v>
      </c>
      <c r="CG223" s="15" t="s">
        <v>328</v>
      </c>
      <c r="CH223" s="15"/>
      <c r="CI223" s="15" t="s">
        <v>328</v>
      </c>
      <c r="CJ223" s="15"/>
      <c r="CK223" s="15"/>
      <c r="CL223" s="15">
        <v>3</v>
      </c>
      <c r="CM223" s="15">
        <v>1</v>
      </c>
      <c r="CN223" s="15">
        <v>4</v>
      </c>
      <c r="CO223" s="15">
        <v>5</v>
      </c>
      <c r="CP223" s="15">
        <v>6</v>
      </c>
      <c r="CQ223" s="15">
        <v>2</v>
      </c>
      <c r="CR223" s="15" t="s">
        <v>328</v>
      </c>
      <c r="CS223" s="15" t="s">
        <v>328</v>
      </c>
      <c r="CT223" s="15"/>
      <c r="CU223" s="15"/>
      <c r="CV223" s="15" t="s">
        <v>328</v>
      </c>
      <c r="CW223" s="15"/>
      <c r="CX223" s="15"/>
      <c r="CY223" s="15"/>
      <c r="CZ223" s="15"/>
      <c r="DA223" s="15">
        <v>4</v>
      </c>
      <c r="DB223" s="15">
        <v>2</v>
      </c>
      <c r="DC223" s="15">
        <v>3</v>
      </c>
      <c r="DD223" s="15">
        <v>1</v>
      </c>
      <c r="DE223" s="15">
        <v>5</v>
      </c>
      <c r="DF223" s="15">
        <v>6</v>
      </c>
      <c r="DG223" s="15"/>
      <c r="DH223" s="15" t="s">
        <v>328</v>
      </c>
      <c r="DI223" s="15"/>
      <c r="DJ223" s="15"/>
      <c r="DK223" s="15"/>
      <c r="DL223" s="15"/>
      <c r="DM223" s="15"/>
      <c r="DN223" s="14" t="s">
        <v>333</v>
      </c>
      <c r="DO223" s="15" t="s">
        <v>328</v>
      </c>
      <c r="DP223" s="15"/>
      <c r="DQ223" s="15"/>
      <c r="DR223" s="15"/>
      <c r="DS223" s="15"/>
      <c r="DT223" s="15"/>
      <c r="DU223" s="15"/>
      <c r="DV223" s="15" t="s">
        <v>1144</v>
      </c>
      <c r="DW223" s="15" t="s">
        <v>328</v>
      </c>
      <c r="DX223" s="15"/>
      <c r="DY223" s="15"/>
      <c r="DZ223" s="15"/>
      <c r="EA223" s="15"/>
      <c r="EB223" s="15"/>
      <c r="EC223" s="102" t="s">
        <v>1144</v>
      </c>
      <c r="ED223" s="99"/>
    </row>
    <row r="224" spans="1:134" x14ac:dyDescent="0.25">
      <c r="A224" s="50" t="s">
        <v>1404</v>
      </c>
      <c r="B224" s="61" t="s">
        <v>1032</v>
      </c>
      <c r="C224" s="15" t="s">
        <v>328</v>
      </c>
      <c r="D224" s="15"/>
      <c r="E224" s="15">
        <v>45</v>
      </c>
      <c r="F224" s="15" t="s">
        <v>329</v>
      </c>
      <c r="G224" s="15" t="s">
        <v>355</v>
      </c>
      <c r="H224" s="15" t="s">
        <v>743</v>
      </c>
      <c r="I224" s="15" t="s">
        <v>1218</v>
      </c>
      <c r="J224" s="15" t="s">
        <v>1283</v>
      </c>
      <c r="K224" s="15">
        <v>15</v>
      </c>
      <c r="L224" s="15">
        <v>1</v>
      </c>
      <c r="M224" s="15">
        <v>1</v>
      </c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 t="s">
        <v>418</v>
      </c>
      <c r="AJ224" s="15"/>
      <c r="AK224" s="15" t="s">
        <v>328</v>
      </c>
      <c r="AL224" s="15"/>
      <c r="AM224" s="15"/>
      <c r="AN224" s="15" t="s">
        <v>328</v>
      </c>
      <c r="AO224" s="15"/>
      <c r="AP224" s="15">
        <v>3</v>
      </c>
      <c r="AQ224" s="15">
        <v>3</v>
      </c>
      <c r="AR224" s="15"/>
      <c r="AS224" s="15" t="s">
        <v>328</v>
      </c>
      <c r="AT224" s="15" t="s">
        <v>328</v>
      </c>
      <c r="AU224" s="15"/>
      <c r="AV224" s="15">
        <v>1</v>
      </c>
      <c r="AW224" s="15">
        <v>3</v>
      </c>
      <c r="AX224" s="15">
        <v>2</v>
      </c>
      <c r="AY224" s="15"/>
      <c r="AZ224" s="15"/>
      <c r="BA224" s="15" t="s">
        <v>328</v>
      </c>
      <c r="BB224" s="15" t="s">
        <v>328</v>
      </c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 t="s">
        <v>328</v>
      </c>
      <c r="BN224" s="15"/>
      <c r="BO224" s="15" t="s">
        <v>328</v>
      </c>
      <c r="BP224" s="15" t="s">
        <v>328</v>
      </c>
      <c r="BQ224" s="15"/>
      <c r="BR224" s="15"/>
      <c r="BS224" s="15"/>
      <c r="BT224" s="15" t="s">
        <v>328</v>
      </c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 t="s">
        <v>332</v>
      </c>
      <c r="CG224" s="15"/>
      <c r="CH224" s="15"/>
      <c r="CI224" s="15" t="s">
        <v>328</v>
      </c>
      <c r="CJ224" s="15"/>
      <c r="CK224" s="15" t="s">
        <v>328</v>
      </c>
      <c r="CL224" s="15">
        <v>3</v>
      </c>
      <c r="CM224" s="15">
        <v>4</v>
      </c>
      <c r="CN224" s="15">
        <v>2</v>
      </c>
      <c r="CO224" s="15">
        <v>6</v>
      </c>
      <c r="CP224" s="15">
        <v>5</v>
      </c>
      <c r="CQ224" s="15">
        <v>1</v>
      </c>
      <c r="CR224" s="15" t="s">
        <v>328</v>
      </c>
      <c r="CS224" s="15" t="s">
        <v>328</v>
      </c>
      <c r="CT224" s="15"/>
      <c r="CU224" s="15"/>
      <c r="CV224" s="15" t="s">
        <v>328</v>
      </c>
      <c r="CW224" s="15"/>
      <c r="CX224" s="15"/>
      <c r="CY224" s="15" t="s">
        <v>328</v>
      </c>
      <c r="CZ224" s="15" t="s">
        <v>404</v>
      </c>
      <c r="DA224" s="15"/>
      <c r="DB224" s="15"/>
      <c r="DC224" s="15"/>
      <c r="DD224" s="15"/>
      <c r="DE224" s="15"/>
      <c r="DF224" s="15"/>
      <c r="DG224" s="15"/>
      <c r="DH224" s="15" t="s">
        <v>328</v>
      </c>
      <c r="DI224" s="15"/>
      <c r="DJ224" s="15"/>
      <c r="DK224" s="15"/>
      <c r="DL224" s="15"/>
      <c r="DM224" s="15"/>
      <c r="DN224" s="15" t="s">
        <v>411</v>
      </c>
      <c r="DO224" s="15" t="s">
        <v>328</v>
      </c>
      <c r="DP224" s="15"/>
      <c r="DQ224" s="15"/>
      <c r="DR224" s="15"/>
      <c r="DS224" s="15"/>
      <c r="DT224" s="15"/>
      <c r="DU224" s="15"/>
      <c r="DV224" s="15" t="s">
        <v>497</v>
      </c>
      <c r="DW224" s="15" t="s">
        <v>328</v>
      </c>
      <c r="DX224" s="15"/>
      <c r="DY224" s="15"/>
      <c r="DZ224" s="15"/>
      <c r="EA224" s="15"/>
      <c r="EB224" s="15"/>
      <c r="EC224" s="102" t="s">
        <v>497</v>
      </c>
      <c r="ED224" s="99"/>
    </row>
    <row r="225" spans="1:134" x14ac:dyDescent="0.25">
      <c r="A225" s="50" t="s">
        <v>1404</v>
      </c>
      <c r="B225" s="61" t="s">
        <v>1033</v>
      </c>
      <c r="C225" s="15" t="s">
        <v>328</v>
      </c>
      <c r="D225" s="15"/>
      <c r="E225" s="15">
        <v>45</v>
      </c>
      <c r="F225" s="15" t="s">
        <v>329</v>
      </c>
      <c r="G225" s="15" t="s">
        <v>355</v>
      </c>
      <c r="H225" s="15" t="s">
        <v>726</v>
      </c>
      <c r="I225" s="15" t="s">
        <v>1231</v>
      </c>
      <c r="J225" s="15" t="s">
        <v>1283</v>
      </c>
      <c r="K225" s="15">
        <v>29</v>
      </c>
      <c r="L225" s="15">
        <v>1</v>
      </c>
      <c r="M225" s="15">
        <v>1</v>
      </c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 t="s">
        <v>418</v>
      </c>
      <c r="AJ225" s="15" t="s">
        <v>328</v>
      </c>
      <c r="AK225" s="15"/>
      <c r="AL225" s="15"/>
      <c r="AM225" s="15"/>
      <c r="AN225" s="15"/>
      <c r="AO225" s="15" t="s">
        <v>328</v>
      </c>
      <c r="AP225" s="15">
        <v>5</v>
      </c>
      <c r="AQ225" s="15">
        <v>3</v>
      </c>
      <c r="AR225" s="15"/>
      <c r="AS225" s="15"/>
      <c r="AT225" s="15"/>
      <c r="AU225" s="15" t="s">
        <v>328</v>
      </c>
      <c r="AV225" s="15">
        <v>1</v>
      </c>
      <c r="AW225" s="15">
        <v>3</v>
      </c>
      <c r="AX225" s="15">
        <v>2</v>
      </c>
      <c r="AY225" s="15"/>
      <c r="AZ225" s="15" t="s">
        <v>328</v>
      </c>
      <c r="BA225" s="15"/>
      <c r="BB225" s="15"/>
      <c r="BC225" s="15"/>
      <c r="BD225" s="15"/>
      <c r="BE225" s="15"/>
      <c r="BF225" s="15"/>
      <c r="BG225" s="15"/>
      <c r="BH225" s="15"/>
      <c r="BI225" s="15" t="s">
        <v>328</v>
      </c>
      <c r="BJ225" s="15"/>
      <c r="BK225" s="15"/>
      <c r="BL225" s="15"/>
      <c r="BM225" s="15" t="s">
        <v>328</v>
      </c>
      <c r="BN225" s="15" t="s">
        <v>328</v>
      </c>
      <c r="BO225" s="15"/>
      <c r="BP225" s="15" t="s">
        <v>328</v>
      </c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 t="s">
        <v>332</v>
      </c>
      <c r="CG225" s="15" t="s">
        <v>328</v>
      </c>
      <c r="CH225" s="15"/>
      <c r="CI225" s="15"/>
      <c r="CJ225" s="15"/>
      <c r="CK225" s="15"/>
      <c r="CL225" s="15">
        <v>3</v>
      </c>
      <c r="CM225" s="15">
        <v>2</v>
      </c>
      <c r="CN225" s="15">
        <v>1</v>
      </c>
      <c r="CO225" s="15">
        <v>5</v>
      </c>
      <c r="CP225" s="15">
        <v>6</v>
      </c>
      <c r="CQ225" s="15">
        <v>4</v>
      </c>
      <c r="CR225" s="15"/>
      <c r="CS225" s="15"/>
      <c r="CT225" s="15"/>
      <c r="CU225" s="15"/>
      <c r="CV225" s="15"/>
      <c r="CW225" s="15"/>
      <c r="CX225" s="15" t="s">
        <v>332</v>
      </c>
      <c r="CY225" s="15" t="s">
        <v>328</v>
      </c>
      <c r="CZ225" s="15" t="s">
        <v>404</v>
      </c>
      <c r="DA225" s="15"/>
      <c r="DB225" s="15"/>
      <c r="DC225" s="15"/>
      <c r="DD225" s="15"/>
      <c r="DE225" s="15"/>
      <c r="DF225" s="15"/>
      <c r="DG225" s="15"/>
      <c r="DH225" s="15" t="s">
        <v>328</v>
      </c>
      <c r="DI225" s="15"/>
      <c r="DJ225" s="15"/>
      <c r="DK225" s="15"/>
      <c r="DL225" s="15"/>
      <c r="DM225" s="15"/>
      <c r="DN225" s="15" t="s">
        <v>411</v>
      </c>
      <c r="DO225" s="15"/>
      <c r="DP225" s="15" t="s">
        <v>328</v>
      </c>
      <c r="DQ225" s="15" t="s">
        <v>328</v>
      </c>
      <c r="DR225" s="15" t="s">
        <v>354</v>
      </c>
      <c r="DS225" s="15"/>
      <c r="DT225" s="15"/>
      <c r="DU225" s="15" t="s">
        <v>491</v>
      </c>
      <c r="DV225" s="15" t="s">
        <v>1034</v>
      </c>
      <c r="DW225" s="15" t="s">
        <v>328</v>
      </c>
      <c r="DX225" s="15"/>
      <c r="DY225" s="15"/>
      <c r="DZ225" s="15"/>
      <c r="EA225" s="15"/>
      <c r="EB225" s="15"/>
      <c r="EC225" s="102" t="s">
        <v>1146</v>
      </c>
      <c r="ED225" s="99"/>
    </row>
    <row r="226" spans="1:134" x14ac:dyDescent="0.25">
      <c r="A226" s="50" t="s">
        <v>1404</v>
      </c>
      <c r="B226" s="61" t="s">
        <v>1035</v>
      </c>
      <c r="C226" s="15" t="s">
        <v>328</v>
      </c>
      <c r="D226" s="15"/>
      <c r="E226" s="15">
        <v>54</v>
      </c>
      <c r="F226" s="15" t="s">
        <v>329</v>
      </c>
      <c r="G226" s="15" t="s">
        <v>357</v>
      </c>
      <c r="H226" s="15" t="s">
        <v>1036</v>
      </c>
      <c r="I226" s="15" t="s">
        <v>1296</v>
      </c>
      <c r="J226" s="15" t="s">
        <v>1188</v>
      </c>
      <c r="K226" s="15">
        <v>30</v>
      </c>
      <c r="L226" s="15">
        <v>3</v>
      </c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>
        <v>3</v>
      </c>
      <c r="Y226" s="14"/>
      <c r="Z226" s="15" t="s">
        <v>328</v>
      </c>
      <c r="AA226" s="15"/>
      <c r="AB226" s="15"/>
      <c r="AC226" s="15"/>
      <c r="AD226" s="15"/>
      <c r="AE226" s="15"/>
      <c r="AF226" s="15"/>
      <c r="AG226" s="15"/>
      <c r="AH226" s="15"/>
      <c r="AI226" s="15" t="s">
        <v>418</v>
      </c>
      <c r="AJ226" s="15"/>
      <c r="AK226" s="15" t="s">
        <v>328</v>
      </c>
      <c r="AL226" s="15"/>
      <c r="AM226" s="15"/>
      <c r="AN226" s="15"/>
      <c r="AO226" s="15" t="s">
        <v>328</v>
      </c>
      <c r="AP226" s="15">
        <v>5</v>
      </c>
      <c r="AQ226" s="15">
        <v>5</v>
      </c>
      <c r="AR226" s="15"/>
      <c r="AS226" s="15" t="s">
        <v>328</v>
      </c>
      <c r="AT226" s="15" t="s">
        <v>328</v>
      </c>
      <c r="AU226" s="15"/>
      <c r="AV226" s="15">
        <v>1</v>
      </c>
      <c r="AW226" s="15">
        <v>3</v>
      </c>
      <c r="AX226" s="15">
        <v>2</v>
      </c>
      <c r="AY226" s="15"/>
      <c r="AZ226" s="15" t="s">
        <v>328</v>
      </c>
      <c r="BA226" s="15"/>
      <c r="BB226" s="15" t="s">
        <v>328</v>
      </c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 t="s">
        <v>328</v>
      </c>
      <c r="BN226" s="15"/>
      <c r="BO226" s="15" t="s">
        <v>328</v>
      </c>
      <c r="BP226" s="15" t="s">
        <v>328</v>
      </c>
      <c r="BQ226" s="15"/>
      <c r="BR226" s="15" t="s">
        <v>328</v>
      </c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 t="s">
        <v>332</v>
      </c>
      <c r="CG226" s="15"/>
      <c r="CH226" s="15"/>
      <c r="CI226" s="15" t="s">
        <v>328</v>
      </c>
      <c r="CJ226" s="15"/>
      <c r="CK226" s="15"/>
      <c r="CL226" s="15">
        <v>2</v>
      </c>
      <c r="CM226" s="15">
        <v>5</v>
      </c>
      <c r="CN226" s="15">
        <v>3</v>
      </c>
      <c r="CO226" s="15">
        <v>6</v>
      </c>
      <c r="CP226" s="15">
        <v>4</v>
      </c>
      <c r="CQ226" s="15">
        <v>1</v>
      </c>
      <c r="CR226" s="15" t="s">
        <v>328</v>
      </c>
      <c r="CS226" s="15"/>
      <c r="CT226" s="15"/>
      <c r="CU226" s="15"/>
      <c r="CV226" s="15" t="s">
        <v>328</v>
      </c>
      <c r="CW226" s="15"/>
      <c r="CX226" s="15"/>
      <c r="CY226" s="15" t="s">
        <v>328</v>
      </c>
      <c r="CZ226" s="15" t="s">
        <v>404</v>
      </c>
      <c r="DA226" s="15"/>
      <c r="DB226" s="15"/>
      <c r="DC226" s="15"/>
      <c r="DD226" s="15"/>
      <c r="DE226" s="15"/>
      <c r="DF226" s="15"/>
      <c r="DG226" s="15"/>
      <c r="DH226" s="15" t="s">
        <v>328</v>
      </c>
      <c r="DI226" s="15"/>
      <c r="DJ226" s="15"/>
      <c r="DK226" s="15"/>
      <c r="DL226" s="15"/>
      <c r="DM226" s="15"/>
      <c r="DN226" s="14" t="s">
        <v>1146</v>
      </c>
      <c r="DO226" s="15" t="s">
        <v>328</v>
      </c>
      <c r="DP226" s="15"/>
      <c r="DQ226" s="15"/>
      <c r="DR226" s="15"/>
      <c r="DS226" s="15"/>
      <c r="DT226" s="15"/>
      <c r="DU226" s="15"/>
      <c r="DV226" s="15" t="s">
        <v>1152</v>
      </c>
      <c r="DW226" s="15" t="s">
        <v>328</v>
      </c>
      <c r="DX226" s="15"/>
      <c r="DY226" s="15"/>
      <c r="DZ226" s="15"/>
      <c r="EA226" s="15"/>
      <c r="EB226" s="15"/>
      <c r="EC226" s="102" t="s">
        <v>1152</v>
      </c>
      <c r="ED226" s="99"/>
    </row>
    <row r="227" spans="1:134" x14ac:dyDescent="0.25">
      <c r="A227" s="50" t="s">
        <v>1404</v>
      </c>
      <c r="B227" s="61" t="s">
        <v>1037</v>
      </c>
      <c r="C227" s="15" t="s">
        <v>328</v>
      </c>
      <c r="D227" s="15"/>
      <c r="E227" s="15">
        <v>46</v>
      </c>
      <c r="F227" s="15" t="s">
        <v>329</v>
      </c>
      <c r="G227" s="15" t="s">
        <v>357</v>
      </c>
      <c r="H227" s="15" t="s">
        <v>734</v>
      </c>
      <c r="I227" s="15" t="s">
        <v>1229</v>
      </c>
      <c r="J227" s="15" t="s">
        <v>1283</v>
      </c>
      <c r="K227" s="15">
        <v>10</v>
      </c>
      <c r="L227" s="15">
        <v>2</v>
      </c>
      <c r="M227" s="15">
        <v>2</v>
      </c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 t="s">
        <v>418</v>
      </c>
      <c r="AJ227" s="15"/>
      <c r="AK227" s="15" t="s">
        <v>328</v>
      </c>
      <c r="AL227" s="15"/>
      <c r="AM227" s="15"/>
      <c r="AN227" s="15"/>
      <c r="AO227" s="15" t="s">
        <v>328</v>
      </c>
      <c r="AP227" s="15">
        <v>8</v>
      </c>
      <c r="AQ227" s="15">
        <v>7</v>
      </c>
      <c r="AR227" s="15"/>
      <c r="AS227" s="15" t="s">
        <v>328</v>
      </c>
      <c r="AT227" s="15" t="s">
        <v>328</v>
      </c>
      <c r="AU227" s="15"/>
      <c r="AV227" s="15">
        <v>1</v>
      </c>
      <c r="AW227" s="15">
        <v>3</v>
      </c>
      <c r="AX227" s="15">
        <v>2</v>
      </c>
      <c r="AY227" s="15"/>
      <c r="AZ227" s="15" t="s">
        <v>328</v>
      </c>
      <c r="BA227" s="15"/>
      <c r="BB227" s="15" t="s">
        <v>328</v>
      </c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 t="s">
        <v>328</v>
      </c>
      <c r="BN227" s="15"/>
      <c r="BO227" s="15" t="s">
        <v>328</v>
      </c>
      <c r="BP227" s="15" t="s">
        <v>328</v>
      </c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 t="s">
        <v>332</v>
      </c>
      <c r="CG227" s="15"/>
      <c r="CH227" s="15"/>
      <c r="CI227" s="15" t="s">
        <v>328</v>
      </c>
      <c r="CJ227" s="15"/>
      <c r="CK227" s="15" t="s">
        <v>328</v>
      </c>
      <c r="CL227" s="15">
        <v>2</v>
      </c>
      <c r="CM227" s="15">
        <v>4</v>
      </c>
      <c r="CN227" s="15">
        <v>6</v>
      </c>
      <c r="CO227" s="15">
        <v>3</v>
      </c>
      <c r="CP227" s="15">
        <v>5</v>
      </c>
      <c r="CQ227" s="15">
        <v>1</v>
      </c>
      <c r="CR227" s="15" t="s">
        <v>328</v>
      </c>
      <c r="CS227" s="15" t="s">
        <v>328</v>
      </c>
      <c r="CT227" s="15" t="s">
        <v>328</v>
      </c>
      <c r="CU227" s="15"/>
      <c r="CV227" s="15" t="s">
        <v>328</v>
      </c>
      <c r="CW227" s="15" t="s">
        <v>328</v>
      </c>
      <c r="CX227" s="15"/>
      <c r="CY227" s="15" t="s">
        <v>328</v>
      </c>
      <c r="CZ227" s="14" t="s">
        <v>404</v>
      </c>
      <c r="DA227" s="15"/>
      <c r="DB227" s="15"/>
      <c r="DC227" s="15"/>
      <c r="DD227" s="15"/>
      <c r="DE227" s="15"/>
      <c r="DF227" s="15"/>
      <c r="DG227" s="15"/>
      <c r="DH227" s="15" t="s">
        <v>328</v>
      </c>
      <c r="DI227" s="15"/>
      <c r="DJ227" s="15"/>
      <c r="DK227" s="15"/>
      <c r="DL227" s="15"/>
      <c r="DM227" s="15"/>
      <c r="DN227" s="14" t="s">
        <v>396</v>
      </c>
      <c r="DO227" s="15" t="s">
        <v>328</v>
      </c>
      <c r="DP227" s="15"/>
      <c r="DQ227" s="15"/>
      <c r="DR227" s="15"/>
      <c r="DS227" s="15"/>
      <c r="DT227" s="15"/>
      <c r="DU227" s="15"/>
      <c r="DV227" s="15" t="s">
        <v>438</v>
      </c>
      <c r="DW227" s="15" t="s">
        <v>328</v>
      </c>
      <c r="DX227" s="15"/>
      <c r="DY227" s="15"/>
      <c r="DZ227" s="15"/>
      <c r="EA227" s="15"/>
      <c r="EB227" s="15"/>
      <c r="EC227" s="102" t="s">
        <v>438</v>
      </c>
      <c r="ED227" s="99"/>
    </row>
    <row r="228" spans="1:134" x14ac:dyDescent="0.25">
      <c r="A228" s="50" t="s">
        <v>1404</v>
      </c>
      <c r="B228" s="61" t="s">
        <v>1038</v>
      </c>
      <c r="C228" s="15" t="s">
        <v>328</v>
      </c>
      <c r="D228" s="15"/>
      <c r="E228" s="15">
        <v>40</v>
      </c>
      <c r="F228" s="15" t="s">
        <v>329</v>
      </c>
      <c r="G228" s="15" t="s">
        <v>330</v>
      </c>
      <c r="H228" s="15" t="s">
        <v>1178</v>
      </c>
      <c r="I228" s="15" t="s">
        <v>1295</v>
      </c>
      <c r="J228" s="15" t="s">
        <v>1283</v>
      </c>
      <c r="K228" s="15">
        <v>8</v>
      </c>
      <c r="L228" s="15">
        <v>1</v>
      </c>
      <c r="M228" s="15">
        <v>1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 t="s">
        <v>418</v>
      </c>
      <c r="AJ228" s="15"/>
      <c r="AK228" s="15" t="s">
        <v>328</v>
      </c>
      <c r="AL228" s="15"/>
      <c r="AM228" s="15" t="s">
        <v>328</v>
      </c>
      <c r="AN228" s="15"/>
      <c r="AO228" s="15"/>
      <c r="AP228" s="15">
        <v>10</v>
      </c>
      <c r="AQ228" s="15">
        <v>1</v>
      </c>
      <c r="AR228" s="15"/>
      <c r="AS228" s="15"/>
      <c r="AT228" s="15" t="s">
        <v>328</v>
      </c>
      <c r="AU228" s="15"/>
      <c r="AV228" s="15">
        <v>2</v>
      </c>
      <c r="AW228" s="15">
        <v>3</v>
      </c>
      <c r="AX228" s="15">
        <v>1</v>
      </c>
      <c r="AY228" s="15"/>
      <c r="AZ228" s="15" t="s">
        <v>328</v>
      </c>
      <c r="BA228" s="15"/>
      <c r="BB228" s="15" t="s">
        <v>328</v>
      </c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 t="s">
        <v>328</v>
      </c>
      <c r="BN228" s="15"/>
      <c r="BO228" s="15" t="s">
        <v>328</v>
      </c>
      <c r="BP228" s="15" t="s">
        <v>328</v>
      </c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 t="s">
        <v>332</v>
      </c>
      <c r="CG228" s="15"/>
      <c r="CH228" s="15"/>
      <c r="CI228" s="15"/>
      <c r="CJ228" s="15" t="s">
        <v>328</v>
      </c>
      <c r="CK228" s="15"/>
      <c r="CL228" s="15">
        <v>4</v>
      </c>
      <c r="CM228" s="15">
        <v>2</v>
      </c>
      <c r="CN228" s="15">
        <v>1</v>
      </c>
      <c r="CO228" s="15">
        <v>5</v>
      </c>
      <c r="CP228" s="15">
        <v>6</v>
      </c>
      <c r="CQ228" s="15">
        <v>3</v>
      </c>
      <c r="CR228" s="15"/>
      <c r="CS228" s="15"/>
      <c r="CT228" s="15"/>
      <c r="CU228" s="15"/>
      <c r="CV228" s="15"/>
      <c r="CW228" s="15"/>
      <c r="CX228" s="15" t="s">
        <v>332</v>
      </c>
      <c r="CY228" s="15" t="s">
        <v>328</v>
      </c>
      <c r="CZ228" s="15" t="s">
        <v>404</v>
      </c>
      <c r="DA228" s="15"/>
      <c r="DB228" s="15"/>
      <c r="DC228" s="15"/>
      <c r="DD228" s="15"/>
      <c r="DE228" s="15"/>
      <c r="DF228" s="15"/>
      <c r="DG228" s="15"/>
      <c r="DH228" s="15" t="s">
        <v>328</v>
      </c>
      <c r="DI228" s="15"/>
      <c r="DJ228" s="15"/>
      <c r="DK228" s="15"/>
      <c r="DL228" s="15"/>
      <c r="DM228" s="15"/>
      <c r="DN228" s="14" t="s">
        <v>333</v>
      </c>
      <c r="DO228" s="15" t="s">
        <v>328</v>
      </c>
      <c r="DP228" s="15"/>
      <c r="DQ228" s="15"/>
      <c r="DR228" s="15"/>
      <c r="DS228" s="15"/>
      <c r="DT228" s="15"/>
      <c r="DU228" s="15"/>
      <c r="DV228" s="15" t="s">
        <v>1144</v>
      </c>
      <c r="DW228" s="15" t="s">
        <v>328</v>
      </c>
      <c r="DX228" s="15"/>
      <c r="DY228" s="15"/>
      <c r="DZ228" s="15"/>
      <c r="EA228" s="15"/>
      <c r="EB228" s="15"/>
      <c r="EC228" s="102" t="s">
        <v>1144</v>
      </c>
      <c r="ED228" s="99"/>
    </row>
    <row r="229" spans="1:134" x14ac:dyDescent="0.25">
      <c r="A229" s="50" t="s">
        <v>1404</v>
      </c>
      <c r="B229" s="61" t="s">
        <v>1039</v>
      </c>
      <c r="C229" s="15" t="s">
        <v>328</v>
      </c>
      <c r="D229" s="15"/>
      <c r="E229" s="15">
        <v>51</v>
      </c>
      <c r="F229" s="15" t="s">
        <v>329</v>
      </c>
      <c r="G229" s="15" t="s">
        <v>357</v>
      </c>
      <c r="H229" s="15" t="s">
        <v>1040</v>
      </c>
      <c r="I229" s="15" t="s">
        <v>1254</v>
      </c>
      <c r="J229" s="15" t="s">
        <v>1280</v>
      </c>
      <c r="K229" s="15">
        <v>20</v>
      </c>
      <c r="L229" s="15">
        <v>2</v>
      </c>
      <c r="M229" s="15">
        <v>10</v>
      </c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 t="s">
        <v>418</v>
      </c>
      <c r="AJ229" s="15"/>
      <c r="AK229" s="15" t="s">
        <v>328</v>
      </c>
      <c r="AL229" s="15"/>
      <c r="AM229" s="15"/>
      <c r="AN229" s="15" t="s">
        <v>328</v>
      </c>
      <c r="AO229" s="15"/>
      <c r="AP229" s="15">
        <v>8</v>
      </c>
      <c r="AQ229" s="15">
        <v>3</v>
      </c>
      <c r="AR229" s="15"/>
      <c r="AS229" s="15" t="s">
        <v>328</v>
      </c>
      <c r="AT229" s="15" t="s">
        <v>328</v>
      </c>
      <c r="AU229" s="15"/>
      <c r="AV229" s="15">
        <v>2</v>
      </c>
      <c r="AW229" s="15">
        <v>1</v>
      </c>
      <c r="AX229" s="15">
        <v>3</v>
      </c>
      <c r="AY229" s="15"/>
      <c r="AZ229" s="15" t="s">
        <v>328</v>
      </c>
      <c r="BA229" s="15"/>
      <c r="BB229" s="15"/>
      <c r="BC229" s="15"/>
      <c r="BD229" s="15"/>
      <c r="BE229" s="15"/>
      <c r="BF229" s="15"/>
      <c r="BG229" s="15"/>
      <c r="BH229" s="15"/>
      <c r="BI229" s="15" t="s">
        <v>328</v>
      </c>
      <c r="BJ229" s="15"/>
      <c r="BK229" s="15"/>
      <c r="BL229" s="15" t="s">
        <v>328</v>
      </c>
      <c r="BM229" s="15"/>
      <c r="BN229" s="15" t="s">
        <v>328</v>
      </c>
      <c r="BO229" s="15"/>
      <c r="BP229" s="15" t="s">
        <v>328</v>
      </c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 t="s">
        <v>328</v>
      </c>
      <c r="CC229" s="15"/>
      <c r="CD229" s="15"/>
      <c r="CE229" s="15" t="s">
        <v>328</v>
      </c>
      <c r="CF229" s="15"/>
      <c r="CG229" s="15" t="s">
        <v>328</v>
      </c>
      <c r="CH229" s="15"/>
      <c r="CI229" s="15"/>
      <c r="CJ229" s="15"/>
      <c r="CK229" s="15" t="s">
        <v>328</v>
      </c>
      <c r="CL229" s="15">
        <v>3</v>
      </c>
      <c r="CM229" s="15">
        <v>1</v>
      </c>
      <c r="CN229" s="15">
        <v>4</v>
      </c>
      <c r="CO229" s="15">
        <v>5</v>
      </c>
      <c r="CP229" s="15">
        <v>6</v>
      </c>
      <c r="CQ229" s="15">
        <v>2</v>
      </c>
      <c r="CR229" s="15" t="s">
        <v>328</v>
      </c>
      <c r="CS229" s="15" t="s">
        <v>328</v>
      </c>
      <c r="CT229" s="15"/>
      <c r="CU229" s="15"/>
      <c r="CV229" s="15" t="s">
        <v>328</v>
      </c>
      <c r="CW229" s="15"/>
      <c r="CX229" s="15"/>
      <c r="CY229" s="15" t="s">
        <v>328</v>
      </c>
      <c r="CZ229" s="15" t="s">
        <v>404</v>
      </c>
      <c r="DA229" s="15"/>
      <c r="DB229" s="15"/>
      <c r="DC229" s="15"/>
      <c r="DD229" s="15"/>
      <c r="DE229" s="15"/>
      <c r="DF229" s="15"/>
      <c r="DG229" s="15"/>
      <c r="DH229" s="15" t="s">
        <v>328</v>
      </c>
      <c r="DI229" s="15"/>
      <c r="DJ229" s="15"/>
      <c r="DK229" s="15"/>
      <c r="DL229" s="15"/>
      <c r="DM229" s="15"/>
      <c r="DN229" s="15" t="s">
        <v>411</v>
      </c>
      <c r="DO229" s="15" t="s">
        <v>328</v>
      </c>
      <c r="DP229" s="15"/>
      <c r="DQ229" s="15"/>
      <c r="DR229" s="15"/>
      <c r="DS229" s="15"/>
      <c r="DT229" s="15"/>
      <c r="DU229" s="15"/>
      <c r="DV229" s="15" t="s">
        <v>497</v>
      </c>
      <c r="DW229" s="15" t="s">
        <v>328</v>
      </c>
      <c r="DX229" s="15"/>
      <c r="DY229" s="15"/>
      <c r="DZ229" s="15"/>
      <c r="EA229" s="15"/>
      <c r="EB229" s="15"/>
      <c r="EC229" s="102" t="s">
        <v>497</v>
      </c>
      <c r="ED229" s="99"/>
    </row>
    <row r="230" spans="1:134" x14ac:dyDescent="0.25">
      <c r="A230" s="50" t="s">
        <v>1404</v>
      </c>
      <c r="B230" s="61" t="s">
        <v>1041</v>
      </c>
      <c r="C230" s="15" t="s">
        <v>328</v>
      </c>
      <c r="D230" s="15"/>
      <c r="E230" s="15">
        <v>61</v>
      </c>
      <c r="F230" s="15" t="s">
        <v>329</v>
      </c>
      <c r="G230" s="15" t="s">
        <v>399</v>
      </c>
      <c r="H230" s="15" t="s">
        <v>1042</v>
      </c>
      <c r="I230" s="15" t="s">
        <v>1190</v>
      </c>
      <c r="J230" s="15" t="s">
        <v>1280</v>
      </c>
      <c r="K230" s="15">
        <v>30</v>
      </c>
      <c r="L230" s="15">
        <v>3</v>
      </c>
      <c r="M230" s="15">
        <v>5</v>
      </c>
      <c r="N230" s="15">
        <v>5</v>
      </c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 t="s">
        <v>328</v>
      </c>
      <c r="AA230" s="15"/>
      <c r="AB230" s="15"/>
      <c r="AC230" s="15"/>
      <c r="AD230" s="15"/>
      <c r="AE230" s="15"/>
      <c r="AF230" s="15"/>
      <c r="AG230" s="15" t="s">
        <v>328</v>
      </c>
      <c r="AH230" s="15"/>
      <c r="AI230" s="15"/>
      <c r="AJ230" s="15" t="s">
        <v>328</v>
      </c>
      <c r="AK230" s="15"/>
      <c r="AL230" s="15" t="s">
        <v>328</v>
      </c>
      <c r="AM230" s="15"/>
      <c r="AN230" s="15"/>
      <c r="AO230" s="15"/>
      <c r="AP230" s="15">
        <v>10</v>
      </c>
      <c r="AQ230" s="15">
        <v>6</v>
      </c>
      <c r="AR230" s="15"/>
      <c r="AS230" s="15" t="s">
        <v>328</v>
      </c>
      <c r="AT230" s="15" t="s">
        <v>328</v>
      </c>
      <c r="AU230" s="15"/>
      <c r="AV230" s="15">
        <v>1</v>
      </c>
      <c r="AW230" s="15">
        <v>3</v>
      </c>
      <c r="AX230" s="15">
        <v>2</v>
      </c>
      <c r="AY230" s="15"/>
      <c r="AZ230" s="15"/>
      <c r="BA230" s="15" t="s">
        <v>328</v>
      </c>
      <c r="BB230" s="15"/>
      <c r="BC230" s="15" t="s">
        <v>328</v>
      </c>
      <c r="BD230" s="15"/>
      <c r="BE230" s="15"/>
      <c r="BF230" s="15"/>
      <c r="BG230" s="15"/>
      <c r="BH230" s="15"/>
      <c r="BI230" s="15"/>
      <c r="BJ230" s="15"/>
      <c r="BK230" s="15"/>
      <c r="BL230" s="15" t="s">
        <v>328</v>
      </c>
      <c r="BM230" s="15"/>
      <c r="BN230" s="15" t="s">
        <v>328</v>
      </c>
      <c r="BO230" s="15"/>
      <c r="BP230" s="15" t="s">
        <v>328</v>
      </c>
      <c r="BQ230" s="15"/>
      <c r="BR230" s="15"/>
      <c r="BS230" s="15"/>
      <c r="BT230" s="15" t="s">
        <v>328</v>
      </c>
      <c r="BU230" s="15"/>
      <c r="BV230" s="15"/>
      <c r="BW230" s="15"/>
      <c r="BX230" s="15"/>
      <c r="BY230" s="15"/>
      <c r="BZ230" s="15"/>
      <c r="CA230" s="15" t="s">
        <v>328</v>
      </c>
      <c r="CB230" s="15"/>
      <c r="CC230" s="15" t="s">
        <v>328</v>
      </c>
      <c r="CD230" s="15"/>
      <c r="CE230" s="15"/>
      <c r="CF230" s="15"/>
      <c r="CG230" s="15" t="s">
        <v>328</v>
      </c>
      <c r="CH230" s="15"/>
      <c r="CI230" s="15"/>
      <c r="CJ230" s="15"/>
      <c r="CK230" s="15" t="s">
        <v>328</v>
      </c>
      <c r="CL230" s="15">
        <v>2</v>
      </c>
      <c r="CM230" s="15">
        <v>4</v>
      </c>
      <c r="CN230" s="15">
        <v>3</v>
      </c>
      <c r="CO230" s="15">
        <v>5</v>
      </c>
      <c r="CP230" s="15">
        <v>6</v>
      </c>
      <c r="CQ230" s="15">
        <v>1</v>
      </c>
      <c r="CR230" s="15" t="s">
        <v>328</v>
      </c>
      <c r="CS230" s="15" t="s">
        <v>328</v>
      </c>
      <c r="CT230" s="15"/>
      <c r="CU230" s="15"/>
      <c r="CV230" s="15" t="s">
        <v>328</v>
      </c>
      <c r="CW230" s="15"/>
      <c r="CX230" s="15"/>
      <c r="CY230" s="15"/>
      <c r="CZ230" s="15"/>
      <c r="DA230" s="15">
        <v>1</v>
      </c>
      <c r="DB230" s="15">
        <v>3</v>
      </c>
      <c r="DC230" s="15">
        <v>5</v>
      </c>
      <c r="DD230" s="15">
        <v>2</v>
      </c>
      <c r="DE230" s="15">
        <v>4</v>
      </c>
      <c r="DF230" s="15">
        <v>6</v>
      </c>
      <c r="DG230" s="15"/>
      <c r="DH230" s="15"/>
      <c r="DI230" s="15" t="s">
        <v>328</v>
      </c>
      <c r="DJ230" s="15" t="s">
        <v>328</v>
      </c>
      <c r="DK230" s="15" t="s">
        <v>405</v>
      </c>
      <c r="DL230" s="15"/>
      <c r="DM230" s="14" t="s">
        <v>432</v>
      </c>
      <c r="DN230" s="15" t="s">
        <v>411</v>
      </c>
      <c r="DO230" s="15" t="s">
        <v>328</v>
      </c>
      <c r="DP230" s="15"/>
      <c r="DQ230" s="15"/>
      <c r="DR230" s="15"/>
      <c r="DS230" s="15"/>
      <c r="DT230" s="15"/>
      <c r="DU230" s="15"/>
      <c r="DV230" s="15" t="s">
        <v>497</v>
      </c>
      <c r="DW230" s="15" t="s">
        <v>328</v>
      </c>
      <c r="DX230" s="15"/>
      <c r="DY230" s="15"/>
      <c r="DZ230" s="15"/>
      <c r="EA230" s="15"/>
      <c r="EB230" s="15"/>
      <c r="EC230" s="102" t="s">
        <v>497</v>
      </c>
      <c r="ED230" s="99"/>
    </row>
    <row r="231" spans="1:134" x14ac:dyDescent="0.25">
      <c r="A231" s="50" t="s">
        <v>1404</v>
      </c>
      <c r="B231" s="61" t="s">
        <v>1043</v>
      </c>
      <c r="C231" s="15" t="s">
        <v>328</v>
      </c>
      <c r="D231" s="15"/>
      <c r="E231" s="15">
        <v>63</v>
      </c>
      <c r="F231" s="15" t="s">
        <v>329</v>
      </c>
      <c r="G231" s="15" t="s">
        <v>353</v>
      </c>
      <c r="H231" s="15" t="s">
        <v>738</v>
      </c>
      <c r="I231" s="15" t="s">
        <v>1251</v>
      </c>
      <c r="J231" s="15" t="s">
        <v>1283</v>
      </c>
      <c r="K231" s="15">
        <v>40</v>
      </c>
      <c r="L231" s="15">
        <v>2</v>
      </c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>
        <v>2</v>
      </c>
      <c r="Y231" s="14"/>
      <c r="Z231" s="15" t="s">
        <v>328</v>
      </c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 t="s">
        <v>328</v>
      </c>
      <c r="AL231" s="15"/>
      <c r="AM231" s="15"/>
      <c r="AN231" s="15"/>
      <c r="AO231" s="15" t="s">
        <v>328</v>
      </c>
      <c r="AP231" s="15">
        <v>10</v>
      </c>
      <c r="AQ231" s="15">
        <v>4</v>
      </c>
      <c r="AR231" s="15"/>
      <c r="AS231" s="15" t="s">
        <v>328</v>
      </c>
      <c r="AT231" s="15" t="s">
        <v>328</v>
      </c>
      <c r="AU231" s="15"/>
      <c r="AV231" s="15">
        <v>1</v>
      </c>
      <c r="AW231" s="15">
        <v>3</v>
      </c>
      <c r="AX231" s="15">
        <v>2</v>
      </c>
      <c r="AY231" s="15"/>
      <c r="AZ231" s="15"/>
      <c r="BA231" s="15" t="s">
        <v>328</v>
      </c>
      <c r="BB231" s="15" t="s">
        <v>328</v>
      </c>
      <c r="BC231" s="15" t="s">
        <v>328</v>
      </c>
      <c r="BD231" s="15"/>
      <c r="BE231" s="15"/>
      <c r="BF231" s="15"/>
      <c r="BG231" s="15"/>
      <c r="BH231" s="15"/>
      <c r="BI231" s="15"/>
      <c r="BJ231" s="15"/>
      <c r="BK231" s="15"/>
      <c r="BL231" s="15" t="s">
        <v>328</v>
      </c>
      <c r="BM231" s="15"/>
      <c r="BN231" s="15" t="s">
        <v>328</v>
      </c>
      <c r="BO231" s="15"/>
      <c r="BP231" s="15" t="s">
        <v>328</v>
      </c>
      <c r="BQ231" s="15"/>
      <c r="BR231" s="15" t="s">
        <v>328</v>
      </c>
      <c r="BS231" s="15"/>
      <c r="BT231" s="15"/>
      <c r="BU231" s="15" t="s">
        <v>328</v>
      </c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 t="s">
        <v>332</v>
      </c>
      <c r="CG231" s="15" t="s">
        <v>328</v>
      </c>
      <c r="CH231" s="15" t="s">
        <v>328</v>
      </c>
      <c r="CI231" s="15"/>
      <c r="CJ231" s="15"/>
      <c r="CK231" s="15"/>
      <c r="CL231" s="15">
        <v>3</v>
      </c>
      <c r="CM231" s="15">
        <v>5</v>
      </c>
      <c r="CN231" s="15">
        <v>4</v>
      </c>
      <c r="CO231" s="15">
        <v>6</v>
      </c>
      <c r="CP231" s="15">
        <v>2</v>
      </c>
      <c r="CQ231" s="15">
        <v>1</v>
      </c>
      <c r="CR231" s="15" t="s">
        <v>328</v>
      </c>
      <c r="CS231" s="15"/>
      <c r="CT231" s="15"/>
      <c r="CU231" s="15"/>
      <c r="CV231" s="15" t="s">
        <v>328</v>
      </c>
      <c r="CW231" s="15"/>
      <c r="CX231" s="15"/>
      <c r="CY231" s="15"/>
      <c r="CZ231" s="15"/>
      <c r="DA231" s="15">
        <v>1</v>
      </c>
      <c r="DB231" s="15">
        <v>3</v>
      </c>
      <c r="DC231" s="15">
        <v>6</v>
      </c>
      <c r="DD231" s="15">
        <v>5</v>
      </c>
      <c r="DE231" s="15">
        <v>2</v>
      </c>
      <c r="DF231" s="15">
        <v>4</v>
      </c>
      <c r="DG231" s="15"/>
      <c r="DH231" s="15" t="s">
        <v>328</v>
      </c>
      <c r="DI231" s="15"/>
      <c r="DJ231" s="15"/>
      <c r="DK231" s="15"/>
      <c r="DL231" s="15"/>
      <c r="DM231" s="15"/>
      <c r="DN231" s="14" t="s">
        <v>333</v>
      </c>
      <c r="DO231" s="15" t="s">
        <v>328</v>
      </c>
      <c r="DP231" s="15"/>
      <c r="DQ231" s="15"/>
      <c r="DR231" s="15"/>
      <c r="DS231" s="15"/>
      <c r="DT231" s="15"/>
      <c r="DU231" s="15"/>
      <c r="DV231" s="15" t="s">
        <v>1155</v>
      </c>
      <c r="DW231" s="15" t="s">
        <v>328</v>
      </c>
      <c r="DX231" s="15"/>
      <c r="DY231" s="15"/>
      <c r="DZ231" s="15"/>
      <c r="EA231" s="15"/>
      <c r="EB231" s="15"/>
      <c r="EC231" s="102" t="s">
        <v>1155</v>
      </c>
      <c r="ED231" s="99"/>
    </row>
    <row r="232" spans="1:134" x14ac:dyDescent="0.25">
      <c r="A232" s="51" t="s">
        <v>1856</v>
      </c>
      <c r="B232" s="61" t="s">
        <v>1044</v>
      </c>
      <c r="C232" s="15" t="s">
        <v>328</v>
      </c>
      <c r="D232" s="15"/>
      <c r="E232" s="15">
        <v>57</v>
      </c>
      <c r="F232" s="15" t="s">
        <v>329</v>
      </c>
      <c r="G232" s="15" t="s">
        <v>353</v>
      </c>
      <c r="H232" s="15" t="s">
        <v>1045</v>
      </c>
      <c r="I232" s="15" t="s">
        <v>1297</v>
      </c>
      <c r="J232" s="15" t="s">
        <v>1293</v>
      </c>
      <c r="K232" s="15">
        <v>35</v>
      </c>
      <c r="L232" s="15">
        <v>1</v>
      </c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>
        <v>1</v>
      </c>
      <c r="Y232" s="14"/>
      <c r="Z232" s="15" t="s">
        <v>328</v>
      </c>
      <c r="AA232" s="15"/>
      <c r="AB232" s="15"/>
      <c r="AC232" s="15"/>
      <c r="AD232" s="15"/>
      <c r="AE232" s="15" t="s">
        <v>328</v>
      </c>
      <c r="AF232" s="15"/>
      <c r="AG232" s="15"/>
      <c r="AH232" s="15"/>
      <c r="AI232" s="15"/>
      <c r="AJ232" s="15"/>
      <c r="AK232" s="15" t="s">
        <v>328</v>
      </c>
      <c r="AL232" s="15"/>
      <c r="AM232" s="15" t="s">
        <v>328</v>
      </c>
      <c r="AN232" s="15"/>
      <c r="AO232" s="15"/>
      <c r="AP232" s="15">
        <v>0</v>
      </c>
      <c r="AQ232" s="15">
        <v>0</v>
      </c>
      <c r="AR232" s="15"/>
      <c r="AS232" s="15" t="s">
        <v>328</v>
      </c>
      <c r="AT232" s="15"/>
      <c r="AU232" s="15"/>
      <c r="AV232" s="15">
        <v>3</v>
      </c>
      <c r="AW232" s="15">
        <v>2</v>
      </c>
      <c r="AX232" s="15">
        <v>1</v>
      </c>
      <c r="AY232" s="15"/>
      <c r="AZ232" s="15" t="s">
        <v>328</v>
      </c>
      <c r="BA232" s="15"/>
      <c r="BB232" s="15" t="s">
        <v>328</v>
      </c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 t="s">
        <v>328</v>
      </c>
      <c r="BN232" s="15"/>
      <c r="BO232" s="15" t="s">
        <v>328</v>
      </c>
      <c r="BP232" s="15" t="s">
        <v>328</v>
      </c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 t="s">
        <v>328</v>
      </c>
      <c r="CD232" s="15" t="s">
        <v>328</v>
      </c>
      <c r="CE232" s="15"/>
      <c r="CF232" s="15"/>
      <c r="CG232" s="15"/>
      <c r="CH232" s="15"/>
      <c r="CI232" s="15" t="s">
        <v>328</v>
      </c>
      <c r="CJ232" s="15"/>
      <c r="CK232" s="15"/>
      <c r="CL232" s="15">
        <v>4</v>
      </c>
      <c r="CM232" s="15">
        <v>6</v>
      </c>
      <c r="CN232" s="15">
        <v>1</v>
      </c>
      <c r="CO232" s="15">
        <v>2</v>
      </c>
      <c r="CP232" s="15">
        <v>3</v>
      </c>
      <c r="CQ232" s="15">
        <v>5</v>
      </c>
      <c r="CR232" s="15"/>
      <c r="CS232" s="15"/>
      <c r="CT232" s="15"/>
      <c r="CU232" s="15"/>
      <c r="CV232" s="15"/>
      <c r="CW232" s="15"/>
      <c r="CX232" s="15" t="s">
        <v>332</v>
      </c>
      <c r="CY232" s="15"/>
      <c r="CZ232" s="15"/>
      <c r="DA232" s="15">
        <v>1</v>
      </c>
      <c r="DB232" s="15">
        <v>3</v>
      </c>
      <c r="DC232" s="15">
        <v>4</v>
      </c>
      <c r="DD232" s="15">
        <v>5</v>
      </c>
      <c r="DE232" s="15">
        <v>2</v>
      </c>
      <c r="DF232" s="15">
        <v>6</v>
      </c>
      <c r="DG232" s="15"/>
      <c r="DH232" s="15" t="s">
        <v>328</v>
      </c>
      <c r="DI232" s="15"/>
      <c r="DJ232" s="15"/>
      <c r="DK232" s="15"/>
      <c r="DL232" s="15"/>
      <c r="DM232" s="15"/>
      <c r="DN232" s="14" t="s">
        <v>1146</v>
      </c>
      <c r="DO232" s="15" t="s">
        <v>328</v>
      </c>
      <c r="DP232" s="15"/>
      <c r="DQ232" s="15"/>
      <c r="DR232" s="15"/>
      <c r="DS232" s="15"/>
      <c r="DT232" s="15"/>
      <c r="DU232" s="15"/>
      <c r="DV232" s="15" t="s">
        <v>1152</v>
      </c>
      <c r="DW232" s="15" t="s">
        <v>328</v>
      </c>
      <c r="DX232" s="15"/>
      <c r="DY232" s="15"/>
      <c r="DZ232" s="15"/>
      <c r="EA232" s="15"/>
      <c r="EB232" s="15"/>
      <c r="EC232" s="102" t="s">
        <v>1152</v>
      </c>
      <c r="ED232" s="99"/>
    </row>
    <row r="233" spans="1:134" x14ac:dyDescent="0.25">
      <c r="A233" s="51" t="s">
        <v>1856</v>
      </c>
      <c r="B233" s="61" t="s">
        <v>1046</v>
      </c>
      <c r="C233" s="15" t="s">
        <v>328</v>
      </c>
      <c r="D233" s="15"/>
      <c r="E233" s="15">
        <v>35</v>
      </c>
      <c r="F233" s="15" t="s">
        <v>329</v>
      </c>
      <c r="G233" s="15" t="s">
        <v>330</v>
      </c>
      <c r="H233" s="15" t="s">
        <v>1047</v>
      </c>
      <c r="I233" s="15" t="s">
        <v>1298</v>
      </c>
      <c r="J233" s="15" t="s">
        <v>1289</v>
      </c>
      <c r="K233" s="15">
        <v>0</v>
      </c>
      <c r="L233" s="15">
        <v>1</v>
      </c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>
        <v>1</v>
      </c>
      <c r="Y233" s="14"/>
      <c r="Z233" s="15" t="s">
        <v>328</v>
      </c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 t="s">
        <v>328</v>
      </c>
      <c r="AL233" s="15"/>
      <c r="AM233" s="15" t="s">
        <v>328</v>
      </c>
      <c r="AN233" s="15"/>
      <c r="AO233" s="15"/>
      <c r="AP233" s="15">
        <v>10</v>
      </c>
      <c r="AQ233" s="15">
        <v>1</v>
      </c>
      <c r="AR233" s="15"/>
      <c r="AS233" s="15" t="s">
        <v>328</v>
      </c>
      <c r="AT233" s="15"/>
      <c r="AU233" s="15"/>
      <c r="AV233" s="15">
        <v>2</v>
      </c>
      <c r="AW233" s="15">
        <v>1</v>
      </c>
      <c r="AX233" s="15">
        <v>3</v>
      </c>
      <c r="AY233" s="15"/>
      <c r="AZ233" s="15" t="s">
        <v>328</v>
      </c>
      <c r="BA233" s="15"/>
      <c r="BB233" s="15" t="s">
        <v>328</v>
      </c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 t="s">
        <v>328</v>
      </c>
      <c r="BN233" s="15"/>
      <c r="BO233" s="15" t="s">
        <v>328</v>
      </c>
      <c r="BP233" s="15"/>
      <c r="BQ233" s="15"/>
      <c r="BR233" s="15"/>
      <c r="BS233" s="15"/>
      <c r="BT233" s="15"/>
      <c r="BU233" s="15" t="s">
        <v>328</v>
      </c>
      <c r="BV233" s="15"/>
      <c r="BW233" s="15"/>
      <c r="BX233" s="15"/>
      <c r="BY233" s="15"/>
      <c r="BZ233" s="15"/>
      <c r="CA233" s="15"/>
      <c r="CB233" s="15" t="s">
        <v>328</v>
      </c>
      <c r="CC233" s="15"/>
      <c r="CD233" s="15"/>
      <c r="CE233" s="15"/>
      <c r="CF233" s="15"/>
      <c r="CG233" s="15"/>
      <c r="CH233" s="15"/>
      <c r="CI233" s="15"/>
      <c r="CJ233" s="15" t="s">
        <v>328</v>
      </c>
      <c r="CK233" s="15"/>
      <c r="CL233" s="15">
        <v>6</v>
      </c>
      <c r="CM233" s="15">
        <v>1</v>
      </c>
      <c r="CN233" s="15">
        <v>2</v>
      </c>
      <c r="CO233" s="15">
        <v>4</v>
      </c>
      <c r="CP233" s="15">
        <v>3</v>
      </c>
      <c r="CQ233" s="15">
        <v>5</v>
      </c>
      <c r="CR233" s="15"/>
      <c r="CS233" s="15"/>
      <c r="CT233" s="15"/>
      <c r="CU233" s="15"/>
      <c r="CV233" s="15" t="s">
        <v>328</v>
      </c>
      <c r="CW233" s="15"/>
      <c r="CX233" s="15"/>
      <c r="CY233" s="15"/>
      <c r="CZ233" s="15"/>
      <c r="DA233" s="15">
        <v>1</v>
      </c>
      <c r="DB233" s="15">
        <v>2</v>
      </c>
      <c r="DC233" s="15">
        <v>3</v>
      </c>
      <c r="DD233" s="15">
        <v>4</v>
      </c>
      <c r="DE233" s="15">
        <v>5</v>
      </c>
      <c r="DF233" s="15">
        <v>6</v>
      </c>
      <c r="DG233" s="15"/>
      <c r="DH233" s="15" t="s">
        <v>328</v>
      </c>
      <c r="DI233" s="15"/>
      <c r="DJ233" s="15"/>
      <c r="DK233" s="15"/>
      <c r="DL233" s="15"/>
      <c r="DM233" s="15"/>
      <c r="DN233" s="15" t="s">
        <v>411</v>
      </c>
      <c r="DO233" s="15" t="s">
        <v>328</v>
      </c>
      <c r="DP233" s="15"/>
      <c r="DQ233" s="15"/>
      <c r="DR233" s="15"/>
      <c r="DS233" s="15"/>
      <c r="DT233" s="15"/>
      <c r="DU233" s="15"/>
      <c r="DV233" s="15" t="s">
        <v>411</v>
      </c>
      <c r="DW233" s="15" t="s">
        <v>328</v>
      </c>
      <c r="DX233" s="15"/>
      <c r="DY233" s="15"/>
      <c r="DZ233" s="15"/>
      <c r="EA233" s="15"/>
      <c r="EB233" s="15"/>
      <c r="EC233" s="102" t="s">
        <v>411</v>
      </c>
      <c r="ED233" s="99"/>
    </row>
    <row r="234" spans="1:134" x14ac:dyDescent="0.25">
      <c r="A234" s="51" t="s">
        <v>1856</v>
      </c>
      <c r="B234" s="61" t="s">
        <v>1048</v>
      </c>
      <c r="C234" s="15" t="s">
        <v>328</v>
      </c>
      <c r="D234" s="15"/>
      <c r="E234" s="15">
        <v>40</v>
      </c>
      <c r="F234" s="15" t="s">
        <v>329</v>
      </c>
      <c r="G234" s="15" t="s">
        <v>330</v>
      </c>
      <c r="H234" s="15" t="s">
        <v>1049</v>
      </c>
      <c r="I234" s="15" t="s">
        <v>1299</v>
      </c>
      <c r="J234" s="15" t="s">
        <v>1293</v>
      </c>
      <c r="K234" s="15">
        <v>15</v>
      </c>
      <c r="L234" s="15">
        <v>2</v>
      </c>
      <c r="M234" s="15">
        <v>2</v>
      </c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 t="s">
        <v>328</v>
      </c>
      <c r="AB234" s="15"/>
      <c r="AC234" s="15"/>
      <c r="AD234" s="15"/>
      <c r="AE234" s="15"/>
      <c r="AF234" s="15"/>
      <c r="AG234" s="15"/>
      <c r="AH234" s="15"/>
      <c r="AI234" s="15"/>
      <c r="AJ234" s="15" t="s">
        <v>328</v>
      </c>
      <c r="AK234" s="15"/>
      <c r="AL234" s="15"/>
      <c r="AM234" s="15"/>
      <c r="AN234" s="15" t="s">
        <v>328</v>
      </c>
      <c r="AO234" s="15"/>
      <c r="AP234" s="15">
        <v>10</v>
      </c>
      <c r="AQ234" s="15">
        <v>1</v>
      </c>
      <c r="AR234" s="15"/>
      <c r="AS234" s="15"/>
      <c r="AT234" s="15"/>
      <c r="AU234" s="15" t="s">
        <v>328</v>
      </c>
      <c r="AV234" s="15">
        <v>3</v>
      </c>
      <c r="AW234" s="15">
        <v>1</v>
      </c>
      <c r="AX234" s="15">
        <v>2</v>
      </c>
      <c r="AY234" s="15"/>
      <c r="AZ234" s="15" t="s">
        <v>328</v>
      </c>
      <c r="BA234" s="15"/>
      <c r="BB234" s="15"/>
      <c r="BC234" s="15" t="s">
        <v>328</v>
      </c>
      <c r="BD234" s="15"/>
      <c r="BE234" s="15"/>
      <c r="BF234" s="15"/>
      <c r="BG234" s="15"/>
      <c r="BH234" s="15"/>
      <c r="BI234" s="15"/>
      <c r="BJ234" s="15"/>
      <c r="BK234" s="15"/>
      <c r="BL234" s="15"/>
      <c r="BM234" s="15" t="s">
        <v>328</v>
      </c>
      <c r="BN234" s="15"/>
      <c r="BO234" s="15" t="s">
        <v>328</v>
      </c>
      <c r="BP234" s="15" t="s">
        <v>328</v>
      </c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 t="s">
        <v>328</v>
      </c>
      <c r="CC234" s="15"/>
      <c r="CD234" s="15"/>
      <c r="CE234" s="15"/>
      <c r="CF234" s="15"/>
      <c r="CG234" s="15" t="s">
        <v>328</v>
      </c>
      <c r="CH234" s="15"/>
      <c r="CI234" s="15"/>
      <c r="CJ234" s="15"/>
      <c r="CK234" s="15"/>
      <c r="CL234" s="15">
        <v>3</v>
      </c>
      <c r="CM234" s="15">
        <v>2</v>
      </c>
      <c r="CN234" s="15">
        <v>1</v>
      </c>
      <c r="CO234" s="15">
        <v>4</v>
      </c>
      <c r="CP234" s="15">
        <v>5</v>
      </c>
      <c r="CQ234" s="15">
        <v>6</v>
      </c>
      <c r="CR234" s="15"/>
      <c r="CS234" s="15"/>
      <c r="CT234" s="15"/>
      <c r="CU234" s="15"/>
      <c r="CV234" s="15"/>
      <c r="CW234" s="15"/>
      <c r="CX234" s="15" t="s">
        <v>332</v>
      </c>
      <c r="CY234" s="15"/>
      <c r="CZ234" s="15"/>
      <c r="DA234" s="15">
        <v>1</v>
      </c>
      <c r="DB234" s="15">
        <v>3</v>
      </c>
      <c r="DC234" s="15">
        <v>4</v>
      </c>
      <c r="DD234" s="15">
        <v>5</v>
      </c>
      <c r="DE234" s="15">
        <v>2</v>
      </c>
      <c r="DF234" s="15">
        <v>6</v>
      </c>
      <c r="DG234" s="15"/>
      <c r="DH234" s="15" t="s">
        <v>328</v>
      </c>
      <c r="DI234" s="15"/>
      <c r="DJ234" s="15"/>
      <c r="DK234" s="15"/>
      <c r="DL234" s="15"/>
      <c r="DM234" s="15"/>
      <c r="DN234" s="15" t="s">
        <v>411</v>
      </c>
      <c r="DO234" s="15" t="s">
        <v>328</v>
      </c>
      <c r="DP234" s="15"/>
      <c r="DQ234" s="15"/>
      <c r="DR234" s="15"/>
      <c r="DS234" s="15"/>
      <c r="DT234" s="15"/>
      <c r="DU234" s="15"/>
      <c r="DV234" s="15" t="s">
        <v>497</v>
      </c>
      <c r="DW234" s="15" t="s">
        <v>328</v>
      </c>
      <c r="DX234" s="15"/>
      <c r="DY234" s="15"/>
      <c r="DZ234" s="15"/>
      <c r="EA234" s="15"/>
      <c r="EB234" s="15"/>
      <c r="EC234" s="102" t="s">
        <v>497</v>
      </c>
      <c r="ED234" s="99"/>
    </row>
    <row r="235" spans="1:134" x14ac:dyDescent="0.25">
      <c r="A235" s="51" t="s">
        <v>1856</v>
      </c>
      <c r="B235" s="61" t="s">
        <v>1050</v>
      </c>
      <c r="C235" s="15" t="s">
        <v>328</v>
      </c>
      <c r="D235" s="15"/>
      <c r="E235" s="15">
        <v>47</v>
      </c>
      <c r="F235" s="15" t="s">
        <v>329</v>
      </c>
      <c r="G235" s="15" t="s">
        <v>330</v>
      </c>
      <c r="H235" s="15" t="s">
        <v>1051</v>
      </c>
      <c r="I235" s="15" t="s">
        <v>1199</v>
      </c>
      <c r="J235" s="15" t="s">
        <v>1281</v>
      </c>
      <c r="K235" s="15">
        <v>25</v>
      </c>
      <c r="L235" s="15">
        <v>1</v>
      </c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>
        <v>1</v>
      </c>
      <c r="Y235" s="14"/>
      <c r="Z235" s="15" t="s">
        <v>328</v>
      </c>
      <c r="AA235" s="15"/>
      <c r="AB235" s="15"/>
      <c r="AC235" s="15"/>
      <c r="AD235" s="15"/>
      <c r="AE235" s="15" t="s">
        <v>328</v>
      </c>
      <c r="AF235" s="15"/>
      <c r="AG235" s="15"/>
      <c r="AH235" s="15"/>
      <c r="AI235" s="15"/>
      <c r="AJ235" s="15"/>
      <c r="AK235" s="15" t="s">
        <v>328</v>
      </c>
      <c r="AL235" s="15"/>
      <c r="AM235" s="15" t="s">
        <v>328</v>
      </c>
      <c r="AN235" s="15"/>
      <c r="AO235" s="15"/>
      <c r="AP235" s="15">
        <v>0</v>
      </c>
      <c r="AQ235" s="15">
        <v>0</v>
      </c>
      <c r="AR235" s="15"/>
      <c r="AS235" s="15" t="s">
        <v>328</v>
      </c>
      <c r="AT235" s="15"/>
      <c r="AU235" s="15"/>
      <c r="AV235" s="15">
        <v>3</v>
      </c>
      <c r="AW235" s="15">
        <v>2</v>
      </c>
      <c r="AX235" s="15">
        <v>1</v>
      </c>
      <c r="AY235" s="15"/>
      <c r="AZ235" s="15" t="s">
        <v>328</v>
      </c>
      <c r="BA235" s="15"/>
      <c r="BB235" s="15" t="s">
        <v>328</v>
      </c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 t="s">
        <v>328</v>
      </c>
      <c r="BN235" s="15"/>
      <c r="BO235" s="15" t="s">
        <v>328</v>
      </c>
      <c r="BP235" s="15" t="s">
        <v>328</v>
      </c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 t="s">
        <v>328</v>
      </c>
      <c r="CF235" s="15"/>
      <c r="CG235" s="15"/>
      <c r="CH235" s="15"/>
      <c r="CI235" s="15" t="s">
        <v>328</v>
      </c>
      <c r="CJ235" s="15"/>
      <c r="CK235" s="15"/>
      <c r="CL235" s="15">
        <v>3</v>
      </c>
      <c r="CM235" s="15">
        <v>1</v>
      </c>
      <c r="CN235" s="15">
        <v>2</v>
      </c>
      <c r="CO235" s="15">
        <v>6</v>
      </c>
      <c r="CP235" s="15">
        <v>5</v>
      </c>
      <c r="CQ235" s="15">
        <v>4</v>
      </c>
      <c r="CR235" s="15"/>
      <c r="CS235" s="15"/>
      <c r="CT235" s="15"/>
      <c r="CU235" s="15"/>
      <c r="CV235" s="15"/>
      <c r="CW235" s="15"/>
      <c r="CX235" s="15" t="s">
        <v>332</v>
      </c>
      <c r="CY235" s="15"/>
      <c r="CZ235" s="15"/>
      <c r="DA235" s="15">
        <v>1</v>
      </c>
      <c r="DB235" s="15">
        <v>3</v>
      </c>
      <c r="DC235" s="15">
        <v>4</v>
      </c>
      <c r="DD235" s="15">
        <v>5</v>
      </c>
      <c r="DE235" s="15">
        <v>2</v>
      </c>
      <c r="DF235" s="15">
        <v>6</v>
      </c>
      <c r="DG235" s="15"/>
      <c r="DH235" s="15" t="s">
        <v>328</v>
      </c>
      <c r="DI235" s="15"/>
      <c r="DJ235" s="15"/>
      <c r="DK235" s="15"/>
      <c r="DL235" s="15"/>
      <c r="DM235" s="15"/>
      <c r="DN235" s="14" t="s">
        <v>1146</v>
      </c>
      <c r="DO235" s="15" t="s">
        <v>328</v>
      </c>
      <c r="DP235" s="15"/>
      <c r="DQ235" s="15"/>
      <c r="DR235" s="15"/>
      <c r="DS235" s="15"/>
      <c r="DT235" s="15"/>
      <c r="DU235" s="15"/>
      <c r="DV235" s="15" t="s">
        <v>1152</v>
      </c>
      <c r="DW235" s="15" t="s">
        <v>328</v>
      </c>
      <c r="DX235" s="15"/>
      <c r="DY235" s="15"/>
      <c r="DZ235" s="15"/>
      <c r="EA235" s="15"/>
      <c r="EB235" s="15"/>
      <c r="EC235" s="102" t="s">
        <v>1152</v>
      </c>
      <c r="ED235" s="99"/>
    </row>
    <row r="236" spans="1:134" x14ac:dyDescent="0.25">
      <c r="A236" s="51" t="s">
        <v>1856</v>
      </c>
      <c r="B236" s="61" t="s">
        <v>1052</v>
      </c>
      <c r="C236" s="15" t="s">
        <v>328</v>
      </c>
      <c r="D236" s="15"/>
      <c r="E236" s="15">
        <v>53</v>
      </c>
      <c r="F236" s="15" t="s">
        <v>329</v>
      </c>
      <c r="G236" s="15" t="s">
        <v>353</v>
      </c>
      <c r="H236" s="15" t="s">
        <v>1053</v>
      </c>
      <c r="I236" s="15" t="s">
        <v>1300</v>
      </c>
      <c r="J236" s="15" t="s">
        <v>1301</v>
      </c>
      <c r="K236" s="15">
        <v>30</v>
      </c>
      <c r="L236" s="15">
        <v>1</v>
      </c>
      <c r="M236" s="15"/>
      <c r="N236" s="15">
        <v>1</v>
      </c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 t="s">
        <v>328</v>
      </c>
      <c r="AA236" s="15"/>
      <c r="AB236" s="15"/>
      <c r="AC236" s="15"/>
      <c r="AD236" s="15"/>
      <c r="AE236" s="15"/>
      <c r="AF236" s="15"/>
      <c r="AG236" s="15" t="s">
        <v>328</v>
      </c>
      <c r="AH236" s="15"/>
      <c r="AI236" s="15"/>
      <c r="AJ236" s="15"/>
      <c r="AK236" s="15" t="s">
        <v>328</v>
      </c>
      <c r="AL236" s="15"/>
      <c r="AM236" s="15"/>
      <c r="AN236" s="15" t="s">
        <v>328</v>
      </c>
      <c r="AO236" s="15"/>
      <c r="AP236" s="15">
        <v>0</v>
      </c>
      <c r="AQ236" s="15">
        <v>0</v>
      </c>
      <c r="AR236" s="15"/>
      <c r="AS236" s="15" t="s">
        <v>328</v>
      </c>
      <c r="AT236" s="15"/>
      <c r="AU236" s="15"/>
      <c r="AV236" s="15">
        <v>3</v>
      </c>
      <c r="AW236" s="15">
        <v>2</v>
      </c>
      <c r="AX236" s="15">
        <v>1</v>
      </c>
      <c r="AY236" s="15"/>
      <c r="AZ236" s="15" t="s">
        <v>328</v>
      </c>
      <c r="BA236" s="15"/>
      <c r="BB236" s="15" t="s">
        <v>328</v>
      </c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 t="s">
        <v>328</v>
      </c>
      <c r="BN236" s="15" t="s">
        <v>328</v>
      </c>
      <c r="BO236" s="15"/>
      <c r="BP236" s="15"/>
      <c r="BQ236" s="15" t="s">
        <v>328</v>
      </c>
      <c r="BR236" s="15"/>
      <c r="BS236" s="15"/>
      <c r="BT236" s="15"/>
      <c r="BU236" s="15" t="s">
        <v>328</v>
      </c>
      <c r="BV236" s="15"/>
      <c r="BW236" s="15"/>
      <c r="BX236" s="15"/>
      <c r="BY236" s="15"/>
      <c r="BZ236" s="15"/>
      <c r="CA236" s="15"/>
      <c r="CB236" s="15" t="s">
        <v>328</v>
      </c>
      <c r="CC236" s="15"/>
      <c r="CD236" s="15"/>
      <c r="CE236" s="15" t="s">
        <v>328</v>
      </c>
      <c r="CF236" s="15"/>
      <c r="CG236" s="15" t="s">
        <v>328</v>
      </c>
      <c r="CH236" s="15"/>
      <c r="CI236" s="15"/>
      <c r="CJ236" s="15"/>
      <c r="CK236" s="15"/>
      <c r="CL236" s="15">
        <v>5</v>
      </c>
      <c r="CM236" s="15">
        <v>1</v>
      </c>
      <c r="CN236" s="15">
        <v>4</v>
      </c>
      <c r="CO236" s="15">
        <v>2</v>
      </c>
      <c r="CP236" s="15">
        <v>3</v>
      </c>
      <c r="CQ236" s="15">
        <v>6</v>
      </c>
      <c r="CR236" s="15"/>
      <c r="CS236" s="15"/>
      <c r="CT236" s="15"/>
      <c r="CU236" s="15"/>
      <c r="CV236" s="15" t="s">
        <v>328</v>
      </c>
      <c r="CW236" s="15"/>
      <c r="CX236" s="15"/>
      <c r="CY236" s="15"/>
      <c r="CZ236" s="15"/>
      <c r="DA236" s="15">
        <v>1</v>
      </c>
      <c r="DB236" s="15">
        <v>2</v>
      </c>
      <c r="DC236" s="15">
        <v>3</v>
      </c>
      <c r="DD236" s="15">
        <v>6</v>
      </c>
      <c r="DE236" s="15">
        <v>5</v>
      </c>
      <c r="DF236" s="15">
        <v>4</v>
      </c>
      <c r="DG236" s="15"/>
      <c r="DH236" s="15" t="s">
        <v>328</v>
      </c>
      <c r="DI236" s="15"/>
      <c r="DJ236" s="15"/>
      <c r="DK236" s="15"/>
      <c r="DL236" s="15"/>
      <c r="DM236" s="15"/>
      <c r="DN236" s="14" t="s">
        <v>1145</v>
      </c>
      <c r="DO236" s="15"/>
      <c r="DP236" s="15" t="s">
        <v>328</v>
      </c>
      <c r="DQ236" s="15" t="s">
        <v>328</v>
      </c>
      <c r="DR236" s="15" t="s">
        <v>397</v>
      </c>
      <c r="DS236" s="15"/>
      <c r="DT236" s="15"/>
      <c r="DU236" s="15"/>
      <c r="DV236" s="15" t="s">
        <v>1145</v>
      </c>
      <c r="DW236" s="15" t="s">
        <v>328</v>
      </c>
      <c r="DX236" s="15"/>
      <c r="DY236" s="15"/>
      <c r="DZ236" s="15"/>
      <c r="EA236" s="15"/>
      <c r="EB236" s="15"/>
      <c r="EC236" s="102" t="s">
        <v>1145</v>
      </c>
      <c r="ED236" s="99"/>
    </row>
    <row r="237" spans="1:134" x14ac:dyDescent="0.25">
      <c r="A237" s="51" t="s">
        <v>1856</v>
      </c>
      <c r="B237" s="61" t="s">
        <v>1054</v>
      </c>
      <c r="C237" s="15" t="s">
        <v>328</v>
      </c>
      <c r="D237" s="15"/>
      <c r="E237" s="15">
        <v>45</v>
      </c>
      <c r="F237" s="15" t="s">
        <v>329</v>
      </c>
      <c r="G237" s="15" t="s">
        <v>357</v>
      </c>
      <c r="H237" s="15" t="s">
        <v>1047</v>
      </c>
      <c r="I237" s="15" t="s">
        <v>1298</v>
      </c>
      <c r="J237" s="15" t="s">
        <v>1289</v>
      </c>
      <c r="K237" s="15">
        <v>7</v>
      </c>
      <c r="L237" s="15">
        <v>1</v>
      </c>
      <c r="M237" s="15"/>
      <c r="N237" s="15">
        <v>1</v>
      </c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 t="s">
        <v>328</v>
      </c>
      <c r="AA237" s="15"/>
      <c r="AB237" s="15"/>
      <c r="AC237" s="15"/>
      <c r="AD237" s="15"/>
      <c r="AE237" s="15"/>
      <c r="AF237" s="15"/>
      <c r="AG237" s="15" t="s">
        <v>328</v>
      </c>
      <c r="AH237" s="15"/>
      <c r="AI237" s="15"/>
      <c r="AJ237" s="15"/>
      <c r="AK237" s="15" t="s">
        <v>328</v>
      </c>
      <c r="AL237" s="15"/>
      <c r="AM237" s="15" t="s">
        <v>328</v>
      </c>
      <c r="AN237" s="15"/>
      <c r="AO237" s="15"/>
      <c r="AP237" s="15">
        <v>0</v>
      </c>
      <c r="AQ237" s="15">
        <v>0</v>
      </c>
      <c r="AR237" s="15"/>
      <c r="AS237" s="15" t="s">
        <v>328</v>
      </c>
      <c r="AT237" s="15"/>
      <c r="AU237" s="15"/>
      <c r="AV237" s="15">
        <v>1</v>
      </c>
      <c r="AW237" s="15">
        <v>2</v>
      </c>
      <c r="AX237" s="15">
        <v>3</v>
      </c>
      <c r="AY237" s="15"/>
      <c r="AZ237" s="15" t="s">
        <v>328</v>
      </c>
      <c r="BA237" s="15"/>
      <c r="BB237" s="15" t="s">
        <v>328</v>
      </c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 t="s">
        <v>328</v>
      </c>
      <c r="BN237" s="15"/>
      <c r="BO237" s="15" t="s">
        <v>328</v>
      </c>
      <c r="BP237" s="15" t="s">
        <v>328</v>
      </c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 t="s">
        <v>328</v>
      </c>
      <c r="CE237" s="15"/>
      <c r="CF237" s="15"/>
      <c r="CG237" s="15" t="s">
        <v>328</v>
      </c>
      <c r="CH237" s="15"/>
      <c r="CI237" s="15"/>
      <c r="CJ237" s="15"/>
      <c r="CK237" s="15"/>
      <c r="CL237" s="15">
        <v>1</v>
      </c>
      <c r="CM237" s="15">
        <v>5</v>
      </c>
      <c r="CN237" s="15">
        <v>6</v>
      </c>
      <c r="CO237" s="15">
        <v>3</v>
      </c>
      <c r="CP237" s="15">
        <v>4</v>
      </c>
      <c r="CQ237" s="15">
        <v>2</v>
      </c>
      <c r="CR237" s="15"/>
      <c r="CS237" s="15"/>
      <c r="CT237" s="15"/>
      <c r="CU237" s="15"/>
      <c r="CV237" s="15" t="s">
        <v>328</v>
      </c>
      <c r="CW237" s="15"/>
      <c r="CX237" s="15"/>
      <c r="CY237" s="15"/>
      <c r="CZ237" s="15"/>
      <c r="DA237" s="15">
        <v>1</v>
      </c>
      <c r="DB237" s="15">
        <v>2</v>
      </c>
      <c r="DC237" s="15">
        <v>3</v>
      </c>
      <c r="DD237" s="15">
        <v>4</v>
      </c>
      <c r="DE237" s="15">
        <v>5</v>
      </c>
      <c r="DF237" s="15">
        <v>6</v>
      </c>
      <c r="DG237" s="15"/>
      <c r="DH237" s="15" t="s">
        <v>328</v>
      </c>
      <c r="DI237" s="15"/>
      <c r="DJ237" s="15"/>
      <c r="DK237" s="15"/>
      <c r="DL237" s="15"/>
      <c r="DM237" s="15"/>
      <c r="DN237" s="15" t="s">
        <v>411</v>
      </c>
      <c r="DO237" s="15" t="s">
        <v>328</v>
      </c>
      <c r="DP237" s="15"/>
      <c r="DQ237" s="15"/>
      <c r="DR237" s="15"/>
      <c r="DS237" s="15"/>
      <c r="DT237" s="15"/>
      <c r="DU237" s="15"/>
      <c r="DV237" s="15" t="s">
        <v>497</v>
      </c>
      <c r="DW237" s="15" t="s">
        <v>328</v>
      </c>
      <c r="DX237" s="15"/>
      <c r="DY237" s="15"/>
      <c r="DZ237" s="15"/>
      <c r="EA237" s="15"/>
      <c r="EB237" s="15"/>
      <c r="EC237" s="102" t="s">
        <v>497</v>
      </c>
      <c r="ED237" s="99"/>
    </row>
    <row r="238" spans="1:134" x14ac:dyDescent="0.25">
      <c r="A238" s="51" t="s">
        <v>1856</v>
      </c>
      <c r="B238" s="61" t="s">
        <v>1055</v>
      </c>
      <c r="C238" s="15" t="s">
        <v>328</v>
      </c>
      <c r="D238" s="15"/>
      <c r="E238" s="15">
        <v>55</v>
      </c>
      <c r="F238" s="15" t="s">
        <v>329</v>
      </c>
      <c r="G238" s="15" t="s">
        <v>353</v>
      </c>
      <c r="H238" s="15" t="s">
        <v>1056</v>
      </c>
      <c r="I238" s="15" t="s">
        <v>1266</v>
      </c>
      <c r="J238" s="14" t="s">
        <v>1335</v>
      </c>
      <c r="K238" s="15">
        <v>35</v>
      </c>
      <c r="L238" s="15">
        <v>2</v>
      </c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>
        <v>2</v>
      </c>
      <c r="Y238" s="14"/>
      <c r="Z238" s="15" t="s">
        <v>328</v>
      </c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 t="s">
        <v>328</v>
      </c>
      <c r="AL238" s="15"/>
      <c r="AM238" s="15" t="s">
        <v>328</v>
      </c>
      <c r="AN238" s="15" t="s">
        <v>328</v>
      </c>
      <c r="AO238" s="15"/>
      <c r="AP238" s="15">
        <v>10</v>
      </c>
      <c r="AQ238" s="15">
        <v>1</v>
      </c>
      <c r="AR238" s="15"/>
      <c r="AS238" s="15" t="s">
        <v>328</v>
      </c>
      <c r="AT238" s="15"/>
      <c r="AU238" s="15"/>
      <c r="AV238" s="15">
        <v>1</v>
      </c>
      <c r="AW238" s="15">
        <v>3</v>
      </c>
      <c r="AX238" s="15">
        <v>2</v>
      </c>
      <c r="AY238" s="15"/>
      <c r="AZ238" s="15" t="s">
        <v>328</v>
      </c>
      <c r="BA238" s="15"/>
      <c r="BB238" s="15" t="s">
        <v>328</v>
      </c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 t="s">
        <v>328</v>
      </c>
      <c r="BN238" s="15"/>
      <c r="BO238" s="15" t="s">
        <v>328</v>
      </c>
      <c r="BP238" s="15"/>
      <c r="BQ238" s="15" t="s">
        <v>328</v>
      </c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 t="s">
        <v>328</v>
      </c>
      <c r="CC238" s="15"/>
      <c r="CD238" s="15" t="s">
        <v>328</v>
      </c>
      <c r="CE238" s="15"/>
      <c r="CF238" s="15"/>
      <c r="CG238" s="15"/>
      <c r="CH238" s="15" t="s">
        <v>328</v>
      </c>
      <c r="CI238" s="15"/>
      <c r="CJ238" s="15"/>
      <c r="CK238" s="15"/>
      <c r="CL238" s="15">
        <v>6</v>
      </c>
      <c r="CM238" s="15">
        <v>1</v>
      </c>
      <c r="CN238" s="15">
        <v>2</v>
      </c>
      <c r="CO238" s="15">
        <v>4</v>
      </c>
      <c r="CP238" s="15">
        <v>3</v>
      </c>
      <c r="CQ238" s="15">
        <v>5</v>
      </c>
      <c r="CR238" s="15"/>
      <c r="CS238" s="15"/>
      <c r="CT238" s="15"/>
      <c r="CU238" s="15"/>
      <c r="CV238" s="15"/>
      <c r="CW238" s="15"/>
      <c r="CX238" s="15" t="s">
        <v>332</v>
      </c>
      <c r="CY238" s="15"/>
      <c r="CZ238" s="15"/>
      <c r="DA238" s="15">
        <v>1</v>
      </c>
      <c r="DB238" s="15">
        <v>3</v>
      </c>
      <c r="DC238" s="15">
        <v>4</v>
      </c>
      <c r="DD238" s="15">
        <v>5</v>
      </c>
      <c r="DE238" s="15">
        <v>2</v>
      </c>
      <c r="DF238" s="15">
        <v>6</v>
      </c>
      <c r="DG238" s="15"/>
      <c r="DH238" s="15" t="s">
        <v>328</v>
      </c>
      <c r="DI238" s="15"/>
      <c r="DJ238" s="15"/>
      <c r="DK238" s="15"/>
      <c r="DL238" s="15"/>
      <c r="DM238" s="15"/>
      <c r="DN238" s="14" t="s">
        <v>333</v>
      </c>
      <c r="DO238" s="15" t="s">
        <v>328</v>
      </c>
      <c r="DP238" s="15"/>
      <c r="DQ238" s="15"/>
      <c r="DR238" s="15"/>
      <c r="DS238" s="15"/>
      <c r="DT238" s="15"/>
      <c r="DU238" s="15"/>
      <c r="DV238" s="15" t="s">
        <v>1155</v>
      </c>
      <c r="DW238" s="15" t="s">
        <v>328</v>
      </c>
      <c r="DX238" s="15"/>
      <c r="DY238" s="15"/>
      <c r="DZ238" s="15"/>
      <c r="EA238" s="15"/>
      <c r="EB238" s="15"/>
      <c r="EC238" s="102" t="s">
        <v>1155</v>
      </c>
      <c r="ED238" s="99"/>
    </row>
    <row r="239" spans="1:134" x14ac:dyDescent="0.25">
      <c r="A239" s="51" t="s">
        <v>1856</v>
      </c>
      <c r="B239" s="61" t="s">
        <v>1057</v>
      </c>
      <c r="C239" s="15" t="s">
        <v>328</v>
      </c>
      <c r="D239" s="15"/>
      <c r="E239" s="15">
        <v>61</v>
      </c>
      <c r="F239" s="15" t="s">
        <v>329</v>
      </c>
      <c r="G239" s="15" t="s">
        <v>584</v>
      </c>
      <c r="H239" s="15" t="s">
        <v>1058</v>
      </c>
      <c r="I239" s="15" t="s">
        <v>1302</v>
      </c>
      <c r="J239" s="15" t="s">
        <v>1293</v>
      </c>
      <c r="K239" s="15">
        <v>40</v>
      </c>
      <c r="L239" s="15">
        <v>1</v>
      </c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>
        <v>1</v>
      </c>
      <c r="Y239" s="14"/>
      <c r="Z239" s="15" t="s">
        <v>328</v>
      </c>
      <c r="AA239" s="15"/>
      <c r="AB239" s="15"/>
      <c r="AC239" s="15"/>
      <c r="AD239" s="15"/>
      <c r="AE239" s="15" t="s">
        <v>328</v>
      </c>
      <c r="AF239" s="15"/>
      <c r="AG239" s="15"/>
      <c r="AH239" s="15"/>
      <c r="AI239" s="15"/>
      <c r="AJ239" s="15"/>
      <c r="AK239" s="15" t="s">
        <v>328</v>
      </c>
      <c r="AL239" s="15"/>
      <c r="AM239" s="15" t="s">
        <v>328</v>
      </c>
      <c r="AN239" s="15"/>
      <c r="AO239" s="15"/>
      <c r="AP239" s="15">
        <v>0</v>
      </c>
      <c r="AQ239" s="15">
        <v>0</v>
      </c>
      <c r="AR239" s="15"/>
      <c r="AS239" s="15" t="s">
        <v>328</v>
      </c>
      <c r="AT239" s="15"/>
      <c r="AU239" s="15"/>
      <c r="AV239" s="15">
        <v>2</v>
      </c>
      <c r="AW239" s="15">
        <v>3</v>
      </c>
      <c r="AX239" s="15">
        <v>1</v>
      </c>
      <c r="AY239" s="15"/>
      <c r="AZ239" s="15" t="s">
        <v>328</v>
      </c>
      <c r="BA239" s="15"/>
      <c r="BB239" s="15" t="s">
        <v>328</v>
      </c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 t="s">
        <v>328</v>
      </c>
      <c r="BN239" s="15"/>
      <c r="BO239" s="15" t="s">
        <v>328</v>
      </c>
      <c r="BP239" s="15" t="s">
        <v>328</v>
      </c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 t="s">
        <v>328</v>
      </c>
      <c r="CC239" s="15" t="s">
        <v>328</v>
      </c>
      <c r="CD239" s="15" t="s">
        <v>328</v>
      </c>
      <c r="CE239" s="15"/>
      <c r="CF239" s="15"/>
      <c r="CG239" s="15"/>
      <c r="CH239" s="15" t="s">
        <v>328</v>
      </c>
      <c r="CI239" s="15"/>
      <c r="CJ239" s="15"/>
      <c r="CK239" s="15"/>
      <c r="CL239" s="15">
        <v>5</v>
      </c>
      <c r="CM239" s="15">
        <v>3</v>
      </c>
      <c r="CN239" s="15">
        <v>4</v>
      </c>
      <c r="CO239" s="15">
        <v>1</v>
      </c>
      <c r="CP239" s="15">
        <v>2</v>
      </c>
      <c r="CQ239" s="15">
        <v>6</v>
      </c>
      <c r="CR239" s="15"/>
      <c r="CS239" s="15"/>
      <c r="CT239" s="15"/>
      <c r="CU239" s="15"/>
      <c r="CV239" s="15"/>
      <c r="CW239" s="15"/>
      <c r="CX239" s="15" t="s">
        <v>332</v>
      </c>
      <c r="CY239" s="15"/>
      <c r="CZ239" s="15"/>
      <c r="DA239" s="15">
        <v>1</v>
      </c>
      <c r="DB239" s="15">
        <v>3</v>
      </c>
      <c r="DC239" s="15">
        <v>4</v>
      </c>
      <c r="DD239" s="15">
        <v>5</v>
      </c>
      <c r="DE239" s="15">
        <v>2</v>
      </c>
      <c r="DF239" s="15">
        <v>6</v>
      </c>
      <c r="DG239" s="15"/>
      <c r="DH239" s="15" t="s">
        <v>328</v>
      </c>
      <c r="DI239" s="15"/>
      <c r="DJ239" s="15"/>
      <c r="DK239" s="15"/>
      <c r="DL239" s="15"/>
      <c r="DM239" s="15"/>
      <c r="DN239" s="14" t="s">
        <v>1146</v>
      </c>
      <c r="DO239" s="15" t="s">
        <v>328</v>
      </c>
      <c r="DP239" s="15"/>
      <c r="DQ239" s="15"/>
      <c r="DR239" s="15"/>
      <c r="DS239" s="15"/>
      <c r="DT239" s="15"/>
      <c r="DU239" s="15"/>
      <c r="DV239" s="15" t="s">
        <v>1294</v>
      </c>
      <c r="DW239" s="15" t="s">
        <v>328</v>
      </c>
      <c r="DX239" s="15"/>
      <c r="DY239" s="15"/>
      <c r="DZ239" s="15"/>
      <c r="EA239" s="15"/>
      <c r="EB239" s="15"/>
      <c r="EC239" s="102" t="s">
        <v>1294</v>
      </c>
      <c r="ED239" s="99"/>
    </row>
    <row r="240" spans="1:134" x14ac:dyDescent="0.25">
      <c r="A240" s="51" t="s">
        <v>1856</v>
      </c>
      <c r="B240" s="61" t="s">
        <v>1059</v>
      </c>
      <c r="C240" s="15" t="s">
        <v>328</v>
      </c>
      <c r="D240" s="15"/>
      <c r="E240" s="15">
        <v>49</v>
      </c>
      <c r="F240" s="15" t="s">
        <v>329</v>
      </c>
      <c r="G240" s="15" t="s">
        <v>330</v>
      </c>
      <c r="H240" s="15" t="s">
        <v>1060</v>
      </c>
      <c r="I240" s="15" t="s">
        <v>1303</v>
      </c>
      <c r="J240" s="15" t="s">
        <v>1280</v>
      </c>
      <c r="K240" s="15">
        <v>0</v>
      </c>
      <c r="L240" s="15">
        <v>1</v>
      </c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>
        <v>1</v>
      </c>
      <c r="Y240" s="14"/>
      <c r="Z240" s="15" t="s">
        <v>328</v>
      </c>
      <c r="AA240" s="15" t="s">
        <v>328</v>
      </c>
      <c r="AB240" s="15"/>
      <c r="AC240" s="15"/>
      <c r="AD240" s="15"/>
      <c r="AE240" s="15" t="s">
        <v>328</v>
      </c>
      <c r="AF240" s="15"/>
      <c r="AG240" s="15"/>
      <c r="AH240" s="15"/>
      <c r="AI240" s="15"/>
      <c r="AJ240" s="15"/>
      <c r="AK240" s="15" t="s">
        <v>328</v>
      </c>
      <c r="AL240" s="15"/>
      <c r="AM240" s="15" t="s">
        <v>328</v>
      </c>
      <c r="AN240" s="15"/>
      <c r="AO240" s="15"/>
      <c r="AP240" s="15">
        <v>0</v>
      </c>
      <c r="AQ240" s="15">
        <v>0</v>
      </c>
      <c r="AR240" s="15"/>
      <c r="AS240" s="15" t="s">
        <v>328</v>
      </c>
      <c r="AT240" s="15"/>
      <c r="AU240" s="15"/>
      <c r="AV240" s="15">
        <v>1</v>
      </c>
      <c r="AW240" s="15">
        <v>2</v>
      </c>
      <c r="AX240" s="15">
        <v>3</v>
      </c>
      <c r="AY240" s="15"/>
      <c r="AZ240" s="15" t="s">
        <v>328</v>
      </c>
      <c r="BA240" s="15"/>
      <c r="BB240" s="15" t="s">
        <v>328</v>
      </c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 t="s">
        <v>328</v>
      </c>
      <c r="BN240" s="15" t="s">
        <v>328</v>
      </c>
      <c r="BO240" s="15"/>
      <c r="BP240" s="15" t="s">
        <v>328</v>
      </c>
      <c r="BQ240" s="15" t="s">
        <v>328</v>
      </c>
      <c r="BR240" s="15"/>
      <c r="BS240" s="15"/>
      <c r="BT240" s="15"/>
      <c r="BU240" s="15" t="s">
        <v>328</v>
      </c>
      <c r="BV240" s="15"/>
      <c r="BW240" s="15"/>
      <c r="BX240" s="15"/>
      <c r="BY240" s="15"/>
      <c r="BZ240" s="15" t="s">
        <v>328</v>
      </c>
      <c r="CA240" s="15"/>
      <c r="CB240" s="15" t="s">
        <v>328</v>
      </c>
      <c r="CC240" s="15"/>
      <c r="CD240" s="15"/>
      <c r="CE240" s="15"/>
      <c r="CF240" s="15"/>
      <c r="CG240" s="15" t="s">
        <v>328</v>
      </c>
      <c r="CH240" s="15"/>
      <c r="CI240" s="15"/>
      <c r="CJ240" s="15"/>
      <c r="CK240" s="15"/>
      <c r="CL240" s="15">
        <v>5</v>
      </c>
      <c r="CM240" s="15">
        <v>1</v>
      </c>
      <c r="CN240" s="15">
        <v>4</v>
      </c>
      <c r="CO240" s="15">
        <v>2</v>
      </c>
      <c r="CP240" s="15">
        <v>3</v>
      </c>
      <c r="CQ240" s="15">
        <v>6</v>
      </c>
      <c r="CR240" s="15"/>
      <c r="CS240" s="15"/>
      <c r="CT240" s="15"/>
      <c r="CU240" s="15"/>
      <c r="CV240" s="15" t="s">
        <v>328</v>
      </c>
      <c r="CW240" s="15"/>
      <c r="CX240" s="15"/>
      <c r="CY240" s="15"/>
      <c r="CZ240" s="15"/>
      <c r="DA240" s="15">
        <v>1</v>
      </c>
      <c r="DB240" s="15">
        <v>2</v>
      </c>
      <c r="DC240" s="15">
        <v>3</v>
      </c>
      <c r="DD240" s="15">
        <v>4</v>
      </c>
      <c r="DE240" s="15">
        <v>5</v>
      </c>
      <c r="DF240" s="15">
        <v>6</v>
      </c>
      <c r="DG240" s="15"/>
      <c r="DH240" s="15" t="s">
        <v>328</v>
      </c>
      <c r="DI240" s="15"/>
      <c r="DJ240" s="15"/>
      <c r="DK240" s="15"/>
      <c r="DL240" s="15"/>
      <c r="DM240" s="15"/>
      <c r="DN240" s="14" t="s">
        <v>1146</v>
      </c>
      <c r="DO240" s="15"/>
      <c r="DP240" s="15" t="s">
        <v>328</v>
      </c>
      <c r="DQ240" s="15"/>
      <c r="DR240" s="15"/>
      <c r="DS240" s="15" t="s">
        <v>328</v>
      </c>
      <c r="DT240" s="15" t="s">
        <v>680</v>
      </c>
      <c r="DU240" s="15" t="s">
        <v>1061</v>
      </c>
      <c r="DV240" s="15" t="s">
        <v>1062</v>
      </c>
      <c r="DW240" s="15" t="s">
        <v>328</v>
      </c>
      <c r="DX240" s="15"/>
      <c r="DY240" s="15"/>
      <c r="DZ240" s="15"/>
      <c r="EA240" s="15"/>
      <c r="EB240" s="15"/>
      <c r="EC240" s="102" t="s">
        <v>450</v>
      </c>
      <c r="ED240" s="99"/>
    </row>
    <row r="241" spans="1:134" x14ac:dyDescent="0.25">
      <c r="A241" s="51" t="s">
        <v>1856</v>
      </c>
      <c r="B241" s="61" t="s">
        <v>1063</v>
      </c>
      <c r="C241" s="15" t="s">
        <v>328</v>
      </c>
      <c r="D241" s="15"/>
      <c r="E241" s="15">
        <v>42</v>
      </c>
      <c r="F241" s="15" t="s">
        <v>329</v>
      </c>
      <c r="G241" s="15" t="s">
        <v>357</v>
      </c>
      <c r="H241" s="15" t="s">
        <v>1064</v>
      </c>
      <c r="I241" s="15" t="s">
        <v>1273</v>
      </c>
      <c r="J241" s="15" t="s">
        <v>1293</v>
      </c>
      <c r="K241" s="15">
        <v>0</v>
      </c>
      <c r="L241" s="15">
        <v>1</v>
      </c>
      <c r="M241" s="15">
        <v>1</v>
      </c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 t="s">
        <v>328</v>
      </c>
      <c r="AB241" s="15"/>
      <c r="AC241" s="15" t="s">
        <v>328</v>
      </c>
      <c r="AD241" s="15"/>
      <c r="AE241" s="15" t="s">
        <v>328</v>
      </c>
      <c r="AF241" s="15"/>
      <c r="AG241" s="15"/>
      <c r="AH241" s="15"/>
      <c r="AI241" s="15"/>
      <c r="AJ241" s="15"/>
      <c r="AK241" s="15" t="s">
        <v>328</v>
      </c>
      <c r="AL241" s="15"/>
      <c r="AM241" s="15" t="s">
        <v>328</v>
      </c>
      <c r="AN241" s="15" t="s">
        <v>328</v>
      </c>
      <c r="AO241" s="15"/>
      <c r="AP241" s="15">
        <v>0</v>
      </c>
      <c r="AQ241" s="15">
        <v>0</v>
      </c>
      <c r="AR241" s="15"/>
      <c r="AS241" s="15" t="s">
        <v>328</v>
      </c>
      <c r="AT241" s="15"/>
      <c r="AU241" s="15"/>
      <c r="AV241" s="15">
        <v>2</v>
      </c>
      <c r="AW241" s="15">
        <v>1</v>
      </c>
      <c r="AX241" s="15">
        <v>3</v>
      </c>
      <c r="AY241" s="15"/>
      <c r="AZ241" s="15" t="s">
        <v>328</v>
      </c>
      <c r="BA241" s="15"/>
      <c r="BB241" s="15" t="s">
        <v>328</v>
      </c>
      <c r="BC241" s="15"/>
      <c r="BD241" s="15"/>
      <c r="BE241" s="15"/>
      <c r="BF241" s="15"/>
      <c r="BG241" s="15"/>
      <c r="BH241" s="15"/>
      <c r="BI241" s="15"/>
      <c r="BJ241" s="15"/>
      <c r="BK241" s="15"/>
      <c r="BL241" s="15" t="s">
        <v>328</v>
      </c>
      <c r="BM241" s="15"/>
      <c r="BN241" s="15" t="s">
        <v>328</v>
      </c>
      <c r="BO241" s="15"/>
      <c r="BP241" s="15"/>
      <c r="BQ241" s="15" t="s">
        <v>328</v>
      </c>
      <c r="BR241" s="15"/>
      <c r="BS241" s="15"/>
      <c r="BT241" s="15"/>
      <c r="BU241" s="15" t="s">
        <v>328</v>
      </c>
      <c r="BV241" s="15"/>
      <c r="BW241" s="15"/>
      <c r="BX241" s="15"/>
      <c r="BY241" s="15"/>
      <c r="BZ241" s="15" t="s">
        <v>328</v>
      </c>
      <c r="CA241" s="15" t="s">
        <v>328</v>
      </c>
      <c r="CB241" s="15" t="s">
        <v>328</v>
      </c>
      <c r="CC241" s="15"/>
      <c r="CD241" s="15"/>
      <c r="CE241" s="15"/>
      <c r="CF241" s="15"/>
      <c r="CG241" s="15" t="s">
        <v>328</v>
      </c>
      <c r="CH241" s="15"/>
      <c r="CI241" s="15"/>
      <c r="CJ241" s="15"/>
      <c r="CK241" s="15"/>
      <c r="CL241" s="15">
        <v>6</v>
      </c>
      <c r="CM241" s="15">
        <v>1</v>
      </c>
      <c r="CN241" s="15">
        <v>2</v>
      </c>
      <c r="CO241" s="15">
        <v>3</v>
      </c>
      <c r="CP241" s="15">
        <v>4</v>
      </c>
      <c r="CQ241" s="15">
        <v>5</v>
      </c>
      <c r="CR241" s="15"/>
      <c r="CS241" s="15" t="s">
        <v>328</v>
      </c>
      <c r="CT241" s="15" t="s">
        <v>328</v>
      </c>
      <c r="CU241" s="15"/>
      <c r="CV241" s="15"/>
      <c r="CW241" s="15"/>
      <c r="CX241" s="15"/>
      <c r="CY241" s="15"/>
      <c r="CZ241" s="15"/>
      <c r="DA241" s="15">
        <v>1</v>
      </c>
      <c r="DB241" s="15">
        <v>4</v>
      </c>
      <c r="DC241" s="15">
        <v>5</v>
      </c>
      <c r="DD241" s="15">
        <v>2</v>
      </c>
      <c r="DE241" s="15">
        <v>6</v>
      </c>
      <c r="DF241" s="15">
        <v>3</v>
      </c>
      <c r="DG241" s="15"/>
      <c r="DH241" s="15" t="s">
        <v>328</v>
      </c>
      <c r="DI241" s="15"/>
      <c r="DJ241" s="15"/>
      <c r="DK241" s="15"/>
      <c r="DL241" s="15"/>
      <c r="DM241" s="15"/>
      <c r="DN241" s="15" t="s">
        <v>411</v>
      </c>
      <c r="DO241" s="15"/>
      <c r="DP241" s="15" t="s">
        <v>328</v>
      </c>
      <c r="DQ241" s="15" t="s">
        <v>328</v>
      </c>
      <c r="DR241" s="15" t="s">
        <v>420</v>
      </c>
      <c r="DS241" s="15"/>
      <c r="DT241" s="15"/>
      <c r="DU241" s="15"/>
      <c r="DV241" s="15" t="s">
        <v>1327</v>
      </c>
      <c r="DW241" s="15" t="s">
        <v>328</v>
      </c>
      <c r="DX241" s="15"/>
      <c r="DY241" s="15"/>
      <c r="DZ241" s="15"/>
      <c r="EA241" s="15"/>
      <c r="EB241" s="15"/>
      <c r="EC241" s="102" t="s">
        <v>1327</v>
      </c>
      <c r="ED241" s="99"/>
    </row>
    <row r="242" spans="1:134" x14ac:dyDescent="0.25">
      <c r="A242" s="51" t="s">
        <v>1856</v>
      </c>
      <c r="B242" s="61" t="s">
        <v>1065</v>
      </c>
      <c r="C242" s="15" t="s">
        <v>328</v>
      </c>
      <c r="D242" s="15"/>
      <c r="E242" s="15">
        <v>43</v>
      </c>
      <c r="F242" s="15" t="s">
        <v>329</v>
      </c>
      <c r="G242" s="15" t="s">
        <v>330</v>
      </c>
      <c r="H242" s="15" t="s">
        <v>1066</v>
      </c>
      <c r="I242" s="15" t="s">
        <v>1304</v>
      </c>
      <c r="J242" s="15" t="s">
        <v>1292</v>
      </c>
      <c r="K242" s="15">
        <v>20</v>
      </c>
      <c r="L242" s="15">
        <v>1</v>
      </c>
      <c r="M242" s="15">
        <v>1</v>
      </c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 t="s">
        <v>328</v>
      </c>
      <c r="AA242" s="15" t="s">
        <v>328</v>
      </c>
      <c r="AB242" s="15"/>
      <c r="AC242" s="15"/>
      <c r="AD242" s="15" t="s">
        <v>328</v>
      </c>
      <c r="AE242" s="15"/>
      <c r="AF242" s="15" t="s">
        <v>328</v>
      </c>
      <c r="AG242" s="15"/>
      <c r="AH242" s="15"/>
      <c r="AI242" s="15"/>
      <c r="AJ242" s="15"/>
      <c r="AK242" s="15" t="s">
        <v>328</v>
      </c>
      <c r="AL242" s="15"/>
      <c r="AM242" s="15" t="s">
        <v>328</v>
      </c>
      <c r="AN242" s="15" t="s">
        <v>328</v>
      </c>
      <c r="AO242" s="15"/>
      <c r="AP242" s="15">
        <v>8</v>
      </c>
      <c r="AQ242" s="15">
        <v>4</v>
      </c>
      <c r="AR242" s="15"/>
      <c r="AS242" s="15" t="s">
        <v>328</v>
      </c>
      <c r="AT242" s="15"/>
      <c r="AU242" s="15"/>
      <c r="AV242" s="15">
        <v>2</v>
      </c>
      <c r="AW242" s="15">
        <v>3</v>
      </c>
      <c r="AX242" s="15">
        <v>1</v>
      </c>
      <c r="AY242" s="15"/>
      <c r="AZ242" s="15" t="s">
        <v>328</v>
      </c>
      <c r="BA242" s="15"/>
      <c r="BB242" s="15" t="s">
        <v>328</v>
      </c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 t="s">
        <v>328</v>
      </c>
      <c r="BN242" s="15"/>
      <c r="BO242" s="15" t="s">
        <v>328</v>
      </c>
      <c r="BP242" s="15" t="s">
        <v>328</v>
      </c>
      <c r="BQ242" s="15"/>
      <c r="BR242" s="15"/>
      <c r="BS242" s="15"/>
      <c r="BT242" s="15"/>
      <c r="BU242" s="15" t="s">
        <v>328</v>
      </c>
      <c r="BV242" s="15"/>
      <c r="BW242" s="15"/>
      <c r="BX242" s="15"/>
      <c r="BY242" s="15"/>
      <c r="BZ242" s="15"/>
      <c r="CA242" s="15"/>
      <c r="CB242" s="15" t="s">
        <v>328</v>
      </c>
      <c r="CC242" s="15" t="s">
        <v>328</v>
      </c>
      <c r="CD242" s="15"/>
      <c r="CE242" s="15" t="s">
        <v>328</v>
      </c>
      <c r="CF242" s="15"/>
      <c r="CG242" s="15"/>
      <c r="CH242" s="15" t="s">
        <v>328</v>
      </c>
      <c r="CI242" s="15"/>
      <c r="CJ242" s="15"/>
      <c r="CK242" s="15"/>
      <c r="CL242" s="15">
        <v>3</v>
      </c>
      <c r="CM242" s="15">
        <v>1</v>
      </c>
      <c r="CN242" s="15">
        <v>2</v>
      </c>
      <c r="CO242" s="15">
        <v>6</v>
      </c>
      <c r="CP242" s="15">
        <v>5</v>
      </c>
      <c r="CQ242" s="15">
        <v>4</v>
      </c>
      <c r="CR242" s="15"/>
      <c r="CS242" s="15"/>
      <c r="CT242" s="15"/>
      <c r="CU242" s="15"/>
      <c r="CV242" s="15"/>
      <c r="CW242" s="15"/>
      <c r="CX242" s="15" t="s">
        <v>332</v>
      </c>
      <c r="CY242" s="15"/>
      <c r="CZ242" s="15"/>
      <c r="DA242" s="15">
        <v>1</v>
      </c>
      <c r="DB242" s="15">
        <v>3</v>
      </c>
      <c r="DC242" s="15">
        <v>4</v>
      </c>
      <c r="DD242" s="15">
        <v>5</v>
      </c>
      <c r="DE242" s="15">
        <v>2</v>
      </c>
      <c r="DF242" s="15">
        <v>6</v>
      </c>
      <c r="DG242" s="15"/>
      <c r="DH242" s="15" t="s">
        <v>328</v>
      </c>
      <c r="DI242" s="15"/>
      <c r="DJ242" s="15"/>
      <c r="DK242" s="15"/>
      <c r="DL242" s="15"/>
      <c r="DM242" s="15"/>
      <c r="DN242" s="14" t="s">
        <v>333</v>
      </c>
      <c r="DO242" s="15" t="s">
        <v>328</v>
      </c>
      <c r="DP242" s="15"/>
      <c r="DQ242" s="15"/>
      <c r="DR242" s="15"/>
      <c r="DS242" s="15"/>
      <c r="DT242" s="15"/>
      <c r="DU242" s="15"/>
      <c r="DV242" s="15" t="s">
        <v>1144</v>
      </c>
      <c r="DW242" s="15" t="s">
        <v>328</v>
      </c>
      <c r="DX242" s="15"/>
      <c r="DY242" s="15"/>
      <c r="DZ242" s="15"/>
      <c r="EA242" s="15"/>
      <c r="EB242" s="15"/>
      <c r="EC242" s="102" t="s">
        <v>1144</v>
      </c>
      <c r="ED242" s="48"/>
    </row>
    <row r="243" spans="1:134" x14ac:dyDescent="0.25">
      <c r="A243" s="51" t="s">
        <v>1856</v>
      </c>
      <c r="B243" s="61" t="s">
        <v>1067</v>
      </c>
      <c r="C243" s="15" t="s">
        <v>328</v>
      </c>
      <c r="D243" s="15"/>
      <c r="E243" s="15">
        <v>38</v>
      </c>
      <c r="F243" s="15" t="s">
        <v>329</v>
      </c>
      <c r="G243" s="15" t="s">
        <v>357</v>
      </c>
      <c r="H243" s="15" t="s">
        <v>1068</v>
      </c>
      <c r="I243" s="15" t="s">
        <v>1305</v>
      </c>
      <c r="J243" s="15" t="s">
        <v>1293</v>
      </c>
      <c r="K243" s="15">
        <v>6</v>
      </c>
      <c r="L243" s="15">
        <v>3</v>
      </c>
      <c r="M243" s="15">
        <v>3</v>
      </c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 t="s">
        <v>328</v>
      </c>
      <c r="AB243" s="15"/>
      <c r="AC243" s="15"/>
      <c r="AD243" s="15"/>
      <c r="AE243" s="15"/>
      <c r="AF243" s="15" t="s">
        <v>328</v>
      </c>
      <c r="AG243" s="15"/>
      <c r="AH243" s="15"/>
      <c r="AI243" s="15"/>
      <c r="AJ243" s="15" t="s">
        <v>328</v>
      </c>
      <c r="AK243" s="15"/>
      <c r="AL243" s="15"/>
      <c r="AM243" s="15"/>
      <c r="AN243" s="15" t="s">
        <v>328</v>
      </c>
      <c r="AO243" s="15"/>
      <c r="AP243" s="15">
        <v>5</v>
      </c>
      <c r="AQ243" s="15">
        <v>1</v>
      </c>
      <c r="AR243" s="15"/>
      <c r="AS243" s="15"/>
      <c r="AT243" s="15" t="s">
        <v>328</v>
      </c>
      <c r="AU243" s="15"/>
      <c r="AV243" s="15">
        <v>1</v>
      </c>
      <c r="AW243" s="15">
        <v>2</v>
      </c>
      <c r="AX243" s="15">
        <v>3</v>
      </c>
      <c r="AY243" s="15"/>
      <c r="AZ243" s="15" t="s">
        <v>328</v>
      </c>
      <c r="BA243" s="15"/>
      <c r="BB243" s="15"/>
      <c r="BC243" s="15"/>
      <c r="BD243" s="15"/>
      <c r="BE243" s="15" t="s">
        <v>328</v>
      </c>
      <c r="BF243" s="15"/>
      <c r="BG243" s="15"/>
      <c r="BH243" s="15"/>
      <c r="BI243" s="15"/>
      <c r="BJ243" s="15"/>
      <c r="BK243" s="15"/>
      <c r="BL243" s="15"/>
      <c r="BM243" s="15" t="s">
        <v>328</v>
      </c>
      <c r="BN243" s="15" t="s">
        <v>328</v>
      </c>
      <c r="BO243" s="15"/>
      <c r="BP243" s="15"/>
      <c r="BQ243" s="15"/>
      <c r="BR243" s="15"/>
      <c r="BS243" s="15"/>
      <c r="BT243" s="15" t="s">
        <v>328</v>
      </c>
      <c r="BU243" s="15"/>
      <c r="BV243" s="15"/>
      <c r="BW243" s="15"/>
      <c r="BX243" s="15"/>
      <c r="BY243" s="15"/>
      <c r="BZ243" s="15" t="s">
        <v>328</v>
      </c>
      <c r="CA243" s="15"/>
      <c r="CB243" s="15"/>
      <c r="CC243" s="15"/>
      <c r="CD243" s="15"/>
      <c r="CE243" s="15"/>
      <c r="CF243" s="15"/>
      <c r="CG243" s="15" t="s">
        <v>328</v>
      </c>
      <c r="CH243" s="15"/>
      <c r="CI243" s="15"/>
      <c r="CJ243" s="15"/>
      <c r="CK243" s="15"/>
      <c r="CL243" s="15">
        <v>3</v>
      </c>
      <c r="CM243" s="15">
        <v>2</v>
      </c>
      <c r="CN243" s="15">
        <v>1</v>
      </c>
      <c r="CO243" s="15">
        <v>6</v>
      </c>
      <c r="CP243" s="15">
        <v>4</v>
      </c>
      <c r="CQ243" s="15">
        <v>5</v>
      </c>
      <c r="CR243" s="15"/>
      <c r="CS243" s="15"/>
      <c r="CT243" s="15"/>
      <c r="CU243" s="15"/>
      <c r="CV243" s="15"/>
      <c r="CW243" s="15"/>
      <c r="CX243" s="15" t="s">
        <v>332</v>
      </c>
      <c r="CY243" s="15"/>
      <c r="CZ243" s="15"/>
      <c r="DA243" s="15">
        <v>1</v>
      </c>
      <c r="DB243" s="15">
        <v>2</v>
      </c>
      <c r="DC243" s="15">
        <v>3</v>
      </c>
      <c r="DD243" s="15">
        <v>5</v>
      </c>
      <c r="DE243" s="15">
        <v>4</v>
      </c>
      <c r="DF243" s="15">
        <v>6</v>
      </c>
      <c r="DG243" s="15"/>
      <c r="DH243" s="15" t="s">
        <v>328</v>
      </c>
      <c r="DI243" s="15"/>
      <c r="DJ243" s="15"/>
      <c r="DK243" s="15"/>
      <c r="DL243" s="15"/>
      <c r="DM243" s="15"/>
      <c r="DN243" s="15" t="s">
        <v>411</v>
      </c>
      <c r="DO243" s="15" t="s">
        <v>328</v>
      </c>
      <c r="DP243" s="15"/>
      <c r="DQ243" s="15"/>
      <c r="DR243" s="15"/>
      <c r="DS243" s="15"/>
      <c r="DT243" s="15"/>
      <c r="DU243" s="15"/>
      <c r="DV243" s="15" t="s">
        <v>1161</v>
      </c>
      <c r="DW243" s="15" t="s">
        <v>328</v>
      </c>
      <c r="DX243" s="15"/>
      <c r="DY243" s="15"/>
      <c r="DZ243" s="15"/>
      <c r="EA243" s="15"/>
      <c r="EB243" s="15"/>
      <c r="EC243" s="102" t="s">
        <v>1161</v>
      </c>
      <c r="ED243" s="48"/>
    </row>
    <row r="244" spans="1:134" x14ac:dyDescent="0.25">
      <c r="A244" s="51" t="s">
        <v>1856</v>
      </c>
      <c r="B244" s="61" t="s">
        <v>1069</v>
      </c>
      <c r="C244" s="15" t="s">
        <v>328</v>
      </c>
      <c r="D244" s="15"/>
      <c r="E244" s="15">
        <v>46</v>
      </c>
      <c r="F244" s="15" t="s">
        <v>329</v>
      </c>
      <c r="G244" s="15" t="s">
        <v>330</v>
      </c>
      <c r="H244" s="15" t="s">
        <v>1070</v>
      </c>
      <c r="I244" s="15" t="s">
        <v>1306</v>
      </c>
      <c r="J244" s="15" t="s">
        <v>1256</v>
      </c>
      <c r="K244" s="15">
        <v>25</v>
      </c>
      <c r="L244" s="15">
        <v>1</v>
      </c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>
        <v>1</v>
      </c>
      <c r="Y244" s="14"/>
      <c r="Z244" s="15" t="s">
        <v>328</v>
      </c>
      <c r="AA244" s="15"/>
      <c r="AB244" s="15"/>
      <c r="AC244" s="15"/>
      <c r="AD244" s="15"/>
      <c r="AE244" s="15" t="s">
        <v>328</v>
      </c>
      <c r="AF244" s="15"/>
      <c r="AG244" s="15"/>
      <c r="AH244" s="15"/>
      <c r="AI244" s="15"/>
      <c r="AJ244" s="15"/>
      <c r="AK244" s="15" t="s">
        <v>328</v>
      </c>
      <c r="AL244" s="15"/>
      <c r="AM244" s="15" t="s">
        <v>328</v>
      </c>
      <c r="AN244" s="15"/>
      <c r="AO244" s="15"/>
      <c r="AP244" s="15">
        <v>0</v>
      </c>
      <c r="AQ244" s="15">
        <v>0</v>
      </c>
      <c r="AR244" s="15"/>
      <c r="AS244" s="15" t="s">
        <v>328</v>
      </c>
      <c r="AT244" s="15"/>
      <c r="AU244" s="15"/>
      <c r="AV244" s="15">
        <v>2</v>
      </c>
      <c r="AW244" s="15">
        <v>3</v>
      </c>
      <c r="AX244" s="15">
        <v>1</v>
      </c>
      <c r="AY244" s="15"/>
      <c r="AZ244" s="15" t="s">
        <v>328</v>
      </c>
      <c r="BA244" s="15"/>
      <c r="BB244" s="15" t="s">
        <v>328</v>
      </c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 t="s">
        <v>328</v>
      </c>
      <c r="BN244" s="15"/>
      <c r="BO244" s="15" t="s">
        <v>328</v>
      </c>
      <c r="BP244" s="15" t="s">
        <v>328</v>
      </c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 t="s">
        <v>328</v>
      </c>
      <c r="CC244" s="15"/>
      <c r="CD244" s="15" t="s">
        <v>328</v>
      </c>
      <c r="CE244" s="15"/>
      <c r="CF244" s="15"/>
      <c r="CG244" s="15"/>
      <c r="CH244" s="15" t="s">
        <v>328</v>
      </c>
      <c r="CI244" s="15"/>
      <c r="CJ244" s="15"/>
      <c r="CK244" s="15"/>
      <c r="CL244" s="15">
        <v>3</v>
      </c>
      <c r="CM244" s="15">
        <v>1</v>
      </c>
      <c r="CN244" s="15">
        <v>2</v>
      </c>
      <c r="CO244" s="15">
        <v>5</v>
      </c>
      <c r="CP244" s="15">
        <v>6</v>
      </c>
      <c r="CQ244" s="15">
        <v>4</v>
      </c>
      <c r="CR244" s="15"/>
      <c r="CS244" s="15"/>
      <c r="CT244" s="15"/>
      <c r="CU244" s="15"/>
      <c r="CV244" s="15"/>
      <c r="CW244" s="15"/>
      <c r="CX244" s="15" t="s">
        <v>332</v>
      </c>
      <c r="CY244" s="15"/>
      <c r="CZ244" s="15"/>
      <c r="DA244" s="15">
        <v>1</v>
      </c>
      <c r="DB244" s="15">
        <v>2</v>
      </c>
      <c r="DC244" s="15">
        <v>3</v>
      </c>
      <c r="DD244" s="15">
        <v>4</v>
      </c>
      <c r="DE244" s="15">
        <v>5</v>
      </c>
      <c r="DF244" s="15">
        <v>6</v>
      </c>
      <c r="DG244" s="15"/>
      <c r="DH244" s="15" t="s">
        <v>328</v>
      </c>
      <c r="DI244" s="15"/>
      <c r="DJ244" s="15"/>
      <c r="DK244" s="15"/>
      <c r="DL244" s="15"/>
      <c r="DM244" s="15"/>
      <c r="DN244" s="14" t="s">
        <v>333</v>
      </c>
      <c r="DO244" s="15" t="s">
        <v>328</v>
      </c>
      <c r="DP244" s="15"/>
      <c r="DQ244" s="15"/>
      <c r="DR244" s="15"/>
      <c r="DS244" s="15"/>
      <c r="DT244" s="15"/>
      <c r="DU244" s="15"/>
      <c r="DV244" s="15" t="s">
        <v>1144</v>
      </c>
      <c r="DW244" s="15" t="s">
        <v>328</v>
      </c>
      <c r="DX244" s="15"/>
      <c r="DY244" s="15"/>
      <c r="DZ244" s="15"/>
      <c r="EA244" s="15"/>
      <c r="EB244" s="15"/>
      <c r="EC244" s="102" t="s">
        <v>1144</v>
      </c>
      <c r="ED244" s="48"/>
    </row>
    <row r="245" spans="1:134" x14ac:dyDescent="0.25">
      <c r="A245" s="51" t="s">
        <v>1856</v>
      </c>
      <c r="B245" s="61" t="s">
        <v>1071</v>
      </c>
      <c r="C245" s="15" t="s">
        <v>328</v>
      </c>
      <c r="D245" s="15"/>
      <c r="E245" s="15">
        <v>51</v>
      </c>
      <c r="F245" s="15" t="s">
        <v>329</v>
      </c>
      <c r="G245" s="15" t="s">
        <v>330</v>
      </c>
      <c r="H245" s="15" t="s">
        <v>1072</v>
      </c>
      <c r="I245" s="15" t="s">
        <v>1307</v>
      </c>
      <c r="J245" s="15" t="s">
        <v>1301</v>
      </c>
      <c r="K245" s="15">
        <v>28</v>
      </c>
      <c r="L245" s="15">
        <v>1</v>
      </c>
      <c r="M245" s="15">
        <v>1</v>
      </c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 t="s">
        <v>328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 t="s">
        <v>328</v>
      </c>
      <c r="AL245" s="15"/>
      <c r="AM245" s="15" t="s">
        <v>328</v>
      </c>
      <c r="AN245" s="15"/>
      <c r="AO245" s="15"/>
      <c r="AP245" s="15">
        <v>0</v>
      </c>
      <c r="AQ245" s="15">
        <v>0</v>
      </c>
      <c r="AR245" s="15"/>
      <c r="AS245" s="15" t="s">
        <v>328</v>
      </c>
      <c r="AT245" s="15"/>
      <c r="AU245" s="15"/>
      <c r="AV245" s="15">
        <v>1</v>
      </c>
      <c r="AW245" s="15">
        <v>3</v>
      </c>
      <c r="AX245" s="15">
        <v>2</v>
      </c>
      <c r="AY245" s="15"/>
      <c r="AZ245" s="15" t="s">
        <v>328</v>
      </c>
      <c r="BA245" s="15"/>
      <c r="BB245" s="15" t="s">
        <v>328</v>
      </c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 t="s">
        <v>328</v>
      </c>
      <c r="BN245" s="15"/>
      <c r="BO245" s="15" t="s">
        <v>328</v>
      </c>
      <c r="BP245" s="15"/>
      <c r="BQ245" s="15" t="s">
        <v>328</v>
      </c>
      <c r="BR245" s="15"/>
      <c r="BS245" s="15"/>
      <c r="BT245" s="15"/>
      <c r="BU245" s="15" t="s">
        <v>328</v>
      </c>
      <c r="BV245" s="15"/>
      <c r="BW245" s="15"/>
      <c r="BX245" s="15"/>
      <c r="BY245" s="15"/>
      <c r="BZ245" s="15"/>
      <c r="CA245" s="15"/>
      <c r="CB245" s="15" t="s">
        <v>328</v>
      </c>
      <c r="CC245" s="15"/>
      <c r="CD245" s="15"/>
      <c r="CE245" s="15"/>
      <c r="CF245" s="15"/>
      <c r="CG245" s="15" t="s">
        <v>328</v>
      </c>
      <c r="CH245" s="15"/>
      <c r="CI245" s="15"/>
      <c r="CJ245" s="15"/>
      <c r="CK245" s="15"/>
      <c r="CL245" s="15">
        <v>6</v>
      </c>
      <c r="CM245" s="15">
        <v>1</v>
      </c>
      <c r="CN245" s="15">
        <v>2</v>
      </c>
      <c r="CO245" s="15">
        <v>4</v>
      </c>
      <c r="CP245" s="15">
        <v>3</v>
      </c>
      <c r="CQ245" s="15">
        <v>5</v>
      </c>
      <c r="CR245" s="15"/>
      <c r="CS245" s="15"/>
      <c r="CT245" s="15"/>
      <c r="CU245" s="15"/>
      <c r="CV245" s="15"/>
      <c r="CW245" s="15"/>
      <c r="CX245" s="15" t="s">
        <v>332</v>
      </c>
      <c r="CY245" s="15"/>
      <c r="CZ245" s="15"/>
      <c r="DA245" s="15">
        <v>1</v>
      </c>
      <c r="DB245" s="15">
        <v>3</v>
      </c>
      <c r="DC245" s="15">
        <v>4</v>
      </c>
      <c r="DD245" s="15">
        <v>6</v>
      </c>
      <c r="DE245" s="15">
        <v>2</v>
      </c>
      <c r="DF245" s="15">
        <v>5</v>
      </c>
      <c r="DG245" s="15"/>
      <c r="DH245" s="15" t="s">
        <v>328</v>
      </c>
      <c r="DI245" s="15"/>
      <c r="DJ245" s="15"/>
      <c r="DK245" s="15"/>
      <c r="DL245" s="15"/>
      <c r="DM245" s="15"/>
      <c r="DN245" s="15" t="s">
        <v>411</v>
      </c>
      <c r="DO245" s="15" t="s">
        <v>328</v>
      </c>
      <c r="DP245" s="15"/>
      <c r="DQ245" s="15"/>
      <c r="DR245" s="15"/>
      <c r="DS245" s="15"/>
      <c r="DT245" s="15"/>
      <c r="DU245" s="15"/>
      <c r="DV245" s="15" t="s">
        <v>497</v>
      </c>
      <c r="DW245" s="15" t="s">
        <v>328</v>
      </c>
      <c r="DX245" s="15"/>
      <c r="DY245" s="15"/>
      <c r="DZ245" s="15"/>
      <c r="EA245" s="15"/>
      <c r="EB245" s="15"/>
      <c r="EC245" s="102" t="s">
        <v>497</v>
      </c>
      <c r="ED245" s="48"/>
    </row>
    <row r="246" spans="1:134" x14ac:dyDescent="0.25">
      <c r="A246" s="51" t="s">
        <v>1856</v>
      </c>
      <c r="B246" s="61" t="s">
        <v>1073</v>
      </c>
      <c r="C246" s="15" t="s">
        <v>328</v>
      </c>
      <c r="D246" s="15"/>
      <c r="E246" s="15">
        <v>39</v>
      </c>
      <c r="F246" s="15" t="s">
        <v>329</v>
      </c>
      <c r="G246" s="15" t="s">
        <v>330</v>
      </c>
      <c r="H246" s="15" t="s">
        <v>1074</v>
      </c>
      <c r="I246" s="15" t="s">
        <v>1308</v>
      </c>
      <c r="J246" s="15" t="s">
        <v>1287</v>
      </c>
      <c r="K246" s="15">
        <v>10</v>
      </c>
      <c r="L246" s="15">
        <v>1</v>
      </c>
      <c r="M246" s="15">
        <v>1</v>
      </c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 t="s">
        <v>328</v>
      </c>
      <c r="AB246" s="15"/>
      <c r="AC246" s="15"/>
      <c r="AD246" s="15" t="s">
        <v>328</v>
      </c>
      <c r="AE246" s="15"/>
      <c r="AF246" s="15"/>
      <c r="AG246" s="15"/>
      <c r="AH246" s="15"/>
      <c r="AI246" s="15"/>
      <c r="AJ246" s="15"/>
      <c r="AK246" s="15" t="s">
        <v>328</v>
      </c>
      <c r="AL246" s="15"/>
      <c r="AM246" s="15"/>
      <c r="AN246" s="15" t="s">
        <v>328</v>
      </c>
      <c r="AO246" s="15"/>
      <c r="AP246" s="15">
        <v>7</v>
      </c>
      <c r="AQ246" s="15">
        <v>2</v>
      </c>
      <c r="AR246" s="15"/>
      <c r="AS246" s="15" t="s">
        <v>328</v>
      </c>
      <c r="AT246" s="15"/>
      <c r="AU246" s="15"/>
      <c r="AV246" s="15">
        <v>2</v>
      </c>
      <c r="AW246" s="15">
        <v>3</v>
      </c>
      <c r="AX246" s="15">
        <v>1</v>
      </c>
      <c r="AY246" s="15"/>
      <c r="AZ246" s="15" t="s">
        <v>328</v>
      </c>
      <c r="BA246" s="15"/>
      <c r="BB246" s="15" t="s">
        <v>328</v>
      </c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 t="s">
        <v>328</v>
      </c>
      <c r="BN246" s="15" t="s">
        <v>328</v>
      </c>
      <c r="BO246" s="15"/>
      <c r="BP246" s="15"/>
      <c r="BQ246" s="15" t="s">
        <v>328</v>
      </c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 t="s">
        <v>328</v>
      </c>
      <c r="CC246" s="15"/>
      <c r="CD246" s="15" t="s">
        <v>328</v>
      </c>
      <c r="CE246" s="15" t="s">
        <v>328</v>
      </c>
      <c r="CF246" s="15"/>
      <c r="CG246" s="15"/>
      <c r="CH246" s="15" t="s">
        <v>328</v>
      </c>
      <c r="CI246" s="15"/>
      <c r="CJ246" s="15"/>
      <c r="CK246" s="15"/>
      <c r="CL246" s="15">
        <v>5</v>
      </c>
      <c r="CM246" s="15">
        <v>3</v>
      </c>
      <c r="CN246" s="15">
        <v>4</v>
      </c>
      <c r="CO246" s="15">
        <v>1</v>
      </c>
      <c r="CP246" s="15">
        <v>2</v>
      </c>
      <c r="CQ246" s="15">
        <v>6</v>
      </c>
      <c r="CR246" s="15"/>
      <c r="CS246" s="15"/>
      <c r="CT246" s="15"/>
      <c r="CU246" s="15"/>
      <c r="CV246" s="15"/>
      <c r="CW246" s="15"/>
      <c r="CX246" s="15" t="s">
        <v>332</v>
      </c>
      <c r="CY246" s="15"/>
      <c r="CZ246" s="15"/>
      <c r="DA246" s="15">
        <v>1</v>
      </c>
      <c r="DB246" s="15">
        <v>5</v>
      </c>
      <c r="DC246" s="15">
        <v>6</v>
      </c>
      <c r="DD246" s="15">
        <v>4</v>
      </c>
      <c r="DE246" s="15">
        <v>2</v>
      </c>
      <c r="DF246" s="15">
        <v>3</v>
      </c>
      <c r="DG246" s="15"/>
      <c r="DH246" s="15"/>
      <c r="DI246" s="15" t="s">
        <v>328</v>
      </c>
      <c r="DJ246" s="15" t="s">
        <v>328</v>
      </c>
      <c r="DK246" s="15" t="s">
        <v>1075</v>
      </c>
      <c r="DL246" s="15"/>
      <c r="DM246" s="15"/>
      <c r="DN246" s="15" t="s">
        <v>411</v>
      </c>
      <c r="DO246" s="15"/>
      <c r="DP246" s="15" t="s">
        <v>328</v>
      </c>
      <c r="DQ246" s="15" t="s">
        <v>328</v>
      </c>
      <c r="DR246" s="15" t="s">
        <v>607</v>
      </c>
      <c r="DS246" s="15"/>
      <c r="DT246" s="15"/>
      <c r="DU246" s="15"/>
      <c r="DV246" s="15" t="s">
        <v>450</v>
      </c>
      <c r="DW246" s="15" t="s">
        <v>328</v>
      </c>
      <c r="DX246" s="15"/>
      <c r="DY246" s="15"/>
      <c r="DZ246" s="15"/>
      <c r="EA246" s="15"/>
      <c r="EB246" s="15"/>
      <c r="EC246" s="102" t="s">
        <v>1152</v>
      </c>
      <c r="ED246" s="48"/>
    </row>
    <row r="247" spans="1:134" x14ac:dyDescent="0.25">
      <c r="A247" s="51" t="s">
        <v>1856</v>
      </c>
      <c r="B247" s="61" t="s">
        <v>1076</v>
      </c>
      <c r="C247" s="15" t="s">
        <v>328</v>
      </c>
      <c r="D247" s="15"/>
      <c r="E247" s="15">
        <v>46</v>
      </c>
      <c r="F247" s="15" t="s">
        <v>329</v>
      </c>
      <c r="G247" s="15" t="s">
        <v>330</v>
      </c>
      <c r="H247" s="15" t="s">
        <v>1077</v>
      </c>
      <c r="I247" s="15" t="s">
        <v>1309</v>
      </c>
      <c r="J247" s="15" t="s">
        <v>1288</v>
      </c>
      <c r="K247" s="15">
        <v>10</v>
      </c>
      <c r="L247" s="15">
        <v>1</v>
      </c>
      <c r="M247" s="15">
        <v>1</v>
      </c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 t="s">
        <v>418</v>
      </c>
      <c r="AJ247" s="15"/>
      <c r="AK247" s="15" t="s">
        <v>328</v>
      </c>
      <c r="AL247" s="15"/>
      <c r="AM247" s="15"/>
      <c r="AN247" s="15" t="s">
        <v>328</v>
      </c>
      <c r="AO247" s="15"/>
      <c r="AP247" s="15">
        <v>10</v>
      </c>
      <c r="AQ247" s="15">
        <v>3</v>
      </c>
      <c r="AR247" s="15"/>
      <c r="AS247" s="15"/>
      <c r="AT247" s="15" t="s">
        <v>328</v>
      </c>
      <c r="AU247" s="15"/>
      <c r="AV247" s="15">
        <v>1</v>
      </c>
      <c r="AW247" s="15">
        <v>3</v>
      </c>
      <c r="AX247" s="15">
        <v>2</v>
      </c>
      <c r="AY247" s="15"/>
      <c r="AZ247" s="15" t="s">
        <v>328</v>
      </c>
      <c r="BA247" s="15"/>
      <c r="BB247" s="15"/>
      <c r="BC247" s="15"/>
      <c r="BD247" s="15"/>
      <c r="BE247" s="15"/>
      <c r="BF247" s="15"/>
      <c r="BG247" s="15"/>
      <c r="BH247" s="15"/>
      <c r="BI247" s="15" t="s">
        <v>328</v>
      </c>
      <c r="BJ247" s="15"/>
      <c r="BK247" s="15"/>
      <c r="BL247" s="15"/>
      <c r="BM247" s="15" t="s">
        <v>328</v>
      </c>
      <c r="BN247" s="15" t="s">
        <v>328</v>
      </c>
      <c r="BO247" s="15"/>
      <c r="BP247" s="15"/>
      <c r="BQ247" s="15" t="s">
        <v>328</v>
      </c>
      <c r="BR247" s="15"/>
      <c r="BS247" s="15"/>
      <c r="BT247" s="15"/>
      <c r="BU247" s="15" t="s">
        <v>328</v>
      </c>
      <c r="BV247" s="15"/>
      <c r="BW247" s="15"/>
      <c r="BX247" s="15"/>
      <c r="BY247" s="15"/>
      <c r="BZ247" s="15" t="s">
        <v>328</v>
      </c>
      <c r="CA247" s="15" t="s">
        <v>328</v>
      </c>
      <c r="CB247" s="15" t="s">
        <v>328</v>
      </c>
      <c r="CC247" s="15"/>
      <c r="CD247" s="15"/>
      <c r="CE247" s="15"/>
      <c r="CF247" s="15"/>
      <c r="CG247" s="15" t="s">
        <v>328</v>
      </c>
      <c r="CH247" s="15"/>
      <c r="CI247" s="15"/>
      <c r="CJ247" s="15"/>
      <c r="CK247" s="15"/>
      <c r="CL247" s="15">
        <v>3</v>
      </c>
      <c r="CM247" s="15">
        <v>1</v>
      </c>
      <c r="CN247" s="15">
        <v>2</v>
      </c>
      <c r="CO247" s="15">
        <v>4</v>
      </c>
      <c r="CP247" s="15">
        <v>5</v>
      </c>
      <c r="CQ247" s="15">
        <v>6</v>
      </c>
      <c r="CR247" s="15"/>
      <c r="CS247" s="15"/>
      <c r="CT247" s="15"/>
      <c r="CU247" s="15"/>
      <c r="CV247" s="15"/>
      <c r="CW247" s="15"/>
      <c r="CX247" s="15" t="s">
        <v>332</v>
      </c>
      <c r="CY247" s="15"/>
      <c r="CZ247" s="15"/>
      <c r="DA247" s="15">
        <v>1</v>
      </c>
      <c r="DB247" s="15">
        <v>4</v>
      </c>
      <c r="DC247" s="15">
        <v>2</v>
      </c>
      <c r="DD247" s="15">
        <v>5</v>
      </c>
      <c r="DE247" s="15">
        <v>3</v>
      </c>
      <c r="DF247" s="15">
        <v>6</v>
      </c>
      <c r="DG247" s="15"/>
      <c r="DH247" s="15" t="s">
        <v>328</v>
      </c>
      <c r="DI247" s="15"/>
      <c r="DJ247" s="15"/>
      <c r="DK247" s="15"/>
      <c r="DL247" s="15"/>
      <c r="DM247" s="15"/>
      <c r="DN247" s="15" t="s">
        <v>411</v>
      </c>
      <c r="DO247" s="15" t="s">
        <v>328</v>
      </c>
      <c r="DP247" s="15"/>
      <c r="DQ247" s="15"/>
      <c r="DR247" s="15"/>
      <c r="DS247" s="15"/>
      <c r="DT247" s="15"/>
      <c r="DU247" s="15"/>
      <c r="DV247" s="15" t="s">
        <v>1161</v>
      </c>
      <c r="DW247" s="15" t="s">
        <v>328</v>
      </c>
      <c r="DX247" s="15"/>
      <c r="DY247" s="15"/>
      <c r="DZ247" s="15"/>
      <c r="EA247" s="15"/>
      <c r="EB247" s="15"/>
      <c r="EC247" s="102" t="s">
        <v>1161</v>
      </c>
      <c r="ED247" s="48"/>
    </row>
    <row r="248" spans="1:134" x14ac:dyDescent="0.25">
      <c r="A248" s="51" t="s">
        <v>1856</v>
      </c>
      <c r="B248" s="61" t="s">
        <v>1078</v>
      </c>
      <c r="C248" s="15" t="s">
        <v>328</v>
      </c>
      <c r="D248" s="15"/>
      <c r="E248" s="15">
        <v>50</v>
      </c>
      <c r="F248" s="15" t="s">
        <v>329</v>
      </c>
      <c r="G248" s="15" t="s">
        <v>353</v>
      </c>
      <c r="H248" s="15" t="s">
        <v>1064</v>
      </c>
      <c r="I248" s="15" t="s">
        <v>1273</v>
      </c>
      <c r="J248" s="15" t="s">
        <v>1293</v>
      </c>
      <c r="K248" s="15">
        <v>28</v>
      </c>
      <c r="L248" s="15">
        <v>1</v>
      </c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>
        <v>1</v>
      </c>
      <c r="Y248" s="14"/>
      <c r="Z248" s="15" t="s">
        <v>328</v>
      </c>
      <c r="AA248" s="15"/>
      <c r="AB248" s="15"/>
      <c r="AC248" s="15"/>
      <c r="AD248" s="15"/>
      <c r="AE248" s="15" t="s">
        <v>328</v>
      </c>
      <c r="AF248" s="15"/>
      <c r="AG248" s="15"/>
      <c r="AH248" s="15"/>
      <c r="AI248" s="15"/>
      <c r="AJ248" s="15"/>
      <c r="AK248" s="15" t="s">
        <v>328</v>
      </c>
      <c r="AL248" s="15"/>
      <c r="AM248" s="15" t="s">
        <v>328</v>
      </c>
      <c r="AN248" s="15"/>
      <c r="AO248" s="15"/>
      <c r="AP248" s="15">
        <v>0</v>
      </c>
      <c r="AQ248" s="15">
        <v>0</v>
      </c>
      <c r="AR248" s="15"/>
      <c r="AS248" s="15" t="s">
        <v>328</v>
      </c>
      <c r="AT248" s="15"/>
      <c r="AU248" s="15"/>
      <c r="AV248" s="15">
        <v>3</v>
      </c>
      <c r="AW248" s="15">
        <v>2</v>
      </c>
      <c r="AX248" s="15">
        <v>1</v>
      </c>
      <c r="AY248" s="15"/>
      <c r="AZ248" s="15" t="s">
        <v>328</v>
      </c>
      <c r="BA248" s="15"/>
      <c r="BB248" s="15" t="s">
        <v>328</v>
      </c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 t="s">
        <v>328</v>
      </c>
      <c r="BN248" s="15"/>
      <c r="BO248" s="15" t="s">
        <v>328</v>
      </c>
      <c r="BP248" s="15" t="s">
        <v>328</v>
      </c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 t="s">
        <v>328</v>
      </c>
      <c r="CC248" s="15" t="s">
        <v>328</v>
      </c>
      <c r="CD248" s="15"/>
      <c r="CE248" s="15"/>
      <c r="CF248" s="15"/>
      <c r="CG248" s="15"/>
      <c r="CH248" s="15" t="s">
        <v>328</v>
      </c>
      <c r="CI248" s="15"/>
      <c r="CJ248" s="15"/>
      <c r="CK248" s="15"/>
      <c r="CL248" s="15">
        <v>4</v>
      </c>
      <c r="CM248" s="15">
        <v>2</v>
      </c>
      <c r="CN248" s="15">
        <v>1</v>
      </c>
      <c r="CO248" s="15">
        <v>5</v>
      </c>
      <c r="CP248" s="15">
        <v>3</v>
      </c>
      <c r="CQ248" s="15">
        <v>6</v>
      </c>
      <c r="CR248" s="15"/>
      <c r="CS248" s="15"/>
      <c r="CT248" s="15"/>
      <c r="CU248" s="15"/>
      <c r="CV248" s="15" t="s">
        <v>328</v>
      </c>
      <c r="CW248" s="15"/>
      <c r="CX248" s="15"/>
      <c r="CY248" s="15"/>
      <c r="CZ248" s="15"/>
      <c r="DA248" s="15">
        <v>1</v>
      </c>
      <c r="DB248" s="15">
        <v>2</v>
      </c>
      <c r="DC248" s="15">
        <v>3</v>
      </c>
      <c r="DD248" s="15">
        <v>4</v>
      </c>
      <c r="DE248" s="15">
        <v>5</v>
      </c>
      <c r="DF248" s="15">
        <v>6</v>
      </c>
      <c r="DG248" s="15"/>
      <c r="DH248" s="15" t="s">
        <v>328</v>
      </c>
      <c r="DI248" s="15"/>
      <c r="DJ248" s="15"/>
      <c r="DK248" s="15"/>
      <c r="DL248" s="15"/>
      <c r="DM248" s="15"/>
      <c r="DN248" s="15" t="s">
        <v>411</v>
      </c>
      <c r="DO248" s="15" t="s">
        <v>328</v>
      </c>
      <c r="DP248" s="15"/>
      <c r="DQ248" s="15"/>
      <c r="DR248" s="15"/>
      <c r="DS248" s="15"/>
      <c r="DT248" s="15"/>
      <c r="DU248" s="15"/>
      <c r="DV248" s="15" t="s">
        <v>1327</v>
      </c>
      <c r="DW248" s="15" t="s">
        <v>328</v>
      </c>
      <c r="DX248" s="15"/>
      <c r="DY248" s="15"/>
      <c r="DZ248" s="15"/>
      <c r="EA248" s="15"/>
      <c r="EB248" s="15"/>
      <c r="EC248" s="102" t="s">
        <v>1327</v>
      </c>
      <c r="ED248" s="48"/>
    </row>
    <row r="249" spans="1:134" x14ac:dyDescent="0.25">
      <c r="A249" s="51" t="s">
        <v>1856</v>
      </c>
      <c r="B249" s="61" t="s">
        <v>1079</v>
      </c>
      <c r="C249" s="15" t="s">
        <v>328</v>
      </c>
      <c r="D249" s="15"/>
      <c r="E249" s="15">
        <v>39</v>
      </c>
      <c r="F249" s="15" t="s">
        <v>329</v>
      </c>
      <c r="G249" s="15" t="s">
        <v>357</v>
      </c>
      <c r="H249" s="15" t="s">
        <v>1080</v>
      </c>
      <c r="I249" s="15" t="s">
        <v>1310</v>
      </c>
      <c r="J249" s="15" t="s">
        <v>1293</v>
      </c>
      <c r="K249" s="15">
        <v>5</v>
      </c>
      <c r="L249" s="15">
        <v>2</v>
      </c>
      <c r="M249" s="15">
        <v>2</v>
      </c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 t="s">
        <v>328</v>
      </c>
      <c r="AB249" s="15"/>
      <c r="AC249" s="15"/>
      <c r="AD249" s="15" t="s">
        <v>328</v>
      </c>
      <c r="AE249" s="15"/>
      <c r="AF249" s="15" t="s">
        <v>328</v>
      </c>
      <c r="AG249" s="15"/>
      <c r="AH249" s="15"/>
      <c r="AI249" s="15"/>
      <c r="AJ249" s="15"/>
      <c r="AK249" s="15" t="s">
        <v>328</v>
      </c>
      <c r="AL249" s="15"/>
      <c r="AM249" s="15" t="s">
        <v>328</v>
      </c>
      <c r="AN249" s="15" t="s">
        <v>328</v>
      </c>
      <c r="AO249" s="15"/>
      <c r="AP249" s="15">
        <v>0</v>
      </c>
      <c r="AQ249" s="15">
        <v>0</v>
      </c>
      <c r="AR249" s="15" t="s">
        <v>328</v>
      </c>
      <c r="AS249" s="15" t="s">
        <v>328</v>
      </c>
      <c r="AT249" s="15"/>
      <c r="AU249" s="15"/>
      <c r="AV249" s="15">
        <v>1</v>
      </c>
      <c r="AW249" s="15">
        <v>3</v>
      </c>
      <c r="AX249" s="15">
        <v>2</v>
      </c>
      <c r="AY249" s="15"/>
      <c r="AZ249" s="15" t="s">
        <v>328</v>
      </c>
      <c r="BA249" s="15"/>
      <c r="BB249" s="15"/>
      <c r="BC249" s="15"/>
      <c r="BD249" s="15"/>
      <c r="BE249" s="15" t="s">
        <v>328</v>
      </c>
      <c r="BF249" s="15"/>
      <c r="BG249" s="15"/>
      <c r="BH249" s="15"/>
      <c r="BI249" s="15" t="s">
        <v>328</v>
      </c>
      <c r="BJ249" s="15"/>
      <c r="BK249" s="15"/>
      <c r="BL249" s="15"/>
      <c r="BM249" s="15" t="s">
        <v>328</v>
      </c>
      <c r="BN249" s="15"/>
      <c r="BO249" s="15" t="s">
        <v>328</v>
      </c>
      <c r="BP249" s="15"/>
      <c r="BQ249" s="15"/>
      <c r="BR249" s="15"/>
      <c r="BS249" s="15"/>
      <c r="BT249" s="15"/>
      <c r="BU249" s="15" t="s">
        <v>328</v>
      </c>
      <c r="BV249" s="15"/>
      <c r="BW249" s="15"/>
      <c r="BX249" s="15"/>
      <c r="BY249" s="15"/>
      <c r="BZ249" s="15"/>
      <c r="CA249" s="15" t="s">
        <v>328</v>
      </c>
      <c r="CB249" s="15" t="s">
        <v>328</v>
      </c>
      <c r="CC249" s="15"/>
      <c r="CD249" s="15"/>
      <c r="CE249" s="15"/>
      <c r="CF249" s="15"/>
      <c r="CG249" s="15"/>
      <c r="CH249" s="15" t="s">
        <v>328</v>
      </c>
      <c r="CI249" s="15"/>
      <c r="CJ249" s="15"/>
      <c r="CK249" s="15"/>
      <c r="CL249" s="15">
        <v>2</v>
      </c>
      <c r="CM249" s="15">
        <v>1</v>
      </c>
      <c r="CN249" s="15">
        <v>5</v>
      </c>
      <c r="CO249" s="15">
        <v>3</v>
      </c>
      <c r="CP249" s="15">
        <v>4</v>
      </c>
      <c r="CQ249" s="15">
        <v>6</v>
      </c>
      <c r="CR249" s="15"/>
      <c r="CS249" s="15"/>
      <c r="CT249" s="15"/>
      <c r="CU249" s="15"/>
      <c r="CV249" s="15"/>
      <c r="CW249" s="15"/>
      <c r="CX249" s="15" t="s">
        <v>332</v>
      </c>
      <c r="CY249" s="15"/>
      <c r="CZ249" s="15"/>
      <c r="DA249" s="15">
        <v>1</v>
      </c>
      <c r="DB249" s="15">
        <v>2</v>
      </c>
      <c r="DC249" s="15">
        <v>3</v>
      </c>
      <c r="DD249" s="15">
        <v>5</v>
      </c>
      <c r="DE249" s="15">
        <v>4</v>
      </c>
      <c r="DF249" s="15">
        <v>6</v>
      </c>
      <c r="DG249" s="15"/>
      <c r="DH249" s="15" t="s">
        <v>328</v>
      </c>
      <c r="DI249" s="15"/>
      <c r="DJ249" s="15"/>
      <c r="DK249" s="15"/>
      <c r="DL249" s="15"/>
      <c r="DM249" s="15"/>
      <c r="DN249" s="15" t="s">
        <v>411</v>
      </c>
      <c r="DO249" s="15" t="s">
        <v>328</v>
      </c>
      <c r="DP249" s="15"/>
      <c r="DQ249" s="15"/>
      <c r="DR249" s="15"/>
      <c r="DS249" s="15"/>
      <c r="DT249" s="15"/>
      <c r="DU249" s="15"/>
      <c r="DV249" s="15" t="s">
        <v>450</v>
      </c>
      <c r="DW249" s="15" t="s">
        <v>328</v>
      </c>
      <c r="DX249" s="15"/>
      <c r="DY249" s="15"/>
      <c r="DZ249" s="15"/>
      <c r="EA249" s="15"/>
      <c r="EB249" s="15"/>
      <c r="EC249" s="102" t="s">
        <v>450</v>
      </c>
      <c r="ED249" s="48"/>
    </row>
    <row r="250" spans="1:134" x14ac:dyDescent="0.25">
      <c r="A250" s="51" t="s">
        <v>1856</v>
      </c>
      <c r="B250" s="61" t="s">
        <v>1081</v>
      </c>
      <c r="C250" s="15" t="s">
        <v>328</v>
      </c>
      <c r="D250" s="15"/>
      <c r="E250" s="15">
        <v>46</v>
      </c>
      <c r="F250" s="15" t="s">
        <v>329</v>
      </c>
      <c r="G250" s="15" t="s">
        <v>330</v>
      </c>
      <c r="H250" s="15" t="s">
        <v>1082</v>
      </c>
      <c r="I250" s="15" t="s">
        <v>1311</v>
      </c>
      <c r="J250" s="15" t="s">
        <v>1311</v>
      </c>
      <c r="K250" s="15">
        <v>10</v>
      </c>
      <c r="L250" s="15">
        <v>2</v>
      </c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>
        <v>2</v>
      </c>
      <c r="Y250" s="14"/>
      <c r="Z250" s="15" t="s">
        <v>328</v>
      </c>
      <c r="AA250" s="15" t="s">
        <v>328</v>
      </c>
      <c r="AB250" s="15"/>
      <c r="AC250" s="15"/>
      <c r="AD250" s="15"/>
      <c r="AE250" s="15" t="s">
        <v>328</v>
      </c>
      <c r="AF250" s="15"/>
      <c r="AG250" s="15"/>
      <c r="AH250" s="15"/>
      <c r="AI250" s="15"/>
      <c r="AJ250" s="15"/>
      <c r="AK250" s="15" t="s">
        <v>328</v>
      </c>
      <c r="AL250" s="15"/>
      <c r="AM250" s="15" t="s">
        <v>328</v>
      </c>
      <c r="AN250" s="15" t="s">
        <v>328</v>
      </c>
      <c r="AO250" s="15"/>
      <c r="AP250" s="15">
        <v>10</v>
      </c>
      <c r="AQ250" s="15">
        <v>2</v>
      </c>
      <c r="AR250" s="15"/>
      <c r="AS250" s="15" t="s">
        <v>328</v>
      </c>
      <c r="AT250" s="15" t="s">
        <v>328</v>
      </c>
      <c r="AU250" s="15"/>
      <c r="AV250" s="15">
        <v>1</v>
      </c>
      <c r="AW250" s="15">
        <v>3</v>
      </c>
      <c r="AX250" s="15">
        <v>2</v>
      </c>
      <c r="AY250" s="15"/>
      <c r="AZ250" s="15" t="s">
        <v>328</v>
      </c>
      <c r="BA250" s="15"/>
      <c r="BB250" s="15" t="s">
        <v>328</v>
      </c>
      <c r="BC250" s="15" t="s">
        <v>328</v>
      </c>
      <c r="BD250" s="15"/>
      <c r="BE250" s="15"/>
      <c r="BF250" s="15"/>
      <c r="BG250" s="15"/>
      <c r="BH250" s="15"/>
      <c r="BI250" s="15"/>
      <c r="BJ250" s="15"/>
      <c r="BK250" s="15"/>
      <c r="BL250" s="15"/>
      <c r="BM250" s="15" t="s">
        <v>328</v>
      </c>
      <c r="BN250" s="15" t="s">
        <v>328</v>
      </c>
      <c r="BO250" s="15"/>
      <c r="BP250" s="15"/>
      <c r="BQ250" s="15"/>
      <c r="BR250" s="15"/>
      <c r="BS250" s="15"/>
      <c r="BT250" s="15" t="s">
        <v>328</v>
      </c>
      <c r="BU250" s="15"/>
      <c r="BV250" s="15"/>
      <c r="BW250" s="15" t="s">
        <v>328</v>
      </c>
      <c r="BX250" s="15"/>
      <c r="BY250" s="15"/>
      <c r="BZ250" s="15" t="s">
        <v>328</v>
      </c>
      <c r="CA250" s="15"/>
      <c r="CB250" s="15" t="s">
        <v>328</v>
      </c>
      <c r="CC250" s="15"/>
      <c r="CD250" s="15"/>
      <c r="CE250" s="15"/>
      <c r="CF250" s="15"/>
      <c r="CG250" s="15"/>
      <c r="CH250" s="15" t="s">
        <v>328</v>
      </c>
      <c r="CI250" s="15"/>
      <c r="CJ250" s="15"/>
      <c r="CK250" s="15"/>
      <c r="CL250" s="15">
        <v>2</v>
      </c>
      <c r="CM250" s="15">
        <v>4</v>
      </c>
      <c r="CN250" s="15">
        <v>1</v>
      </c>
      <c r="CO250" s="15">
        <v>5</v>
      </c>
      <c r="CP250" s="15">
        <v>6</v>
      </c>
      <c r="CQ250" s="15">
        <v>3</v>
      </c>
      <c r="CR250" s="15"/>
      <c r="CS250" s="15"/>
      <c r="CT250" s="15"/>
      <c r="CU250" s="15"/>
      <c r="CV250" s="15"/>
      <c r="CW250" s="15"/>
      <c r="CX250" s="15" t="s">
        <v>332</v>
      </c>
      <c r="CY250" s="15"/>
      <c r="CZ250" s="15"/>
      <c r="DA250" s="15">
        <v>1</v>
      </c>
      <c r="DB250" s="15">
        <v>2</v>
      </c>
      <c r="DC250" s="15">
        <v>4</v>
      </c>
      <c r="DD250" s="15">
        <v>5</v>
      </c>
      <c r="DE250" s="15">
        <v>3</v>
      </c>
      <c r="DF250" s="15">
        <v>6</v>
      </c>
      <c r="DG250" s="15"/>
      <c r="DH250" s="15" t="s">
        <v>328</v>
      </c>
      <c r="DI250" s="15"/>
      <c r="DJ250" s="15"/>
      <c r="DK250" s="15"/>
      <c r="DL250" s="15"/>
      <c r="DM250" s="15"/>
      <c r="DN250" s="14" t="s">
        <v>333</v>
      </c>
      <c r="DO250" s="15" t="s">
        <v>328</v>
      </c>
      <c r="DP250" s="15"/>
      <c r="DQ250" s="15"/>
      <c r="DR250" s="15"/>
      <c r="DS250" s="15"/>
      <c r="DT250" s="15"/>
      <c r="DU250" s="15"/>
      <c r="DV250" s="15" t="s">
        <v>1155</v>
      </c>
      <c r="DW250" s="15" t="s">
        <v>328</v>
      </c>
      <c r="DX250" s="15"/>
      <c r="DY250" s="15"/>
      <c r="DZ250" s="15"/>
      <c r="EA250" s="15"/>
      <c r="EB250" s="15"/>
      <c r="EC250" s="102" t="s">
        <v>1155</v>
      </c>
      <c r="ED250" s="48"/>
    </row>
    <row r="251" spans="1:134" x14ac:dyDescent="0.25">
      <c r="A251" s="51" t="s">
        <v>1856</v>
      </c>
      <c r="B251" s="61" t="s">
        <v>1083</v>
      </c>
      <c r="C251" s="15" t="s">
        <v>328</v>
      </c>
      <c r="D251" s="15"/>
      <c r="E251" s="15">
        <v>52</v>
      </c>
      <c r="F251" s="15" t="s">
        <v>329</v>
      </c>
      <c r="G251" s="15" t="s">
        <v>1346</v>
      </c>
      <c r="H251" s="15" t="s">
        <v>1068</v>
      </c>
      <c r="I251" s="15" t="s">
        <v>1305</v>
      </c>
      <c r="J251" s="15" t="s">
        <v>1293</v>
      </c>
      <c r="K251" s="15">
        <v>0</v>
      </c>
      <c r="L251" s="15">
        <v>3</v>
      </c>
      <c r="M251" s="15"/>
      <c r="N251" s="15"/>
      <c r="O251" s="15"/>
      <c r="P251" s="15"/>
      <c r="Q251" s="15"/>
      <c r="R251" s="15"/>
      <c r="S251" s="15"/>
      <c r="T251" s="15">
        <v>3</v>
      </c>
      <c r="U251" s="15"/>
      <c r="V251" s="15"/>
      <c r="W251" s="15"/>
      <c r="X251" s="15"/>
      <c r="Y251" s="15"/>
      <c r="Z251" s="15"/>
      <c r="AA251" s="15"/>
      <c r="AB251" s="15" t="s">
        <v>328</v>
      </c>
      <c r="AC251" s="15"/>
      <c r="AD251" s="15"/>
      <c r="AE251" s="15"/>
      <c r="AF251" s="15"/>
      <c r="AG251" s="15"/>
      <c r="AH251" s="15"/>
      <c r="AI251" s="15"/>
      <c r="AJ251" s="12"/>
      <c r="AK251" s="15" t="s">
        <v>328</v>
      </c>
      <c r="AL251" s="15"/>
      <c r="AM251" s="15"/>
      <c r="AN251" s="15" t="s">
        <v>328</v>
      </c>
      <c r="AO251" s="15"/>
      <c r="AP251" s="15">
        <v>10</v>
      </c>
      <c r="AQ251" s="15">
        <v>10</v>
      </c>
      <c r="AR251" s="15"/>
      <c r="AS251" s="15" t="s">
        <v>328</v>
      </c>
      <c r="AT251" s="15"/>
      <c r="AU251" s="12"/>
      <c r="AV251" s="15">
        <v>1</v>
      </c>
      <c r="AW251" s="15">
        <v>3</v>
      </c>
      <c r="AX251" s="15">
        <v>2</v>
      </c>
      <c r="AY251" s="15"/>
      <c r="AZ251" s="15" t="s">
        <v>328</v>
      </c>
      <c r="BA251" s="15"/>
      <c r="BB251" s="12"/>
      <c r="BC251" s="15" t="s">
        <v>328</v>
      </c>
      <c r="BD251" s="15"/>
      <c r="BE251" s="15"/>
      <c r="BF251" s="15"/>
      <c r="BG251" s="15"/>
      <c r="BH251" s="15"/>
      <c r="BI251" s="15"/>
      <c r="BJ251" s="12"/>
      <c r="BK251" s="12"/>
      <c r="BL251" s="15"/>
      <c r="BM251" s="15" t="s">
        <v>328</v>
      </c>
      <c r="BN251" s="15" t="s">
        <v>328</v>
      </c>
      <c r="BO251" s="15"/>
      <c r="BP251" s="15"/>
      <c r="BQ251" s="12"/>
      <c r="BR251" s="12"/>
      <c r="BS251" s="15"/>
      <c r="BT251" s="15" t="s">
        <v>328</v>
      </c>
      <c r="BU251" s="15" t="s">
        <v>328</v>
      </c>
      <c r="BV251" s="15"/>
      <c r="BW251" s="12"/>
      <c r="BX251" s="12"/>
      <c r="BY251" s="12"/>
      <c r="BZ251" s="15" t="s">
        <v>328</v>
      </c>
      <c r="CA251" s="15" t="s">
        <v>328</v>
      </c>
      <c r="CB251" s="15" t="s">
        <v>328</v>
      </c>
      <c r="CC251" s="15"/>
      <c r="CD251" s="15"/>
      <c r="CE251" s="15"/>
      <c r="CF251" s="14" t="s">
        <v>579</v>
      </c>
      <c r="CG251" s="15"/>
      <c r="CH251" s="15" t="s">
        <v>328</v>
      </c>
      <c r="CI251" s="15"/>
      <c r="CJ251" s="12"/>
      <c r="CK251" s="12"/>
      <c r="CL251" s="15">
        <v>4</v>
      </c>
      <c r="CM251" s="15">
        <v>3</v>
      </c>
      <c r="CN251" s="15">
        <v>6</v>
      </c>
      <c r="CO251" s="15">
        <v>1</v>
      </c>
      <c r="CP251" s="15">
        <v>2</v>
      </c>
      <c r="CQ251" s="15">
        <v>5</v>
      </c>
      <c r="CR251" s="15"/>
      <c r="CS251" s="15" t="s">
        <v>328</v>
      </c>
      <c r="CT251" s="15" t="s">
        <v>328</v>
      </c>
      <c r="CU251" s="15"/>
      <c r="CV251" s="15"/>
      <c r="CW251" s="15"/>
      <c r="CX251" s="15"/>
      <c r="CY251" s="15"/>
      <c r="CZ251" s="15"/>
      <c r="DA251" s="15">
        <v>1</v>
      </c>
      <c r="DB251" s="15">
        <v>6</v>
      </c>
      <c r="DC251" s="15">
        <v>5</v>
      </c>
      <c r="DD251" s="15">
        <v>2</v>
      </c>
      <c r="DE251" s="15">
        <v>4</v>
      </c>
      <c r="DF251" s="15">
        <v>3</v>
      </c>
      <c r="DG251" s="15"/>
      <c r="DH251" s="15" t="s">
        <v>328</v>
      </c>
      <c r="DI251" s="15"/>
      <c r="DJ251" s="15"/>
      <c r="DK251" s="15"/>
      <c r="DL251" s="15"/>
      <c r="DM251" s="15"/>
      <c r="DN251" s="14" t="s">
        <v>1145</v>
      </c>
      <c r="DO251" s="15" t="s">
        <v>328</v>
      </c>
      <c r="DP251" s="15"/>
      <c r="DQ251" s="15"/>
      <c r="DR251" s="15"/>
      <c r="DS251" s="15"/>
      <c r="DT251" s="15"/>
      <c r="DU251" s="15"/>
      <c r="DV251" s="15" t="s">
        <v>1145</v>
      </c>
      <c r="DW251" s="15" t="s">
        <v>328</v>
      </c>
      <c r="DX251" s="15"/>
      <c r="DY251" s="15"/>
      <c r="DZ251" s="15"/>
      <c r="EA251" s="15"/>
      <c r="EB251" s="15"/>
      <c r="EC251" s="102" t="s">
        <v>1145</v>
      </c>
      <c r="ED251" s="111"/>
    </row>
    <row r="252" spans="1:134" x14ac:dyDescent="0.25">
      <c r="A252" s="51" t="s">
        <v>1856</v>
      </c>
      <c r="B252" s="61" t="s">
        <v>1084</v>
      </c>
      <c r="C252" s="15" t="s">
        <v>328</v>
      </c>
      <c r="D252" s="15"/>
      <c r="E252" s="15">
        <v>52</v>
      </c>
      <c r="F252" s="15" t="s">
        <v>329</v>
      </c>
      <c r="G252" s="15" t="s">
        <v>330</v>
      </c>
      <c r="H252" s="15" t="s">
        <v>1085</v>
      </c>
      <c r="I252" s="15" t="s">
        <v>1312</v>
      </c>
      <c r="J252" s="15" t="s">
        <v>1301</v>
      </c>
      <c r="K252" s="15">
        <v>30</v>
      </c>
      <c r="L252" s="15">
        <v>1</v>
      </c>
      <c r="M252" s="15"/>
      <c r="N252" s="15">
        <v>1</v>
      </c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2"/>
      <c r="AG252" s="15" t="s">
        <v>328</v>
      </c>
      <c r="AH252" s="15"/>
      <c r="AI252" s="15"/>
      <c r="AJ252" s="15" t="s">
        <v>328</v>
      </c>
      <c r="AK252" s="15" t="s">
        <v>328</v>
      </c>
      <c r="AL252" s="15"/>
      <c r="AM252" s="15" t="s">
        <v>328</v>
      </c>
      <c r="AN252" s="15" t="s">
        <v>328</v>
      </c>
      <c r="AO252" s="15"/>
      <c r="AP252" s="15">
        <v>10</v>
      </c>
      <c r="AQ252" s="15">
        <v>5</v>
      </c>
      <c r="AR252" s="15"/>
      <c r="AS252" s="15"/>
      <c r="AT252" s="15"/>
      <c r="AU252" s="15" t="s">
        <v>328</v>
      </c>
      <c r="AV252" s="15">
        <v>1</v>
      </c>
      <c r="AW252" s="15">
        <v>2</v>
      </c>
      <c r="AX252" s="15">
        <v>3</v>
      </c>
      <c r="AY252" s="15"/>
      <c r="AZ252" s="15" t="s">
        <v>328</v>
      </c>
      <c r="BA252" s="12"/>
      <c r="BB252" s="15" t="s">
        <v>328</v>
      </c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 t="s">
        <v>328</v>
      </c>
      <c r="BN252" s="15"/>
      <c r="BO252" s="15" t="s">
        <v>328</v>
      </c>
      <c r="BP252" s="15" t="s">
        <v>328</v>
      </c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 t="s">
        <v>328</v>
      </c>
      <c r="CC252" s="15"/>
      <c r="CD252" s="15"/>
      <c r="CE252" s="15"/>
      <c r="CF252" s="15"/>
      <c r="CG252" s="15"/>
      <c r="CH252" s="15" t="s">
        <v>328</v>
      </c>
      <c r="CI252" s="15"/>
      <c r="CJ252" s="12"/>
      <c r="CK252" s="12"/>
      <c r="CL252" s="15">
        <v>5</v>
      </c>
      <c r="CM252" s="15">
        <v>3</v>
      </c>
      <c r="CN252" s="15">
        <v>4</v>
      </c>
      <c r="CO252" s="15">
        <v>2</v>
      </c>
      <c r="CP252" s="15">
        <v>1</v>
      </c>
      <c r="CQ252" s="15">
        <v>6</v>
      </c>
      <c r="CR252" s="15"/>
      <c r="CS252" s="15"/>
      <c r="CT252" s="15"/>
      <c r="CU252" s="12"/>
      <c r="CV252" s="12"/>
      <c r="CW252" s="12"/>
      <c r="CX252" s="15" t="s">
        <v>332</v>
      </c>
      <c r="CY252" s="15"/>
      <c r="CZ252" s="15"/>
      <c r="DA252" s="15">
        <v>1</v>
      </c>
      <c r="DB252" s="15">
        <v>6</v>
      </c>
      <c r="DC252" s="15">
        <v>5</v>
      </c>
      <c r="DD252" s="15">
        <v>4</v>
      </c>
      <c r="DE252" s="15">
        <v>2</v>
      </c>
      <c r="DF252" s="15">
        <v>3</v>
      </c>
      <c r="DG252" s="15"/>
      <c r="DH252" s="15" t="s">
        <v>328</v>
      </c>
      <c r="DI252" s="15"/>
      <c r="DJ252" s="15"/>
      <c r="DK252" s="15"/>
      <c r="DL252" s="15"/>
      <c r="DM252" s="15"/>
      <c r="DN252" s="14" t="s">
        <v>1145</v>
      </c>
      <c r="DO252" s="15" t="s">
        <v>328</v>
      </c>
      <c r="DP252" s="15"/>
      <c r="DQ252" s="15"/>
      <c r="DR252" s="15"/>
      <c r="DS252" s="15"/>
      <c r="DT252" s="15"/>
      <c r="DU252" s="15"/>
      <c r="DV252" s="15" t="s">
        <v>1145</v>
      </c>
      <c r="DW252" s="15" t="s">
        <v>328</v>
      </c>
      <c r="DX252" s="15"/>
      <c r="DY252" s="15"/>
      <c r="DZ252" s="15"/>
      <c r="EA252" s="15"/>
      <c r="EB252" s="12"/>
      <c r="EC252" s="102" t="s">
        <v>1145</v>
      </c>
      <c r="ED252" s="111"/>
    </row>
    <row r="253" spans="1:134" x14ac:dyDescent="0.25">
      <c r="A253" s="51" t="s">
        <v>1856</v>
      </c>
      <c r="B253" s="61" t="s">
        <v>1086</v>
      </c>
      <c r="C253" s="15" t="s">
        <v>328</v>
      </c>
      <c r="D253" s="15"/>
      <c r="E253" s="15">
        <v>48</v>
      </c>
      <c r="F253" s="15" t="s">
        <v>329</v>
      </c>
      <c r="G253" s="15" t="s">
        <v>353</v>
      </c>
      <c r="H253" s="15" t="s">
        <v>1087</v>
      </c>
      <c r="I253" s="15" t="s">
        <v>1279</v>
      </c>
      <c r="J253" s="15" t="s">
        <v>1290</v>
      </c>
      <c r="K253" s="15">
        <v>30</v>
      </c>
      <c r="L253" s="15">
        <v>1</v>
      </c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4"/>
      <c r="Z253" s="15"/>
      <c r="AA253" s="15"/>
      <c r="AB253" s="15"/>
      <c r="AC253" s="15"/>
      <c r="AD253" s="15"/>
      <c r="AE253" s="15" t="s">
        <v>328</v>
      </c>
      <c r="AF253" s="15"/>
      <c r="AG253" s="15"/>
      <c r="AH253" s="15"/>
      <c r="AI253" s="15"/>
      <c r="AJ253" s="15"/>
      <c r="AK253" s="15" t="s">
        <v>328</v>
      </c>
      <c r="AL253" s="15"/>
      <c r="AM253" s="15" t="s">
        <v>328</v>
      </c>
      <c r="AN253" s="15"/>
      <c r="AO253" s="15"/>
      <c r="AP253" s="15">
        <v>0</v>
      </c>
      <c r="AQ253" s="15">
        <v>0</v>
      </c>
      <c r="AR253" s="15"/>
      <c r="AS253" s="15" t="s">
        <v>328</v>
      </c>
      <c r="AT253" s="15"/>
      <c r="AU253" s="15"/>
      <c r="AV253" s="15">
        <v>3</v>
      </c>
      <c r="AW253" s="15">
        <v>2</v>
      </c>
      <c r="AX253" s="15">
        <v>1</v>
      </c>
      <c r="AY253" s="15"/>
      <c r="AZ253" s="15" t="s">
        <v>328</v>
      </c>
      <c r="BA253" s="15"/>
      <c r="BB253" s="15" t="s">
        <v>328</v>
      </c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 t="s">
        <v>328</v>
      </c>
      <c r="BN253" s="15"/>
      <c r="BO253" s="15" t="s">
        <v>328</v>
      </c>
      <c r="BP253" s="15" t="s">
        <v>328</v>
      </c>
      <c r="BQ253" s="15"/>
      <c r="BR253" s="15"/>
      <c r="BS253" s="15"/>
      <c r="BT253" s="15"/>
      <c r="BU253" s="15" t="s">
        <v>328</v>
      </c>
      <c r="BV253" s="15"/>
      <c r="BW253" s="15"/>
      <c r="BX253" s="15"/>
      <c r="BY253" s="15"/>
      <c r="BZ253" s="15"/>
      <c r="CA253" s="15"/>
      <c r="CB253" s="15"/>
      <c r="CC253" s="15"/>
      <c r="CD253" s="15"/>
      <c r="CE253" s="15" t="s">
        <v>328</v>
      </c>
      <c r="CF253" s="15"/>
      <c r="CG253" s="15"/>
      <c r="CH253" s="15" t="s">
        <v>328</v>
      </c>
      <c r="CI253" s="15"/>
      <c r="CJ253" s="12"/>
      <c r="CK253" s="12"/>
      <c r="CL253" s="15">
        <v>5</v>
      </c>
      <c r="CM253" s="15">
        <v>4</v>
      </c>
      <c r="CN253" s="15">
        <v>1</v>
      </c>
      <c r="CO253" s="15">
        <v>3</v>
      </c>
      <c r="CP253" s="15">
        <v>2</v>
      </c>
      <c r="CQ253" s="15">
        <v>6</v>
      </c>
      <c r="CR253" s="15"/>
      <c r="CS253" s="15"/>
      <c r="CT253" s="15"/>
      <c r="CU253" s="15"/>
      <c r="CV253" s="15" t="s">
        <v>328</v>
      </c>
      <c r="CW253" s="15"/>
      <c r="CX253" s="15"/>
      <c r="CY253" s="15"/>
      <c r="CZ253" s="15"/>
      <c r="DA253" s="15">
        <v>1</v>
      </c>
      <c r="DB253" s="15">
        <v>5</v>
      </c>
      <c r="DC253" s="15">
        <v>6</v>
      </c>
      <c r="DD253" s="15">
        <v>4</v>
      </c>
      <c r="DE253" s="15">
        <v>3</v>
      </c>
      <c r="DF253" s="15">
        <v>2</v>
      </c>
      <c r="DG253" s="15"/>
      <c r="DH253" s="15" t="s">
        <v>328</v>
      </c>
      <c r="DI253" s="15"/>
      <c r="DJ253" s="15"/>
      <c r="DK253" s="15"/>
      <c r="DL253" s="15"/>
      <c r="DM253" s="15"/>
      <c r="DN253" s="15" t="s">
        <v>497</v>
      </c>
      <c r="DO253" s="15" t="s">
        <v>328</v>
      </c>
      <c r="DP253" s="15"/>
      <c r="DQ253" s="15"/>
      <c r="DR253" s="15"/>
      <c r="DS253" s="15"/>
      <c r="DT253" s="15"/>
      <c r="DU253" s="15"/>
      <c r="DV253" s="15" t="s">
        <v>497</v>
      </c>
      <c r="DW253" s="15" t="s">
        <v>328</v>
      </c>
      <c r="DX253" s="15"/>
      <c r="DY253" s="15"/>
      <c r="DZ253" s="15"/>
      <c r="EA253" s="15"/>
      <c r="EB253" s="15"/>
      <c r="EC253" s="102" t="s">
        <v>497</v>
      </c>
      <c r="ED253" s="48"/>
    </row>
    <row r="254" spans="1:134" x14ac:dyDescent="0.25">
      <c r="A254" s="51" t="s">
        <v>1856</v>
      </c>
      <c r="B254" s="61" t="s">
        <v>1088</v>
      </c>
      <c r="C254" s="15" t="s">
        <v>328</v>
      </c>
      <c r="D254" s="15"/>
      <c r="E254" s="15">
        <v>48</v>
      </c>
      <c r="F254" s="15" t="s">
        <v>329</v>
      </c>
      <c r="G254" s="15" t="s">
        <v>353</v>
      </c>
      <c r="H254" s="15" t="s">
        <v>1056</v>
      </c>
      <c r="I254" s="15" t="s">
        <v>1266</v>
      </c>
      <c r="J254" s="15" t="s">
        <v>1335</v>
      </c>
      <c r="K254" s="15">
        <v>30</v>
      </c>
      <c r="L254" s="15">
        <v>1</v>
      </c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4"/>
      <c r="Z254" s="15" t="s">
        <v>328</v>
      </c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 t="s">
        <v>328</v>
      </c>
      <c r="AL254" s="15"/>
      <c r="AM254" s="15"/>
      <c r="AN254" s="15" t="s">
        <v>328</v>
      </c>
      <c r="AO254" s="15"/>
      <c r="AP254" s="15">
        <v>0</v>
      </c>
      <c r="AQ254" s="15">
        <v>0</v>
      </c>
      <c r="AR254" s="15"/>
      <c r="AS254" s="15" t="s">
        <v>328</v>
      </c>
      <c r="AT254" s="15"/>
      <c r="AU254" s="15"/>
      <c r="AV254" s="15">
        <v>3</v>
      </c>
      <c r="AW254" s="15">
        <v>1</v>
      </c>
      <c r="AX254" s="15">
        <v>2</v>
      </c>
      <c r="AY254" s="15"/>
      <c r="AZ254" s="15" t="s">
        <v>328</v>
      </c>
      <c r="BA254" s="15"/>
      <c r="BB254" s="15" t="s">
        <v>328</v>
      </c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 t="s">
        <v>328</v>
      </c>
      <c r="BN254" s="15"/>
      <c r="BO254" s="15" t="s">
        <v>328</v>
      </c>
      <c r="BP254" s="15" t="s">
        <v>328</v>
      </c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 t="s">
        <v>328</v>
      </c>
      <c r="CC254" s="15"/>
      <c r="CD254" s="15"/>
      <c r="CE254" s="15" t="s">
        <v>328</v>
      </c>
      <c r="CF254" s="15"/>
      <c r="CG254" s="15"/>
      <c r="CH254" s="15" t="s">
        <v>328</v>
      </c>
      <c r="CI254" s="15"/>
      <c r="CJ254" s="12"/>
      <c r="CK254" s="12"/>
      <c r="CL254" s="15">
        <v>5</v>
      </c>
      <c r="CM254" s="15">
        <v>1</v>
      </c>
      <c r="CN254" s="15">
        <v>2</v>
      </c>
      <c r="CO254" s="15">
        <v>3</v>
      </c>
      <c r="CP254" s="15">
        <v>4</v>
      </c>
      <c r="CQ254" s="15">
        <v>6</v>
      </c>
      <c r="CR254" s="15"/>
      <c r="CS254" s="15"/>
      <c r="CT254" s="15"/>
      <c r="CU254" s="15"/>
      <c r="CV254" s="15"/>
      <c r="CW254" s="15"/>
      <c r="CX254" s="15" t="s">
        <v>332</v>
      </c>
      <c r="CY254" s="15"/>
      <c r="CZ254" s="15"/>
      <c r="DA254" s="15">
        <v>2</v>
      </c>
      <c r="DB254" s="15">
        <v>4</v>
      </c>
      <c r="DC254" s="15">
        <v>3</v>
      </c>
      <c r="DD254" s="15">
        <v>5</v>
      </c>
      <c r="DE254" s="15">
        <v>1</v>
      </c>
      <c r="DF254" s="15">
        <v>6</v>
      </c>
      <c r="DG254" s="15"/>
      <c r="DH254" s="15" t="s">
        <v>328</v>
      </c>
      <c r="DI254" s="15"/>
      <c r="DJ254" s="15"/>
      <c r="DK254" s="15"/>
      <c r="DL254" s="15"/>
      <c r="DM254" s="15"/>
      <c r="DN254" s="15" t="s">
        <v>438</v>
      </c>
      <c r="DO254" s="15" t="s">
        <v>328</v>
      </c>
      <c r="DP254" s="15"/>
      <c r="DQ254" s="15"/>
      <c r="DR254" s="15"/>
      <c r="DS254" s="15"/>
      <c r="DT254" s="15"/>
      <c r="DU254" s="15"/>
      <c r="DV254" s="15" t="s">
        <v>438</v>
      </c>
      <c r="DW254" s="15" t="s">
        <v>328</v>
      </c>
      <c r="DX254" s="15"/>
      <c r="DY254" s="15"/>
      <c r="DZ254" s="15"/>
      <c r="EA254" s="15"/>
      <c r="EB254" s="15"/>
      <c r="EC254" s="102" t="s">
        <v>438</v>
      </c>
      <c r="ED254" s="48"/>
    </row>
    <row r="255" spans="1:134" x14ac:dyDescent="0.25">
      <c r="A255" s="51" t="s">
        <v>1856</v>
      </c>
      <c r="B255" s="61" t="s">
        <v>1089</v>
      </c>
      <c r="C255" s="15" t="s">
        <v>328</v>
      </c>
      <c r="D255" s="15"/>
      <c r="E255" s="15">
        <v>56</v>
      </c>
      <c r="F255" s="15" t="s">
        <v>329</v>
      </c>
      <c r="G255" s="15" t="s">
        <v>330</v>
      </c>
      <c r="H255" s="15" t="s">
        <v>741</v>
      </c>
      <c r="I255" s="15" t="s">
        <v>1212</v>
      </c>
      <c r="J255" s="15" t="s">
        <v>1283</v>
      </c>
      <c r="K255" s="15">
        <v>35</v>
      </c>
      <c r="L255" s="15">
        <v>1</v>
      </c>
      <c r="M255" s="15">
        <v>1</v>
      </c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 t="s">
        <v>328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 t="s">
        <v>328</v>
      </c>
      <c r="AL255" s="15"/>
      <c r="AM255" s="15" t="s">
        <v>328</v>
      </c>
      <c r="AN255" s="15"/>
      <c r="AO255" s="15"/>
      <c r="AP255" s="15">
        <v>10</v>
      </c>
      <c r="AQ255" s="15">
        <v>2</v>
      </c>
      <c r="AR255" s="15"/>
      <c r="AS255" s="15" t="s">
        <v>328</v>
      </c>
      <c r="AT255" s="15"/>
      <c r="AU255" s="15"/>
      <c r="AV255" s="15">
        <v>1</v>
      </c>
      <c r="AW255" s="15">
        <v>3</v>
      </c>
      <c r="AX255" s="15">
        <v>2</v>
      </c>
      <c r="AY255" s="15"/>
      <c r="AZ255" s="15" t="s">
        <v>328</v>
      </c>
      <c r="BA255" s="15"/>
      <c r="BB255" s="15"/>
      <c r="BC255" s="15"/>
      <c r="BD255" s="15"/>
      <c r="BE255" s="15" t="s">
        <v>328</v>
      </c>
      <c r="BF255" s="15"/>
      <c r="BG255" s="15"/>
      <c r="BH255" s="15"/>
      <c r="BI255" s="15"/>
      <c r="BJ255" s="15" t="s">
        <v>328</v>
      </c>
      <c r="BK255" s="15"/>
      <c r="BL255" s="15"/>
      <c r="BM255" s="15" t="s">
        <v>328</v>
      </c>
      <c r="BN255" s="15"/>
      <c r="BO255" s="15" t="s">
        <v>328</v>
      </c>
      <c r="BP255" s="15"/>
      <c r="BQ255" s="15" t="s">
        <v>328</v>
      </c>
      <c r="BR255" s="15"/>
      <c r="BS255" s="15"/>
      <c r="BT255" s="15"/>
      <c r="BU255" s="15" t="s">
        <v>328</v>
      </c>
      <c r="BV255" s="15"/>
      <c r="BW255" s="15"/>
      <c r="BX255" s="15"/>
      <c r="BY255" s="15"/>
      <c r="BZ255" s="15"/>
      <c r="CA255" s="15"/>
      <c r="CB255" s="15" t="s">
        <v>328</v>
      </c>
      <c r="CC255" s="15"/>
      <c r="CD255" s="15" t="s">
        <v>328</v>
      </c>
      <c r="CE255" s="15"/>
      <c r="CF255" s="15"/>
      <c r="CG255" s="15"/>
      <c r="CH255" s="15" t="s">
        <v>328</v>
      </c>
      <c r="CI255" s="15"/>
      <c r="CJ255" s="12"/>
      <c r="CK255" s="12"/>
      <c r="CL255" s="15">
        <v>1</v>
      </c>
      <c r="CM255" s="15">
        <v>5</v>
      </c>
      <c r="CN255" s="15">
        <v>6</v>
      </c>
      <c r="CO255" s="15">
        <v>3</v>
      </c>
      <c r="CP255" s="15">
        <v>4</v>
      </c>
      <c r="CQ255" s="15">
        <v>2</v>
      </c>
      <c r="CR255" s="15"/>
      <c r="CS255" s="15"/>
      <c r="CT255" s="15"/>
      <c r="CU255" s="15"/>
      <c r="CV255" s="15" t="s">
        <v>328</v>
      </c>
      <c r="CW255" s="15"/>
      <c r="CX255" s="15"/>
      <c r="CY255" s="15"/>
      <c r="CZ255" s="15"/>
      <c r="DA255" s="15">
        <v>1</v>
      </c>
      <c r="DB255" s="15">
        <v>4</v>
      </c>
      <c r="DC255" s="15">
        <v>5</v>
      </c>
      <c r="DD255" s="15">
        <v>2</v>
      </c>
      <c r="DE255" s="15">
        <v>3</v>
      </c>
      <c r="DF255" s="15">
        <v>6</v>
      </c>
      <c r="DG255" s="15"/>
      <c r="DH255" s="15" t="s">
        <v>328</v>
      </c>
      <c r="DI255" s="15"/>
      <c r="DJ255" s="15"/>
      <c r="DK255" s="15"/>
      <c r="DL255" s="15"/>
      <c r="DM255" s="15"/>
      <c r="DN255" s="15" t="s">
        <v>1161</v>
      </c>
      <c r="DO255" s="15" t="s">
        <v>328</v>
      </c>
      <c r="DP255" s="15"/>
      <c r="DQ255" s="15"/>
      <c r="DR255" s="15"/>
      <c r="DS255" s="15"/>
      <c r="DT255" s="15"/>
      <c r="DU255" s="15"/>
      <c r="DV255" s="15" t="s">
        <v>1161</v>
      </c>
      <c r="DW255" s="15" t="s">
        <v>328</v>
      </c>
      <c r="DX255" s="15"/>
      <c r="DY255" s="15"/>
      <c r="DZ255" s="15"/>
      <c r="EA255" s="15"/>
      <c r="EB255" s="15"/>
      <c r="EC255" s="102" t="s">
        <v>1161</v>
      </c>
      <c r="ED255" s="48"/>
    </row>
    <row r="256" spans="1:134" x14ac:dyDescent="0.25">
      <c r="A256" s="51" t="s">
        <v>1856</v>
      </c>
      <c r="B256" s="61" t="s">
        <v>1090</v>
      </c>
      <c r="C256" s="15" t="s">
        <v>328</v>
      </c>
      <c r="D256" s="15"/>
      <c r="E256" s="15">
        <v>49</v>
      </c>
      <c r="F256" s="15" t="s">
        <v>329</v>
      </c>
      <c r="G256" s="15" t="s">
        <v>353</v>
      </c>
      <c r="H256" s="15" t="s">
        <v>1091</v>
      </c>
      <c r="I256" s="15" t="s">
        <v>1313</v>
      </c>
      <c r="J256" s="15" t="s">
        <v>1288</v>
      </c>
      <c r="K256" s="15">
        <v>20</v>
      </c>
      <c r="L256" s="15">
        <v>1</v>
      </c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>
        <v>1</v>
      </c>
      <c r="Y256" s="14"/>
      <c r="Z256" s="15" t="s">
        <v>328</v>
      </c>
      <c r="AA256" s="15" t="s">
        <v>328</v>
      </c>
      <c r="AB256" s="15"/>
      <c r="AC256" s="15"/>
      <c r="AD256" s="15"/>
      <c r="AE256" s="15" t="s">
        <v>328</v>
      </c>
      <c r="AF256" s="15"/>
      <c r="AG256" s="15"/>
      <c r="AH256" s="15"/>
      <c r="AI256" s="15"/>
      <c r="AJ256" s="15"/>
      <c r="AK256" s="15" t="s">
        <v>328</v>
      </c>
      <c r="AL256" s="15"/>
      <c r="AM256" s="15" t="s">
        <v>328</v>
      </c>
      <c r="AN256" s="15" t="s">
        <v>328</v>
      </c>
      <c r="AO256" s="15"/>
      <c r="AP256" s="15">
        <v>0</v>
      </c>
      <c r="AQ256" s="15">
        <v>0</v>
      </c>
      <c r="AR256" s="15"/>
      <c r="AS256" s="15" t="s">
        <v>328</v>
      </c>
      <c r="AT256" s="15"/>
      <c r="AU256" s="15"/>
      <c r="AV256" s="15">
        <v>1</v>
      </c>
      <c r="AW256" s="15">
        <v>2</v>
      </c>
      <c r="AX256" s="15">
        <v>3</v>
      </c>
      <c r="AY256" s="15"/>
      <c r="AZ256" s="15" t="s">
        <v>328</v>
      </c>
      <c r="BA256" s="15"/>
      <c r="BB256" s="15" t="s">
        <v>328</v>
      </c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 t="s">
        <v>328</v>
      </c>
      <c r="BN256" s="15"/>
      <c r="BO256" s="15" t="s">
        <v>328</v>
      </c>
      <c r="BP256" s="15" t="s">
        <v>328</v>
      </c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 t="s">
        <v>328</v>
      </c>
      <c r="CC256" s="15"/>
      <c r="CD256" s="15" t="s">
        <v>328</v>
      </c>
      <c r="CE256" s="15"/>
      <c r="CF256" s="15"/>
      <c r="CG256" s="15"/>
      <c r="CH256" s="15" t="s">
        <v>328</v>
      </c>
      <c r="CI256" s="15"/>
      <c r="CJ256" s="12"/>
      <c r="CK256" s="12"/>
      <c r="CL256" s="15">
        <v>5</v>
      </c>
      <c r="CM256" s="15">
        <v>1</v>
      </c>
      <c r="CN256" s="15">
        <v>4</v>
      </c>
      <c r="CO256" s="15">
        <v>3</v>
      </c>
      <c r="CP256" s="15">
        <v>2</v>
      </c>
      <c r="CQ256" s="15">
        <v>6</v>
      </c>
      <c r="CR256" s="15"/>
      <c r="CS256" s="15"/>
      <c r="CT256" s="15"/>
      <c r="CU256" s="15"/>
      <c r="CV256" s="15"/>
      <c r="CW256" s="15"/>
      <c r="CX256" s="15" t="s">
        <v>332</v>
      </c>
      <c r="CY256" s="15"/>
      <c r="CZ256" s="15"/>
      <c r="DA256" s="15">
        <v>1</v>
      </c>
      <c r="DB256" s="15">
        <v>3</v>
      </c>
      <c r="DC256" s="15">
        <v>4</v>
      </c>
      <c r="DD256" s="15">
        <v>5</v>
      </c>
      <c r="DE256" s="15">
        <v>2</v>
      </c>
      <c r="DF256" s="15">
        <v>6</v>
      </c>
      <c r="DG256" s="15"/>
      <c r="DH256" s="15" t="s">
        <v>328</v>
      </c>
      <c r="DI256" s="15"/>
      <c r="DJ256" s="15"/>
      <c r="DK256" s="15"/>
      <c r="DL256" s="15"/>
      <c r="DM256" s="15"/>
      <c r="DN256" s="15" t="s">
        <v>1152</v>
      </c>
      <c r="DO256" s="15" t="s">
        <v>328</v>
      </c>
      <c r="DP256" s="15"/>
      <c r="DQ256" s="15"/>
      <c r="DR256" s="15"/>
      <c r="DS256" s="15"/>
      <c r="DT256" s="15"/>
      <c r="DU256" s="15"/>
      <c r="DV256" s="15" t="s">
        <v>1152</v>
      </c>
      <c r="DW256" s="15" t="s">
        <v>328</v>
      </c>
      <c r="DX256" s="15"/>
      <c r="DY256" s="15"/>
      <c r="DZ256" s="15"/>
      <c r="EA256" s="15"/>
      <c r="EB256" s="15"/>
      <c r="EC256" s="102" t="s">
        <v>1152</v>
      </c>
      <c r="ED256" s="48"/>
    </row>
    <row r="257" spans="1:134" x14ac:dyDescent="0.25">
      <c r="A257" s="51" t="s">
        <v>1856</v>
      </c>
      <c r="B257" s="61" t="s">
        <v>1092</v>
      </c>
      <c r="C257" s="15" t="s">
        <v>328</v>
      </c>
      <c r="D257" s="15"/>
      <c r="E257" s="15">
        <v>39</v>
      </c>
      <c r="F257" s="15" t="s">
        <v>329</v>
      </c>
      <c r="G257" s="15" t="s">
        <v>330</v>
      </c>
      <c r="H257" s="15" t="s">
        <v>1093</v>
      </c>
      <c r="I257" s="15" t="s">
        <v>1314</v>
      </c>
      <c r="J257" s="15" t="s">
        <v>1315</v>
      </c>
      <c r="K257" s="15">
        <v>18</v>
      </c>
      <c r="L257" s="15">
        <v>1</v>
      </c>
      <c r="M257" s="15">
        <v>1</v>
      </c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 t="s">
        <v>328</v>
      </c>
      <c r="AA257" s="15" t="s">
        <v>328</v>
      </c>
      <c r="AB257" s="15"/>
      <c r="AC257" s="15"/>
      <c r="AD257" s="15"/>
      <c r="AE257" s="15" t="s">
        <v>328</v>
      </c>
      <c r="AF257" s="15"/>
      <c r="AG257" s="15"/>
      <c r="AH257" s="15"/>
      <c r="AI257" s="15"/>
      <c r="AJ257" s="15"/>
      <c r="AK257" s="15" t="s">
        <v>328</v>
      </c>
      <c r="AL257" s="15"/>
      <c r="AM257" s="15" t="s">
        <v>328</v>
      </c>
      <c r="AN257" s="15"/>
      <c r="AO257" s="15"/>
      <c r="AP257" s="15">
        <v>0</v>
      </c>
      <c r="AQ257" s="15">
        <v>0</v>
      </c>
      <c r="AR257" s="15"/>
      <c r="AS257" s="15" t="s">
        <v>328</v>
      </c>
      <c r="AT257" s="15"/>
      <c r="AU257" s="15"/>
      <c r="AV257" s="15">
        <v>1</v>
      </c>
      <c r="AW257" s="15">
        <v>2</v>
      </c>
      <c r="AX257" s="15">
        <v>3</v>
      </c>
      <c r="AY257" s="15"/>
      <c r="AZ257" s="15" t="s">
        <v>328</v>
      </c>
      <c r="BA257" s="15"/>
      <c r="BB257" s="15" t="s">
        <v>328</v>
      </c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 t="s">
        <v>328</v>
      </c>
      <c r="BN257" s="15"/>
      <c r="BO257" s="15" t="s">
        <v>328</v>
      </c>
      <c r="BP257" s="15" t="s">
        <v>328</v>
      </c>
      <c r="BQ257" s="15"/>
      <c r="BR257" s="15"/>
      <c r="BS257" s="15"/>
      <c r="BT257" s="15"/>
      <c r="BU257" s="15" t="s">
        <v>328</v>
      </c>
      <c r="BV257" s="15"/>
      <c r="BW257" s="15"/>
      <c r="BX257" s="15"/>
      <c r="BY257" s="15"/>
      <c r="BZ257" s="15"/>
      <c r="CA257" s="15" t="s">
        <v>328</v>
      </c>
      <c r="CB257" s="15" t="s">
        <v>328</v>
      </c>
      <c r="CC257" s="15"/>
      <c r="CD257" s="15"/>
      <c r="CE257" s="15"/>
      <c r="CF257" s="15"/>
      <c r="CG257" s="15" t="s">
        <v>328</v>
      </c>
      <c r="CH257" s="15"/>
      <c r="CI257" s="15"/>
      <c r="CJ257" s="12"/>
      <c r="CK257" s="12"/>
      <c r="CL257" s="15">
        <v>6</v>
      </c>
      <c r="CM257" s="15">
        <v>2</v>
      </c>
      <c r="CN257" s="15">
        <v>1</v>
      </c>
      <c r="CO257" s="15">
        <v>4</v>
      </c>
      <c r="CP257" s="15">
        <v>3</v>
      </c>
      <c r="CQ257" s="15">
        <v>5</v>
      </c>
      <c r="CR257" s="15"/>
      <c r="CS257" s="15"/>
      <c r="CT257" s="15"/>
      <c r="CU257" s="15"/>
      <c r="CV257" s="15"/>
      <c r="CW257" s="15"/>
      <c r="CX257" s="15" t="s">
        <v>332</v>
      </c>
      <c r="CY257" s="15"/>
      <c r="CZ257" s="15"/>
      <c r="DA257" s="15">
        <v>1</v>
      </c>
      <c r="DB257" s="15">
        <v>4</v>
      </c>
      <c r="DC257" s="15">
        <v>2</v>
      </c>
      <c r="DD257" s="15">
        <v>5</v>
      </c>
      <c r="DE257" s="15">
        <v>3</v>
      </c>
      <c r="DF257" s="15">
        <v>6</v>
      </c>
      <c r="DG257" s="15"/>
      <c r="DH257" s="15" t="s">
        <v>328</v>
      </c>
      <c r="DI257" s="15"/>
      <c r="DJ257" s="15"/>
      <c r="DK257" s="15"/>
      <c r="DL257" s="15"/>
      <c r="DM257" s="15"/>
      <c r="DN257" s="15" t="s">
        <v>497</v>
      </c>
      <c r="DO257" s="15" t="s">
        <v>328</v>
      </c>
      <c r="DP257" s="15"/>
      <c r="DQ257" s="15"/>
      <c r="DR257" s="15"/>
      <c r="DS257" s="15"/>
      <c r="DT257" s="15"/>
      <c r="DU257" s="15"/>
      <c r="DV257" s="15" t="s">
        <v>497</v>
      </c>
      <c r="DW257" s="15" t="s">
        <v>328</v>
      </c>
      <c r="DX257" s="15"/>
      <c r="DY257" s="15"/>
      <c r="DZ257" s="15"/>
      <c r="EA257" s="15"/>
      <c r="EB257" s="15"/>
      <c r="EC257" s="102" t="s">
        <v>497</v>
      </c>
      <c r="ED257" s="48"/>
    </row>
    <row r="258" spans="1:134" x14ac:dyDescent="0.25">
      <c r="A258" s="51" t="s">
        <v>1856</v>
      </c>
      <c r="B258" s="61" t="s">
        <v>1094</v>
      </c>
      <c r="C258" s="15" t="s">
        <v>328</v>
      </c>
      <c r="D258" s="15"/>
      <c r="E258" s="15">
        <v>52</v>
      </c>
      <c r="F258" s="15" t="s">
        <v>329</v>
      </c>
      <c r="G258" s="15" t="s">
        <v>330</v>
      </c>
      <c r="H258" s="15" t="s">
        <v>1095</v>
      </c>
      <c r="I258" s="15" t="s">
        <v>1316</v>
      </c>
      <c r="J258" s="15" t="s">
        <v>1311</v>
      </c>
      <c r="K258" s="15">
        <v>30</v>
      </c>
      <c r="L258" s="15">
        <v>2</v>
      </c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>
        <v>2</v>
      </c>
      <c r="Y258" s="14"/>
      <c r="Z258" s="15" t="s">
        <v>328</v>
      </c>
      <c r="AA258" s="15" t="s">
        <v>328</v>
      </c>
      <c r="AB258" s="15"/>
      <c r="AC258" s="15"/>
      <c r="AD258" s="15"/>
      <c r="AE258" s="15" t="s">
        <v>328</v>
      </c>
      <c r="AF258" s="15"/>
      <c r="AG258" s="15"/>
      <c r="AH258" s="15"/>
      <c r="AI258" s="15"/>
      <c r="AJ258" s="15"/>
      <c r="AK258" s="15" t="s">
        <v>328</v>
      </c>
      <c r="AL258" s="15"/>
      <c r="AM258" s="15" t="s">
        <v>328</v>
      </c>
      <c r="AN258" s="15"/>
      <c r="AO258" s="15"/>
      <c r="AP258" s="15">
        <v>0</v>
      </c>
      <c r="AQ258" s="15">
        <v>0</v>
      </c>
      <c r="AR258" s="15" t="s">
        <v>328</v>
      </c>
      <c r="AS258" s="15" t="s">
        <v>328</v>
      </c>
      <c r="AT258" s="15"/>
      <c r="AU258" s="15"/>
      <c r="AV258" s="15">
        <v>1</v>
      </c>
      <c r="AW258" s="15">
        <v>2</v>
      </c>
      <c r="AX258" s="15">
        <v>3</v>
      </c>
      <c r="AY258" s="15"/>
      <c r="AZ258" s="15" t="s">
        <v>328</v>
      </c>
      <c r="BA258" s="15"/>
      <c r="BB258" s="15" t="s">
        <v>328</v>
      </c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 t="s">
        <v>328</v>
      </c>
      <c r="BN258" s="15" t="s">
        <v>328</v>
      </c>
      <c r="BO258" s="15"/>
      <c r="BP258" s="15" t="s">
        <v>328</v>
      </c>
      <c r="BQ258" s="15"/>
      <c r="BR258" s="15"/>
      <c r="BS258" s="15"/>
      <c r="BT258" s="15"/>
      <c r="BU258" s="15" t="s">
        <v>328</v>
      </c>
      <c r="BV258" s="15"/>
      <c r="BW258" s="15"/>
      <c r="BX258" s="15"/>
      <c r="BY258" s="15"/>
      <c r="BZ258" s="15" t="s">
        <v>328</v>
      </c>
      <c r="CA258" s="15"/>
      <c r="CB258" s="15" t="s">
        <v>328</v>
      </c>
      <c r="CC258" s="15"/>
      <c r="CD258" s="15"/>
      <c r="CE258" s="15" t="s">
        <v>328</v>
      </c>
      <c r="CF258" s="15"/>
      <c r="CG258" s="15"/>
      <c r="CH258" s="15" t="s">
        <v>328</v>
      </c>
      <c r="CI258" s="15"/>
      <c r="CJ258" s="12"/>
      <c r="CK258" s="12"/>
      <c r="CL258" s="15">
        <v>5</v>
      </c>
      <c r="CM258" s="15">
        <v>2</v>
      </c>
      <c r="CN258" s="15">
        <v>4</v>
      </c>
      <c r="CO258" s="15">
        <v>1</v>
      </c>
      <c r="CP258" s="15">
        <v>3</v>
      </c>
      <c r="CQ258" s="15">
        <v>6</v>
      </c>
      <c r="CR258" s="15"/>
      <c r="CS258" s="15"/>
      <c r="CT258" s="15"/>
      <c r="CU258" s="15"/>
      <c r="CV258" s="15" t="s">
        <v>328</v>
      </c>
      <c r="CW258" s="15"/>
      <c r="CX258" s="15"/>
      <c r="CY258" s="15"/>
      <c r="CZ258" s="15"/>
      <c r="DA258" s="15">
        <v>1</v>
      </c>
      <c r="DB258" s="15">
        <v>2</v>
      </c>
      <c r="DC258" s="15">
        <v>3</v>
      </c>
      <c r="DD258" s="15">
        <v>4</v>
      </c>
      <c r="DE258" s="15">
        <v>5</v>
      </c>
      <c r="DF258" s="15">
        <v>6</v>
      </c>
      <c r="DG258" s="15"/>
      <c r="DH258" s="15" t="s">
        <v>328</v>
      </c>
      <c r="DI258" s="15"/>
      <c r="DJ258" s="15"/>
      <c r="DK258" s="15"/>
      <c r="DL258" s="15"/>
      <c r="DM258" s="15"/>
      <c r="DN258" s="15" t="s">
        <v>438</v>
      </c>
      <c r="DO258" s="15" t="s">
        <v>328</v>
      </c>
      <c r="DP258" s="15"/>
      <c r="DQ258" s="15"/>
      <c r="DR258" s="15"/>
      <c r="DS258" s="15"/>
      <c r="DT258" s="15"/>
      <c r="DU258" s="15"/>
      <c r="DV258" s="15" t="s">
        <v>438</v>
      </c>
      <c r="DW258" s="15" t="s">
        <v>328</v>
      </c>
      <c r="DX258" s="15"/>
      <c r="DY258" s="15"/>
      <c r="DZ258" s="15"/>
      <c r="EA258" s="15"/>
      <c r="EB258" s="15"/>
      <c r="EC258" s="102" t="s">
        <v>438</v>
      </c>
      <c r="ED258" s="48"/>
    </row>
    <row r="259" spans="1:134" x14ac:dyDescent="0.25">
      <c r="A259" s="51" t="s">
        <v>1856</v>
      </c>
      <c r="B259" s="61" t="s">
        <v>1096</v>
      </c>
      <c r="C259" s="15" t="s">
        <v>328</v>
      </c>
      <c r="D259" s="15"/>
      <c r="E259" s="15">
        <v>47</v>
      </c>
      <c r="F259" s="15" t="s">
        <v>329</v>
      </c>
      <c r="G259" s="15" t="s">
        <v>584</v>
      </c>
      <c r="H259" s="15" t="s">
        <v>1097</v>
      </c>
      <c r="I259" s="15" t="s">
        <v>1317</v>
      </c>
      <c r="J259" s="14" t="s">
        <v>1337</v>
      </c>
      <c r="K259" s="15">
        <v>30</v>
      </c>
      <c r="L259" s="15">
        <v>1</v>
      </c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>
        <v>1</v>
      </c>
      <c r="Y259" s="14"/>
      <c r="Z259" s="15" t="s">
        <v>328</v>
      </c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 t="s">
        <v>328</v>
      </c>
      <c r="AL259" s="15"/>
      <c r="AM259" s="15" t="s">
        <v>328</v>
      </c>
      <c r="AN259" s="15" t="s">
        <v>328</v>
      </c>
      <c r="AO259" s="15"/>
      <c r="AP259" s="15">
        <v>0</v>
      </c>
      <c r="AQ259" s="15">
        <v>0</v>
      </c>
      <c r="AR259" s="15"/>
      <c r="AS259" s="15" t="s">
        <v>328</v>
      </c>
      <c r="AT259" s="15"/>
      <c r="AU259" s="15"/>
      <c r="AV259" s="15">
        <v>3</v>
      </c>
      <c r="AW259" s="15">
        <v>2</v>
      </c>
      <c r="AX259" s="15">
        <v>1</v>
      </c>
      <c r="AY259" s="15"/>
      <c r="AZ259" s="15" t="s">
        <v>328</v>
      </c>
      <c r="BA259" s="15"/>
      <c r="BB259" s="15" t="s">
        <v>328</v>
      </c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 t="s">
        <v>328</v>
      </c>
      <c r="BN259" s="15"/>
      <c r="BO259" s="15" t="s">
        <v>328</v>
      </c>
      <c r="BP259" s="15"/>
      <c r="BQ259" s="15"/>
      <c r="BR259" s="15"/>
      <c r="BS259" s="15"/>
      <c r="BT259" s="15"/>
      <c r="BU259" s="12"/>
      <c r="BV259" s="14" t="s">
        <v>874</v>
      </c>
      <c r="BW259" s="15"/>
      <c r="BX259" s="15"/>
      <c r="BY259" s="15"/>
      <c r="BZ259" s="15"/>
      <c r="CA259" s="15"/>
      <c r="CB259" s="15"/>
      <c r="CC259" s="15" t="s">
        <v>328</v>
      </c>
      <c r="CD259" s="15" t="s">
        <v>328</v>
      </c>
      <c r="CE259" s="15"/>
      <c r="CF259" s="15"/>
      <c r="CG259" s="15"/>
      <c r="CH259" s="15" t="s">
        <v>328</v>
      </c>
      <c r="CI259" s="15"/>
      <c r="CJ259" s="12"/>
      <c r="CK259" s="12"/>
      <c r="CL259" s="15">
        <v>5</v>
      </c>
      <c r="CM259" s="15">
        <v>1</v>
      </c>
      <c r="CN259" s="15">
        <v>4</v>
      </c>
      <c r="CO259" s="15">
        <v>2</v>
      </c>
      <c r="CP259" s="15">
        <v>3</v>
      </c>
      <c r="CQ259" s="15">
        <v>6</v>
      </c>
      <c r="CR259" s="15"/>
      <c r="CS259" s="15"/>
      <c r="CT259" s="15"/>
      <c r="CU259" s="15"/>
      <c r="CV259" s="15"/>
      <c r="CW259" s="15"/>
      <c r="CX259" s="15" t="s">
        <v>332</v>
      </c>
      <c r="CY259" s="15"/>
      <c r="CZ259" s="15"/>
      <c r="DA259" s="15">
        <v>1</v>
      </c>
      <c r="DB259" s="15">
        <v>2</v>
      </c>
      <c r="DC259" s="15">
        <v>3</v>
      </c>
      <c r="DD259" s="15">
        <v>4</v>
      </c>
      <c r="DE259" s="15">
        <v>5</v>
      </c>
      <c r="DF259" s="15">
        <v>6</v>
      </c>
      <c r="DG259" s="15"/>
      <c r="DH259" s="15" t="s">
        <v>328</v>
      </c>
      <c r="DI259" s="15"/>
      <c r="DJ259" s="15"/>
      <c r="DK259" s="15"/>
      <c r="DL259" s="15"/>
      <c r="DM259" s="15"/>
      <c r="DN259" s="15" t="s">
        <v>333</v>
      </c>
      <c r="DO259" s="15" t="s">
        <v>328</v>
      </c>
      <c r="DP259" s="15"/>
      <c r="DQ259" s="15"/>
      <c r="DR259" s="15"/>
      <c r="DS259" s="15"/>
      <c r="DT259" s="15"/>
      <c r="DU259" s="15"/>
      <c r="DV259" s="15" t="s">
        <v>333</v>
      </c>
      <c r="DW259" s="15" t="s">
        <v>328</v>
      </c>
      <c r="DX259" s="15"/>
      <c r="DY259" s="15"/>
      <c r="DZ259" s="15"/>
      <c r="EA259" s="15"/>
      <c r="EB259" s="15"/>
      <c r="EC259" s="102" t="s">
        <v>333</v>
      </c>
      <c r="ED259" s="48"/>
    </row>
    <row r="260" spans="1:134" x14ac:dyDescent="0.25">
      <c r="A260" s="51" t="s">
        <v>1856</v>
      </c>
      <c r="B260" s="61" t="s">
        <v>1098</v>
      </c>
      <c r="C260" s="15" t="s">
        <v>328</v>
      </c>
      <c r="D260" s="15"/>
      <c r="E260" s="15">
        <v>50</v>
      </c>
      <c r="F260" s="15" t="s">
        <v>329</v>
      </c>
      <c r="G260" s="15" t="s">
        <v>584</v>
      </c>
      <c r="H260" s="15" t="s">
        <v>1099</v>
      </c>
      <c r="I260" s="15" t="s">
        <v>1318</v>
      </c>
      <c r="J260" s="15" t="s">
        <v>1284</v>
      </c>
      <c r="K260" s="15">
        <v>32</v>
      </c>
      <c r="L260" s="15">
        <v>1</v>
      </c>
      <c r="M260" s="15">
        <v>1</v>
      </c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 t="s">
        <v>328</v>
      </c>
      <c r="AA260" s="15" t="s">
        <v>328</v>
      </c>
      <c r="AB260" s="15"/>
      <c r="AC260" s="15"/>
      <c r="AD260" s="15"/>
      <c r="AE260" s="15" t="s">
        <v>328</v>
      </c>
      <c r="AF260" s="15"/>
      <c r="AG260" s="15"/>
      <c r="AH260" s="15"/>
      <c r="AI260" s="15"/>
      <c r="AJ260" s="15"/>
      <c r="AK260" s="15" t="s">
        <v>328</v>
      </c>
      <c r="AL260" s="15"/>
      <c r="AM260" s="15" t="s">
        <v>328</v>
      </c>
      <c r="AN260" s="15"/>
      <c r="AO260" s="15"/>
      <c r="AP260" s="15">
        <v>0</v>
      </c>
      <c r="AQ260" s="15">
        <v>0</v>
      </c>
      <c r="AR260" s="15"/>
      <c r="AS260" s="15" t="s">
        <v>328</v>
      </c>
      <c r="AT260" s="15"/>
      <c r="AU260" s="15"/>
      <c r="AV260" s="15">
        <v>2</v>
      </c>
      <c r="AW260" s="15">
        <v>3</v>
      </c>
      <c r="AX260" s="15">
        <v>1</v>
      </c>
      <c r="AY260" s="15"/>
      <c r="AZ260" s="15" t="s">
        <v>328</v>
      </c>
      <c r="BA260" s="15"/>
      <c r="BB260" s="15" t="s">
        <v>328</v>
      </c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 t="s">
        <v>328</v>
      </c>
      <c r="BN260" s="15"/>
      <c r="BO260" s="15" t="s">
        <v>328</v>
      </c>
      <c r="BP260" s="15" t="s">
        <v>328</v>
      </c>
      <c r="BQ260" s="15" t="s">
        <v>328</v>
      </c>
      <c r="BR260" s="15"/>
      <c r="BS260" s="15"/>
      <c r="BT260" s="15"/>
      <c r="BU260" s="15"/>
      <c r="BV260" s="15"/>
      <c r="BW260" s="15"/>
      <c r="BX260" s="15"/>
      <c r="BY260" s="15"/>
      <c r="BZ260" s="15" t="s">
        <v>328</v>
      </c>
      <c r="CA260" s="15"/>
      <c r="CB260" s="15" t="s">
        <v>328</v>
      </c>
      <c r="CC260" s="15"/>
      <c r="CD260" s="15"/>
      <c r="CE260" s="15"/>
      <c r="CF260" s="15"/>
      <c r="CG260" s="15" t="s">
        <v>328</v>
      </c>
      <c r="CH260" s="15"/>
      <c r="CI260" s="15"/>
      <c r="CJ260" s="12"/>
      <c r="CK260" s="12"/>
      <c r="CL260" s="15">
        <v>1</v>
      </c>
      <c r="CM260" s="15">
        <v>2</v>
      </c>
      <c r="CN260" s="15">
        <v>5</v>
      </c>
      <c r="CO260" s="15">
        <v>3</v>
      </c>
      <c r="CP260" s="15">
        <v>4</v>
      </c>
      <c r="CQ260" s="15">
        <v>6</v>
      </c>
      <c r="CR260" s="15"/>
      <c r="CS260" s="15"/>
      <c r="CT260" s="15"/>
      <c r="CU260" s="15"/>
      <c r="CV260" s="15"/>
      <c r="CW260" s="15"/>
      <c r="CX260" s="15" t="s">
        <v>332</v>
      </c>
      <c r="CY260" s="15"/>
      <c r="CZ260" s="15"/>
      <c r="DA260" s="15">
        <v>1</v>
      </c>
      <c r="DB260" s="15">
        <v>2</v>
      </c>
      <c r="DC260" s="15">
        <v>4</v>
      </c>
      <c r="DD260" s="15">
        <v>3</v>
      </c>
      <c r="DE260" s="15">
        <v>5</v>
      </c>
      <c r="DF260" s="15">
        <v>6</v>
      </c>
      <c r="DG260" s="15"/>
      <c r="DH260" s="15" t="s">
        <v>328</v>
      </c>
      <c r="DI260" s="15"/>
      <c r="DJ260" s="15"/>
      <c r="DK260" s="15"/>
      <c r="DL260" s="15"/>
      <c r="DM260" s="15"/>
      <c r="DN260" s="15" t="s">
        <v>1145</v>
      </c>
      <c r="DO260" s="15" t="s">
        <v>328</v>
      </c>
      <c r="DP260" s="15"/>
      <c r="DQ260" s="15"/>
      <c r="DR260" s="15"/>
      <c r="DS260" s="15"/>
      <c r="DT260" s="15"/>
      <c r="DU260" s="15"/>
      <c r="DV260" s="15" t="s">
        <v>1145</v>
      </c>
      <c r="DW260" s="15" t="s">
        <v>328</v>
      </c>
      <c r="DX260" s="15"/>
      <c r="DY260" s="15"/>
      <c r="DZ260" s="15"/>
      <c r="EA260" s="15"/>
      <c r="EB260" s="15"/>
      <c r="EC260" s="102" t="s">
        <v>1145</v>
      </c>
      <c r="ED260" s="48"/>
    </row>
    <row r="261" spans="1:134" x14ac:dyDescent="0.25">
      <c r="A261" s="51" t="s">
        <v>1856</v>
      </c>
      <c r="B261" s="61" t="s">
        <v>1100</v>
      </c>
      <c r="C261" s="15" t="s">
        <v>328</v>
      </c>
      <c r="D261" s="15"/>
      <c r="E261" s="15">
        <v>49</v>
      </c>
      <c r="F261" s="15" t="s">
        <v>329</v>
      </c>
      <c r="G261" s="15" t="s">
        <v>330</v>
      </c>
      <c r="H261" s="15" t="s">
        <v>380</v>
      </c>
      <c r="I261" s="15" t="s">
        <v>1188</v>
      </c>
      <c r="J261" s="15" t="s">
        <v>1188</v>
      </c>
      <c r="K261" s="15">
        <v>28</v>
      </c>
      <c r="L261" s="15">
        <v>1</v>
      </c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>
        <v>1</v>
      </c>
      <c r="Y261" s="14"/>
      <c r="Z261" s="15" t="s">
        <v>328</v>
      </c>
      <c r="AA261" s="15"/>
      <c r="AB261" s="15"/>
      <c r="AC261" s="15"/>
      <c r="AD261" s="15"/>
      <c r="AE261" s="15" t="s">
        <v>328</v>
      </c>
      <c r="AF261" s="15"/>
      <c r="AG261" s="15"/>
      <c r="AH261" s="15"/>
      <c r="AI261" s="15"/>
      <c r="AJ261" s="15"/>
      <c r="AK261" s="15" t="s">
        <v>328</v>
      </c>
      <c r="AL261" s="15"/>
      <c r="AM261" s="15" t="s">
        <v>328</v>
      </c>
      <c r="AN261" s="15"/>
      <c r="AO261" s="15"/>
      <c r="AP261" s="15">
        <v>0</v>
      </c>
      <c r="AQ261" s="15">
        <v>0</v>
      </c>
      <c r="AR261" s="15"/>
      <c r="AS261" s="15" t="s">
        <v>328</v>
      </c>
      <c r="AT261" s="15"/>
      <c r="AU261" s="15"/>
      <c r="AV261" s="15">
        <v>1</v>
      </c>
      <c r="AW261" s="15">
        <v>3</v>
      </c>
      <c r="AX261" s="15">
        <v>2</v>
      </c>
      <c r="AY261" s="15"/>
      <c r="AZ261" s="15" t="s">
        <v>328</v>
      </c>
      <c r="BA261" s="15"/>
      <c r="BB261" s="15" t="s">
        <v>328</v>
      </c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 t="s">
        <v>328</v>
      </c>
      <c r="BN261" s="15"/>
      <c r="BO261" s="15" t="s">
        <v>328</v>
      </c>
      <c r="BP261" s="15" t="s">
        <v>328</v>
      </c>
      <c r="BQ261" s="15"/>
      <c r="BR261" s="15"/>
      <c r="BS261" s="15"/>
      <c r="BT261" s="15"/>
      <c r="BU261" s="15" t="s">
        <v>328</v>
      </c>
      <c r="BV261" s="15"/>
      <c r="BW261" s="15"/>
      <c r="BX261" s="15"/>
      <c r="BY261" s="15"/>
      <c r="BZ261" s="15"/>
      <c r="CA261" s="15"/>
      <c r="CB261" s="15" t="s">
        <v>328</v>
      </c>
      <c r="CC261" s="15"/>
      <c r="CD261" s="15"/>
      <c r="CE261" s="15"/>
      <c r="CF261" s="15"/>
      <c r="CG261" s="15" t="s">
        <v>328</v>
      </c>
      <c r="CH261" s="15"/>
      <c r="CI261" s="15"/>
      <c r="CJ261" s="12"/>
      <c r="CK261" s="12"/>
      <c r="CL261" s="15">
        <v>4</v>
      </c>
      <c r="CM261" s="15">
        <v>3</v>
      </c>
      <c r="CN261" s="15">
        <v>6</v>
      </c>
      <c r="CO261" s="15">
        <v>1</v>
      </c>
      <c r="CP261" s="15">
        <v>2</v>
      </c>
      <c r="CQ261" s="15">
        <v>5</v>
      </c>
      <c r="CR261" s="15"/>
      <c r="CS261" s="15"/>
      <c r="CT261" s="15"/>
      <c r="CU261" s="15"/>
      <c r="CV261" s="15"/>
      <c r="CW261" s="15"/>
      <c r="CX261" s="15" t="s">
        <v>332</v>
      </c>
      <c r="CY261" s="15"/>
      <c r="CZ261" s="15"/>
      <c r="DA261" s="15">
        <v>1</v>
      </c>
      <c r="DB261" s="15">
        <v>2</v>
      </c>
      <c r="DC261" s="15">
        <v>3</v>
      </c>
      <c r="DD261" s="15">
        <v>5</v>
      </c>
      <c r="DE261" s="15">
        <v>4</v>
      </c>
      <c r="DF261" s="15">
        <v>6</v>
      </c>
      <c r="DG261" s="15"/>
      <c r="DH261" s="15" t="s">
        <v>328</v>
      </c>
      <c r="DI261" s="15"/>
      <c r="DJ261" s="15"/>
      <c r="DK261" s="15"/>
      <c r="DL261" s="15"/>
      <c r="DM261" s="15"/>
      <c r="DN261" s="15" t="s">
        <v>497</v>
      </c>
      <c r="DO261" s="15" t="s">
        <v>328</v>
      </c>
      <c r="DP261" s="15"/>
      <c r="DQ261" s="15"/>
      <c r="DR261" s="15"/>
      <c r="DS261" s="15"/>
      <c r="DT261" s="15"/>
      <c r="DU261" s="15"/>
      <c r="DV261" s="15" t="s">
        <v>497</v>
      </c>
      <c r="DW261" s="15" t="s">
        <v>328</v>
      </c>
      <c r="DX261" s="15"/>
      <c r="DY261" s="15"/>
      <c r="DZ261" s="15"/>
      <c r="EA261" s="15"/>
      <c r="EB261" s="15"/>
      <c r="EC261" s="102" t="s">
        <v>497</v>
      </c>
      <c r="ED261" s="48"/>
    </row>
    <row r="262" spans="1:134" x14ac:dyDescent="0.25">
      <c r="A262" s="51" t="s">
        <v>1856</v>
      </c>
      <c r="B262" s="61" t="s">
        <v>1101</v>
      </c>
      <c r="C262" s="15" t="s">
        <v>328</v>
      </c>
      <c r="D262" s="15"/>
      <c r="E262" s="15">
        <v>51</v>
      </c>
      <c r="F262" s="15" t="s">
        <v>329</v>
      </c>
      <c r="G262" s="15" t="s">
        <v>330</v>
      </c>
      <c r="H262" s="15" t="s">
        <v>1102</v>
      </c>
      <c r="I262" s="15" t="s">
        <v>1319</v>
      </c>
      <c r="J262" s="15" t="s">
        <v>1291</v>
      </c>
      <c r="K262" s="15">
        <v>30</v>
      </c>
      <c r="L262" s="15">
        <v>1</v>
      </c>
      <c r="M262" s="15">
        <v>1</v>
      </c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 t="s">
        <v>328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 t="s">
        <v>328</v>
      </c>
      <c r="AL262" s="15"/>
      <c r="AM262" s="15" t="s">
        <v>328</v>
      </c>
      <c r="AN262" s="15"/>
      <c r="AO262" s="15"/>
      <c r="AP262" s="15">
        <v>0</v>
      </c>
      <c r="AQ262" s="15">
        <v>0</v>
      </c>
      <c r="AR262" s="15"/>
      <c r="AS262" s="15" t="s">
        <v>328</v>
      </c>
      <c r="AT262" s="15"/>
      <c r="AU262" s="15"/>
      <c r="AV262" s="15">
        <v>1</v>
      </c>
      <c r="AW262" s="15">
        <v>3</v>
      </c>
      <c r="AX262" s="15">
        <v>2</v>
      </c>
      <c r="AY262" s="15"/>
      <c r="AZ262" s="15" t="s">
        <v>328</v>
      </c>
      <c r="BA262" s="15"/>
      <c r="BB262" s="15" t="s">
        <v>328</v>
      </c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 t="s">
        <v>328</v>
      </c>
      <c r="BN262" s="15"/>
      <c r="BO262" s="15" t="s">
        <v>328</v>
      </c>
      <c r="BP262" s="15" t="s">
        <v>328</v>
      </c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 t="s">
        <v>328</v>
      </c>
      <c r="CC262" s="15"/>
      <c r="CD262" s="15" t="s">
        <v>328</v>
      </c>
      <c r="CE262" s="15" t="s">
        <v>328</v>
      </c>
      <c r="CF262" s="15"/>
      <c r="CG262" s="15"/>
      <c r="CH262" s="15" t="s">
        <v>328</v>
      </c>
      <c r="CI262" s="15"/>
      <c r="CJ262" s="12"/>
      <c r="CK262" s="12"/>
      <c r="CL262" s="15">
        <v>4</v>
      </c>
      <c r="CM262" s="15">
        <v>1</v>
      </c>
      <c r="CN262" s="15">
        <v>6</v>
      </c>
      <c r="CO262" s="15">
        <v>2</v>
      </c>
      <c r="CP262" s="15">
        <v>3</v>
      </c>
      <c r="CQ262" s="15">
        <v>5</v>
      </c>
      <c r="CR262" s="15"/>
      <c r="CS262" s="15"/>
      <c r="CT262" s="15"/>
      <c r="CU262" s="15"/>
      <c r="CV262" s="15"/>
      <c r="CW262" s="15"/>
      <c r="CX262" s="15" t="s">
        <v>332</v>
      </c>
      <c r="CY262" s="15"/>
      <c r="CZ262" s="15"/>
      <c r="DA262" s="15">
        <v>1</v>
      </c>
      <c r="DB262" s="15">
        <v>5</v>
      </c>
      <c r="DC262" s="15">
        <v>6</v>
      </c>
      <c r="DD262" s="15">
        <v>2</v>
      </c>
      <c r="DE262" s="15">
        <v>4</v>
      </c>
      <c r="DF262" s="15">
        <v>3</v>
      </c>
      <c r="DG262" s="15"/>
      <c r="DH262" s="15" t="s">
        <v>328</v>
      </c>
      <c r="DI262" s="15"/>
      <c r="DJ262" s="15"/>
      <c r="DK262" s="15"/>
      <c r="DL262" s="15"/>
      <c r="DM262" s="15"/>
      <c r="DN262" s="15" t="s">
        <v>438</v>
      </c>
      <c r="DO262" s="15" t="s">
        <v>328</v>
      </c>
      <c r="DP262" s="15"/>
      <c r="DQ262" s="15"/>
      <c r="DR262" s="15"/>
      <c r="DS262" s="15"/>
      <c r="DT262" s="15"/>
      <c r="DU262" s="15"/>
      <c r="DV262" s="15" t="s">
        <v>438</v>
      </c>
      <c r="DW262" s="15" t="s">
        <v>328</v>
      </c>
      <c r="DX262" s="15"/>
      <c r="DY262" s="15"/>
      <c r="DZ262" s="15"/>
      <c r="EA262" s="15"/>
      <c r="EB262" s="15"/>
      <c r="EC262" s="102" t="s">
        <v>438</v>
      </c>
      <c r="ED262" s="48"/>
    </row>
    <row r="263" spans="1:134" x14ac:dyDescent="0.25">
      <c r="A263" s="51" t="s">
        <v>1856</v>
      </c>
      <c r="B263" s="61" t="s">
        <v>1103</v>
      </c>
      <c r="C263" s="15" t="s">
        <v>328</v>
      </c>
      <c r="D263" s="15"/>
      <c r="E263" s="15">
        <v>31</v>
      </c>
      <c r="F263" s="15" t="s">
        <v>329</v>
      </c>
      <c r="G263" s="15" t="s">
        <v>330</v>
      </c>
      <c r="H263" s="15" t="s">
        <v>1064</v>
      </c>
      <c r="I263" s="15" t="s">
        <v>1273</v>
      </c>
      <c r="J263" s="15" t="s">
        <v>1293</v>
      </c>
      <c r="K263" s="15">
        <v>10</v>
      </c>
      <c r="L263" s="15">
        <v>2</v>
      </c>
      <c r="M263" s="15">
        <v>2</v>
      </c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 t="s">
        <v>418</v>
      </c>
      <c r="AJ263" s="12"/>
      <c r="AK263" s="15" t="s">
        <v>328</v>
      </c>
      <c r="AL263" s="15" t="s">
        <v>328</v>
      </c>
      <c r="AM263" s="15" t="s">
        <v>328</v>
      </c>
      <c r="AN263" s="15" t="s">
        <v>328</v>
      </c>
      <c r="AO263" s="15"/>
      <c r="AP263" s="15">
        <v>10</v>
      </c>
      <c r="AQ263" s="15">
        <v>2</v>
      </c>
      <c r="AR263" s="15" t="s">
        <v>328</v>
      </c>
      <c r="AS263" s="15" t="s">
        <v>328</v>
      </c>
      <c r="AT263" s="15"/>
      <c r="AU263" s="15"/>
      <c r="AV263" s="15">
        <v>1</v>
      </c>
      <c r="AW263" s="15">
        <v>3</v>
      </c>
      <c r="AX263" s="15">
        <v>2</v>
      </c>
      <c r="AY263" s="15"/>
      <c r="AZ263" s="15" t="s">
        <v>328</v>
      </c>
      <c r="BA263" s="15"/>
      <c r="BB263" s="15" t="s">
        <v>328</v>
      </c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 t="s">
        <v>328</v>
      </c>
      <c r="BN263" s="15" t="s">
        <v>328</v>
      </c>
      <c r="BO263" s="15"/>
      <c r="BP263" s="15" t="s">
        <v>328</v>
      </c>
      <c r="BQ263" s="15"/>
      <c r="BR263" s="15"/>
      <c r="BS263" s="15"/>
      <c r="BT263" s="15"/>
      <c r="BU263" s="15" t="s">
        <v>328</v>
      </c>
      <c r="BV263" s="15"/>
      <c r="BW263" s="15"/>
      <c r="BX263" s="15"/>
      <c r="BY263" s="15"/>
      <c r="BZ263" s="15" t="s">
        <v>328</v>
      </c>
      <c r="CA263" s="15"/>
      <c r="CB263" s="15" t="s">
        <v>328</v>
      </c>
      <c r="CC263" s="15"/>
      <c r="CD263" s="15"/>
      <c r="CE263" s="15"/>
      <c r="CF263" s="15"/>
      <c r="CG263" s="15"/>
      <c r="CH263" s="15"/>
      <c r="CI263" s="15"/>
      <c r="CJ263" s="15" t="s">
        <v>328</v>
      </c>
      <c r="CK263" s="12"/>
      <c r="CL263" s="15">
        <v>4</v>
      </c>
      <c r="CM263" s="15">
        <v>3</v>
      </c>
      <c r="CN263" s="15">
        <v>5</v>
      </c>
      <c r="CO263" s="15">
        <v>1</v>
      </c>
      <c r="CP263" s="15">
        <v>2</v>
      </c>
      <c r="CQ263" s="15">
        <v>6</v>
      </c>
      <c r="CR263" s="15"/>
      <c r="CS263" s="15"/>
      <c r="CT263" s="15"/>
      <c r="CU263" s="15"/>
      <c r="CV263" s="15" t="s">
        <v>328</v>
      </c>
      <c r="CW263" s="15"/>
      <c r="CX263" s="15"/>
      <c r="CY263" s="15"/>
      <c r="CZ263" s="15"/>
      <c r="DA263" s="15">
        <v>1</v>
      </c>
      <c r="DB263" s="15">
        <v>2</v>
      </c>
      <c r="DC263" s="15">
        <v>4</v>
      </c>
      <c r="DD263" s="15">
        <v>3</v>
      </c>
      <c r="DE263" s="15">
        <v>5</v>
      </c>
      <c r="DF263" s="15">
        <v>6</v>
      </c>
      <c r="DG263" s="15"/>
      <c r="DH263" s="15" t="s">
        <v>328</v>
      </c>
      <c r="DI263" s="15"/>
      <c r="DJ263" s="15"/>
      <c r="DK263" s="15"/>
      <c r="DL263" s="15"/>
      <c r="DM263" s="15"/>
      <c r="DN263" s="15" t="s">
        <v>1152</v>
      </c>
      <c r="DO263" s="15" t="s">
        <v>328</v>
      </c>
      <c r="DP263" s="15"/>
      <c r="DQ263" s="15"/>
      <c r="DR263" s="15"/>
      <c r="DS263" s="15"/>
      <c r="DT263" s="15"/>
      <c r="DU263" s="15"/>
      <c r="DV263" s="15" t="s">
        <v>1152</v>
      </c>
      <c r="DW263" s="15" t="s">
        <v>328</v>
      </c>
      <c r="DX263" s="15"/>
      <c r="DY263" s="15"/>
      <c r="DZ263" s="15"/>
      <c r="EA263" s="15"/>
      <c r="EB263" s="15"/>
      <c r="EC263" s="102" t="s">
        <v>1152</v>
      </c>
      <c r="ED263" s="48"/>
    </row>
    <row r="264" spans="1:134" x14ac:dyDescent="0.25">
      <c r="A264" s="51" t="s">
        <v>1856</v>
      </c>
      <c r="B264" s="61" t="s">
        <v>1104</v>
      </c>
      <c r="C264" s="15" t="s">
        <v>328</v>
      </c>
      <c r="D264" s="15"/>
      <c r="E264" s="15">
        <v>38</v>
      </c>
      <c r="F264" s="15" t="s">
        <v>329</v>
      </c>
      <c r="G264" s="15" t="s">
        <v>330</v>
      </c>
      <c r="H264" s="15" t="s">
        <v>1105</v>
      </c>
      <c r="I264" s="15" t="s">
        <v>1320</v>
      </c>
      <c r="J264" s="15" t="s">
        <v>1256</v>
      </c>
      <c r="K264" s="15">
        <v>20</v>
      </c>
      <c r="L264" s="15">
        <v>1</v>
      </c>
      <c r="M264" s="15">
        <v>1</v>
      </c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 t="s">
        <v>328</v>
      </c>
      <c r="AE264" s="15"/>
      <c r="AF264" s="15"/>
      <c r="AG264" s="15"/>
      <c r="AH264" s="15"/>
      <c r="AI264" s="15"/>
      <c r="AJ264" s="15" t="s">
        <v>328</v>
      </c>
      <c r="AK264" s="15"/>
      <c r="AL264" s="15" t="s">
        <v>328</v>
      </c>
      <c r="AM264" s="15"/>
      <c r="AN264" s="15"/>
      <c r="AO264" s="15"/>
      <c r="AP264" s="15">
        <v>0</v>
      </c>
      <c r="AQ264" s="15">
        <v>0</v>
      </c>
      <c r="AR264" s="15"/>
      <c r="AS264" s="15" t="s">
        <v>328</v>
      </c>
      <c r="AT264" s="15"/>
      <c r="AU264" s="15"/>
      <c r="AV264" s="15">
        <v>1</v>
      </c>
      <c r="AW264" s="15">
        <v>3</v>
      </c>
      <c r="AX264" s="15">
        <v>2</v>
      </c>
      <c r="AY264" s="15"/>
      <c r="AZ264" s="15" t="s">
        <v>328</v>
      </c>
      <c r="BA264" s="15"/>
      <c r="BB264" s="15" t="s">
        <v>328</v>
      </c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 t="s">
        <v>328</v>
      </c>
      <c r="BN264" s="15"/>
      <c r="BO264" s="15" t="s">
        <v>328</v>
      </c>
      <c r="BP264" s="15"/>
      <c r="BQ264" s="15"/>
      <c r="BR264" s="15"/>
      <c r="BS264" s="15"/>
      <c r="BT264" s="15" t="s">
        <v>328</v>
      </c>
      <c r="BU264" s="15"/>
      <c r="BV264" s="15"/>
      <c r="BW264" s="15"/>
      <c r="BX264" s="15"/>
      <c r="BY264" s="15"/>
      <c r="BZ264" s="15"/>
      <c r="CA264" s="15"/>
      <c r="CB264" s="15" t="s">
        <v>328</v>
      </c>
      <c r="CC264" s="15"/>
      <c r="CD264" s="15"/>
      <c r="CE264" s="15"/>
      <c r="CF264" s="15"/>
      <c r="CG264" s="15" t="s">
        <v>328</v>
      </c>
      <c r="CH264" s="15"/>
      <c r="CI264" s="15"/>
      <c r="CJ264" s="12"/>
      <c r="CK264" s="12"/>
      <c r="CL264" s="15">
        <v>5</v>
      </c>
      <c r="CM264" s="15">
        <v>1</v>
      </c>
      <c r="CN264" s="15">
        <v>6</v>
      </c>
      <c r="CO264" s="15">
        <v>2</v>
      </c>
      <c r="CP264" s="15">
        <v>3</v>
      </c>
      <c r="CQ264" s="15">
        <v>4</v>
      </c>
      <c r="CR264" s="15"/>
      <c r="CS264" s="15"/>
      <c r="CT264" s="15"/>
      <c r="CU264" s="15"/>
      <c r="CV264" s="15"/>
      <c r="CW264" s="15"/>
      <c r="CX264" s="15" t="s">
        <v>332</v>
      </c>
      <c r="CY264" s="15"/>
      <c r="CZ264" s="15"/>
      <c r="DA264" s="15">
        <v>2</v>
      </c>
      <c r="DB264" s="15">
        <v>3</v>
      </c>
      <c r="DC264" s="15">
        <v>4</v>
      </c>
      <c r="DD264" s="15">
        <v>5</v>
      </c>
      <c r="DE264" s="15">
        <v>1</v>
      </c>
      <c r="DF264" s="15">
        <v>6</v>
      </c>
      <c r="DG264" s="15"/>
      <c r="DH264" s="15" t="s">
        <v>328</v>
      </c>
      <c r="DI264" s="15"/>
      <c r="DJ264" s="15"/>
      <c r="DK264" s="15"/>
      <c r="DL264" s="15"/>
      <c r="DM264" s="15"/>
      <c r="DN264" s="15" t="s">
        <v>497</v>
      </c>
      <c r="DO264" s="15" t="s">
        <v>328</v>
      </c>
      <c r="DP264" s="15"/>
      <c r="DQ264" s="15"/>
      <c r="DR264" s="15"/>
      <c r="DS264" s="15"/>
      <c r="DT264" s="15"/>
      <c r="DU264" s="15"/>
      <c r="DV264" s="15" t="s">
        <v>497</v>
      </c>
      <c r="DW264" s="15" t="s">
        <v>328</v>
      </c>
      <c r="DX264" s="15"/>
      <c r="DY264" s="15"/>
      <c r="DZ264" s="15"/>
      <c r="EA264" s="15"/>
      <c r="EB264" s="15"/>
      <c r="EC264" s="102" t="s">
        <v>497</v>
      </c>
      <c r="ED264" s="48"/>
    </row>
    <row r="265" spans="1:134" x14ac:dyDescent="0.25">
      <c r="A265" s="51" t="s">
        <v>1856</v>
      </c>
      <c r="B265" s="61" t="s">
        <v>1106</v>
      </c>
      <c r="C265" s="15" t="s">
        <v>328</v>
      </c>
      <c r="D265" s="15"/>
      <c r="E265" s="15">
        <v>49</v>
      </c>
      <c r="F265" s="15" t="s">
        <v>329</v>
      </c>
      <c r="G265" s="15" t="s">
        <v>584</v>
      </c>
      <c r="H265" s="15" t="s">
        <v>1107</v>
      </c>
      <c r="I265" s="15" t="s">
        <v>1321</v>
      </c>
      <c r="J265" s="15" t="s">
        <v>1281</v>
      </c>
      <c r="K265" s="15">
        <v>30</v>
      </c>
      <c r="L265" s="15">
        <v>1</v>
      </c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>
        <v>1</v>
      </c>
      <c r="Y265" s="14"/>
      <c r="Z265" s="15" t="s">
        <v>328</v>
      </c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 t="s">
        <v>328</v>
      </c>
      <c r="AL265" s="15"/>
      <c r="AM265" s="15" t="s">
        <v>328</v>
      </c>
      <c r="AN265" s="15"/>
      <c r="AO265" s="15"/>
      <c r="AP265" s="15">
        <v>0</v>
      </c>
      <c r="AQ265" s="15">
        <v>0</v>
      </c>
      <c r="AR265" s="15"/>
      <c r="AS265" s="15" t="s">
        <v>328</v>
      </c>
      <c r="AT265" s="15"/>
      <c r="AU265" s="15"/>
      <c r="AV265" s="15">
        <v>1</v>
      </c>
      <c r="AW265" s="15">
        <v>2</v>
      </c>
      <c r="AX265" s="15">
        <v>3</v>
      </c>
      <c r="AY265" s="15"/>
      <c r="AZ265" s="15" t="s">
        <v>328</v>
      </c>
      <c r="BA265" s="15"/>
      <c r="BB265" s="15" t="s">
        <v>328</v>
      </c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 t="s">
        <v>328</v>
      </c>
      <c r="BN265" s="15"/>
      <c r="BO265" s="15" t="s">
        <v>328</v>
      </c>
      <c r="BP265" s="15" t="s">
        <v>328</v>
      </c>
      <c r="BQ265" s="15"/>
      <c r="BR265" s="15"/>
      <c r="BS265" s="15"/>
      <c r="BT265" s="15"/>
      <c r="BU265" s="15" t="s">
        <v>328</v>
      </c>
      <c r="BV265" s="15"/>
      <c r="BW265" s="15"/>
      <c r="BX265" s="15"/>
      <c r="BY265" s="15"/>
      <c r="BZ265" s="15"/>
      <c r="CA265" s="15"/>
      <c r="CB265" s="15" t="s">
        <v>328</v>
      </c>
      <c r="CC265" s="15"/>
      <c r="CD265" s="15"/>
      <c r="CE265" s="15" t="s">
        <v>328</v>
      </c>
      <c r="CF265" s="15"/>
      <c r="CG265" s="15" t="s">
        <v>328</v>
      </c>
      <c r="CH265" s="15"/>
      <c r="CI265" s="15"/>
      <c r="CJ265" s="12"/>
      <c r="CK265" s="12"/>
      <c r="CL265" s="15">
        <v>3</v>
      </c>
      <c r="CM265" s="15">
        <v>1</v>
      </c>
      <c r="CN265" s="15">
        <v>2</v>
      </c>
      <c r="CO265" s="15">
        <v>5</v>
      </c>
      <c r="CP265" s="15">
        <v>6</v>
      </c>
      <c r="CQ265" s="15">
        <v>4</v>
      </c>
      <c r="CR265" s="15"/>
      <c r="CS265" s="15"/>
      <c r="CT265" s="15"/>
      <c r="CU265" s="15"/>
      <c r="CV265" s="15"/>
      <c r="CW265" s="15"/>
      <c r="CX265" s="15" t="s">
        <v>332</v>
      </c>
      <c r="CY265" s="15"/>
      <c r="CZ265" s="15"/>
      <c r="DA265" s="15">
        <v>1</v>
      </c>
      <c r="DB265" s="15">
        <v>3</v>
      </c>
      <c r="DC265" s="15">
        <v>5</v>
      </c>
      <c r="DD265" s="15">
        <v>2</v>
      </c>
      <c r="DE265" s="15">
        <v>6</v>
      </c>
      <c r="DF265" s="15">
        <v>4</v>
      </c>
      <c r="DG265" s="15"/>
      <c r="DH265" s="15" t="s">
        <v>328</v>
      </c>
      <c r="DI265" s="15"/>
      <c r="DJ265" s="15"/>
      <c r="DK265" s="15"/>
      <c r="DL265" s="15"/>
      <c r="DM265" s="15"/>
      <c r="DN265" s="15" t="s">
        <v>333</v>
      </c>
      <c r="DO265" s="15" t="s">
        <v>328</v>
      </c>
      <c r="DP265" s="15"/>
      <c r="DQ265" s="15"/>
      <c r="DR265" s="15"/>
      <c r="DS265" s="15"/>
      <c r="DT265" s="15"/>
      <c r="DU265" s="15"/>
      <c r="DV265" s="15" t="s">
        <v>333</v>
      </c>
      <c r="DW265" s="15" t="s">
        <v>328</v>
      </c>
      <c r="DX265" s="15"/>
      <c r="DY265" s="15"/>
      <c r="DZ265" s="15"/>
      <c r="EA265" s="15"/>
      <c r="EB265" s="15"/>
      <c r="EC265" s="102" t="s">
        <v>333</v>
      </c>
      <c r="ED265" s="48"/>
    </row>
    <row r="266" spans="1:134" x14ac:dyDescent="0.25">
      <c r="A266" s="51" t="s">
        <v>1856</v>
      </c>
      <c r="B266" s="61" t="s">
        <v>1108</v>
      </c>
      <c r="C266" s="15" t="s">
        <v>328</v>
      </c>
      <c r="D266" s="15"/>
      <c r="E266" s="15">
        <v>39</v>
      </c>
      <c r="F266" s="15" t="s">
        <v>329</v>
      </c>
      <c r="G266" s="15" t="s">
        <v>357</v>
      </c>
      <c r="H266" s="15" t="s">
        <v>1066</v>
      </c>
      <c r="I266" s="15" t="s">
        <v>1304</v>
      </c>
      <c r="J266" s="15" t="s">
        <v>1292</v>
      </c>
      <c r="K266" s="15">
        <v>0</v>
      </c>
      <c r="L266" s="15">
        <v>1</v>
      </c>
      <c r="M266" s="15">
        <v>1</v>
      </c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 t="s">
        <v>328</v>
      </c>
      <c r="AA266" s="15" t="s">
        <v>328</v>
      </c>
      <c r="AB266" s="15"/>
      <c r="AC266" s="15"/>
      <c r="AD266" s="15"/>
      <c r="AE266" s="15" t="s">
        <v>328</v>
      </c>
      <c r="AF266" s="15"/>
      <c r="AG266" s="15"/>
      <c r="AH266" s="15"/>
      <c r="AI266" s="15"/>
      <c r="AJ266" s="15"/>
      <c r="AK266" s="15" t="s">
        <v>328</v>
      </c>
      <c r="AL266" s="15"/>
      <c r="AM266" s="15" t="s">
        <v>328</v>
      </c>
      <c r="AN266" s="15"/>
      <c r="AO266" s="15"/>
      <c r="AP266" s="15">
        <v>0</v>
      </c>
      <c r="AQ266" s="15">
        <v>0</v>
      </c>
      <c r="AR266" s="15"/>
      <c r="AS266" s="15" t="s">
        <v>328</v>
      </c>
      <c r="AT266" s="15"/>
      <c r="AU266" s="15"/>
      <c r="AV266" s="15">
        <v>1</v>
      </c>
      <c r="AW266" s="15">
        <v>3</v>
      </c>
      <c r="AX266" s="15">
        <v>2</v>
      </c>
      <c r="AY266" s="15"/>
      <c r="AZ266" s="15" t="s">
        <v>328</v>
      </c>
      <c r="BA266" s="15"/>
      <c r="BB266" s="15" t="s">
        <v>328</v>
      </c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 t="s">
        <v>328</v>
      </c>
      <c r="BN266" s="15"/>
      <c r="BO266" s="15" t="s">
        <v>328</v>
      </c>
      <c r="BP266" s="15" t="s">
        <v>328</v>
      </c>
      <c r="BQ266" s="15"/>
      <c r="BR266" s="15"/>
      <c r="BS266" s="15"/>
      <c r="BT266" s="15"/>
      <c r="BU266" s="15"/>
      <c r="BV266" s="15"/>
      <c r="BW266" s="15"/>
      <c r="BX266" s="15"/>
      <c r="BY266" s="15"/>
      <c r="BZ266" s="15" t="s">
        <v>328</v>
      </c>
      <c r="CA266" s="15"/>
      <c r="CB266" s="15" t="s">
        <v>328</v>
      </c>
      <c r="CC266" s="15"/>
      <c r="CD266" s="15"/>
      <c r="CE266" s="15"/>
      <c r="CF266" s="15"/>
      <c r="CG266" s="15" t="s">
        <v>328</v>
      </c>
      <c r="CH266" s="15"/>
      <c r="CI266" s="15"/>
      <c r="CJ266" s="12"/>
      <c r="CK266" s="12"/>
      <c r="CL266" s="15">
        <v>3</v>
      </c>
      <c r="CM266" s="15">
        <v>5</v>
      </c>
      <c r="CN266" s="15">
        <v>6</v>
      </c>
      <c r="CO266" s="15">
        <v>2</v>
      </c>
      <c r="CP266" s="15">
        <v>1</v>
      </c>
      <c r="CQ266" s="15">
        <v>4</v>
      </c>
      <c r="CR266" s="15"/>
      <c r="CS266" s="15"/>
      <c r="CT266" s="15"/>
      <c r="CU266" s="15"/>
      <c r="CV266" s="15"/>
      <c r="CW266" s="15"/>
      <c r="CX266" s="15" t="s">
        <v>332</v>
      </c>
      <c r="CY266" s="15"/>
      <c r="CZ266" s="15"/>
      <c r="DA266" s="15">
        <v>1</v>
      </c>
      <c r="DB266" s="15">
        <v>2</v>
      </c>
      <c r="DC266" s="15">
        <v>3</v>
      </c>
      <c r="DD266" s="15">
        <v>6</v>
      </c>
      <c r="DE266" s="15">
        <v>4</v>
      </c>
      <c r="DF266" s="15">
        <v>5</v>
      </c>
      <c r="DG266" s="15"/>
      <c r="DH266" s="15" t="s">
        <v>328</v>
      </c>
      <c r="DI266" s="15"/>
      <c r="DJ266" s="15"/>
      <c r="DK266" s="15"/>
      <c r="DL266" s="15"/>
      <c r="DM266" s="15"/>
      <c r="DN266" s="15" t="s">
        <v>450</v>
      </c>
      <c r="DO266" s="15"/>
      <c r="DP266" s="15" t="s">
        <v>328</v>
      </c>
      <c r="DQ266" s="15" t="s">
        <v>328</v>
      </c>
      <c r="DR266" s="15" t="s">
        <v>1347</v>
      </c>
      <c r="DS266" s="15"/>
      <c r="DT266" s="15"/>
      <c r="DU266" s="15"/>
      <c r="DV266" s="15" t="s">
        <v>450</v>
      </c>
      <c r="DW266" s="15" t="s">
        <v>328</v>
      </c>
      <c r="DX266" s="15"/>
      <c r="DY266" s="15"/>
      <c r="DZ266" s="15"/>
      <c r="EA266" s="15"/>
      <c r="EB266" s="15"/>
      <c r="EC266" s="102" t="s">
        <v>450</v>
      </c>
      <c r="ED266" s="48"/>
    </row>
    <row r="267" spans="1:134" x14ac:dyDescent="0.25">
      <c r="A267" s="51" t="s">
        <v>1856</v>
      </c>
      <c r="B267" s="61" t="s">
        <v>1109</v>
      </c>
      <c r="C267" s="15" t="s">
        <v>328</v>
      </c>
      <c r="D267" s="15"/>
      <c r="E267" s="15">
        <v>54</v>
      </c>
      <c r="F267" s="15" t="s">
        <v>329</v>
      </c>
      <c r="G267" s="15" t="s">
        <v>353</v>
      </c>
      <c r="H267" s="15" t="s">
        <v>1110</v>
      </c>
      <c r="I267" s="15" t="s">
        <v>1322</v>
      </c>
      <c r="J267" s="15" t="s">
        <v>1293</v>
      </c>
      <c r="K267" s="15">
        <v>30</v>
      </c>
      <c r="L267" s="15">
        <v>1</v>
      </c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>
        <v>1</v>
      </c>
      <c r="Y267" s="14"/>
      <c r="Z267" s="15" t="s">
        <v>328</v>
      </c>
      <c r="AA267" s="15" t="s">
        <v>328</v>
      </c>
      <c r="AB267" s="15"/>
      <c r="AC267" s="15"/>
      <c r="AD267" s="15"/>
      <c r="AE267" s="15" t="s">
        <v>328</v>
      </c>
      <c r="AF267" s="15"/>
      <c r="AG267" s="15"/>
      <c r="AH267" s="15"/>
      <c r="AI267" s="15"/>
      <c r="AJ267" s="15"/>
      <c r="AK267" s="15" t="s">
        <v>328</v>
      </c>
      <c r="AL267" s="15"/>
      <c r="AM267" s="15" t="s">
        <v>328</v>
      </c>
      <c r="AN267" s="15"/>
      <c r="AO267" s="15"/>
      <c r="AP267" s="15">
        <v>0</v>
      </c>
      <c r="AQ267" s="15">
        <v>0</v>
      </c>
      <c r="AR267" s="15"/>
      <c r="AS267" s="15" t="s">
        <v>328</v>
      </c>
      <c r="AT267" s="15"/>
      <c r="AU267" s="15"/>
      <c r="AV267" s="15">
        <v>1</v>
      </c>
      <c r="AW267" s="15">
        <v>3</v>
      </c>
      <c r="AX267" s="15">
        <v>2</v>
      </c>
      <c r="AY267" s="15"/>
      <c r="AZ267" s="15" t="s">
        <v>328</v>
      </c>
      <c r="BA267" s="15"/>
      <c r="BB267" s="15" t="s">
        <v>328</v>
      </c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 t="s">
        <v>328</v>
      </c>
      <c r="BN267" s="15"/>
      <c r="BO267" s="15" t="s">
        <v>328</v>
      </c>
      <c r="BP267" s="15" t="s">
        <v>328</v>
      </c>
      <c r="BQ267" s="15" t="s">
        <v>328</v>
      </c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 t="s">
        <v>328</v>
      </c>
      <c r="CE267" s="15"/>
      <c r="CF267" s="15"/>
      <c r="CG267" s="15"/>
      <c r="CH267" s="15" t="s">
        <v>328</v>
      </c>
      <c r="CI267" s="15"/>
      <c r="CJ267" s="12"/>
      <c r="CK267" s="12"/>
      <c r="CL267" s="15">
        <v>4</v>
      </c>
      <c r="CM267" s="15">
        <v>1</v>
      </c>
      <c r="CN267" s="15">
        <v>6</v>
      </c>
      <c r="CO267" s="15">
        <v>3</v>
      </c>
      <c r="CP267" s="15">
        <v>2</v>
      </c>
      <c r="CQ267" s="15">
        <v>5</v>
      </c>
      <c r="CR267" s="15"/>
      <c r="CS267" s="15"/>
      <c r="CT267" s="15"/>
      <c r="CU267" s="15"/>
      <c r="CV267" s="15"/>
      <c r="CW267" s="15"/>
      <c r="CX267" s="15" t="s">
        <v>332</v>
      </c>
      <c r="CY267" s="15" t="s">
        <v>328</v>
      </c>
      <c r="CZ267" s="15" t="s">
        <v>700</v>
      </c>
      <c r="DA267" s="15"/>
      <c r="DB267" s="15"/>
      <c r="DC267" s="15"/>
      <c r="DD267" s="15"/>
      <c r="DE267" s="15"/>
      <c r="DF267" s="15"/>
      <c r="DG267" s="15"/>
      <c r="DH267" s="15" t="s">
        <v>328</v>
      </c>
      <c r="DI267" s="15"/>
      <c r="DJ267" s="15"/>
      <c r="DK267" s="15"/>
      <c r="DL267" s="15"/>
      <c r="DM267" s="15"/>
      <c r="DN267" s="15" t="s">
        <v>1152</v>
      </c>
      <c r="DO267" s="15" t="s">
        <v>328</v>
      </c>
      <c r="DP267" s="15"/>
      <c r="DQ267" s="15"/>
      <c r="DR267" s="15"/>
      <c r="DS267" s="15"/>
      <c r="DT267" s="15"/>
      <c r="DU267" s="15"/>
      <c r="DV267" s="15" t="s">
        <v>1152</v>
      </c>
      <c r="DW267" s="15" t="s">
        <v>328</v>
      </c>
      <c r="DX267" s="15"/>
      <c r="DY267" s="15"/>
      <c r="DZ267" s="15"/>
      <c r="EA267" s="15"/>
      <c r="EB267" s="15"/>
      <c r="EC267" s="102" t="s">
        <v>1152</v>
      </c>
      <c r="ED267" s="48"/>
    </row>
    <row r="268" spans="1:134" x14ac:dyDescent="0.25">
      <c r="A268" s="51" t="s">
        <v>1856</v>
      </c>
      <c r="B268" s="61" t="s">
        <v>1111</v>
      </c>
      <c r="C268" s="15" t="s">
        <v>328</v>
      </c>
      <c r="D268" s="15"/>
      <c r="E268" s="15">
        <v>43</v>
      </c>
      <c r="F268" s="15" t="s">
        <v>329</v>
      </c>
      <c r="G268" s="15" t="s">
        <v>584</v>
      </c>
      <c r="H268" s="15" t="s">
        <v>1112</v>
      </c>
      <c r="I268" s="15" t="s">
        <v>1323</v>
      </c>
      <c r="J268" s="15" t="s">
        <v>1188</v>
      </c>
      <c r="K268" s="15">
        <v>25</v>
      </c>
      <c r="L268" s="15">
        <v>1</v>
      </c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>
        <v>1</v>
      </c>
      <c r="Y268" s="14"/>
      <c r="Z268" s="15" t="s">
        <v>328</v>
      </c>
      <c r="AA268" s="15" t="s">
        <v>328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 t="s">
        <v>328</v>
      </c>
      <c r="AL268" s="15"/>
      <c r="AM268" s="15" t="s">
        <v>328</v>
      </c>
      <c r="AN268" s="15" t="s">
        <v>328</v>
      </c>
      <c r="AO268" s="15"/>
      <c r="AP268" s="15">
        <v>0</v>
      </c>
      <c r="AQ268" s="15">
        <v>0</v>
      </c>
      <c r="AR268" s="15"/>
      <c r="AS268" s="15" t="s">
        <v>328</v>
      </c>
      <c r="AT268" s="15"/>
      <c r="AU268" s="15"/>
      <c r="AV268" s="15">
        <v>1</v>
      </c>
      <c r="AW268" s="15">
        <v>3</v>
      </c>
      <c r="AX268" s="15">
        <v>2</v>
      </c>
      <c r="AY268" s="15"/>
      <c r="AZ268" s="15" t="s">
        <v>328</v>
      </c>
      <c r="BA268" s="15"/>
      <c r="BB268" s="15" t="s">
        <v>328</v>
      </c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 t="s">
        <v>328</v>
      </c>
      <c r="BN268" s="15"/>
      <c r="BO268" s="15" t="s">
        <v>328</v>
      </c>
      <c r="BP268" s="15" t="s">
        <v>328</v>
      </c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 t="s">
        <v>328</v>
      </c>
      <c r="CD268" s="15" t="s">
        <v>328</v>
      </c>
      <c r="CE268" s="15"/>
      <c r="CF268" s="15"/>
      <c r="CG268" s="15"/>
      <c r="CH268" s="15" t="s">
        <v>328</v>
      </c>
      <c r="CI268" s="15"/>
      <c r="CJ268" s="12"/>
      <c r="CK268" s="12"/>
      <c r="CL268" s="15">
        <v>3</v>
      </c>
      <c r="CM268" s="15">
        <v>1</v>
      </c>
      <c r="CN268" s="15">
        <v>6</v>
      </c>
      <c r="CO268" s="15">
        <v>5</v>
      </c>
      <c r="CP268" s="15">
        <v>2</v>
      </c>
      <c r="CQ268" s="15">
        <v>4</v>
      </c>
      <c r="CR268" s="15"/>
      <c r="CS268" s="15"/>
      <c r="CT268" s="15"/>
      <c r="CU268" s="15"/>
      <c r="CV268" s="15"/>
      <c r="CW268" s="15"/>
      <c r="CX268" s="15" t="s">
        <v>332</v>
      </c>
      <c r="CY268" s="15"/>
      <c r="CZ268" s="15"/>
      <c r="DA268" s="15">
        <v>1</v>
      </c>
      <c r="DB268" s="15">
        <v>5</v>
      </c>
      <c r="DC268" s="15">
        <v>6</v>
      </c>
      <c r="DD268" s="15">
        <v>4</v>
      </c>
      <c r="DE268" s="15">
        <v>2</v>
      </c>
      <c r="DF268" s="15">
        <v>3</v>
      </c>
      <c r="DG268" s="15"/>
      <c r="DH268" s="15" t="s">
        <v>328</v>
      </c>
      <c r="DI268" s="15"/>
      <c r="DJ268" s="15"/>
      <c r="DK268" s="15"/>
      <c r="DL268" s="15"/>
      <c r="DM268" s="15"/>
      <c r="DN268" s="15" t="s">
        <v>1155</v>
      </c>
      <c r="DO268" s="15" t="s">
        <v>328</v>
      </c>
      <c r="DP268" s="15"/>
      <c r="DQ268" s="15"/>
      <c r="DR268" s="15"/>
      <c r="DS268" s="15"/>
      <c r="DT268" s="15"/>
      <c r="DU268" s="15"/>
      <c r="DV268" s="15" t="s">
        <v>1155</v>
      </c>
      <c r="DW268" s="15" t="s">
        <v>328</v>
      </c>
      <c r="DX268" s="15"/>
      <c r="DY268" s="15"/>
      <c r="DZ268" s="15"/>
      <c r="EA268" s="15"/>
      <c r="EB268" s="15"/>
      <c r="EC268" s="102" t="s">
        <v>1155</v>
      </c>
      <c r="ED268" s="48"/>
    </row>
    <row r="269" spans="1:134" x14ac:dyDescent="0.25">
      <c r="A269" s="51" t="s">
        <v>1856</v>
      </c>
      <c r="B269" s="61" t="s">
        <v>1113</v>
      </c>
      <c r="C269" s="15" t="s">
        <v>328</v>
      </c>
      <c r="D269" s="15"/>
      <c r="E269" s="15">
        <v>50</v>
      </c>
      <c r="F269" s="15" t="s">
        <v>329</v>
      </c>
      <c r="G269" s="15" t="s">
        <v>353</v>
      </c>
      <c r="H269" s="15" t="s">
        <v>1114</v>
      </c>
      <c r="I269" s="15" t="s">
        <v>1324</v>
      </c>
      <c r="J269" s="15" t="s">
        <v>1293</v>
      </c>
      <c r="K269" s="15">
        <v>30</v>
      </c>
      <c r="L269" s="15">
        <v>2</v>
      </c>
      <c r="M269" s="15">
        <v>2</v>
      </c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 t="s">
        <v>328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 t="s">
        <v>328</v>
      </c>
      <c r="AL269" s="15"/>
      <c r="AM269" s="15"/>
      <c r="AN269" s="15" t="s">
        <v>328</v>
      </c>
      <c r="AO269" s="15"/>
      <c r="AP269" s="15">
        <v>10</v>
      </c>
      <c r="AQ269" s="15">
        <v>2</v>
      </c>
      <c r="AR269" s="15"/>
      <c r="AS269" s="15"/>
      <c r="AT269" s="15" t="s">
        <v>328</v>
      </c>
      <c r="AU269" s="15"/>
      <c r="AV269" s="15">
        <v>1</v>
      </c>
      <c r="AW269" s="15">
        <v>2</v>
      </c>
      <c r="AX269" s="15">
        <v>3</v>
      </c>
      <c r="AY269" s="15"/>
      <c r="AZ269" s="15" t="s">
        <v>328</v>
      </c>
      <c r="BA269" s="15"/>
      <c r="BB269" s="15"/>
      <c r="BC269" s="15"/>
      <c r="BD269" s="15"/>
      <c r="BE269" s="15"/>
      <c r="BF269" s="15"/>
      <c r="BG269" s="15"/>
      <c r="BH269" s="15"/>
      <c r="BI269" s="15"/>
      <c r="BJ269" s="15" t="s">
        <v>328</v>
      </c>
      <c r="BK269" s="15"/>
      <c r="BL269" s="15"/>
      <c r="BM269" s="15" t="s">
        <v>328</v>
      </c>
      <c r="BN269" s="15"/>
      <c r="BO269" s="15" t="s">
        <v>328</v>
      </c>
      <c r="BP269" s="15"/>
      <c r="BQ269" s="15" t="s">
        <v>328</v>
      </c>
      <c r="BR269" s="15"/>
      <c r="BS269" s="15"/>
      <c r="BT269" s="15" t="s">
        <v>328</v>
      </c>
      <c r="BU269" s="15" t="s">
        <v>328</v>
      </c>
      <c r="BV269" s="15"/>
      <c r="BW269" s="15"/>
      <c r="BX269" s="15"/>
      <c r="BY269" s="15"/>
      <c r="BZ269" s="15" t="s">
        <v>328</v>
      </c>
      <c r="CA269" s="15"/>
      <c r="CB269" s="15"/>
      <c r="CC269" s="15"/>
      <c r="CD269" s="15"/>
      <c r="CE269" s="15"/>
      <c r="CF269" s="15" t="s">
        <v>1115</v>
      </c>
      <c r="CG269" s="15" t="s">
        <v>328</v>
      </c>
      <c r="CH269" s="15"/>
      <c r="CI269" s="15"/>
      <c r="CJ269" s="12"/>
      <c r="CK269" s="12"/>
      <c r="CL269" s="15">
        <v>1</v>
      </c>
      <c r="CM269" s="15">
        <v>3</v>
      </c>
      <c r="CN269" s="15">
        <v>6</v>
      </c>
      <c r="CO269" s="15">
        <v>4</v>
      </c>
      <c r="CP269" s="15">
        <v>5</v>
      </c>
      <c r="CQ269" s="15">
        <v>2</v>
      </c>
      <c r="CR269" s="15"/>
      <c r="CS269" s="15"/>
      <c r="CT269" s="15"/>
      <c r="CU269" s="15"/>
      <c r="CV269" s="15" t="s">
        <v>328</v>
      </c>
      <c r="CW269" s="15"/>
      <c r="CX269" s="15"/>
      <c r="CY269" s="15"/>
      <c r="CZ269" s="15"/>
      <c r="DA269" s="15">
        <v>1</v>
      </c>
      <c r="DB269" s="15">
        <v>2</v>
      </c>
      <c r="DC269" s="15">
        <v>3</v>
      </c>
      <c r="DD269" s="15">
        <v>4</v>
      </c>
      <c r="DE269" s="15">
        <v>6</v>
      </c>
      <c r="DF269" s="15">
        <v>5</v>
      </c>
      <c r="DG269" s="15"/>
      <c r="DH269" s="15" t="s">
        <v>328</v>
      </c>
      <c r="DI269" s="15"/>
      <c r="DJ269" s="15"/>
      <c r="DK269" s="15"/>
      <c r="DL269" s="15"/>
      <c r="DM269" s="15"/>
      <c r="DN269" s="15" t="s">
        <v>497</v>
      </c>
      <c r="DO269" s="15"/>
      <c r="DP269" s="15" t="s">
        <v>328</v>
      </c>
      <c r="DQ269" s="15"/>
      <c r="DR269" s="15"/>
      <c r="DS269" s="15" t="s">
        <v>328</v>
      </c>
      <c r="DT269" s="15" t="s">
        <v>1348</v>
      </c>
      <c r="DU269" s="15" t="s">
        <v>1116</v>
      </c>
      <c r="DV269" s="15" t="s">
        <v>1117</v>
      </c>
      <c r="DW269" s="15" t="s">
        <v>328</v>
      </c>
      <c r="DX269" s="15"/>
      <c r="DY269" s="15"/>
      <c r="DZ269" s="15"/>
      <c r="EA269" s="15"/>
      <c r="EB269" s="15"/>
      <c r="EC269" s="102" t="s">
        <v>497</v>
      </c>
      <c r="ED269" s="48"/>
    </row>
    <row r="270" spans="1:134" x14ac:dyDescent="0.25">
      <c r="A270" s="51" t="s">
        <v>1856</v>
      </c>
      <c r="B270" s="61" t="s">
        <v>1118</v>
      </c>
      <c r="C270" s="15" t="s">
        <v>328</v>
      </c>
      <c r="D270" s="15"/>
      <c r="E270" s="15">
        <v>61</v>
      </c>
      <c r="F270" s="15" t="s">
        <v>329</v>
      </c>
      <c r="G270" s="15" t="s">
        <v>353</v>
      </c>
      <c r="H270" s="15" t="s">
        <v>1119</v>
      </c>
      <c r="I270" s="15" t="s">
        <v>1315</v>
      </c>
      <c r="J270" s="15" t="s">
        <v>1315</v>
      </c>
      <c r="K270" s="15">
        <v>40</v>
      </c>
      <c r="L270" s="15">
        <v>1</v>
      </c>
      <c r="M270" s="15">
        <v>1</v>
      </c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 t="s">
        <v>328</v>
      </c>
      <c r="AB270" s="15"/>
      <c r="AC270" s="15"/>
      <c r="AD270" s="15"/>
      <c r="AE270" s="15" t="s">
        <v>328</v>
      </c>
      <c r="AF270" s="15"/>
      <c r="AG270" s="15"/>
      <c r="AH270" s="15"/>
      <c r="AI270" s="15"/>
      <c r="AJ270" s="15"/>
      <c r="AK270" s="15" t="s">
        <v>328</v>
      </c>
      <c r="AL270" s="15"/>
      <c r="AM270" s="15" t="s">
        <v>328</v>
      </c>
      <c r="AN270" s="15"/>
      <c r="AO270" s="15"/>
      <c r="AP270" s="15">
        <v>0</v>
      </c>
      <c r="AQ270" s="15">
        <v>0</v>
      </c>
      <c r="AR270" s="15"/>
      <c r="AS270" s="15" t="s">
        <v>328</v>
      </c>
      <c r="AT270" s="15"/>
      <c r="AU270" s="15"/>
      <c r="AV270" s="15">
        <v>1</v>
      </c>
      <c r="AW270" s="15">
        <v>3</v>
      </c>
      <c r="AX270" s="15">
        <v>2</v>
      </c>
      <c r="AY270" s="15"/>
      <c r="AZ270" s="15" t="s">
        <v>328</v>
      </c>
      <c r="BA270" s="15"/>
      <c r="BB270" s="15" t="s">
        <v>328</v>
      </c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 t="s">
        <v>328</v>
      </c>
      <c r="BN270" s="15"/>
      <c r="BO270" s="15" t="s">
        <v>328</v>
      </c>
      <c r="BP270" s="15" t="s">
        <v>328</v>
      </c>
      <c r="BQ270" s="15"/>
      <c r="BR270" s="15"/>
      <c r="BS270" s="15"/>
      <c r="BT270" s="15" t="s">
        <v>328</v>
      </c>
      <c r="BU270" s="15"/>
      <c r="BV270" s="15"/>
      <c r="BW270" s="15"/>
      <c r="BX270" s="15"/>
      <c r="BY270" s="15"/>
      <c r="BZ270" s="15"/>
      <c r="CA270" s="15"/>
      <c r="CB270" s="15" t="s">
        <v>328</v>
      </c>
      <c r="CC270" s="15"/>
      <c r="CD270" s="15"/>
      <c r="CE270" s="15" t="s">
        <v>328</v>
      </c>
      <c r="CF270" s="15"/>
      <c r="CG270" s="15"/>
      <c r="CH270" s="15" t="s">
        <v>328</v>
      </c>
      <c r="CI270" s="15"/>
      <c r="CJ270" s="12"/>
      <c r="CK270" s="12"/>
      <c r="CL270" s="15">
        <v>1</v>
      </c>
      <c r="CM270" s="15">
        <v>2</v>
      </c>
      <c r="CN270" s="15">
        <v>5</v>
      </c>
      <c r="CO270" s="15">
        <v>3</v>
      </c>
      <c r="CP270" s="15">
        <v>4</v>
      </c>
      <c r="CQ270" s="15">
        <v>6</v>
      </c>
      <c r="CR270" s="15"/>
      <c r="CS270" s="15"/>
      <c r="CT270" s="15"/>
      <c r="CU270" s="15"/>
      <c r="CV270" s="15" t="s">
        <v>328</v>
      </c>
      <c r="CW270" s="15"/>
      <c r="CX270" s="15"/>
      <c r="CY270" s="15"/>
      <c r="CZ270" s="15"/>
      <c r="DA270" s="15">
        <v>1</v>
      </c>
      <c r="DB270" s="15">
        <v>2</v>
      </c>
      <c r="DC270" s="15">
        <v>3</v>
      </c>
      <c r="DD270" s="15">
        <v>4</v>
      </c>
      <c r="DE270" s="15">
        <v>5</v>
      </c>
      <c r="DF270" s="15">
        <v>6</v>
      </c>
      <c r="DG270" s="15"/>
      <c r="DH270" s="15" t="s">
        <v>328</v>
      </c>
      <c r="DI270" s="15"/>
      <c r="DJ270" s="15"/>
      <c r="DK270" s="15"/>
      <c r="DL270" s="15"/>
      <c r="DM270" s="15"/>
      <c r="DN270" s="15" t="s">
        <v>497</v>
      </c>
      <c r="DO270" s="15" t="s">
        <v>328</v>
      </c>
      <c r="DP270" s="15"/>
      <c r="DQ270" s="15"/>
      <c r="DR270" s="15"/>
      <c r="DS270" s="15"/>
      <c r="DT270" s="15"/>
      <c r="DU270" s="15"/>
      <c r="DV270" s="15" t="s">
        <v>497</v>
      </c>
      <c r="DW270" s="15" t="s">
        <v>328</v>
      </c>
      <c r="DX270" s="15"/>
      <c r="DY270" s="15"/>
      <c r="DZ270" s="15"/>
      <c r="EA270" s="15"/>
      <c r="EB270" s="15"/>
      <c r="EC270" s="102" t="s">
        <v>497</v>
      </c>
      <c r="ED270" s="1"/>
    </row>
    <row r="271" spans="1:134" x14ac:dyDescent="0.25">
      <c r="A271" s="51" t="s">
        <v>1856</v>
      </c>
      <c r="B271" s="61" t="s">
        <v>1120</v>
      </c>
      <c r="C271" s="15" t="s">
        <v>328</v>
      </c>
      <c r="D271" s="15"/>
      <c r="E271" s="15">
        <v>49</v>
      </c>
      <c r="F271" s="15" t="s">
        <v>329</v>
      </c>
      <c r="G271" s="15" t="s">
        <v>330</v>
      </c>
      <c r="H271" s="15" t="s">
        <v>1064</v>
      </c>
      <c r="I271" s="15" t="s">
        <v>1273</v>
      </c>
      <c r="J271" s="15" t="s">
        <v>1293</v>
      </c>
      <c r="K271" s="15">
        <v>25</v>
      </c>
      <c r="L271" s="15">
        <v>1</v>
      </c>
      <c r="M271" s="15">
        <v>1</v>
      </c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 t="s">
        <v>328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 t="s">
        <v>328</v>
      </c>
      <c r="AL271" s="15"/>
      <c r="AM271" s="15" t="s">
        <v>328</v>
      </c>
      <c r="AN271" s="15" t="s">
        <v>328</v>
      </c>
      <c r="AO271" s="15"/>
      <c r="AP271" s="15">
        <v>0</v>
      </c>
      <c r="AQ271" s="15">
        <v>0</v>
      </c>
      <c r="AR271" s="15"/>
      <c r="AS271" s="15" t="s">
        <v>328</v>
      </c>
      <c r="AT271" s="15"/>
      <c r="AU271" s="15"/>
      <c r="AV271" s="15">
        <v>1</v>
      </c>
      <c r="AW271" s="15">
        <v>3</v>
      </c>
      <c r="AX271" s="15">
        <v>2</v>
      </c>
      <c r="AY271" s="15"/>
      <c r="AZ271" s="15" t="s">
        <v>328</v>
      </c>
      <c r="BA271" s="15"/>
      <c r="BB271" s="15" t="s">
        <v>328</v>
      </c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 t="s">
        <v>328</v>
      </c>
      <c r="BN271" s="15"/>
      <c r="BO271" s="15" t="s">
        <v>328</v>
      </c>
      <c r="BP271" s="15" t="s">
        <v>328</v>
      </c>
      <c r="BQ271" s="15"/>
      <c r="BR271" s="15"/>
      <c r="BS271" s="15"/>
      <c r="BT271" s="15"/>
      <c r="BU271" s="15" t="s">
        <v>328</v>
      </c>
      <c r="BV271" s="15"/>
      <c r="BW271" s="15"/>
      <c r="BX271" s="15"/>
      <c r="BY271" s="15"/>
      <c r="BZ271" s="15"/>
      <c r="CA271" s="15"/>
      <c r="CB271" s="15" t="s">
        <v>328</v>
      </c>
      <c r="CC271" s="15"/>
      <c r="CD271" s="15" t="s">
        <v>328</v>
      </c>
      <c r="CE271" s="15"/>
      <c r="CF271" s="15"/>
      <c r="CG271" s="15"/>
      <c r="CH271" s="15" t="s">
        <v>328</v>
      </c>
      <c r="CI271" s="15"/>
      <c r="CJ271" s="12"/>
      <c r="CK271" s="12"/>
      <c r="CL271" s="15">
        <v>2</v>
      </c>
      <c r="CM271" s="15">
        <v>1</v>
      </c>
      <c r="CN271" s="15">
        <v>5</v>
      </c>
      <c r="CO271" s="15">
        <v>6</v>
      </c>
      <c r="CP271" s="15">
        <v>3</v>
      </c>
      <c r="CQ271" s="15">
        <v>4</v>
      </c>
      <c r="CR271" s="15"/>
      <c r="CS271" s="15" t="s">
        <v>328</v>
      </c>
      <c r="CT271" s="15"/>
      <c r="CU271" s="15"/>
      <c r="CV271" s="15"/>
      <c r="CW271" s="15"/>
      <c r="CX271" s="15"/>
      <c r="CY271" s="15"/>
      <c r="CZ271" s="15"/>
      <c r="DA271" s="15">
        <v>1</v>
      </c>
      <c r="DB271" s="15">
        <v>4</v>
      </c>
      <c r="DC271" s="15">
        <v>2</v>
      </c>
      <c r="DD271" s="15">
        <v>5</v>
      </c>
      <c r="DE271" s="15">
        <v>3</v>
      </c>
      <c r="DF271" s="15">
        <v>6</v>
      </c>
      <c r="DG271" s="15"/>
      <c r="DH271" s="15" t="s">
        <v>328</v>
      </c>
      <c r="DI271" s="15"/>
      <c r="DJ271" s="15"/>
      <c r="DK271" s="15"/>
      <c r="DL271" s="15"/>
      <c r="DM271" s="15"/>
      <c r="DN271" s="15" t="s">
        <v>1144</v>
      </c>
      <c r="DO271" s="15" t="s">
        <v>328</v>
      </c>
      <c r="DP271" s="15"/>
      <c r="DQ271" s="15"/>
      <c r="DR271" s="15"/>
      <c r="DS271" s="15"/>
      <c r="DT271" s="15"/>
      <c r="DU271" s="15"/>
      <c r="DV271" s="15" t="s">
        <v>1144</v>
      </c>
      <c r="DW271" s="15" t="s">
        <v>328</v>
      </c>
      <c r="DX271" s="15"/>
      <c r="DY271" s="15"/>
      <c r="DZ271" s="15"/>
      <c r="EA271" s="15"/>
      <c r="EB271" s="15"/>
      <c r="EC271" s="102" t="s">
        <v>1144</v>
      </c>
      <c r="ED271" s="1"/>
    </row>
    <row r="272" spans="1:134" x14ac:dyDescent="0.25">
      <c r="A272" s="51" t="s">
        <v>1856</v>
      </c>
      <c r="B272" s="61" t="s">
        <v>1121</v>
      </c>
      <c r="C272" s="15" t="s">
        <v>328</v>
      </c>
      <c r="D272" s="15"/>
      <c r="E272" s="15">
        <v>36</v>
      </c>
      <c r="F272" s="15" t="s">
        <v>329</v>
      </c>
      <c r="G272" s="15" t="s">
        <v>330</v>
      </c>
      <c r="H272" s="15" t="s">
        <v>1122</v>
      </c>
      <c r="I272" s="15" t="s">
        <v>1267</v>
      </c>
      <c r="J272" s="15" t="s">
        <v>1291</v>
      </c>
      <c r="K272" s="15">
        <v>15</v>
      </c>
      <c r="L272" s="15">
        <v>1</v>
      </c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>
        <v>1</v>
      </c>
      <c r="Y272" s="14"/>
      <c r="Z272" s="15" t="s">
        <v>328</v>
      </c>
      <c r="AA272" s="15" t="s">
        <v>328</v>
      </c>
      <c r="AB272" s="15"/>
      <c r="AC272" s="15"/>
      <c r="AD272" s="15"/>
      <c r="AE272" s="15" t="s">
        <v>328</v>
      </c>
      <c r="AF272" s="15"/>
      <c r="AG272" s="15"/>
      <c r="AH272" s="15"/>
      <c r="AI272" s="15"/>
      <c r="AJ272" s="15"/>
      <c r="AK272" s="15" t="s">
        <v>328</v>
      </c>
      <c r="AL272" s="15"/>
      <c r="AM272" s="15" t="s">
        <v>328</v>
      </c>
      <c r="AN272" s="15"/>
      <c r="AO272" s="15"/>
      <c r="AP272" s="15">
        <v>0</v>
      </c>
      <c r="AQ272" s="15">
        <v>0</v>
      </c>
      <c r="AR272" s="15"/>
      <c r="AS272" s="15" t="s">
        <v>328</v>
      </c>
      <c r="AT272" s="15"/>
      <c r="AU272" s="15"/>
      <c r="AV272" s="15">
        <v>1</v>
      </c>
      <c r="AW272" s="15">
        <v>3</v>
      </c>
      <c r="AX272" s="15">
        <v>2</v>
      </c>
      <c r="AY272" s="15"/>
      <c r="AZ272" s="15" t="s">
        <v>328</v>
      </c>
      <c r="BA272" s="15"/>
      <c r="BB272" s="15" t="s">
        <v>328</v>
      </c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 t="s">
        <v>328</v>
      </c>
      <c r="BN272" s="15"/>
      <c r="BO272" s="15" t="s">
        <v>328</v>
      </c>
      <c r="BP272" s="15" t="s">
        <v>328</v>
      </c>
      <c r="BQ272" s="15"/>
      <c r="BR272" s="15"/>
      <c r="BS272" s="15"/>
      <c r="BT272" s="15"/>
      <c r="BU272" s="15" t="s">
        <v>328</v>
      </c>
      <c r="BV272" s="15"/>
      <c r="BW272" s="15"/>
      <c r="BX272" s="15"/>
      <c r="BY272" s="15"/>
      <c r="BZ272" s="15"/>
      <c r="CA272" s="15"/>
      <c r="CB272" s="15" t="s">
        <v>328</v>
      </c>
      <c r="CC272" s="15"/>
      <c r="CD272" s="15"/>
      <c r="CE272" s="15" t="s">
        <v>328</v>
      </c>
      <c r="CF272" s="15"/>
      <c r="CG272" s="15"/>
      <c r="CH272" s="15" t="s">
        <v>328</v>
      </c>
      <c r="CI272" s="15"/>
      <c r="CJ272" s="12"/>
      <c r="CK272" s="12"/>
      <c r="CL272" s="15">
        <v>5</v>
      </c>
      <c r="CM272" s="15">
        <v>2</v>
      </c>
      <c r="CN272" s="15">
        <v>1</v>
      </c>
      <c r="CO272" s="15">
        <v>4</v>
      </c>
      <c r="CP272" s="15">
        <v>3</v>
      </c>
      <c r="CQ272" s="15">
        <v>6</v>
      </c>
      <c r="CR272" s="15"/>
      <c r="CS272" s="15"/>
      <c r="CT272" s="15"/>
      <c r="CU272" s="15"/>
      <c r="CV272" s="15"/>
      <c r="CW272" s="15"/>
      <c r="CX272" s="15" t="s">
        <v>332</v>
      </c>
      <c r="CY272" s="15"/>
      <c r="CZ272" s="15"/>
      <c r="DA272" s="15">
        <v>1</v>
      </c>
      <c r="DB272" s="15">
        <v>2</v>
      </c>
      <c r="DC272" s="15">
        <v>3</v>
      </c>
      <c r="DD272" s="15">
        <v>4</v>
      </c>
      <c r="DE272" s="15">
        <v>5</v>
      </c>
      <c r="DF272" s="15">
        <v>6</v>
      </c>
      <c r="DG272" s="15"/>
      <c r="DH272" s="15" t="s">
        <v>328</v>
      </c>
      <c r="DI272" s="15"/>
      <c r="DJ272" s="15"/>
      <c r="DK272" s="15"/>
      <c r="DL272" s="15"/>
      <c r="DM272" s="15"/>
      <c r="DN272" s="15" t="s">
        <v>333</v>
      </c>
      <c r="DO272" s="15" t="s">
        <v>328</v>
      </c>
      <c r="DP272" s="15"/>
      <c r="DQ272" s="15"/>
      <c r="DR272" s="15"/>
      <c r="DS272" s="15"/>
      <c r="DT272" s="15"/>
      <c r="DU272" s="15"/>
      <c r="DV272" s="15" t="s">
        <v>333</v>
      </c>
      <c r="DW272" s="15" t="s">
        <v>328</v>
      </c>
      <c r="DX272" s="15"/>
      <c r="DY272" s="15"/>
      <c r="DZ272" s="15"/>
      <c r="EA272" s="15"/>
      <c r="EB272" s="15"/>
      <c r="EC272" s="102" t="s">
        <v>333</v>
      </c>
      <c r="ED272" s="48"/>
    </row>
    <row r="273" spans="1:134" x14ac:dyDescent="0.25">
      <c r="A273" s="51" t="s">
        <v>1856</v>
      </c>
      <c r="B273" s="61" t="s">
        <v>1123</v>
      </c>
      <c r="C273" s="15" t="s">
        <v>328</v>
      </c>
      <c r="D273" s="15"/>
      <c r="E273" s="15">
        <v>54</v>
      </c>
      <c r="F273" s="15" t="s">
        <v>329</v>
      </c>
      <c r="G273" s="15" t="s">
        <v>330</v>
      </c>
      <c r="H273" s="15" t="s">
        <v>1124</v>
      </c>
      <c r="I273" s="15" t="s">
        <v>1325</v>
      </c>
      <c r="J273" s="15" t="s">
        <v>1446</v>
      </c>
      <c r="K273" s="15">
        <v>30</v>
      </c>
      <c r="L273" s="15">
        <v>1</v>
      </c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>
        <v>1</v>
      </c>
      <c r="Y273" s="14"/>
      <c r="Z273" s="15" t="s">
        <v>328</v>
      </c>
      <c r="AA273" s="15"/>
      <c r="AB273" s="15"/>
      <c r="AC273" s="15"/>
      <c r="AD273" s="15"/>
      <c r="AE273" s="15" t="s">
        <v>328</v>
      </c>
      <c r="AF273" s="15"/>
      <c r="AG273" s="15"/>
      <c r="AH273" s="15"/>
      <c r="AI273" s="15"/>
      <c r="AJ273" s="15"/>
      <c r="AK273" s="15" t="s">
        <v>328</v>
      </c>
      <c r="AL273" s="15"/>
      <c r="AM273" s="15" t="s">
        <v>328</v>
      </c>
      <c r="AN273" s="15"/>
      <c r="AO273" s="12"/>
      <c r="AP273" s="15">
        <v>0</v>
      </c>
      <c r="AQ273" s="15">
        <v>0</v>
      </c>
      <c r="AR273" s="15"/>
      <c r="AS273" s="15"/>
      <c r="AT273" s="15"/>
      <c r="AU273" s="15" t="s">
        <v>328</v>
      </c>
      <c r="AV273" s="15">
        <v>2</v>
      </c>
      <c r="AW273" s="15">
        <v>3</v>
      </c>
      <c r="AX273" s="15">
        <v>1</v>
      </c>
      <c r="AY273" s="15"/>
      <c r="AZ273" s="15" t="s">
        <v>328</v>
      </c>
      <c r="BA273" s="15"/>
      <c r="BB273" s="15" t="s">
        <v>328</v>
      </c>
      <c r="BC273" s="15"/>
      <c r="BD273" s="15"/>
      <c r="BE273" s="15"/>
      <c r="BF273" s="15"/>
      <c r="BG273" s="15"/>
      <c r="BH273" s="15"/>
      <c r="BI273" s="15"/>
      <c r="BJ273" s="15"/>
      <c r="BK273" s="12"/>
      <c r="BL273" s="15" t="s">
        <v>328</v>
      </c>
      <c r="BM273" s="15"/>
      <c r="BN273" s="15" t="s">
        <v>328</v>
      </c>
      <c r="BO273" s="15"/>
      <c r="BP273" s="15" t="s">
        <v>328</v>
      </c>
      <c r="BQ273" s="15" t="s">
        <v>328</v>
      </c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 t="s">
        <v>328</v>
      </c>
      <c r="CC273" s="15"/>
      <c r="CD273" s="15"/>
      <c r="CE273" s="15"/>
      <c r="CF273" s="15"/>
      <c r="CG273" s="15"/>
      <c r="CH273" s="15" t="s">
        <v>328</v>
      </c>
      <c r="CI273" s="15"/>
      <c r="CJ273" s="12"/>
      <c r="CK273" s="12"/>
      <c r="CL273" s="15">
        <v>5</v>
      </c>
      <c r="CM273" s="15">
        <v>1</v>
      </c>
      <c r="CN273" s="15">
        <v>4</v>
      </c>
      <c r="CO273" s="15">
        <v>2</v>
      </c>
      <c r="CP273" s="15">
        <v>3</v>
      </c>
      <c r="CQ273" s="15">
        <v>6</v>
      </c>
      <c r="CR273" s="15"/>
      <c r="CS273" s="15"/>
      <c r="CT273" s="15"/>
      <c r="CU273" s="15"/>
      <c r="CV273" s="15"/>
      <c r="CW273" s="15"/>
      <c r="CX273" s="15" t="s">
        <v>332</v>
      </c>
      <c r="CY273" s="12"/>
      <c r="CZ273" s="12"/>
      <c r="DA273" s="15">
        <v>1</v>
      </c>
      <c r="DB273" s="15">
        <v>3</v>
      </c>
      <c r="DC273" s="15">
        <v>2</v>
      </c>
      <c r="DD273" s="15">
        <v>6</v>
      </c>
      <c r="DE273" s="15">
        <v>5</v>
      </c>
      <c r="DF273" s="15">
        <v>4</v>
      </c>
      <c r="DG273" s="12"/>
      <c r="DH273" s="15" t="s">
        <v>328</v>
      </c>
      <c r="DI273" s="12"/>
      <c r="DJ273" s="15"/>
      <c r="DK273" s="15"/>
      <c r="DL273" s="15"/>
      <c r="DM273" s="15"/>
      <c r="DN273" s="15" t="s">
        <v>497</v>
      </c>
      <c r="DO273" s="15" t="s">
        <v>328</v>
      </c>
      <c r="DP273" s="15"/>
      <c r="DQ273" s="15"/>
      <c r="DR273" s="15"/>
      <c r="DS273" s="15"/>
      <c r="DT273" s="15"/>
      <c r="DU273" s="15"/>
      <c r="DV273" s="15" t="s">
        <v>333</v>
      </c>
      <c r="DW273" s="15"/>
      <c r="DX273" s="15" t="s">
        <v>328</v>
      </c>
      <c r="DY273" s="15" t="s">
        <v>328</v>
      </c>
      <c r="DZ273" s="15"/>
      <c r="EA273" s="15"/>
      <c r="EB273" s="15" t="s">
        <v>697</v>
      </c>
      <c r="EC273" s="102" t="s">
        <v>497</v>
      </c>
      <c r="ED273" s="48"/>
    </row>
    <row r="274" spans="1:134" x14ac:dyDescent="0.25">
      <c r="A274" s="51" t="s">
        <v>1856</v>
      </c>
      <c r="B274" s="61" t="s">
        <v>1125</v>
      </c>
      <c r="C274" s="15" t="s">
        <v>328</v>
      </c>
      <c r="D274" s="15"/>
      <c r="E274" s="15">
        <v>52</v>
      </c>
      <c r="F274" s="15" t="s">
        <v>329</v>
      </c>
      <c r="G274" s="15" t="s">
        <v>1349</v>
      </c>
      <c r="H274" s="15" t="s">
        <v>1126</v>
      </c>
      <c r="I274" s="15" t="s">
        <v>1326</v>
      </c>
      <c r="J274" s="15" t="s">
        <v>1188</v>
      </c>
      <c r="K274" s="15">
        <v>18</v>
      </c>
      <c r="L274" s="15">
        <v>1</v>
      </c>
      <c r="M274" s="15">
        <v>1</v>
      </c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2"/>
      <c r="Z274" s="15" t="s">
        <v>328</v>
      </c>
      <c r="AA274" s="15" t="s">
        <v>328</v>
      </c>
      <c r="AB274" s="15"/>
      <c r="AC274" s="15"/>
      <c r="AD274" s="15"/>
      <c r="AE274" s="15" t="s">
        <v>328</v>
      </c>
      <c r="AF274" s="15"/>
      <c r="AG274" s="15"/>
      <c r="AH274" s="15"/>
      <c r="AI274" s="15"/>
      <c r="AJ274" s="15"/>
      <c r="AK274" s="15" t="s">
        <v>328</v>
      </c>
      <c r="AL274" s="15"/>
      <c r="AM274" s="15" t="s">
        <v>328</v>
      </c>
      <c r="AN274" s="15" t="s">
        <v>328</v>
      </c>
      <c r="AO274" s="15"/>
      <c r="AP274" s="15">
        <v>0</v>
      </c>
      <c r="AQ274" s="15">
        <v>0</v>
      </c>
      <c r="AR274" s="15"/>
      <c r="AS274" s="15" t="s">
        <v>328</v>
      </c>
      <c r="AT274" s="15"/>
      <c r="AU274" s="15"/>
      <c r="AV274" s="15">
        <v>1</v>
      </c>
      <c r="AW274" s="15">
        <v>3</v>
      </c>
      <c r="AX274" s="15">
        <v>2</v>
      </c>
      <c r="AY274" s="15"/>
      <c r="AZ274" s="15" t="s">
        <v>328</v>
      </c>
      <c r="BA274" s="15"/>
      <c r="BB274" s="15" t="s">
        <v>328</v>
      </c>
      <c r="BC274" s="15"/>
      <c r="BD274" s="15"/>
      <c r="BE274" s="15"/>
      <c r="BF274" s="15"/>
      <c r="BG274" s="15"/>
      <c r="BH274" s="15"/>
      <c r="BI274" s="15"/>
      <c r="BJ274" s="15"/>
      <c r="BK274" s="12"/>
      <c r="BL274" s="12"/>
      <c r="BM274" s="15" t="s">
        <v>328</v>
      </c>
      <c r="BN274" s="15" t="s">
        <v>328</v>
      </c>
      <c r="BO274" s="15"/>
      <c r="BP274" s="15"/>
      <c r="BQ274" s="15" t="s">
        <v>328</v>
      </c>
      <c r="BR274" s="15"/>
      <c r="BS274" s="15"/>
      <c r="BT274" s="15"/>
      <c r="BU274" s="15" t="s">
        <v>328</v>
      </c>
      <c r="BV274" s="15"/>
      <c r="BW274" s="15"/>
      <c r="BX274" s="15"/>
      <c r="BY274" s="15"/>
      <c r="BZ274" s="15" t="s">
        <v>328</v>
      </c>
      <c r="CA274" s="15" t="s">
        <v>328</v>
      </c>
      <c r="CB274" s="15" t="s">
        <v>328</v>
      </c>
      <c r="CC274" s="15"/>
      <c r="CD274" s="15"/>
      <c r="CE274" s="15"/>
      <c r="CF274" s="15"/>
      <c r="CG274" s="15"/>
      <c r="CH274" s="15" t="s">
        <v>328</v>
      </c>
      <c r="CI274" s="15"/>
      <c r="CJ274" s="12"/>
      <c r="CK274" s="12"/>
      <c r="CL274" s="15">
        <v>2</v>
      </c>
      <c r="CM274" s="15">
        <v>3</v>
      </c>
      <c r="CN274" s="15">
        <v>5</v>
      </c>
      <c r="CO274" s="15">
        <v>6</v>
      </c>
      <c r="CP274" s="15">
        <v>4</v>
      </c>
      <c r="CQ274" s="15">
        <v>1</v>
      </c>
      <c r="CR274" s="15"/>
      <c r="CS274" s="15" t="s">
        <v>328</v>
      </c>
      <c r="CT274" s="15" t="s">
        <v>328</v>
      </c>
      <c r="CU274" s="15"/>
      <c r="CV274" s="15"/>
      <c r="CW274" s="15"/>
      <c r="CX274" s="15"/>
      <c r="CY274" s="15"/>
      <c r="CZ274" s="15"/>
      <c r="DA274" s="15">
        <v>1</v>
      </c>
      <c r="DB274" s="15">
        <v>4</v>
      </c>
      <c r="DC274" s="15">
        <v>6</v>
      </c>
      <c r="DD274" s="15">
        <v>3</v>
      </c>
      <c r="DE274" s="15">
        <v>2</v>
      </c>
      <c r="DF274" s="15">
        <v>5</v>
      </c>
      <c r="DG274" s="15"/>
      <c r="DH274" s="15" t="s">
        <v>328</v>
      </c>
      <c r="DI274" s="15"/>
      <c r="DJ274" s="15"/>
      <c r="DK274" s="15"/>
      <c r="DL274" s="15"/>
      <c r="DM274" s="15"/>
      <c r="DN274" s="15" t="s">
        <v>497</v>
      </c>
      <c r="DO274" s="15" t="s">
        <v>328</v>
      </c>
      <c r="DP274" s="15"/>
      <c r="DQ274" s="15"/>
      <c r="DR274" s="15"/>
      <c r="DS274" s="15"/>
      <c r="DT274" s="15"/>
      <c r="DU274" s="15"/>
      <c r="DV274" s="15" t="s">
        <v>497</v>
      </c>
      <c r="DW274" s="15" t="s">
        <v>328</v>
      </c>
      <c r="DX274" s="15"/>
      <c r="DY274" s="15"/>
      <c r="DZ274" s="15"/>
      <c r="EA274" s="15"/>
      <c r="EB274" s="15"/>
      <c r="EC274" s="102" t="s">
        <v>497</v>
      </c>
      <c r="ED274" s="48"/>
    </row>
    <row r="275" spans="1:134" x14ac:dyDescent="0.25">
      <c r="A275" s="51" t="s">
        <v>1856</v>
      </c>
      <c r="B275" s="61" t="s">
        <v>1127</v>
      </c>
      <c r="C275" s="15" t="s">
        <v>328</v>
      </c>
      <c r="D275" s="15"/>
      <c r="E275" s="15">
        <v>36</v>
      </c>
      <c r="F275" s="15" t="s">
        <v>329</v>
      </c>
      <c r="G275" s="15" t="s">
        <v>357</v>
      </c>
      <c r="H275" s="15" t="s">
        <v>1068</v>
      </c>
      <c r="I275" s="15" t="s">
        <v>1305</v>
      </c>
      <c r="J275" s="15" t="s">
        <v>1293</v>
      </c>
      <c r="K275" s="15">
        <v>15</v>
      </c>
      <c r="L275" s="15">
        <v>1</v>
      </c>
      <c r="M275" s="15">
        <v>1</v>
      </c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 t="s">
        <v>328</v>
      </c>
      <c r="AA275" s="15"/>
      <c r="AB275" s="15"/>
      <c r="AC275" s="15"/>
      <c r="AD275" s="15"/>
      <c r="AE275" s="15"/>
      <c r="AF275" s="15"/>
      <c r="AG275" s="15"/>
      <c r="AH275" s="15"/>
      <c r="AI275" s="15"/>
      <c r="AJ275" s="15" t="s">
        <v>328</v>
      </c>
      <c r="AK275" s="15" t="s">
        <v>328</v>
      </c>
      <c r="AL275" s="15" t="s">
        <v>328</v>
      </c>
      <c r="AM275" s="15" t="s">
        <v>328</v>
      </c>
      <c r="AN275" s="15" t="s">
        <v>328</v>
      </c>
      <c r="AO275" s="15"/>
      <c r="AP275" s="15">
        <v>10</v>
      </c>
      <c r="AQ275" s="15">
        <v>5</v>
      </c>
      <c r="AR275" s="15"/>
      <c r="AS275" s="15"/>
      <c r="AT275" s="15"/>
      <c r="AU275" s="15" t="s">
        <v>328</v>
      </c>
      <c r="AV275" s="15">
        <v>1</v>
      </c>
      <c r="AW275" s="15">
        <v>3</v>
      </c>
      <c r="AX275" s="15">
        <v>2</v>
      </c>
      <c r="AY275" s="15"/>
      <c r="AZ275" s="15" t="s">
        <v>328</v>
      </c>
      <c r="BA275" s="15"/>
      <c r="BB275" s="15" t="s">
        <v>328</v>
      </c>
      <c r="BC275" s="15" t="s">
        <v>328</v>
      </c>
      <c r="BD275" s="15"/>
      <c r="BE275" s="15"/>
      <c r="BF275" s="15"/>
      <c r="BG275" s="15"/>
      <c r="BH275" s="15"/>
      <c r="BI275" s="15"/>
      <c r="BJ275" s="15"/>
      <c r="BK275" s="12"/>
      <c r="BL275" s="15" t="s">
        <v>328</v>
      </c>
      <c r="BM275" s="15"/>
      <c r="BN275" s="15" t="s">
        <v>328</v>
      </c>
      <c r="BO275" s="15"/>
      <c r="BP275" s="15" t="s">
        <v>328</v>
      </c>
      <c r="BQ275" s="15"/>
      <c r="BR275" s="15"/>
      <c r="BS275" s="15"/>
      <c r="BT275" s="15"/>
      <c r="BU275" s="15"/>
      <c r="BV275" s="15"/>
      <c r="BW275" s="15"/>
      <c r="BX275" s="15"/>
      <c r="BY275" s="15"/>
      <c r="BZ275" s="15" t="s">
        <v>328</v>
      </c>
      <c r="CA275" s="15"/>
      <c r="CB275" s="15" t="s">
        <v>328</v>
      </c>
      <c r="CC275" s="15"/>
      <c r="CD275" s="15"/>
      <c r="CE275" s="15" t="s">
        <v>328</v>
      </c>
      <c r="CF275" s="15"/>
      <c r="CG275" s="15" t="s">
        <v>328</v>
      </c>
      <c r="CH275" s="15"/>
      <c r="CI275" s="15"/>
      <c r="CJ275" s="12"/>
      <c r="CK275" s="12"/>
      <c r="CL275" s="15">
        <v>4</v>
      </c>
      <c r="CM275" s="15">
        <v>1</v>
      </c>
      <c r="CN275" s="15">
        <v>6</v>
      </c>
      <c r="CO275" s="15">
        <v>3</v>
      </c>
      <c r="CP275" s="15">
        <v>2</v>
      </c>
      <c r="CQ275" s="15">
        <v>5</v>
      </c>
      <c r="CR275" s="15"/>
      <c r="CS275" s="15" t="s">
        <v>328</v>
      </c>
      <c r="CT275" s="15" t="s">
        <v>328</v>
      </c>
      <c r="CU275" s="15"/>
      <c r="CV275" s="15"/>
      <c r="CW275" s="15"/>
      <c r="CX275" s="15"/>
      <c r="CY275" s="15"/>
      <c r="CZ275" s="15"/>
      <c r="DA275" s="15">
        <v>1</v>
      </c>
      <c r="DB275" s="15">
        <v>4</v>
      </c>
      <c r="DC275" s="15">
        <v>5</v>
      </c>
      <c r="DD275" s="15">
        <v>3</v>
      </c>
      <c r="DE275" s="15">
        <v>2</v>
      </c>
      <c r="DF275" s="15">
        <v>6</v>
      </c>
      <c r="DG275" s="15"/>
      <c r="DH275" s="15" t="s">
        <v>328</v>
      </c>
      <c r="DI275" s="15"/>
      <c r="DJ275" s="15"/>
      <c r="DK275" s="15"/>
      <c r="DL275" s="15"/>
      <c r="DM275" s="15"/>
      <c r="DN275" s="15" t="s">
        <v>497</v>
      </c>
      <c r="DO275" s="15"/>
      <c r="DP275" s="15" t="s">
        <v>328</v>
      </c>
      <c r="DQ275" s="15" t="s">
        <v>328</v>
      </c>
      <c r="DR275" s="15" t="s">
        <v>410</v>
      </c>
      <c r="DS275" s="15"/>
      <c r="DT275" s="15"/>
      <c r="DU275" s="15"/>
      <c r="DV275" s="15" t="s">
        <v>497</v>
      </c>
      <c r="DW275" s="15" t="s">
        <v>328</v>
      </c>
      <c r="DX275" s="15"/>
      <c r="DY275" s="15"/>
      <c r="DZ275" s="15"/>
      <c r="EA275" s="15"/>
      <c r="EB275" s="15"/>
      <c r="EC275" s="102" t="s">
        <v>438</v>
      </c>
      <c r="ED275" s="48"/>
    </row>
    <row r="276" spans="1:134" x14ac:dyDescent="0.25">
      <c r="A276" s="51" t="s">
        <v>1856</v>
      </c>
      <c r="B276" s="61" t="s">
        <v>1128</v>
      </c>
      <c r="C276" s="15" t="s">
        <v>328</v>
      </c>
      <c r="D276" s="15"/>
      <c r="E276" s="15">
        <v>36</v>
      </c>
      <c r="F276" s="15" t="s">
        <v>329</v>
      </c>
      <c r="G276" s="15" t="s">
        <v>357</v>
      </c>
      <c r="H276" s="15" t="s">
        <v>569</v>
      </c>
      <c r="I276" s="15" t="s">
        <v>1239</v>
      </c>
      <c r="J276" s="15" t="s">
        <v>1288</v>
      </c>
      <c r="K276" s="15">
        <v>10</v>
      </c>
      <c r="L276" s="15">
        <v>2</v>
      </c>
      <c r="M276" s="15">
        <v>2</v>
      </c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 t="s">
        <v>328</v>
      </c>
      <c r="AB276" s="15"/>
      <c r="AC276" s="15"/>
      <c r="AD276" s="15"/>
      <c r="AE276" s="15"/>
      <c r="AF276" s="15"/>
      <c r="AG276" s="15"/>
      <c r="AH276" s="15"/>
      <c r="AI276" s="15"/>
      <c r="AJ276" s="15" t="s">
        <v>328</v>
      </c>
      <c r="AK276" s="15"/>
      <c r="AL276" s="15"/>
      <c r="AM276" s="15"/>
      <c r="AN276" s="15" t="s">
        <v>328</v>
      </c>
      <c r="AO276" s="15"/>
      <c r="AP276" s="15">
        <v>10</v>
      </c>
      <c r="AQ276" s="15">
        <v>10</v>
      </c>
      <c r="AR276" s="15"/>
      <c r="AS276" s="15"/>
      <c r="AT276" s="15" t="s">
        <v>328</v>
      </c>
      <c r="AU276" s="15"/>
      <c r="AV276" s="15">
        <v>1</v>
      </c>
      <c r="AW276" s="15">
        <v>2</v>
      </c>
      <c r="AX276" s="15">
        <v>3</v>
      </c>
      <c r="AY276" s="15"/>
      <c r="AZ276" s="15" t="s">
        <v>328</v>
      </c>
      <c r="BA276" s="15"/>
      <c r="BB276" s="15"/>
      <c r="BC276" s="15"/>
      <c r="BD276" s="15"/>
      <c r="BE276" s="15"/>
      <c r="BF276" s="15"/>
      <c r="BG276" s="15"/>
      <c r="BH276" s="15"/>
      <c r="BI276" s="15" t="s">
        <v>328</v>
      </c>
      <c r="BJ276" s="15"/>
      <c r="BK276" s="15"/>
      <c r="BL276" s="15" t="s">
        <v>328</v>
      </c>
      <c r="BM276" s="15"/>
      <c r="BN276" s="15" t="s">
        <v>328</v>
      </c>
      <c r="BO276" s="15"/>
      <c r="BP276" s="15"/>
      <c r="BQ276" s="15"/>
      <c r="BR276" s="15"/>
      <c r="BS276" s="15"/>
      <c r="BT276" s="15" t="s">
        <v>328</v>
      </c>
      <c r="BU276" s="15" t="s">
        <v>328</v>
      </c>
      <c r="BV276" s="15"/>
      <c r="BW276" s="15"/>
      <c r="BX276" s="15"/>
      <c r="BY276" s="15"/>
      <c r="BZ276" s="15" t="s">
        <v>328</v>
      </c>
      <c r="CA276" s="15"/>
      <c r="CB276" s="15" t="s">
        <v>328</v>
      </c>
      <c r="CC276" s="15"/>
      <c r="CD276" s="15" t="s">
        <v>328</v>
      </c>
      <c r="CE276" s="15"/>
      <c r="CF276" s="15"/>
      <c r="CG276" s="15" t="s">
        <v>328</v>
      </c>
      <c r="CH276" s="15"/>
      <c r="CI276" s="15"/>
      <c r="CJ276" s="12"/>
      <c r="CK276" s="12"/>
      <c r="CL276" s="15">
        <v>1</v>
      </c>
      <c r="CM276" s="15">
        <v>2</v>
      </c>
      <c r="CN276" s="15">
        <v>5</v>
      </c>
      <c r="CO276" s="15">
        <v>4</v>
      </c>
      <c r="CP276" s="15">
        <v>3</v>
      </c>
      <c r="CQ276" s="15">
        <v>6</v>
      </c>
      <c r="CR276" s="15"/>
      <c r="CS276" s="15"/>
      <c r="CT276" s="15"/>
      <c r="CU276" s="15"/>
      <c r="CV276" s="15"/>
      <c r="CW276" s="15"/>
      <c r="CX276" s="15" t="s">
        <v>332</v>
      </c>
      <c r="CY276" s="15"/>
      <c r="CZ276" s="15"/>
      <c r="DA276" s="15">
        <v>1</v>
      </c>
      <c r="DB276" s="15">
        <v>4</v>
      </c>
      <c r="DC276" s="15">
        <v>3</v>
      </c>
      <c r="DD276" s="15">
        <v>5</v>
      </c>
      <c r="DE276" s="15">
        <v>2</v>
      </c>
      <c r="DF276" s="15">
        <v>6</v>
      </c>
      <c r="DG276" s="15"/>
      <c r="DH276" s="15" t="s">
        <v>328</v>
      </c>
      <c r="DI276" s="15"/>
      <c r="DJ276" s="15"/>
      <c r="DK276" s="15"/>
      <c r="DL276" s="15"/>
      <c r="DM276" s="15"/>
      <c r="DN276" s="15" t="s">
        <v>497</v>
      </c>
      <c r="DO276" s="15" t="s">
        <v>328</v>
      </c>
      <c r="DP276" s="15"/>
      <c r="DQ276" s="15"/>
      <c r="DR276" s="15"/>
      <c r="DS276" s="15"/>
      <c r="DT276" s="15"/>
      <c r="DU276" s="15"/>
      <c r="DV276" s="15" t="s">
        <v>497</v>
      </c>
      <c r="DW276" s="15" t="s">
        <v>328</v>
      </c>
      <c r="DX276" s="15"/>
      <c r="DY276" s="15"/>
      <c r="DZ276" s="15"/>
      <c r="EA276" s="15"/>
      <c r="EB276" s="15"/>
      <c r="EC276" s="102" t="s">
        <v>497</v>
      </c>
      <c r="ED276" s="111"/>
    </row>
    <row r="277" spans="1:134" x14ac:dyDescent="0.25">
      <c r="A277" s="50" t="s">
        <v>1404</v>
      </c>
      <c r="B277" s="61" t="s">
        <v>1137</v>
      </c>
      <c r="C277" s="15" t="s">
        <v>328</v>
      </c>
      <c r="D277" s="15"/>
      <c r="E277" s="15">
        <v>40</v>
      </c>
      <c r="F277" s="15" t="s">
        <v>329</v>
      </c>
      <c r="G277" s="15" t="s">
        <v>357</v>
      </c>
      <c r="H277" s="15" t="s">
        <v>1178</v>
      </c>
      <c r="I277" s="15" t="s">
        <v>1295</v>
      </c>
      <c r="J277" s="15" t="s">
        <v>1283</v>
      </c>
      <c r="K277" s="15">
        <v>20</v>
      </c>
      <c r="L277" s="15">
        <v>1</v>
      </c>
      <c r="M277" s="15">
        <v>1</v>
      </c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 t="s">
        <v>328</v>
      </c>
      <c r="AD277" s="15"/>
      <c r="AE277" s="15"/>
      <c r="AF277" s="15" t="s">
        <v>328</v>
      </c>
      <c r="AG277" s="15"/>
      <c r="AH277" s="15"/>
      <c r="AI277" s="15"/>
      <c r="AJ277" s="15" t="s">
        <v>328</v>
      </c>
      <c r="AK277" s="15"/>
      <c r="AL277" s="15"/>
      <c r="AM277" s="15"/>
      <c r="AN277" s="15"/>
      <c r="AO277" s="15" t="s">
        <v>328</v>
      </c>
      <c r="AP277" s="15">
        <v>10</v>
      </c>
      <c r="AQ277" s="15">
        <v>2</v>
      </c>
      <c r="AR277" s="15"/>
      <c r="AS277" s="15" t="s">
        <v>328</v>
      </c>
      <c r="AT277" s="15"/>
      <c r="AU277" s="15"/>
      <c r="AV277" s="15">
        <v>2</v>
      </c>
      <c r="AW277" s="15">
        <v>1</v>
      </c>
      <c r="AX277" s="15">
        <v>3</v>
      </c>
      <c r="AY277" s="15"/>
      <c r="AZ277" s="15" t="s">
        <v>328</v>
      </c>
      <c r="BA277" s="15"/>
      <c r="BB277" s="15"/>
      <c r="BC277" s="15"/>
      <c r="BD277" s="15"/>
      <c r="BE277" s="15"/>
      <c r="BF277" s="15"/>
      <c r="BG277" s="15"/>
      <c r="BH277" s="15"/>
      <c r="BI277" s="15" t="s">
        <v>328</v>
      </c>
      <c r="BJ277" s="15"/>
      <c r="BK277" s="15"/>
      <c r="BL277" s="15"/>
      <c r="BM277" s="15" t="s">
        <v>328</v>
      </c>
      <c r="BN277" s="15"/>
      <c r="BO277" s="15" t="s">
        <v>328</v>
      </c>
      <c r="BP277" s="15"/>
      <c r="BQ277" s="15"/>
      <c r="BR277" s="15"/>
      <c r="BS277" s="15"/>
      <c r="BT277" s="15"/>
      <c r="BU277" s="15"/>
      <c r="BV277" s="14" t="s">
        <v>332</v>
      </c>
      <c r="BW277" s="15"/>
      <c r="BX277" s="15"/>
      <c r="BY277" s="15"/>
      <c r="BZ277" s="15"/>
      <c r="CA277" s="15"/>
      <c r="CB277" s="15"/>
      <c r="CC277" s="15"/>
      <c r="CD277" s="15"/>
      <c r="CE277" s="15"/>
      <c r="CF277" s="15" t="s">
        <v>332</v>
      </c>
      <c r="CG277" s="15" t="s">
        <v>328</v>
      </c>
      <c r="CH277" s="15"/>
      <c r="CI277" s="15"/>
      <c r="CJ277" s="15"/>
      <c r="CK277" s="15"/>
      <c r="CL277" s="15">
        <v>4</v>
      </c>
      <c r="CM277" s="15">
        <v>1</v>
      </c>
      <c r="CN277" s="15">
        <v>2</v>
      </c>
      <c r="CO277" s="15">
        <v>6</v>
      </c>
      <c r="CP277" s="15">
        <v>5</v>
      </c>
      <c r="CQ277" s="15">
        <v>3</v>
      </c>
      <c r="CR277" s="15"/>
      <c r="CS277" s="15"/>
      <c r="CT277" s="15"/>
      <c r="CU277" s="15"/>
      <c r="CV277" s="15"/>
      <c r="CW277" s="15"/>
      <c r="CX277" s="15" t="s">
        <v>332</v>
      </c>
      <c r="CY277" s="15" t="s">
        <v>328</v>
      </c>
      <c r="CZ277" s="15" t="s">
        <v>404</v>
      </c>
      <c r="DA277" s="15"/>
      <c r="DB277" s="15"/>
      <c r="DC277" s="15"/>
      <c r="DD277" s="15"/>
      <c r="DE277" s="15"/>
      <c r="DF277" s="15"/>
      <c r="DG277" s="15"/>
      <c r="DH277" s="15" t="s">
        <v>328</v>
      </c>
      <c r="DI277" s="15"/>
      <c r="DJ277" s="15"/>
      <c r="DK277" s="15"/>
      <c r="DL277" s="15"/>
      <c r="DM277" s="15"/>
      <c r="DN277" s="15" t="s">
        <v>1155</v>
      </c>
      <c r="DO277" s="15"/>
      <c r="DP277" s="15" t="s">
        <v>328</v>
      </c>
      <c r="DQ277" s="15" t="s">
        <v>328</v>
      </c>
      <c r="DR277" s="15" t="s">
        <v>354</v>
      </c>
      <c r="DS277" s="15"/>
      <c r="DT277" s="15"/>
      <c r="DU277" s="15" t="s">
        <v>1350</v>
      </c>
      <c r="DV277" s="15" t="s">
        <v>625</v>
      </c>
      <c r="DW277" s="15" t="s">
        <v>328</v>
      </c>
      <c r="DX277" s="15"/>
      <c r="DY277" s="15"/>
      <c r="DZ277" s="15"/>
      <c r="EA277" s="15"/>
      <c r="EB277" s="15"/>
      <c r="EC277" s="102" t="s">
        <v>1155</v>
      </c>
      <c r="ED277" s="48"/>
    </row>
    <row r="278" spans="1:134" x14ac:dyDescent="0.25">
      <c r="A278" s="50" t="s">
        <v>1404</v>
      </c>
      <c r="B278" s="61" t="s">
        <v>1138</v>
      </c>
      <c r="C278" s="15" t="s">
        <v>328</v>
      </c>
      <c r="D278" s="15"/>
      <c r="E278" s="15">
        <v>62</v>
      </c>
      <c r="F278" s="15" t="s">
        <v>329</v>
      </c>
      <c r="G278" s="15" t="s">
        <v>353</v>
      </c>
      <c r="H278" s="15" t="s">
        <v>769</v>
      </c>
      <c r="I278" s="15" t="s">
        <v>1219</v>
      </c>
      <c r="J278" s="15" t="s">
        <v>1183</v>
      </c>
      <c r="K278" s="15">
        <v>30</v>
      </c>
      <c r="L278" s="15">
        <v>2</v>
      </c>
      <c r="M278" s="15"/>
      <c r="N278" s="15">
        <v>2</v>
      </c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 t="s">
        <v>328</v>
      </c>
      <c r="AA278" s="15"/>
      <c r="AB278" s="15"/>
      <c r="AC278" s="15"/>
      <c r="AD278" s="15"/>
      <c r="AE278" s="15"/>
      <c r="AF278" s="15"/>
      <c r="AG278" s="15" t="s">
        <v>328</v>
      </c>
      <c r="AH278" s="15"/>
      <c r="AI278" s="15"/>
      <c r="AJ278" s="15"/>
      <c r="AK278" s="15" t="s">
        <v>328</v>
      </c>
      <c r="AL278" s="15"/>
      <c r="AM278" s="15" t="s">
        <v>328</v>
      </c>
      <c r="AN278" s="15" t="s">
        <v>328</v>
      </c>
      <c r="AO278" s="15"/>
      <c r="AP278" s="15">
        <v>10</v>
      </c>
      <c r="AQ278" s="15">
        <v>5</v>
      </c>
      <c r="AR278" s="15"/>
      <c r="AS278" s="15" t="s">
        <v>328</v>
      </c>
      <c r="AT278" s="15"/>
      <c r="AU278" s="15"/>
      <c r="AV278" s="15">
        <v>1</v>
      </c>
      <c r="AW278" s="15">
        <v>3</v>
      </c>
      <c r="AX278" s="15">
        <v>2</v>
      </c>
      <c r="AY278" s="15"/>
      <c r="AZ278" s="15"/>
      <c r="BA278" s="15" t="s">
        <v>328</v>
      </c>
      <c r="BB278" s="15" t="s">
        <v>328</v>
      </c>
      <c r="BC278" s="15"/>
      <c r="BD278" s="15"/>
      <c r="BE278" s="15" t="s">
        <v>328</v>
      </c>
      <c r="BF278" s="15"/>
      <c r="BG278" s="15"/>
      <c r="BH278" s="15"/>
      <c r="BI278" s="15"/>
      <c r="BJ278" s="15"/>
      <c r="BK278" s="15"/>
      <c r="BL278" s="15" t="s">
        <v>328</v>
      </c>
      <c r="BM278" s="15"/>
      <c r="BN278" s="15" t="s">
        <v>328</v>
      </c>
      <c r="BO278" s="15"/>
      <c r="BP278" s="15" t="s">
        <v>328</v>
      </c>
      <c r="BQ278" s="15" t="s">
        <v>328</v>
      </c>
      <c r="BR278" s="15"/>
      <c r="BS278" s="15"/>
      <c r="BT278" s="15"/>
      <c r="BU278" s="15" t="s">
        <v>328</v>
      </c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 t="s">
        <v>332</v>
      </c>
      <c r="CG278" s="15" t="s">
        <v>328</v>
      </c>
      <c r="CH278" s="15"/>
      <c r="CI278" s="15"/>
      <c r="CJ278" s="15"/>
      <c r="CK278" s="15" t="s">
        <v>328</v>
      </c>
      <c r="CL278" s="15">
        <v>2</v>
      </c>
      <c r="CM278" s="15">
        <v>1</v>
      </c>
      <c r="CN278" s="15">
        <v>3</v>
      </c>
      <c r="CO278" s="15">
        <v>5</v>
      </c>
      <c r="CP278" s="15">
        <v>4</v>
      </c>
      <c r="CQ278" s="15">
        <v>6</v>
      </c>
      <c r="CR278" s="15" t="s">
        <v>328</v>
      </c>
      <c r="CS278" s="15"/>
      <c r="CT278" s="15"/>
      <c r="CU278" s="15"/>
      <c r="CV278" s="15" t="s">
        <v>328</v>
      </c>
      <c r="CW278" s="15"/>
      <c r="CX278" s="15"/>
      <c r="CY278" s="15"/>
      <c r="CZ278" s="15"/>
      <c r="DA278" s="15">
        <v>3</v>
      </c>
      <c r="DB278" s="15">
        <v>6</v>
      </c>
      <c r="DC278" s="15">
        <v>5</v>
      </c>
      <c r="DD278" s="15">
        <v>2</v>
      </c>
      <c r="DE278" s="15">
        <v>4</v>
      </c>
      <c r="DF278" s="15">
        <v>1</v>
      </c>
      <c r="DG278" s="15"/>
      <c r="DH278" s="15" t="s">
        <v>328</v>
      </c>
      <c r="DI278" s="15"/>
      <c r="DJ278" s="15"/>
      <c r="DK278" s="15"/>
      <c r="DL278" s="15"/>
      <c r="DM278" s="15"/>
      <c r="DN278" s="15" t="s">
        <v>1152</v>
      </c>
      <c r="DO278" s="15" t="s">
        <v>328</v>
      </c>
      <c r="DP278" s="15"/>
      <c r="DQ278" s="15"/>
      <c r="DR278" s="15"/>
      <c r="DS278" s="15"/>
      <c r="DT278" s="15"/>
      <c r="DU278" s="15"/>
      <c r="DV278" s="15" t="s">
        <v>1152</v>
      </c>
      <c r="DW278" s="15" t="s">
        <v>328</v>
      </c>
      <c r="DX278" s="15"/>
      <c r="DY278" s="15"/>
      <c r="DZ278" s="15"/>
      <c r="EA278" s="15"/>
      <c r="EB278" s="15"/>
      <c r="EC278" s="102" t="s">
        <v>1152</v>
      </c>
      <c r="ED278" s="48"/>
    </row>
    <row r="279" spans="1:134" x14ac:dyDescent="0.25">
      <c r="A279" s="50" t="s">
        <v>1404</v>
      </c>
      <c r="B279" s="61" t="s">
        <v>1139</v>
      </c>
      <c r="C279" s="15" t="s">
        <v>328</v>
      </c>
      <c r="D279" s="15"/>
      <c r="E279" s="15">
        <v>58</v>
      </c>
      <c r="F279" s="15" t="s">
        <v>329</v>
      </c>
      <c r="G279" s="15" t="s">
        <v>355</v>
      </c>
      <c r="H279" s="15" t="s">
        <v>1040</v>
      </c>
      <c r="I279" s="15" t="s">
        <v>1254</v>
      </c>
      <c r="J279" s="15" t="s">
        <v>1280</v>
      </c>
      <c r="K279" s="15">
        <v>39</v>
      </c>
      <c r="L279" s="15">
        <v>1</v>
      </c>
      <c r="M279" s="15">
        <v>1</v>
      </c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 t="s">
        <v>328</v>
      </c>
      <c r="AD279" s="15"/>
      <c r="AE279" s="15"/>
      <c r="AF279" s="15"/>
      <c r="AG279" s="15"/>
      <c r="AH279" s="15"/>
      <c r="AI279" s="15"/>
      <c r="AJ279" s="15" t="s">
        <v>328</v>
      </c>
      <c r="AK279" s="15"/>
      <c r="AL279" s="15"/>
      <c r="AM279" s="15"/>
      <c r="AN279" s="15" t="s">
        <v>328</v>
      </c>
      <c r="AO279" s="15"/>
      <c r="AP279" s="15">
        <v>0</v>
      </c>
      <c r="AQ279" s="15">
        <v>0</v>
      </c>
      <c r="AR279" s="15"/>
      <c r="AS279" s="15"/>
      <c r="AT279" s="15" t="s">
        <v>328</v>
      </c>
      <c r="AU279" s="15"/>
      <c r="AV279" s="15">
        <v>1</v>
      </c>
      <c r="AW279" s="15">
        <v>3</v>
      </c>
      <c r="AX279" s="15">
        <v>2</v>
      </c>
      <c r="AY279" s="15"/>
      <c r="AZ279" s="15" t="s">
        <v>328</v>
      </c>
      <c r="BA279" s="15"/>
      <c r="BB279" s="15"/>
      <c r="BC279" s="15"/>
      <c r="BD279" s="15"/>
      <c r="BE279" s="15" t="s">
        <v>328</v>
      </c>
      <c r="BF279" s="15"/>
      <c r="BG279" s="15"/>
      <c r="BH279" s="15"/>
      <c r="BI279" s="15"/>
      <c r="BJ279" s="15"/>
      <c r="BK279" s="15"/>
      <c r="BL279" s="15"/>
      <c r="BM279" s="15" t="s">
        <v>328</v>
      </c>
      <c r="BN279" s="15" t="s">
        <v>328</v>
      </c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 t="s">
        <v>332</v>
      </c>
      <c r="CG279" s="15" t="s">
        <v>328</v>
      </c>
      <c r="CH279" s="15" t="s">
        <v>328</v>
      </c>
      <c r="CI279" s="15"/>
      <c r="CJ279" s="15"/>
      <c r="CK279" s="15"/>
      <c r="CL279" s="15">
        <v>3</v>
      </c>
      <c r="CM279" s="15">
        <v>1</v>
      </c>
      <c r="CN279" s="15">
        <v>2</v>
      </c>
      <c r="CO279" s="15">
        <v>5</v>
      </c>
      <c r="CP279" s="15">
        <v>6</v>
      </c>
      <c r="CQ279" s="15">
        <v>4</v>
      </c>
      <c r="CR279" s="15"/>
      <c r="CS279" s="15"/>
      <c r="CT279" s="15"/>
      <c r="CU279" s="15"/>
      <c r="CV279" s="15"/>
      <c r="CW279" s="15"/>
      <c r="CX279" s="15" t="s">
        <v>332</v>
      </c>
      <c r="CY279" s="15" t="s">
        <v>328</v>
      </c>
      <c r="CZ279" s="15"/>
      <c r="DA279" s="15">
        <v>3</v>
      </c>
      <c r="DB279" s="15">
        <v>1</v>
      </c>
      <c r="DC279" s="15">
        <v>2</v>
      </c>
      <c r="DD279" s="15">
        <v>5</v>
      </c>
      <c r="DE279" s="15">
        <v>6</v>
      </c>
      <c r="DF279" s="15">
        <v>4</v>
      </c>
      <c r="DG279" s="15"/>
      <c r="DH279" s="15" t="s">
        <v>328</v>
      </c>
      <c r="DI279" s="15"/>
      <c r="DJ279" s="15"/>
      <c r="DK279" s="15"/>
      <c r="DL279" s="15"/>
      <c r="DM279" s="15"/>
      <c r="DN279" s="15" t="s">
        <v>411</v>
      </c>
      <c r="DO279" s="15" t="s">
        <v>328</v>
      </c>
      <c r="DP279" s="15"/>
      <c r="DQ279" s="15"/>
      <c r="DR279" s="15"/>
      <c r="DS279" s="15"/>
      <c r="DT279" s="15"/>
      <c r="DU279" s="15"/>
      <c r="DV279" s="15" t="s">
        <v>411</v>
      </c>
      <c r="DW279" s="15" t="s">
        <v>328</v>
      </c>
      <c r="DX279" s="15"/>
      <c r="DY279" s="15"/>
      <c r="DZ279" s="15"/>
      <c r="EA279" s="15"/>
      <c r="EB279" s="15"/>
      <c r="EC279" s="102" t="s">
        <v>411</v>
      </c>
      <c r="ED279" s="48"/>
    </row>
    <row r="280" spans="1:134" x14ac:dyDescent="0.25">
      <c r="A280" s="50" t="s">
        <v>1404</v>
      </c>
      <c r="B280" s="61" t="s">
        <v>1140</v>
      </c>
      <c r="C280" s="15" t="s">
        <v>328</v>
      </c>
      <c r="D280" s="15"/>
      <c r="E280" s="15">
        <v>50</v>
      </c>
      <c r="F280" s="15" t="s">
        <v>329</v>
      </c>
      <c r="G280" s="15" t="s">
        <v>399</v>
      </c>
      <c r="H280" s="15" t="s">
        <v>1036</v>
      </c>
      <c r="I280" s="15" t="s">
        <v>1296</v>
      </c>
      <c r="J280" s="15" t="s">
        <v>1188</v>
      </c>
      <c r="K280" s="15">
        <v>20</v>
      </c>
      <c r="L280" s="15">
        <v>1</v>
      </c>
      <c r="M280" s="15">
        <v>1</v>
      </c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 t="s">
        <v>418</v>
      </c>
      <c r="AJ280" s="15" t="s">
        <v>328</v>
      </c>
      <c r="AK280" s="15"/>
      <c r="AL280" s="15"/>
      <c r="AM280" s="15" t="s">
        <v>328</v>
      </c>
      <c r="AN280" s="15" t="s">
        <v>328</v>
      </c>
      <c r="AO280" s="15"/>
      <c r="AP280" s="15">
        <v>10</v>
      </c>
      <c r="AQ280" s="15">
        <v>8</v>
      </c>
      <c r="AR280" s="15"/>
      <c r="AS280" s="15" t="s">
        <v>328</v>
      </c>
      <c r="AT280" s="15"/>
      <c r="AU280" s="15"/>
      <c r="AV280" s="15">
        <v>2</v>
      </c>
      <c r="AW280" s="15">
        <v>4</v>
      </c>
      <c r="AX280" s="15">
        <v>3</v>
      </c>
      <c r="AY280" s="15" t="s">
        <v>346</v>
      </c>
      <c r="AZ280" s="15"/>
      <c r="BA280" s="15" t="s">
        <v>328</v>
      </c>
      <c r="BB280" s="15"/>
      <c r="BC280" s="15"/>
      <c r="BD280" s="15"/>
      <c r="BE280" s="15"/>
      <c r="BF280" s="15"/>
      <c r="BG280" s="15"/>
      <c r="BH280" s="15"/>
      <c r="BI280" s="15" t="s">
        <v>328</v>
      </c>
      <c r="BJ280" s="15"/>
      <c r="BK280" s="15"/>
      <c r="BL280" s="15" t="s">
        <v>328</v>
      </c>
      <c r="BM280" s="15"/>
      <c r="BN280" s="15" t="s">
        <v>328</v>
      </c>
      <c r="BO280" s="15"/>
      <c r="BP280" s="15" t="s">
        <v>328</v>
      </c>
      <c r="BQ280" s="15"/>
      <c r="BR280" s="15"/>
      <c r="BS280" s="15"/>
      <c r="BT280" s="15" t="s">
        <v>328</v>
      </c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 t="s">
        <v>332</v>
      </c>
      <c r="CG280" s="15" t="s">
        <v>328</v>
      </c>
      <c r="CH280" s="15"/>
      <c r="CI280" s="15" t="s">
        <v>328</v>
      </c>
      <c r="CJ280" s="15"/>
      <c r="CK280" s="15" t="s">
        <v>328</v>
      </c>
      <c r="CL280" s="15">
        <v>2</v>
      </c>
      <c r="CM280" s="15">
        <v>1</v>
      </c>
      <c r="CN280" s="15">
        <v>3</v>
      </c>
      <c r="CO280" s="15">
        <v>5</v>
      </c>
      <c r="CP280" s="15">
        <v>4</v>
      </c>
      <c r="CQ280" s="15">
        <v>6</v>
      </c>
      <c r="CR280" s="15" t="s">
        <v>328</v>
      </c>
      <c r="CS280" s="15" t="s">
        <v>328</v>
      </c>
      <c r="CT280" s="15"/>
      <c r="CU280" s="15"/>
      <c r="CV280" s="15" t="s">
        <v>328</v>
      </c>
      <c r="CW280" s="15"/>
      <c r="CX280" s="15"/>
      <c r="CY280" s="15" t="s">
        <v>328</v>
      </c>
      <c r="CZ280" s="15" t="s">
        <v>404</v>
      </c>
      <c r="DA280" s="15"/>
      <c r="DB280" s="15"/>
      <c r="DC280" s="15"/>
      <c r="DD280" s="15"/>
      <c r="DE280" s="15"/>
      <c r="DF280" s="15"/>
      <c r="DG280" s="15"/>
      <c r="DH280" s="15" t="s">
        <v>328</v>
      </c>
      <c r="DI280" s="15"/>
      <c r="DJ280" s="15"/>
      <c r="DK280" s="15"/>
      <c r="DL280" s="15"/>
      <c r="DM280" s="15"/>
      <c r="DN280" s="15" t="s">
        <v>497</v>
      </c>
      <c r="DO280" s="15" t="s">
        <v>328</v>
      </c>
      <c r="DP280" s="15"/>
      <c r="DQ280" s="15"/>
      <c r="DR280" s="15"/>
      <c r="DS280" s="15"/>
      <c r="DT280" s="15"/>
      <c r="DU280" s="15"/>
      <c r="DV280" s="15" t="s">
        <v>497</v>
      </c>
      <c r="DW280" s="15" t="s">
        <v>328</v>
      </c>
      <c r="DX280" s="15"/>
      <c r="DY280" s="15"/>
      <c r="DZ280" s="15"/>
      <c r="EA280" s="15"/>
      <c r="EB280" s="15"/>
      <c r="EC280" s="102" t="s">
        <v>497</v>
      </c>
      <c r="ED280" s="48"/>
    </row>
    <row r="281" spans="1:134" x14ac:dyDescent="0.25">
      <c r="A281" s="50" t="s">
        <v>1404</v>
      </c>
      <c r="B281" s="61" t="s">
        <v>1141</v>
      </c>
      <c r="C281" s="15" t="s">
        <v>328</v>
      </c>
      <c r="D281" s="15"/>
      <c r="E281" s="15">
        <v>47</v>
      </c>
      <c r="F281" s="15" t="s">
        <v>329</v>
      </c>
      <c r="G281" s="15" t="s">
        <v>330</v>
      </c>
      <c r="H281" s="15" t="s">
        <v>762</v>
      </c>
      <c r="I281" s="15" t="s">
        <v>1252</v>
      </c>
      <c r="J281" s="15" t="s">
        <v>1283</v>
      </c>
      <c r="K281" s="15">
        <v>20</v>
      </c>
      <c r="L281" s="15">
        <v>1</v>
      </c>
      <c r="M281" s="15">
        <v>1</v>
      </c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 t="s">
        <v>328</v>
      </c>
      <c r="AD281" s="15"/>
      <c r="AE281" s="15"/>
      <c r="AF281" s="15" t="s">
        <v>328</v>
      </c>
      <c r="AG281" s="15"/>
      <c r="AH281" s="15"/>
      <c r="AI281" s="15"/>
      <c r="AJ281" s="15" t="s">
        <v>328</v>
      </c>
      <c r="AK281" s="15"/>
      <c r="AL281" s="15" t="s">
        <v>328</v>
      </c>
      <c r="AM281" s="15"/>
      <c r="AN281" s="15"/>
      <c r="AO281" s="15"/>
      <c r="AP281" s="15">
        <v>10</v>
      </c>
      <c r="AQ281" s="15">
        <v>3</v>
      </c>
      <c r="AR281" s="15"/>
      <c r="AS281" s="15"/>
      <c r="AT281" s="15" t="s">
        <v>328</v>
      </c>
      <c r="AU281" s="15"/>
      <c r="AV281" s="15">
        <v>1</v>
      </c>
      <c r="AW281" s="15">
        <v>2</v>
      </c>
      <c r="AX281" s="15">
        <v>3</v>
      </c>
      <c r="AY281" s="15"/>
      <c r="AZ281" s="15" t="s">
        <v>328</v>
      </c>
      <c r="BA281" s="15"/>
      <c r="BB281" s="15" t="s">
        <v>328</v>
      </c>
      <c r="BC281" s="15"/>
      <c r="BD281" s="15"/>
      <c r="BE281" s="15"/>
      <c r="BF281" s="15"/>
      <c r="BG281" s="15"/>
      <c r="BH281" s="15"/>
      <c r="BI281" s="15"/>
      <c r="BJ281" s="15"/>
      <c r="BK281" s="15"/>
      <c r="BL281" s="15" t="s">
        <v>328</v>
      </c>
      <c r="BM281" s="15"/>
      <c r="BN281" s="15" t="s">
        <v>328</v>
      </c>
      <c r="BO281" s="15"/>
      <c r="BP281" s="15"/>
      <c r="BQ281" s="15"/>
      <c r="BR281" s="15"/>
      <c r="BS281" s="12"/>
      <c r="BT281" s="15"/>
      <c r="BU281" s="15"/>
      <c r="BV281" s="15" t="s">
        <v>332</v>
      </c>
      <c r="BW281" s="15"/>
      <c r="BX281" s="15"/>
      <c r="BY281" s="15"/>
      <c r="BZ281" s="15"/>
      <c r="CA281" s="15"/>
      <c r="CB281" s="15"/>
      <c r="CC281" s="15"/>
      <c r="CD281" s="15"/>
      <c r="CE281" s="15"/>
      <c r="CF281" s="15" t="s">
        <v>332</v>
      </c>
      <c r="CG281" s="15"/>
      <c r="CH281" s="15"/>
      <c r="CI281" s="15"/>
      <c r="CJ281" s="15" t="s">
        <v>328</v>
      </c>
      <c r="CK281" s="15"/>
      <c r="CL281" s="15">
        <v>5</v>
      </c>
      <c r="CM281" s="15">
        <v>1</v>
      </c>
      <c r="CN281" s="15">
        <v>3</v>
      </c>
      <c r="CO281" s="15">
        <v>6</v>
      </c>
      <c r="CP281" s="15">
        <v>4</v>
      </c>
      <c r="CQ281" s="15">
        <v>2</v>
      </c>
      <c r="CR281" s="15"/>
      <c r="CS281" s="15"/>
      <c r="CT281" s="15"/>
      <c r="CU281" s="15"/>
      <c r="CV281" s="15"/>
      <c r="CW281" s="15"/>
      <c r="CX281" s="15" t="s">
        <v>332</v>
      </c>
      <c r="CY281" s="15" t="s">
        <v>328</v>
      </c>
      <c r="CZ281" s="15" t="s">
        <v>404</v>
      </c>
      <c r="DA281" s="15"/>
      <c r="DB281" s="15"/>
      <c r="DC281" s="15"/>
      <c r="DD281" s="15"/>
      <c r="DE281" s="15"/>
      <c r="DF281" s="15"/>
      <c r="DG281" s="15"/>
      <c r="DH281" s="15" t="s">
        <v>328</v>
      </c>
      <c r="DI281" s="15"/>
      <c r="DJ281" s="15"/>
      <c r="DK281" s="15"/>
      <c r="DL281" s="15"/>
      <c r="DM281" s="15"/>
      <c r="DN281" s="15" t="s">
        <v>1152</v>
      </c>
      <c r="DO281" s="15" t="s">
        <v>328</v>
      </c>
      <c r="DP281" s="15"/>
      <c r="DQ281" s="15"/>
      <c r="DR281" s="15"/>
      <c r="DS281" s="15"/>
      <c r="DT281" s="15"/>
      <c r="DU281" s="15"/>
      <c r="DV281" s="15" t="s">
        <v>1152</v>
      </c>
      <c r="DW281" s="15" t="s">
        <v>328</v>
      </c>
      <c r="DX281" s="15"/>
      <c r="DY281" s="15"/>
      <c r="DZ281" s="15"/>
      <c r="EA281" s="15"/>
      <c r="EB281" s="15"/>
      <c r="EC281" s="102" t="s">
        <v>1152</v>
      </c>
      <c r="ED281" s="48"/>
    </row>
    <row r="282" spans="1:134" x14ac:dyDescent="0.25">
      <c r="A282" s="50" t="s">
        <v>1404</v>
      </c>
      <c r="B282" s="61" t="s">
        <v>1142</v>
      </c>
      <c r="C282" s="15" t="s">
        <v>328</v>
      </c>
      <c r="D282" s="15"/>
      <c r="E282" s="15">
        <v>43</v>
      </c>
      <c r="F282" s="15" t="s">
        <v>329</v>
      </c>
      <c r="G282" s="15" t="s">
        <v>355</v>
      </c>
      <c r="H282" s="15" t="s">
        <v>748</v>
      </c>
      <c r="I282" s="15" t="s">
        <v>1221</v>
      </c>
      <c r="J282" s="15" t="s">
        <v>1280</v>
      </c>
      <c r="K282" s="15">
        <v>15</v>
      </c>
      <c r="L282" s="15">
        <v>2</v>
      </c>
      <c r="M282" s="15"/>
      <c r="N282" s="15"/>
      <c r="O282" s="15"/>
      <c r="P282" s="15">
        <v>2</v>
      </c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 t="s">
        <v>328</v>
      </c>
      <c r="AH282" s="15"/>
      <c r="AI282" s="15"/>
      <c r="AJ282" s="15"/>
      <c r="AK282" s="15" t="s">
        <v>328</v>
      </c>
      <c r="AL282" s="15"/>
      <c r="AM282" s="15" t="s">
        <v>328</v>
      </c>
      <c r="AN282" s="15"/>
      <c r="AO282" s="15"/>
      <c r="AP282" s="15">
        <v>10</v>
      </c>
      <c r="AQ282" s="15">
        <v>3</v>
      </c>
      <c r="AR282" s="15"/>
      <c r="AS282" s="15"/>
      <c r="AT282" s="15"/>
      <c r="AU282" s="15" t="s">
        <v>328</v>
      </c>
      <c r="AV282" s="15">
        <v>1</v>
      </c>
      <c r="AW282" s="15">
        <v>3</v>
      </c>
      <c r="AX282" s="15">
        <v>2</v>
      </c>
      <c r="AY282" s="15"/>
      <c r="AZ282" s="15" t="s">
        <v>328</v>
      </c>
      <c r="BA282" s="15"/>
      <c r="BB282" s="15" t="s">
        <v>328</v>
      </c>
      <c r="BC282" s="15"/>
      <c r="BD282" s="15"/>
      <c r="BE282" s="15" t="s">
        <v>328</v>
      </c>
      <c r="BF282" s="15"/>
      <c r="BG282" s="15"/>
      <c r="BH282" s="15"/>
      <c r="BI282" s="15"/>
      <c r="BJ282" s="15"/>
      <c r="BK282" s="15"/>
      <c r="BL282" s="15" t="s">
        <v>328</v>
      </c>
      <c r="BM282" s="15"/>
      <c r="BN282" s="15" t="s">
        <v>328</v>
      </c>
      <c r="BO282" s="15"/>
      <c r="BP282" s="15" t="s">
        <v>328</v>
      </c>
      <c r="BQ282" s="15"/>
      <c r="BR282" s="15" t="s">
        <v>328</v>
      </c>
      <c r="BS282" s="15"/>
      <c r="BT282" s="15"/>
      <c r="BU282" s="15" t="s">
        <v>328</v>
      </c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 t="s">
        <v>332</v>
      </c>
      <c r="CG282" s="15" t="s">
        <v>328</v>
      </c>
      <c r="CH282" s="15"/>
      <c r="CI282" s="15" t="s">
        <v>328</v>
      </c>
      <c r="CJ282" s="15"/>
      <c r="CK282" s="15" t="s">
        <v>328</v>
      </c>
      <c r="CL282" s="15">
        <v>6</v>
      </c>
      <c r="CM282" s="15">
        <v>5</v>
      </c>
      <c r="CN282" s="15">
        <v>4</v>
      </c>
      <c r="CO282" s="15">
        <v>1</v>
      </c>
      <c r="CP282" s="15">
        <v>2</v>
      </c>
      <c r="CQ282" s="15">
        <v>3</v>
      </c>
      <c r="CR282" s="15" t="s">
        <v>328</v>
      </c>
      <c r="CS282" s="15" t="s">
        <v>328</v>
      </c>
      <c r="CT282" s="15"/>
      <c r="CU282" s="15"/>
      <c r="CV282" s="15" t="s">
        <v>328</v>
      </c>
      <c r="CW282" s="15"/>
      <c r="CX282" s="15"/>
      <c r="CY282" s="15"/>
      <c r="CZ282" s="15"/>
      <c r="DA282" s="15">
        <v>1</v>
      </c>
      <c r="DB282" s="15">
        <v>3</v>
      </c>
      <c r="DC282" s="15">
        <v>5</v>
      </c>
      <c r="DD282" s="15">
        <v>4</v>
      </c>
      <c r="DE282" s="15">
        <v>2</v>
      </c>
      <c r="DF282" s="15">
        <v>6</v>
      </c>
      <c r="DG282" s="15"/>
      <c r="DH282" s="15" t="s">
        <v>328</v>
      </c>
      <c r="DI282" s="15"/>
      <c r="DJ282" s="15"/>
      <c r="DK282" s="15"/>
      <c r="DL282" s="15"/>
      <c r="DM282" s="15"/>
      <c r="DN282" s="15" t="s">
        <v>1145</v>
      </c>
      <c r="DO282" s="15" t="s">
        <v>328</v>
      </c>
      <c r="DP282" s="15"/>
      <c r="DQ282" s="15"/>
      <c r="DR282" s="15"/>
      <c r="DS282" s="15"/>
      <c r="DT282" s="15"/>
      <c r="DU282" s="15"/>
      <c r="DV282" s="15" t="s">
        <v>1145</v>
      </c>
      <c r="DW282" s="15" t="s">
        <v>328</v>
      </c>
      <c r="DX282" s="15"/>
      <c r="DY282" s="15"/>
      <c r="DZ282" s="15"/>
      <c r="EA282" s="15"/>
      <c r="EB282" s="15"/>
      <c r="EC282" s="102" t="s">
        <v>1145</v>
      </c>
      <c r="ED282" s="48"/>
    </row>
    <row r="283" spans="1:134" x14ac:dyDescent="0.25">
      <c r="A283" s="50" t="s">
        <v>1404</v>
      </c>
      <c r="B283" s="61" t="s">
        <v>1143</v>
      </c>
      <c r="C283" s="15" t="s">
        <v>328</v>
      </c>
      <c r="D283" s="15"/>
      <c r="E283" s="15">
        <v>57</v>
      </c>
      <c r="F283" s="15" t="s">
        <v>329</v>
      </c>
      <c r="G283" s="15" t="s">
        <v>357</v>
      </c>
      <c r="H283" s="15" t="s">
        <v>1031</v>
      </c>
      <c r="I283" s="15" t="s">
        <v>1203</v>
      </c>
      <c r="J283" s="15" t="s">
        <v>1284</v>
      </c>
      <c r="K283" s="15">
        <v>20</v>
      </c>
      <c r="L283" s="15">
        <v>2</v>
      </c>
      <c r="M283" s="15">
        <v>5</v>
      </c>
      <c r="N283" s="15"/>
      <c r="O283" s="15">
        <v>3</v>
      </c>
      <c r="P283" s="15"/>
      <c r="Q283" s="15">
        <v>2</v>
      </c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 t="s">
        <v>418</v>
      </c>
      <c r="AJ283" s="15"/>
      <c r="AK283" s="15" t="s">
        <v>328</v>
      </c>
      <c r="AL283" s="15"/>
      <c r="AM283" s="15"/>
      <c r="AN283" s="15" t="s">
        <v>328</v>
      </c>
      <c r="AO283" s="15"/>
      <c r="AP283" s="15">
        <v>10</v>
      </c>
      <c r="AQ283" s="15">
        <v>4</v>
      </c>
      <c r="AR283" s="15"/>
      <c r="AS283" s="15"/>
      <c r="AT283" s="15"/>
      <c r="AU283" s="15" t="s">
        <v>328</v>
      </c>
      <c r="AV283" s="15">
        <v>2</v>
      </c>
      <c r="AW283" s="15">
        <v>3</v>
      </c>
      <c r="AX283" s="15">
        <v>1</v>
      </c>
      <c r="AY283" s="15"/>
      <c r="AZ283" s="15"/>
      <c r="BA283" s="15" t="s">
        <v>328</v>
      </c>
      <c r="BB283" s="15" t="s">
        <v>328</v>
      </c>
      <c r="BC283" s="15"/>
      <c r="BD283" s="15"/>
      <c r="BE283" s="15" t="s">
        <v>328</v>
      </c>
      <c r="BF283" s="15"/>
      <c r="BG283" s="15"/>
      <c r="BH283" s="15"/>
      <c r="BI283" s="15"/>
      <c r="BJ283" s="15"/>
      <c r="BK283" s="15"/>
      <c r="BL283" s="15" t="s">
        <v>328</v>
      </c>
      <c r="BM283" s="15"/>
      <c r="BN283" s="15" t="s">
        <v>328</v>
      </c>
      <c r="BO283" s="15"/>
      <c r="BP283" s="15" t="s">
        <v>328</v>
      </c>
      <c r="BQ283" s="15"/>
      <c r="BR283" s="15"/>
      <c r="BS283" s="15"/>
      <c r="BT283" s="15" t="s">
        <v>328</v>
      </c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 t="s">
        <v>332</v>
      </c>
      <c r="CG283" s="15" t="s">
        <v>328</v>
      </c>
      <c r="CH283" s="15"/>
      <c r="CI283" s="15" t="s">
        <v>328</v>
      </c>
      <c r="CJ283" s="15"/>
      <c r="CK283" s="15"/>
      <c r="CL283" s="15">
        <v>3</v>
      </c>
      <c r="CM283" s="15">
        <v>1</v>
      </c>
      <c r="CN283" s="15">
        <v>2</v>
      </c>
      <c r="CO283" s="15">
        <v>5</v>
      </c>
      <c r="CP283" s="15">
        <v>6</v>
      </c>
      <c r="CQ283" s="15">
        <v>4</v>
      </c>
      <c r="CR283" s="15" t="s">
        <v>328</v>
      </c>
      <c r="CS283" s="15" t="s">
        <v>328</v>
      </c>
      <c r="CT283" s="15"/>
      <c r="CU283" s="15"/>
      <c r="CV283" s="15" t="s">
        <v>328</v>
      </c>
      <c r="CW283" s="15"/>
      <c r="CX283" s="15"/>
      <c r="CY283" s="15" t="s">
        <v>328</v>
      </c>
      <c r="CZ283" s="15" t="s">
        <v>404</v>
      </c>
      <c r="DA283" s="15"/>
      <c r="DB283" s="15"/>
      <c r="DC283" s="15"/>
      <c r="DD283" s="15"/>
      <c r="DE283" s="15"/>
      <c r="DF283" s="15"/>
      <c r="DG283" s="15"/>
      <c r="DH283" s="15" t="s">
        <v>328</v>
      </c>
      <c r="DI283" s="15"/>
      <c r="DJ283" s="15"/>
      <c r="DK283" s="15"/>
      <c r="DL283" s="15"/>
      <c r="DM283" s="15"/>
      <c r="DN283" s="15" t="s">
        <v>497</v>
      </c>
      <c r="DO283" s="15" t="s">
        <v>328</v>
      </c>
      <c r="DP283" s="15"/>
      <c r="DQ283" s="15"/>
      <c r="DR283" s="15"/>
      <c r="DS283" s="15"/>
      <c r="DT283" s="15"/>
      <c r="DU283" s="15"/>
      <c r="DV283" s="15" t="s">
        <v>497</v>
      </c>
      <c r="DW283" s="15" t="s">
        <v>328</v>
      </c>
      <c r="DX283" s="15"/>
      <c r="DY283" s="15"/>
      <c r="DZ283" s="15"/>
      <c r="EA283" s="15"/>
      <c r="EB283" s="15"/>
      <c r="EC283" s="102" t="s">
        <v>497</v>
      </c>
      <c r="ED283" s="48"/>
    </row>
    <row r="284" spans="1:134" x14ac:dyDescent="0.25">
      <c r="A284" s="51" t="s">
        <v>1378</v>
      </c>
      <c r="B284" s="61" t="s">
        <v>1352</v>
      </c>
      <c r="C284" s="15" t="s">
        <v>328</v>
      </c>
      <c r="D284" s="15"/>
      <c r="E284" s="15">
        <v>39</v>
      </c>
      <c r="F284" s="15" t="s">
        <v>329</v>
      </c>
      <c r="G284" s="15" t="s">
        <v>399</v>
      </c>
      <c r="H284" s="15" t="s">
        <v>1107</v>
      </c>
      <c r="I284" s="15" t="s">
        <v>1321</v>
      </c>
      <c r="J284" s="15" t="s">
        <v>1281</v>
      </c>
      <c r="K284" s="15">
        <v>10</v>
      </c>
      <c r="L284" s="15">
        <v>1</v>
      </c>
      <c r="M284" s="15"/>
      <c r="N284" s="15"/>
      <c r="O284" s="15"/>
      <c r="P284" s="15">
        <v>1</v>
      </c>
      <c r="Q284" s="15"/>
      <c r="R284" s="15"/>
      <c r="S284" s="15"/>
      <c r="T284" s="15"/>
      <c r="U284" s="15"/>
      <c r="V284" s="15"/>
      <c r="W284" s="15"/>
      <c r="X284" s="15"/>
      <c r="Y284" s="15"/>
      <c r="Z284" s="15" t="s">
        <v>328</v>
      </c>
      <c r="AA284" s="15" t="s">
        <v>328</v>
      </c>
      <c r="AB284" s="15"/>
      <c r="AC284" s="15"/>
      <c r="AD284" s="15"/>
      <c r="AE284" s="15"/>
      <c r="AF284" s="15"/>
      <c r="AG284" s="15" t="s">
        <v>328</v>
      </c>
      <c r="AH284" s="15"/>
      <c r="AI284" s="15"/>
      <c r="AJ284" s="15"/>
      <c r="AK284" s="15" t="s">
        <v>328</v>
      </c>
      <c r="AL284" s="15"/>
      <c r="AM284" s="15" t="s">
        <v>328</v>
      </c>
      <c r="AN284" s="15"/>
      <c r="AO284" s="15"/>
      <c r="AP284" s="15">
        <v>10</v>
      </c>
      <c r="AQ284" s="15">
        <v>8</v>
      </c>
      <c r="AR284" s="15"/>
      <c r="AS284" s="15"/>
      <c r="AT284" s="15"/>
      <c r="AU284" s="15" t="s">
        <v>328</v>
      </c>
      <c r="AV284" s="15">
        <v>3</v>
      </c>
      <c r="AW284" s="15">
        <v>2</v>
      </c>
      <c r="AX284" s="15">
        <v>1</v>
      </c>
      <c r="AY284" s="15"/>
      <c r="AZ284" s="15" t="s">
        <v>328</v>
      </c>
      <c r="BA284" s="15"/>
      <c r="BB284" s="15"/>
      <c r="BC284" s="15"/>
      <c r="BD284" s="15"/>
      <c r="BE284" s="15" t="s">
        <v>328</v>
      </c>
      <c r="BF284" s="15"/>
      <c r="BG284" s="15"/>
      <c r="BH284" s="15"/>
      <c r="BI284" s="15"/>
      <c r="BJ284" s="15"/>
      <c r="BK284" s="15"/>
      <c r="BL284" s="15"/>
      <c r="BM284" s="15" t="s">
        <v>328</v>
      </c>
      <c r="BN284" s="15"/>
      <c r="BO284" s="15" t="s">
        <v>328</v>
      </c>
      <c r="BP284" s="15" t="s">
        <v>328</v>
      </c>
      <c r="BQ284" s="15"/>
      <c r="BR284" s="15"/>
      <c r="BS284" s="15"/>
      <c r="BT284" s="15"/>
      <c r="BU284" s="15"/>
      <c r="BV284" s="15"/>
      <c r="BW284" s="15"/>
      <c r="BX284" s="15"/>
      <c r="BY284" s="15"/>
      <c r="BZ284" s="15" t="s">
        <v>328</v>
      </c>
      <c r="CA284" s="15" t="s">
        <v>328</v>
      </c>
      <c r="CB284" s="15" t="s">
        <v>328</v>
      </c>
      <c r="CC284" s="15"/>
      <c r="CD284" s="15"/>
      <c r="CE284" s="15"/>
      <c r="CF284" s="15"/>
      <c r="CG284" s="15"/>
      <c r="CH284" s="15" t="s">
        <v>328</v>
      </c>
      <c r="CI284" s="15"/>
      <c r="CJ284" s="15"/>
      <c r="CK284" s="15"/>
      <c r="CL284" s="15">
        <v>6</v>
      </c>
      <c r="CM284" s="15">
        <v>5</v>
      </c>
      <c r="CN284" s="15">
        <v>4</v>
      </c>
      <c r="CO284" s="15">
        <v>3</v>
      </c>
      <c r="CP284" s="15">
        <v>2</v>
      </c>
      <c r="CQ284" s="15">
        <v>1</v>
      </c>
      <c r="CR284" s="15"/>
      <c r="CS284" s="15"/>
      <c r="CT284" s="15"/>
      <c r="CU284" s="15"/>
      <c r="CV284" s="15"/>
      <c r="CW284" s="15"/>
      <c r="CX284" s="15" t="s">
        <v>332</v>
      </c>
      <c r="CY284" s="15"/>
      <c r="CZ284" s="15"/>
      <c r="DA284" s="15">
        <v>1</v>
      </c>
      <c r="DB284" s="15">
        <v>3</v>
      </c>
      <c r="DC284" s="15">
        <v>4</v>
      </c>
      <c r="DD284" s="15">
        <v>2</v>
      </c>
      <c r="DE284" s="15">
        <v>5</v>
      </c>
      <c r="DF284" s="15">
        <v>6</v>
      </c>
      <c r="DG284" s="15"/>
      <c r="DH284" s="15" t="s">
        <v>328</v>
      </c>
      <c r="DI284" s="15"/>
      <c r="DJ284" s="15"/>
      <c r="DK284" s="15"/>
      <c r="DL284" s="15"/>
      <c r="DM284" s="15"/>
      <c r="DN284" s="15"/>
      <c r="DO284" s="15" t="s">
        <v>328</v>
      </c>
      <c r="DP284" s="15"/>
      <c r="DQ284" s="15"/>
      <c r="DR284" s="15"/>
      <c r="DS284" s="15"/>
      <c r="DT284" s="15"/>
      <c r="DU284" s="15"/>
      <c r="DV284" s="15"/>
      <c r="DW284" s="15" t="s">
        <v>328</v>
      </c>
      <c r="DX284" s="15"/>
      <c r="DY284" s="15"/>
      <c r="DZ284" s="15"/>
      <c r="EA284" s="15"/>
      <c r="EB284" s="15"/>
      <c r="EC284" s="102"/>
      <c r="ED284" s="48"/>
    </row>
    <row r="285" spans="1:134" x14ac:dyDescent="0.25">
      <c r="A285" s="51" t="s">
        <v>1378</v>
      </c>
      <c r="B285" s="61" t="s">
        <v>1357</v>
      </c>
      <c r="C285" s="15" t="s">
        <v>328</v>
      </c>
      <c r="D285" s="15"/>
      <c r="E285" s="15">
        <v>42</v>
      </c>
      <c r="F285" s="15" t="s">
        <v>329</v>
      </c>
      <c r="G285" s="15" t="s">
        <v>330</v>
      </c>
      <c r="H285" s="18" t="s">
        <v>1410</v>
      </c>
      <c r="I285" s="18" t="s">
        <v>1411</v>
      </c>
      <c r="J285" s="15" t="s">
        <v>1281</v>
      </c>
      <c r="K285" s="15">
        <v>15</v>
      </c>
      <c r="L285" s="15">
        <v>4</v>
      </c>
      <c r="M285" s="15">
        <v>4</v>
      </c>
      <c r="N285" s="15">
        <v>2</v>
      </c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 t="s">
        <v>328</v>
      </c>
      <c r="AA285" s="15" t="s">
        <v>328</v>
      </c>
      <c r="AB285" s="15"/>
      <c r="AC285" s="15"/>
      <c r="AD285" s="15" t="s">
        <v>328</v>
      </c>
      <c r="AE285" s="15"/>
      <c r="AF285" s="15"/>
      <c r="AG285" s="15" t="s">
        <v>328</v>
      </c>
      <c r="AH285" s="15"/>
      <c r="AI285" s="15"/>
      <c r="AJ285" s="15" t="s">
        <v>328</v>
      </c>
      <c r="AK285" s="15"/>
      <c r="AL285" s="15"/>
      <c r="AM285" s="15" t="s">
        <v>328</v>
      </c>
      <c r="AN285" s="15"/>
      <c r="AO285" s="15"/>
      <c r="AP285" s="15">
        <v>1</v>
      </c>
      <c r="AQ285" s="15">
        <v>9</v>
      </c>
      <c r="AR285" s="15"/>
      <c r="AS285" s="15"/>
      <c r="AT285" s="15"/>
      <c r="AU285" s="15" t="s">
        <v>328</v>
      </c>
      <c r="AV285" s="15">
        <v>1</v>
      </c>
      <c r="AW285" s="15">
        <v>3</v>
      </c>
      <c r="AX285" s="15">
        <v>2</v>
      </c>
      <c r="AY285" s="15"/>
      <c r="AZ285" s="15" t="s">
        <v>328</v>
      </c>
      <c r="BA285" s="15"/>
      <c r="BB285" s="15" t="s">
        <v>328</v>
      </c>
      <c r="BC285" s="15" t="s">
        <v>328</v>
      </c>
      <c r="BD285" s="15" t="s">
        <v>328</v>
      </c>
      <c r="BE285" s="15"/>
      <c r="BF285" s="15"/>
      <c r="BG285" s="15"/>
      <c r="BH285" s="15"/>
      <c r="BI285" s="15" t="s">
        <v>328</v>
      </c>
      <c r="BJ285" s="15"/>
      <c r="BK285" s="15"/>
      <c r="BL285" s="15"/>
      <c r="BM285" s="15" t="s">
        <v>328</v>
      </c>
      <c r="BN285" s="15"/>
      <c r="BO285" s="15" t="s">
        <v>328</v>
      </c>
      <c r="BP285" s="15" t="s">
        <v>328</v>
      </c>
      <c r="BQ285" s="15" t="s">
        <v>328</v>
      </c>
      <c r="BR285" s="15"/>
      <c r="BS285" s="15"/>
      <c r="BT285" s="15"/>
      <c r="BU285" s="15"/>
      <c r="BV285" s="15"/>
      <c r="BW285" s="15" t="s">
        <v>328</v>
      </c>
      <c r="BX285" s="15" t="s">
        <v>328</v>
      </c>
      <c r="BY285" s="15"/>
      <c r="BZ285" s="15" t="s">
        <v>328</v>
      </c>
      <c r="CA285" s="15"/>
      <c r="CB285" s="15"/>
      <c r="CC285" s="15"/>
      <c r="CD285" s="15"/>
      <c r="CE285" s="15"/>
      <c r="CF285" s="15"/>
      <c r="CG285" s="15"/>
      <c r="CH285" s="15" t="s">
        <v>328</v>
      </c>
      <c r="CI285" s="15"/>
      <c r="CJ285" s="15"/>
      <c r="CK285" s="15" t="s">
        <v>328</v>
      </c>
      <c r="CL285" s="15">
        <v>4</v>
      </c>
      <c r="CM285" s="15">
        <v>5</v>
      </c>
      <c r="CN285" s="15">
        <v>3</v>
      </c>
      <c r="CO285" s="15">
        <v>6</v>
      </c>
      <c r="CP285" s="15">
        <v>2</v>
      </c>
      <c r="CQ285" s="15">
        <v>1</v>
      </c>
      <c r="CR285" s="15" t="s">
        <v>328</v>
      </c>
      <c r="CS285" s="15" t="s">
        <v>328</v>
      </c>
      <c r="CT285" s="15"/>
      <c r="CU285" s="15" t="s">
        <v>328</v>
      </c>
      <c r="CV285" s="15" t="s">
        <v>328</v>
      </c>
      <c r="CW285" s="15"/>
      <c r="CX285" s="15"/>
      <c r="CY285" s="15"/>
      <c r="CZ285" s="15"/>
      <c r="DA285" s="15">
        <v>1</v>
      </c>
      <c r="DB285" s="15">
        <v>3</v>
      </c>
      <c r="DC285" s="15"/>
      <c r="DD285" s="15"/>
      <c r="DE285" s="15">
        <v>2</v>
      </c>
      <c r="DF285" s="15"/>
      <c r="DG285" s="15" t="s">
        <v>346</v>
      </c>
      <c r="DH285" s="15" t="s">
        <v>328</v>
      </c>
      <c r="DI285" s="15"/>
      <c r="DJ285" s="15"/>
      <c r="DK285" s="15"/>
      <c r="DL285" s="15"/>
      <c r="DM285" s="15"/>
      <c r="DN285" s="15"/>
      <c r="DO285" s="15" t="s">
        <v>328</v>
      </c>
      <c r="DP285" s="15"/>
      <c r="DQ285" s="15"/>
      <c r="DR285" s="15"/>
      <c r="DS285" s="15"/>
      <c r="DT285" s="15"/>
      <c r="DU285" s="15"/>
      <c r="DV285" s="15"/>
      <c r="DW285" s="15" t="s">
        <v>328</v>
      </c>
      <c r="DX285" s="15"/>
      <c r="DY285" s="15"/>
      <c r="DZ285" s="15"/>
      <c r="EA285" s="15"/>
      <c r="EB285" s="15"/>
      <c r="EC285" s="102"/>
      <c r="ED285" s="48"/>
    </row>
    <row r="286" spans="1:134" x14ac:dyDescent="0.25">
      <c r="A286" s="51" t="s">
        <v>1378</v>
      </c>
      <c r="B286" s="61" t="s">
        <v>1358</v>
      </c>
      <c r="C286" s="15" t="s">
        <v>328</v>
      </c>
      <c r="D286" s="15"/>
      <c r="E286" s="15">
        <v>59</v>
      </c>
      <c r="F286" s="15" t="s">
        <v>329</v>
      </c>
      <c r="G286" s="15" t="s">
        <v>330</v>
      </c>
      <c r="H286" s="18" t="s">
        <v>1412</v>
      </c>
      <c r="I286" s="15" t="s">
        <v>1413</v>
      </c>
      <c r="J286" s="15" t="s">
        <v>1281</v>
      </c>
      <c r="K286" s="15">
        <v>30</v>
      </c>
      <c r="L286" s="15">
        <v>5</v>
      </c>
      <c r="M286" s="15">
        <v>5</v>
      </c>
      <c r="N286" s="15"/>
      <c r="O286" s="15"/>
      <c r="P286" s="15"/>
      <c r="Q286" s="15"/>
      <c r="R286" s="15"/>
      <c r="S286" s="15"/>
      <c r="T286" s="15">
        <v>1</v>
      </c>
      <c r="U286" s="15"/>
      <c r="V286" s="15"/>
      <c r="W286" s="15"/>
      <c r="X286" s="15">
        <v>1</v>
      </c>
      <c r="Y286" s="15"/>
      <c r="Z286" s="15"/>
      <c r="AA286" s="15"/>
      <c r="AB286" s="15"/>
      <c r="AC286" s="15"/>
      <c r="AD286" s="15" t="s">
        <v>328</v>
      </c>
      <c r="AE286" s="15" t="s">
        <v>328</v>
      </c>
      <c r="AF286" s="15" t="s">
        <v>328</v>
      </c>
      <c r="AG286" s="15"/>
      <c r="AH286" s="15"/>
      <c r="AI286" s="15"/>
      <c r="AJ286" s="15" t="s">
        <v>328</v>
      </c>
      <c r="AK286" s="15" t="s">
        <v>328</v>
      </c>
      <c r="AL286" s="15"/>
      <c r="AM286" s="15" t="s">
        <v>328</v>
      </c>
      <c r="AN286" s="15"/>
      <c r="AO286" s="15"/>
      <c r="AP286" s="15">
        <v>4</v>
      </c>
      <c r="AQ286" s="15">
        <v>6</v>
      </c>
      <c r="AR286" s="15"/>
      <c r="AS286" s="15" t="s">
        <v>328</v>
      </c>
      <c r="AT286" s="15"/>
      <c r="AU286" s="15"/>
      <c r="AV286" s="15">
        <v>2</v>
      </c>
      <c r="AW286" s="15">
        <v>3</v>
      </c>
      <c r="AX286" s="15"/>
      <c r="AY286" s="15" t="s">
        <v>346</v>
      </c>
      <c r="AZ286" s="15" t="s">
        <v>328</v>
      </c>
      <c r="BA286" s="15"/>
      <c r="BB286" s="15" t="s">
        <v>328</v>
      </c>
      <c r="BC286" s="15"/>
      <c r="BD286" s="15" t="s">
        <v>328</v>
      </c>
      <c r="BE286" s="15"/>
      <c r="BF286" s="15" t="s">
        <v>328</v>
      </c>
      <c r="BG286" s="15"/>
      <c r="BH286" s="15"/>
      <c r="BI286" s="15"/>
      <c r="BJ286" s="15"/>
      <c r="BK286" s="15"/>
      <c r="BL286" s="15"/>
      <c r="BM286" s="15" t="s">
        <v>328</v>
      </c>
      <c r="BN286" s="15"/>
      <c r="BO286" s="15" t="s">
        <v>328</v>
      </c>
      <c r="BP286" s="15"/>
      <c r="BQ286" s="15"/>
      <c r="BR286" s="15" t="s">
        <v>328</v>
      </c>
      <c r="BS286" s="15"/>
      <c r="BT286" s="15"/>
      <c r="BU286" s="15"/>
      <c r="BV286" s="15"/>
      <c r="BW286" s="15"/>
      <c r="BX286" s="15"/>
      <c r="BY286" s="15"/>
      <c r="BZ286" s="15"/>
      <c r="CA286" s="15" t="s">
        <v>328</v>
      </c>
      <c r="CB286" s="15"/>
      <c r="CC286" s="15"/>
      <c r="CD286" s="15" t="s">
        <v>328</v>
      </c>
      <c r="CE286" s="15"/>
      <c r="CF286" s="15"/>
      <c r="CG286" s="15"/>
      <c r="CH286" s="15" t="s">
        <v>328</v>
      </c>
      <c r="CI286" s="15" t="s">
        <v>328</v>
      </c>
      <c r="CJ286" s="15"/>
      <c r="CK286" s="15"/>
      <c r="CL286" s="15">
        <v>2</v>
      </c>
      <c r="CM286" s="15">
        <v>4</v>
      </c>
      <c r="CN286" s="15">
        <v>3</v>
      </c>
      <c r="CO286" s="15">
        <v>6</v>
      </c>
      <c r="CP286" s="15">
        <v>5</v>
      </c>
      <c r="CQ286" s="15">
        <v>1</v>
      </c>
      <c r="CR286" s="15"/>
      <c r="CS286" s="15"/>
      <c r="CT286" s="15"/>
      <c r="CU286" s="15"/>
      <c r="CV286" s="15"/>
      <c r="CW286" s="15"/>
      <c r="CX286" s="15" t="s">
        <v>332</v>
      </c>
      <c r="CY286" s="15"/>
      <c r="CZ286" s="15"/>
      <c r="DA286" s="15">
        <v>2</v>
      </c>
      <c r="DB286" s="15">
        <v>3</v>
      </c>
      <c r="DC286" s="15">
        <v>4</v>
      </c>
      <c r="DD286" s="15"/>
      <c r="DE286" s="15">
        <v>1</v>
      </c>
      <c r="DF286" s="15"/>
      <c r="DG286" s="15"/>
      <c r="DH286" s="15" t="s">
        <v>328</v>
      </c>
      <c r="DI286" s="15"/>
      <c r="DJ286" s="15"/>
      <c r="DK286" s="15"/>
      <c r="DL286" s="15"/>
      <c r="DM286" s="15"/>
      <c r="DN286" s="15"/>
      <c r="DO286" s="15" t="s">
        <v>328</v>
      </c>
      <c r="DP286" s="15"/>
      <c r="DQ286" s="15"/>
      <c r="DR286" s="15"/>
      <c r="DS286" s="15"/>
      <c r="DT286" s="15"/>
      <c r="DU286" s="15"/>
      <c r="DV286" s="15"/>
      <c r="DW286" s="15" t="s">
        <v>328</v>
      </c>
      <c r="DX286" s="15"/>
      <c r="DY286" s="15"/>
      <c r="DZ286" s="15"/>
      <c r="EA286" s="15"/>
      <c r="EB286" s="15"/>
      <c r="EC286" s="102"/>
      <c r="ED286" s="48"/>
    </row>
    <row r="287" spans="1:134" x14ac:dyDescent="0.25">
      <c r="A287" s="51" t="s">
        <v>1378</v>
      </c>
      <c r="B287" s="61" t="s">
        <v>1359</v>
      </c>
      <c r="C287" s="15" t="s">
        <v>328</v>
      </c>
      <c r="D287" s="15"/>
      <c r="E287" s="15">
        <v>40</v>
      </c>
      <c r="F287" s="15" t="s">
        <v>329</v>
      </c>
      <c r="G287" s="15" t="s">
        <v>357</v>
      </c>
      <c r="H287" s="18" t="s">
        <v>1412</v>
      </c>
      <c r="I287" s="15" t="s">
        <v>1413</v>
      </c>
      <c r="J287" s="15" t="s">
        <v>1281</v>
      </c>
      <c r="K287" s="15">
        <v>25</v>
      </c>
      <c r="L287" s="15">
        <v>5</v>
      </c>
      <c r="M287" s="15">
        <v>1</v>
      </c>
      <c r="N287" s="15"/>
      <c r="O287" s="15"/>
      <c r="P287" s="15"/>
      <c r="Q287" s="15"/>
      <c r="R287" s="15"/>
      <c r="S287" s="15"/>
      <c r="T287" s="15">
        <v>1</v>
      </c>
      <c r="U287" s="15"/>
      <c r="V287" s="15">
        <v>2</v>
      </c>
      <c r="W287" s="15"/>
      <c r="X287" s="15">
        <v>2</v>
      </c>
      <c r="Y287" s="15"/>
      <c r="Z287" s="15" t="s">
        <v>328</v>
      </c>
      <c r="AA287" s="15" t="s">
        <v>328</v>
      </c>
      <c r="AB287" s="15"/>
      <c r="AC287" s="15"/>
      <c r="AD287" s="15"/>
      <c r="AE287" s="15" t="s">
        <v>328</v>
      </c>
      <c r="AF287" s="15"/>
      <c r="AG287" s="15"/>
      <c r="AH287" s="15"/>
      <c r="AI287" s="15" t="s">
        <v>692</v>
      </c>
      <c r="AJ287" s="15" t="s">
        <v>328</v>
      </c>
      <c r="AK287" s="15"/>
      <c r="AL287" s="15"/>
      <c r="AM287" s="15" t="s">
        <v>328</v>
      </c>
      <c r="AN287" s="15"/>
      <c r="AO287" s="15" t="s">
        <v>328</v>
      </c>
      <c r="AP287" s="15">
        <v>8</v>
      </c>
      <c r="AQ287" s="15">
        <v>5</v>
      </c>
      <c r="AR287" s="15"/>
      <c r="AS287" s="15"/>
      <c r="AT287" s="15"/>
      <c r="AU287" s="15" t="s">
        <v>328</v>
      </c>
      <c r="AV287" s="15">
        <v>2</v>
      </c>
      <c r="AW287" s="15">
        <v>3</v>
      </c>
      <c r="AX287" s="15">
        <v>1</v>
      </c>
      <c r="AY287" s="15"/>
      <c r="AZ287" s="15" t="s">
        <v>328</v>
      </c>
      <c r="BA287" s="15"/>
      <c r="BB287" s="15" t="s">
        <v>328</v>
      </c>
      <c r="BC287" s="15" t="s">
        <v>328</v>
      </c>
      <c r="BD287" s="15"/>
      <c r="BE287" s="15" t="s">
        <v>328</v>
      </c>
      <c r="BF287" s="15"/>
      <c r="BG287" s="15"/>
      <c r="BH287" s="15"/>
      <c r="BI287" s="15"/>
      <c r="BJ287" s="15"/>
      <c r="BK287" s="15"/>
      <c r="BL287" s="15"/>
      <c r="BM287" s="15" t="s">
        <v>328</v>
      </c>
      <c r="BN287" s="15"/>
      <c r="BO287" s="15" t="s">
        <v>328</v>
      </c>
      <c r="BP287" s="15" t="s">
        <v>328</v>
      </c>
      <c r="BQ287" s="15" t="s">
        <v>328</v>
      </c>
      <c r="BR287" s="15"/>
      <c r="BS287" s="15" t="s">
        <v>328</v>
      </c>
      <c r="BT287" s="15"/>
      <c r="BU287" s="15"/>
      <c r="BV287" s="15"/>
      <c r="BW287" s="15"/>
      <c r="BX287" s="15" t="s">
        <v>328</v>
      </c>
      <c r="BY287" s="15"/>
      <c r="BZ287" s="15"/>
      <c r="CA287" s="15" t="s">
        <v>328</v>
      </c>
      <c r="CB287" s="15"/>
      <c r="CC287" s="15"/>
      <c r="CD287" s="15"/>
      <c r="CE287" s="15"/>
      <c r="CF287" s="15"/>
      <c r="CG287" s="15" t="s">
        <v>328</v>
      </c>
      <c r="CH287" s="15"/>
      <c r="CI287" s="15"/>
      <c r="CJ287" s="15"/>
      <c r="CK287" s="15"/>
      <c r="CL287" s="15">
        <v>3</v>
      </c>
      <c r="CM287" s="15">
        <v>2</v>
      </c>
      <c r="CN287" s="15">
        <v>4</v>
      </c>
      <c r="CO287" s="15">
        <v>5</v>
      </c>
      <c r="CP287" s="15">
        <v>6</v>
      </c>
      <c r="CQ287" s="15">
        <v>1</v>
      </c>
      <c r="CR287" s="15" t="s">
        <v>328</v>
      </c>
      <c r="CS287" s="15" t="s">
        <v>328</v>
      </c>
      <c r="CT287" s="15"/>
      <c r="CU287" s="15" t="s">
        <v>328</v>
      </c>
      <c r="CV287" s="15"/>
      <c r="CW287" s="15"/>
      <c r="CX287" s="15"/>
      <c r="CY287" s="15"/>
      <c r="CZ287" s="15"/>
      <c r="DA287" s="15">
        <v>1</v>
      </c>
      <c r="DB287" s="15">
        <v>3</v>
      </c>
      <c r="DC287" s="15">
        <v>6</v>
      </c>
      <c r="DD287" s="15">
        <v>2</v>
      </c>
      <c r="DE287" s="15">
        <v>5</v>
      </c>
      <c r="DF287" s="15">
        <v>4</v>
      </c>
      <c r="DG287" s="15"/>
      <c r="DH287" s="15" t="s">
        <v>328</v>
      </c>
      <c r="DI287" s="15"/>
      <c r="DJ287" s="15"/>
      <c r="DK287" s="15"/>
      <c r="DL287" s="15"/>
      <c r="DM287" s="15"/>
      <c r="DN287" s="14" t="s">
        <v>333</v>
      </c>
      <c r="DO287" s="15"/>
      <c r="DP287" s="15" t="s">
        <v>328</v>
      </c>
      <c r="DQ287" s="15"/>
      <c r="DR287" s="15"/>
      <c r="DS287" s="15" t="s">
        <v>328</v>
      </c>
      <c r="DT287" s="15" t="s">
        <v>1382</v>
      </c>
      <c r="DU287" s="18" t="s">
        <v>1414</v>
      </c>
      <c r="DV287" s="15" t="s">
        <v>1383</v>
      </c>
      <c r="DW287" s="15" t="s">
        <v>328</v>
      </c>
      <c r="DX287" s="15"/>
      <c r="DY287" s="15"/>
      <c r="DZ287" s="15"/>
      <c r="EA287" s="15"/>
      <c r="EB287" s="15"/>
      <c r="EC287" s="102" t="s">
        <v>333</v>
      </c>
      <c r="ED287" s="48"/>
    </row>
    <row r="288" spans="1:134" x14ac:dyDescent="0.25">
      <c r="A288" s="51" t="s">
        <v>1378</v>
      </c>
      <c r="B288" s="61" t="s">
        <v>1360</v>
      </c>
      <c r="C288" s="15" t="s">
        <v>328</v>
      </c>
      <c r="D288" s="15"/>
      <c r="E288" s="15">
        <v>53</v>
      </c>
      <c r="F288" s="15" t="s">
        <v>329</v>
      </c>
      <c r="G288" s="15" t="s">
        <v>357</v>
      </c>
      <c r="H288" s="18" t="s">
        <v>1415</v>
      </c>
      <c r="I288" s="18" t="s">
        <v>1191</v>
      </c>
      <c r="J288" s="15" t="s">
        <v>1281</v>
      </c>
      <c r="K288" s="15">
        <v>13</v>
      </c>
      <c r="L288" s="15">
        <v>3</v>
      </c>
      <c r="M288" s="15">
        <v>3</v>
      </c>
      <c r="N288" s="15"/>
      <c r="O288" s="15">
        <v>1</v>
      </c>
      <c r="P288" s="15"/>
      <c r="Q288" s="15"/>
      <c r="R288" s="15"/>
      <c r="S288" s="15"/>
      <c r="T288" s="15"/>
      <c r="U288" s="15"/>
      <c r="V288" s="15">
        <v>1</v>
      </c>
      <c r="W288" s="15"/>
      <c r="X288" s="15"/>
      <c r="Y288" s="15"/>
      <c r="Z288" s="15" t="s">
        <v>328</v>
      </c>
      <c r="AA288" s="15"/>
      <c r="AB288" s="15"/>
      <c r="AC288" s="15" t="s">
        <v>328</v>
      </c>
      <c r="AD288" s="15"/>
      <c r="AE288" s="15" t="s">
        <v>328</v>
      </c>
      <c r="AF288" s="15"/>
      <c r="AG288" s="15"/>
      <c r="AH288" s="15"/>
      <c r="AI288" s="15"/>
      <c r="AJ288" s="15" t="s">
        <v>328</v>
      </c>
      <c r="AK288" s="15"/>
      <c r="AL288" s="15" t="s">
        <v>328</v>
      </c>
      <c r="AM288" s="15"/>
      <c r="AN288" s="15"/>
      <c r="AO288" s="15" t="s">
        <v>328</v>
      </c>
      <c r="AP288" s="15">
        <v>8</v>
      </c>
      <c r="AQ288" s="15">
        <v>4</v>
      </c>
      <c r="AR288" s="15"/>
      <c r="AS288" s="15" t="s">
        <v>328</v>
      </c>
      <c r="AT288" s="15"/>
      <c r="AU288" s="15"/>
      <c r="AV288" s="15">
        <v>1</v>
      </c>
      <c r="AW288" s="15">
        <v>3</v>
      </c>
      <c r="AX288" s="15">
        <v>2</v>
      </c>
      <c r="AY288" s="15"/>
      <c r="AZ288" s="15" t="s">
        <v>328</v>
      </c>
      <c r="BA288" s="15"/>
      <c r="BB288" s="15" t="s">
        <v>328</v>
      </c>
      <c r="BC288" s="15" t="s">
        <v>328</v>
      </c>
      <c r="BD288" s="15"/>
      <c r="BE288" s="15" t="s">
        <v>328</v>
      </c>
      <c r="BF288" s="15"/>
      <c r="BG288" s="15"/>
      <c r="BH288" s="15"/>
      <c r="BI288" s="15"/>
      <c r="BJ288" s="15"/>
      <c r="BK288" s="15"/>
      <c r="BL288" s="15"/>
      <c r="BM288" s="15" t="s">
        <v>328</v>
      </c>
      <c r="BN288" s="15"/>
      <c r="BO288" s="15" t="s">
        <v>328</v>
      </c>
      <c r="BP288" s="15" t="s">
        <v>328</v>
      </c>
      <c r="BQ288" s="15"/>
      <c r="BR288" s="15"/>
      <c r="BS288" s="15"/>
      <c r="BT288" s="15"/>
      <c r="BU288" s="15"/>
      <c r="BV288" s="15"/>
      <c r="BW288" s="15" t="s">
        <v>328</v>
      </c>
      <c r="BX288" s="15"/>
      <c r="BY288" s="15"/>
      <c r="BZ288" s="15" t="s">
        <v>328</v>
      </c>
      <c r="CA288" s="15" t="s">
        <v>328</v>
      </c>
      <c r="CB288" s="15"/>
      <c r="CC288" s="15"/>
      <c r="CD288" s="15"/>
      <c r="CE288" s="15"/>
      <c r="CF288" s="15"/>
      <c r="CG288" s="15" t="s">
        <v>328</v>
      </c>
      <c r="CH288" s="15"/>
      <c r="CI288" s="15"/>
      <c r="CJ288" s="15"/>
      <c r="CK288" s="15"/>
      <c r="CL288" s="15">
        <v>3</v>
      </c>
      <c r="CM288" s="15">
        <v>1</v>
      </c>
      <c r="CN288" s="15">
        <v>2</v>
      </c>
      <c r="CO288" s="15">
        <v>4</v>
      </c>
      <c r="CP288" s="15">
        <v>6</v>
      </c>
      <c r="CQ288" s="15">
        <v>5</v>
      </c>
      <c r="CR288" s="15"/>
      <c r="CS288" s="15"/>
      <c r="CT288" s="15"/>
      <c r="CU288" s="15"/>
      <c r="CV288" s="15"/>
      <c r="CW288" s="15"/>
      <c r="CX288" s="15" t="s">
        <v>332</v>
      </c>
      <c r="CY288" s="15"/>
      <c r="CZ288" s="15"/>
      <c r="DA288" s="15">
        <v>3</v>
      </c>
      <c r="DB288" s="15">
        <v>4</v>
      </c>
      <c r="DC288" s="15"/>
      <c r="DD288" s="15"/>
      <c r="DE288" s="15">
        <v>2</v>
      </c>
      <c r="DF288" s="15" t="s">
        <v>328</v>
      </c>
      <c r="DG288" s="15" t="s">
        <v>346</v>
      </c>
      <c r="DH288" s="15" t="s">
        <v>328</v>
      </c>
      <c r="DI288" s="15"/>
      <c r="DJ288" s="15"/>
      <c r="DK288" s="15"/>
      <c r="DL288" s="15"/>
      <c r="DM288" s="15"/>
      <c r="DN288" s="14" t="s">
        <v>1145</v>
      </c>
      <c r="DO288" s="15"/>
      <c r="DP288" s="15" t="s">
        <v>328</v>
      </c>
      <c r="DQ288" s="15"/>
      <c r="DR288" s="15"/>
      <c r="DS288" s="15" t="s">
        <v>328</v>
      </c>
      <c r="DT288" s="15" t="s">
        <v>334</v>
      </c>
      <c r="DU288" s="15" t="s">
        <v>1384</v>
      </c>
      <c r="DV288" s="15" t="s">
        <v>1385</v>
      </c>
      <c r="DW288" s="15"/>
      <c r="DX288" s="15" t="s">
        <v>328</v>
      </c>
      <c r="DY288" s="15" t="s">
        <v>328</v>
      </c>
      <c r="DZ288" s="15"/>
      <c r="EA288" s="15"/>
      <c r="EB288" s="15" t="s">
        <v>1386</v>
      </c>
      <c r="EC288" s="102" t="s">
        <v>1387</v>
      </c>
      <c r="ED288" s="48"/>
    </row>
    <row r="289" spans="1:136" x14ac:dyDescent="0.25">
      <c r="A289" s="51" t="s">
        <v>1378</v>
      </c>
      <c r="B289" s="61" t="s">
        <v>1361</v>
      </c>
      <c r="C289" s="15" t="s">
        <v>328</v>
      </c>
      <c r="D289" s="15"/>
      <c r="E289" s="15">
        <v>34</v>
      </c>
      <c r="F289" s="15" t="s">
        <v>329</v>
      </c>
      <c r="G289" s="15" t="s">
        <v>357</v>
      </c>
      <c r="H289" s="15" t="s">
        <v>1416</v>
      </c>
      <c r="I289" s="15" t="s">
        <v>1417</v>
      </c>
      <c r="J289" s="15" t="s">
        <v>1281</v>
      </c>
      <c r="K289" s="15">
        <v>8</v>
      </c>
      <c r="L289" s="15">
        <v>1</v>
      </c>
      <c r="M289" s="15"/>
      <c r="N289" s="15"/>
      <c r="O289" s="15"/>
      <c r="P289" s="15"/>
      <c r="Q289" s="15"/>
      <c r="R289" s="15"/>
      <c r="S289" s="15">
        <v>2</v>
      </c>
      <c r="T289" s="15"/>
      <c r="U289" s="15"/>
      <c r="V289" s="15"/>
      <c r="W289" s="15"/>
      <c r="X289" s="15"/>
      <c r="Y289" s="15"/>
      <c r="Z289" s="15"/>
      <c r="AA289" s="15"/>
      <c r="AB289" s="15"/>
      <c r="AC289" s="15" t="s">
        <v>328</v>
      </c>
      <c r="AD289" s="15" t="s">
        <v>328</v>
      </c>
      <c r="AE289" s="15"/>
      <c r="AF289" s="15"/>
      <c r="AG289" s="15"/>
      <c r="AH289" s="15"/>
      <c r="AI289" s="15"/>
      <c r="AJ289" s="15"/>
      <c r="AK289" s="15" t="s">
        <v>328</v>
      </c>
      <c r="AL289" s="15"/>
      <c r="AM289" s="15"/>
      <c r="AN289" s="15"/>
      <c r="AO289" s="15" t="s">
        <v>328</v>
      </c>
      <c r="AP289" s="15">
        <v>6</v>
      </c>
      <c r="AQ289" s="15">
        <v>3</v>
      </c>
      <c r="AR289" s="15"/>
      <c r="AS289" s="15" t="s">
        <v>328</v>
      </c>
      <c r="AT289" s="15"/>
      <c r="AU289" s="15"/>
      <c r="AV289" s="15">
        <v>3</v>
      </c>
      <c r="AW289" s="15">
        <v>2</v>
      </c>
      <c r="AX289" s="15">
        <v>1</v>
      </c>
      <c r="AY289" s="15"/>
      <c r="AZ289" s="15"/>
      <c r="BA289" s="15" t="s">
        <v>328</v>
      </c>
      <c r="BB289" s="15" t="s">
        <v>328</v>
      </c>
      <c r="BC289" s="15" t="s">
        <v>328</v>
      </c>
      <c r="BD289" s="15"/>
      <c r="BE289" s="15"/>
      <c r="BF289" s="15"/>
      <c r="BG289" s="15"/>
      <c r="BH289" s="15"/>
      <c r="BI289" s="15"/>
      <c r="BJ289" s="15"/>
      <c r="BK289" s="15"/>
      <c r="BL289" s="15" t="s">
        <v>328</v>
      </c>
      <c r="BM289" s="15"/>
      <c r="BN289" s="15" t="s">
        <v>328</v>
      </c>
      <c r="BO289" s="15"/>
      <c r="BP289" s="15" t="s">
        <v>328</v>
      </c>
      <c r="BQ289" s="15"/>
      <c r="BR289" s="15"/>
      <c r="BS289" s="15"/>
      <c r="BT289" s="15"/>
      <c r="BU289" s="15" t="s">
        <v>328</v>
      </c>
      <c r="BV289" s="15"/>
      <c r="BW289" s="15"/>
      <c r="BX289" s="15"/>
      <c r="BY289" s="15"/>
      <c r="BZ289" s="15" t="s">
        <v>328</v>
      </c>
      <c r="CA289" s="15" t="s">
        <v>328</v>
      </c>
      <c r="CB289" s="15"/>
      <c r="CC289" s="15"/>
      <c r="CD289" s="15"/>
      <c r="CE289" s="15"/>
      <c r="CF289" s="15"/>
      <c r="CG289" s="15" t="s">
        <v>328</v>
      </c>
      <c r="CH289" s="15"/>
      <c r="CI289" s="15" t="s">
        <v>328</v>
      </c>
      <c r="CJ289" s="15"/>
      <c r="CK289" s="15"/>
      <c r="CL289" s="15">
        <v>5</v>
      </c>
      <c r="CM289" s="15">
        <v>4</v>
      </c>
      <c r="CN289" s="15">
        <v>3</v>
      </c>
      <c r="CO289" s="15">
        <v>6</v>
      </c>
      <c r="CP289" s="15">
        <v>2</v>
      </c>
      <c r="CQ289" s="15">
        <v>1</v>
      </c>
      <c r="CR289" s="15" t="s">
        <v>328</v>
      </c>
      <c r="CS289" s="15"/>
      <c r="CT289" s="15"/>
      <c r="CU289" s="15"/>
      <c r="CV289" s="15" t="s">
        <v>328</v>
      </c>
      <c r="CW289" s="15"/>
      <c r="CX289" s="15"/>
      <c r="CY289" s="15"/>
      <c r="CZ289" s="15"/>
      <c r="DA289" s="15"/>
      <c r="DB289" s="15">
        <v>2</v>
      </c>
      <c r="DC289" s="15">
        <v>3</v>
      </c>
      <c r="DD289" s="15">
        <v>4</v>
      </c>
      <c r="DE289" s="15"/>
      <c r="DF289" s="15">
        <v>5</v>
      </c>
      <c r="DG289" s="15" t="s">
        <v>346</v>
      </c>
      <c r="DH289" s="15" t="s">
        <v>328</v>
      </c>
      <c r="DI289" s="15"/>
      <c r="DJ289" s="15"/>
      <c r="DK289" s="15"/>
      <c r="DL289" s="15"/>
      <c r="DM289" s="15"/>
      <c r="DN289" s="14" t="s">
        <v>1145</v>
      </c>
      <c r="DO289" s="15" t="s">
        <v>328</v>
      </c>
      <c r="DP289" s="15"/>
      <c r="DQ289" s="15"/>
      <c r="DR289" s="15"/>
      <c r="DS289" s="15"/>
      <c r="DT289" s="15"/>
      <c r="DU289" s="15"/>
      <c r="DV289" s="15"/>
      <c r="DW289" s="15" t="s">
        <v>328</v>
      </c>
      <c r="DX289" s="15"/>
      <c r="DY289" s="15"/>
      <c r="DZ289" s="15"/>
      <c r="EA289" s="15"/>
      <c r="EB289" s="15"/>
      <c r="EC289" s="102"/>
      <c r="ED289" s="48"/>
    </row>
    <row r="290" spans="1:136" x14ac:dyDescent="0.25">
      <c r="A290" s="51" t="s">
        <v>1378</v>
      </c>
      <c r="B290" s="61" t="s">
        <v>1362</v>
      </c>
      <c r="C290" s="15" t="s">
        <v>328</v>
      </c>
      <c r="D290" s="15"/>
      <c r="E290" s="15">
        <v>31</v>
      </c>
      <c r="F290" s="15" t="s">
        <v>329</v>
      </c>
      <c r="G290" s="15" t="s">
        <v>399</v>
      </c>
      <c r="H290" s="15" t="s">
        <v>1412</v>
      </c>
      <c r="I290" s="15" t="s">
        <v>1413</v>
      </c>
      <c r="J290" s="15" t="s">
        <v>1281</v>
      </c>
      <c r="K290" s="15">
        <v>5</v>
      </c>
      <c r="L290" s="15">
        <v>2</v>
      </c>
      <c r="M290" s="15">
        <v>2</v>
      </c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>
        <v>1</v>
      </c>
      <c r="Y290" s="15"/>
      <c r="Z290" s="15"/>
      <c r="AA290" s="15" t="s">
        <v>328</v>
      </c>
      <c r="AB290" s="15"/>
      <c r="AC290" s="15"/>
      <c r="AD290" s="15"/>
      <c r="AE290" s="15" t="s">
        <v>328</v>
      </c>
      <c r="AF290" s="15" t="s">
        <v>328</v>
      </c>
      <c r="AG290" s="15"/>
      <c r="AH290" s="15"/>
      <c r="AI290" s="15" t="s">
        <v>692</v>
      </c>
      <c r="AJ290" s="15" t="s">
        <v>328</v>
      </c>
      <c r="AK290" s="15"/>
      <c r="AL290" s="15"/>
      <c r="AM290" s="15"/>
      <c r="AN290" s="15" t="s">
        <v>328</v>
      </c>
      <c r="AO290" s="15"/>
      <c r="AP290" s="15">
        <v>9</v>
      </c>
      <c r="AQ290" s="15">
        <v>6</v>
      </c>
      <c r="AR290" s="15"/>
      <c r="AS290" s="15"/>
      <c r="AT290" s="15"/>
      <c r="AU290" s="15" t="s">
        <v>328</v>
      </c>
      <c r="AV290" s="15">
        <v>2</v>
      </c>
      <c r="AW290" s="15">
        <v>1</v>
      </c>
      <c r="AX290" s="15">
        <v>3</v>
      </c>
      <c r="AY290" s="15"/>
      <c r="AZ290" s="15" t="s">
        <v>328</v>
      </c>
      <c r="BA290" s="15"/>
      <c r="BB290" s="15"/>
      <c r="BC290" s="15" t="s">
        <v>328</v>
      </c>
      <c r="BD290" s="15" t="s">
        <v>328</v>
      </c>
      <c r="BE290" s="15"/>
      <c r="BF290" s="15"/>
      <c r="BG290" s="15"/>
      <c r="BH290" s="15"/>
      <c r="BI290" s="15"/>
      <c r="BJ290" s="15" t="s">
        <v>328</v>
      </c>
      <c r="BK290" s="15"/>
      <c r="BL290" s="15" t="s">
        <v>328</v>
      </c>
      <c r="BM290" s="15"/>
      <c r="BN290" s="15" t="s">
        <v>328</v>
      </c>
      <c r="BO290" s="15"/>
      <c r="BP290" s="15" t="s">
        <v>328</v>
      </c>
      <c r="BQ290" s="15" t="s">
        <v>328</v>
      </c>
      <c r="BR290" s="15"/>
      <c r="BS290" s="15"/>
      <c r="BT290" s="15"/>
      <c r="BU290" s="15" t="s">
        <v>328</v>
      </c>
      <c r="BV290" s="15"/>
      <c r="BW290" s="15" t="s">
        <v>328</v>
      </c>
      <c r="BX290" s="15"/>
      <c r="BY290" s="15"/>
      <c r="BZ290" s="15"/>
      <c r="CA290" s="15"/>
      <c r="CB290" s="15" t="s">
        <v>328</v>
      </c>
      <c r="CC290" s="15"/>
      <c r="CD290" s="15"/>
      <c r="CE290" s="15"/>
      <c r="CF290" s="15"/>
      <c r="CG290" s="15" t="s">
        <v>328</v>
      </c>
      <c r="CH290" s="15"/>
      <c r="CI290" s="15"/>
      <c r="CJ290" s="15"/>
      <c r="CK290" s="15"/>
      <c r="CL290" s="15">
        <v>3</v>
      </c>
      <c r="CM290" s="15">
        <v>2</v>
      </c>
      <c r="CN290" s="15">
        <v>4</v>
      </c>
      <c r="CO290" s="15">
        <v>5</v>
      </c>
      <c r="CP290" s="15">
        <v>6</v>
      </c>
      <c r="CQ290" s="15">
        <v>1</v>
      </c>
      <c r="CR290" s="15"/>
      <c r="CS290" s="15" t="s">
        <v>328</v>
      </c>
      <c r="CT290" s="15"/>
      <c r="CU290" s="15"/>
      <c r="CV290" s="15" t="s">
        <v>328</v>
      </c>
      <c r="CW290" s="15"/>
      <c r="CX290" s="15"/>
      <c r="CY290" s="15"/>
      <c r="CZ290" s="15"/>
      <c r="DA290" s="15">
        <v>3</v>
      </c>
      <c r="DB290" s="15">
        <v>5</v>
      </c>
      <c r="DC290" s="15">
        <v>2</v>
      </c>
      <c r="DD290" s="15">
        <v>1</v>
      </c>
      <c r="DE290" s="15">
        <v>6</v>
      </c>
      <c r="DF290" s="15">
        <v>4</v>
      </c>
      <c r="DG290" s="15"/>
      <c r="DH290" s="15" t="s">
        <v>328</v>
      </c>
      <c r="DI290" s="15"/>
      <c r="DJ290" s="15"/>
      <c r="DK290" s="15"/>
      <c r="DL290" s="15"/>
      <c r="DM290" s="15"/>
      <c r="DN290" s="14" t="s">
        <v>333</v>
      </c>
      <c r="DO290" s="15"/>
      <c r="DP290" s="15" t="s">
        <v>328</v>
      </c>
      <c r="DQ290" s="15" t="s">
        <v>328</v>
      </c>
      <c r="DR290" s="15" t="s">
        <v>420</v>
      </c>
      <c r="DS290" s="15"/>
      <c r="DT290" s="15"/>
      <c r="DU290" s="15" t="s">
        <v>1388</v>
      </c>
      <c r="DV290" s="15"/>
      <c r="DW290" s="15" t="s">
        <v>328</v>
      </c>
      <c r="DX290" s="15"/>
      <c r="DY290" s="15"/>
      <c r="DZ290" s="15"/>
      <c r="EA290" s="15"/>
      <c r="EB290" s="15"/>
      <c r="EC290" s="102"/>
      <c r="ED290" s="48"/>
    </row>
    <row r="291" spans="1:136" x14ac:dyDescent="0.25">
      <c r="A291" s="51" t="s">
        <v>1378</v>
      </c>
      <c r="B291" s="61" t="s">
        <v>1363</v>
      </c>
      <c r="C291" s="15" t="s">
        <v>328</v>
      </c>
      <c r="D291" s="15"/>
      <c r="E291" s="15">
        <v>45</v>
      </c>
      <c r="F291" s="15" t="s">
        <v>329</v>
      </c>
      <c r="G291" s="15" t="s">
        <v>399</v>
      </c>
      <c r="H291" s="18" t="s">
        <v>1418</v>
      </c>
      <c r="I291" s="18" t="s">
        <v>1419</v>
      </c>
      <c r="J291" s="15" t="s">
        <v>1281</v>
      </c>
      <c r="K291" s="15">
        <v>10</v>
      </c>
      <c r="L291" s="15">
        <v>5</v>
      </c>
      <c r="M291" s="15"/>
      <c r="N291" s="15"/>
      <c r="O291" s="15">
        <v>1</v>
      </c>
      <c r="P291" s="15"/>
      <c r="Q291" s="15">
        <v>7</v>
      </c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 t="s">
        <v>328</v>
      </c>
      <c r="AC291" s="15"/>
      <c r="AD291" s="15"/>
      <c r="AE291" s="15"/>
      <c r="AF291" s="15"/>
      <c r="AG291" s="15" t="s">
        <v>328</v>
      </c>
      <c r="AH291" s="15" t="s">
        <v>328</v>
      </c>
      <c r="AI291" s="15"/>
      <c r="AJ291" s="15" t="s">
        <v>328</v>
      </c>
      <c r="AK291" s="15"/>
      <c r="AL291" s="15"/>
      <c r="AM291" s="15"/>
      <c r="AN291" s="15"/>
      <c r="AO291" s="15"/>
      <c r="AP291" s="15">
        <v>10</v>
      </c>
      <c r="AQ291" s="15">
        <v>3</v>
      </c>
      <c r="AR291" s="15"/>
      <c r="AS291" s="15" t="s">
        <v>328</v>
      </c>
      <c r="AT291" s="15"/>
      <c r="AU291" s="15"/>
      <c r="AV291" s="15">
        <v>1</v>
      </c>
      <c r="AW291" s="15">
        <v>2</v>
      </c>
      <c r="AX291" s="15">
        <v>3</v>
      </c>
      <c r="AY291" s="15"/>
      <c r="AZ291" s="15"/>
      <c r="BA291" s="15" t="s">
        <v>328</v>
      </c>
      <c r="BB291" s="15"/>
      <c r="BC291" s="15"/>
      <c r="BD291" s="15"/>
      <c r="BE291" s="15" t="s">
        <v>328</v>
      </c>
      <c r="BF291" s="15"/>
      <c r="BG291" s="15"/>
      <c r="BH291" s="15"/>
      <c r="BI291" s="15" t="s">
        <v>328</v>
      </c>
      <c r="BJ291" s="15"/>
      <c r="BK291" s="15"/>
      <c r="BL291" s="15" t="s">
        <v>328</v>
      </c>
      <c r="BM291" s="15"/>
      <c r="BN291" s="15" t="s">
        <v>328</v>
      </c>
      <c r="BO291" s="15"/>
      <c r="BP291" s="15" t="s">
        <v>328</v>
      </c>
      <c r="BQ291" s="15"/>
      <c r="BR291" s="15"/>
      <c r="BS291" s="15"/>
      <c r="BT291" s="15" t="s">
        <v>328</v>
      </c>
      <c r="BU291" s="15" t="s">
        <v>328</v>
      </c>
      <c r="BV291" s="15"/>
      <c r="BW291" s="15"/>
      <c r="BX291" s="15"/>
      <c r="BY291" s="15"/>
      <c r="BZ291" s="15" t="s">
        <v>328</v>
      </c>
      <c r="CA291" s="15" t="s">
        <v>328</v>
      </c>
      <c r="CB291" s="15"/>
      <c r="CC291" s="15"/>
      <c r="CD291" s="15"/>
      <c r="CE291" s="15"/>
      <c r="CF291" s="15"/>
      <c r="CG291" s="15" t="s">
        <v>328</v>
      </c>
      <c r="CH291" s="15"/>
      <c r="CI291" s="15"/>
      <c r="CJ291" s="15"/>
      <c r="CK291" s="15"/>
      <c r="CL291" s="15">
        <v>4</v>
      </c>
      <c r="CM291" s="15">
        <v>3</v>
      </c>
      <c r="CN291" s="15">
        <v>2</v>
      </c>
      <c r="CO291" s="15">
        <v>6</v>
      </c>
      <c r="CP291" s="15">
        <v>5</v>
      </c>
      <c r="CQ291" s="15">
        <v>1</v>
      </c>
      <c r="CR291" s="15" t="s">
        <v>328</v>
      </c>
      <c r="CS291" s="15" t="s">
        <v>328</v>
      </c>
      <c r="CT291" s="15" t="s">
        <v>328</v>
      </c>
      <c r="CU291" s="15"/>
      <c r="CV291" s="15"/>
      <c r="CW291" s="15"/>
      <c r="CX291" s="15"/>
      <c r="CY291" s="15"/>
      <c r="CZ291" s="15"/>
      <c r="DA291" s="15">
        <v>2</v>
      </c>
      <c r="DB291" s="15"/>
      <c r="DC291" s="15">
        <v>5</v>
      </c>
      <c r="DD291" s="15">
        <v>3</v>
      </c>
      <c r="DE291" s="15">
        <v>4</v>
      </c>
      <c r="DF291" s="15"/>
      <c r="DG291" s="15" t="s">
        <v>346</v>
      </c>
      <c r="DH291" s="15" t="s">
        <v>328</v>
      </c>
      <c r="DI291" s="15"/>
      <c r="DJ291" s="15"/>
      <c r="DK291" s="15"/>
      <c r="DL291" s="15"/>
      <c r="DM291" s="15"/>
      <c r="DN291" s="14" t="s">
        <v>333</v>
      </c>
      <c r="DO291" s="15"/>
      <c r="DP291" s="15" t="s">
        <v>328</v>
      </c>
      <c r="DQ291" s="15" t="s">
        <v>328</v>
      </c>
      <c r="DR291" s="15" t="s">
        <v>420</v>
      </c>
      <c r="DS291" s="15"/>
      <c r="DT291" s="15"/>
      <c r="DU291" s="15" t="s">
        <v>492</v>
      </c>
      <c r="DV291" s="15" t="s">
        <v>411</v>
      </c>
      <c r="DW291" s="15" t="s">
        <v>328</v>
      </c>
      <c r="DX291" s="15"/>
      <c r="DY291" s="15"/>
      <c r="DZ291" s="15"/>
      <c r="EA291" s="15"/>
      <c r="EB291" s="15"/>
      <c r="EC291" s="102"/>
      <c r="ED291" s="48"/>
      <c r="EE291" s="15"/>
      <c r="EF291" s="15" t="s">
        <v>497</v>
      </c>
    </row>
    <row r="292" spans="1:136" x14ac:dyDescent="0.25">
      <c r="A292" s="51" t="s">
        <v>1378</v>
      </c>
      <c r="B292" s="61" t="s">
        <v>1364</v>
      </c>
      <c r="C292" s="15" t="s">
        <v>328</v>
      </c>
      <c r="D292" s="15"/>
      <c r="E292" s="15">
        <v>28</v>
      </c>
      <c r="F292" s="15" t="s">
        <v>329</v>
      </c>
      <c r="G292" s="15" t="s">
        <v>357</v>
      </c>
      <c r="H292" s="18" t="s">
        <v>1415</v>
      </c>
      <c r="I292" s="18" t="s">
        <v>1191</v>
      </c>
      <c r="J292" s="15" t="s">
        <v>1281</v>
      </c>
      <c r="K292" s="15">
        <v>3</v>
      </c>
      <c r="L292" s="15">
        <v>3</v>
      </c>
      <c r="M292" s="15">
        <v>2</v>
      </c>
      <c r="N292" s="15">
        <v>3</v>
      </c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 t="s">
        <v>328</v>
      </c>
      <c r="AA292" s="15" t="s">
        <v>328</v>
      </c>
      <c r="AB292" s="15"/>
      <c r="AC292" s="15"/>
      <c r="AD292" s="15"/>
      <c r="AE292" s="15"/>
      <c r="AF292" s="15"/>
      <c r="AG292" s="15"/>
      <c r="AH292" s="15"/>
      <c r="AI292" s="15"/>
      <c r="AJ292" s="15" t="s">
        <v>328</v>
      </c>
      <c r="AK292" s="15"/>
      <c r="AL292" s="15"/>
      <c r="AM292" s="15"/>
      <c r="AN292" s="15"/>
      <c r="AO292" s="15"/>
      <c r="AP292" s="15">
        <v>5</v>
      </c>
      <c r="AQ292" s="15">
        <v>3</v>
      </c>
      <c r="AR292" s="15"/>
      <c r="AS292" s="15"/>
      <c r="AT292" s="15"/>
      <c r="AU292" s="15" t="s">
        <v>328</v>
      </c>
      <c r="AV292" s="15">
        <v>2</v>
      </c>
      <c r="AW292" s="15">
        <v>1</v>
      </c>
      <c r="AX292" s="15">
        <v>3</v>
      </c>
      <c r="AY292" s="15"/>
      <c r="AZ292" s="15" t="s">
        <v>328</v>
      </c>
      <c r="BA292" s="15"/>
      <c r="BB292" s="15" t="s">
        <v>328</v>
      </c>
      <c r="BC292" s="15"/>
      <c r="BD292" s="15" t="s">
        <v>328</v>
      </c>
      <c r="BE292" s="15"/>
      <c r="BF292" s="15"/>
      <c r="BG292" s="15"/>
      <c r="BH292" s="15"/>
      <c r="BI292" s="15"/>
      <c r="BJ292" s="15"/>
      <c r="BK292" s="15"/>
      <c r="BL292" s="15"/>
      <c r="BM292" s="15" t="s">
        <v>328</v>
      </c>
      <c r="BN292" s="15" t="s">
        <v>328</v>
      </c>
      <c r="BO292" s="15"/>
      <c r="BP292" s="15" t="s">
        <v>328</v>
      </c>
      <c r="BQ292" s="15"/>
      <c r="BR292" s="15"/>
      <c r="BS292" s="15"/>
      <c r="BT292" s="15"/>
      <c r="BU292" s="15" t="s">
        <v>328</v>
      </c>
      <c r="BV292" s="15"/>
      <c r="BW292" s="15"/>
      <c r="BX292" s="15"/>
      <c r="BY292" s="15"/>
      <c r="BZ292" s="15"/>
      <c r="CA292" s="15" t="s">
        <v>328</v>
      </c>
      <c r="CB292" s="15"/>
      <c r="CC292" s="15"/>
      <c r="CD292" s="15"/>
      <c r="CE292" s="15"/>
      <c r="CF292" s="15"/>
      <c r="CG292" s="15" t="s">
        <v>328</v>
      </c>
      <c r="CH292" s="15"/>
      <c r="CI292" s="15" t="s">
        <v>328</v>
      </c>
      <c r="CJ292" s="15"/>
      <c r="CK292" s="15"/>
      <c r="CL292" s="15">
        <v>5</v>
      </c>
      <c r="CM292" s="15">
        <v>3</v>
      </c>
      <c r="CN292" s="15">
        <v>4</v>
      </c>
      <c r="CO292" s="15">
        <v>6</v>
      </c>
      <c r="CP292" s="15">
        <v>2</v>
      </c>
      <c r="CQ292" s="15">
        <v>1</v>
      </c>
      <c r="CR292" s="15"/>
      <c r="CS292" s="15"/>
      <c r="CT292" s="15"/>
      <c r="CU292" s="15"/>
      <c r="CV292" s="15"/>
      <c r="CW292" s="15"/>
      <c r="CX292" s="15" t="s">
        <v>332</v>
      </c>
      <c r="CY292" s="15"/>
      <c r="CZ292" s="15"/>
      <c r="DA292" s="15">
        <v>2</v>
      </c>
      <c r="DB292" s="15">
        <v>4</v>
      </c>
      <c r="DC292" s="15"/>
      <c r="DD292" s="15"/>
      <c r="DE292" s="15">
        <v>3</v>
      </c>
      <c r="DF292" s="15"/>
      <c r="DG292" s="15" t="s">
        <v>346</v>
      </c>
      <c r="DH292" s="15" t="s">
        <v>328</v>
      </c>
      <c r="DI292" s="15"/>
      <c r="DJ292" s="15"/>
      <c r="DK292" s="15"/>
      <c r="DL292" s="15"/>
      <c r="DM292" s="15"/>
      <c r="DN292" s="15"/>
      <c r="DO292" s="15" t="s">
        <v>328</v>
      </c>
      <c r="DP292" s="15"/>
      <c r="DQ292" s="15"/>
      <c r="DR292" s="15"/>
      <c r="DS292" s="15"/>
      <c r="DT292" s="15"/>
      <c r="DU292" s="15"/>
      <c r="DV292" s="15"/>
      <c r="DW292" s="15" t="s">
        <v>328</v>
      </c>
      <c r="DX292" s="15"/>
      <c r="DY292" s="15"/>
      <c r="DZ292" s="15"/>
      <c r="EA292" s="15"/>
      <c r="EB292" s="15"/>
      <c r="EC292" s="102"/>
      <c r="ED292" s="48"/>
    </row>
    <row r="293" spans="1:136" x14ac:dyDescent="0.25">
      <c r="A293" s="51" t="s">
        <v>1378</v>
      </c>
      <c r="B293" s="61" t="s">
        <v>1365</v>
      </c>
      <c r="C293" s="15" t="s">
        <v>328</v>
      </c>
      <c r="D293" s="15"/>
      <c r="E293" s="15">
        <v>58</v>
      </c>
      <c r="F293" s="15" t="s">
        <v>329</v>
      </c>
      <c r="G293" s="15" t="s">
        <v>357</v>
      </c>
      <c r="H293" s="15" t="s">
        <v>1418</v>
      </c>
      <c r="I293" s="15" t="s">
        <v>1419</v>
      </c>
      <c r="J293" s="15" t="s">
        <v>1281</v>
      </c>
      <c r="K293" s="15">
        <v>6</v>
      </c>
      <c r="L293" s="15">
        <v>2</v>
      </c>
      <c r="M293" s="15">
        <v>2</v>
      </c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 t="s">
        <v>328</v>
      </c>
      <c r="AD293" s="15" t="s">
        <v>328</v>
      </c>
      <c r="AE293" s="15"/>
      <c r="AF293" s="15"/>
      <c r="AG293" s="15"/>
      <c r="AH293" s="15"/>
      <c r="AI293" s="15"/>
      <c r="AJ293" s="15" t="s">
        <v>328</v>
      </c>
      <c r="AK293" s="15" t="s">
        <v>328</v>
      </c>
      <c r="AL293" s="15"/>
      <c r="AM293" s="15" t="s">
        <v>328</v>
      </c>
      <c r="AN293" s="15" t="s">
        <v>328</v>
      </c>
      <c r="AO293" s="15"/>
      <c r="AP293" s="15">
        <v>8</v>
      </c>
      <c r="AQ293" s="15">
        <v>2</v>
      </c>
      <c r="AR293" s="15"/>
      <c r="AS293" s="15"/>
      <c r="AT293" s="15"/>
      <c r="AU293" s="15" t="s">
        <v>328</v>
      </c>
      <c r="AV293" s="15">
        <v>1</v>
      </c>
      <c r="AW293" s="15">
        <v>3</v>
      </c>
      <c r="AX293" s="15">
        <v>2</v>
      </c>
      <c r="AY293" s="15"/>
      <c r="AZ293" s="15" t="s">
        <v>328</v>
      </c>
      <c r="BA293" s="15"/>
      <c r="BB293" s="15" t="s">
        <v>328</v>
      </c>
      <c r="BC293" s="15"/>
      <c r="BD293" s="15"/>
      <c r="BE293" s="15" t="s">
        <v>328</v>
      </c>
      <c r="BF293" s="15"/>
      <c r="BG293" s="15"/>
      <c r="BH293" s="15"/>
      <c r="BI293" s="15" t="s">
        <v>328</v>
      </c>
      <c r="BJ293" s="15"/>
      <c r="BK293" s="15"/>
      <c r="BL293" s="15"/>
      <c r="BM293" s="15" t="s">
        <v>328</v>
      </c>
      <c r="BN293" s="15" t="s">
        <v>328</v>
      </c>
      <c r="BO293" s="15"/>
      <c r="BP293" s="15"/>
      <c r="BQ293" s="15"/>
      <c r="BR293" s="15" t="s">
        <v>328</v>
      </c>
      <c r="BS293" s="15"/>
      <c r="BT293" s="15"/>
      <c r="BU293" s="15"/>
      <c r="BV293" s="15"/>
      <c r="BW293" s="15"/>
      <c r="BX293" s="15"/>
      <c r="BY293" s="15"/>
      <c r="BZ293" s="15"/>
      <c r="CA293" s="15" t="s">
        <v>328</v>
      </c>
      <c r="CB293" s="15" t="s">
        <v>328</v>
      </c>
      <c r="CC293" s="15"/>
      <c r="CD293" s="15"/>
      <c r="CE293" s="15" t="s">
        <v>328</v>
      </c>
      <c r="CF293" s="15"/>
      <c r="CG293" s="15"/>
      <c r="CH293" s="15"/>
      <c r="CI293" s="15" t="s">
        <v>328</v>
      </c>
      <c r="CJ293" s="15"/>
      <c r="CK293" s="15"/>
      <c r="CL293" s="15">
        <v>4</v>
      </c>
      <c r="CM293" s="15">
        <v>3</v>
      </c>
      <c r="CN293" s="15">
        <v>5</v>
      </c>
      <c r="CO293" s="15">
        <v>6</v>
      </c>
      <c r="CP293" s="15">
        <v>2</v>
      </c>
      <c r="CQ293" s="15">
        <v>1</v>
      </c>
      <c r="CR293" s="15" t="s">
        <v>328</v>
      </c>
      <c r="CS293" s="15"/>
      <c r="CT293" s="15" t="s">
        <v>328</v>
      </c>
      <c r="CU293" s="15"/>
      <c r="CV293" s="15" t="s">
        <v>328</v>
      </c>
      <c r="CW293" s="15"/>
      <c r="CX293" s="15"/>
      <c r="CY293" s="15"/>
      <c r="CZ293" s="15"/>
      <c r="DA293" s="15"/>
      <c r="DB293" s="15">
        <v>1</v>
      </c>
      <c r="DC293" s="15">
        <v>2</v>
      </c>
      <c r="DD293" s="15">
        <v>3</v>
      </c>
      <c r="DE293" s="15"/>
      <c r="DF293" s="15">
        <v>4</v>
      </c>
      <c r="DG293" s="15"/>
      <c r="DH293" s="15"/>
      <c r="DI293" s="15" t="s">
        <v>328</v>
      </c>
      <c r="DJ293" s="15" t="s">
        <v>328</v>
      </c>
      <c r="DK293" s="15" t="s">
        <v>497</v>
      </c>
      <c r="DL293" s="15"/>
      <c r="DM293" s="15" t="s">
        <v>492</v>
      </c>
      <c r="DN293" s="15" t="s">
        <v>411</v>
      </c>
      <c r="DO293" s="15"/>
      <c r="DP293" s="15" t="s">
        <v>328</v>
      </c>
      <c r="DQ293" s="15" t="s">
        <v>328</v>
      </c>
      <c r="DR293" s="15" t="s">
        <v>1389</v>
      </c>
      <c r="DS293" s="15"/>
      <c r="DT293" s="15"/>
      <c r="DU293" s="15" t="s">
        <v>492</v>
      </c>
      <c r="DV293" s="15" t="s">
        <v>1390</v>
      </c>
      <c r="DW293" s="15"/>
      <c r="DX293" s="15" t="s">
        <v>328</v>
      </c>
      <c r="DY293" s="15" t="s">
        <v>328</v>
      </c>
      <c r="DZ293" s="15" t="s">
        <v>1391</v>
      </c>
      <c r="EA293" s="15"/>
      <c r="EB293" s="15" t="s">
        <v>1392</v>
      </c>
      <c r="EC293" s="102"/>
      <c r="ED293" s="48"/>
    </row>
    <row r="294" spans="1:136" x14ac:dyDescent="0.25">
      <c r="A294" s="51" t="s">
        <v>1378</v>
      </c>
      <c r="B294" s="61" t="s">
        <v>1366</v>
      </c>
      <c r="C294" s="15" t="s">
        <v>328</v>
      </c>
      <c r="D294" s="15"/>
      <c r="E294" s="15">
        <v>53</v>
      </c>
      <c r="F294" s="15" t="s">
        <v>329</v>
      </c>
      <c r="G294" s="15" t="s">
        <v>353</v>
      </c>
      <c r="H294" s="15" t="s">
        <v>1420</v>
      </c>
      <c r="I294" s="15" t="s">
        <v>1405</v>
      </c>
      <c r="J294" s="15" t="s">
        <v>1281</v>
      </c>
      <c r="K294" s="15">
        <v>30</v>
      </c>
      <c r="L294" s="15">
        <v>2</v>
      </c>
      <c r="M294" s="15"/>
      <c r="N294" s="15"/>
      <c r="O294" s="15"/>
      <c r="P294" s="15"/>
      <c r="Q294" s="15"/>
      <c r="R294" s="15"/>
      <c r="S294" s="15"/>
      <c r="T294" s="15">
        <v>2</v>
      </c>
      <c r="U294" s="15"/>
      <c r="V294" s="15">
        <v>2</v>
      </c>
      <c r="W294" s="15"/>
      <c r="X294" s="15"/>
      <c r="Y294" s="15"/>
      <c r="Z294" s="15"/>
      <c r="AA294" s="15" t="s">
        <v>328</v>
      </c>
      <c r="AB294" s="15"/>
      <c r="AC294" s="15"/>
      <c r="AD294" s="15" t="s">
        <v>328</v>
      </c>
      <c r="AE294" s="15" t="s">
        <v>328</v>
      </c>
      <c r="AF294" s="15"/>
      <c r="AG294" s="15" t="s">
        <v>328</v>
      </c>
      <c r="AH294" s="15"/>
      <c r="AI294" s="15" t="s">
        <v>692</v>
      </c>
      <c r="AJ294" s="15" t="s">
        <v>328</v>
      </c>
      <c r="AK294" s="15" t="s">
        <v>328</v>
      </c>
      <c r="AL294" s="15"/>
      <c r="AM294" s="15" t="s">
        <v>328</v>
      </c>
      <c r="AN294" s="15"/>
      <c r="AO294" s="15"/>
      <c r="AP294" s="15">
        <v>10</v>
      </c>
      <c r="AQ294" s="15">
        <v>4</v>
      </c>
      <c r="AR294" s="15"/>
      <c r="AS294" s="15"/>
      <c r="AT294" s="15"/>
      <c r="AU294" s="15" t="s">
        <v>328</v>
      </c>
      <c r="AV294" s="15">
        <v>2</v>
      </c>
      <c r="AW294" s="15">
        <v>4</v>
      </c>
      <c r="AX294" s="15">
        <v>3</v>
      </c>
      <c r="AY294" s="15" t="s">
        <v>346</v>
      </c>
      <c r="AZ294" s="15" t="s">
        <v>328</v>
      </c>
      <c r="BA294" s="15"/>
      <c r="BB294" s="15" t="s">
        <v>328</v>
      </c>
      <c r="BC294" s="15"/>
      <c r="BD294" s="15"/>
      <c r="BE294" s="15"/>
      <c r="BF294" s="15" t="s">
        <v>328</v>
      </c>
      <c r="BG294" s="15"/>
      <c r="BH294" s="15"/>
      <c r="BI294" s="15" t="s">
        <v>328</v>
      </c>
      <c r="BJ294" s="15"/>
      <c r="BK294" s="15"/>
      <c r="BL294" s="15"/>
      <c r="BM294" s="15" t="s">
        <v>328</v>
      </c>
      <c r="BN294" s="15" t="s">
        <v>328</v>
      </c>
      <c r="BO294" s="15"/>
      <c r="BP294" s="15" t="s">
        <v>328</v>
      </c>
      <c r="BQ294" s="15"/>
      <c r="BR294" s="15" t="s">
        <v>328</v>
      </c>
      <c r="BS294" s="15"/>
      <c r="BT294" s="15"/>
      <c r="BU294" s="15"/>
      <c r="BV294" s="15"/>
      <c r="BW294" s="15"/>
      <c r="BX294" s="15"/>
      <c r="BY294" s="15"/>
      <c r="BZ294" s="15"/>
      <c r="CA294" s="15" t="s">
        <v>328</v>
      </c>
      <c r="CB294" s="15"/>
      <c r="CC294" s="15"/>
      <c r="CD294" s="15"/>
      <c r="CE294" s="15" t="s">
        <v>328</v>
      </c>
      <c r="CF294" s="15"/>
      <c r="CG294" s="15"/>
      <c r="CH294" s="15"/>
      <c r="CI294" s="15" t="s">
        <v>328</v>
      </c>
      <c r="CJ294" s="15"/>
      <c r="CK294" s="15" t="s">
        <v>328</v>
      </c>
      <c r="CL294" s="15">
        <v>5</v>
      </c>
      <c r="CM294" s="15">
        <v>3</v>
      </c>
      <c r="CN294" s="15">
        <v>4</v>
      </c>
      <c r="CO294" s="15">
        <v>2</v>
      </c>
      <c r="CP294" s="15">
        <v>1</v>
      </c>
      <c r="CQ294" s="15">
        <v>6</v>
      </c>
      <c r="CR294" s="15"/>
      <c r="CS294" s="15"/>
      <c r="CT294" s="15"/>
      <c r="CU294" s="15"/>
      <c r="CV294" s="15"/>
      <c r="CW294" s="15"/>
      <c r="CX294" s="15" t="s">
        <v>332</v>
      </c>
      <c r="CY294" s="15"/>
      <c r="CZ294" s="15"/>
      <c r="DA294" s="15">
        <v>3</v>
      </c>
      <c r="DB294" s="15">
        <v>4</v>
      </c>
      <c r="DC294" s="15"/>
      <c r="DD294" s="15"/>
      <c r="DE294" s="15">
        <v>2</v>
      </c>
      <c r="DF294" s="15"/>
      <c r="DG294" s="15" t="s">
        <v>346</v>
      </c>
      <c r="DH294" s="15" t="s">
        <v>328</v>
      </c>
      <c r="DI294" s="15"/>
      <c r="DJ294" s="15"/>
      <c r="DK294" s="15"/>
      <c r="DL294" s="15"/>
      <c r="DM294" s="15"/>
      <c r="DN294" s="14" t="s">
        <v>333</v>
      </c>
      <c r="DO294" s="15" t="s">
        <v>328</v>
      </c>
      <c r="DP294" s="15"/>
      <c r="DQ294" s="15"/>
      <c r="DR294" s="15"/>
      <c r="DS294" s="15"/>
      <c r="DT294" s="15"/>
      <c r="DU294" s="15"/>
      <c r="DV294" s="15"/>
      <c r="DW294" s="15" t="s">
        <v>328</v>
      </c>
      <c r="DX294" s="15"/>
      <c r="DY294" s="15"/>
      <c r="DZ294" s="15"/>
      <c r="EA294" s="15"/>
      <c r="EB294" s="15"/>
      <c r="EC294" s="102"/>
      <c r="ED294" s="1"/>
    </row>
    <row r="295" spans="1:136" x14ac:dyDescent="0.25">
      <c r="A295" s="51" t="s">
        <v>1378</v>
      </c>
      <c r="B295" s="61" t="s">
        <v>1367</v>
      </c>
      <c r="C295" s="15" t="s">
        <v>328</v>
      </c>
      <c r="D295" s="15"/>
      <c r="E295" s="15">
        <v>41</v>
      </c>
      <c r="F295" s="15" t="s">
        <v>329</v>
      </c>
      <c r="G295" s="15" t="s">
        <v>399</v>
      </c>
      <c r="H295" s="18" t="s">
        <v>1421</v>
      </c>
      <c r="I295" s="15" t="s">
        <v>1422</v>
      </c>
      <c r="J295" s="15" t="s">
        <v>1281</v>
      </c>
      <c r="K295" s="15">
        <v>25</v>
      </c>
      <c r="L295" s="15">
        <v>4</v>
      </c>
      <c r="M295" s="15">
        <v>2</v>
      </c>
      <c r="N295" s="15"/>
      <c r="O295" s="15"/>
      <c r="P295" s="15">
        <v>4</v>
      </c>
      <c r="Q295" s="15"/>
      <c r="R295" s="15"/>
      <c r="S295" s="15"/>
      <c r="T295" s="15"/>
      <c r="U295" s="15"/>
      <c r="V295" s="15"/>
      <c r="W295" s="15"/>
      <c r="X295" s="15"/>
      <c r="Y295" s="15"/>
      <c r="Z295" s="15" t="s">
        <v>328</v>
      </c>
      <c r="AA295" s="15" t="s">
        <v>328</v>
      </c>
      <c r="AB295" s="15"/>
      <c r="AC295" s="15"/>
      <c r="AD295" s="15"/>
      <c r="AE295" s="15"/>
      <c r="AF295" s="15"/>
      <c r="AG295" s="15" t="s">
        <v>328</v>
      </c>
      <c r="AH295" s="15"/>
      <c r="AI295" s="15"/>
      <c r="AJ295" s="15" t="s">
        <v>328</v>
      </c>
      <c r="AK295" s="15" t="s">
        <v>328</v>
      </c>
      <c r="AL295" s="15"/>
      <c r="AM295" s="15" t="s">
        <v>328</v>
      </c>
      <c r="AN295" s="15"/>
      <c r="AO295" s="15"/>
      <c r="AP295" s="15">
        <v>9</v>
      </c>
      <c r="AQ295" s="15">
        <v>5</v>
      </c>
      <c r="AR295" s="15"/>
      <c r="AS295" s="15"/>
      <c r="AT295" s="15" t="s">
        <v>328</v>
      </c>
      <c r="AU295" s="15"/>
      <c r="AV295" s="15">
        <v>3</v>
      </c>
      <c r="AW295" s="15">
        <v>2</v>
      </c>
      <c r="AX295" s="15">
        <v>4</v>
      </c>
      <c r="AY295" s="15" t="s">
        <v>346</v>
      </c>
      <c r="AZ295" s="15" t="s">
        <v>328</v>
      </c>
      <c r="BA295" s="15"/>
      <c r="BB295" s="15" t="s">
        <v>328</v>
      </c>
      <c r="BC295" s="15" t="s">
        <v>328</v>
      </c>
      <c r="BD295" s="15"/>
      <c r="BE295" s="15"/>
      <c r="BF295" s="15"/>
      <c r="BG295" s="15"/>
      <c r="BH295" s="15"/>
      <c r="BI295" s="15"/>
      <c r="BJ295" s="15"/>
      <c r="BK295" s="15"/>
      <c r="BL295" s="15"/>
      <c r="BM295" s="15" t="s">
        <v>328</v>
      </c>
      <c r="BN295" s="15"/>
      <c r="BO295" s="15" t="s">
        <v>328</v>
      </c>
      <c r="BP295" s="15"/>
      <c r="BQ295" s="15" t="s">
        <v>328</v>
      </c>
      <c r="BR295" s="15"/>
      <c r="BS295" s="15"/>
      <c r="BT295" s="15"/>
      <c r="BU295" s="15"/>
      <c r="BV295" s="15"/>
      <c r="BW295" s="15"/>
      <c r="BX295" s="15" t="s">
        <v>328</v>
      </c>
      <c r="BY295" s="15"/>
      <c r="BZ295" s="15"/>
      <c r="CA295" s="15" t="s">
        <v>328</v>
      </c>
      <c r="CB295" s="15" t="s">
        <v>328</v>
      </c>
      <c r="CC295" s="15"/>
      <c r="CD295" s="15"/>
      <c r="CE295" s="15" t="s">
        <v>328</v>
      </c>
      <c r="CF295" s="15"/>
      <c r="CG295" s="15"/>
      <c r="CH295" s="15" t="s">
        <v>328</v>
      </c>
      <c r="CI295" s="15"/>
      <c r="CJ295" s="15"/>
      <c r="CK295" s="15"/>
      <c r="CL295" s="15">
        <v>4</v>
      </c>
      <c r="CM295" s="15">
        <v>5</v>
      </c>
      <c r="CN295" s="15">
        <v>1</v>
      </c>
      <c r="CO295" s="15">
        <v>6</v>
      </c>
      <c r="CP295" s="15">
        <v>2</v>
      </c>
      <c r="CQ295" s="15">
        <v>3</v>
      </c>
      <c r="CR295" s="15"/>
      <c r="CS295" s="15"/>
      <c r="CT295" s="15"/>
      <c r="CU295" s="15"/>
      <c r="CV295" s="15"/>
      <c r="CW295" s="15"/>
      <c r="CX295" s="15" t="s">
        <v>332</v>
      </c>
      <c r="CY295" s="15"/>
      <c r="CZ295" s="15"/>
      <c r="DA295" s="15">
        <v>1</v>
      </c>
      <c r="DB295" s="15">
        <v>3</v>
      </c>
      <c r="DC295" s="15"/>
      <c r="DD295" s="15"/>
      <c r="DE295" s="15">
        <v>2</v>
      </c>
      <c r="DF295" s="15">
        <v>4</v>
      </c>
      <c r="DG295" s="15"/>
      <c r="DH295" s="15"/>
      <c r="DI295" s="15" t="s">
        <v>328</v>
      </c>
      <c r="DJ295" s="15" t="s">
        <v>328</v>
      </c>
      <c r="DK295" s="15" t="s">
        <v>1393</v>
      </c>
      <c r="DL295" s="15"/>
      <c r="DM295" s="15" t="s">
        <v>492</v>
      </c>
      <c r="DN295" s="15" t="s">
        <v>411</v>
      </c>
      <c r="DO295" s="15" t="s">
        <v>328</v>
      </c>
      <c r="DP295" s="15"/>
      <c r="DQ295" s="15"/>
      <c r="DR295" s="15"/>
      <c r="DS295" s="15"/>
      <c r="DT295" s="15"/>
      <c r="DU295" s="15"/>
      <c r="DV295" s="15"/>
      <c r="DW295" s="15" t="s">
        <v>328</v>
      </c>
      <c r="DX295" s="15"/>
      <c r="DY295" s="15"/>
      <c r="DZ295" s="15"/>
      <c r="EA295" s="15"/>
      <c r="EB295" s="15"/>
      <c r="EC295" s="102"/>
      <c r="ED295" s="99"/>
    </row>
    <row r="296" spans="1:136" x14ac:dyDescent="0.25">
      <c r="A296" s="51" t="s">
        <v>1378</v>
      </c>
      <c r="B296" s="61" t="s">
        <v>1368</v>
      </c>
      <c r="C296" s="15" t="s">
        <v>328</v>
      </c>
      <c r="D296" s="15"/>
      <c r="E296" s="15">
        <v>75</v>
      </c>
      <c r="F296" s="15" t="s">
        <v>329</v>
      </c>
      <c r="G296" s="15" t="s">
        <v>330</v>
      </c>
      <c r="H296" s="15" t="s">
        <v>1394</v>
      </c>
      <c r="I296" s="15" t="s">
        <v>1395</v>
      </c>
      <c r="J296" s="15" t="s">
        <v>1281</v>
      </c>
      <c r="K296" s="15">
        <v>57</v>
      </c>
      <c r="L296" s="15">
        <v>3</v>
      </c>
      <c r="M296" s="15">
        <v>2</v>
      </c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>
        <v>1</v>
      </c>
      <c r="Y296" s="15"/>
      <c r="Z296" s="15"/>
      <c r="AA296" s="15"/>
      <c r="AB296" s="15"/>
      <c r="AC296" s="15" t="s">
        <v>328</v>
      </c>
      <c r="AD296" s="15" t="s">
        <v>328</v>
      </c>
      <c r="AE296" s="15" t="s">
        <v>328</v>
      </c>
      <c r="AF296" s="15" t="s">
        <v>328</v>
      </c>
      <c r="AG296" s="15"/>
      <c r="AH296" s="15"/>
      <c r="AI296" s="15"/>
      <c r="AJ296" s="15"/>
      <c r="AK296" s="15"/>
      <c r="AL296" s="15"/>
      <c r="AM296" s="15"/>
      <c r="AN296" s="15"/>
      <c r="AO296" s="15" t="s">
        <v>328</v>
      </c>
      <c r="AP296" s="15">
        <v>10</v>
      </c>
      <c r="AQ296" s="15">
        <v>6</v>
      </c>
      <c r="AR296" s="15"/>
      <c r="AS296" s="15" t="s">
        <v>328</v>
      </c>
      <c r="AT296" s="15"/>
      <c r="AU296" s="15"/>
      <c r="AV296" s="15">
        <v>3</v>
      </c>
      <c r="AW296" s="15">
        <v>2</v>
      </c>
      <c r="AX296" s="15">
        <v>1</v>
      </c>
      <c r="AY296" s="15"/>
      <c r="AZ296" s="15" t="s">
        <v>328</v>
      </c>
      <c r="BA296" s="15"/>
      <c r="BB296" s="15"/>
      <c r="BC296" s="15"/>
      <c r="BD296" s="15" t="s">
        <v>328</v>
      </c>
      <c r="BE296" s="15"/>
      <c r="BF296" s="15"/>
      <c r="BG296" s="15"/>
      <c r="BH296" s="15"/>
      <c r="BI296" s="15"/>
      <c r="BJ296" s="15"/>
      <c r="BK296" s="15"/>
      <c r="BL296" s="15"/>
      <c r="BM296" s="15" t="s">
        <v>328</v>
      </c>
      <c r="BN296" s="15"/>
      <c r="BO296" s="15" t="s">
        <v>328</v>
      </c>
      <c r="BP296" s="15"/>
      <c r="BQ296" s="15"/>
      <c r="BR296" s="15"/>
      <c r="BS296" s="15"/>
      <c r="BT296" s="15"/>
      <c r="BU296" s="15" t="s">
        <v>328</v>
      </c>
      <c r="BV296" s="15"/>
      <c r="BW296" s="15"/>
      <c r="BX296" s="15"/>
      <c r="BY296" s="15"/>
      <c r="BZ296" s="15"/>
      <c r="CA296" s="15" t="s">
        <v>328</v>
      </c>
      <c r="CB296" s="15"/>
      <c r="CC296" s="15"/>
      <c r="CD296" s="15"/>
      <c r="CE296" s="15"/>
      <c r="CF296" s="15"/>
      <c r="CG296" s="15" t="s">
        <v>328</v>
      </c>
      <c r="CH296" s="15"/>
      <c r="CI296" s="15"/>
      <c r="CJ296" s="15"/>
      <c r="CK296" s="15"/>
      <c r="CL296" s="15">
        <v>3</v>
      </c>
      <c r="CM296" s="15">
        <v>2</v>
      </c>
      <c r="CN296" s="15">
        <v>5</v>
      </c>
      <c r="CO296" s="15">
        <v>6</v>
      </c>
      <c r="CP296" s="15">
        <v>4</v>
      </c>
      <c r="CQ296" s="15">
        <v>1</v>
      </c>
      <c r="CR296" s="15"/>
      <c r="CS296" s="15"/>
      <c r="CT296" s="15"/>
      <c r="CU296" s="15"/>
      <c r="CV296" s="15"/>
      <c r="CW296" s="15"/>
      <c r="CX296" s="15" t="s">
        <v>332</v>
      </c>
      <c r="CY296" s="15"/>
      <c r="CZ296" s="15"/>
      <c r="DA296" s="15">
        <v>2</v>
      </c>
      <c r="DB296" s="15"/>
      <c r="DC296" s="15"/>
      <c r="DD296" s="15">
        <v>3</v>
      </c>
      <c r="DE296" s="15">
        <v>1</v>
      </c>
      <c r="DF296" s="15"/>
      <c r="DG296" s="15"/>
      <c r="DH296" s="15" t="s">
        <v>328</v>
      </c>
      <c r="DI296" s="15"/>
      <c r="DJ296" s="15"/>
      <c r="DK296" s="15"/>
      <c r="DL296" s="15"/>
      <c r="DM296" s="15"/>
      <c r="DN296" s="15"/>
      <c r="DO296" s="15"/>
      <c r="DP296" s="15" t="s">
        <v>328</v>
      </c>
      <c r="DQ296" s="15" t="s">
        <v>328</v>
      </c>
      <c r="DR296" s="15" t="s">
        <v>405</v>
      </c>
      <c r="DS296" s="15"/>
      <c r="DT296" s="15"/>
      <c r="DU296" s="15"/>
      <c r="DV296" s="15"/>
      <c r="DW296" s="15" t="s">
        <v>328</v>
      </c>
      <c r="DX296" s="15"/>
      <c r="DY296" s="15"/>
      <c r="DZ296" s="15"/>
      <c r="EA296" s="15"/>
      <c r="EB296" s="15"/>
      <c r="EC296" s="102"/>
      <c r="ED296" s="99"/>
    </row>
    <row r="297" spans="1:136" x14ac:dyDescent="0.25">
      <c r="A297" s="51" t="s">
        <v>1378</v>
      </c>
      <c r="B297" s="61" t="s">
        <v>1369</v>
      </c>
      <c r="C297" s="15" t="s">
        <v>328</v>
      </c>
      <c r="D297" s="15"/>
      <c r="E297" s="15">
        <v>27</v>
      </c>
      <c r="F297" s="15" t="s">
        <v>329</v>
      </c>
      <c r="G297" s="15" t="s">
        <v>399</v>
      </c>
      <c r="H297" s="15" t="s">
        <v>1394</v>
      </c>
      <c r="I297" s="15" t="s">
        <v>1395</v>
      </c>
      <c r="J297" s="15" t="s">
        <v>1281</v>
      </c>
      <c r="K297" s="15">
        <v>9</v>
      </c>
      <c r="L297" s="15">
        <v>3</v>
      </c>
      <c r="M297" s="15"/>
      <c r="N297" s="15"/>
      <c r="O297" s="15"/>
      <c r="P297" s="15"/>
      <c r="Q297" s="15"/>
      <c r="R297" s="15"/>
      <c r="S297" s="15">
        <v>3</v>
      </c>
      <c r="T297" s="15"/>
      <c r="U297" s="15"/>
      <c r="V297" s="15"/>
      <c r="W297" s="15"/>
      <c r="X297" s="15"/>
      <c r="Y297" s="15"/>
      <c r="Z297" s="15"/>
      <c r="AA297" s="15"/>
      <c r="AB297" s="15"/>
      <c r="AC297" s="15" t="s">
        <v>328</v>
      </c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 t="s">
        <v>328</v>
      </c>
      <c r="AP297" s="15">
        <v>9</v>
      </c>
      <c r="AQ297" s="15">
        <v>5</v>
      </c>
      <c r="AR297" s="15"/>
      <c r="AS297" s="15"/>
      <c r="AT297" s="15"/>
      <c r="AU297" s="15" t="s">
        <v>328</v>
      </c>
      <c r="AV297" s="15">
        <v>3</v>
      </c>
      <c r="AW297" s="15">
        <v>2</v>
      </c>
      <c r="AX297" s="15">
        <v>1</v>
      </c>
      <c r="AY297" s="15"/>
      <c r="AZ297" s="15" t="s">
        <v>328</v>
      </c>
      <c r="BA297" s="15"/>
      <c r="BB297" s="15" t="s">
        <v>328</v>
      </c>
      <c r="BC297" s="15"/>
      <c r="BD297" s="15" t="s">
        <v>328</v>
      </c>
      <c r="BE297" s="15"/>
      <c r="BF297" s="15"/>
      <c r="BG297" s="15"/>
      <c r="BH297" s="15"/>
      <c r="BI297" s="15"/>
      <c r="BJ297" s="15"/>
      <c r="BK297" s="15"/>
      <c r="BL297" s="15" t="s">
        <v>328</v>
      </c>
      <c r="BM297" s="15"/>
      <c r="BN297" s="15" t="s">
        <v>328</v>
      </c>
      <c r="BO297" s="15"/>
      <c r="BP297" s="15"/>
      <c r="BQ297" s="15"/>
      <c r="BR297" s="15"/>
      <c r="BS297" s="15"/>
      <c r="BT297" s="15"/>
      <c r="BU297" s="15" t="s">
        <v>328</v>
      </c>
      <c r="BV297" s="15"/>
      <c r="BW297" s="15"/>
      <c r="BX297" s="15"/>
      <c r="BY297" s="15"/>
      <c r="BZ297" s="15"/>
      <c r="CA297" s="15" t="s">
        <v>328</v>
      </c>
      <c r="CB297" s="15" t="s">
        <v>328</v>
      </c>
      <c r="CC297" s="15"/>
      <c r="CD297" s="15" t="s">
        <v>328</v>
      </c>
      <c r="CE297" s="15" t="s">
        <v>328</v>
      </c>
      <c r="CF297" s="15"/>
      <c r="CG297" s="15" t="s">
        <v>328</v>
      </c>
      <c r="CH297" s="15"/>
      <c r="CI297" s="15"/>
      <c r="CJ297" s="15"/>
      <c r="CK297" s="15"/>
      <c r="CL297" s="15">
        <v>3</v>
      </c>
      <c r="CM297" s="15">
        <v>1</v>
      </c>
      <c r="CN297" s="15">
        <v>4</v>
      </c>
      <c r="CO297" s="15">
        <v>5</v>
      </c>
      <c r="CP297" s="15">
        <v>6</v>
      </c>
      <c r="CQ297" s="15">
        <v>2</v>
      </c>
      <c r="CR297" s="15"/>
      <c r="CS297" s="15"/>
      <c r="CT297" s="15"/>
      <c r="CU297" s="15"/>
      <c r="CV297" s="15"/>
      <c r="CW297" s="15"/>
      <c r="CX297" s="15" t="s">
        <v>332</v>
      </c>
      <c r="CY297" s="15"/>
      <c r="CZ297" s="15"/>
      <c r="DA297" s="15">
        <v>3</v>
      </c>
      <c r="DB297" s="15">
        <v>2</v>
      </c>
      <c r="DC297" s="15">
        <v>6</v>
      </c>
      <c r="DD297" s="15">
        <v>1</v>
      </c>
      <c r="DE297" s="15">
        <v>5</v>
      </c>
      <c r="DF297" s="15">
        <v>4</v>
      </c>
      <c r="DG297" s="15"/>
      <c r="DH297" s="15" t="s">
        <v>328</v>
      </c>
      <c r="DI297" s="15"/>
      <c r="DJ297" s="15"/>
      <c r="DK297" s="15"/>
      <c r="DL297" s="15"/>
      <c r="DM297" s="15"/>
      <c r="DN297" s="15"/>
      <c r="DO297" s="15" t="s">
        <v>328</v>
      </c>
      <c r="DP297" s="15"/>
      <c r="DQ297" s="15"/>
      <c r="DR297" s="15"/>
      <c r="DS297" s="15"/>
      <c r="DT297" s="15"/>
      <c r="DU297" s="15"/>
      <c r="DV297" s="15"/>
      <c r="DW297" s="15" t="s">
        <v>328</v>
      </c>
      <c r="DX297" s="15"/>
      <c r="DY297" s="15"/>
      <c r="DZ297" s="15"/>
      <c r="EA297" s="15"/>
      <c r="EB297" s="15"/>
      <c r="EC297" s="102"/>
      <c r="ED297" s="99"/>
    </row>
    <row r="298" spans="1:136" x14ac:dyDescent="0.25">
      <c r="A298" s="51" t="s">
        <v>1378</v>
      </c>
      <c r="B298" s="61" t="s">
        <v>1370</v>
      </c>
      <c r="C298" s="15" t="s">
        <v>328</v>
      </c>
      <c r="D298" s="15"/>
      <c r="E298" s="15">
        <v>65</v>
      </c>
      <c r="F298" s="15" t="s">
        <v>329</v>
      </c>
      <c r="G298" s="15" t="s">
        <v>353</v>
      </c>
      <c r="H298" s="15" t="s">
        <v>1396</v>
      </c>
      <c r="I298" s="15" t="s">
        <v>1397</v>
      </c>
      <c r="J298" s="15" t="s">
        <v>1281</v>
      </c>
      <c r="K298" s="15">
        <v>30</v>
      </c>
      <c r="L298" s="15">
        <v>1</v>
      </c>
      <c r="M298" s="15"/>
      <c r="N298" s="15"/>
      <c r="O298" s="15"/>
      <c r="P298" s="15"/>
      <c r="Q298" s="15"/>
      <c r="R298" s="15"/>
      <c r="S298" s="15">
        <v>1</v>
      </c>
      <c r="T298" s="15"/>
      <c r="U298" s="15"/>
      <c r="V298" s="15"/>
      <c r="W298" s="15"/>
      <c r="X298" s="15"/>
      <c r="Y298" s="15"/>
      <c r="Z298" s="15"/>
      <c r="AA298" s="15"/>
      <c r="AB298" s="15"/>
      <c r="AC298" s="15" t="s">
        <v>328</v>
      </c>
      <c r="AD298" s="15"/>
      <c r="AE298" s="15"/>
      <c r="AF298" s="15"/>
      <c r="AG298" s="15"/>
      <c r="AH298" s="15"/>
      <c r="AI298" s="15"/>
      <c r="AJ298" s="15"/>
      <c r="AK298" s="15" t="s">
        <v>328</v>
      </c>
      <c r="AL298" s="15"/>
      <c r="AM298" s="15" t="s">
        <v>328</v>
      </c>
      <c r="AN298" s="15"/>
      <c r="AO298" s="15" t="s">
        <v>328</v>
      </c>
      <c r="AP298" s="15">
        <v>8</v>
      </c>
      <c r="AQ298" s="15">
        <v>4</v>
      </c>
      <c r="AR298" s="15"/>
      <c r="AS298" s="15"/>
      <c r="AT298" s="15" t="s">
        <v>328</v>
      </c>
      <c r="AU298" s="15"/>
      <c r="AV298" s="15">
        <v>1</v>
      </c>
      <c r="AW298" s="15">
        <v>2</v>
      </c>
      <c r="AX298" s="15">
        <v>3</v>
      </c>
      <c r="AY298" s="15"/>
      <c r="AZ298" s="15" t="s">
        <v>328</v>
      </c>
      <c r="BA298" s="15"/>
      <c r="BB298" s="15" t="s">
        <v>328</v>
      </c>
      <c r="BC298" s="15"/>
      <c r="BD298" s="15"/>
      <c r="BE298" s="15" t="s">
        <v>328</v>
      </c>
      <c r="BF298" s="15" t="s">
        <v>328</v>
      </c>
      <c r="BG298" s="15"/>
      <c r="BH298" s="15"/>
      <c r="BI298" s="15"/>
      <c r="BJ298" s="15"/>
      <c r="BK298" s="15"/>
      <c r="BL298" s="15"/>
      <c r="BM298" s="15" t="s">
        <v>328</v>
      </c>
      <c r="BN298" s="15"/>
      <c r="BO298" s="15" t="s">
        <v>328</v>
      </c>
      <c r="BP298" s="15" t="s">
        <v>328</v>
      </c>
      <c r="BQ298" s="15"/>
      <c r="BR298" s="15"/>
      <c r="BS298" s="15"/>
      <c r="BT298" s="15"/>
      <c r="BU298" s="15" t="s">
        <v>328</v>
      </c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 t="s">
        <v>332</v>
      </c>
      <c r="CG298" s="15"/>
      <c r="CH298" s="15"/>
      <c r="CI298" s="15" t="s">
        <v>328</v>
      </c>
      <c r="CJ298" s="15"/>
      <c r="CK298" s="15"/>
      <c r="CL298" s="15">
        <v>1</v>
      </c>
      <c r="CM298" s="15">
        <v>3</v>
      </c>
      <c r="CN298" s="15">
        <v>4</v>
      </c>
      <c r="CO298" s="15">
        <v>6</v>
      </c>
      <c r="CP298" s="15">
        <v>5</v>
      </c>
      <c r="CQ298" s="15">
        <v>2</v>
      </c>
      <c r="CR298" s="15" t="s">
        <v>328</v>
      </c>
      <c r="CS298" s="15"/>
      <c r="CT298" s="15"/>
      <c r="CU298" s="15"/>
      <c r="CV298" s="15"/>
      <c r="CW298" s="15"/>
      <c r="CX298" s="15"/>
      <c r="CY298" s="15"/>
      <c r="CZ298" s="15"/>
      <c r="DA298" s="15">
        <v>1</v>
      </c>
      <c r="DB298" s="15"/>
      <c r="DC298" s="15"/>
      <c r="DD298" s="15"/>
      <c r="DE298" s="15">
        <v>2</v>
      </c>
      <c r="DF298" s="15"/>
      <c r="DG298" s="15"/>
      <c r="DH298" s="15" t="s">
        <v>328</v>
      </c>
      <c r="DI298" s="15"/>
      <c r="DJ298" s="15"/>
      <c r="DK298" s="15"/>
      <c r="DL298" s="15"/>
      <c r="DM298" s="15"/>
      <c r="DN298" s="15"/>
      <c r="DO298" s="15" t="s">
        <v>328</v>
      </c>
      <c r="DP298" s="15"/>
      <c r="DQ298" s="15"/>
      <c r="DR298" s="15"/>
      <c r="DS298" s="15"/>
      <c r="DT298" s="15"/>
      <c r="DU298" s="15"/>
      <c r="DV298" s="15"/>
      <c r="DW298" s="15" t="s">
        <v>328</v>
      </c>
      <c r="DX298" s="15"/>
      <c r="DY298" s="15"/>
      <c r="DZ298" s="15"/>
      <c r="EA298" s="15"/>
      <c r="EB298" s="15"/>
      <c r="EC298" s="102"/>
      <c r="ED298" s="99"/>
    </row>
    <row r="299" spans="1:136" x14ac:dyDescent="0.25">
      <c r="A299" s="51" t="s">
        <v>1378</v>
      </c>
      <c r="B299" s="61" t="s">
        <v>1371</v>
      </c>
      <c r="C299" s="15" t="s">
        <v>328</v>
      </c>
      <c r="D299" s="15"/>
      <c r="E299" s="15">
        <v>50</v>
      </c>
      <c r="F299" s="15" t="s">
        <v>329</v>
      </c>
      <c r="G299" s="15" t="s">
        <v>353</v>
      </c>
      <c r="H299" s="18" t="s">
        <v>1423</v>
      </c>
      <c r="I299" s="18" t="s">
        <v>1424</v>
      </c>
      <c r="J299" s="15" t="s">
        <v>1281</v>
      </c>
      <c r="K299" s="15">
        <v>30</v>
      </c>
      <c r="L299" s="15">
        <v>1</v>
      </c>
      <c r="M299" s="15">
        <v>1</v>
      </c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 t="s">
        <v>328</v>
      </c>
      <c r="AF299" s="15"/>
      <c r="AG299" s="15"/>
      <c r="AH299" s="15"/>
      <c r="AI299" s="15"/>
      <c r="AJ299" s="15"/>
      <c r="AK299" s="15" t="s">
        <v>328</v>
      </c>
      <c r="AL299" s="15"/>
      <c r="AM299" s="15"/>
      <c r="AN299" s="15"/>
      <c r="AO299" s="15" t="s">
        <v>328</v>
      </c>
      <c r="AP299" s="15">
        <v>10</v>
      </c>
      <c r="AQ299" s="15">
        <v>2</v>
      </c>
      <c r="AR299" s="15"/>
      <c r="AS299" s="15" t="s">
        <v>328</v>
      </c>
      <c r="AT299" s="15"/>
      <c r="AU299" s="15"/>
      <c r="AV299" s="15">
        <v>3</v>
      </c>
      <c r="AW299" s="15">
        <v>2</v>
      </c>
      <c r="AX299" s="15">
        <v>4</v>
      </c>
      <c r="AY299" s="15" t="s">
        <v>346</v>
      </c>
      <c r="AZ299" s="15" t="s">
        <v>328</v>
      </c>
      <c r="BA299" s="15"/>
      <c r="BB299" s="15"/>
      <c r="BC299" s="15"/>
      <c r="BD299" s="15"/>
      <c r="BE299" s="15"/>
      <c r="BF299" s="15" t="s">
        <v>328</v>
      </c>
      <c r="BG299" s="15"/>
      <c r="BH299" s="15"/>
      <c r="BI299" s="15" t="s">
        <v>328</v>
      </c>
      <c r="BJ299" s="15"/>
      <c r="BK299" s="15"/>
      <c r="BL299" s="15"/>
      <c r="BM299" s="15" t="s">
        <v>328</v>
      </c>
      <c r="BN299" s="15"/>
      <c r="BO299" s="15" t="s">
        <v>328</v>
      </c>
      <c r="BP299" s="15" t="s">
        <v>328</v>
      </c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 t="s">
        <v>328</v>
      </c>
      <c r="CF299" s="15"/>
      <c r="CG299" s="15"/>
      <c r="CH299" s="15" t="s">
        <v>328</v>
      </c>
      <c r="CI299" s="15"/>
      <c r="CJ299" s="15"/>
      <c r="CK299" s="15"/>
      <c r="CL299" s="15">
        <v>2</v>
      </c>
      <c r="CM299" s="15">
        <v>1</v>
      </c>
      <c r="CN299" s="15">
        <v>5</v>
      </c>
      <c r="CO299" s="15">
        <v>4</v>
      </c>
      <c r="CP299" s="15">
        <v>6</v>
      </c>
      <c r="CQ299" s="15">
        <v>3</v>
      </c>
      <c r="CR299" s="15"/>
      <c r="CS299" s="15"/>
      <c r="CT299" s="15"/>
      <c r="CU299" s="15"/>
      <c r="CV299" s="15"/>
      <c r="CW299" s="15"/>
      <c r="CX299" s="15" t="s">
        <v>332</v>
      </c>
      <c r="CY299" s="15"/>
      <c r="CZ299" s="15"/>
      <c r="DA299" s="15">
        <v>1</v>
      </c>
      <c r="DB299" s="15">
        <v>3</v>
      </c>
      <c r="DC299" s="15"/>
      <c r="DD299" s="15"/>
      <c r="DE299" s="15">
        <v>2</v>
      </c>
      <c r="DF299" s="15"/>
      <c r="DG299" s="15"/>
      <c r="DH299" s="15" t="s">
        <v>328</v>
      </c>
      <c r="DI299" s="15"/>
      <c r="DJ299" s="15"/>
      <c r="DK299" s="15"/>
      <c r="DL299" s="15"/>
      <c r="DM299" s="15"/>
      <c r="DN299" s="15"/>
      <c r="DO299" s="15"/>
      <c r="DP299" s="15" t="s">
        <v>328</v>
      </c>
      <c r="DQ299" s="15" t="s">
        <v>328</v>
      </c>
      <c r="DR299" s="15" t="s">
        <v>354</v>
      </c>
      <c r="DS299" s="15"/>
      <c r="DT299" s="15"/>
      <c r="DU299" s="15" t="s">
        <v>492</v>
      </c>
      <c r="DV299" s="15" t="s">
        <v>411</v>
      </c>
      <c r="DW299" s="15"/>
      <c r="DX299" s="15" t="s">
        <v>328</v>
      </c>
      <c r="DY299" s="15" t="s">
        <v>328</v>
      </c>
      <c r="DZ299" s="15" t="s">
        <v>411</v>
      </c>
      <c r="EA299" s="15"/>
      <c r="EB299" s="15" t="s">
        <v>1386</v>
      </c>
      <c r="EC299" s="102" t="s">
        <v>1387</v>
      </c>
      <c r="ED299" s="99"/>
    </row>
    <row r="300" spans="1:136" x14ac:dyDescent="0.25">
      <c r="A300" s="51" t="s">
        <v>1378</v>
      </c>
      <c r="B300" s="61" t="s">
        <v>1372</v>
      </c>
      <c r="C300" s="15" t="s">
        <v>328</v>
      </c>
      <c r="D300" s="15"/>
      <c r="E300" s="15">
        <v>63</v>
      </c>
      <c r="F300" s="15" t="s">
        <v>329</v>
      </c>
      <c r="G300" s="15" t="s">
        <v>330</v>
      </c>
      <c r="H300" s="15" t="s">
        <v>1394</v>
      </c>
      <c r="I300" s="15" t="s">
        <v>1395</v>
      </c>
      <c r="J300" s="15" t="s">
        <v>1281</v>
      </c>
      <c r="K300" s="15">
        <v>25</v>
      </c>
      <c r="L300" s="15">
        <v>5</v>
      </c>
      <c r="M300" s="15"/>
      <c r="N300" s="15"/>
      <c r="O300" s="15"/>
      <c r="P300" s="15"/>
      <c r="Q300" s="15"/>
      <c r="R300" s="15"/>
      <c r="S300" s="15">
        <v>3</v>
      </c>
      <c r="T300" s="15"/>
      <c r="U300" s="15"/>
      <c r="V300" s="15"/>
      <c r="W300" s="15"/>
      <c r="X300" s="15"/>
      <c r="Y300" s="15"/>
      <c r="Z300" s="15"/>
      <c r="AA300" s="15"/>
      <c r="AB300" s="15"/>
      <c r="AC300" s="15" t="s">
        <v>328</v>
      </c>
      <c r="AD300" s="15"/>
      <c r="AE300" s="15" t="s">
        <v>328</v>
      </c>
      <c r="AF300" s="15"/>
      <c r="AG300" s="15"/>
      <c r="AH300" s="15"/>
      <c r="AI300" s="15"/>
      <c r="AJ300" s="15"/>
      <c r="AK300" s="15"/>
      <c r="AL300" s="15" t="s">
        <v>328</v>
      </c>
      <c r="AM300" s="15"/>
      <c r="AN300" s="15"/>
      <c r="AO300" s="15"/>
      <c r="AP300" s="15">
        <v>10</v>
      </c>
      <c r="AQ300" s="15">
        <v>4</v>
      </c>
      <c r="AR300" s="15"/>
      <c r="AS300" s="15"/>
      <c r="AT300" s="15" t="s">
        <v>328</v>
      </c>
      <c r="AU300" s="15"/>
      <c r="AV300" s="15">
        <v>1</v>
      </c>
      <c r="AW300" s="15">
        <v>3</v>
      </c>
      <c r="AX300" s="15">
        <v>2</v>
      </c>
      <c r="AY300" s="15"/>
      <c r="AZ300" s="15" t="s">
        <v>328</v>
      </c>
      <c r="BA300" s="15"/>
      <c r="BB300" s="15"/>
      <c r="BC300" s="15"/>
      <c r="BD300" s="15"/>
      <c r="BE300" s="15" t="s">
        <v>328</v>
      </c>
      <c r="BF300" s="15"/>
      <c r="BG300" s="15"/>
      <c r="BH300" s="15"/>
      <c r="BI300" s="15" t="s">
        <v>328</v>
      </c>
      <c r="BJ300" s="15"/>
      <c r="BK300" s="15"/>
      <c r="BL300" s="15" t="s">
        <v>328</v>
      </c>
      <c r="BM300" s="15"/>
      <c r="BN300" s="15" t="s">
        <v>328</v>
      </c>
      <c r="BO300" s="15"/>
      <c r="BP300" s="15"/>
      <c r="BQ300" s="15" t="s">
        <v>328</v>
      </c>
      <c r="BR300" s="15"/>
      <c r="BS300" s="15"/>
      <c r="BT300" s="15"/>
      <c r="BU300" s="15"/>
      <c r="BV300" s="15"/>
      <c r="BW300" s="15"/>
      <c r="BX300" s="15"/>
      <c r="BY300" s="15"/>
      <c r="BZ300" s="15"/>
      <c r="CA300" s="15" t="s">
        <v>328</v>
      </c>
      <c r="CB300" s="15"/>
      <c r="CC300" s="15"/>
      <c r="CD300" s="15"/>
      <c r="CE300" s="15"/>
      <c r="CF300" s="15"/>
      <c r="CG300" s="15"/>
      <c r="CH300" s="15"/>
      <c r="CI300" s="15"/>
      <c r="CJ300" s="15" t="s">
        <v>328</v>
      </c>
      <c r="CK300" s="15"/>
      <c r="CL300" s="15">
        <v>2</v>
      </c>
      <c r="CM300" s="15">
        <v>3</v>
      </c>
      <c r="CN300" s="15">
        <v>5</v>
      </c>
      <c r="CO300" s="15">
        <v>6</v>
      </c>
      <c r="CP300" s="15">
        <v>4</v>
      </c>
      <c r="CQ300" s="15">
        <v>1</v>
      </c>
      <c r="CR300" s="15"/>
      <c r="CS300" s="15"/>
      <c r="CT300" s="15"/>
      <c r="CU300" s="15"/>
      <c r="CV300" s="15"/>
      <c r="CW300" s="15"/>
      <c r="CX300" s="15" t="s">
        <v>332</v>
      </c>
      <c r="CY300" s="15"/>
      <c r="CZ300" s="15"/>
      <c r="DA300" s="15">
        <v>1</v>
      </c>
      <c r="DB300" s="15">
        <v>2</v>
      </c>
      <c r="DC300" s="15"/>
      <c r="DD300" s="15"/>
      <c r="DE300" s="15">
        <v>4</v>
      </c>
      <c r="DF300" s="15">
        <v>3</v>
      </c>
      <c r="DG300" s="15"/>
      <c r="DH300" s="15" t="s">
        <v>328</v>
      </c>
      <c r="DI300" s="15"/>
      <c r="DJ300" s="15"/>
      <c r="DK300" s="15"/>
      <c r="DL300" s="15"/>
      <c r="DM300" s="15" t="s">
        <v>1398</v>
      </c>
      <c r="DN300" s="15"/>
      <c r="DO300" s="15" t="s">
        <v>328</v>
      </c>
      <c r="DP300" s="15"/>
      <c r="DQ300" s="15"/>
      <c r="DR300" s="15"/>
      <c r="DS300" s="15"/>
      <c r="DT300" s="15"/>
      <c r="DU300" s="15" t="s">
        <v>492</v>
      </c>
      <c r="DV300" s="15"/>
      <c r="DW300" s="15" t="s">
        <v>328</v>
      </c>
      <c r="DX300" s="15"/>
      <c r="DY300" s="15"/>
      <c r="DZ300" s="15"/>
      <c r="EA300" s="15"/>
      <c r="EB300" s="15"/>
      <c r="EC300" s="102"/>
      <c r="ED300" s="99"/>
    </row>
    <row r="301" spans="1:136" x14ac:dyDescent="0.25">
      <c r="A301" s="51" t="s">
        <v>1378</v>
      </c>
      <c r="B301" s="61" t="s">
        <v>1373</v>
      </c>
      <c r="C301" s="15" t="s">
        <v>328</v>
      </c>
      <c r="D301" s="15"/>
      <c r="E301" s="15">
        <v>65</v>
      </c>
      <c r="F301" s="15" t="s">
        <v>329</v>
      </c>
      <c r="G301" s="15" t="s">
        <v>353</v>
      </c>
      <c r="H301" s="15" t="s">
        <v>1439</v>
      </c>
      <c r="I301" s="15" t="s">
        <v>1440</v>
      </c>
      <c r="J301" s="15" t="s">
        <v>1281</v>
      </c>
      <c r="K301" s="15">
        <v>34</v>
      </c>
      <c r="L301" s="15">
        <v>3</v>
      </c>
      <c r="M301" s="15"/>
      <c r="N301" s="15"/>
      <c r="O301" s="15"/>
      <c r="P301" s="15"/>
      <c r="Q301" s="15"/>
      <c r="R301" s="15"/>
      <c r="S301" s="15">
        <v>2</v>
      </c>
      <c r="T301" s="15"/>
      <c r="U301" s="15"/>
      <c r="V301" s="15"/>
      <c r="W301" s="15"/>
      <c r="X301" s="15"/>
      <c r="Y301" s="15"/>
      <c r="Z301" s="15"/>
      <c r="AA301" s="15"/>
      <c r="AB301" s="15"/>
      <c r="AC301" s="15" t="s">
        <v>328</v>
      </c>
      <c r="AD301" s="15"/>
      <c r="AE301" s="15"/>
      <c r="AF301" s="15"/>
      <c r="AG301" s="15"/>
      <c r="AH301" s="15"/>
      <c r="AI301" s="15"/>
      <c r="AJ301" s="15"/>
      <c r="AK301" s="15" t="s">
        <v>328</v>
      </c>
      <c r="AL301" s="15"/>
      <c r="AM301" s="15"/>
      <c r="AN301" s="15"/>
      <c r="AO301" s="15" t="s">
        <v>328</v>
      </c>
      <c r="AP301" s="15">
        <v>10</v>
      </c>
      <c r="AQ301" s="15">
        <v>3</v>
      </c>
      <c r="AR301" s="15"/>
      <c r="AS301" s="15"/>
      <c r="AT301" s="15"/>
      <c r="AU301" s="15" t="s">
        <v>328</v>
      </c>
      <c r="AV301" s="15">
        <v>2</v>
      </c>
      <c r="AW301" s="15">
        <v>3</v>
      </c>
      <c r="AX301" s="15">
        <v>1</v>
      </c>
      <c r="AY301" s="15"/>
      <c r="AZ301" s="15"/>
      <c r="BA301" s="15" t="s">
        <v>328</v>
      </c>
      <c r="BB301" s="15" t="s">
        <v>328</v>
      </c>
      <c r="BC301" s="15" t="s">
        <v>328</v>
      </c>
      <c r="BD301" s="15"/>
      <c r="BE301" s="15" t="s">
        <v>328</v>
      </c>
      <c r="BF301" s="15"/>
      <c r="BG301" s="15"/>
      <c r="BH301" s="15"/>
      <c r="BI301" s="15" t="s">
        <v>328</v>
      </c>
      <c r="BJ301" s="15"/>
      <c r="BK301" s="15"/>
      <c r="BL301" s="15"/>
      <c r="BM301" s="15" t="s">
        <v>328</v>
      </c>
      <c r="BN301" s="15"/>
      <c r="BO301" s="15" t="s">
        <v>328</v>
      </c>
      <c r="BP301" s="15"/>
      <c r="BQ301" s="15"/>
      <c r="BR301" s="15" t="s">
        <v>328</v>
      </c>
      <c r="BS301" s="15"/>
      <c r="BT301" s="15"/>
      <c r="BU301" s="15"/>
      <c r="BV301" s="15"/>
      <c r="BW301" s="15"/>
      <c r="BX301" s="15" t="s">
        <v>328</v>
      </c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 t="s">
        <v>328</v>
      </c>
      <c r="CL301" s="15">
        <v>1</v>
      </c>
      <c r="CM301" s="15">
        <v>3</v>
      </c>
      <c r="CN301" s="15">
        <v>6</v>
      </c>
      <c r="CO301" s="15">
        <v>4</v>
      </c>
      <c r="CP301" s="15">
        <v>5</v>
      </c>
      <c r="CQ301" s="15">
        <v>2</v>
      </c>
      <c r="CR301" s="15" t="s">
        <v>328</v>
      </c>
      <c r="CS301" s="15"/>
      <c r="CT301" s="15"/>
      <c r="CU301" s="15"/>
      <c r="CV301" s="15"/>
      <c r="CW301" s="15"/>
      <c r="CX301" s="15"/>
      <c r="CY301" s="15"/>
      <c r="CZ301" s="15"/>
      <c r="DA301" s="15">
        <v>1</v>
      </c>
      <c r="DB301" s="15"/>
      <c r="DC301" s="15"/>
      <c r="DD301" s="15"/>
      <c r="DE301" s="15">
        <v>2</v>
      </c>
      <c r="DF301" s="15"/>
      <c r="DG301" s="15"/>
      <c r="DH301" s="15" t="s">
        <v>328</v>
      </c>
      <c r="DI301" s="15"/>
      <c r="DJ301" s="15" t="s">
        <v>328</v>
      </c>
      <c r="DK301" s="15"/>
      <c r="DL301" s="15"/>
      <c r="DM301" s="15"/>
      <c r="DN301" s="15"/>
      <c r="DO301" s="15" t="s">
        <v>328</v>
      </c>
      <c r="DP301" s="15"/>
      <c r="DQ301" s="15"/>
      <c r="DR301" s="15"/>
      <c r="DS301" s="15"/>
      <c r="DT301" s="15"/>
      <c r="DU301" s="15"/>
      <c r="DV301" s="15"/>
      <c r="DW301" s="15" t="s">
        <v>328</v>
      </c>
      <c r="DX301" s="15"/>
      <c r="DY301" s="15"/>
      <c r="DZ301" s="15"/>
      <c r="EA301" s="15"/>
      <c r="EB301" s="15"/>
      <c r="EC301" s="102"/>
      <c r="ED301" s="99"/>
    </row>
    <row r="302" spans="1:136" x14ac:dyDescent="0.25">
      <c r="A302" s="51" t="s">
        <v>1378</v>
      </c>
      <c r="B302" s="61" t="s">
        <v>1374</v>
      </c>
      <c r="C302" s="15" t="s">
        <v>328</v>
      </c>
      <c r="D302" s="15"/>
      <c r="E302" s="15">
        <v>33</v>
      </c>
      <c r="F302" s="15" t="s">
        <v>329</v>
      </c>
      <c r="G302" s="15" t="s">
        <v>330</v>
      </c>
      <c r="H302" s="15" t="s">
        <v>1394</v>
      </c>
      <c r="I302" s="15" t="s">
        <v>1395</v>
      </c>
      <c r="J302" s="15" t="s">
        <v>1281</v>
      </c>
      <c r="K302" s="15">
        <v>16</v>
      </c>
      <c r="L302" s="15">
        <v>1</v>
      </c>
      <c r="M302" s="15"/>
      <c r="N302" s="15"/>
      <c r="O302" s="15">
        <v>2</v>
      </c>
      <c r="P302" s="15"/>
      <c r="Q302" s="15"/>
      <c r="R302" s="15"/>
      <c r="S302" s="15"/>
      <c r="T302" s="15"/>
      <c r="U302" s="15">
        <v>2</v>
      </c>
      <c r="V302" s="15"/>
      <c r="W302" s="15"/>
      <c r="X302" s="15"/>
      <c r="Y302" s="15"/>
      <c r="Z302" s="15"/>
      <c r="AA302" s="15"/>
      <c r="AB302" s="15"/>
      <c r="AC302" s="15" t="s">
        <v>328</v>
      </c>
      <c r="AD302" s="15"/>
      <c r="AE302" s="15"/>
      <c r="AF302" s="15"/>
      <c r="AG302" s="15"/>
      <c r="AH302" s="15"/>
      <c r="AI302" s="15"/>
      <c r="AJ302" s="15"/>
      <c r="AK302" s="15" t="s">
        <v>328</v>
      </c>
      <c r="AL302" s="15"/>
      <c r="AM302" s="15"/>
      <c r="AN302" s="15"/>
      <c r="AO302" s="15" t="s">
        <v>328</v>
      </c>
      <c r="AP302" s="15">
        <v>10</v>
      </c>
      <c r="AQ302" s="15">
        <v>5</v>
      </c>
      <c r="AR302" s="15"/>
      <c r="AS302" s="15"/>
      <c r="AT302" s="15"/>
      <c r="AU302" s="15" t="s">
        <v>328</v>
      </c>
      <c r="AV302" s="15">
        <v>3</v>
      </c>
      <c r="AW302" s="15">
        <v>1</v>
      </c>
      <c r="AX302" s="15">
        <v>2</v>
      </c>
      <c r="AY302" s="15"/>
      <c r="AZ302" s="15"/>
      <c r="BA302" s="15" t="s">
        <v>328</v>
      </c>
      <c r="BB302" s="15"/>
      <c r="BC302" s="15"/>
      <c r="BD302" s="15" t="s">
        <v>328</v>
      </c>
      <c r="BE302" s="15"/>
      <c r="BF302" s="15"/>
      <c r="BG302" s="15"/>
      <c r="BH302" s="15"/>
      <c r="BI302" s="15"/>
      <c r="BJ302" s="15"/>
      <c r="BK302" s="15"/>
      <c r="BL302" s="15"/>
      <c r="BM302" s="15" t="s">
        <v>328</v>
      </c>
      <c r="BN302" s="15"/>
      <c r="BO302" s="15" t="s">
        <v>328</v>
      </c>
      <c r="BP302" s="15" t="s">
        <v>328</v>
      </c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 t="s">
        <v>332</v>
      </c>
      <c r="CG302" s="15"/>
      <c r="CH302" s="15"/>
      <c r="CI302" s="15"/>
      <c r="CJ302" s="15"/>
      <c r="CK302" s="15" t="s">
        <v>328</v>
      </c>
      <c r="CL302" s="15">
        <v>2</v>
      </c>
      <c r="CM302" s="15">
        <v>4</v>
      </c>
      <c r="CN302" s="15">
        <v>3</v>
      </c>
      <c r="CO302" s="15">
        <v>5</v>
      </c>
      <c r="CP302" s="15">
        <v>6</v>
      </c>
      <c r="CQ302" s="15">
        <v>1</v>
      </c>
      <c r="CR302" s="15"/>
      <c r="CS302" s="15"/>
      <c r="CT302" s="15"/>
      <c r="CU302" s="15"/>
      <c r="CV302" s="15"/>
      <c r="CW302" s="15"/>
      <c r="CX302" s="15" t="s">
        <v>332</v>
      </c>
      <c r="CY302" s="15" t="s">
        <v>328</v>
      </c>
      <c r="CZ302" s="15"/>
      <c r="DA302" s="15"/>
      <c r="DB302" s="15"/>
      <c r="DC302" s="15"/>
      <c r="DD302" s="15"/>
      <c r="DE302" s="15"/>
      <c r="DF302" s="15"/>
      <c r="DG302" s="15"/>
      <c r="DH302" s="15"/>
      <c r="DI302" s="15" t="s">
        <v>328</v>
      </c>
      <c r="DJ302" s="15" t="s">
        <v>328</v>
      </c>
      <c r="DK302" s="15" t="s">
        <v>1399</v>
      </c>
      <c r="DL302" s="15"/>
      <c r="DM302" s="15"/>
      <c r="DN302" s="15"/>
      <c r="DO302" s="15" t="s">
        <v>328</v>
      </c>
      <c r="DP302" s="15"/>
      <c r="DQ302" s="15"/>
      <c r="DR302" s="15"/>
      <c r="DS302" s="15"/>
      <c r="DT302" s="15"/>
      <c r="DU302" s="15"/>
      <c r="DV302" s="15"/>
      <c r="DW302" s="15" t="s">
        <v>328</v>
      </c>
      <c r="DX302" s="15"/>
      <c r="DY302" s="15"/>
      <c r="DZ302" s="15"/>
      <c r="EA302" s="15"/>
      <c r="EB302" s="15"/>
      <c r="EC302" s="102"/>
      <c r="ED302" s="99"/>
    </row>
    <row r="303" spans="1:136" x14ac:dyDescent="0.25">
      <c r="A303" s="51" t="s">
        <v>1378</v>
      </c>
      <c r="B303" s="61" t="s">
        <v>1375</v>
      </c>
      <c r="C303" s="15" t="s">
        <v>328</v>
      </c>
      <c r="D303" s="15"/>
      <c r="E303" s="15">
        <v>43</v>
      </c>
      <c r="F303" s="15" t="s">
        <v>329</v>
      </c>
      <c r="G303" s="15" t="s">
        <v>353</v>
      </c>
      <c r="H303" s="15" t="s">
        <v>1402</v>
      </c>
      <c r="I303" s="15" t="s">
        <v>1403</v>
      </c>
      <c r="J303" s="15" t="s">
        <v>1281</v>
      </c>
      <c r="K303" s="15">
        <v>20</v>
      </c>
      <c r="L303" s="15">
        <v>3</v>
      </c>
      <c r="M303" s="15">
        <v>2</v>
      </c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>
        <v>2</v>
      </c>
      <c r="Y303" s="15"/>
      <c r="Z303" s="15"/>
      <c r="AA303" s="15" t="s">
        <v>328</v>
      </c>
      <c r="AB303" s="15"/>
      <c r="AC303" s="15"/>
      <c r="AD303" s="15" t="s">
        <v>328</v>
      </c>
      <c r="AE303" s="15" t="s">
        <v>328</v>
      </c>
      <c r="AF303" s="15"/>
      <c r="AG303" s="15"/>
      <c r="AH303" s="15"/>
      <c r="AI303" s="15"/>
      <c r="AJ303" s="15"/>
      <c r="AK303" s="15" t="s">
        <v>328</v>
      </c>
      <c r="AL303" s="15"/>
      <c r="AM303" s="15"/>
      <c r="AN303" s="15"/>
      <c r="AO303" s="15" t="s">
        <v>328</v>
      </c>
      <c r="AP303" s="15">
        <v>8</v>
      </c>
      <c r="AQ303" s="15">
        <v>3</v>
      </c>
      <c r="AR303" s="15"/>
      <c r="AS303" s="15" t="s">
        <v>328</v>
      </c>
      <c r="AT303" s="15"/>
      <c r="AU303" s="15"/>
      <c r="AV303" s="15">
        <v>2</v>
      </c>
      <c r="AW303" s="15">
        <v>3</v>
      </c>
      <c r="AX303" s="15">
        <v>4</v>
      </c>
      <c r="AY303" s="15" t="s">
        <v>346</v>
      </c>
      <c r="AZ303" s="15" t="s">
        <v>328</v>
      </c>
      <c r="BA303" s="15"/>
      <c r="BB303" s="15" t="s">
        <v>328</v>
      </c>
      <c r="BC303" s="15"/>
      <c r="BD303" s="15"/>
      <c r="BE303" s="15" t="s">
        <v>328</v>
      </c>
      <c r="BF303" s="15"/>
      <c r="BG303" s="15"/>
      <c r="BH303" s="15"/>
      <c r="BI303" s="15" t="s">
        <v>328</v>
      </c>
      <c r="BJ303" s="15"/>
      <c r="BK303" s="15"/>
      <c r="BL303" s="15"/>
      <c r="BM303" s="15" t="s">
        <v>328</v>
      </c>
      <c r="BN303" s="15"/>
      <c r="BO303" s="15" t="s">
        <v>328</v>
      </c>
      <c r="BP303" s="15"/>
      <c r="BQ303" s="15" t="s">
        <v>328</v>
      </c>
      <c r="BR303" s="15"/>
      <c r="BS303" s="15"/>
      <c r="BT303" s="15"/>
      <c r="BU303" s="15"/>
      <c r="BV303" s="15"/>
      <c r="BW303" s="15"/>
      <c r="BX303" s="15"/>
      <c r="BY303" s="15"/>
      <c r="BZ303" s="15" t="s">
        <v>328</v>
      </c>
      <c r="CA303" s="15" t="s">
        <v>328</v>
      </c>
      <c r="CB303" s="15"/>
      <c r="CC303" s="15"/>
      <c r="CD303" s="15"/>
      <c r="CE303" s="15"/>
      <c r="CF303" s="15"/>
      <c r="CG303" s="15"/>
      <c r="CH303" s="15"/>
      <c r="CI303" s="15"/>
      <c r="CJ303" s="15" t="s">
        <v>328</v>
      </c>
      <c r="CK303" s="15"/>
      <c r="CL303" s="15">
        <v>2</v>
      </c>
      <c r="CM303" s="15">
        <v>3</v>
      </c>
      <c r="CN303" s="15">
        <v>1</v>
      </c>
      <c r="CO303" s="15">
        <v>5</v>
      </c>
      <c r="CP303" s="15">
        <v>4</v>
      </c>
      <c r="CQ303" s="15">
        <v>6</v>
      </c>
      <c r="CR303" s="15"/>
      <c r="CS303" s="15"/>
      <c r="CT303" s="15"/>
      <c r="CU303" s="15"/>
      <c r="CV303" s="15"/>
      <c r="CW303" s="15"/>
      <c r="CX303" s="15" t="s">
        <v>332</v>
      </c>
      <c r="CY303" s="15" t="s">
        <v>328</v>
      </c>
      <c r="CZ303" s="15"/>
      <c r="DA303" s="15"/>
      <c r="DB303" s="15"/>
      <c r="DC303" s="15"/>
      <c r="DD303" s="15"/>
      <c r="DE303" s="15"/>
      <c r="DF303" s="15"/>
      <c r="DG303" s="15"/>
      <c r="DH303" s="15" t="s">
        <v>328</v>
      </c>
      <c r="DI303" s="15"/>
      <c r="DJ303" s="15"/>
      <c r="DK303" s="15"/>
      <c r="DL303" s="15"/>
      <c r="DM303" s="15"/>
      <c r="DN303" s="15"/>
      <c r="DO303" s="15" t="s">
        <v>328</v>
      </c>
      <c r="DP303" s="15"/>
      <c r="DQ303" s="15"/>
      <c r="DR303" s="15"/>
      <c r="DS303" s="15"/>
      <c r="DT303" s="15"/>
      <c r="DU303" s="15"/>
      <c r="DV303" s="15"/>
      <c r="DW303" s="15" t="s">
        <v>328</v>
      </c>
      <c r="DX303" s="15"/>
      <c r="DY303" s="15"/>
      <c r="DZ303" s="15"/>
      <c r="EA303" s="15"/>
      <c r="EB303" s="15"/>
      <c r="EC303" s="102"/>
      <c r="ED303" s="99"/>
    </row>
    <row r="304" spans="1:136" x14ac:dyDescent="0.25">
      <c r="A304" s="51" t="s">
        <v>1378</v>
      </c>
      <c r="B304" s="61" t="s">
        <v>1425</v>
      </c>
      <c r="C304" s="15" t="s">
        <v>328</v>
      </c>
      <c r="D304" s="15"/>
      <c r="E304" s="15">
        <v>57</v>
      </c>
      <c r="F304" s="15" t="s">
        <v>329</v>
      </c>
      <c r="G304" s="15" t="s">
        <v>353</v>
      </c>
      <c r="H304" s="18" t="s">
        <v>1406</v>
      </c>
      <c r="I304" s="18" t="s">
        <v>1405</v>
      </c>
      <c r="J304" s="15" t="s">
        <v>1281</v>
      </c>
      <c r="K304" s="15">
        <v>35</v>
      </c>
      <c r="L304" s="15">
        <v>1</v>
      </c>
      <c r="M304" s="15"/>
      <c r="N304" s="15"/>
      <c r="O304" s="15"/>
      <c r="P304" s="15"/>
      <c r="Q304" s="15">
        <v>4</v>
      </c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 t="s">
        <v>328</v>
      </c>
      <c r="AC304" s="15"/>
      <c r="AD304" s="15"/>
      <c r="AE304" s="15"/>
      <c r="AF304" s="15"/>
      <c r="AG304" s="15"/>
      <c r="AH304" s="15" t="s">
        <v>328</v>
      </c>
      <c r="AI304" s="15"/>
      <c r="AJ304" s="15" t="s">
        <v>328</v>
      </c>
      <c r="AK304" s="15" t="s">
        <v>328</v>
      </c>
      <c r="AL304" s="15"/>
      <c r="AM304" s="15" t="s">
        <v>328</v>
      </c>
      <c r="AN304" s="15"/>
      <c r="AO304" s="15"/>
      <c r="AP304" s="15">
        <v>5</v>
      </c>
      <c r="AQ304" s="15">
        <v>1</v>
      </c>
      <c r="AR304" s="15"/>
      <c r="AS304" s="15"/>
      <c r="AT304" s="15" t="s">
        <v>328</v>
      </c>
      <c r="AU304" s="15"/>
      <c r="AV304" s="15">
        <v>1</v>
      </c>
      <c r="AW304" s="15">
        <v>2</v>
      </c>
      <c r="AX304" s="15">
        <v>3</v>
      </c>
      <c r="AY304" s="15"/>
      <c r="AZ304" s="15" t="s">
        <v>328</v>
      </c>
      <c r="BA304" s="15"/>
      <c r="BB304" s="15"/>
      <c r="BC304" s="15"/>
      <c r="BD304" s="15"/>
      <c r="BE304" s="15"/>
      <c r="BF304" s="15"/>
      <c r="BG304" s="15"/>
      <c r="BH304" s="15" t="s">
        <v>328</v>
      </c>
      <c r="BI304" s="15"/>
      <c r="BJ304" s="15"/>
      <c r="BK304" s="15"/>
      <c r="BL304" s="15"/>
      <c r="BM304" s="15" t="s">
        <v>328</v>
      </c>
      <c r="BN304" s="15" t="s">
        <v>328</v>
      </c>
      <c r="BO304" s="15"/>
      <c r="BP304" s="15" t="s">
        <v>328</v>
      </c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 t="s">
        <v>328</v>
      </c>
      <c r="CE304" s="15"/>
      <c r="CF304" s="15"/>
      <c r="CG304" s="15"/>
      <c r="CH304" s="15" t="s">
        <v>328</v>
      </c>
      <c r="CI304" s="15"/>
      <c r="CJ304" s="15"/>
      <c r="CK304" s="15"/>
      <c r="CL304" s="15">
        <v>5</v>
      </c>
      <c r="CM304" s="15">
        <v>3</v>
      </c>
      <c r="CN304" s="15">
        <v>1</v>
      </c>
      <c r="CO304" s="15">
        <v>4</v>
      </c>
      <c r="CP304" s="15">
        <v>2</v>
      </c>
      <c r="CQ304" s="15">
        <v>6</v>
      </c>
      <c r="CR304" s="15" t="s">
        <v>328</v>
      </c>
      <c r="CS304" s="15" t="s">
        <v>328</v>
      </c>
      <c r="CT304" s="15"/>
      <c r="CU304" s="15"/>
      <c r="CV304" s="15" t="s">
        <v>328</v>
      </c>
      <c r="CW304" s="15"/>
      <c r="CX304" s="15"/>
      <c r="CY304" s="15"/>
      <c r="CZ304" s="15"/>
      <c r="DA304" s="15">
        <v>1</v>
      </c>
      <c r="DB304" s="15">
        <v>5</v>
      </c>
      <c r="DC304" s="15">
        <v>2</v>
      </c>
      <c r="DD304" s="15">
        <v>3</v>
      </c>
      <c r="DE304" s="15">
        <v>6</v>
      </c>
      <c r="DF304" s="15">
        <v>4</v>
      </c>
      <c r="DG304" s="15"/>
      <c r="DH304" s="15" t="s">
        <v>328</v>
      </c>
      <c r="DI304" s="15"/>
      <c r="DJ304" s="15"/>
      <c r="DK304" s="15"/>
      <c r="DL304" s="15"/>
      <c r="DM304" s="15"/>
      <c r="DN304" s="14"/>
      <c r="DO304" s="15" t="s">
        <v>328</v>
      </c>
      <c r="DP304" s="15"/>
      <c r="DQ304" s="15"/>
      <c r="DR304" s="15"/>
      <c r="DS304" s="15"/>
      <c r="DT304" s="15"/>
      <c r="DU304" s="15"/>
      <c r="DV304" s="15" t="s">
        <v>450</v>
      </c>
      <c r="DW304" s="15" t="s">
        <v>328</v>
      </c>
      <c r="DX304" s="15"/>
      <c r="DY304" s="15"/>
      <c r="DZ304" s="15"/>
      <c r="EA304" s="15"/>
      <c r="EB304" s="15"/>
      <c r="EC304" s="102"/>
      <c r="ED304" s="99"/>
    </row>
    <row r="305" spans="1:134" x14ac:dyDescent="0.25">
      <c r="A305" s="51" t="s">
        <v>1378</v>
      </c>
      <c r="B305" s="61" t="s">
        <v>1426</v>
      </c>
      <c r="C305" s="15" t="s">
        <v>328</v>
      </c>
      <c r="D305" s="15"/>
      <c r="E305" s="15">
        <v>55</v>
      </c>
      <c r="F305" s="15" t="s">
        <v>329</v>
      </c>
      <c r="G305" s="15" t="s">
        <v>357</v>
      </c>
      <c r="H305" s="18" t="s">
        <v>1408</v>
      </c>
      <c r="I305" s="18" t="s">
        <v>1407</v>
      </c>
      <c r="J305" s="15" t="s">
        <v>1281</v>
      </c>
      <c r="K305" s="15">
        <v>25</v>
      </c>
      <c r="L305" s="15">
        <v>3</v>
      </c>
      <c r="M305" s="15"/>
      <c r="N305" s="15"/>
      <c r="O305" s="15"/>
      <c r="P305" s="15">
        <v>3</v>
      </c>
      <c r="Q305" s="15"/>
      <c r="R305" s="15"/>
      <c r="S305" s="15"/>
      <c r="T305" s="15"/>
      <c r="U305" s="15"/>
      <c r="V305" s="15"/>
      <c r="W305" s="15"/>
      <c r="X305" s="15"/>
      <c r="Y305" s="15"/>
      <c r="Z305" s="15" t="s">
        <v>328</v>
      </c>
      <c r="AA305" s="15"/>
      <c r="AB305" s="15"/>
      <c r="AC305" s="15"/>
      <c r="AD305" s="15"/>
      <c r="AE305" s="15"/>
      <c r="AF305" s="15"/>
      <c r="AG305" s="15" t="s">
        <v>328</v>
      </c>
      <c r="AH305" s="15"/>
      <c r="AI305" s="15"/>
      <c r="AJ305" s="15" t="s">
        <v>328</v>
      </c>
      <c r="AK305" s="15"/>
      <c r="AL305" s="15"/>
      <c r="AM305" s="14" t="s">
        <v>328</v>
      </c>
      <c r="AN305" s="15" t="s">
        <v>328</v>
      </c>
      <c r="AO305" s="15"/>
      <c r="AP305" s="15">
        <v>10</v>
      </c>
      <c r="AQ305" s="15">
        <v>8</v>
      </c>
      <c r="AR305" s="15"/>
      <c r="AS305" s="15" t="s">
        <v>328</v>
      </c>
      <c r="AT305" s="15"/>
      <c r="AU305" s="15"/>
      <c r="AV305" s="15">
        <v>4</v>
      </c>
      <c r="AW305" s="15">
        <v>3</v>
      </c>
      <c r="AX305" s="15">
        <v>2</v>
      </c>
      <c r="AY305" s="15" t="s">
        <v>346</v>
      </c>
      <c r="AZ305" s="15"/>
      <c r="BA305" s="15" t="s">
        <v>328</v>
      </c>
      <c r="BB305" s="15"/>
      <c r="BC305" s="15" t="s">
        <v>328</v>
      </c>
      <c r="BD305" s="15"/>
      <c r="BE305" s="15"/>
      <c r="BF305" s="15"/>
      <c r="BG305" s="15"/>
      <c r="BH305" s="15"/>
      <c r="BI305" s="15" t="s">
        <v>328</v>
      </c>
      <c r="BJ305" s="15"/>
      <c r="BK305" s="15"/>
      <c r="BL305" s="15" t="s">
        <v>328</v>
      </c>
      <c r="BM305" s="15"/>
      <c r="BN305" s="15" t="s">
        <v>328</v>
      </c>
      <c r="BO305" s="15"/>
      <c r="BP305" s="15"/>
      <c r="BQ305" s="15"/>
      <c r="BR305" s="15"/>
      <c r="BS305" s="15"/>
      <c r="BT305" s="15" t="s">
        <v>328</v>
      </c>
      <c r="BU305" s="15" t="s">
        <v>328</v>
      </c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 t="s">
        <v>332</v>
      </c>
      <c r="CG305" s="15" t="s">
        <v>328</v>
      </c>
      <c r="CH305" s="15"/>
      <c r="CI305" s="15"/>
      <c r="CJ305" s="15"/>
      <c r="CK305" s="15" t="s">
        <v>328</v>
      </c>
      <c r="CL305" s="15">
        <v>4</v>
      </c>
      <c r="CM305" s="15">
        <v>1</v>
      </c>
      <c r="CN305" s="15">
        <v>3</v>
      </c>
      <c r="CO305" s="15">
        <v>5</v>
      </c>
      <c r="CP305" s="15">
        <v>6</v>
      </c>
      <c r="CQ305" s="15">
        <v>2</v>
      </c>
      <c r="CR305" s="15" t="s">
        <v>328</v>
      </c>
      <c r="CS305" s="15" t="s">
        <v>328</v>
      </c>
      <c r="CT305" s="15"/>
      <c r="CU305" s="15"/>
      <c r="CV305" s="15" t="s">
        <v>328</v>
      </c>
      <c r="CW305" s="15" t="s">
        <v>328</v>
      </c>
      <c r="CX305" s="15"/>
      <c r="CY305" s="15" t="s">
        <v>328</v>
      </c>
      <c r="CZ305" s="15" t="s">
        <v>404</v>
      </c>
      <c r="DA305" s="15"/>
      <c r="DB305" s="15"/>
      <c r="DC305" s="15"/>
      <c r="DD305" s="15"/>
      <c r="DE305" s="15"/>
      <c r="DF305" s="15"/>
      <c r="DG305" s="15"/>
      <c r="DH305" s="15"/>
      <c r="DI305" s="15" t="s">
        <v>328</v>
      </c>
      <c r="DJ305" s="15" t="s">
        <v>328</v>
      </c>
      <c r="DK305" s="14" t="s">
        <v>397</v>
      </c>
      <c r="DL305" s="15"/>
      <c r="DM305" s="14" t="s">
        <v>432</v>
      </c>
      <c r="DN305" s="15" t="s">
        <v>411</v>
      </c>
      <c r="DO305" s="15"/>
      <c r="DP305" s="15" t="s">
        <v>328</v>
      </c>
      <c r="DQ305" s="15" t="s">
        <v>328</v>
      </c>
      <c r="DR305" s="15" t="s">
        <v>437</v>
      </c>
      <c r="DS305" s="15"/>
      <c r="DT305" s="15"/>
      <c r="DU305" s="15" t="s">
        <v>410</v>
      </c>
      <c r="DV305" s="15" t="s">
        <v>411</v>
      </c>
      <c r="DW305" s="15"/>
      <c r="DX305" s="15" t="s">
        <v>328</v>
      </c>
      <c r="DY305" s="15" t="s">
        <v>328</v>
      </c>
      <c r="DZ305" s="15" t="s">
        <v>397</v>
      </c>
      <c r="EA305" s="15"/>
      <c r="EB305" s="15" t="s">
        <v>432</v>
      </c>
      <c r="EC305" s="102" t="s">
        <v>497</v>
      </c>
      <c r="ED305" s="99"/>
    </row>
    <row r="306" spans="1:134" x14ac:dyDescent="0.25">
      <c r="A306" s="51" t="s">
        <v>1378</v>
      </c>
      <c r="B306" s="61" t="s">
        <v>1427</v>
      </c>
      <c r="C306" s="15" t="s">
        <v>328</v>
      </c>
      <c r="D306" s="15"/>
      <c r="E306" s="15">
        <v>50</v>
      </c>
      <c r="F306" s="15" t="s">
        <v>329</v>
      </c>
      <c r="G306" s="15" t="s">
        <v>330</v>
      </c>
      <c r="H306" s="18" t="s">
        <v>1410</v>
      </c>
      <c r="I306" s="18" t="s">
        <v>1411</v>
      </c>
      <c r="J306" s="15" t="s">
        <v>1281</v>
      </c>
      <c r="K306" s="15">
        <v>30</v>
      </c>
      <c r="L306" s="15">
        <v>2</v>
      </c>
      <c r="M306" s="15">
        <v>3</v>
      </c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 t="s">
        <v>328</v>
      </c>
      <c r="AA306" s="15"/>
      <c r="AB306" s="15"/>
      <c r="AC306" s="15"/>
      <c r="AD306" s="15"/>
      <c r="AE306" s="15"/>
      <c r="AF306" s="15"/>
      <c r="AG306" s="15"/>
      <c r="AH306" s="15"/>
      <c r="AI306" s="15"/>
      <c r="AJ306" s="15" t="s">
        <v>328</v>
      </c>
      <c r="AK306" s="15"/>
      <c r="AL306" s="15"/>
      <c r="AM306" s="15" t="s">
        <v>328</v>
      </c>
      <c r="AN306" s="15"/>
      <c r="AO306" s="15" t="s">
        <v>328</v>
      </c>
      <c r="AP306" s="15">
        <v>10</v>
      </c>
      <c r="AQ306" s="15">
        <v>2</v>
      </c>
      <c r="AR306" s="15"/>
      <c r="AS306" s="15"/>
      <c r="AT306" s="15"/>
      <c r="AU306" s="15" t="s">
        <v>328</v>
      </c>
      <c r="AV306" s="15">
        <v>2</v>
      </c>
      <c r="AW306" s="15">
        <v>3</v>
      </c>
      <c r="AX306" s="15"/>
      <c r="AY306" s="15" t="s">
        <v>346</v>
      </c>
      <c r="AZ306" s="15" t="s">
        <v>328</v>
      </c>
      <c r="BA306" s="15"/>
      <c r="BB306" s="15"/>
      <c r="BC306" s="15"/>
      <c r="BD306" s="15"/>
      <c r="BE306" s="15"/>
      <c r="BF306" s="15"/>
      <c r="BG306" s="15"/>
      <c r="BH306" s="15"/>
      <c r="BI306" s="15"/>
      <c r="BJ306" s="15" t="s">
        <v>328</v>
      </c>
      <c r="BK306" s="15"/>
      <c r="BL306" s="15" t="s">
        <v>328</v>
      </c>
      <c r="BM306" s="15"/>
      <c r="BN306" s="15" t="s">
        <v>328</v>
      </c>
      <c r="BO306" s="15"/>
      <c r="BP306" s="15"/>
      <c r="BQ306" s="15" t="s">
        <v>328</v>
      </c>
      <c r="BR306" s="15" t="s">
        <v>328</v>
      </c>
      <c r="BS306" s="15"/>
      <c r="BT306" s="15"/>
      <c r="BU306" s="15"/>
      <c r="BV306" s="15"/>
      <c r="BW306" s="15" t="s">
        <v>328</v>
      </c>
      <c r="BX306" s="15"/>
      <c r="BY306" s="15"/>
      <c r="BZ306" s="15"/>
      <c r="CA306" s="15"/>
      <c r="CB306" s="15"/>
      <c r="CC306" s="15"/>
      <c r="CD306" s="15" t="s">
        <v>328</v>
      </c>
      <c r="CE306" s="15"/>
      <c r="CF306" s="15"/>
      <c r="CG306" s="15" t="s">
        <v>328</v>
      </c>
      <c r="CH306" s="15"/>
      <c r="CI306" s="15"/>
      <c r="CJ306" s="15"/>
      <c r="CK306" s="15"/>
      <c r="CL306" s="15">
        <v>4</v>
      </c>
      <c r="CM306" s="15">
        <v>5</v>
      </c>
      <c r="CN306" s="15">
        <v>2</v>
      </c>
      <c r="CO306" s="15">
        <v>1</v>
      </c>
      <c r="CP306" s="15">
        <v>3</v>
      </c>
      <c r="CQ306" s="15">
        <v>6</v>
      </c>
      <c r="CR306" s="15" t="s">
        <v>328</v>
      </c>
      <c r="CS306" s="15" t="s">
        <v>328</v>
      </c>
      <c r="CT306" s="15"/>
      <c r="CU306" s="15"/>
      <c r="CV306" s="15" t="s">
        <v>328</v>
      </c>
      <c r="CW306" s="15"/>
      <c r="CX306" s="15"/>
      <c r="CY306" s="15"/>
      <c r="CZ306" s="15"/>
      <c r="DA306" s="15">
        <v>4</v>
      </c>
      <c r="DB306" s="15">
        <v>6</v>
      </c>
      <c r="DC306" s="15">
        <v>5</v>
      </c>
      <c r="DD306" s="15">
        <v>1</v>
      </c>
      <c r="DE306" s="15">
        <v>3</v>
      </c>
      <c r="DF306" s="15">
        <v>2</v>
      </c>
      <c r="DG306" s="15"/>
      <c r="DH306" s="15" t="s">
        <v>328</v>
      </c>
      <c r="DI306" s="15"/>
      <c r="DJ306" s="15"/>
      <c r="DK306" s="15"/>
      <c r="DL306" s="15"/>
      <c r="DM306" s="15"/>
      <c r="DN306" s="15"/>
      <c r="DO306" s="15" t="s">
        <v>328</v>
      </c>
      <c r="DP306" s="15"/>
      <c r="DQ306" s="15"/>
      <c r="DR306" s="15"/>
      <c r="DS306" s="15"/>
      <c r="DT306" s="15"/>
      <c r="DU306" s="15"/>
      <c r="DV306" s="15"/>
      <c r="DW306" s="15" t="s">
        <v>328</v>
      </c>
      <c r="DX306" s="15"/>
      <c r="DY306" s="15"/>
      <c r="DZ306" s="15"/>
      <c r="EA306" s="15"/>
      <c r="EB306" s="15"/>
      <c r="EC306" s="102"/>
      <c r="ED306" s="99"/>
    </row>
    <row r="307" spans="1:134" x14ac:dyDescent="0.25">
      <c r="A307" s="51" t="s">
        <v>1378</v>
      </c>
      <c r="B307" s="61" t="s">
        <v>1428</v>
      </c>
      <c r="C307" s="15" t="s">
        <v>328</v>
      </c>
      <c r="D307" s="15"/>
      <c r="E307" s="15">
        <v>53</v>
      </c>
      <c r="F307" s="15" t="s">
        <v>329</v>
      </c>
      <c r="G307" s="15" t="s">
        <v>399</v>
      </c>
      <c r="H307" s="15" t="s">
        <v>1402</v>
      </c>
      <c r="I307" s="15" t="s">
        <v>1403</v>
      </c>
      <c r="J307" s="15" t="s">
        <v>1281</v>
      </c>
      <c r="K307" s="15">
        <v>22</v>
      </c>
      <c r="L307" s="15">
        <v>5</v>
      </c>
      <c r="M307" s="15">
        <v>2</v>
      </c>
      <c r="N307" s="15"/>
      <c r="O307" s="15">
        <v>1</v>
      </c>
      <c r="P307" s="15">
        <v>2</v>
      </c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 t="s">
        <v>328</v>
      </c>
      <c r="AD307" s="15"/>
      <c r="AE307" s="15"/>
      <c r="AF307" s="15"/>
      <c r="AG307" s="15" t="s">
        <v>328</v>
      </c>
      <c r="AH307" s="15"/>
      <c r="AI307" s="15"/>
      <c r="AJ307" s="14" t="s">
        <v>328</v>
      </c>
      <c r="AK307" s="15"/>
      <c r="AL307" s="15"/>
      <c r="AM307" s="15"/>
      <c r="AN307" s="15" t="s">
        <v>328</v>
      </c>
      <c r="AO307" s="15" t="s">
        <v>328</v>
      </c>
      <c r="AP307" s="15">
        <v>10</v>
      </c>
      <c r="AQ307" s="15">
        <v>6</v>
      </c>
      <c r="AR307" s="15"/>
      <c r="AS307" s="15"/>
      <c r="AT307" s="15"/>
      <c r="AU307" s="15" t="s">
        <v>328</v>
      </c>
      <c r="AV307" s="15">
        <v>2</v>
      </c>
      <c r="AW307" s="15">
        <v>3</v>
      </c>
      <c r="AX307" s="15">
        <v>4</v>
      </c>
      <c r="AY307" s="15" t="s">
        <v>346</v>
      </c>
      <c r="AZ307" s="15"/>
      <c r="BA307" s="15" t="s">
        <v>328</v>
      </c>
      <c r="BB307" s="15" t="s">
        <v>328</v>
      </c>
      <c r="BC307" s="15"/>
      <c r="BD307" s="15"/>
      <c r="BE307" s="15"/>
      <c r="BF307" s="15"/>
      <c r="BG307" s="15"/>
      <c r="BH307" s="15"/>
      <c r="BI307" s="15" t="s">
        <v>328</v>
      </c>
      <c r="BJ307" s="15"/>
      <c r="BK307" s="15"/>
      <c r="BL307" s="15" t="s">
        <v>328</v>
      </c>
      <c r="BM307" s="15"/>
      <c r="BN307" s="15" t="s">
        <v>328</v>
      </c>
      <c r="BO307" s="15"/>
      <c r="BP307" s="15" t="s">
        <v>328</v>
      </c>
      <c r="BQ307" s="15"/>
      <c r="BR307" s="15"/>
      <c r="BS307" s="15"/>
      <c r="BT307" s="15" t="s">
        <v>328</v>
      </c>
      <c r="BU307" s="15"/>
      <c r="BV307" s="15"/>
      <c r="BW307" s="15"/>
      <c r="BX307" s="15"/>
      <c r="BY307" s="15"/>
      <c r="BZ307" s="15" t="s">
        <v>328</v>
      </c>
      <c r="CA307" s="15" t="s">
        <v>328</v>
      </c>
      <c r="CB307" s="15" t="s">
        <v>328</v>
      </c>
      <c r="CC307" s="15"/>
      <c r="CD307" s="15"/>
      <c r="CE307" s="15"/>
      <c r="CF307" s="15"/>
      <c r="CG307" s="15" t="s">
        <v>328</v>
      </c>
      <c r="CH307" s="15"/>
      <c r="CI307" s="15" t="s">
        <v>328</v>
      </c>
      <c r="CJ307" s="15"/>
      <c r="CK307" s="15"/>
      <c r="CL307" s="15">
        <v>4</v>
      </c>
      <c r="CM307" s="15">
        <v>1</v>
      </c>
      <c r="CN307" s="15">
        <v>3</v>
      </c>
      <c r="CO307" s="15">
        <v>6</v>
      </c>
      <c r="CP307" s="15">
        <v>5</v>
      </c>
      <c r="CQ307" s="15">
        <v>2</v>
      </c>
      <c r="CR307" s="15"/>
      <c r="CS307" s="15" t="s">
        <v>328</v>
      </c>
      <c r="CT307" s="15" t="s">
        <v>328</v>
      </c>
      <c r="CU307" s="15" t="s">
        <v>328</v>
      </c>
      <c r="CV307" s="15"/>
      <c r="CW307" s="15" t="s">
        <v>328</v>
      </c>
      <c r="CX307" s="15"/>
      <c r="CY307" s="15"/>
      <c r="CZ307" s="15"/>
      <c r="DA307" s="15">
        <v>1</v>
      </c>
      <c r="DB307" s="15">
        <v>3</v>
      </c>
      <c r="DC307" s="15">
        <v>4</v>
      </c>
      <c r="DD307" s="15">
        <v>5</v>
      </c>
      <c r="DE307" s="15">
        <v>2</v>
      </c>
      <c r="DF307" s="15">
        <v>6</v>
      </c>
      <c r="DG307" s="15"/>
      <c r="DH307" s="15"/>
      <c r="DI307" s="15" t="s">
        <v>328</v>
      </c>
      <c r="DJ307" s="15" t="s">
        <v>328</v>
      </c>
      <c r="DK307" s="15" t="s">
        <v>618</v>
      </c>
      <c r="DL307" s="15"/>
      <c r="DM307" s="15" t="s">
        <v>917</v>
      </c>
      <c r="DN307" s="8" t="s">
        <v>333</v>
      </c>
      <c r="DO307" s="15"/>
      <c r="DP307" s="15" t="s">
        <v>328</v>
      </c>
      <c r="DQ307" s="15" t="s">
        <v>328</v>
      </c>
      <c r="DR307" s="15" t="s">
        <v>504</v>
      </c>
      <c r="DS307" s="15"/>
      <c r="DT307" s="15"/>
      <c r="DU307" s="15" t="s">
        <v>410</v>
      </c>
      <c r="DV307" s="15" t="s">
        <v>602</v>
      </c>
      <c r="DW307" s="15"/>
      <c r="DX307" s="15" t="s">
        <v>328</v>
      </c>
      <c r="DY307" s="15" t="s">
        <v>328</v>
      </c>
      <c r="DZ307" s="15" t="s">
        <v>405</v>
      </c>
      <c r="EA307" s="15"/>
      <c r="EB307" s="15" t="s">
        <v>1158</v>
      </c>
      <c r="EC307" s="102" t="s">
        <v>497</v>
      </c>
      <c r="ED307" s="99"/>
    </row>
    <row r="308" spans="1:134" x14ac:dyDescent="0.25">
      <c r="A308" s="51" t="s">
        <v>1378</v>
      </c>
      <c r="B308" s="61" t="s">
        <v>1429</v>
      </c>
      <c r="C308" s="15" t="s">
        <v>328</v>
      </c>
      <c r="D308" s="15"/>
      <c r="E308" s="15">
        <v>30</v>
      </c>
      <c r="F308" s="15" t="s">
        <v>329</v>
      </c>
      <c r="G308" s="15" t="s">
        <v>357</v>
      </c>
      <c r="H308" s="18" t="s">
        <v>1423</v>
      </c>
      <c r="I308" s="18" t="s">
        <v>1424</v>
      </c>
      <c r="J308" s="15" t="s">
        <v>1281</v>
      </c>
      <c r="K308" s="15">
        <v>10</v>
      </c>
      <c r="L308" s="15">
        <v>1</v>
      </c>
      <c r="M308" s="15">
        <v>1</v>
      </c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 t="s">
        <v>418</v>
      </c>
      <c r="AJ308" s="15"/>
      <c r="AK308" s="15" t="s">
        <v>328</v>
      </c>
      <c r="AL308" s="15"/>
      <c r="AM308" s="15"/>
      <c r="AN308" s="15" t="s">
        <v>328</v>
      </c>
      <c r="AO308" s="15" t="s">
        <v>328</v>
      </c>
      <c r="AP308" s="15">
        <v>4</v>
      </c>
      <c r="AQ308" s="15">
        <v>3</v>
      </c>
      <c r="AR308" s="15"/>
      <c r="AS308" s="15" t="s">
        <v>328</v>
      </c>
      <c r="AT308" s="15" t="s">
        <v>328</v>
      </c>
      <c r="AU308" s="15"/>
      <c r="AV308" s="15">
        <v>1</v>
      </c>
      <c r="AW308" s="15">
        <v>3</v>
      </c>
      <c r="AX308" s="15">
        <v>2</v>
      </c>
      <c r="AY308" s="15"/>
      <c r="AZ308" s="15" t="s">
        <v>328</v>
      </c>
      <c r="BA308" s="15"/>
      <c r="BB308" s="15" t="s">
        <v>328</v>
      </c>
      <c r="BC308" s="15"/>
      <c r="BD308" s="15"/>
      <c r="BE308" s="15" t="s">
        <v>328</v>
      </c>
      <c r="BF308" s="15"/>
      <c r="BG308" s="15"/>
      <c r="BH308" s="15"/>
      <c r="BI308" s="15"/>
      <c r="BJ308" s="15"/>
      <c r="BK308" s="15"/>
      <c r="BL308" s="15"/>
      <c r="BM308" s="15" t="s">
        <v>328</v>
      </c>
      <c r="BN308" s="15"/>
      <c r="BO308" s="15" t="s">
        <v>328</v>
      </c>
      <c r="BP308" s="15" t="s">
        <v>328</v>
      </c>
      <c r="BQ308" s="15"/>
      <c r="BR308" s="15"/>
      <c r="BS308" s="15"/>
      <c r="BT308" s="15" t="s">
        <v>328</v>
      </c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 t="s">
        <v>332</v>
      </c>
      <c r="CG308" s="15"/>
      <c r="CH308" s="15"/>
      <c r="CI308" s="15" t="s">
        <v>328</v>
      </c>
      <c r="CJ308" s="15"/>
      <c r="CK308" s="15" t="s">
        <v>328</v>
      </c>
      <c r="CL308" s="15">
        <v>3</v>
      </c>
      <c r="CM308" s="15">
        <v>4</v>
      </c>
      <c r="CN308" s="15">
        <v>2</v>
      </c>
      <c r="CO308" s="15">
        <v>6</v>
      </c>
      <c r="CP308" s="15">
        <v>5</v>
      </c>
      <c r="CQ308" s="15">
        <v>1</v>
      </c>
      <c r="CR308" s="15" t="s">
        <v>328</v>
      </c>
      <c r="CS308" s="15" t="s">
        <v>328</v>
      </c>
      <c r="CT308" s="15"/>
      <c r="CU308" s="15"/>
      <c r="CV308" s="15" t="s">
        <v>328</v>
      </c>
      <c r="CW308" s="15"/>
      <c r="CX308" s="15"/>
      <c r="CY308" s="15" t="s">
        <v>328</v>
      </c>
      <c r="CZ308" s="15" t="s">
        <v>404</v>
      </c>
      <c r="DA308" s="15"/>
      <c r="DB308" s="15"/>
      <c r="DC308" s="15"/>
      <c r="DD308" s="15"/>
      <c r="DE308" s="15"/>
      <c r="DF308" s="15"/>
      <c r="DG308" s="15"/>
      <c r="DH308" s="15" t="s">
        <v>328</v>
      </c>
      <c r="DI308" s="15"/>
      <c r="DJ308" s="15"/>
      <c r="DK308" s="15"/>
      <c r="DL308" s="15"/>
      <c r="DM308" s="15"/>
      <c r="DN308" s="14" t="s">
        <v>333</v>
      </c>
      <c r="DO308" s="15" t="s">
        <v>328</v>
      </c>
      <c r="DP308" s="15"/>
      <c r="DQ308" s="15"/>
      <c r="DR308" s="15"/>
      <c r="DS308" s="15"/>
      <c r="DT308" s="15"/>
      <c r="DU308" s="15"/>
      <c r="DV308" s="15"/>
      <c r="DW308" s="15" t="s">
        <v>328</v>
      </c>
      <c r="DX308" s="15"/>
      <c r="DY308" s="15"/>
      <c r="DZ308" s="15"/>
      <c r="EA308" s="15"/>
      <c r="EB308" s="15"/>
      <c r="EC308" s="102" t="s">
        <v>497</v>
      </c>
      <c r="ED308" s="99"/>
    </row>
    <row r="309" spans="1:134" x14ac:dyDescent="0.25">
      <c r="A309" s="51" t="s">
        <v>1378</v>
      </c>
      <c r="B309" s="61" t="s">
        <v>1430</v>
      </c>
      <c r="C309" s="14" t="s">
        <v>328</v>
      </c>
      <c r="D309" s="14"/>
      <c r="E309" s="14">
        <v>48</v>
      </c>
      <c r="F309" s="14" t="s">
        <v>329</v>
      </c>
      <c r="G309" s="14" t="s">
        <v>357</v>
      </c>
      <c r="H309" s="15" t="s">
        <v>1418</v>
      </c>
      <c r="I309" s="15" t="s">
        <v>1419</v>
      </c>
      <c r="J309" s="15" t="s">
        <v>1281</v>
      </c>
      <c r="K309" s="14">
        <v>20</v>
      </c>
      <c r="L309" s="14">
        <v>4</v>
      </c>
      <c r="M309" s="14"/>
      <c r="N309" s="14"/>
      <c r="O309" s="14"/>
      <c r="P309" s="14">
        <v>4</v>
      </c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 t="s">
        <v>328</v>
      </c>
      <c r="AH309" s="14"/>
      <c r="AI309" s="14"/>
      <c r="AJ309" s="14" t="s">
        <v>328</v>
      </c>
      <c r="AK309" s="14"/>
      <c r="AL309" s="14"/>
      <c r="AM309" s="14"/>
      <c r="AN309" s="14"/>
      <c r="AO309" s="14" t="s">
        <v>328</v>
      </c>
      <c r="AP309" s="14">
        <v>10</v>
      </c>
      <c r="AQ309" s="14">
        <v>1</v>
      </c>
      <c r="AR309" s="14"/>
      <c r="AS309" s="14"/>
      <c r="AT309" s="14" t="s">
        <v>328</v>
      </c>
      <c r="AU309" s="14"/>
      <c r="AV309" s="14">
        <v>1</v>
      </c>
      <c r="AW309" s="14">
        <v>2</v>
      </c>
      <c r="AX309" s="14">
        <v>3</v>
      </c>
      <c r="AY309" s="14"/>
      <c r="AZ309" s="14"/>
      <c r="BA309" s="14" t="s">
        <v>328</v>
      </c>
      <c r="BB309" s="14"/>
      <c r="BC309" s="14"/>
      <c r="BD309" s="14"/>
      <c r="BE309" s="14" t="s">
        <v>328</v>
      </c>
      <c r="BF309" s="14"/>
      <c r="BG309" s="14"/>
      <c r="BH309" s="14"/>
      <c r="BI309" s="14"/>
      <c r="BJ309" s="14"/>
      <c r="BK309" s="14"/>
      <c r="BL309" s="14"/>
      <c r="BM309" s="14" t="s">
        <v>328</v>
      </c>
      <c r="BN309" s="14"/>
      <c r="BO309" s="14" t="s">
        <v>328</v>
      </c>
      <c r="BP309" s="14"/>
      <c r="BQ309" s="14"/>
      <c r="BR309" s="14"/>
      <c r="BS309" s="14"/>
      <c r="BT309" s="14"/>
      <c r="BU309" s="14" t="s">
        <v>328</v>
      </c>
      <c r="BV309" s="14"/>
      <c r="BW309" s="14" t="s">
        <v>328</v>
      </c>
      <c r="BX309" s="14"/>
      <c r="BY309" s="14"/>
      <c r="BZ309" s="14"/>
      <c r="CA309" s="14" t="s">
        <v>328</v>
      </c>
      <c r="CB309" s="14"/>
      <c r="CC309" s="14"/>
      <c r="CD309" s="14"/>
      <c r="CE309" s="14" t="s">
        <v>328</v>
      </c>
      <c r="CF309" s="14"/>
      <c r="CG309" s="14" t="s">
        <v>328</v>
      </c>
      <c r="CH309" s="14"/>
      <c r="CI309" s="14"/>
      <c r="CJ309" s="14"/>
      <c r="CK309" s="14"/>
      <c r="CL309" s="14">
        <v>2</v>
      </c>
      <c r="CM309" s="14">
        <v>3</v>
      </c>
      <c r="CN309" s="14">
        <v>4</v>
      </c>
      <c r="CO309" s="14">
        <v>5</v>
      </c>
      <c r="CP309" s="14">
        <v>6</v>
      </c>
      <c r="CQ309" s="14">
        <v>1</v>
      </c>
      <c r="CR309" s="14" t="s">
        <v>328</v>
      </c>
      <c r="CS309" s="14"/>
      <c r="CT309" s="14"/>
      <c r="CU309" s="14"/>
      <c r="CV309" s="14" t="s">
        <v>328</v>
      </c>
      <c r="CW309" s="14"/>
      <c r="CX309" s="14"/>
      <c r="CY309" s="15" t="s">
        <v>328</v>
      </c>
      <c r="CZ309" s="15" t="s">
        <v>404</v>
      </c>
      <c r="DA309" s="14"/>
      <c r="DB309" s="14"/>
      <c r="DC309" s="14"/>
      <c r="DD309" s="14"/>
      <c r="DE309" s="14"/>
      <c r="DF309" s="14"/>
      <c r="DG309" s="14"/>
      <c r="DH309" s="14" t="s">
        <v>328</v>
      </c>
      <c r="DI309" s="14"/>
      <c r="DJ309" s="14"/>
      <c r="DK309" s="14"/>
      <c r="DL309" s="14"/>
      <c r="DM309" s="14"/>
      <c r="DN309" s="14" t="s">
        <v>333</v>
      </c>
      <c r="DO309" s="14"/>
      <c r="DP309" s="14" t="s">
        <v>328</v>
      </c>
      <c r="DQ309" s="14"/>
      <c r="DR309" s="14"/>
      <c r="DS309" s="14" t="s">
        <v>328</v>
      </c>
      <c r="DT309" s="14" t="s">
        <v>680</v>
      </c>
      <c r="DU309" s="15" t="s">
        <v>428</v>
      </c>
      <c r="DV309" s="15" t="s">
        <v>411</v>
      </c>
      <c r="DW309" s="14" t="s">
        <v>328</v>
      </c>
      <c r="DX309" s="14"/>
      <c r="DY309" s="14"/>
      <c r="DZ309" s="14"/>
      <c r="EA309" s="14"/>
      <c r="EB309" s="14"/>
      <c r="EC309" s="101" t="s">
        <v>450</v>
      </c>
      <c r="ED309" s="99"/>
    </row>
    <row r="310" spans="1:134" x14ac:dyDescent="0.25">
      <c r="A310" s="51" t="s">
        <v>1378</v>
      </c>
      <c r="B310" s="61" t="s">
        <v>1431</v>
      </c>
      <c r="C310" s="15" t="s">
        <v>328</v>
      </c>
      <c r="D310" s="15"/>
      <c r="E310" s="15">
        <v>57</v>
      </c>
      <c r="F310" s="15" t="s">
        <v>329</v>
      </c>
      <c r="G310" s="15" t="s">
        <v>357</v>
      </c>
      <c r="H310" s="15" t="s">
        <v>1412</v>
      </c>
      <c r="I310" s="15" t="s">
        <v>1413</v>
      </c>
      <c r="J310" s="15" t="s">
        <v>1281</v>
      </c>
      <c r="K310" s="15">
        <v>20</v>
      </c>
      <c r="L310" s="15">
        <v>2</v>
      </c>
      <c r="M310" s="15">
        <v>2</v>
      </c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>
        <v>2</v>
      </c>
      <c r="Y310" s="15"/>
      <c r="Z310" s="15"/>
      <c r="AA310" s="15"/>
      <c r="AB310" s="15"/>
      <c r="AC310" s="15"/>
      <c r="AD310" s="15"/>
      <c r="AE310" s="15" t="s">
        <v>328</v>
      </c>
      <c r="AF310" s="15"/>
      <c r="AG310" s="15"/>
      <c r="AH310" s="15"/>
      <c r="AI310" s="15" t="s">
        <v>418</v>
      </c>
      <c r="AJ310" s="15" t="s">
        <v>328</v>
      </c>
      <c r="AK310" s="15"/>
      <c r="AL310" s="15"/>
      <c r="AM310" s="15" t="s">
        <v>328</v>
      </c>
      <c r="AN310" s="15"/>
      <c r="AO310" s="15" t="s">
        <v>328</v>
      </c>
      <c r="AP310" s="15">
        <v>10</v>
      </c>
      <c r="AQ310" s="15">
        <v>4</v>
      </c>
      <c r="AR310" s="15"/>
      <c r="AS310" s="15"/>
      <c r="AT310" s="15"/>
      <c r="AU310" s="15" t="s">
        <v>328</v>
      </c>
      <c r="AV310" s="15">
        <v>3</v>
      </c>
      <c r="AW310" s="15">
        <v>2</v>
      </c>
      <c r="AX310" s="15">
        <v>1</v>
      </c>
      <c r="AY310" s="15"/>
      <c r="AZ310" s="15" t="s">
        <v>328</v>
      </c>
      <c r="BA310" s="15"/>
      <c r="BB310" s="15"/>
      <c r="BC310" s="15"/>
      <c r="BD310" s="15" t="s">
        <v>328</v>
      </c>
      <c r="BE310" s="15"/>
      <c r="BF310" s="15"/>
      <c r="BG310" s="15"/>
      <c r="BH310" s="15"/>
      <c r="BI310" s="15" t="s">
        <v>328</v>
      </c>
      <c r="BJ310" s="15"/>
      <c r="BK310" s="15"/>
      <c r="BL310" s="15"/>
      <c r="BM310" s="15" t="s">
        <v>328</v>
      </c>
      <c r="BN310" s="15" t="s">
        <v>328</v>
      </c>
      <c r="BO310" s="15"/>
      <c r="BP310" s="15"/>
      <c r="BQ310" s="15" t="s">
        <v>328</v>
      </c>
      <c r="BR310" s="15" t="s">
        <v>328</v>
      </c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 t="s">
        <v>332</v>
      </c>
      <c r="CG310" s="15" t="s">
        <v>328</v>
      </c>
      <c r="CH310" s="15"/>
      <c r="CI310" s="15" t="s">
        <v>328</v>
      </c>
      <c r="CJ310" s="15"/>
      <c r="CK310" s="15"/>
      <c r="CL310" s="15">
        <v>3</v>
      </c>
      <c r="CM310" s="15">
        <v>1</v>
      </c>
      <c r="CN310" s="15">
        <v>2</v>
      </c>
      <c r="CO310" s="15">
        <v>5</v>
      </c>
      <c r="CP310" s="15">
        <v>6</v>
      </c>
      <c r="CQ310" s="15">
        <v>4</v>
      </c>
      <c r="CR310" s="15" t="s">
        <v>328</v>
      </c>
      <c r="CS310" s="15"/>
      <c r="CT310" s="15"/>
      <c r="CU310" s="15"/>
      <c r="CV310" s="15" t="s">
        <v>328</v>
      </c>
      <c r="CW310" s="15"/>
      <c r="CX310" s="15"/>
      <c r="CY310" s="15" t="s">
        <v>328</v>
      </c>
      <c r="CZ310" s="15" t="s">
        <v>404</v>
      </c>
      <c r="DA310" s="15"/>
      <c r="DB310" s="15"/>
      <c r="DC310" s="15"/>
      <c r="DD310" s="15"/>
      <c r="DE310" s="15"/>
      <c r="DF310" s="15"/>
      <c r="DG310" s="15"/>
      <c r="DH310" s="15" t="s">
        <v>328</v>
      </c>
      <c r="DI310" s="15"/>
      <c r="DJ310" s="15"/>
      <c r="DK310" s="15"/>
      <c r="DL310" s="15"/>
      <c r="DM310" s="15"/>
      <c r="DN310" s="15"/>
      <c r="DO310" s="15" t="s">
        <v>328</v>
      </c>
      <c r="DP310" s="15"/>
      <c r="DQ310" s="15"/>
      <c r="DR310" s="15"/>
      <c r="DS310" s="15"/>
      <c r="DT310" s="15"/>
      <c r="DU310" s="15"/>
      <c r="DV310" s="15"/>
      <c r="DW310" s="15" t="s">
        <v>328</v>
      </c>
      <c r="DX310" s="15"/>
      <c r="DY310" s="15"/>
      <c r="DZ310" s="15"/>
      <c r="EA310" s="15"/>
      <c r="EB310" s="12"/>
      <c r="EC310" s="80"/>
      <c r="ED310" s="99"/>
    </row>
    <row r="311" spans="1:134" x14ac:dyDescent="0.25">
      <c r="A311" s="51" t="s">
        <v>1378</v>
      </c>
      <c r="B311" s="61" t="s">
        <v>1432</v>
      </c>
      <c r="C311" s="15" t="s">
        <v>328</v>
      </c>
      <c r="D311" s="15"/>
      <c r="E311" s="15">
        <v>36</v>
      </c>
      <c r="F311" s="15" t="s">
        <v>329</v>
      </c>
      <c r="G311" s="15" t="s">
        <v>357</v>
      </c>
      <c r="H311" s="18" t="s">
        <v>1415</v>
      </c>
      <c r="I311" s="18" t="s">
        <v>1191</v>
      </c>
      <c r="J311" s="15" t="s">
        <v>1281</v>
      </c>
      <c r="K311" s="15">
        <v>7</v>
      </c>
      <c r="L311" s="15">
        <v>3</v>
      </c>
      <c r="M311" s="15"/>
      <c r="N311" s="15"/>
      <c r="O311" s="15"/>
      <c r="P311" s="15"/>
      <c r="Q311" s="15"/>
      <c r="R311" s="15"/>
      <c r="S311" s="15"/>
      <c r="T311" s="15">
        <v>6</v>
      </c>
      <c r="U311" s="15"/>
      <c r="V311" s="15"/>
      <c r="W311" s="15"/>
      <c r="X311" s="15"/>
      <c r="Y311" s="18"/>
      <c r="Z311" s="15"/>
      <c r="AA311" s="15"/>
      <c r="AB311" s="15"/>
      <c r="AC311" s="15"/>
      <c r="AD311" s="15" t="s">
        <v>328</v>
      </c>
      <c r="AE311" s="15"/>
      <c r="AF311" s="15" t="s">
        <v>328</v>
      </c>
      <c r="AG311" s="15"/>
      <c r="AH311" s="15"/>
      <c r="AI311" s="15" t="s">
        <v>1165</v>
      </c>
      <c r="AJ311" s="15" t="s">
        <v>328</v>
      </c>
      <c r="AK311" s="15"/>
      <c r="AL311" s="15" t="s">
        <v>328</v>
      </c>
      <c r="AM311" s="15"/>
      <c r="AN311" s="15"/>
      <c r="AO311" s="15"/>
      <c r="AP311" s="15">
        <v>6</v>
      </c>
      <c r="AQ311" s="15">
        <v>6</v>
      </c>
      <c r="AR311" s="15"/>
      <c r="AS311" s="15"/>
      <c r="AT311" s="15" t="s">
        <v>328</v>
      </c>
      <c r="AU311" s="15"/>
      <c r="AV311" s="15">
        <v>1</v>
      </c>
      <c r="AW311" s="15">
        <v>2</v>
      </c>
      <c r="AX311" s="15">
        <v>3</v>
      </c>
      <c r="AY311" s="15"/>
      <c r="AZ311" s="15" t="s">
        <v>328</v>
      </c>
      <c r="BA311" s="15"/>
      <c r="BB311" s="15"/>
      <c r="BC311" s="15"/>
      <c r="BD311" s="15"/>
      <c r="BE311" s="15" t="s">
        <v>328</v>
      </c>
      <c r="BF311" s="15"/>
      <c r="BG311" s="15"/>
      <c r="BH311" s="15"/>
      <c r="BI311" s="15"/>
      <c r="BJ311" s="15"/>
      <c r="BK311" s="15"/>
      <c r="BL311" s="15"/>
      <c r="BM311" s="15" t="s">
        <v>328</v>
      </c>
      <c r="BN311" s="15"/>
      <c r="BO311" s="15" t="s">
        <v>328</v>
      </c>
      <c r="BP311" s="15" t="s">
        <v>328</v>
      </c>
      <c r="BQ311" s="15"/>
      <c r="BR311" s="15"/>
      <c r="BS311" s="15"/>
      <c r="BT311" s="15"/>
      <c r="BU311" s="15" t="s">
        <v>328</v>
      </c>
      <c r="BV311" s="15"/>
      <c r="BW311" s="15" t="s">
        <v>328</v>
      </c>
      <c r="BX311" s="15"/>
      <c r="BY311" s="15"/>
      <c r="BZ311" s="15"/>
      <c r="CA311" s="15" t="s">
        <v>328</v>
      </c>
      <c r="CB311" s="15"/>
      <c r="CC311" s="15"/>
      <c r="CD311" s="15"/>
      <c r="CE311" s="15" t="s">
        <v>328</v>
      </c>
      <c r="CF311" s="15"/>
      <c r="CG311" s="15" t="s">
        <v>328</v>
      </c>
      <c r="CH311" s="15"/>
      <c r="CI311" s="15"/>
      <c r="CJ311" s="15"/>
      <c r="CK311" s="15"/>
      <c r="CL311" s="15">
        <v>3</v>
      </c>
      <c r="CM311" s="15">
        <v>1</v>
      </c>
      <c r="CN311" s="15">
        <v>2</v>
      </c>
      <c r="CO311" s="15">
        <v>6</v>
      </c>
      <c r="CP311" s="15">
        <v>5</v>
      </c>
      <c r="CQ311" s="15">
        <v>4</v>
      </c>
      <c r="CR311" s="15"/>
      <c r="CS311" s="15" t="s">
        <v>328</v>
      </c>
      <c r="CT311" s="15"/>
      <c r="CU311" s="15"/>
      <c r="CV311" s="15"/>
      <c r="CW311" s="15"/>
      <c r="CX311" s="15"/>
      <c r="CY311" s="15"/>
      <c r="CZ311" s="15"/>
      <c r="DA311" s="15">
        <v>1</v>
      </c>
      <c r="DB311" s="15">
        <v>5</v>
      </c>
      <c r="DC311" s="15">
        <v>3</v>
      </c>
      <c r="DD311" s="15">
        <v>4</v>
      </c>
      <c r="DE311" s="15">
        <v>2</v>
      </c>
      <c r="DF311" s="15">
        <v>6</v>
      </c>
      <c r="DG311" s="15"/>
      <c r="DH311" s="15" t="s">
        <v>328</v>
      </c>
      <c r="DI311" s="15"/>
      <c r="DJ311" s="15"/>
      <c r="DK311" s="15"/>
      <c r="DL311" s="15"/>
      <c r="DM311" s="15"/>
      <c r="DN311" s="15" t="s">
        <v>411</v>
      </c>
      <c r="DO311" s="15"/>
      <c r="DP311" s="15" t="s">
        <v>328</v>
      </c>
      <c r="DQ311" s="15"/>
      <c r="DR311" s="15"/>
      <c r="DS311" s="15" t="s">
        <v>328</v>
      </c>
      <c r="DT311" s="15" t="s">
        <v>680</v>
      </c>
      <c r="DU311" s="15" t="s">
        <v>428</v>
      </c>
      <c r="DV311" s="15" t="s">
        <v>1145</v>
      </c>
      <c r="DW311" s="15" t="s">
        <v>328</v>
      </c>
      <c r="DX311" s="15"/>
      <c r="DY311" s="15"/>
      <c r="DZ311" s="15"/>
      <c r="EA311" s="15"/>
      <c r="EB311" s="15"/>
      <c r="EC311" s="102"/>
      <c r="ED311" s="99"/>
    </row>
    <row r="312" spans="1:134" x14ac:dyDescent="0.25">
      <c r="A312" s="51" t="s">
        <v>1378</v>
      </c>
      <c r="B312" s="61" t="s">
        <v>1433</v>
      </c>
      <c r="C312" s="15" t="s">
        <v>328</v>
      </c>
      <c r="D312" s="15"/>
      <c r="E312" s="15">
        <v>34</v>
      </c>
      <c r="F312" s="15" t="s">
        <v>329</v>
      </c>
      <c r="G312" s="15" t="s">
        <v>399</v>
      </c>
      <c r="H312" s="15" t="s">
        <v>1412</v>
      </c>
      <c r="I312" s="15" t="s">
        <v>1413</v>
      </c>
      <c r="J312" s="15" t="s">
        <v>1281</v>
      </c>
      <c r="K312" s="15">
        <v>0</v>
      </c>
      <c r="L312" s="15">
        <v>5</v>
      </c>
      <c r="M312" s="15">
        <v>3</v>
      </c>
      <c r="N312" s="15">
        <v>2</v>
      </c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 t="s">
        <v>328</v>
      </c>
      <c r="AA312" s="15" t="s">
        <v>328</v>
      </c>
      <c r="AB312" s="15"/>
      <c r="AC312" s="15" t="s">
        <v>328</v>
      </c>
      <c r="AD312" s="15" t="s">
        <v>328</v>
      </c>
      <c r="AE312" s="15"/>
      <c r="AF312" s="15" t="s">
        <v>328</v>
      </c>
      <c r="AG312" s="15"/>
      <c r="AH312" s="15"/>
      <c r="AI312" s="15"/>
      <c r="AJ312" s="15" t="s">
        <v>328</v>
      </c>
      <c r="AK312" s="15" t="s">
        <v>328</v>
      </c>
      <c r="AL312" s="15"/>
      <c r="AM312" s="15" t="s">
        <v>328</v>
      </c>
      <c r="AN312" s="15" t="s">
        <v>328</v>
      </c>
      <c r="AO312" s="15" t="s">
        <v>328</v>
      </c>
      <c r="AP312" s="15">
        <v>5</v>
      </c>
      <c r="AQ312" s="15">
        <v>5</v>
      </c>
      <c r="AR312" s="15"/>
      <c r="AS312" s="15"/>
      <c r="AT312" s="15"/>
      <c r="AU312" s="15" t="s">
        <v>328</v>
      </c>
      <c r="AV312" s="15">
        <v>3</v>
      </c>
      <c r="AW312" s="15">
        <v>4</v>
      </c>
      <c r="AX312" s="15">
        <v>2</v>
      </c>
      <c r="AY312" s="15" t="s">
        <v>346</v>
      </c>
      <c r="AZ312" s="15" t="s">
        <v>328</v>
      </c>
      <c r="BA312" s="15"/>
      <c r="BB312" s="15" t="s">
        <v>328</v>
      </c>
      <c r="BC312" s="15"/>
      <c r="BD312" s="15"/>
      <c r="BE312" s="15"/>
      <c r="BF312" s="15" t="s">
        <v>328</v>
      </c>
      <c r="BG312" s="15"/>
      <c r="BH312" s="15"/>
      <c r="BI312" s="15" t="s">
        <v>328</v>
      </c>
      <c r="BJ312" s="15"/>
      <c r="BK312" s="15"/>
      <c r="BL312" s="15"/>
      <c r="BM312" s="15" t="s">
        <v>328</v>
      </c>
      <c r="BN312" s="15" t="s">
        <v>328</v>
      </c>
      <c r="BO312" s="15"/>
      <c r="BP312" s="15"/>
      <c r="BQ312" s="15"/>
      <c r="BR312" s="15"/>
      <c r="BS312" s="15"/>
      <c r="BT312" s="15"/>
      <c r="BU312" s="15" t="s">
        <v>328</v>
      </c>
      <c r="BV312" s="15"/>
      <c r="BW312" s="15" t="s">
        <v>328</v>
      </c>
      <c r="BX312" s="15"/>
      <c r="BY312" s="15"/>
      <c r="BZ312" s="15" t="s">
        <v>328</v>
      </c>
      <c r="CA312" s="15" t="s">
        <v>328</v>
      </c>
      <c r="CB312" s="15"/>
      <c r="CC312" s="15"/>
      <c r="CD312" s="15"/>
      <c r="CE312" s="15"/>
      <c r="CF312" s="15"/>
      <c r="CG312" s="15" t="s">
        <v>328</v>
      </c>
      <c r="CH312" s="15"/>
      <c r="CI312" s="15"/>
      <c r="CJ312" s="15"/>
      <c r="CK312" s="15"/>
      <c r="CL312" s="15">
        <v>1</v>
      </c>
      <c r="CM312" s="15">
        <v>3</v>
      </c>
      <c r="CN312" s="15">
        <v>6</v>
      </c>
      <c r="CO312" s="15">
        <v>4</v>
      </c>
      <c r="CP312" s="15">
        <v>5</v>
      </c>
      <c r="CQ312" s="15">
        <v>2</v>
      </c>
      <c r="CR312" s="15"/>
      <c r="CS312" s="15" t="s">
        <v>328</v>
      </c>
      <c r="CT312" s="15" t="s">
        <v>328</v>
      </c>
      <c r="CU312" s="15"/>
      <c r="CV312" s="15"/>
      <c r="CW312" s="15"/>
      <c r="CX312" s="15"/>
      <c r="CY312" s="15"/>
      <c r="CZ312" s="15"/>
      <c r="DA312" s="15">
        <v>1</v>
      </c>
      <c r="DB312" s="15">
        <v>6</v>
      </c>
      <c r="DC312" s="15">
        <v>5</v>
      </c>
      <c r="DD312" s="15">
        <v>3</v>
      </c>
      <c r="DE312" s="15">
        <v>2</v>
      </c>
      <c r="DF312" s="15">
        <v>4</v>
      </c>
      <c r="DG312" s="15"/>
      <c r="DH312" s="15" t="s">
        <v>328</v>
      </c>
      <c r="DI312" s="15"/>
      <c r="DJ312" s="15"/>
      <c r="DK312" s="15"/>
      <c r="DL312" s="15"/>
      <c r="DM312" s="15"/>
      <c r="DN312" s="15"/>
      <c r="DO312" s="15" t="s">
        <v>328</v>
      </c>
      <c r="DP312" s="15"/>
      <c r="DQ312" s="15"/>
      <c r="DR312" s="15"/>
      <c r="DS312" s="15"/>
      <c r="DT312" s="15"/>
      <c r="DU312" s="15"/>
      <c r="DV312" s="15"/>
      <c r="DW312" s="15" t="s">
        <v>328</v>
      </c>
      <c r="DX312" s="15"/>
      <c r="DY312" s="15"/>
      <c r="DZ312" s="15"/>
      <c r="EA312" s="15"/>
      <c r="EB312" s="15"/>
      <c r="EC312" s="102"/>
      <c r="ED312" s="99"/>
    </row>
    <row r="313" spans="1:134" x14ac:dyDescent="0.25">
      <c r="A313" s="51" t="s">
        <v>1378</v>
      </c>
      <c r="B313" s="61" t="s">
        <v>1434</v>
      </c>
      <c r="C313" s="15" t="s">
        <v>328</v>
      </c>
      <c r="D313" s="15"/>
      <c r="E313" s="15">
        <v>49</v>
      </c>
      <c r="F313" s="15" t="s">
        <v>329</v>
      </c>
      <c r="G313" s="15" t="s">
        <v>330</v>
      </c>
      <c r="H313" s="18" t="s">
        <v>1408</v>
      </c>
      <c r="I313" s="18" t="s">
        <v>1407</v>
      </c>
      <c r="J313" s="15" t="s">
        <v>1281</v>
      </c>
      <c r="K313" s="15">
        <v>25</v>
      </c>
      <c r="L313" s="15">
        <v>1</v>
      </c>
      <c r="M313" s="15">
        <v>1</v>
      </c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 t="s">
        <v>328</v>
      </c>
      <c r="AA313" s="15"/>
      <c r="AB313" s="15"/>
      <c r="AC313" s="15"/>
      <c r="AD313" s="15"/>
      <c r="AE313" s="15"/>
      <c r="AF313" s="15"/>
      <c r="AG313" s="15"/>
      <c r="AH313" s="15"/>
      <c r="AI313" s="15"/>
      <c r="AJ313" s="15" t="s">
        <v>328</v>
      </c>
      <c r="AK313" s="15"/>
      <c r="AL313" s="15" t="s">
        <v>328</v>
      </c>
      <c r="AM313" s="15" t="s">
        <v>328</v>
      </c>
      <c r="AN313" s="15"/>
      <c r="AO313" s="15"/>
      <c r="AP313" s="15">
        <v>10</v>
      </c>
      <c r="AQ313" s="15">
        <v>3</v>
      </c>
      <c r="AR313" s="15"/>
      <c r="AS313" s="15" t="s">
        <v>328</v>
      </c>
      <c r="AT313" s="15"/>
      <c r="AU313" s="15"/>
      <c r="AV313" s="15">
        <v>1</v>
      </c>
      <c r="AW313" s="15">
        <v>3</v>
      </c>
      <c r="AX313" s="15">
        <v>2</v>
      </c>
      <c r="AY313" s="15"/>
      <c r="AZ313" s="15" t="s">
        <v>328</v>
      </c>
      <c r="BA313" s="15"/>
      <c r="BB313" s="15" t="s">
        <v>328</v>
      </c>
      <c r="BC313" s="15"/>
      <c r="BD313" s="15"/>
      <c r="BE313" s="15"/>
      <c r="BF313" s="15"/>
      <c r="BG313" s="15"/>
      <c r="BH313" s="15"/>
      <c r="BI313" s="15"/>
      <c r="BJ313" s="15" t="s">
        <v>328</v>
      </c>
      <c r="BK313" s="15"/>
      <c r="BL313" s="15"/>
      <c r="BM313" s="15" t="s">
        <v>328</v>
      </c>
      <c r="BN313" s="15"/>
      <c r="BO313" s="15" t="s">
        <v>328</v>
      </c>
      <c r="BP313" s="15"/>
      <c r="BQ313" s="15"/>
      <c r="BR313" s="15" t="s">
        <v>328</v>
      </c>
      <c r="BS313" s="15"/>
      <c r="BT313" s="15"/>
      <c r="BU313" s="15"/>
      <c r="BV313" s="15"/>
      <c r="BW313" s="15"/>
      <c r="BX313" s="15"/>
      <c r="BY313" s="15"/>
      <c r="BZ313" s="15"/>
      <c r="CA313" s="15" t="s">
        <v>328</v>
      </c>
      <c r="CB313" s="15"/>
      <c r="CC313" s="15"/>
      <c r="CD313" s="15"/>
      <c r="CE313" s="15" t="s">
        <v>328</v>
      </c>
      <c r="CF313" s="15"/>
      <c r="CG313" s="15" t="s">
        <v>328</v>
      </c>
      <c r="CH313" s="15"/>
      <c r="CI313" s="15"/>
      <c r="CJ313" s="15"/>
      <c r="CK313" s="15"/>
      <c r="CL313" s="15">
        <v>2</v>
      </c>
      <c r="CM313" s="15">
        <v>1</v>
      </c>
      <c r="CN313" s="15">
        <v>5</v>
      </c>
      <c r="CO313" s="15">
        <v>6</v>
      </c>
      <c r="CP313" s="15">
        <v>3</v>
      </c>
      <c r="CQ313" s="15">
        <v>4</v>
      </c>
      <c r="CR313" s="15"/>
      <c r="CS313" s="15"/>
      <c r="CT313" s="15"/>
      <c r="CU313" s="15"/>
      <c r="CV313" s="15"/>
      <c r="CW313" s="15"/>
      <c r="CX313" s="15" t="s">
        <v>328</v>
      </c>
      <c r="CY313" s="15"/>
      <c r="CZ313" s="15"/>
      <c r="DA313" s="15">
        <v>1</v>
      </c>
      <c r="DB313" s="15">
        <v>4</v>
      </c>
      <c r="DC313" s="15">
        <v>2</v>
      </c>
      <c r="DD313" s="15">
        <v>5</v>
      </c>
      <c r="DE313" s="15">
        <v>3</v>
      </c>
      <c r="DF313" s="15">
        <v>6</v>
      </c>
      <c r="DG313" s="15"/>
      <c r="DH313" s="15" t="s">
        <v>328</v>
      </c>
      <c r="DI313" s="15"/>
      <c r="DJ313" s="15"/>
      <c r="DK313" s="15"/>
      <c r="DL313" s="15"/>
      <c r="DM313" s="15"/>
      <c r="DN313" s="15"/>
      <c r="DO313" s="15" t="s">
        <v>328</v>
      </c>
      <c r="DP313" s="15"/>
      <c r="DQ313" s="15"/>
      <c r="DR313" s="15"/>
      <c r="DS313" s="15"/>
      <c r="DT313" s="15"/>
      <c r="DU313" s="15"/>
      <c r="DV313" s="15"/>
      <c r="DW313" s="15" t="s">
        <v>328</v>
      </c>
      <c r="DX313" s="15"/>
      <c r="DY313" s="15"/>
      <c r="DZ313" s="15"/>
      <c r="EA313" s="15"/>
      <c r="EB313" s="12"/>
      <c r="EC313" s="80"/>
      <c r="ED313" s="99"/>
    </row>
    <row r="314" spans="1:134" x14ac:dyDescent="0.25">
      <c r="A314" s="51" t="s">
        <v>1378</v>
      </c>
      <c r="B314" s="61" t="s">
        <v>1435</v>
      </c>
      <c r="C314" s="15" t="s">
        <v>328</v>
      </c>
      <c r="D314" s="15"/>
      <c r="E314" s="15">
        <v>38</v>
      </c>
      <c r="F314" s="15" t="s">
        <v>329</v>
      </c>
      <c r="G314" s="15" t="s">
        <v>357</v>
      </c>
      <c r="H314" s="15" t="s">
        <v>1402</v>
      </c>
      <c r="I314" s="15" t="s">
        <v>1403</v>
      </c>
      <c r="J314" s="15" t="s">
        <v>1281</v>
      </c>
      <c r="K314" s="15">
        <v>6</v>
      </c>
      <c r="L314" s="15">
        <v>3</v>
      </c>
      <c r="M314" s="15">
        <v>3</v>
      </c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 t="s">
        <v>328</v>
      </c>
      <c r="AB314" s="15"/>
      <c r="AC314" s="15"/>
      <c r="AD314" s="15"/>
      <c r="AE314" s="15"/>
      <c r="AF314" s="15" t="s">
        <v>328</v>
      </c>
      <c r="AG314" s="15"/>
      <c r="AH314" s="15"/>
      <c r="AI314" s="15"/>
      <c r="AJ314" s="15" t="s">
        <v>328</v>
      </c>
      <c r="AK314" s="15"/>
      <c r="AL314" s="15"/>
      <c r="AM314" s="15"/>
      <c r="AN314" s="15" t="s">
        <v>328</v>
      </c>
      <c r="AO314" s="15"/>
      <c r="AP314" s="15">
        <v>5</v>
      </c>
      <c r="AQ314" s="15">
        <v>1</v>
      </c>
      <c r="AR314" s="15"/>
      <c r="AS314" s="15"/>
      <c r="AT314" s="15" t="s">
        <v>328</v>
      </c>
      <c r="AU314" s="15"/>
      <c r="AV314" s="15">
        <v>1</v>
      </c>
      <c r="AW314" s="15">
        <v>2</v>
      </c>
      <c r="AX314" s="15">
        <v>3</v>
      </c>
      <c r="AY314" s="15"/>
      <c r="AZ314" s="15" t="s">
        <v>328</v>
      </c>
      <c r="BA314" s="15"/>
      <c r="BB314" s="15"/>
      <c r="BC314" s="15"/>
      <c r="BD314" s="15"/>
      <c r="BE314" s="15" t="s">
        <v>328</v>
      </c>
      <c r="BF314" s="15"/>
      <c r="BG314" s="15"/>
      <c r="BH314" s="15"/>
      <c r="BI314" s="15"/>
      <c r="BJ314" s="15"/>
      <c r="BK314" s="15"/>
      <c r="BL314" s="15"/>
      <c r="BM314" s="15" t="s">
        <v>328</v>
      </c>
      <c r="BN314" s="15" t="s">
        <v>328</v>
      </c>
      <c r="BO314" s="15"/>
      <c r="BP314" s="15"/>
      <c r="BQ314" s="15"/>
      <c r="BR314" s="15"/>
      <c r="BS314" s="15"/>
      <c r="BT314" s="15" t="s">
        <v>328</v>
      </c>
      <c r="BU314" s="15"/>
      <c r="BV314" s="15"/>
      <c r="BW314" s="15"/>
      <c r="BX314" s="15"/>
      <c r="BY314" s="15"/>
      <c r="BZ314" s="15" t="s">
        <v>328</v>
      </c>
      <c r="CA314" s="15"/>
      <c r="CB314" s="15"/>
      <c r="CC314" s="15"/>
      <c r="CD314" s="15"/>
      <c r="CE314" s="15"/>
      <c r="CF314" s="15"/>
      <c r="CG314" s="15" t="s">
        <v>328</v>
      </c>
      <c r="CH314" s="15"/>
      <c r="CI314" s="15"/>
      <c r="CJ314" s="15"/>
      <c r="CK314" s="15"/>
      <c r="CL314" s="15">
        <v>3</v>
      </c>
      <c r="CM314" s="15">
        <v>2</v>
      </c>
      <c r="CN314" s="15">
        <v>1</v>
      </c>
      <c r="CO314" s="15">
        <v>6</v>
      </c>
      <c r="CP314" s="15">
        <v>4</v>
      </c>
      <c r="CQ314" s="15">
        <v>5</v>
      </c>
      <c r="CR314" s="15"/>
      <c r="CS314" s="15"/>
      <c r="CT314" s="15"/>
      <c r="CU314" s="15"/>
      <c r="CV314" s="15"/>
      <c r="CW314" s="15"/>
      <c r="CX314" s="15" t="s">
        <v>332</v>
      </c>
      <c r="CY314" s="15"/>
      <c r="CZ314" s="15"/>
      <c r="DA314" s="15">
        <v>1</v>
      </c>
      <c r="DB314" s="15">
        <v>2</v>
      </c>
      <c r="DC314" s="15">
        <v>3</v>
      </c>
      <c r="DD314" s="15">
        <v>5</v>
      </c>
      <c r="DE314" s="15">
        <v>4</v>
      </c>
      <c r="DF314" s="15">
        <v>6</v>
      </c>
      <c r="DG314" s="15"/>
      <c r="DH314" s="15" t="s">
        <v>328</v>
      </c>
      <c r="DI314" s="15"/>
      <c r="DJ314" s="15"/>
      <c r="DK314" s="15"/>
      <c r="DL314" s="15"/>
      <c r="DM314" s="15"/>
      <c r="DN314" s="15"/>
      <c r="DO314" s="15" t="s">
        <v>328</v>
      </c>
      <c r="DP314" s="15"/>
      <c r="DQ314" s="15"/>
      <c r="DR314" s="15"/>
      <c r="DS314" s="15"/>
      <c r="DT314" s="15"/>
      <c r="DU314" s="15"/>
      <c r="DV314" s="15"/>
      <c r="DW314" s="15" t="s">
        <v>328</v>
      </c>
      <c r="DX314" s="15"/>
      <c r="DY314" s="15"/>
      <c r="DZ314" s="15"/>
      <c r="EA314" s="15"/>
      <c r="EB314" s="15"/>
      <c r="EC314" s="102"/>
      <c r="ED314" s="99"/>
    </row>
    <row r="315" spans="1:134" x14ac:dyDescent="0.25">
      <c r="A315" s="51" t="s">
        <v>1378</v>
      </c>
      <c r="B315" s="61" t="s">
        <v>1436</v>
      </c>
      <c r="C315" s="15" t="s">
        <v>328</v>
      </c>
      <c r="D315" s="15"/>
      <c r="E315" s="15">
        <v>65</v>
      </c>
      <c r="F315" s="15" t="s">
        <v>329</v>
      </c>
      <c r="G315" s="15" t="s">
        <v>357</v>
      </c>
      <c r="H315" s="18" t="s">
        <v>1423</v>
      </c>
      <c r="I315" s="18" t="s">
        <v>1424</v>
      </c>
      <c r="J315" s="15" t="s">
        <v>1281</v>
      </c>
      <c r="K315" s="15">
        <v>20</v>
      </c>
      <c r="L315" s="15">
        <v>2</v>
      </c>
      <c r="M315" s="15">
        <v>1</v>
      </c>
      <c r="N315" s="15"/>
      <c r="O315" s="15"/>
      <c r="P315" s="15">
        <v>1</v>
      </c>
      <c r="Q315" s="15"/>
      <c r="R315" s="15"/>
      <c r="S315" s="15"/>
      <c r="T315" s="15"/>
      <c r="U315" s="15"/>
      <c r="V315" s="15"/>
      <c r="W315" s="15"/>
      <c r="X315" s="15"/>
      <c r="Y315" s="15"/>
      <c r="Z315" s="15" t="s">
        <v>328</v>
      </c>
      <c r="AA315" s="15" t="s">
        <v>328</v>
      </c>
      <c r="AB315" s="15"/>
      <c r="AC315" s="15"/>
      <c r="AD315" s="15"/>
      <c r="AE315" s="15"/>
      <c r="AF315" s="15"/>
      <c r="AG315" s="15"/>
      <c r="AH315" s="15"/>
      <c r="AI315" s="15"/>
      <c r="AJ315" s="15" t="s">
        <v>328</v>
      </c>
      <c r="AK315" s="15"/>
      <c r="AL315" s="15"/>
      <c r="AM315" s="15"/>
      <c r="AN315" s="15"/>
      <c r="AO315" s="14" t="s">
        <v>328</v>
      </c>
      <c r="AP315" s="15">
        <v>10</v>
      </c>
      <c r="AQ315" s="15">
        <v>3</v>
      </c>
      <c r="AR315" s="15"/>
      <c r="AS315" s="15"/>
      <c r="AT315" s="15" t="s">
        <v>328</v>
      </c>
      <c r="AU315" s="15"/>
      <c r="AV315" s="15">
        <v>2</v>
      </c>
      <c r="AW315" s="15">
        <v>4</v>
      </c>
      <c r="AX315" s="15">
        <v>3</v>
      </c>
      <c r="AY315" s="15" t="s">
        <v>346</v>
      </c>
      <c r="AZ315" s="15" t="s">
        <v>328</v>
      </c>
      <c r="BA315" s="15"/>
      <c r="BB315" s="15"/>
      <c r="BC315" s="15"/>
      <c r="BD315" s="15"/>
      <c r="BE315" s="15" t="s">
        <v>328</v>
      </c>
      <c r="BF315" s="15"/>
      <c r="BG315" s="15"/>
      <c r="BH315" s="15"/>
      <c r="BI315" s="15"/>
      <c r="BJ315" s="15"/>
      <c r="BK315" s="15"/>
      <c r="BL315" s="15" t="s">
        <v>328</v>
      </c>
      <c r="BM315" s="15"/>
      <c r="BN315" s="15" t="s">
        <v>328</v>
      </c>
      <c r="BO315" s="15"/>
      <c r="BP315" s="15"/>
      <c r="BQ315" s="15"/>
      <c r="BR315" s="15" t="s">
        <v>328</v>
      </c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 t="s">
        <v>328</v>
      </c>
      <c r="CF315" s="15"/>
      <c r="CG315" s="15" t="s">
        <v>328</v>
      </c>
      <c r="CH315" s="15"/>
      <c r="CI315" s="15"/>
      <c r="CJ315" s="15"/>
      <c r="CK315" s="15"/>
      <c r="CL315" s="15">
        <v>4</v>
      </c>
      <c r="CM315" s="15">
        <v>1</v>
      </c>
      <c r="CN315" s="15">
        <v>2</v>
      </c>
      <c r="CO315" s="15">
        <v>6</v>
      </c>
      <c r="CP315" s="15">
        <v>5</v>
      </c>
      <c r="CQ315" s="15">
        <v>3</v>
      </c>
      <c r="CR315" s="15"/>
      <c r="CS315" s="15"/>
      <c r="CT315" s="15"/>
      <c r="CU315" s="15"/>
      <c r="CV315" s="15"/>
      <c r="CW315" s="15"/>
      <c r="CX315" s="15" t="s">
        <v>332</v>
      </c>
      <c r="CY315" s="15"/>
      <c r="CZ315" s="15"/>
      <c r="DA315" s="15">
        <v>6</v>
      </c>
      <c r="DB315" s="15">
        <v>1</v>
      </c>
      <c r="DC315" s="15">
        <v>2</v>
      </c>
      <c r="DD315" s="15">
        <v>5</v>
      </c>
      <c r="DE315" s="15">
        <v>4</v>
      </c>
      <c r="DF315" s="15">
        <v>3</v>
      </c>
      <c r="DG315" s="15"/>
      <c r="DH315" s="15"/>
      <c r="DI315" s="15" t="s">
        <v>328</v>
      </c>
      <c r="DJ315" s="15" t="s">
        <v>328</v>
      </c>
      <c r="DK315" s="15" t="s">
        <v>618</v>
      </c>
      <c r="DL315" s="15"/>
      <c r="DM315" s="15" t="s">
        <v>604</v>
      </c>
      <c r="DN315" s="14" t="s">
        <v>333</v>
      </c>
      <c r="DO315" s="15"/>
      <c r="DP315" s="15" t="s">
        <v>328</v>
      </c>
      <c r="DQ315" s="15" t="s">
        <v>328</v>
      </c>
      <c r="DR315" s="15" t="s">
        <v>504</v>
      </c>
      <c r="DS315" s="15"/>
      <c r="DT315" s="15"/>
      <c r="DU315" s="15" t="s">
        <v>410</v>
      </c>
      <c r="DV315" s="15" t="s">
        <v>598</v>
      </c>
      <c r="DW315" s="15" t="s">
        <v>328</v>
      </c>
      <c r="DX315" s="15"/>
      <c r="DY315" s="15"/>
      <c r="DZ315" s="15"/>
      <c r="EA315" s="15"/>
      <c r="EB315" s="15"/>
      <c r="EC315" s="102" t="s">
        <v>333</v>
      </c>
      <c r="ED315" s="99"/>
    </row>
    <row r="316" spans="1:134" x14ac:dyDescent="0.25">
      <c r="A316" s="51" t="s">
        <v>1378</v>
      </c>
      <c r="B316" s="61" t="s">
        <v>1437</v>
      </c>
      <c r="C316" s="15" t="s">
        <v>328</v>
      </c>
      <c r="D316" s="15"/>
      <c r="E316" s="15">
        <v>52</v>
      </c>
      <c r="F316" s="15" t="s">
        <v>329</v>
      </c>
      <c r="G316" s="15" t="s">
        <v>357</v>
      </c>
      <c r="H316" s="18" t="s">
        <v>1415</v>
      </c>
      <c r="I316" s="18" t="s">
        <v>1191</v>
      </c>
      <c r="J316" s="15" t="s">
        <v>1281</v>
      </c>
      <c r="K316" s="15">
        <v>32</v>
      </c>
      <c r="L316" s="15">
        <v>3</v>
      </c>
      <c r="M316" s="15"/>
      <c r="N316" s="15"/>
      <c r="O316" s="15"/>
      <c r="P316" s="15"/>
      <c r="Q316" s="15"/>
      <c r="R316" s="15"/>
      <c r="S316" s="15"/>
      <c r="T316" s="15">
        <v>3</v>
      </c>
      <c r="U316" s="15"/>
      <c r="V316" s="15"/>
      <c r="W316" s="15"/>
      <c r="X316" s="15"/>
      <c r="Y316" s="15"/>
      <c r="Z316" s="15"/>
      <c r="AA316" s="15"/>
      <c r="AB316" s="15" t="s">
        <v>328</v>
      </c>
      <c r="AC316" s="15"/>
      <c r="AD316" s="15"/>
      <c r="AE316" s="15"/>
      <c r="AF316" s="15"/>
      <c r="AG316" s="15"/>
      <c r="AH316" s="15"/>
      <c r="AI316" s="15"/>
      <c r="AJ316" s="15" t="s">
        <v>328</v>
      </c>
      <c r="AK316" s="15"/>
      <c r="AL316" s="15"/>
      <c r="AM316" s="15" t="s">
        <v>328</v>
      </c>
      <c r="AN316" s="15"/>
      <c r="AO316" s="15"/>
      <c r="AP316" s="15">
        <v>10</v>
      </c>
      <c r="AQ316" s="15">
        <v>10</v>
      </c>
      <c r="AR316" s="15"/>
      <c r="AS316" s="15"/>
      <c r="AT316" s="15" t="s">
        <v>328</v>
      </c>
      <c r="AU316" s="15"/>
      <c r="AV316" s="15">
        <v>1</v>
      </c>
      <c r="AW316" s="15">
        <v>3</v>
      </c>
      <c r="AX316" s="15">
        <v>2</v>
      </c>
      <c r="AY316" s="15"/>
      <c r="AZ316" s="15" t="s">
        <v>328</v>
      </c>
      <c r="BA316" s="15"/>
      <c r="BB316" s="15" t="s">
        <v>328</v>
      </c>
      <c r="BC316" s="15"/>
      <c r="BD316" s="15"/>
      <c r="BE316" s="15"/>
      <c r="BF316" s="15"/>
      <c r="BG316" s="15"/>
      <c r="BH316" s="15"/>
      <c r="BI316" s="15"/>
      <c r="BJ316" s="15" t="s">
        <v>328</v>
      </c>
      <c r="BK316" s="15"/>
      <c r="BL316" s="15" t="s">
        <v>328</v>
      </c>
      <c r="BM316" s="15"/>
      <c r="BN316" s="15" t="s">
        <v>328</v>
      </c>
      <c r="BO316" s="15"/>
      <c r="BP316" s="15"/>
      <c r="BQ316" s="15" t="s">
        <v>328</v>
      </c>
      <c r="BR316" s="15" t="s">
        <v>328</v>
      </c>
      <c r="BS316" s="15"/>
      <c r="BT316" s="15" t="s">
        <v>328</v>
      </c>
      <c r="BU316" s="15"/>
      <c r="BV316" s="15"/>
      <c r="BW316" s="15" t="s">
        <v>328</v>
      </c>
      <c r="BX316" s="15" t="s">
        <v>328</v>
      </c>
      <c r="BY316" s="15"/>
      <c r="BZ316" s="15"/>
      <c r="CA316" s="15"/>
      <c r="CB316" s="15"/>
      <c r="CC316" s="14"/>
      <c r="CD316" s="15" t="s">
        <v>328</v>
      </c>
      <c r="CE316" s="15"/>
      <c r="CF316" s="15"/>
      <c r="CG316" s="15" t="s">
        <v>328</v>
      </c>
      <c r="CH316" s="15"/>
      <c r="CI316" s="15"/>
      <c r="CJ316" s="15"/>
      <c r="CK316" s="15"/>
      <c r="CL316" s="15">
        <v>4</v>
      </c>
      <c r="CM316" s="15">
        <v>3</v>
      </c>
      <c r="CN316" s="15">
        <v>6</v>
      </c>
      <c r="CO316" s="15">
        <v>1</v>
      </c>
      <c r="CP316" s="15">
        <v>2</v>
      </c>
      <c r="CQ316" s="15">
        <v>5</v>
      </c>
      <c r="CR316" s="15" t="s">
        <v>328</v>
      </c>
      <c r="CS316" s="15"/>
      <c r="CT316" s="15"/>
      <c r="CU316" s="15"/>
      <c r="CV316" s="15" t="s">
        <v>328</v>
      </c>
      <c r="CW316" s="15"/>
      <c r="CX316" s="15"/>
      <c r="CY316" s="15"/>
      <c r="CZ316" s="15"/>
      <c r="DA316" s="15">
        <v>1</v>
      </c>
      <c r="DB316" s="15">
        <v>6</v>
      </c>
      <c r="DC316" s="15">
        <v>5</v>
      </c>
      <c r="DD316" s="15">
        <v>2</v>
      </c>
      <c r="DE316" s="15">
        <v>4</v>
      </c>
      <c r="DF316" s="15">
        <v>3</v>
      </c>
      <c r="DG316" s="15"/>
      <c r="DH316" s="15" t="s">
        <v>328</v>
      </c>
      <c r="DI316" s="15"/>
      <c r="DJ316" s="15"/>
      <c r="DK316" s="15"/>
      <c r="DL316" s="15"/>
      <c r="DM316" s="15"/>
      <c r="DN316" s="15"/>
      <c r="DO316" s="15" t="s">
        <v>328</v>
      </c>
      <c r="DP316" s="15"/>
      <c r="DQ316" s="15"/>
      <c r="DR316" s="15"/>
      <c r="DS316" s="15"/>
      <c r="DT316" s="15"/>
      <c r="DU316" s="15"/>
      <c r="DV316" s="15"/>
      <c r="DW316" s="15" t="s">
        <v>328</v>
      </c>
      <c r="DX316" s="15"/>
      <c r="DY316" s="15"/>
      <c r="DZ316" s="15"/>
      <c r="EA316" s="15"/>
      <c r="EB316" s="12"/>
      <c r="EC316" s="80"/>
      <c r="ED316" s="99"/>
    </row>
    <row r="317" spans="1:134" x14ac:dyDescent="0.25">
      <c r="A317" s="51" t="s">
        <v>1378</v>
      </c>
      <c r="B317" s="61" t="s">
        <v>1438</v>
      </c>
      <c r="C317" s="15" t="s">
        <v>328</v>
      </c>
      <c r="D317" s="15"/>
      <c r="E317" s="15">
        <v>30</v>
      </c>
      <c r="F317" s="15" t="s">
        <v>329</v>
      </c>
      <c r="G317" s="15" t="s">
        <v>357</v>
      </c>
      <c r="H317" s="15" t="s">
        <v>1107</v>
      </c>
      <c r="I317" s="15" t="s">
        <v>1321</v>
      </c>
      <c r="J317" s="15" t="s">
        <v>1281</v>
      </c>
      <c r="K317" s="15">
        <v>7</v>
      </c>
      <c r="L317" s="15">
        <v>1</v>
      </c>
      <c r="M317" s="15"/>
      <c r="N317" s="15"/>
      <c r="O317" s="15"/>
      <c r="P317" s="15">
        <v>1</v>
      </c>
      <c r="Q317" s="15"/>
      <c r="R317" s="15"/>
      <c r="S317" s="15"/>
      <c r="T317" s="15"/>
      <c r="U317" s="15"/>
      <c r="V317" s="15"/>
      <c r="W317" s="15"/>
      <c r="X317" s="15"/>
      <c r="Y317" s="15"/>
      <c r="Z317" s="15" t="s">
        <v>328</v>
      </c>
      <c r="AA317" s="15"/>
      <c r="AB317" s="15"/>
      <c r="AC317" s="15"/>
      <c r="AD317" s="15"/>
      <c r="AE317" s="15"/>
      <c r="AF317" s="15"/>
      <c r="AG317" s="15" t="s">
        <v>328</v>
      </c>
      <c r="AH317" s="15"/>
      <c r="AI317" s="15"/>
      <c r="AJ317" s="15"/>
      <c r="AK317" s="15"/>
      <c r="AL317" s="15"/>
      <c r="AM317" s="15"/>
      <c r="AN317" s="15"/>
      <c r="AO317" s="15" t="s">
        <v>328</v>
      </c>
      <c r="AP317" s="15">
        <v>10</v>
      </c>
      <c r="AQ317" s="15">
        <v>8</v>
      </c>
      <c r="AR317" s="15"/>
      <c r="AS317" s="15"/>
      <c r="AT317" s="15"/>
      <c r="AU317" s="15" t="s">
        <v>328</v>
      </c>
      <c r="AV317" s="15">
        <v>4</v>
      </c>
      <c r="AW317" s="15">
        <v>3</v>
      </c>
      <c r="AX317" s="15">
        <v>2</v>
      </c>
      <c r="AY317" s="15" t="s">
        <v>346</v>
      </c>
      <c r="AZ317" s="15" t="s">
        <v>328</v>
      </c>
      <c r="BA317" s="15"/>
      <c r="BB317" s="15"/>
      <c r="BC317" s="15"/>
      <c r="BD317" s="15"/>
      <c r="BE317" s="15" t="s">
        <v>328</v>
      </c>
      <c r="BF317" s="15"/>
      <c r="BG317" s="15"/>
      <c r="BH317" s="15"/>
      <c r="BI317" s="15" t="s">
        <v>328</v>
      </c>
      <c r="BJ317" s="15"/>
      <c r="BK317" s="15"/>
      <c r="BL317" s="15"/>
      <c r="BM317" s="15" t="s">
        <v>328</v>
      </c>
      <c r="BN317" s="15"/>
      <c r="BO317" s="15" t="s">
        <v>328</v>
      </c>
      <c r="BP317" s="15" t="s">
        <v>328</v>
      </c>
      <c r="BQ317" s="15"/>
      <c r="BR317" s="15"/>
      <c r="BS317" s="15"/>
      <c r="BT317" s="15" t="s">
        <v>328</v>
      </c>
      <c r="BU317" s="15"/>
      <c r="BV317" s="15"/>
      <c r="BW317" s="15"/>
      <c r="BX317" s="15"/>
      <c r="BY317" s="15"/>
      <c r="BZ317" s="15"/>
      <c r="CA317" s="15" t="s">
        <v>328</v>
      </c>
      <c r="CB317" s="15"/>
      <c r="CC317" s="15"/>
      <c r="CD317" s="15"/>
      <c r="CE317" s="15"/>
      <c r="CF317" s="15"/>
      <c r="CG317" s="15"/>
      <c r="CH317" s="15" t="s">
        <v>328</v>
      </c>
      <c r="CI317" s="15"/>
      <c r="CJ317" s="15"/>
      <c r="CK317" s="15"/>
      <c r="CL317" s="15">
        <v>1</v>
      </c>
      <c r="CM317" s="15">
        <v>4</v>
      </c>
      <c r="CN317" s="15">
        <v>3</v>
      </c>
      <c r="CO317" s="15">
        <v>5</v>
      </c>
      <c r="CP317" s="15">
        <v>2</v>
      </c>
      <c r="CQ317" s="15">
        <v>6</v>
      </c>
      <c r="CR317" s="15"/>
      <c r="CS317" s="15"/>
      <c r="CT317" s="15"/>
      <c r="CU317" s="15"/>
      <c r="CV317" s="15" t="s">
        <v>328</v>
      </c>
      <c r="CW317" s="15"/>
      <c r="CX317" s="15"/>
      <c r="CY317" s="15"/>
      <c r="CZ317" s="15"/>
      <c r="DA317" s="15">
        <v>1</v>
      </c>
      <c r="DB317" s="15">
        <v>3</v>
      </c>
      <c r="DC317" s="15">
        <v>4</v>
      </c>
      <c r="DD317" s="15">
        <v>5</v>
      </c>
      <c r="DE317" s="15">
        <v>2</v>
      </c>
      <c r="DF317" s="15">
        <v>6</v>
      </c>
      <c r="DG317" s="15"/>
      <c r="DH317" s="15" t="s">
        <v>328</v>
      </c>
      <c r="DI317" s="15"/>
      <c r="DJ317" s="15"/>
      <c r="DK317" s="15"/>
      <c r="DL317" s="15"/>
      <c r="DM317" s="15"/>
      <c r="DN317" s="15"/>
      <c r="DO317" s="15" t="s">
        <v>328</v>
      </c>
      <c r="DP317" s="15"/>
      <c r="DQ317" s="15"/>
      <c r="DR317" s="15"/>
      <c r="DS317" s="15"/>
      <c r="DT317" s="15"/>
      <c r="DU317" s="15"/>
      <c r="DV317" s="15"/>
      <c r="DW317" s="15" t="s">
        <v>328</v>
      </c>
      <c r="DX317" s="15"/>
      <c r="DY317" s="15"/>
      <c r="DZ317" s="15"/>
      <c r="EA317" s="15"/>
      <c r="EB317" s="15"/>
      <c r="EC317" s="102"/>
      <c r="ED317" s="99"/>
    </row>
    <row r="318" spans="1:134" x14ac:dyDescent="0.25">
      <c r="A318" s="51" t="s">
        <v>1442</v>
      </c>
      <c r="B318" s="103" t="s">
        <v>1443</v>
      </c>
      <c r="C318" s="15" t="s">
        <v>328</v>
      </c>
      <c r="D318" s="15"/>
      <c r="E318" s="15">
        <v>46</v>
      </c>
      <c r="F318" s="15" t="s">
        <v>329</v>
      </c>
      <c r="G318" s="15" t="s">
        <v>330</v>
      </c>
      <c r="H318" s="15" t="s">
        <v>1444</v>
      </c>
      <c r="I318" s="15" t="s">
        <v>1445</v>
      </c>
      <c r="J318" s="15" t="s">
        <v>1446</v>
      </c>
      <c r="K318" s="15">
        <v>25</v>
      </c>
      <c r="L318" s="15">
        <v>1</v>
      </c>
      <c r="M318" s="15"/>
      <c r="N318" s="15"/>
      <c r="O318" s="15"/>
      <c r="P318" s="15"/>
      <c r="Q318" s="15"/>
      <c r="R318" s="15"/>
      <c r="S318" s="15"/>
      <c r="T318" s="15"/>
      <c r="U318" s="15">
        <v>1</v>
      </c>
      <c r="V318" s="15"/>
      <c r="W318" s="15"/>
      <c r="X318" s="15"/>
      <c r="Y318" s="15"/>
      <c r="Z318" s="15"/>
      <c r="AA318" s="15"/>
      <c r="AB318" s="15"/>
      <c r="AC318" s="15" t="s">
        <v>328</v>
      </c>
      <c r="AD318" s="15" t="s">
        <v>328</v>
      </c>
      <c r="AE318" s="15"/>
      <c r="AF318" s="15"/>
      <c r="AG318" s="15"/>
      <c r="AH318" s="15"/>
      <c r="AI318" s="15"/>
      <c r="AJ318" s="15"/>
      <c r="AK318" s="15" t="s">
        <v>328</v>
      </c>
      <c r="AL318" s="15"/>
      <c r="AM318" s="15" t="s">
        <v>328</v>
      </c>
      <c r="AN318" s="15"/>
      <c r="AO318" s="15"/>
      <c r="AP318" s="15">
        <v>0</v>
      </c>
      <c r="AQ318" s="15">
        <v>0</v>
      </c>
      <c r="AR318" s="15"/>
      <c r="AS318" s="15"/>
      <c r="AT318" s="15" t="s">
        <v>328</v>
      </c>
      <c r="AU318" s="15"/>
      <c r="AV318" s="15">
        <v>1</v>
      </c>
      <c r="AW318" s="15">
        <v>2</v>
      </c>
      <c r="AX318" s="15">
        <v>3</v>
      </c>
      <c r="AY318" s="15"/>
      <c r="AZ318" s="15" t="s">
        <v>328</v>
      </c>
      <c r="BA318" s="15"/>
      <c r="BB318" s="15"/>
      <c r="BC318" s="15" t="s">
        <v>328</v>
      </c>
      <c r="BD318" s="15"/>
      <c r="BE318" s="15"/>
      <c r="BF318" s="15"/>
      <c r="BG318" s="15"/>
      <c r="BH318" s="15"/>
      <c r="BI318" s="15"/>
      <c r="BJ318" s="15"/>
      <c r="BK318" s="15"/>
      <c r="BL318" s="15"/>
      <c r="BM318" s="15" t="s">
        <v>328</v>
      </c>
      <c r="BN318" s="15"/>
      <c r="BO318" s="15" t="s">
        <v>328</v>
      </c>
      <c r="BP318" s="15" t="s">
        <v>328</v>
      </c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 t="s">
        <v>328</v>
      </c>
      <c r="CC318" s="15"/>
      <c r="CD318" s="15" t="s">
        <v>328</v>
      </c>
      <c r="CE318" s="15"/>
      <c r="CF318" s="15"/>
      <c r="CG318" s="15" t="s">
        <v>328</v>
      </c>
      <c r="CH318" s="15"/>
      <c r="CI318" s="15"/>
      <c r="CJ318" s="15"/>
      <c r="CK318" s="15"/>
      <c r="CL318" s="15">
        <v>5</v>
      </c>
      <c r="CM318" s="15">
        <v>1</v>
      </c>
      <c r="CN318" s="15">
        <v>2</v>
      </c>
      <c r="CO318" s="15">
        <v>4</v>
      </c>
      <c r="CP318" s="15">
        <v>3</v>
      </c>
      <c r="CQ318" s="15">
        <v>6</v>
      </c>
      <c r="CR318" s="15"/>
      <c r="CS318" s="15"/>
      <c r="CT318" s="15"/>
      <c r="CU318" s="15"/>
      <c r="CV318" s="15"/>
      <c r="CW318" s="15"/>
      <c r="CX318" s="15" t="s">
        <v>332</v>
      </c>
      <c r="CY318" s="15"/>
      <c r="CZ318" s="15"/>
      <c r="DA318" s="15">
        <v>1</v>
      </c>
      <c r="DB318" s="15">
        <v>4</v>
      </c>
      <c r="DC318" s="15">
        <v>3</v>
      </c>
      <c r="DD318" s="15"/>
      <c r="DE318" s="15">
        <v>2</v>
      </c>
      <c r="DF318" s="15"/>
      <c r="DG318" s="15"/>
      <c r="DH318" s="15" t="s">
        <v>328</v>
      </c>
      <c r="DI318" s="15"/>
      <c r="DJ318" s="15"/>
      <c r="DK318" s="15"/>
      <c r="DL318" s="15"/>
      <c r="DM318" s="15"/>
      <c r="DN318" s="15"/>
      <c r="DO318" s="15" t="s">
        <v>328</v>
      </c>
      <c r="DP318" s="15"/>
      <c r="DQ318" s="15"/>
      <c r="DR318" s="15"/>
      <c r="DS318" s="15"/>
      <c r="DT318" s="15"/>
      <c r="DU318" s="15"/>
      <c r="DV318" s="15"/>
      <c r="DW318" s="15" t="s">
        <v>328</v>
      </c>
      <c r="DX318" s="15"/>
      <c r="DY318" s="15"/>
      <c r="DZ318" s="15"/>
      <c r="EA318" s="15"/>
      <c r="EB318" s="15"/>
      <c r="EC318" s="102"/>
      <c r="ED318" s="99"/>
    </row>
    <row r="319" spans="1:134" x14ac:dyDescent="0.25">
      <c r="A319" s="51" t="s">
        <v>1442</v>
      </c>
      <c r="B319" s="103" t="s">
        <v>1447</v>
      </c>
      <c r="C319" s="15" t="s">
        <v>328</v>
      </c>
      <c r="D319" s="15"/>
      <c r="E319" s="15">
        <v>63</v>
      </c>
      <c r="F319" s="15" t="s">
        <v>329</v>
      </c>
      <c r="G319" s="15" t="s">
        <v>353</v>
      </c>
      <c r="H319" s="15" t="s">
        <v>1448</v>
      </c>
      <c r="I319" s="15" t="s">
        <v>1268</v>
      </c>
      <c r="J319" s="15" t="s">
        <v>1446</v>
      </c>
      <c r="K319" s="15">
        <v>35</v>
      </c>
      <c r="L319" s="15">
        <v>1</v>
      </c>
      <c r="M319" s="15"/>
      <c r="N319" s="15"/>
      <c r="O319" s="15"/>
      <c r="P319" s="15"/>
      <c r="Q319" s="15"/>
      <c r="R319" s="15"/>
      <c r="S319" s="15"/>
      <c r="T319" s="15">
        <v>1</v>
      </c>
      <c r="U319" s="15"/>
      <c r="V319" s="15"/>
      <c r="W319" s="15"/>
      <c r="X319" s="15"/>
      <c r="Y319" s="15"/>
      <c r="Z319" s="15"/>
      <c r="AA319" s="15"/>
      <c r="AB319" s="15"/>
      <c r="AC319" s="15" t="s">
        <v>328</v>
      </c>
      <c r="AD319" s="15"/>
      <c r="AE319" s="15"/>
      <c r="AF319" s="15"/>
      <c r="AG319" s="15"/>
      <c r="AH319" s="15"/>
      <c r="AI319" s="15"/>
      <c r="AJ319" s="15"/>
      <c r="AK319" s="15" t="s">
        <v>328</v>
      </c>
      <c r="AL319" s="15"/>
      <c r="AM319" s="15"/>
      <c r="AN319" s="15" t="s">
        <v>328</v>
      </c>
      <c r="AO319" s="15"/>
      <c r="AP319" s="15">
        <v>10</v>
      </c>
      <c r="AQ319" s="15">
        <v>10</v>
      </c>
      <c r="AR319" s="15"/>
      <c r="AS319" s="15"/>
      <c r="AT319" s="15" t="s">
        <v>328</v>
      </c>
      <c r="AU319" s="15"/>
      <c r="AV319" s="15">
        <v>1</v>
      </c>
      <c r="AW319" s="15">
        <v>3</v>
      </c>
      <c r="AX319" s="15">
        <v>2</v>
      </c>
      <c r="AY319" s="15"/>
      <c r="AZ319" s="15" t="s">
        <v>328</v>
      </c>
      <c r="BA319" s="15"/>
      <c r="BB319" s="15"/>
      <c r="BC319" s="15"/>
      <c r="BD319" s="15"/>
      <c r="BE319" s="15"/>
      <c r="BF319" s="15"/>
      <c r="BG319" s="15" t="s">
        <v>328</v>
      </c>
      <c r="BH319" s="15"/>
      <c r="BI319" s="15"/>
      <c r="BJ319" s="15"/>
      <c r="BK319" s="15"/>
      <c r="BL319" s="15"/>
      <c r="BM319" s="15" t="s">
        <v>328</v>
      </c>
      <c r="BN319" s="15"/>
      <c r="BO319" s="15" t="s">
        <v>328</v>
      </c>
      <c r="BP319" s="15"/>
      <c r="BQ319" s="15"/>
      <c r="BR319" s="15"/>
      <c r="BS319" s="15"/>
      <c r="BT319" s="15"/>
      <c r="BU319" s="15" t="s">
        <v>328</v>
      </c>
      <c r="BV319" s="15"/>
      <c r="BW319" s="15"/>
      <c r="BX319" s="15"/>
      <c r="BY319" s="15"/>
      <c r="BZ319" s="15"/>
      <c r="CA319" s="15"/>
      <c r="CB319" s="15"/>
      <c r="CC319" s="15"/>
      <c r="CD319" s="15"/>
      <c r="CE319" s="15" t="s">
        <v>328</v>
      </c>
      <c r="CF319" s="15"/>
      <c r="CG319" s="15"/>
      <c r="CH319" s="15" t="s">
        <v>328</v>
      </c>
      <c r="CI319" s="15"/>
      <c r="CJ319" s="15"/>
      <c r="CK319" s="15"/>
      <c r="CL319" s="15">
        <v>3</v>
      </c>
      <c r="CM319" s="15">
        <v>4</v>
      </c>
      <c r="CN319" s="15">
        <v>5</v>
      </c>
      <c r="CO319" s="15">
        <v>1</v>
      </c>
      <c r="CP319" s="15">
        <v>2</v>
      </c>
      <c r="CQ319" s="15">
        <v>6</v>
      </c>
      <c r="CR319" s="15"/>
      <c r="CS319" s="15"/>
      <c r="CT319" s="15"/>
      <c r="CU319" s="15"/>
      <c r="CV319" s="15"/>
      <c r="CW319" s="15"/>
      <c r="CX319" s="15" t="s">
        <v>332</v>
      </c>
      <c r="CY319" s="15" t="s">
        <v>328</v>
      </c>
      <c r="CZ319" s="15" t="s">
        <v>700</v>
      </c>
      <c r="DA319" s="15"/>
      <c r="DB319" s="15"/>
      <c r="DC319" s="15"/>
      <c r="DD319" s="15"/>
      <c r="DE319" s="15"/>
      <c r="DF319" s="15"/>
      <c r="DG319" s="15"/>
      <c r="DH319" s="15" t="s">
        <v>328</v>
      </c>
      <c r="DI319" s="15"/>
      <c r="DJ319" s="15"/>
      <c r="DK319" s="15"/>
      <c r="DL319" s="15"/>
      <c r="DM319" s="15"/>
      <c r="DN319" s="15"/>
      <c r="DO319" s="15" t="s">
        <v>328</v>
      </c>
      <c r="DP319" s="15"/>
      <c r="DQ319" s="15"/>
      <c r="DR319" s="15"/>
      <c r="DS319" s="15"/>
      <c r="DT319" s="15"/>
      <c r="DU319" s="15"/>
      <c r="DV319" s="15"/>
      <c r="DW319" s="15" t="s">
        <v>328</v>
      </c>
      <c r="DX319" s="15"/>
      <c r="DY319" s="15"/>
      <c r="DZ319" s="15"/>
      <c r="EA319" s="15"/>
      <c r="EB319" s="15"/>
      <c r="EC319" s="102"/>
      <c r="ED319" s="99"/>
    </row>
    <row r="320" spans="1:134" x14ac:dyDescent="0.25">
      <c r="A320" s="51" t="s">
        <v>1442</v>
      </c>
      <c r="B320" s="103" t="s">
        <v>1449</v>
      </c>
      <c r="C320" s="15" t="s">
        <v>328</v>
      </c>
      <c r="D320" s="15"/>
      <c r="E320" s="15">
        <v>52</v>
      </c>
      <c r="F320" s="15" t="s">
        <v>329</v>
      </c>
      <c r="G320" s="15" t="s">
        <v>353</v>
      </c>
      <c r="H320" s="15" t="s">
        <v>1450</v>
      </c>
      <c r="I320" s="15" t="s">
        <v>1451</v>
      </c>
      <c r="J320" s="15" t="s">
        <v>1446</v>
      </c>
      <c r="K320" s="15">
        <v>0</v>
      </c>
      <c r="L320" s="15">
        <v>2</v>
      </c>
      <c r="M320" s="15"/>
      <c r="N320" s="15"/>
      <c r="O320" s="15"/>
      <c r="P320" s="15"/>
      <c r="Q320" s="15"/>
      <c r="R320" s="15"/>
      <c r="S320" s="15"/>
      <c r="T320" s="15"/>
      <c r="U320" s="15">
        <v>2</v>
      </c>
      <c r="V320" s="15"/>
      <c r="W320" s="15"/>
      <c r="X320" s="15"/>
      <c r="Y320" s="15"/>
      <c r="Z320" s="15"/>
      <c r="AA320" s="15"/>
      <c r="AB320" s="15"/>
      <c r="AC320" s="15"/>
      <c r="AD320" s="15" t="s">
        <v>328</v>
      </c>
      <c r="AE320" s="15"/>
      <c r="AF320" s="15"/>
      <c r="AG320" s="15"/>
      <c r="AH320" s="15"/>
      <c r="AI320" s="15"/>
      <c r="AJ320" s="15" t="s">
        <v>328</v>
      </c>
      <c r="AK320" s="15"/>
      <c r="AL320" s="15"/>
      <c r="AM320" s="15"/>
      <c r="AN320" s="15"/>
      <c r="AO320" s="15" t="s">
        <v>328</v>
      </c>
      <c r="AP320" s="15">
        <v>10</v>
      </c>
      <c r="AQ320" s="15">
        <v>10</v>
      </c>
      <c r="AR320" s="15"/>
      <c r="AS320" s="15" t="s">
        <v>328</v>
      </c>
      <c r="AT320" s="15"/>
      <c r="AU320" s="15"/>
      <c r="AV320" s="15">
        <v>1</v>
      </c>
      <c r="AW320" s="15">
        <v>2</v>
      </c>
      <c r="AX320" s="15">
        <v>3</v>
      </c>
      <c r="AY320" s="15"/>
      <c r="AZ320" s="15" t="s">
        <v>328</v>
      </c>
      <c r="BA320" s="15"/>
      <c r="BB320" s="15"/>
      <c r="BC320" s="15"/>
      <c r="BD320" s="15"/>
      <c r="BE320" s="15" t="s">
        <v>328</v>
      </c>
      <c r="BF320" s="15"/>
      <c r="BG320" s="15"/>
      <c r="BH320" s="15"/>
      <c r="BI320" s="15"/>
      <c r="BJ320" s="15"/>
      <c r="BK320" s="15"/>
      <c r="BL320" s="15"/>
      <c r="BM320" s="15" t="s">
        <v>328</v>
      </c>
      <c r="BN320" s="15"/>
      <c r="BO320" s="15" t="s">
        <v>328</v>
      </c>
      <c r="BP320" s="15"/>
      <c r="BQ320" s="15" t="s">
        <v>328</v>
      </c>
      <c r="BR320" s="15"/>
      <c r="BS320" s="15"/>
      <c r="BT320" s="15"/>
      <c r="BU320" s="15" t="s">
        <v>328</v>
      </c>
      <c r="BV320" s="15"/>
      <c r="BW320" s="15"/>
      <c r="BX320" s="15"/>
      <c r="BY320" s="15"/>
      <c r="BZ320" s="15"/>
      <c r="CA320" s="15"/>
      <c r="CB320" s="15" t="s">
        <v>328</v>
      </c>
      <c r="CC320" s="15"/>
      <c r="CD320" s="15"/>
      <c r="CE320" s="15"/>
      <c r="CF320" s="15"/>
      <c r="CG320" s="15"/>
      <c r="CH320" s="15" t="s">
        <v>328</v>
      </c>
      <c r="CI320" s="15"/>
      <c r="CJ320" s="15"/>
      <c r="CK320" s="15"/>
      <c r="CL320" s="15">
        <v>5</v>
      </c>
      <c r="CM320" s="15">
        <v>1</v>
      </c>
      <c r="CN320" s="15">
        <v>2</v>
      </c>
      <c r="CO320" s="15">
        <v>4</v>
      </c>
      <c r="CP320" s="15">
        <v>3</v>
      </c>
      <c r="CQ320" s="15">
        <v>6</v>
      </c>
      <c r="CR320" s="15"/>
      <c r="CS320" s="15"/>
      <c r="CT320" s="15"/>
      <c r="CU320" s="15"/>
      <c r="CV320" s="15"/>
      <c r="CW320" s="15"/>
      <c r="CX320" s="15" t="s">
        <v>332</v>
      </c>
      <c r="CY320" s="15"/>
      <c r="CZ320" s="15"/>
      <c r="DA320" s="15">
        <v>1</v>
      </c>
      <c r="DB320" s="15"/>
      <c r="DC320" s="15"/>
      <c r="DD320" s="15"/>
      <c r="DE320" s="15">
        <v>2</v>
      </c>
      <c r="DF320" s="15"/>
      <c r="DG320" s="15"/>
      <c r="DH320" s="15" t="s">
        <v>328</v>
      </c>
      <c r="DI320" s="15"/>
      <c r="DJ320" s="15"/>
      <c r="DK320" s="15"/>
      <c r="DL320" s="15"/>
      <c r="DM320" s="15"/>
      <c r="DN320" s="15"/>
      <c r="DO320" s="15" t="s">
        <v>328</v>
      </c>
      <c r="DP320" s="15"/>
      <c r="DQ320" s="15"/>
      <c r="DR320" s="15"/>
      <c r="DS320" s="15"/>
      <c r="DT320" s="15"/>
      <c r="DU320" s="15"/>
      <c r="DV320" s="15"/>
      <c r="DW320" s="15" t="s">
        <v>328</v>
      </c>
      <c r="DX320" s="15"/>
      <c r="DY320" s="15"/>
      <c r="DZ320" s="15"/>
      <c r="EA320" s="15"/>
      <c r="EB320" s="15"/>
      <c r="EC320" s="102"/>
      <c r="ED320" s="99"/>
    </row>
    <row r="321" spans="1:134" x14ac:dyDescent="0.25">
      <c r="A321" s="51" t="s">
        <v>1442</v>
      </c>
      <c r="B321" s="103" t="s">
        <v>1452</v>
      </c>
      <c r="C321" s="15" t="s">
        <v>328</v>
      </c>
      <c r="D321" s="15"/>
      <c r="E321" s="15">
        <v>50</v>
      </c>
      <c r="F321" s="15" t="s">
        <v>329</v>
      </c>
      <c r="G321" s="15" t="s">
        <v>330</v>
      </c>
      <c r="H321" s="15" t="s">
        <v>1448</v>
      </c>
      <c r="I321" s="15" t="s">
        <v>1268</v>
      </c>
      <c r="J321" s="15" t="s">
        <v>1446</v>
      </c>
      <c r="K321" s="15">
        <v>30</v>
      </c>
      <c r="L321" s="15">
        <v>4</v>
      </c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>
        <v>4</v>
      </c>
      <c r="X321" s="15"/>
      <c r="Y321" s="15"/>
      <c r="Z321" s="15"/>
      <c r="AA321" s="15"/>
      <c r="AB321" s="15"/>
      <c r="AC321" s="15"/>
      <c r="AD321" s="15" t="s">
        <v>328</v>
      </c>
      <c r="AE321" s="15"/>
      <c r="AF321" s="15"/>
      <c r="AG321" s="15"/>
      <c r="AH321" s="15"/>
      <c r="AI321" s="15"/>
      <c r="AJ321" s="15" t="s">
        <v>328</v>
      </c>
      <c r="AK321" s="15"/>
      <c r="AL321" s="15"/>
      <c r="AM321" s="15"/>
      <c r="AN321" s="15"/>
      <c r="AO321" s="15" t="s">
        <v>328</v>
      </c>
      <c r="AP321" s="15">
        <v>10</v>
      </c>
      <c r="AQ321" s="15">
        <v>10</v>
      </c>
      <c r="AR321" s="15"/>
      <c r="AS321" s="15" t="s">
        <v>328</v>
      </c>
      <c r="AT321" s="15"/>
      <c r="AU321" s="15"/>
      <c r="AV321" s="15">
        <v>1</v>
      </c>
      <c r="AW321" s="15">
        <v>3</v>
      </c>
      <c r="AX321" s="15">
        <v>2</v>
      </c>
      <c r="AY321" s="15"/>
      <c r="AZ321" s="15" t="s">
        <v>328</v>
      </c>
      <c r="BA321" s="15"/>
      <c r="BB321" s="15"/>
      <c r="BC321" s="15"/>
      <c r="BD321" s="15"/>
      <c r="BE321" s="15" t="s">
        <v>328</v>
      </c>
      <c r="BF321" s="15"/>
      <c r="BG321" s="15"/>
      <c r="BH321" s="15"/>
      <c r="BI321" s="15"/>
      <c r="BJ321" s="15"/>
      <c r="BK321" s="15"/>
      <c r="BL321" s="15"/>
      <c r="BM321" s="15" t="s">
        <v>328</v>
      </c>
      <c r="BN321" s="15"/>
      <c r="BO321" s="15" t="s">
        <v>328</v>
      </c>
      <c r="BP321" s="15"/>
      <c r="BQ321" s="15" t="s">
        <v>328</v>
      </c>
      <c r="BR321" s="15"/>
      <c r="BS321" s="15"/>
      <c r="BT321" s="15" t="s">
        <v>328</v>
      </c>
      <c r="BU321" s="15"/>
      <c r="BV321" s="15"/>
      <c r="BW321" s="15"/>
      <c r="BX321" s="15"/>
      <c r="BY321" s="15"/>
      <c r="BZ321" s="15"/>
      <c r="CA321" s="15" t="s">
        <v>328</v>
      </c>
      <c r="CB321" s="15" t="s">
        <v>328</v>
      </c>
      <c r="CC321" s="15"/>
      <c r="CD321" s="15"/>
      <c r="CE321" s="15"/>
      <c r="CF321" s="15"/>
      <c r="CG321" s="15" t="s">
        <v>328</v>
      </c>
      <c r="CH321" s="15"/>
      <c r="CI321" s="15"/>
      <c r="CJ321" s="15"/>
      <c r="CK321" s="15"/>
      <c r="CL321" s="15">
        <v>6</v>
      </c>
      <c r="CM321" s="15">
        <v>3</v>
      </c>
      <c r="CN321" s="15">
        <v>4</v>
      </c>
      <c r="CO321" s="15">
        <v>1</v>
      </c>
      <c r="CP321" s="15">
        <v>2</v>
      </c>
      <c r="CQ321" s="15">
        <v>5</v>
      </c>
      <c r="CR321" s="15"/>
      <c r="CS321" s="15"/>
      <c r="CT321" s="15"/>
      <c r="CU321" s="15"/>
      <c r="CV321" s="15"/>
      <c r="CW321" s="15"/>
      <c r="CX321" s="15" t="s">
        <v>332</v>
      </c>
      <c r="CY321" s="15"/>
      <c r="CZ321" s="15"/>
      <c r="DA321" s="15">
        <v>1</v>
      </c>
      <c r="DB321" s="15">
        <v>3</v>
      </c>
      <c r="DC321" s="15">
        <v>4</v>
      </c>
      <c r="DD321" s="15">
        <v>5</v>
      </c>
      <c r="DE321" s="15">
        <v>2</v>
      </c>
      <c r="DF321" s="15"/>
      <c r="DG321" s="15"/>
      <c r="DH321" s="15" t="s">
        <v>328</v>
      </c>
      <c r="DI321" s="15"/>
      <c r="DJ321" s="15"/>
      <c r="DK321" s="15"/>
      <c r="DL321" s="15"/>
      <c r="DM321" s="15"/>
      <c r="DN321" s="15"/>
      <c r="DO321" s="15" t="s">
        <v>328</v>
      </c>
      <c r="DP321" s="15"/>
      <c r="DQ321" s="15"/>
      <c r="DR321" s="15"/>
      <c r="DS321" s="15"/>
      <c r="DT321" s="15"/>
      <c r="DU321" s="15"/>
      <c r="DV321" s="15"/>
      <c r="DW321" s="15" t="s">
        <v>328</v>
      </c>
      <c r="DX321" s="15"/>
      <c r="DY321" s="15"/>
      <c r="DZ321" s="15"/>
      <c r="EA321" s="15"/>
      <c r="EB321" s="15"/>
      <c r="EC321" s="102"/>
      <c r="ED321" s="99"/>
    </row>
    <row r="322" spans="1:134" x14ac:dyDescent="0.25">
      <c r="A322" s="51" t="s">
        <v>1442</v>
      </c>
      <c r="B322" s="103" t="s">
        <v>1453</v>
      </c>
      <c r="C322" s="15" t="s">
        <v>328</v>
      </c>
      <c r="D322" s="15"/>
      <c r="E322" s="15">
        <v>49</v>
      </c>
      <c r="F322" s="15" t="s">
        <v>329</v>
      </c>
      <c r="G322" s="15" t="s">
        <v>330</v>
      </c>
      <c r="H322" s="15" t="s">
        <v>1454</v>
      </c>
      <c r="I322" s="15" t="s">
        <v>1455</v>
      </c>
      <c r="J322" s="15" t="s">
        <v>1446</v>
      </c>
      <c r="K322" s="15">
        <v>0</v>
      </c>
      <c r="L322" s="15">
        <v>2</v>
      </c>
      <c r="M322" s="15">
        <v>2</v>
      </c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 t="s">
        <v>328</v>
      </c>
      <c r="AE322" s="15"/>
      <c r="AF322" s="15" t="s">
        <v>328</v>
      </c>
      <c r="AG322" s="15"/>
      <c r="AH322" s="15"/>
      <c r="AI322" s="15"/>
      <c r="AJ322" s="15" t="s">
        <v>328</v>
      </c>
      <c r="AK322" s="15"/>
      <c r="AL322" s="15"/>
      <c r="AM322" s="15"/>
      <c r="AN322" s="15"/>
      <c r="AO322" s="15" t="s">
        <v>328</v>
      </c>
      <c r="AP322" s="15">
        <v>10</v>
      </c>
      <c r="AQ322" s="15">
        <v>10</v>
      </c>
      <c r="AR322" s="15"/>
      <c r="AS322" s="15"/>
      <c r="AT322" s="15" t="s">
        <v>328</v>
      </c>
      <c r="AU322" s="15"/>
      <c r="AV322" s="15">
        <v>1</v>
      </c>
      <c r="AW322" s="15">
        <v>2</v>
      </c>
      <c r="AX322" s="15">
        <v>3</v>
      </c>
      <c r="AY322" s="15"/>
      <c r="AZ322" s="15" t="s">
        <v>328</v>
      </c>
      <c r="BA322" s="15"/>
      <c r="BB322" s="15"/>
      <c r="BC322" s="15"/>
      <c r="BD322" s="15"/>
      <c r="BE322" s="15"/>
      <c r="BF322" s="15"/>
      <c r="BG322" s="15"/>
      <c r="BH322" s="15"/>
      <c r="BI322" s="15" t="s">
        <v>328</v>
      </c>
      <c r="BJ322" s="15"/>
      <c r="BK322" s="15"/>
      <c r="BL322" s="15"/>
      <c r="BM322" s="15" t="s">
        <v>328</v>
      </c>
      <c r="BN322" s="15"/>
      <c r="BO322" s="15" t="s">
        <v>328</v>
      </c>
      <c r="BP322" s="15"/>
      <c r="BQ322" s="15"/>
      <c r="BR322" s="15"/>
      <c r="BS322" s="15"/>
      <c r="BT322" s="15" t="s">
        <v>328</v>
      </c>
      <c r="BU322" s="15"/>
      <c r="BV322" s="15"/>
      <c r="BW322" s="15"/>
      <c r="BX322" s="15"/>
      <c r="BY322" s="15"/>
      <c r="BZ322" s="15" t="s">
        <v>328</v>
      </c>
      <c r="CA322" s="15"/>
      <c r="CB322" s="15" t="s">
        <v>328</v>
      </c>
      <c r="CC322" s="15"/>
      <c r="CD322" s="15"/>
      <c r="CE322" s="15"/>
      <c r="CF322" s="15"/>
      <c r="CG322" s="15"/>
      <c r="CH322" s="15" t="s">
        <v>328</v>
      </c>
      <c r="CI322" s="15"/>
      <c r="CJ322" s="15"/>
      <c r="CK322" s="15"/>
      <c r="CL322" s="15">
        <v>2</v>
      </c>
      <c r="CM322" s="15">
        <v>3</v>
      </c>
      <c r="CN322" s="15">
        <v>6</v>
      </c>
      <c r="CO322" s="15">
        <v>4</v>
      </c>
      <c r="CP322" s="15">
        <v>5</v>
      </c>
      <c r="CQ322" s="15">
        <v>1</v>
      </c>
      <c r="CR322" s="15"/>
      <c r="CS322" s="15" t="s">
        <v>328</v>
      </c>
      <c r="CT322" s="15"/>
      <c r="CU322" s="15"/>
      <c r="CV322" s="15"/>
      <c r="CW322" s="15"/>
      <c r="CX322" s="15"/>
      <c r="CY322" s="15"/>
      <c r="CZ322" s="15"/>
      <c r="DA322" s="15">
        <v>1</v>
      </c>
      <c r="DB322" s="15"/>
      <c r="DC322" s="15">
        <v>2</v>
      </c>
      <c r="DD322" s="15">
        <v>4</v>
      </c>
      <c r="DE322" s="15">
        <v>3</v>
      </c>
      <c r="DF322" s="15"/>
      <c r="DG322" s="15"/>
      <c r="DH322" s="15" t="s">
        <v>328</v>
      </c>
      <c r="DI322" s="15"/>
      <c r="DJ322" s="15"/>
      <c r="DK322" s="15"/>
      <c r="DL322" s="15"/>
      <c r="DM322" s="15"/>
      <c r="DN322" s="15"/>
      <c r="DO322" s="15"/>
      <c r="DP322" s="15" t="s">
        <v>328</v>
      </c>
      <c r="DQ322" s="15" t="s">
        <v>328</v>
      </c>
      <c r="DR322" s="15" t="s">
        <v>1456</v>
      </c>
      <c r="DS322" s="15"/>
      <c r="DT322" s="15"/>
      <c r="DU322" s="15"/>
      <c r="DV322" s="15"/>
      <c r="DW322" s="15" t="s">
        <v>328</v>
      </c>
      <c r="DX322" s="15"/>
      <c r="DY322" s="15"/>
      <c r="DZ322" s="15"/>
      <c r="EA322" s="15"/>
      <c r="EB322" s="15"/>
      <c r="EC322" s="102"/>
      <c r="ED322" s="99"/>
    </row>
    <row r="323" spans="1:134" x14ac:dyDescent="0.25">
      <c r="A323" s="51" t="s">
        <v>1442</v>
      </c>
      <c r="B323" s="103" t="s">
        <v>1457</v>
      </c>
      <c r="C323" s="15" t="s">
        <v>328</v>
      </c>
      <c r="D323" s="15"/>
      <c r="E323" s="15">
        <v>54</v>
      </c>
      <c r="F323" s="15" t="s">
        <v>329</v>
      </c>
      <c r="G323" s="15" t="s">
        <v>330</v>
      </c>
      <c r="H323" s="15" t="s">
        <v>1458</v>
      </c>
      <c r="I323" s="15" t="s">
        <v>1459</v>
      </c>
      <c r="J323" s="15" t="s">
        <v>1292</v>
      </c>
      <c r="K323" s="15">
        <v>30</v>
      </c>
      <c r="L323" s="15">
        <v>2</v>
      </c>
      <c r="M323" s="15"/>
      <c r="N323" s="15"/>
      <c r="O323" s="15"/>
      <c r="P323" s="15"/>
      <c r="Q323" s="15"/>
      <c r="R323" s="15"/>
      <c r="S323" s="15"/>
      <c r="T323" s="15"/>
      <c r="U323" s="15">
        <v>2</v>
      </c>
      <c r="V323" s="15"/>
      <c r="W323" s="15"/>
      <c r="X323" s="15"/>
      <c r="Y323" s="15"/>
      <c r="Z323" s="15"/>
      <c r="AA323" s="15"/>
      <c r="AB323" s="15"/>
      <c r="AC323" s="15"/>
      <c r="AD323" s="15" t="s">
        <v>328</v>
      </c>
      <c r="AE323" s="15"/>
      <c r="AF323" s="15"/>
      <c r="AG323" s="15"/>
      <c r="AH323" s="15"/>
      <c r="AI323" s="15"/>
      <c r="AJ323" s="15" t="s">
        <v>328</v>
      </c>
      <c r="AK323" s="15"/>
      <c r="AL323" s="15"/>
      <c r="AM323" s="15"/>
      <c r="AN323" s="15"/>
      <c r="AO323" s="15" t="s">
        <v>328</v>
      </c>
      <c r="AP323" s="15">
        <v>10</v>
      </c>
      <c r="AQ323" s="15">
        <v>10</v>
      </c>
      <c r="AR323" s="15"/>
      <c r="AS323" s="15"/>
      <c r="AT323" s="15" t="s">
        <v>328</v>
      </c>
      <c r="AU323" s="15"/>
      <c r="AV323" s="15">
        <v>1</v>
      </c>
      <c r="AW323" s="15">
        <v>2</v>
      </c>
      <c r="AX323" s="15">
        <v>3</v>
      </c>
      <c r="AY323" s="15"/>
      <c r="AZ323" s="15" t="s">
        <v>328</v>
      </c>
      <c r="BA323" s="15"/>
      <c r="BB323" s="15"/>
      <c r="BC323" s="15"/>
      <c r="BD323" s="15"/>
      <c r="BE323" s="15"/>
      <c r="BF323" s="15"/>
      <c r="BG323" s="15"/>
      <c r="BH323" s="15"/>
      <c r="BI323" s="15" t="s">
        <v>328</v>
      </c>
      <c r="BJ323" s="15"/>
      <c r="BK323" s="15"/>
      <c r="BL323" s="15"/>
      <c r="BM323" s="15" t="s">
        <v>328</v>
      </c>
      <c r="BN323" s="15"/>
      <c r="BO323" s="15" t="s">
        <v>328</v>
      </c>
      <c r="BP323" s="15"/>
      <c r="BQ323" s="15"/>
      <c r="BR323" s="15"/>
      <c r="BS323" s="15"/>
      <c r="BT323" s="15" t="s">
        <v>328</v>
      </c>
      <c r="BU323" s="15"/>
      <c r="BV323" s="15"/>
      <c r="BW323" s="15"/>
      <c r="BX323" s="15"/>
      <c r="BY323" s="15"/>
      <c r="BZ323" s="15"/>
      <c r="CA323" s="15"/>
      <c r="CB323" s="15" t="s">
        <v>328</v>
      </c>
      <c r="CC323" s="15"/>
      <c r="CD323" s="15"/>
      <c r="CE323" s="15" t="s">
        <v>328</v>
      </c>
      <c r="CF323" s="15"/>
      <c r="CG323" s="15"/>
      <c r="CH323" s="15" t="s">
        <v>328</v>
      </c>
      <c r="CI323" s="15"/>
      <c r="CJ323" s="15"/>
      <c r="CK323" s="15"/>
      <c r="CL323" s="15">
        <v>4</v>
      </c>
      <c r="CM323" s="15">
        <v>1</v>
      </c>
      <c r="CN323" s="15">
        <v>2</v>
      </c>
      <c r="CO323" s="15">
        <v>5</v>
      </c>
      <c r="CP323" s="15">
        <v>6</v>
      </c>
      <c r="CQ323" s="15">
        <v>3</v>
      </c>
      <c r="CR323" s="15"/>
      <c r="CS323" s="15"/>
      <c r="CT323" s="15"/>
      <c r="CU323" s="15"/>
      <c r="CV323" s="15"/>
      <c r="CW323" s="15"/>
      <c r="CX323" s="15" t="s">
        <v>332</v>
      </c>
      <c r="CY323" s="15"/>
      <c r="CZ323" s="15"/>
      <c r="DA323" s="15">
        <v>2</v>
      </c>
      <c r="DB323" s="15"/>
      <c r="DC323" s="15"/>
      <c r="DD323" s="15"/>
      <c r="DE323" s="15">
        <v>1</v>
      </c>
      <c r="DF323" s="15"/>
      <c r="DG323" s="15"/>
      <c r="DH323" s="15" t="s">
        <v>328</v>
      </c>
      <c r="DI323" s="15"/>
      <c r="DJ323" s="15"/>
      <c r="DK323" s="15"/>
      <c r="DL323" s="15"/>
      <c r="DM323" s="15"/>
      <c r="DN323" s="15"/>
      <c r="DO323" s="15" t="s">
        <v>328</v>
      </c>
      <c r="DP323" s="15"/>
      <c r="DQ323" s="15"/>
      <c r="DR323" s="15"/>
      <c r="DS323" s="15"/>
      <c r="DT323" s="15"/>
      <c r="DU323" s="15"/>
      <c r="DV323" s="15"/>
      <c r="DW323" s="15" t="s">
        <v>328</v>
      </c>
      <c r="DX323" s="15"/>
      <c r="DY323" s="15"/>
      <c r="DZ323" s="15"/>
      <c r="EA323" s="15"/>
      <c r="EB323" s="15"/>
      <c r="EC323" s="102"/>
      <c r="ED323" s="99"/>
    </row>
    <row r="324" spans="1:134" x14ac:dyDescent="0.25">
      <c r="A324" s="51" t="s">
        <v>1442</v>
      </c>
      <c r="B324" s="103" t="s">
        <v>1460</v>
      </c>
      <c r="C324" s="15" t="s">
        <v>328</v>
      </c>
      <c r="D324" s="15"/>
      <c r="E324" s="15">
        <v>51</v>
      </c>
      <c r="F324" s="15" t="s">
        <v>329</v>
      </c>
      <c r="G324" s="15" t="s">
        <v>353</v>
      </c>
      <c r="H324" s="15" t="s">
        <v>1448</v>
      </c>
      <c r="I324" s="15" t="s">
        <v>1268</v>
      </c>
      <c r="J324" s="15" t="s">
        <v>1446</v>
      </c>
      <c r="K324" s="15">
        <v>30</v>
      </c>
      <c r="L324" s="15">
        <v>1</v>
      </c>
      <c r="M324" s="15"/>
      <c r="N324" s="15"/>
      <c r="O324" s="15"/>
      <c r="P324" s="15"/>
      <c r="Q324" s="15"/>
      <c r="R324" s="15"/>
      <c r="S324" s="15"/>
      <c r="T324" s="15">
        <v>1</v>
      </c>
      <c r="U324" s="15"/>
      <c r="V324" s="15"/>
      <c r="W324" s="15"/>
      <c r="X324" s="15"/>
      <c r="Y324" s="15"/>
      <c r="Z324" s="15"/>
      <c r="AA324" s="15"/>
      <c r="AB324" s="15"/>
      <c r="AC324" s="15"/>
      <c r="AD324" s="15" t="s">
        <v>328</v>
      </c>
      <c r="AE324" s="15"/>
      <c r="AF324" s="15"/>
      <c r="AG324" s="15"/>
      <c r="AH324" s="15"/>
      <c r="AI324" s="15"/>
      <c r="AJ324" s="15"/>
      <c r="AK324" s="15" t="s">
        <v>328</v>
      </c>
      <c r="AL324" s="15"/>
      <c r="AM324" s="15" t="s">
        <v>328</v>
      </c>
      <c r="AN324" s="15"/>
      <c r="AO324" s="15"/>
      <c r="AP324" s="15">
        <v>10</v>
      </c>
      <c r="AQ324" s="15">
        <v>4</v>
      </c>
      <c r="AR324" s="15"/>
      <c r="AS324" s="15" t="s">
        <v>328</v>
      </c>
      <c r="AT324" s="15"/>
      <c r="AU324" s="15"/>
      <c r="AV324" s="15">
        <v>1</v>
      </c>
      <c r="AW324" s="15">
        <v>2</v>
      </c>
      <c r="AX324" s="15">
        <v>3</v>
      </c>
      <c r="AY324" s="15"/>
      <c r="AZ324" s="15" t="s">
        <v>328</v>
      </c>
      <c r="BA324" s="15"/>
      <c r="BB324" s="15" t="s">
        <v>328</v>
      </c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 t="s">
        <v>328</v>
      </c>
      <c r="BN324" s="15"/>
      <c r="BO324" s="15" t="s">
        <v>328</v>
      </c>
      <c r="BP324" s="15"/>
      <c r="BQ324" s="15"/>
      <c r="BR324" s="15"/>
      <c r="BS324" s="15"/>
      <c r="BT324" s="15"/>
      <c r="BU324" s="15" t="s">
        <v>328</v>
      </c>
      <c r="BV324" s="15"/>
      <c r="BW324" s="15"/>
      <c r="BX324" s="15"/>
      <c r="BY324" s="15"/>
      <c r="BZ324" s="15"/>
      <c r="CA324" s="15"/>
      <c r="CB324" s="15" t="s">
        <v>328</v>
      </c>
      <c r="CC324" s="15"/>
      <c r="CD324" s="15" t="s">
        <v>328</v>
      </c>
      <c r="CE324" s="15" t="s">
        <v>328</v>
      </c>
      <c r="CF324" s="15"/>
      <c r="CG324" s="15"/>
      <c r="CH324" s="15" t="s">
        <v>328</v>
      </c>
      <c r="CI324" s="15"/>
      <c r="CJ324" s="15"/>
      <c r="CK324" s="15"/>
      <c r="CL324" s="15">
        <v>1</v>
      </c>
      <c r="CM324" s="15">
        <v>3</v>
      </c>
      <c r="CN324" s="15">
        <v>4</v>
      </c>
      <c r="CO324" s="15">
        <v>5</v>
      </c>
      <c r="CP324" s="15">
        <v>6</v>
      </c>
      <c r="CQ324" s="15">
        <v>2</v>
      </c>
      <c r="CR324" s="15"/>
      <c r="CS324" s="15"/>
      <c r="CT324" s="15"/>
      <c r="CU324" s="15"/>
      <c r="CV324" s="15" t="s">
        <v>328</v>
      </c>
      <c r="CW324" s="15"/>
      <c r="CX324" s="15"/>
      <c r="CY324" s="15"/>
      <c r="CZ324" s="15"/>
      <c r="DA324" s="15">
        <v>1</v>
      </c>
      <c r="DB324" s="15">
        <v>2</v>
      </c>
      <c r="DC324" s="15">
        <v>3</v>
      </c>
      <c r="DD324" s="15"/>
      <c r="DE324" s="15"/>
      <c r="DF324" s="15"/>
      <c r="DG324" s="15"/>
      <c r="DH324" s="15" t="s">
        <v>328</v>
      </c>
      <c r="DI324" s="15"/>
      <c r="DJ324" s="15"/>
      <c r="DK324" s="15"/>
      <c r="DL324" s="15"/>
      <c r="DM324" s="15"/>
      <c r="DN324" s="15"/>
      <c r="DO324" s="15" t="s">
        <v>328</v>
      </c>
      <c r="DP324" s="15"/>
      <c r="DQ324" s="15"/>
      <c r="DR324" s="15"/>
      <c r="DS324" s="15"/>
      <c r="DT324" s="15"/>
      <c r="DU324" s="15"/>
      <c r="DV324" s="15"/>
      <c r="DW324" s="15" t="s">
        <v>328</v>
      </c>
      <c r="DX324" s="15"/>
      <c r="DY324" s="15"/>
      <c r="DZ324" s="15"/>
      <c r="EA324" s="15"/>
      <c r="EB324" s="15"/>
      <c r="EC324" s="102"/>
      <c r="ED324" s="99"/>
    </row>
    <row r="325" spans="1:134" x14ac:dyDescent="0.25">
      <c r="A325" s="51" t="s">
        <v>1442</v>
      </c>
      <c r="B325" s="103" t="s">
        <v>1461</v>
      </c>
      <c r="C325" s="15" t="s">
        <v>328</v>
      </c>
      <c r="D325" s="15"/>
      <c r="E325" s="15">
        <v>49</v>
      </c>
      <c r="F325" s="15" t="s">
        <v>329</v>
      </c>
      <c r="G325" s="15" t="s">
        <v>353</v>
      </c>
      <c r="H325" s="15" t="s">
        <v>1454</v>
      </c>
      <c r="I325" s="15" t="s">
        <v>1455</v>
      </c>
      <c r="J325" s="15" t="s">
        <v>1446</v>
      </c>
      <c r="K325" s="15">
        <v>30</v>
      </c>
      <c r="L325" s="15">
        <v>1</v>
      </c>
      <c r="M325" s="15">
        <v>1</v>
      </c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 t="s">
        <v>328</v>
      </c>
      <c r="AE325" s="15"/>
      <c r="AF325" s="15" t="s">
        <v>328</v>
      </c>
      <c r="AG325" s="15"/>
      <c r="AH325" s="15"/>
      <c r="AI325" s="15"/>
      <c r="AJ325" s="15"/>
      <c r="AK325" s="15" t="s">
        <v>328</v>
      </c>
      <c r="AL325" s="15"/>
      <c r="AM325" s="15" t="s">
        <v>328</v>
      </c>
      <c r="AN325" s="15"/>
      <c r="AO325" s="15"/>
      <c r="AP325" s="15">
        <v>10</v>
      </c>
      <c r="AQ325" s="15">
        <v>10</v>
      </c>
      <c r="AR325" s="15"/>
      <c r="AS325" s="15"/>
      <c r="AT325" s="15" t="s">
        <v>328</v>
      </c>
      <c r="AU325" s="15"/>
      <c r="AV325" s="15">
        <v>1</v>
      </c>
      <c r="AW325" s="15">
        <v>2</v>
      </c>
      <c r="AX325" s="15">
        <v>3</v>
      </c>
      <c r="AY325" s="15"/>
      <c r="AZ325" s="15" t="s">
        <v>328</v>
      </c>
      <c r="BA325" s="15"/>
      <c r="BB325" s="15" t="s">
        <v>328</v>
      </c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 t="s">
        <v>328</v>
      </c>
      <c r="BN325" s="15"/>
      <c r="BO325" s="15" t="s">
        <v>328</v>
      </c>
      <c r="BP325" s="15" t="s">
        <v>328</v>
      </c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 t="s">
        <v>328</v>
      </c>
      <c r="CD325" s="15" t="s">
        <v>328</v>
      </c>
      <c r="CE325" s="15"/>
      <c r="CF325" s="15"/>
      <c r="CG325" s="15"/>
      <c r="CH325" s="15" t="s">
        <v>328</v>
      </c>
      <c r="CI325" s="15"/>
      <c r="CJ325" s="15"/>
      <c r="CK325" s="15"/>
      <c r="CL325" s="15">
        <v>3</v>
      </c>
      <c r="CM325" s="15">
        <v>1</v>
      </c>
      <c r="CN325" s="15">
        <v>2</v>
      </c>
      <c r="CO325" s="15">
        <v>5</v>
      </c>
      <c r="CP325" s="15">
        <v>6</v>
      </c>
      <c r="CQ325" s="15">
        <v>4</v>
      </c>
      <c r="CR325" s="15"/>
      <c r="CS325" s="15"/>
      <c r="CT325" s="15"/>
      <c r="CU325" s="15"/>
      <c r="CV325" s="15"/>
      <c r="CW325" s="15"/>
      <c r="CX325" s="15" t="s">
        <v>332</v>
      </c>
      <c r="CY325" s="15"/>
      <c r="CZ325" s="15"/>
      <c r="DA325" s="15">
        <v>1</v>
      </c>
      <c r="DB325" s="15"/>
      <c r="DC325" s="15"/>
      <c r="DD325" s="15"/>
      <c r="DE325" s="15">
        <v>2</v>
      </c>
      <c r="DF325" s="15"/>
      <c r="DG325" s="15"/>
      <c r="DH325" s="15" t="s">
        <v>328</v>
      </c>
      <c r="DI325" s="15"/>
      <c r="DJ325" s="15"/>
      <c r="DK325" s="15"/>
      <c r="DL325" s="15"/>
      <c r="DM325" s="15"/>
      <c r="DN325" s="15"/>
      <c r="DO325" s="15" t="s">
        <v>328</v>
      </c>
      <c r="DP325" s="15"/>
      <c r="DQ325" s="15"/>
      <c r="DR325" s="15"/>
      <c r="DS325" s="15"/>
      <c r="DT325" s="15"/>
      <c r="DU325" s="15"/>
      <c r="DV325" s="15"/>
      <c r="DW325" s="15" t="s">
        <v>328</v>
      </c>
      <c r="DX325" s="15"/>
      <c r="DY325" s="15"/>
      <c r="DZ325" s="15"/>
      <c r="EA325" s="15"/>
      <c r="EB325" s="15"/>
      <c r="EC325" s="102"/>
      <c r="ED325" s="99"/>
    </row>
    <row r="326" spans="1:134" x14ac:dyDescent="0.25">
      <c r="A326" s="51" t="s">
        <v>1442</v>
      </c>
      <c r="B326" s="103" t="s">
        <v>1462</v>
      </c>
      <c r="C326" s="15" t="s">
        <v>328</v>
      </c>
      <c r="D326" s="15"/>
      <c r="E326" s="15">
        <v>53</v>
      </c>
      <c r="F326" s="15" t="s">
        <v>329</v>
      </c>
      <c r="G326" s="15" t="s">
        <v>330</v>
      </c>
      <c r="H326" s="15" t="s">
        <v>1463</v>
      </c>
      <c r="I326" s="15" t="s">
        <v>1464</v>
      </c>
      <c r="J326" s="15" t="s">
        <v>1339</v>
      </c>
      <c r="K326" s="15">
        <v>30</v>
      </c>
      <c r="L326" s="15">
        <v>2</v>
      </c>
      <c r="M326" s="15">
        <v>2</v>
      </c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 t="s">
        <v>328</v>
      </c>
      <c r="AE326" s="15"/>
      <c r="AF326" s="15" t="s">
        <v>328</v>
      </c>
      <c r="AG326" s="15"/>
      <c r="AH326" s="15"/>
      <c r="AI326" s="15"/>
      <c r="AJ326" s="15"/>
      <c r="AK326" s="15" t="s">
        <v>328</v>
      </c>
      <c r="AL326" s="15"/>
      <c r="AM326" s="15" t="s">
        <v>328</v>
      </c>
      <c r="AN326" s="15"/>
      <c r="AO326" s="15"/>
      <c r="AP326" s="15">
        <v>10</v>
      </c>
      <c r="AQ326" s="15">
        <v>10</v>
      </c>
      <c r="AR326" s="15"/>
      <c r="AS326" s="15" t="s">
        <v>328</v>
      </c>
      <c r="AT326" s="15"/>
      <c r="AU326" s="15"/>
      <c r="AV326" s="15">
        <v>1</v>
      </c>
      <c r="AW326" s="15">
        <v>3</v>
      </c>
      <c r="AX326" s="15">
        <v>2</v>
      </c>
      <c r="AY326" s="15"/>
      <c r="AZ326" s="15" t="s">
        <v>328</v>
      </c>
      <c r="BA326" s="15"/>
      <c r="BB326" s="15" t="s">
        <v>328</v>
      </c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 t="s">
        <v>328</v>
      </c>
      <c r="BN326" s="15" t="s">
        <v>328</v>
      </c>
      <c r="BO326" s="15"/>
      <c r="BP326" s="15" t="s">
        <v>328</v>
      </c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 t="s">
        <v>328</v>
      </c>
      <c r="CC326" s="15"/>
      <c r="CD326" s="15"/>
      <c r="CE326" s="15"/>
      <c r="CF326" s="14" t="s">
        <v>579</v>
      </c>
      <c r="CG326" s="15"/>
      <c r="CH326" s="15" t="s">
        <v>328</v>
      </c>
      <c r="CI326" s="15"/>
      <c r="CJ326" s="15"/>
      <c r="CK326" s="15"/>
      <c r="CL326" s="15">
        <v>6</v>
      </c>
      <c r="CM326" s="15">
        <v>1</v>
      </c>
      <c r="CN326" s="15">
        <v>2</v>
      </c>
      <c r="CO326" s="15">
        <v>4</v>
      </c>
      <c r="CP326" s="15">
        <v>5</v>
      </c>
      <c r="CQ326" s="15">
        <v>3</v>
      </c>
      <c r="CR326" s="15"/>
      <c r="CS326" s="15"/>
      <c r="CT326" s="15"/>
      <c r="CU326" s="15"/>
      <c r="CV326" s="15"/>
      <c r="CW326" s="15"/>
      <c r="CX326" s="15" t="s">
        <v>332</v>
      </c>
      <c r="CY326" s="15"/>
      <c r="CZ326" s="15"/>
      <c r="DA326" s="15">
        <v>1</v>
      </c>
      <c r="DB326" s="15">
        <v>3</v>
      </c>
      <c r="DC326" s="15">
        <v>4</v>
      </c>
      <c r="DD326" s="15">
        <v>5</v>
      </c>
      <c r="DE326" s="15">
        <v>2</v>
      </c>
      <c r="DF326" s="15">
        <v>6</v>
      </c>
      <c r="DG326" s="15"/>
      <c r="DH326" s="15" t="s">
        <v>328</v>
      </c>
      <c r="DI326" s="15"/>
      <c r="DJ326" s="15"/>
      <c r="DK326" s="15"/>
      <c r="DL326" s="15"/>
      <c r="DM326" s="15"/>
      <c r="DN326" s="15"/>
      <c r="DO326" s="15" t="s">
        <v>328</v>
      </c>
      <c r="DP326" s="15"/>
      <c r="DQ326" s="15"/>
      <c r="DR326" s="15"/>
      <c r="DS326" s="15"/>
      <c r="DT326" s="15"/>
      <c r="DU326" s="15"/>
      <c r="DV326" s="15"/>
      <c r="DW326" s="15" t="s">
        <v>328</v>
      </c>
      <c r="DX326" s="15"/>
      <c r="DY326" s="15"/>
      <c r="DZ326" s="15"/>
      <c r="EA326" s="15"/>
      <c r="EB326" s="15"/>
      <c r="EC326" s="102"/>
      <c r="ED326" s="99"/>
    </row>
    <row r="327" spans="1:134" x14ac:dyDescent="0.25">
      <c r="A327" s="51" t="s">
        <v>1442</v>
      </c>
      <c r="B327" s="103" t="s">
        <v>1465</v>
      </c>
      <c r="C327" s="15" t="s">
        <v>328</v>
      </c>
      <c r="D327" s="15"/>
      <c r="E327" s="15">
        <v>49</v>
      </c>
      <c r="F327" s="15" t="s">
        <v>329</v>
      </c>
      <c r="G327" s="15" t="s">
        <v>353</v>
      </c>
      <c r="H327" s="15" t="s">
        <v>1450</v>
      </c>
      <c r="I327" s="15" t="s">
        <v>1451</v>
      </c>
      <c r="J327" s="15" t="s">
        <v>1446</v>
      </c>
      <c r="K327" s="15">
        <v>0</v>
      </c>
      <c r="L327" s="15">
        <v>3</v>
      </c>
      <c r="M327" s="15">
        <v>3</v>
      </c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 t="s">
        <v>328</v>
      </c>
      <c r="AE327" s="15"/>
      <c r="AF327" s="15" t="s">
        <v>328</v>
      </c>
      <c r="AG327" s="15"/>
      <c r="AH327" s="15"/>
      <c r="AI327" s="15"/>
      <c r="AJ327" s="15"/>
      <c r="AK327" s="15" t="s">
        <v>328</v>
      </c>
      <c r="AL327" s="15"/>
      <c r="AM327" s="15" t="s">
        <v>328</v>
      </c>
      <c r="AN327" s="15" t="s">
        <v>328</v>
      </c>
      <c r="AO327" s="15"/>
      <c r="AP327" s="15">
        <v>10</v>
      </c>
      <c r="AQ327" s="15">
        <v>3</v>
      </c>
      <c r="AR327" s="15"/>
      <c r="AS327" s="15"/>
      <c r="AT327" s="15" t="s">
        <v>328</v>
      </c>
      <c r="AU327" s="15"/>
      <c r="AV327" s="15">
        <v>2</v>
      </c>
      <c r="AW327" s="15">
        <v>3</v>
      </c>
      <c r="AX327" s="15">
        <v>1</v>
      </c>
      <c r="AY327" s="15"/>
      <c r="AZ327" s="15" t="s">
        <v>328</v>
      </c>
      <c r="BA327" s="15"/>
      <c r="BB327" s="15" t="s">
        <v>328</v>
      </c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 t="s">
        <v>328</v>
      </c>
      <c r="BN327" s="15"/>
      <c r="BO327" s="15" t="s">
        <v>328</v>
      </c>
      <c r="BP327" s="15" t="s">
        <v>328</v>
      </c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 t="s">
        <v>328</v>
      </c>
      <c r="CB327" s="15" t="s">
        <v>328</v>
      </c>
      <c r="CC327" s="15"/>
      <c r="CD327" s="15"/>
      <c r="CE327" s="15"/>
      <c r="CF327" s="15"/>
      <c r="CG327" s="15" t="s">
        <v>328</v>
      </c>
      <c r="CH327" s="15"/>
      <c r="CI327" s="15"/>
      <c r="CJ327" s="15"/>
      <c r="CK327" s="15"/>
      <c r="CL327" s="15">
        <v>5</v>
      </c>
      <c r="CM327" s="15">
        <v>3</v>
      </c>
      <c r="CN327" s="15">
        <v>4</v>
      </c>
      <c r="CO327" s="15">
        <v>1</v>
      </c>
      <c r="CP327" s="15">
        <v>2</v>
      </c>
      <c r="CQ327" s="15">
        <v>6</v>
      </c>
      <c r="CR327" s="15"/>
      <c r="CS327" s="15"/>
      <c r="CT327" s="15"/>
      <c r="CU327" s="15"/>
      <c r="CV327" s="15"/>
      <c r="CW327" s="15"/>
      <c r="CX327" s="15" t="s">
        <v>332</v>
      </c>
      <c r="CY327" s="15"/>
      <c r="CZ327" s="15"/>
      <c r="DA327" s="15">
        <v>1</v>
      </c>
      <c r="DB327" s="15">
        <v>2</v>
      </c>
      <c r="DC327" s="15">
        <v>3</v>
      </c>
      <c r="DD327" s="15">
        <v>4</v>
      </c>
      <c r="DE327" s="15">
        <v>5</v>
      </c>
      <c r="DF327" s="15"/>
      <c r="DG327" s="15"/>
      <c r="DH327" s="15" t="s">
        <v>328</v>
      </c>
      <c r="DI327" s="15"/>
      <c r="DJ327" s="15"/>
      <c r="DK327" s="15"/>
      <c r="DL327" s="15"/>
      <c r="DM327" s="15"/>
      <c r="DN327" s="15"/>
      <c r="DO327" s="15" t="s">
        <v>328</v>
      </c>
      <c r="DP327" s="15"/>
      <c r="DQ327" s="15"/>
      <c r="DR327" s="15"/>
      <c r="DS327" s="15"/>
      <c r="DT327" s="15"/>
      <c r="DU327" s="15"/>
      <c r="DV327" s="15"/>
      <c r="DW327" s="15" t="s">
        <v>328</v>
      </c>
      <c r="DX327" s="15"/>
      <c r="DY327" s="15"/>
      <c r="DZ327" s="15"/>
      <c r="EA327" s="15"/>
      <c r="EB327" s="15"/>
      <c r="EC327" s="102"/>
      <c r="ED327" s="99"/>
    </row>
    <row r="328" spans="1:134" x14ac:dyDescent="0.25">
      <c r="A328" s="51" t="s">
        <v>1442</v>
      </c>
      <c r="B328" s="103" t="s">
        <v>1466</v>
      </c>
      <c r="C328" s="15" t="s">
        <v>328</v>
      </c>
      <c r="D328" s="15"/>
      <c r="E328" s="15">
        <v>54</v>
      </c>
      <c r="F328" s="15" t="s">
        <v>329</v>
      </c>
      <c r="G328" s="15" t="s">
        <v>1346</v>
      </c>
      <c r="H328" s="15" t="s">
        <v>1467</v>
      </c>
      <c r="I328" s="15" t="s">
        <v>1468</v>
      </c>
      <c r="J328" s="15" t="s">
        <v>1446</v>
      </c>
      <c r="K328" s="15">
        <v>0</v>
      </c>
      <c r="L328" s="15">
        <v>3</v>
      </c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 t="s">
        <v>1469</v>
      </c>
      <c r="Z328" s="15"/>
      <c r="AA328" s="15"/>
      <c r="AB328" s="15"/>
      <c r="AC328" s="15"/>
      <c r="AD328" s="15"/>
      <c r="AE328" s="15"/>
      <c r="AF328" s="15"/>
      <c r="AG328" s="15"/>
      <c r="AH328" s="15"/>
      <c r="AI328" s="15" t="s">
        <v>423</v>
      </c>
      <c r="AJ328" s="15" t="s">
        <v>328</v>
      </c>
      <c r="AK328" s="15"/>
      <c r="AL328" s="15"/>
      <c r="AM328" s="15"/>
      <c r="AN328" s="15"/>
      <c r="AO328" s="15" t="s">
        <v>328</v>
      </c>
      <c r="AP328" s="15">
        <v>0</v>
      </c>
      <c r="AQ328" s="15">
        <v>0</v>
      </c>
      <c r="AR328" s="15"/>
      <c r="AS328" s="15" t="s">
        <v>328</v>
      </c>
      <c r="AT328" s="15"/>
      <c r="AU328" s="15"/>
      <c r="AV328" s="15">
        <v>3</v>
      </c>
      <c r="AW328" s="15">
        <v>2</v>
      </c>
      <c r="AX328" s="15">
        <v>1</v>
      </c>
      <c r="AY328" s="15"/>
      <c r="AZ328" s="15"/>
      <c r="BA328" s="15" t="s">
        <v>328</v>
      </c>
      <c r="BB328" s="15" t="s">
        <v>328</v>
      </c>
      <c r="BC328" s="15"/>
      <c r="BD328" s="15"/>
      <c r="BE328" s="15"/>
      <c r="BF328" s="15"/>
      <c r="BG328" s="15"/>
      <c r="BH328" s="15"/>
      <c r="BI328" s="15"/>
      <c r="BJ328" s="15"/>
      <c r="BK328" s="15"/>
      <c r="BL328" s="15" t="s">
        <v>328</v>
      </c>
      <c r="BM328" s="15"/>
      <c r="BN328" s="15" t="s">
        <v>328</v>
      </c>
      <c r="BO328" s="15"/>
      <c r="BP328" s="15" t="s">
        <v>328</v>
      </c>
      <c r="BQ328" s="15" t="s">
        <v>328</v>
      </c>
      <c r="BR328" s="15"/>
      <c r="BS328" s="15"/>
      <c r="BT328" s="15"/>
      <c r="BU328" s="15" t="s">
        <v>328</v>
      </c>
      <c r="BV328" s="15"/>
      <c r="BW328" s="15" t="s">
        <v>328</v>
      </c>
      <c r="BX328" s="15"/>
      <c r="BY328" s="15"/>
      <c r="BZ328" s="15" t="s">
        <v>328</v>
      </c>
      <c r="CA328" s="15" t="s">
        <v>328</v>
      </c>
      <c r="CB328" s="15"/>
      <c r="CC328" s="15"/>
      <c r="CD328" s="15"/>
      <c r="CE328" s="15"/>
      <c r="CF328" s="15" t="s">
        <v>579</v>
      </c>
      <c r="CG328" s="15" t="s">
        <v>328</v>
      </c>
      <c r="CH328" s="15"/>
      <c r="CI328" s="15"/>
      <c r="CJ328" s="15"/>
      <c r="CK328" s="15"/>
      <c r="CL328" s="15">
        <v>2</v>
      </c>
      <c r="CM328" s="15">
        <v>3</v>
      </c>
      <c r="CN328" s="15">
        <v>5</v>
      </c>
      <c r="CO328" s="15">
        <v>4</v>
      </c>
      <c r="CP328" s="15">
        <v>6</v>
      </c>
      <c r="CQ328" s="15">
        <v>1</v>
      </c>
      <c r="CR328" s="15"/>
      <c r="CS328" s="15" t="s">
        <v>328</v>
      </c>
      <c r="CT328" s="15"/>
      <c r="CU328" s="15" t="s">
        <v>328</v>
      </c>
      <c r="CV328" s="15"/>
      <c r="CW328" s="15" t="s">
        <v>328</v>
      </c>
      <c r="CX328" s="15"/>
      <c r="CY328" s="15"/>
      <c r="CZ328" s="15"/>
      <c r="DA328" s="15">
        <v>1</v>
      </c>
      <c r="DB328" s="15"/>
      <c r="DC328" s="15"/>
      <c r="DD328" s="15"/>
      <c r="DE328" s="15">
        <v>2</v>
      </c>
      <c r="DF328" s="15"/>
      <c r="DG328" s="15"/>
      <c r="DH328" s="15" t="s">
        <v>328</v>
      </c>
      <c r="DI328" s="15"/>
      <c r="DJ328" s="15"/>
      <c r="DK328" s="15"/>
      <c r="DL328" s="15"/>
      <c r="DM328" s="15"/>
      <c r="DN328" s="15"/>
      <c r="DO328" s="15" t="s">
        <v>328</v>
      </c>
      <c r="DP328" s="15"/>
      <c r="DQ328" s="15"/>
      <c r="DR328" s="15"/>
      <c r="DS328" s="15"/>
      <c r="DT328" s="15"/>
      <c r="DU328" s="15"/>
      <c r="DV328" s="15"/>
      <c r="DW328" s="15" t="s">
        <v>328</v>
      </c>
      <c r="DX328" s="15"/>
      <c r="DY328" s="15"/>
      <c r="DZ328" s="15"/>
      <c r="EA328" s="15"/>
      <c r="EB328" s="15"/>
      <c r="EC328" s="102"/>
      <c r="ED328" s="99"/>
    </row>
    <row r="329" spans="1:134" x14ac:dyDescent="0.25">
      <c r="A329" s="51" t="s">
        <v>1442</v>
      </c>
      <c r="B329" s="103" t="s">
        <v>1470</v>
      </c>
      <c r="C329" s="15" t="s">
        <v>328</v>
      </c>
      <c r="D329" s="15"/>
      <c r="E329" s="15">
        <v>45</v>
      </c>
      <c r="F329" s="15" t="s">
        <v>329</v>
      </c>
      <c r="G329" s="15" t="s">
        <v>330</v>
      </c>
      <c r="H329" s="15" t="s">
        <v>1454</v>
      </c>
      <c r="I329" s="15" t="s">
        <v>1455</v>
      </c>
      <c r="J329" s="15" t="s">
        <v>1446</v>
      </c>
      <c r="K329" s="15">
        <v>20</v>
      </c>
      <c r="L329" s="15">
        <v>2</v>
      </c>
      <c r="M329" s="15"/>
      <c r="N329" s="15"/>
      <c r="O329" s="15"/>
      <c r="P329" s="15"/>
      <c r="Q329" s="15"/>
      <c r="R329" s="15"/>
      <c r="S329" s="15"/>
      <c r="T329" s="15">
        <v>2</v>
      </c>
      <c r="U329" s="15"/>
      <c r="V329" s="15"/>
      <c r="W329" s="15"/>
      <c r="X329" s="15"/>
      <c r="Y329" s="15"/>
      <c r="Z329" s="15"/>
      <c r="AA329" s="15"/>
      <c r="AB329" s="15"/>
      <c r="AC329" s="15" t="s">
        <v>328</v>
      </c>
      <c r="AD329" s="15"/>
      <c r="AE329" s="15"/>
      <c r="AF329" s="15"/>
      <c r="AG329" s="15"/>
      <c r="AH329" s="15"/>
      <c r="AI329" s="15"/>
      <c r="AJ329" s="15"/>
      <c r="AK329" s="15" t="s">
        <v>328</v>
      </c>
      <c r="AL329" s="15"/>
      <c r="AM329" s="15"/>
      <c r="AN329" s="15"/>
      <c r="AO329" s="15" t="s">
        <v>328</v>
      </c>
      <c r="AP329" s="15">
        <v>10</v>
      </c>
      <c r="AQ329" s="15">
        <v>10</v>
      </c>
      <c r="AR329" s="15"/>
      <c r="AS329" s="15"/>
      <c r="AT329" s="15" t="s">
        <v>328</v>
      </c>
      <c r="AU329" s="15"/>
      <c r="AV329" s="15">
        <v>1</v>
      </c>
      <c r="AW329" s="15">
        <v>3</v>
      </c>
      <c r="AX329" s="15">
        <v>2</v>
      </c>
      <c r="AY329" s="15"/>
      <c r="AZ329" s="15" t="s">
        <v>328</v>
      </c>
      <c r="BA329" s="15"/>
      <c r="BB329" s="15" t="s">
        <v>328</v>
      </c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 t="s">
        <v>328</v>
      </c>
      <c r="BN329" s="15" t="s">
        <v>328</v>
      </c>
      <c r="BO329" s="15"/>
      <c r="BP329" s="15" t="s">
        <v>328</v>
      </c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 t="s">
        <v>328</v>
      </c>
      <c r="CB329" s="15" t="s">
        <v>328</v>
      </c>
      <c r="CC329" s="15"/>
      <c r="CD329" s="15"/>
      <c r="CE329" s="15"/>
      <c r="CF329" s="15"/>
      <c r="CG329" s="15"/>
      <c r="CH329" s="15" t="s">
        <v>328</v>
      </c>
      <c r="CI329" s="15"/>
      <c r="CJ329" s="15"/>
      <c r="CK329" s="15"/>
      <c r="CL329" s="15">
        <v>5</v>
      </c>
      <c r="CM329" s="15">
        <v>1</v>
      </c>
      <c r="CN329" s="15">
        <v>4</v>
      </c>
      <c r="CO329" s="15">
        <v>2</v>
      </c>
      <c r="CP329" s="15">
        <v>3</v>
      </c>
      <c r="CQ329" s="15">
        <v>6</v>
      </c>
      <c r="CR329" s="15"/>
      <c r="CS329" s="15"/>
      <c r="CT329" s="15"/>
      <c r="CU329" s="15"/>
      <c r="CV329" s="15" t="s">
        <v>328</v>
      </c>
      <c r="CW329" s="15"/>
      <c r="CX329" s="15"/>
      <c r="CY329" s="15"/>
      <c r="CZ329" s="15"/>
      <c r="DA329" s="15">
        <v>1</v>
      </c>
      <c r="DB329" s="15">
        <v>2</v>
      </c>
      <c r="DC329" s="15">
        <v>3</v>
      </c>
      <c r="DD329" s="15">
        <v>4</v>
      </c>
      <c r="DE329" s="15"/>
      <c r="DF329" s="15">
        <v>5</v>
      </c>
      <c r="DG329" s="15"/>
      <c r="DH329" s="15" t="s">
        <v>328</v>
      </c>
      <c r="DI329" s="15"/>
      <c r="DJ329" s="15"/>
      <c r="DK329" s="15"/>
      <c r="DL329" s="15"/>
      <c r="DM329" s="15"/>
      <c r="DN329" s="15"/>
      <c r="DO329" s="15" t="s">
        <v>328</v>
      </c>
      <c r="DP329" s="15"/>
      <c r="DQ329" s="15"/>
      <c r="DR329" s="15"/>
      <c r="DS329" s="15"/>
      <c r="DT329" s="15"/>
      <c r="DU329" s="15"/>
      <c r="DV329" s="15"/>
      <c r="DW329" s="15" t="s">
        <v>328</v>
      </c>
      <c r="DX329" s="15"/>
      <c r="DY329" s="15"/>
      <c r="DZ329" s="15"/>
      <c r="EA329" s="15"/>
      <c r="EB329" s="15"/>
      <c r="EC329" s="102"/>
      <c r="ED329" s="99"/>
    </row>
    <row r="330" spans="1:134" x14ac:dyDescent="0.25">
      <c r="A330" s="51" t="s">
        <v>1442</v>
      </c>
      <c r="B330" s="103" t="s">
        <v>1471</v>
      </c>
      <c r="C330" s="15" t="s">
        <v>328</v>
      </c>
      <c r="D330" s="15"/>
      <c r="E330" s="15">
        <v>63</v>
      </c>
      <c r="F330" s="15" t="s">
        <v>329</v>
      </c>
      <c r="G330" s="15" t="s">
        <v>353</v>
      </c>
      <c r="H330" s="15" t="s">
        <v>1448</v>
      </c>
      <c r="I330" s="15" t="s">
        <v>1268</v>
      </c>
      <c r="J330" s="15" t="s">
        <v>1446</v>
      </c>
      <c r="K330" s="15">
        <v>40</v>
      </c>
      <c r="L330" s="15">
        <v>2</v>
      </c>
      <c r="M330" s="15"/>
      <c r="N330" s="15"/>
      <c r="O330" s="15"/>
      <c r="P330" s="15"/>
      <c r="Q330" s="15"/>
      <c r="R330" s="15"/>
      <c r="S330" s="15"/>
      <c r="T330" s="15">
        <v>2</v>
      </c>
      <c r="U330" s="15"/>
      <c r="V330" s="15"/>
      <c r="W330" s="15"/>
      <c r="X330" s="15"/>
      <c r="Y330" s="15"/>
      <c r="Z330" s="15"/>
      <c r="AA330" s="15"/>
      <c r="AB330" s="15"/>
      <c r="AC330" s="15" t="s">
        <v>328</v>
      </c>
      <c r="AD330" s="15"/>
      <c r="AE330" s="15"/>
      <c r="AF330" s="15"/>
      <c r="AG330" s="15"/>
      <c r="AH330" s="15"/>
      <c r="AI330" s="15"/>
      <c r="AJ330" s="15"/>
      <c r="AK330" s="15" t="s">
        <v>328</v>
      </c>
      <c r="AL330" s="15"/>
      <c r="AM330" s="15"/>
      <c r="AN330" s="15"/>
      <c r="AO330" s="15" t="s">
        <v>328</v>
      </c>
      <c r="AP330" s="15">
        <v>10</v>
      </c>
      <c r="AQ330" s="15">
        <v>10</v>
      </c>
      <c r="AR330" s="15"/>
      <c r="AS330" s="15"/>
      <c r="AT330" s="15" t="s">
        <v>328</v>
      </c>
      <c r="AU330" s="15"/>
      <c r="AV330" s="15">
        <v>1</v>
      </c>
      <c r="AW330" s="15">
        <v>2</v>
      </c>
      <c r="AX330" s="15">
        <v>3</v>
      </c>
      <c r="AY330" s="15"/>
      <c r="AZ330" s="15" t="s">
        <v>328</v>
      </c>
      <c r="BA330" s="15"/>
      <c r="BB330" s="15"/>
      <c r="BC330" s="15" t="s">
        <v>328</v>
      </c>
      <c r="BD330" s="15"/>
      <c r="BE330" s="15"/>
      <c r="BF330" s="15"/>
      <c r="BG330" s="15"/>
      <c r="BH330" s="15"/>
      <c r="BI330" s="15"/>
      <c r="BJ330" s="15"/>
      <c r="BK330" s="15"/>
      <c r="BL330" s="15"/>
      <c r="BM330" s="15" t="s">
        <v>328</v>
      </c>
      <c r="BN330" s="15"/>
      <c r="BO330" s="15" t="s">
        <v>328</v>
      </c>
      <c r="BP330" s="15" t="s">
        <v>328</v>
      </c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 t="s">
        <v>328</v>
      </c>
      <c r="CC330" s="15"/>
      <c r="CD330" s="15"/>
      <c r="CE330" s="15" t="s">
        <v>328</v>
      </c>
      <c r="CF330" s="15"/>
      <c r="CG330" s="15"/>
      <c r="CH330" s="15" t="s">
        <v>328</v>
      </c>
      <c r="CI330" s="15"/>
      <c r="CJ330" s="15"/>
      <c r="CK330" s="15"/>
      <c r="CL330" s="15">
        <v>5</v>
      </c>
      <c r="CM330" s="15">
        <v>1</v>
      </c>
      <c r="CN330" s="15">
        <v>2</v>
      </c>
      <c r="CO330" s="15">
        <v>4</v>
      </c>
      <c r="CP330" s="15">
        <v>3</v>
      </c>
      <c r="CQ330" s="15">
        <v>6</v>
      </c>
      <c r="CR330" s="15"/>
      <c r="CS330" s="15"/>
      <c r="CT330" s="15"/>
      <c r="CU330" s="15"/>
      <c r="CV330" s="15"/>
      <c r="CW330" s="15"/>
      <c r="CX330" s="15" t="s">
        <v>332</v>
      </c>
      <c r="CY330" s="15"/>
      <c r="CZ330" s="15"/>
      <c r="DA330" s="15">
        <v>2</v>
      </c>
      <c r="DB330" s="15"/>
      <c r="DC330" s="15"/>
      <c r="DD330" s="15"/>
      <c r="DE330" s="15">
        <v>1</v>
      </c>
      <c r="DF330" s="15"/>
      <c r="DG330" s="15"/>
      <c r="DH330" s="15" t="s">
        <v>328</v>
      </c>
      <c r="DI330" s="15"/>
      <c r="DJ330" s="15"/>
      <c r="DK330" s="15"/>
      <c r="DL330" s="15"/>
      <c r="DM330" s="15"/>
      <c r="DN330" s="15"/>
      <c r="DO330" s="15" t="s">
        <v>328</v>
      </c>
      <c r="DP330" s="15"/>
      <c r="DQ330" s="15"/>
      <c r="DR330" s="15"/>
      <c r="DS330" s="15"/>
      <c r="DT330" s="15"/>
      <c r="DU330" s="15"/>
      <c r="DV330" s="15"/>
      <c r="DW330" s="15" t="s">
        <v>328</v>
      </c>
      <c r="DX330" s="15"/>
      <c r="DY330" s="15"/>
      <c r="DZ330" s="15"/>
      <c r="EA330" s="15"/>
      <c r="EB330" s="15"/>
      <c r="EC330" s="102"/>
      <c r="ED330" s="99"/>
    </row>
    <row r="331" spans="1:134" x14ac:dyDescent="0.25">
      <c r="A331" s="51" t="s">
        <v>1442</v>
      </c>
      <c r="B331" s="103" t="s">
        <v>1472</v>
      </c>
      <c r="C331" s="15" t="s">
        <v>328</v>
      </c>
      <c r="D331" s="15"/>
      <c r="E331" s="15">
        <v>57</v>
      </c>
      <c r="F331" s="15" t="s">
        <v>329</v>
      </c>
      <c r="G331" s="15" t="s">
        <v>330</v>
      </c>
      <c r="H331" s="15" t="s">
        <v>1473</v>
      </c>
      <c r="I331" s="15" t="s">
        <v>1474</v>
      </c>
      <c r="J331" s="15" t="s">
        <v>1292</v>
      </c>
      <c r="K331" s="15">
        <v>35</v>
      </c>
      <c r="L331" s="15">
        <v>1</v>
      </c>
      <c r="M331" s="15"/>
      <c r="N331" s="15"/>
      <c r="O331" s="15"/>
      <c r="P331" s="15"/>
      <c r="Q331" s="15"/>
      <c r="R331" s="15"/>
      <c r="S331" s="15"/>
      <c r="T331" s="15">
        <v>1</v>
      </c>
      <c r="U331" s="15"/>
      <c r="V331" s="15"/>
      <c r="W331" s="15"/>
      <c r="X331" s="15"/>
      <c r="Y331" s="15"/>
      <c r="Z331" s="15"/>
      <c r="AA331" s="15"/>
      <c r="AB331" s="15"/>
      <c r="AC331" s="15" t="s">
        <v>328</v>
      </c>
      <c r="AD331" s="15"/>
      <c r="AE331" s="15"/>
      <c r="AF331" s="15"/>
      <c r="AG331" s="15"/>
      <c r="AH331" s="15"/>
      <c r="AI331" s="15"/>
      <c r="AJ331" s="15"/>
      <c r="AK331" s="15" t="s">
        <v>328</v>
      </c>
      <c r="AL331" s="15"/>
      <c r="AM331" s="15"/>
      <c r="AN331" s="15"/>
      <c r="AO331" s="15" t="s">
        <v>328</v>
      </c>
      <c r="AP331" s="15">
        <v>10</v>
      </c>
      <c r="AQ331" s="15">
        <v>10</v>
      </c>
      <c r="AR331" s="15"/>
      <c r="AS331" s="15" t="s">
        <v>328</v>
      </c>
      <c r="AT331" s="15"/>
      <c r="AU331" s="15"/>
      <c r="AV331" s="15">
        <v>3</v>
      </c>
      <c r="AW331" s="15">
        <v>1</v>
      </c>
      <c r="AX331" s="15">
        <v>2</v>
      </c>
      <c r="AY331" s="15"/>
      <c r="AZ331" s="15" t="s">
        <v>328</v>
      </c>
      <c r="BA331" s="15"/>
      <c r="BB331" s="15" t="s">
        <v>328</v>
      </c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 t="s">
        <v>328</v>
      </c>
      <c r="BN331" s="15"/>
      <c r="BO331" s="15" t="s">
        <v>328</v>
      </c>
      <c r="BP331" s="15" t="s">
        <v>328</v>
      </c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 t="s">
        <v>328</v>
      </c>
      <c r="CC331" s="15"/>
      <c r="CD331" s="15" t="s">
        <v>328</v>
      </c>
      <c r="CE331" s="15"/>
      <c r="CF331" s="15"/>
      <c r="CG331" s="15"/>
      <c r="CH331" s="15" t="s">
        <v>328</v>
      </c>
      <c r="CI331" s="15"/>
      <c r="CJ331" s="15"/>
      <c r="CK331" s="15"/>
      <c r="CL331" s="15">
        <v>3</v>
      </c>
      <c r="CM331" s="15">
        <v>1</v>
      </c>
      <c r="CN331" s="15">
        <v>2</v>
      </c>
      <c r="CO331" s="15">
        <v>5</v>
      </c>
      <c r="CP331" s="15">
        <v>6</v>
      </c>
      <c r="CQ331" s="15">
        <v>4</v>
      </c>
      <c r="CR331" s="15"/>
      <c r="CS331" s="15"/>
      <c r="CT331" s="15"/>
      <c r="CU331" s="15"/>
      <c r="CV331" s="15"/>
      <c r="CW331" s="15"/>
      <c r="CX331" s="15" t="s">
        <v>332</v>
      </c>
      <c r="CY331" s="15" t="s">
        <v>328</v>
      </c>
      <c r="CZ331" s="15" t="s">
        <v>1475</v>
      </c>
      <c r="DA331" s="15"/>
      <c r="DB331" s="15"/>
      <c r="DC331" s="15"/>
      <c r="DD331" s="15"/>
      <c r="DE331" s="15"/>
      <c r="DF331" s="15"/>
      <c r="DG331" s="15"/>
      <c r="DH331" s="15" t="s">
        <v>328</v>
      </c>
      <c r="DI331" s="15"/>
      <c r="DJ331" s="15"/>
      <c r="DK331" s="15"/>
      <c r="DL331" s="15"/>
      <c r="DM331" s="15"/>
      <c r="DN331" s="15"/>
      <c r="DO331" s="15" t="s">
        <v>328</v>
      </c>
      <c r="DP331" s="15"/>
      <c r="DQ331" s="15"/>
      <c r="DR331" s="15"/>
      <c r="DS331" s="15"/>
      <c r="DT331" s="15"/>
      <c r="DU331" s="15"/>
      <c r="DV331" s="15"/>
      <c r="DW331" s="15" t="s">
        <v>328</v>
      </c>
      <c r="DX331" s="15"/>
      <c r="DY331" s="15"/>
      <c r="DZ331" s="15"/>
      <c r="EA331" s="15"/>
      <c r="EB331" s="15"/>
      <c r="EC331" s="102"/>
      <c r="ED331" s="99"/>
    </row>
    <row r="332" spans="1:134" x14ac:dyDescent="0.25">
      <c r="A332" s="51" t="s">
        <v>1442</v>
      </c>
      <c r="B332" s="103" t="s">
        <v>1476</v>
      </c>
      <c r="C332" s="15" t="s">
        <v>328</v>
      </c>
      <c r="D332" s="15"/>
      <c r="E332" s="15">
        <v>57</v>
      </c>
      <c r="F332" s="15" t="s">
        <v>329</v>
      </c>
      <c r="G332" s="15" t="s">
        <v>353</v>
      </c>
      <c r="H332" s="15" t="s">
        <v>1450</v>
      </c>
      <c r="I332" s="15" t="s">
        <v>1451</v>
      </c>
      <c r="J332" s="15" t="s">
        <v>1446</v>
      </c>
      <c r="K332" s="15">
        <v>30</v>
      </c>
      <c r="L332" s="15">
        <v>1</v>
      </c>
      <c r="M332" s="15"/>
      <c r="N332" s="15"/>
      <c r="O332" s="15"/>
      <c r="P332" s="15"/>
      <c r="Q332" s="15"/>
      <c r="R332" s="15"/>
      <c r="S332" s="15">
        <v>1</v>
      </c>
      <c r="T332" s="15"/>
      <c r="U332" s="15"/>
      <c r="V332" s="15"/>
      <c r="W332" s="15"/>
      <c r="X332" s="15"/>
      <c r="Y332" s="15"/>
      <c r="Z332" s="15"/>
      <c r="AA332" s="15"/>
      <c r="AB332" s="15"/>
      <c r="AC332" s="15" t="s">
        <v>328</v>
      </c>
      <c r="AD332" s="15"/>
      <c r="AE332" s="15"/>
      <c r="AF332" s="15"/>
      <c r="AG332" s="15"/>
      <c r="AH332" s="15"/>
      <c r="AI332" s="15"/>
      <c r="AJ332" s="15"/>
      <c r="AK332" s="15" t="s">
        <v>328</v>
      </c>
      <c r="AL332" s="15"/>
      <c r="AM332" s="15"/>
      <c r="AN332" s="15"/>
      <c r="AO332" s="15" t="s">
        <v>328</v>
      </c>
      <c r="AP332" s="15">
        <v>10</v>
      </c>
      <c r="AQ332" s="15">
        <v>10</v>
      </c>
      <c r="AR332" s="15"/>
      <c r="AS332" s="15"/>
      <c r="AT332" s="15" t="s">
        <v>328</v>
      </c>
      <c r="AU332" s="15"/>
      <c r="AV332" s="15">
        <v>3</v>
      </c>
      <c r="AW332" s="15">
        <v>2</v>
      </c>
      <c r="AX332" s="15">
        <v>1</v>
      </c>
      <c r="AY332" s="15"/>
      <c r="AZ332" s="15" t="s">
        <v>328</v>
      </c>
      <c r="BA332" s="15"/>
      <c r="BB332" s="15"/>
      <c r="BC332" s="15" t="s">
        <v>328</v>
      </c>
      <c r="BD332" s="15"/>
      <c r="BE332" s="15"/>
      <c r="BF332" s="15"/>
      <c r="BG332" s="15"/>
      <c r="BH332" s="15"/>
      <c r="BI332" s="15"/>
      <c r="BJ332" s="15"/>
      <c r="BK332" s="15"/>
      <c r="BL332" s="15"/>
      <c r="BM332" s="15" t="s">
        <v>328</v>
      </c>
      <c r="BN332" s="15"/>
      <c r="BO332" s="15" t="s">
        <v>328</v>
      </c>
      <c r="BP332" s="15"/>
      <c r="BQ332" s="15"/>
      <c r="BR332" s="15"/>
      <c r="BS332" s="15"/>
      <c r="BT332" s="15"/>
      <c r="BU332" s="15" t="s">
        <v>328</v>
      </c>
      <c r="BV332" s="15"/>
      <c r="BW332" s="15"/>
      <c r="BX332" s="15"/>
      <c r="BY332" s="15"/>
      <c r="BZ332" s="15"/>
      <c r="CA332" s="15"/>
      <c r="CB332" s="15" t="s">
        <v>328</v>
      </c>
      <c r="CC332" s="15"/>
      <c r="CD332" s="15"/>
      <c r="CE332" s="15"/>
      <c r="CF332" s="15"/>
      <c r="CG332" s="15"/>
      <c r="CH332" s="15" t="s">
        <v>328</v>
      </c>
      <c r="CI332" s="15"/>
      <c r="CJ332" s="15"/>
      <c r="CK332" s="15"/>
      <c r="CL332" s="15">
        <v>4</v>
      </c>
      <c r="CM332" s="15">
        <v>1</v>
      </c>
      <c r="CN332" s="15">
        <v>6</v>
      </c>
      <c r="CO332" s="15">
        <v>2</v>
      </c>
      <c r="CP332" s="15">
        <v>3</v>
      </c>
      <c r="CQ332" s="15">
        <v>5</v>
      </c>
      <c r="CR332" s="15"/>
      <c r="CS332" s="15"/>
      <c r="CT332" s="15"/>
      <c r="CU332" s="15"/>
      <c r="CV332" s="15" t="s">
        <v>328</v>
      </c>
      <c r="CW332" s="15"/>
      <c r="CX332" s="15"/>
      <c r="CY332" s="15"/>
      <c r="CZ332" s="15"/>
      <c r="DA332" s="15">
        <v>1</v>
      </c>
      <c r="DB332" s="15">
        <v>2</v>
      </c>
      <c r="DC332" s="15">
        <v>3</v>
      </c>
      <c r="DD332" s="15"/>
      <c r="DE332" s="15"/>
      <c r="DF332" s="15"/>
      <c r="DG332" s="15"/>
      <c r="DH332" s="15" t="s">
        <v>328</v>
      </c>
      <c r="DI332" s="15"/>
      <c r="DJ332" s="15"/>
      <c r="DK332" s="15"/>
      <c r="DL332" s="15"/>
      <c r="DM332" s="15"/>
      <c r="DN332" s="15"/>
      <c r="DO332" s="15" t="s">
        <v>328</v>
      </c>
      <c r="DP332" s="15"/>
      <c r="DQ332" s="15"/>
      <c r="DR332" s="15"/>
      <c r="DS332" s="15"/>
      <c r="DT332" s="15"/>
      <c r="DU332" s="15"/>
      <c r="DV332" s="15"/>
      <c r="DW332" s="15" t="s">
        <v>328</v>
      </c>
      <c r="DX332" s="15"/>
      <c r="DY332" s="15"/>
      <c r="DZ332" s="15"/>
      <c r="EA332" s="15"/>
      <c r="EB332" s="15"/>
      <c r="EC332" s="102"/>
      <c r="ED332" s="99"/>
    </row>
    <row r="333" spans="1:134" x14ac:dyDescent="0.25">
      <c r="A333" s="51" t="s">
        <v>1442</v>
      </c>
      <c r="B333" s="103" t="s">
        <v>1477</v>
      </c>
      <c r="C333" s="15" t="s">
        <v>328</v>
      </c>
      <c r="D333" s="15"/>
      <c r="E333" s="15">
        <v>60</v>
      </c>
      <c r="F333" s="15" t="s">
        <v>329</v>
      </c>
      <c r="G333" s="15" t="s">
        <v>584</v>
      </c>
      <c r="H333" s="15" t="s">
        <v>1478</v>
      </c>
      <c r="I333" s="15" t="s">
        <v>1479</v>
      </c>
      <c r="J333" s="15" t="s">
        <v>1301</v>
      </c>
      <c r="K333" s="15">
        <v>42</v>
      </c>
      <c r="L333" s="15">
        <v>1</v>
      </c>
      <c r="M333" s="15">
        <v>1</v>
      </c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 t="s">
        <v>328</v>
      </c>
      <c r="AA333" s="15" t="s">
        <v>328</v>
      </c>
      <c r="AB333" s="15"/>
      <c r="AC333" s="15"/>
      <c r="AD333" s="15"/>
      <c r="AE333" s="15" t="s">
        <v>328</v>
      </c>
      <c r="AF333" s="15"/>
      <c r="AG333" s="15"/>
      <c r="AH333" s="15"/>
      <c r="AI333" s="15"/>
      <c r="AJ333" s="15"/>
      <c r="AK333" s="15" t="s">
        <v>328</v>
      </c>
      <c r="AL333" s="15"/>
      <c r="AM333" s="15" t="s">
        <v>328</v>
      </c>
      <c r="AN333" s="15"/>
      <c r="AO333" s="15"/>
      <c r="AP333" s="15">
        <v>0</v>
      </c>
      <c r="AQ333" s="15">
        <v>0</v>
      </c>
      <c r="AR333" s="15"/>
      <c r="AS333" s="15" t="s">
        <v>328</v>
      </c>
      <c r="AT333" s="15"/>
      <c r="AU333" s="15"/>
      <c r="AV333" s="15">
        <v>3</v>
      </c>
      <c r="AW333" s="15">
        <v>1</v>
      </c>
      <c r="AX333" s="15">
        <v>2</v>
      </c>
      <c r="AY333" s="15"/>
      <c r="AZ333" s="15" t="s">
        <v>328</v>
      </c>
      <c r="BA333" s="15"/>
      <c r="BB333" s="15" t="s">
        <v>328</v>
      </c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 t="s">
        <v>328</v>
      </c>
      <c r="BN333" s="15"/>
      <c r="BO333" s="15" t="s">
        <v>328</v>
      </c>
      <c r="BP333" s="15"/>
      <c r="BQ333" s="15"/>
      <c r="BR333" s="15"/>
      <c r="BS333" s="15"/>
      <c r="BT333" s="15"/>
      <c r="BU333" s="15"/>
      <c r="BV333" s="15" t="s">
        <v>409</v>
      </c>
      <c r="BW333" s="15"/>
      <c r="BX333" s="15"/>
      <c r="BY333" s="15"/>
      <c r="BZ333" s="15"/>
      <c r="CA333" s="15"/>
      <c r="CB333" s="15"/>
      <c r="CC333" s="15"/>
      <c r="CD333" s="15"/>
      <c r="CE333" s="15" t="s">
        <v>328</v>
      </c>
      <c r="CF333" s="15"/>
      <c r="CG333" s="15"/>
      <c r="CH333" s="15" t="s">
        <v>328</v>
      </c>
      <c r="CI333" s="15"/>
      <c r="CJ333" s="15"/>
      <c r="CK333" s="15"/>
      <c r="CL333" s="15">
        <v>3</v>
      </c>
      <c r="CM333" s="15">
        <v>2</v>
      </c>
      <c r="CN333" s="15">
        <v>1</v>
      </c>
      <c r="CO333" s="15">
        <v>4</v>
      </c>
      <c r="CP333" s="15">
        <v>5</v>
      </c>
      <c r="CQ333" s="15">
        <v>6</v>
      </c>
      <c r="CR333" s="15"/>
      <c r="CS333" s="15"/>
      <c r="CT333" s="15"/>
      <c r="CU333" s="15"/>
      <c r="CV333" s="15"/>
      <c r="CW333" s="15"/>
      <c r="CX333" s="15" t="s">
        <v>332</v>
      </c>
      <c r="CY333" s="15"/>
      <c r="CZ333" s="15"/>
      <c r="DA333" s="15"/>
      <c r="DB333" s="15"/>
      <c r="DC333" s="15"/>
      <c r="DD333" s="15"/>
      <c r="DE333" s="15">
        <v>1</v>
      </c>
      <c r="DF333" s="15"/>
      <c r="DG333" s="15"/>
      <c r="DH333" s="15" t="s">
        <v>328</v>
      </c>
      <c r="DI333" s="15"/>
      <c r="DJ333" s="15"/>
      <c r="DK333" s="15"/>
      <c r="DL333" s="15"/>
      <c r="DM333" s="15"/>
      <c r="DN333" s="15"/>
      <c r="DO333" s="15" t="s">
        <v>328</v>
      </c>
      <c r="DP333" s="15"/>
      <c r="DQ333" s="15"/>
      <c r="DR333" s="15"/>
      <c r="DS333" s="15"/>
      <c r="DT333" s="15"/>
      <c r="DU333" s="15"/>
      <c r="DV333" s="15"/>
      <c r="DW333" s="15" t="s">
        <v>328</v>
      </c>
      <c r="DX333" s="15"/>
      <c r="DY333" s="15"/>
      <c r="DZ333" s="15"/>
      <c r="EA333" s="15"/>
      <c r="EB333" s="15"/>
      <c r="EC333" s="102"/>
      <c r="ED333" s="99"/>
    </row>
    <row r="334" spans="1:134" x14ac:dyDescent="0.25">
      <c r="A334" s="51" t="s">
        <v>1442</v>
      </c>
      <c r="B334" s="103" t="s">
        <v>1480</v>
      </c>
      <c r="C334" s="15" t="s">
        <v>328</v>
      </c>
      <c r="D334" s="15"/>
      <c r="E334" s="15">
        <v>57</v>
      </c>
      <c r="F334" s="15" t="s">
        <v>329</v>
      </c>
      <c r="G334" s="15" t="s">
        <v>353</v>
      </c>
      <c r="H334" s="15" t="s">
        <v>1481</v>
      </c>
      <c r="I334" s="15" t="s">
        <v>1482</v>
      </c>
      <c r="J334" s="15" t="s">
        <v>1290</v>
      </c>
      <c r="K334" s="15">
        <v>35</v>
      </c>
      <c r="L334" s="15">
        <v>1</v>
      </c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>
        <v>1</v>
      </c>
      <c r="Y334" s="15"/>
      <c r="Z334" s="15" t="s">
        <v>328</v>
      </c>
      <c r="AA334" s="15" t="s">
        <v>328</v>
      </c>
      <c r="AB334" s="15"/>
      <c r="AC334" s="15"/>
      <c r="AD334" s="15"/>
      <c r="AE334" s="15" t="s">
        <v>328</v>
      </c>
      <c r="AF334" s="15"/>
      <c r="AG334" s="15"/>
      <c r="AH334" s="15"/>
      <c r="AI334" s="15"/>
      <c r="AJ334" s="15"/>
      <c r="AK334" s="15" t="s">
        <v>328</v>
      </c>
      <c r="AL334" s="15"/>
      <c r="AM334" s="15" t="s">
        <v>328</v>
      </c>
      <c r="AN334" s="15"/>
      <c r="AO334" s="15"/>
      <c r="AP334" s="15">
        <v>0</v>
      </c>
      <c r="AQ334" s="15">
        <v>0</v>
      </c>
      <c r="AR334" s="15"/>
      <c r="AS334" s="15" t="s">
        <v>328</v>
      </c>
      <c r="AT334" s="15"/>
      <c r="AU334" s="15"/>
      <c r="AV334" s="15">
        <v>2</v>
      </c>
      <c r="AW334" s="15">
        <v>1</v>
      </c>
      <c r="AX334" s="15">
        <v>3</v>
      </c>
      <c r="AY334" s="15"/>
      <c r="AZ334" s="15" t="s">
        <v>328</v>
      </c>
      <c r="BA334" s="15"/>
      <c r="BB334" s="15" t="s">
        <v>328</v>
      </c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 t="s">
        <v>328</v>
      </c>
      <c r="BN334" s="15"/>
      <c r="BO334" s="15" t="s">
        <v>328</v>
      </c>
      <c r="BP334" s="15"/>
      <c r="BQ334" s="15"/>
      <c r="BR334" s="15"/>
      <c r="BS334" s="15"/>
      <c r="BT334" s="15"/>
      <c r="BU334" s="15" t="s">
        <v>328</v>
      </c>
      <c r="BV334" s="15"/>
      <c r="BW334" s="15"/>
      <c r="BX334" s="15"/>
      <c r="BY334" s="15"/>
      <c r="BZ334" s="15"/>
      <c r="CA334" s="15"/>
      <c r="CB334" s="15" t="s">
        <v>328</v>
      </c>
      <c r="CC334" s="15"/>
      <c r="CD334" s="15" t="s">
        <v>328</v>
      </c>
      <c r="CE334" s="15"/>
      <c r="CF334" s="15"/>
      <c r="CG334" s="15"/>
      <c r="CH334" s="15" t="s">
        <v>328</v>
      </c>
      <c r="CI334" s="15"/>
      <c r="CJ334" s="15"/>
      <c r="CK334" s="15"/>
      <c r="CL334" s="15">
        <v>1</v>
      </c>
      <c r="CM334" s="15">
        <v>2</v>
      </c>
      <c r="CN334" s="15">
        <v>3</v>
      </c>
      <c r="CO334" s="15">
        <v>4</v>
      </c>
      <c r="CP334" s="15">
        <v>5</v>
      </c>
      <c r="CQ334" s="15">
        <v>6</v>
      </c>
      <c r="CR334" s="15"/>
      <c r="CS334" s="15"/>
      <c r="CT334" s="15"/>
      <c r="CU334" s="15"/>
      <c r="CV334" s="15"/>
      <c r="CW334" s="15"/>
      <c r="CX334" s="15" t="s">
        <v>332</v>
      </c>
      <c r="CY334" s="15"/>
      <c r="CZ334" s="15"/>
      <c r="DA334" s="15">
        <v>1</v>
      </c>
      <c r="DB334" s="15"/>
      <c r="DC334" s="15"/>
      <c r="DD334" s="15"/>
      <c r="DE334" s="15">
        <v>2</v>
      </c>
      <c r="DF334" s="15"/>
      <c r="DG334" s="15"/>
      <c r="DH334" s="15" t="s">
        <v>328</v>
      </c>
      <c r="DI334" s="15"/>
      <c r="DJ334" s="15"/>
      <c r="DK334" s="15"/>
      <c r="DL334" s="15"/>
      <c r="DM334" s="15"/>
      <c r="DN334" s="15"/>
      <c r="DO334" s="15" t="s">
        <v>328</v>
      </c>
      <c r="DP334" s="15"/>
      <c r="DQ334" s="15"/>
      <c r="DR334" s="15"/>
      <c r="DS334" s="15"/>
      <c r="DT334" s="15"/>
      <c r="DU334" s="15"/>
      <c r="DV334" s="15"/>
      <c r="DW334" s="15" t="s">
        <v>328</v>
      </c>
      <c r="DX334" s="15"/>
      <c r="DY334" s="15"/>
      <c r="DZ334" s="15"/>
      <c r="EA334" s="15"/>
      <c r="EB334" s="15"/>
      <c r="EC334" s="102"/>
      <c r="ED334" s="99"/>
    </row>
    <row r="335" spans="1:134" x14ac:dyDescent="0.25">
      <c r="A335" s="51" t="s">
        <v>1442</v>
      </c>
      <c r="B335" s="103" t="s">
        <v>1483</v>
      </c>
      <c r="C335" s="15" t="s">
        <v>328</v>
      </c>
      <c r="D335" s="15"/>
      <c r="E335" s="15">
        <v>49</v>
      </c>
      <c r="F335" s="15" t="s">
        <v>329</v>
      </c>
      <c r="G335" s="15" t="s">
        <v>330</v>
      </c>
      <c r="H335" s="15" t="s">
        <v>1484</v>
      </c>
      <c r="I335" s="15" t="s">
        <v>1485</v>
      </c>
      <c r="J335" s="15" t="s">
        <v>1280</v>
      </c>
      <c r="K335" s="15">
        <v>20</v>
      </c>
      <c r="L335" s="15">
        <v>1</v>
      </c>
      <c r="M335" s="15">
        <v>1</v>
      </c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 t="s">
        <v>328</v>
      </c>
      <c r="AB335" s="15"/>
      <c r="AC335" s="15"/>
      <c r="AD335" s="15"/>
      <c r="AE335" s="15"/>
      <c r="AF335" s="15"/>
      <c r="AG335" s="15"/>
      <c r="AH335" s="15"/>
      <c r="AI335" s="15"/>
      <c r="AJ335" s="15" t="s">
        <v>328</v>
      </c>
      <c r="AK335" s="15"/>
      <c r="AL335" s="15"/>
      <c r="AM335" s="15"/>
      <c r="AN335" s="15" t="s">
        <v>328</v>
      </c>
      <c r="AO335" s="15"/>
      <c r="AP335" s="15">
        <v>10</v>
      </c>
      <c r="AQ335" s="15">
        <v>10</v>
      </c>
      <c r="AR335" s="15"/>
      <c r="AS335" s="15"/>
      <c r="AT335" s="15" t="s">
        <v>328</v>
      </c>
      <c r="AU335" s="15"/>
      <c r="AV335" s="15">
        <v>1</v>
      </c>
      <c r="AW335" s="15">
        <v>2</v>
      </c>
      <c r="AX335" s="15">
        <v>3</v>
      </c>
      <c r="AY335" s="15"/>
      <c r="AZ335" s="15" t="s">
        <v>328</v>
      </c>
      <c r="BA335" s="15"/>
      <c r="BB335" s="15"/>
      <c r="BC335" s="15"/>
      <c r="BD335" s="15"/>
      <c r="BE335" s="15"/>
      <c r="BF335" s="15"/>
      <c r="BG335" s="15"/>
      <c r="BH335" s="15"/>
      <c r="BI335" s="15" t="s">
        <v>328</v>
      </c>
      <c r="BJ335" s="15"/>
      <c r="BK335" s="15"/>
      <c r="BL335" s="15"/>
      <c r="BM335" s="15" t="s">
        <v>328</v>
      </c>
      <c r="BN335" s="15"/>
      <c r="BO335" s="15" t="s">
        <v>328</v>
      </c>
      <c r="BP335" s="15"/>
      <c r="BQ335" s="15" t="s">
        <v>328</v>
      </c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 t="s">
        <v>332</v>
      </c>
      <c r="CG335" s="15"/>
      <c r="CH335" s="15"/>
      <c r="CI335" s="15"/>
      <c r="CJ335" s="15" t="s">
        <v>328</v>
      </c>
      <c r="CK335" s="15"/>
      <c r="CL335" s="15">
        <v>6</v>
      </c>
      <c r="CM335" s="15">
        <v>1</v>
      </c>
      <c r="CN335" s="15">
        <v>2</v>
      </c>
      <c r="CO335" s="15">
        <v>3</v>
      </c>
      <c r="CP335" s="15">
        <v>4</v>
      </c>
      <c r="CQ335" s="15">
        <v>5</v>
      </c>
      <c r="CR335" s="15"/>
      <c r="CS335" s="15"/>
      <c r="CT335" s="15"/>
      <c r="CU335" s="15"/>
      <c r="CV335" s="15" t="s">
        <v>328</v>
      </c>
      <c r="CW335" s="15"/>
      <c r="CX335" s="15"/>
      <c r="CY335" s="15"/>
      <c r="CZ335" s="15"/>
      <c r="DA335" s="15">
        <v>1</v>
      </c>
      <c r="DB335" s="15"/>
      <c r="DC335" s="15"/>
      <c r="DD335" s="15"/>
      <c r="DE335" s="15"/>
      <c r="DF335" s="15"/>
      <c r="DG335" s="15"/>
      <c r="DH335" s="15" t="s">
        <v>328</v>
      </c>
      <c r="DI335" s="15"/>
      <c r="DJ335" s="15"/>
      <c r="DK335" s="15"/>
      <c r="DL335" s="15"/>
      <c r="DM335" s="15"/>
      <c r="DN335" s="15"/>
      <c r="DO335" s="15" t="s">
        <v>328</v>
      </c>
      <c r="DP335" s="15"/>
      <c r="DQ335" s="15"/>
      <c r="DR335" s="15"/>
      <c r="DS335" s="15"/>
      <c r="DT335" s="15"/>
      <c r="DU335" s="15"/>
      <c r="DV335" s="15"/>
      <c r="DW335" s="15" t="s">
        <v>328</v>
      </c>
      <c r="DX335" s="15"/>
      <c r="DY335" s="15"/>
      <c r="DZ335" s="15"/>
      <c r="EA335" s="15"/>
      <c r="EB335" s="15"/>
      <c r="EC335" s="102"/>
      <c r="ED335" s="99"/>
    </row>
    <row r="336" spans="1:134" x14ac:dyDescent="0.25">
      <c r="A336" s="51" t="s">
        <v>1442</v>
      </c>
      <c r="B336" s="103" t="s">
        <v>1486</v>
      </c>
      <c r="C336" s="15" t="s">
        <v>328</v>
      </c>
      <c r="D336" s="15"/>
      <c r="E336" s="15">
        <v>53</v>
      </c>
      <c r="F336" s="15" t="s">
        <v>329</v>
      </c>
      <c r="G336" s="15" t="s">
        <v>330</v>
      </c>
      <c r="H336" s="15" t="s">
        <v>1448</v>
      </c>
      <c r="I336" s="15" t="s">
        <v>1268</v>
      </c>
      <c r="J336" s="15" t="s">
        <v>1446</v>
      </c>
      <c r="K336" s="15">
        <v>0</v>
      </c>
      <c r="L336" s="15">
        <v>2</v>
      </c>
      <c r="M336" s="15">
        <v>2</v>
      </c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 t="s">
        <v>328</v>
      </c>
      <c r="AB336" s="15"/>
      <c r="AC336" s="15"/>
      <c r="AD336" s="15"/>
      <c r="AE336" s="15"/>
      <c r="AF336" s="15"/>
      <c r="AG336" s="15"/>
      <c r="AH336" s="15"/>
      <c r="AI336" s="15"/>
      <c r="AJ336" s="15" t="s">
        <v>328</v>
      </c>
      <c r="AK336" s="15"/>
      <c r="AL336" s="15"/>
      <c r="AM336" s="15"/>
      <c r="AN336" s="15"/>
      <c r="AO336" s="15" t="s">
        <v>328</v>
      </c>
      <c r="AP336" s="15">
        <v>10</v>
      </c>
      <c r="AQ336" s="15">
        <v>10</v>
      </c>
      <c r="AR336" s="15"/>
      <c r="AS336" s="15"/>
      <c r="AT336" s="15" t="s">
        <v>328</v>
      </c>
      <c r="AU336" s="15"/>
      <c r="AV336" s="15"/>
      <c r="AW336" s="15"/>
      <c r="AX336" s="15"/>
      <c r="AY336" s="15"/>
      <c r="AZ336" s="15" t="s">
        <v>328</v>
      </c>
      <c r="BA336" s="15"/>
      <c r="BB336" s="15"/>
      <c r="BC336" s="15"/>
      <c r="BD336" s="15"/>
      <c r="BE336" s="15" t="s">
        <v>328</v>
      </c>
      <c r="BF336" s="15"/>
      <c r="BG336" s="15"/>
      <c r="BH336" s="15"/>
      <c r="BI336" s="15"/>
      <c r="BJ336" s="15"/>
      <c r="BK336" s="15"/>
      <c r="BL336" s="15"/>
      <c r="BM336" s="15" t="s">
        <v>328</v>
      </c>
      <c r="BN336" s="15"/>
      <c r="BO336" s="15" t="s">
        <v>328</v>
      </c>
      <c r="BP336" s="15"/>
      <c r="BQ336" s="15"/>
      <c r="BR336" s="15"/>
      <c r="BS336" s="15"/>
      <c r="BT336" s="15" t="s">
        <v>328</v>
      </c>
      <c r="BU336" s="15" t="s">
        <v>328</v>
      </c>
      <c r="BV336" s="15"/>
      <c r="BW336" s="15"/>
      <c r="BX336" s="15"/>
      <c r="BY336" s="15"/>
      <c r="BZ336" s="15"/>
      <c r="CA336" s="15"/>
      <c r="CB336" s="15" t="s">
        <v>328</v>
      </c>
      <c r="CC336" s="15"/>
      <c r="CD336" s="15" t="s">
        <v>328</v>
      </c>
      <c r="CE336" s="15"/>
      <c r="CF336" s="15"/>
      <c r="CG336" s="15" t="s">
        <v>328</v>
      </c>
      <c r="CH336" s="15"/>
      <c r="CI336" s="15"/>
      <c r="CJ336" s="15"/>
      <c r="CK336" s="15"/>
      <c r="CL336" s="15">
        <v>1</v>
      </c>
      <c r="CM336" s="15">
        <v>3</v>
      </c>
      <c r="CN336" s="15">
        <v>6</v>
      </c>
      <c r="CO336" s="15">
        <v>4</v>
      </c>
      <c r="CP336" s="15">
        <v>5</v>
      </c>
      <c r="CQ336" s="15">
        <v>2</v>
      </c>
      <c r="CR336" s="15"/>
      <c r="CS336" s="15" t="s">
        <v>328</v>
      </c>
      <c r="CT336" s="15"/>
      <c r="CU336" s="15"/>
      <c r="CV336" s="15"/>
      <c r="CW336" s="15"/>
      <c r="CX336" s="15"/>
      <c r="CY336" s="15"/>
      <c r="CZ336" s="15"/>
      <c r="DA336" s="15">
        <v>1</v>
      </c>
      <c r="DB336" s="15"/>
      <c r="DC336" s="15">
        <v>2</v>
      </c>
      <c r="DD336" s="15">
        <v>3</v>
      </c>
      <c r="DE336" s="15">
        <v>4</v>
      </c>
      <c r="DF336" s="15">
        <v>5</v>
      </c>
      <c r="DG336" s="15"/>
      <c r="DH336" s="15" t="s">
        <v>328</v>
      </c>
      <c r="DI336" s="15"/>
      <c r="DJ336" s="15"/>
      <c r="DK336" s="15"/>
      <c r="DL336" s="15"/>
      <c r="DM336" s="15"/>
      <c r="DN336" s="15"/>
      <c r="DO336" s="15" t="s">
        <v>328</v>
      </c>
      <c r="DP336" s="15"/>
      <c r="DQ336" s="15"/>
      <c r="DR336" s="15"/>
      <c r="DS336" s="15"/>
      <c r="DT336" s="15"/>
      <c r="DU336" s="15"/>
      <c r="DV336" s="15"/>
      <c r="DW336" s="15" t="s">
        <v>328</v>
      </c>
      <c r="DX336" s="15"/>
      <c r="DY336" s="15"/>
      <c r="DZ336" s="15"/>
      <c r="EA336" s="15"/>
      <c r="EB336" s="15"/>
      <c r="EC336" s="102"/>
      <c r="ED336" s="99"/>
    </row>
    <row r="337" spans="1:134" x14ac:dyDescent="0.25">
      <c r="A337" s="51" t="s">
        <v>1442</v>
      </c>
      <c r="B337" s="103" t="s">
        <v>1487</v>
      </c>
      <c r="C337" s="15" t="s">
        <v>328</v>
      </c>
      <c r="D337" s="15"/>
      <c r="E337" s="15">
        <v>50</v>
      </c>
      <c r="F337" s="15" t="s">
        <v>329</v>
      </c>
      <c r="G337" s="15" t="s">
        <v>353</v>
      </c>
      <c r="H337" s="15" t="s">
        <v>1488</v>
      </c>
      <c r="I337" s="15" t="s">
        <v>1489</v>
      </c>
      <c r="J337" s="15" t="s">
        <v>1188</v>
      </c>
      <c r="K337" s="15">
        <v>28</v>
      </c>
      <c r="L337" s="15">
        <v>1</v>
      </c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>
        <v>1</v>
      </c>
      <c r="Y337" s="15"/>
      <c r="Z337" s="15" t="s">
        <v>328</v>
      </c>
      <c r="AA337" s="15"/>
      <c r="AB337" s="15"/>
      <c r="AC337" s="15"/>
      <c r="AD337" s="15"/>
      <c r="AE337" s="15" t="s">
        <v>328</v>
      </c>
      <c r="AF337" s="15"/>
      <c r="AG337" s="15"/>
      <c r="AH337" s="15"/>
      <c r="AI337" s="15"/>
      <c r="AJ337" s="15"/>
      <c r="AK337" s="15" t="s">
        <v>328</v>
      </c>
      <c r="AL337" s="15"/>
      <c r="AM337" s="15" t="s">
        <v>328</v>
      </c>
      <c r="AN337" s="15"/>
      <c r="AO337" s="15"/>
      <c r="AP337" s="15">
        <v>0</v>
      </c>
      <c r="AQ337" s="15">
        <v>0</v>
      </c>
      <c r="AR337" s="15"/>
      <c r="AS337" s="15" t="s">
        <v>328</v>
      </c>
      <c r="AT337" s="15"/>
      <c r="AU337" s="15"/>
      <c r="AV337" s="15">
        <v>1</v>
      </c>
      <c r="AW337" s="15">
        <v>2</v>
      </c>
      <c r="AX337" s="15">
        <v>3</v>
      </c>
      <c r="AY337" s="15"/>
      <c r="AZ337" s="15" t="s">
        <v>328</v>
      </c>
      <c r="BA337" s="15"/>
      <c r="BB337" s="15" t="s">
        <v>328</v>
      </c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 t="s">
        <v>328</v>
      </c>
      <c r="BN337" s="15"/>
      <c r="BO337" s="15" t="s">
        <v>328</v>
      </c>
      <c r="BP337" s="15" t="s">
        <v>328</v>
      </c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 t="s">
        <v>328</v>
      </c>
      <c r="CF337" s="15"/>
      <c r="CG337" s="15"/>
      <c r="CH337" s="15" t="s">
        <v>328</v>
      </c>
      <c r="CI337" s="15"/>
      <c r="CJ337" s="15"/>
      <c r="CK337" s="15"/>
      <c r="CL337" s="15">
        <v>4</v>
      </c>
      <c r="CM337" s="15">
        <v>1</v>
      </c>
      <c r="CN337" s="15">
        <v>6</v>
      </c>
      <c r="CO337" s="15">
        <v>2</v>
      </c>
      <c r="CP337" s="15">
        <v>3</v>
      </c>
      <c r="CQ337" s="15">
        <v>5</v>
      </c>
      <c r="CR337" s="15"/>
      <c r="CS337" s="15"/>
      <c r="CT337" s="15"/>
      <c r="CU337" s="15"/>
      <c r="CV337" s="15" t="s">
        <v>328</v>
      </c>
      <c r="CW337" s="15"/>
      <c r="CX337" s="15"/>
      <c r="CY337" s="15"/>
      <c r="CZ337" s="15"/>
      <c r="DA337" s="15">
        <v>1</v>
      </c>
      <c r="DB337" s="15"/>
      <c r="DC337" s="15"/>
      <c r="DD337" s="15"/>
      <c r="DE337" s="15"/>
      <c r="DF337" s="15"/>
      <c r="DG337" s="15"/>
      <c r="DH337" s="15" t="s">
        <v>328</v>
      </c>
      <c r="DI337" s="15"/>
      <c r="DJ337" s="15"/>
      <c r="DK337" s="15"/>
      <c r="DL337" s="15"/>
      <c r="DM337" s="15"/>
      <c r="DN337" s="15"/>
      <c r="DO337" s="15" t="s">
        <v>328</v>
      </c>
      <c r="DP337" s="15"/>
      <c r="DQ337" s="15"/>
      <c r="DR337" s="15"/>
      <c r="DS337" s="15"/>
      <c r="DT337" s="15"/>
      <c r="DU337" s="15"/>
      <c r="DV337" s="15"/>
      <c r="DW337" s="15" t="s">
        <v>328</v>
      </c>
      <c r="DX337" s="15"/>
      <c r="DY337" s="15"/>
      <c r="DZ337" s="15"/>
      <c r="EA337" s="15"/>
      <c r="EB337" s="15"/>
      <c r="EC337" s="102"/>
      <c r="ED337" s="99"/>
    </row>
    <row r="338" spans="1:134" x14ac:dyDescent="0.25">
      <c r="A338" s="51" t="s">
        <v>1442</v>
      </c>
      <c r="B338" s="103" t="s">
        <v>1490</v>
      </c>
      <c r="C338" s="15" t="s">
        <v>328</v>
      </c>
      <c r="D338" s="15"/>
      <c r="E338" s="15">
        <v>61</v>
      </c>
      <c r="F338" s="15" t="s">
        <v>329</v>
      </c>
      <c r="G338" s="15" t="s">
        <v>584</v>
      </c>
      <c r="H338" s="15" t="s">
        <v>1087</v>
      </c>
      <c r="I338" s="15" t="s">
        <v>1279</v>
      </c>
      <c r="J338" s="15" t="s">
        <v>1290</v>
      </c>
      <c r="K338" s="15">
        <v>40</v>
      </c>
      <c r="L338" s="15">
        <v>1</v>
      </c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>
        <v>1</v>
      </c>
      <c r="Y338" s="15"/>
      <c r="Z338" s="15"/>
      <c r="AA338" s="15" t="s">
        <v>328</v>
      </c>
      <c r="AB338" s="15"/>
      <c r="AC338" s="15"/>
      <c r="AD338" s="15"/>
      <c r="AE338" s="15" t="s">
        <v>328</v>
      </c>
      <c r="AF338" s="15"/>
      <c r="AG338" s="15"/>
      <c r="AH338" s="15"/>
      <c r="AI338" s="15"/>
      <c r="AJ338" s="15"/>
      <c r="AK338" s="15" t="s">
        <v>328</v>
      </c>
      <c r="AL338" s="15"/>
      <c r="AM338" s="15" t="s">
        <v>328</v>
      </c>
      <c r="AN338" s="15"/>
      <c r="AO338" s="15"/>
      <c r="AP338" s="15">
        <v>10</v>
      </c>
      <c r="AQ338" s="15">
        <v>10</v>
      </c>
      <c r="AR338" s="15"/>
      <c r="AS338" s="15" t="s">
        <v>328</v>
      </c>
      <c r="AT338" s="15"/>
      <c r="AU338" s="15"/>
      <c r="AV338" s="15">
        <v>3</v>
      </c>
      <c r="AW338" s="15">
        <v>1</v>
      </c>
      <c r="AX338" s="15">
        <v>2</v>
      </c>
      <c r="AY338" s="15"/>
      <c r="AZ338" s="15" t="s">
        <v>328</v>
      </c>
      <c r="BA338" s="15"/>
      <c r="BB338" s="15" t="s">
        <v>328</v>
      </c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 t="s">
        <v>328</v>
      </c>
      <c r="BN338" s="15"/>
      <c r="BO338" s="15" t="s">
        <v>328</v>
      </c>
      <c r="BP338" s="15"/>
      <c r="BQ338" s="15"/>
      <c r="BR338" s="15"/>
      <c r="BS338" s="15"/>
      <c r="BT338" s="15"/>
      <c r="BU338" s="15" t="s">
        <v>328</v>
      </c>
      <c r="BV338" s="15"/>
      <c r="BW338" s="15"/>
      <c r="BX338" s="15"/>
      <c r="BY338" s="15"/>
      <c r="BZ338" s="15"/>
      <c r="CA338" s="15"/>
      <c r="CB338" s="15" t="s">
        <v>328</v>
      </c>
      <c r="CC338" s="15" t="s">
        <v>328</v>
      </c>
      <c r="CD338" s="15"/>
      <c r="CE338" s="15"/>
      <c r="CF338" s="15"/>
      <c r="CG338" s="15"/>
      <c r="CH338" s="15" t="s">
        <v>328</v>
      </c>
      <c r="CI338" s="15"/>
      <c r="CJ338" s="15"/>
      <c r="CK338" s="15"/>
      <c r="CL338" s="15">
        <v>5</v>
      </c>
      <c r="CM338" s="15">
        <v>1</v>
      </c>
      <c r="CN338" s="15">
        <v>4</v>
      </c>
      <c r="CO338" s="15">
        <v>3</v>
      </c>
      <c r="CP338" s="15">
        <v>2</v>
      </c>
      <c r="CQ338" s="15">
        <v>6</v>
      </c>
      <c r="CR338" s="15"/>
      <c r="CS338" s="15"/>
      <c r="CT338" s="15"/>
      <c r="CU338" s="15"/>
      <c r="CV338" s="15"/>
      <c r="CW338" s="15"/>
      <c r="CX338" s="15" t="s">
        <v>332</v>
      </c>
      <c r="CY338" s="15" t="s">
        <v>328</v>
      </c>
      <c r="CZ338" s="15" t="s">
        <v>397</v>
      </c>
      <c r="DA338" s="15"/>
      <c r="DB338" s="15"/>
      <c r="DC338" s="15"/>
      <c r="DD338" s="15"/>
      <c r="DE338" s="15"/>
      <c r="DF338" s="15"/>
      <c r="DG338" s="15"/>
      <c r="DH338" s="15" t="s">
        <v>328</v>
      </c>
      <c r="DI338" s="15"/>
      <c r="DJ338" s="15"/>
      <c r="DK338" s="15"/>
      <c r="DL338" s="15"/>
      <c r="DM338" s="15"/>
      <c r="DN338" s="15"/>
      <c r="DO338" s="15" t="s">
        <v>328</v>
      </c>
      <c r="DP338" s="15"/>
      <c r="DQ338" s="15"/>
      <c r="DR338" s="15"/>
      <c r="DS338" s="15"/>
      <c r="DT338" s="15"/>
      <c r="DU338" s="15"/>
      <c r="DV338" s="15"/>
      <c r="DW338" s="15" t="s">
        <v>328</v>
      </c>
      <c r="DX338" s="15"/>
      <c r="DY338" s="15"/>
      <c r="DZ338" s="15"/>
      <c r="EA338" s="15"/>
      <c r="EB338" s="15"/>
      <c r="EC338" s="102"/>
      <c r="ED338" s="99"/>
    </row>
    <row r="339" spans="1:134" x14ac:dyDescent="0.25">
      <c r="A339" s="51" t="s">
        <v>1442</v>
      </c>
      <c r="B339" s="103" t="s">
        <v>1491</v>
      </c>
      <c r="C339" s="15" t="s">
        <v>328</v>
      </c>
      <c r="D339" s="15"/>
      <c r="E339" s="15">
        <v>45</v>
      </c>
      <c r="F339" s="15" t="s">
        <v>329</v>
      </c>
      <c r="G339" s="15" t="s">
        <v>330</v>
      </c>
      <c r="H339" s="15" t="s">
        <v>1492</v>
      </c>
      <c r="I339" s="15" t="s">
        <v>1493</v>
      </c>
      <c r="J339" s="15" t="s">
        <v>1446</v>
      </c>
      <c r="K339" s="15">
        <v>20</v>
      </c>
      <c r="L339" s="15">
        <v>3</v>
      </c>
      <c r="M339" s="15">
        <v>3</v>
      </c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 t="s">
        <v>328</v>
      </c>
      <c r="AB339" s="15"/>
      <c r="AC339" s="15"/>
      <c r="AD339" s="15"/>
      <c r="AE339" s="15"/>
      <c r="AF339" s="15"/>
      <c r="AG339" s="15"/>
      <c r="AH339" s="15"/>
      <c r="AI339" s="15"/>
      <c r="AJ339" s="15"/>
      <c r="AK339" s="15" t="s">
        <v>328</v>
      </c>
      <c r="AL339" s="15"/>
      <c r="AM339" s="15" t="s">
        <v>328</v>
      </c>
      <c r="AN339" s="15"/>
      <c r="AO339" s="15" t="s">
        <v>328</v>
      </c>
      <c r="AP339" s="15">
        <v>10</v>
      </c>
      <c r="AQ339" s="15">
        <v>10</v>
      </c>
      <c r="AR339" s="15"/>
      <c r="AS339" s="15" t="s">
        <v>328</v>
      </c>
      <c r="AT339" s="15"/>
      <c r="AU339" s="15"/>
      <c r="AV339" s="15">
        <v>3</v>
      </c>
      <c r="AW339" s="15">
        <v>1</v>
      </c>
      <c r="AX339" s="15">
        <v>2</v>
      </c>
      <c r="AY339" s="15"/>
      <c r="AZ339" s="15" t="s">
        <v>328</v>
      </c>
      <c r="BA339" s="15"/>
      <c r="BB339" s="15" t="s">
        <v>328</v>
      </c>
      <c r="BC339" s="15" t="s">
        <v>328</v>
      </c>
      <c r="BD339" s="15"/>
      <c r="BE339" s="15"/>
      <c r="BF339" s="15"/>
      <c r="BG339" s="15"/>
      <c r="BH339" s="15"/>
      <c r="BI339" s="15"/>
      <c r="BJ339" s="15"/>
      <c r="BK339" s="15"/>
      <c r="BL339" s="15"/>
      <c r="BM339" s="15" t="s">
        <v>328</v>
      </c>
      <c r="BN339" s="15" t="s">
        <v>328</v>
      </c>
      <c r="BO339" s="15"/>
      <c r="BP339" s="15"/>
      <c r="BQ339" s="15" t="s">
        <v>328</v>
      </c>
      <c r="BR339" s="15"/>
      <c r="BS339" s="15"/>
      <c r="BT339" s="15"/>
      <c r="BU339" s="15" t="s">
        <v>328</v>
      </c>
      <c r="BV339" s="15"/>
      <c r="BW339" s="15"/>
      <c r="BX339" s="15"/>
      <c r="BY339" s="15"/>
      <c r="BZ339" s="15"/>
      <c r="CA339" s="15"/>
      <c r="CB339" s="15" t="s">
        <v>328</v>
      </c>
      <c r="CC339" s="15"/>
      <c r="CD339" s="15"/>
      <c r="CE339" s="15" t="s">
        <v>328</v>
      </c>
      <c r="CF339" s="15"/>
      <c r="CG339" s="15" t="s">
        <v>328</v>
      </c>
      <c r="CH339" s="15"/>
      <c r="CI339" s="15"/>
      <c r="CJ339" s="15"/>
      <c r="CK339" s="15"/>
      <c r="CL339" s="15">
        <v>3</v>
      </c>
      <c r="CM339" s="15">
        <v>5</v>
      </c>
      <c r="CN339" s="15">
        <v>6</v>
      </c>
      <c r="CO339" s="15">
        <v>1</v>
      </c>
      <c r="CP339" s="15">
        <v>2</v>
      </c>
      <c r="CQ339" s="15">
        <v>4</v>
      </c>
      <c r="CR339" s="15"/>
      <c r="CS339" s="15"/>
      <c r="CT339" s="15"/>
      <c r="CU339" s="15"/>
      <c r="CV339" s="15" t="s">
        <v>328</v>
      </c>
      <c r="CW339" s="15"/>
      <c r="CX339" s="15"/>
      <c r="CY339" s="15"/>
      <c r="CZ339" s="15"/>
      <c r="DA339" s="15">
        <v>1</v>
      </c>
      <c r="DB339" s="15">
        <v>2</v>
      </c>
      <c r="DC339" s="15">
        <v>3</v>
      </c>
      <c r="DD339" s="15">
        <v>4</v>
      </c>
      <c r="DE339" s="15"/>
      <c r="DF339" s="15"/>
      <c r="DG339" s="15"/>
      <c r="DH339" s="15" t="s">
        <v>328</v>
      </c>
      <c r="DI339" s="15"/>
      <c r="DJ339" s="15"/>
      <c r="DK339" s="15"/>
      <c r="DL339" s="15"/>
      <c r="DM339" s="15"/>
      <c r="DN339" s="15"/>
      <c r="DO339" s="15" t="s">
        <v>328</v>
      </c>
      <c r="DP339" s="15"/>
      <c r="DQ339" s="15"/>
      <c r="DR339" s="15"/>
      <c r="DS339" s="15"/>
      <c r="DT339" s="15"/>
      <c r="DU339" s="15"/>
      <c r="DV339" s="15"/>
      <c r="DW339" s="15" t="s">
        <v>328</v>
      </c>
      <c r="DX339" s="15"/>
      <c r="DY339" s="15"/>
      <c r="DZ339" s="15"/>
      <c r="EA339" s="15"/>
      <c r="EB339" s="15"/>
      <c r="EC339" s="102"/>
      <c r="ED339" s="99"/>
    </row>
    <row r="340" spans="1:134" x14ac:dyDescent="0.25">
      <c r="A340" s="51" t="s">
        <v>1442</v>
      </c>
      <c r="B340" s="103" t="s">
        <v>1494</v>
      </c>
      <c r="C340" s="15" t="s">
        <v>328</v>
      </c>
      <c r="D340" s="15"/>
      <c r="E340" s="15">
        <v>53</v>
      </c>
      <c r="F340" s="15" t="s">
        <v>329</v>
      </c>
      <c r="G340" s="15" t="s">
        <v>353</v>
      </c>
      <c r="H340" s="15" t="s">
        <v>1049</v>
      </c>
      <c r="I340" s="15" t="s">
        <v>1299</v>
      </c>
      <c r="J340" s="15" t="s">
        <v>1293</v>
      </c>
      <c r="K340" s="15">
        <v>27</v>
      </c>
      <c r="L340" s="15">
        <v>1</v>
      </c>
      <c r="M340" s="15"/>
      <c r="N340" s="15">
        <v>1</v>
      </c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 t="s">
        <v>328</v>
      </c>
      <c r="AA340" s="15"/>
      <c r="AB340" s="15"/>
      <c r="AC340" s="15"/>
      <c r="AD340" s="15"/>
      <c r="AE340" s="15"/>
      <c r="AF340" s="15"/>
      <c r="AG340" s="15" t="s">
        <v>328</v>
      </c>
      <c r="AH340" s="15"/>
      <c r="AI340" s="15"/>
      <c r="AJ340" s="15" t="s">
        <v>328</v>
      </c>
      <c r="AK340" s="15"/>
      <c r="AL340" s="15"/>
      <c r="AM340" s="15"/>
      <c r="AN340" s="15" t="s">
        <v>328</v>
      </c>
      <c r="AO340" s="15"/>
      <c r="AP340" s="15">
        <v>10</v>
      </c>
      <c r="AQ340" s="15">
        <v>10</v>
      </c>
      <c r="AR340" s="15"/>
      <c r="AS340" s="15"/>
      <c r="AT340" s="15" t="s">
        <v>328</v>
      </c>
      <c r="AU340" s="15"/>
      <c r="AV340" s="15">
        <v>1</v>
      </c>
      <c r="AW340" s="15">
        <v>2</v>
      </c>
      <c r="AX340" s="15">
        <v>3</v>
      </c>
      <c r="AY340" s="15"/>
      <c r="AZ340" s="15" t="s">
        <v>328</v>
      </c>
      <c r="BA340" s="15"/>
      <c r="BB340" s="15"/>
      <c r="BC340" s="15" t="s">
        <v>328</v>
      </c>
      <c r="BD340" s="15"/>
      <c r="BE340" s="15"/>
      <c r="BF340" s="15"/>
      <c r="BG340" s="15"/>
      <c r="BH340" s="15"/>
      <c r="BI340" s="15"/>
      <c r="BJ340" s="15"/>
      <c r="BK340" s="15"/>
      <c r="BL340" s="15"/>
      <c r="BM340" s="15" t="s">
        <v>328</v>
      </c>
      <c r="BN340" s="15"/>
      <c r="BO340" s="15" t="s">
        <v>328</v>
      </c>
      <c r="BP340" s="15"/>
      <c r="BQ340" s="15"/>
      <c r="BR340" s="15"/>
      <c r="BS340" s="15"/>
      <c r="BT340" s="15" t="s">
        <v>328</v>
      </c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 t="s">
        <v>332</v>
      </c>
      <c r="CG340" s="15" t="s">
        <v>328</v>
      </c>
      <c r="CH340" s="15"/>
      <c r="CI340" s="15"/>
      <c r="CJ340" s="15"/>
      <c r="CK340" s="15"/>
      <c r="CL340" s="15">
        <v>3</v>
      </c>
      <c r="CM340" s="15">
        <v>1</v>
      </c>
      <c r="CN340" s="15">
        <v>2</v>
      </c>
      <c r="CO340" s="15">
        <v>5</v>
      </c>
      <c r="CP340" s="15">
        <v>6</v>
      </c>
      <c r="CQ340" s="15">
        <v>4</v>
      </c>
      <c r="CR340" s="15"/>
      <c r="CS340" s="15"/>
      <c r="CT340" s="15"/>
      <c r="CU340" s="15"/>
      <c r="CV340" s="15"/>
      <c r="CW340" s="15"/>
      <c r="CX340" s="15" t="s">
        <v>332</v>
      </c>
      <c r="CY340" s="15" t="s">
        <v>328</v>
      </c>
      <c r="CZ340" s="15" t="s">
        <v>397</v>
      </c>
      <c r="DA340" s="15"/>
      <c r="DB340" s="15"/>
      <c r="DC340" s="15"/>
      <c r="DD340" s="15"/>
      <c r="DE340" s="15"/>
      <c r="DF340" s="15"/>
      <c r="DG340" s="15"/>
      <c r="DH340" s="15" t="s">
        <v>328</v>
      </c>
      <c r="DI340" s="15"/>
      <c r="DJ340" s="15"/>
      <c r="DK340" s="15"/>
      <c r="DL340" s="15"/>
      <c r="DM340" s="15"/>
      <c r="DN340" s="15"/>
      <c r="DO340" s="15" t="s">
        <v>328</v>
      </c>
      <c r="DP340" s="15"/>
      <c r="DQ340" s="15"/>
      <c r="DR340" s="15"/>
      <c r="DS340" s="15"/>
      <c r="DT340" s="15"/>
      <c r="DU340" s="15"/>
      <c r="DV340" s="15"/>
      <c r="DW340" s="15" t="s">
        <v>328</v>
      </c>
      <c r="DX340" s="15"/>
      <c r="DY340" s="15"/>
      <c r="DZ340" s="15"/>
      <c r="EA340" s="15"/>
      <c r="EB340" s="15"/>
      <c r="EC340" s="102"/>
      <c r="ED340" s="99"/>
    </row>
    <row r="341" spans="1:134" x14ac:dyDescent="0.25">
      <c r="A341" s="51" t="s">
        <v>1442</v>
      </c>
      <c r="B341" s="103" t="s">
        <v>1495</v>
      </c>
      <c r="C341" s="15" t="s">
        <v>328</v>
      </c>
      <c r="D341" s="15"/>
      <c r="E341" s="15">
        <v>60</v>
      </c>
      <c r="F341" s="15" t="s">
        <v>329</v>
      </c>
      <c r="G341" s="15" t="s">
        <v>353</v>
      </c>
      <c r="H341" s="15" t="s">
        <v>1496</v>
      </c>
      <c r="I341" s="15" t="s">
        <v>1497</v>
      </c>
      <c r="J341" s="15" t="s">
        <v>1339</v>
      </c>
      <c r="K341" s="15">
        <v>35</v>
      </c>
      <c r="L341" s="15">
        <v>1</v>
      </c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>
        <v>1</v>
      </c>
      <c r="Y341" s="15"/>
      <c r="Z341" s="15" t="s">
        <v>328</v>
      </c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 t="s">
        <v>328</v>
      </c>
      <c r="AL341" s="15"/>
      <c r="AM341" s="15"/>
      <c r="AN341" s="15" t="s">
        <v>328</v>
      </c>
      <c r="AO341" s="15"/>
      <c r="AP341" s="15">
        <v>0</v>
      </c>
      <c r="AQ341" s="15">
        <v>0</v>
      </c>
      <c r="AR341" s="15"/>
      <c r="AS341" s="15" t="s">
        <v>328</v>
      </c>
      <c r="AT341" s="15"/>
      <c r="AU341" s="15"/>
      <c r="AV341" s="15">
        <v>3</v>
      </c>
      <c r="AW341" s="15">
        <v>1</v>
      </c>
      <c r="AX341" s="15">
        <v>2</v>
      </c>
      <c r="AY341" s="15"/>
      <c r="AZ341" s="15" t="s">
        <v>328</v>
      </c>
      <c r="BA341" s="15"/>
      <c r="BB341" s="15" t="s">
        <v>328</v>
      </c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 t="s">
        <v>328</v>
      </c>
      <c r="BN341" s="15"/>
      <c r="BO341" s="15" t="s">
        <v>328</v>
      </c>
      <c r="BP341" s="15"/>
      <c r="BQ341" s="15"/>
      <c r="BR341" s="15"/>
      <c r="BS341" s="15"/>
      <c r="BT341" s="15"/>
      <c r="BU341" s="15" t="s">
        <v>328</v>
      </c>
      <c r="BV341" s="15"/>
      <c r="BW341" s="15"/>
      <c r="BX341" s="15"/>
      <c r="BY341" s="15"/>
      <c r="BZ341" s="15"/>
      <c r="CA341" s="15"/>
      <c r="CB341" s="15" t="s">
        <v>328</v>
      </c>
      <c r="CC341" s="15"/>
      <c r="CD341" s="15"/>
      <c r="CE341" s="15"/>
      <c r="CF341" s="15"/>
      <c r="CG341" s="15"/>
      <c r="CH341" s="15" t="s">
        <v>328</v>
      </c>
      <c r="CI341" s="15"/>
      <c r="CJ341" s="15"/>
      <c r="CK341" s="15"/>
      <c r="CL341" s="15">
        <v>1</v>
      </c>
      <c r="CM341" s="15">
        <v>2</v>
      </c>
      <c r="CN341" s="15">
        <v>6</v>
      </c>
      <c r="CO341" s="15">
        <v>4</v>
      </c>
      <c r="CP341" s="15">
        <v>5</v>
      </c>
      <c r="CQ341" s="15">
        <v>3</v>
      </c>
      <c r="CR341" s="15"/>
      <c r="CS341" s="15"/>
      <c r="CT341" s="15"/>
      <c r="CU341" s="15"/>
      <c r="CV341" s="15"/>
      <c r="CW341" s="15"/>
      <c r="CX341" s="15" t="s">
        <v>332</v>
      </c>
      <c r="CY341" s="15"/>
      <c r="CZ341" s="15"/>
      <c r="DA341" s="15">
        <v>1</v>
      </c>
      <c r="DB341" s="15">
        <v>3</v>
      </c>
      <c r="DC341" s="15">
        <v>4</v>
      </c>
      <c r="DD341" s="15"/>
      <c r="DE341" s="15">
        <v>2</v>
      </c>
      <c r="DF341" s="15"/>
      <c r="DG341" s="15"/>
      <c r="DH341" s="15" t="s">
        <v>328</v>
      </c>
      <c r="DI341" s="15"/>
      <c r="DJ341" s="15"/>
      <c r="DK341" s="15"/>
      <c r="DL341" s="15"/>
      <c r="DM341" s="15"/>
      <c r="DN341" s="15"/>
      <c r="DO341" s="15" t="s">
        <v>328</v>
      </c>
      <c r="DP341" s="15"/>
      <c r="DQ341" s="15"/>
      <c r="DR341" s="15"/>
      <c r="DS341" s="15"/>
      <c r="DT341" s="15"/>
      <c r="DU341" s="15"/>
      <c r="DV341" s="15"/>
      <c r="DW341" s="15" t="s">
        <v>328</v>
      </c>
      <c r="DX341" s="15"/>
      <c r="DY341" s="15"/>
      <c r="DZ341" s="15"/>
      <c r="EA341" s="15"/>
      <c r="EB341" s="15"/>
      <c r="EC341" s="102"/>
      <c r="ED341" s="99"/>
    </row>
    <row r="342" spans="1:134" x14ac:dyDescent="0.25">
      <c r="A342" s="51" t="s">
        <v>1442</v>
      </c>
      <c r="B342" s="103" t="s">
        <v>1498</v>
      </c>
      <c r="C342" s="15" t="s">
        <v>328</v>
      </c>
      <c r="D342" s="15"/>
      <c r="E342" s="15">
        <v>37</v>
      </c>
      <c r="F342" s="15" t="s">
        <v>329</v>
      </c>
      <c r="G342" s="15" t="s">
        <v>357</v>
      </c>
      <c r="H342" s="15" t="s">
        <v>1499</v>
      </c>
      <c r="I342" s="15" t="s">
        <v>1500</v>
      </c>
      <c r="J342" s="15" t="s">
        <v>1446</v>
      </c>
      <c r="K342" s="15">
        <v>15</v>
      </c>
      <c r="L342" s="15">
        <v>1</v>
      </c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>
        <v>1</v>
      </c>
      <c r="Y342" s="15"/>
      <c r="Z342" s="15" t="s">
        <v>328</v>
      </c>
      <c r="AA342" s="15"/>
      <c r="AB342" s="15"/>
      <c r="AC342" s="15"/>
      <c r="AD342" s="15"/>
      <c r="AE342" s="15" t="s">
        <v>328</v>
      </c>
      <c r="AF342" s="15"/>
      <c r="AG342" s="15"/>
      <c r="AH342" s="15"/>
      <c r="AI342" s="15"/>
      <c r="AJ342" s="15"/>
      <c r="AK342" s="15" t="s">
        <v>328</v>
      </c>
      <c r="AL342" s="15"/>
      <c r="AM342" s="15" t="s">
        <v>328</v>
      </c>
      <c r="AN342" s="15"/>
      <c r="AO342" s="15"/>
      <c r="AP342" s="15">
        <v>0</v>
      </c>
      <c r="AQ342" s="15">
        <v>0</v>
      </c>
      <c r="AR342" s="15"/>
      <c r="AS342" s="15" t="s">
        <v>328</v>
      </c>
      <c r="AT342" s="15"/>
      <c r="AU342" s="15"/>
      <c r="AV342" s="15">
        <v>2</v>
      </c>
      <c r="AW342" s="15">
        <v>1</v>
      </c>
      <c r="AX342" s="15">
        <v>3</v>
      </c>
      <c r="AY342" s="15"/>
      <c r="AZ342" s="15" t="s">
        <v>328</v>
      </c>
      <c r="BA342" s="15"/>
      <c r="BB342" s="15" t="s">
        <v>328</v>
      </c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 t="s">
        <v>328</v>
      </c>
      <c r="BN342" s="15"/>
      <c r="BO342" s="15" t="s">
        <v>328</v>
      </c>
      <c r="BP342" s="15"/>
      <c r="BQ342" s="15" t="s">
        <v>328</v>
      </c>
      <c r="BR342" s="15"/>
      <c r="BS342" s="15"/>
      <c r="BT342" s="15"/>
      <c r="BU342" s="15" t="s">
        <v>328</v>
      </c>
      <c r="BV342" s="15"/>
      <c r="BW342" s="15"/>
      <c r="BX342" s="15"/>
      <c r="BY342" s="15"/>
      <c r="BZ342" s="15"/>
      <c r="CA342" s="15" t="s">
        <v>328</v>
      </c>
      <c r="CB342" s="15" t="s">
        <v>328</v>
      </c>
      <c r="CC342" s="15"/>
      <c r="CD342" s="15"/>
      <c r="CE342" s="15" t="s">
        <v>328</v>
      </c>
      <c r="CF342" s="15"/>
      <c r="CG342" s="15" t="s">
        <v>328</v>
      </c>
      <c r="CH342" s="15"/>
      <c r="CI342" s="15"/>
      <c r="CJ342" s="15"/>
      <c r="CK342" s="15"/>
      <c r="CL342" s="15">
        <v>5</v>
      </c>
      <c r="CM342" s="15">
        <v>3</v>
      </c>
      <c r="CN342" s="15">
        <v>4</v>
      </c>
      <c r="CO342" s="15">
        <v>1</v>
      </c>
      <c r="CP342" s="15">
        <v>2</v>
      </c>
      <c r="CQ342" s="15">
        <v>6</v>
      </c>
      <c r="CR342" s="15"/>
      <c r="CS342" s="15"/>
      <c r="CT342" s="15"/>
      <c r="CU342" s="15"/>
      <c r="CV342" s="15"/>
      <c r="CW342" s="15"/>
      <c r="CX342" s="15" t="s">
        <v>332</v>
      </c>
      <c r="CY342" s="15"/>
      <c r="CZ342" s="15"/>
      <c r="DA342" s="15">
        <v>5</v>
      </c>
      <c r="DB342" s="15">
        <v>1</v>
      </c>
      <c r="DC342" s="15">
        <v>2</v>
      </c>
      <c r="DD342" s="15">
        <v>3</v>
      </c>
      <c r="DE342" s="15">
        <v>6</v>
      </c>
      <c r="DF342" s="15">
        <v>4</v>
      </c>
      <c r="DG342" s="15"/>
      <c r="DH342" s="15" t="s">
        <v>328</v>
      </c>
      <c r="DI342" s="15"/>
      <c r="DJ342" s="15"/>
      <c r="DK342" s="15"/>
      <c r="DL342" s="15"/>
      <c r="DM342" s="15"/>
      <c r="DN342" s="15"/>
      <c r="DO342" s="15" t="s">
        <v>328</v>
      </c>
      <c r="DP342" s="15"/>
      <c r="DQ342" s="15"/>
      <c r="DR342" s="15"/>
      <c r="DS342" s="15"/>
      <c r="DT342" s="15"/>
      <c r="DU342" s="15"/>
      <c r="DV342" s="15"/>
      <c r="DW342" s="15" t="s">
        <v>328</v>
      </c>
      <c r="DX342" s="15"/>
      <c r="DY342" s="15"/>
      <c r="DZ342" s="15"/>
      <c r="EA342" s="15"/>
      <c r="EB342" s="15"/>
      <c r="EC342" s="102"/>
      <c r="ED342" s="99"/>
    </row>
    <row r="343" spans="1:134" x14ac:dyDescent="0.25">
      <c r="A343" s="51" t="s">
        <v>1442</v>
      </c>
      <c r="B343" s="103" t="s">
        <v>1501</v>
      </c>
      <c r="C343" s="15" t="s">
        <v>328</v>
      </c>
      <c r="D343" s="15"/>
      <c r="E343" s="15">
        <v>59</v>
      </c>
      <c r="F343" s="15" t="s">
        <v>329</v>
      </c>
      <c r="G343" s="15" t="s">
        <v>584</v>
      </c>
      <c r="H343" s="15" t="s">
        <v>1502</v>
      </c>
      <c r="I343" s="15" t="s">
        <v>1503</v>
      </c>
      <c r="J343" s="15" t="s">
        <v>1290</v>
      </c>
      <c r="K343" s="15">
        <v>30</v>
      </c>
      <c r="L343" s="15">
        <v>1</v>
      </c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>
        <v>1</v>
      </c>
      <c r="Y343" s="15"/>
      <c r="Z343" s="15" t="s">
        <v>328</v>
      </c>
      <c r="AA343" s="15" t="s">
        <v>328</v>
      </c>
      <c r="AB343" s="15"/>
      <c r="AC343" s="15"/>
      <c r="AD343" s="15"/>
      <c r="AE343" s="15" t="s">
        <v>328</v>
      </c>
      <c r="AF343" s="15"/>
      <c r="AG343" s="15"/>
      <c r="AH343" s="15"/>
      <c r="AI343" s="15"/>
      <c r="AJ343" s="15"/>
      <c r="AK343" s="15" t="s">
        <v>328</v>
      </c>
      <c r="AL343" s="15"/>
      <c r="AM343" s="15" t="s">
        <v>328</v>
      </c>
      <c r="AN343" s="15"/>
      <c r="AO343" s="15"/>
      <c r="AP343" s="15">
        <v>10</v>
      </c>
      <c r="AQ343" s="15">
        <v>10</v>
      </c>
      <c r="AR343" s="15"/>
      <c r="AS343" s="15" t="s">
        <v>328</v>
      </c>
      <c r="AT343" s="15"/>
      <c r="AU343" s="15"/>
      <c r="AV343" s="15">
        <v>3</v>
      </c>
      <c r="AW343" s="15">
        <v>1</v>
      </c>
      <c r="AX343" s="15">
        <v>2</v>
      </c>
      <c r="AY343" s="15"/>
      <c r="AZ343" s="15" t="s">
        <v>328</v>
      </c>
      <c r="BA343" s="15"/>
      <c r="BB343" s="15" t="s">
        <v>328</v>
      </c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 t="s">
        <v>328</v>
      </c>
      <c r="BN343" s="15"/>
      <c r="BO343" s="15" t="s">
        <v>328</v>
      </c>
      <c r="BP343" s="15" t="s">
        <v>328</v>
      </c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 t="s">
        <v>328</v>
      </c>
      <c r="CF343" s="15"/>
      <c r="CG343" s="15"/>
      <c r="CH343" s="15" t="s">
        <v>328</v>
      </c>
      <c r="CI343" s="15"/>
      <c r="CJ343" s="15"/>
      <c r="CK343" s="15"/>
      <c r="CL343" s="15">
        <v>3</v>
      </c>
      <c r="CM343" s="15">
        <v>1</v>
      </c>
      <c r="CN343" s="15">
        <v>2</v>
      </c>
      <c r="CO343" s="15">
        <v>5</v>
      </c>
      <c r="CP343" s="15">
        <v>6</v>
      </c>
      <c r="CQ343" s="15">
        <v>4</v>
      </c>
      <c r="CR343" s="15"/>
      <c r="CS343" s="15"/>
      <c r="CT343" s="15"/>
      <c r="CU343" s="15"/>
      <c r="CV343" s="15" t="s">
        <v>328</v>
      </c>
      <c r="CW343" s="15"/>
      <c r="CX343" s="15"/>
      <c r="CY343" s="15"/>
      <c r="CZ343" s="15"/>
      <c r="DA343" s="15">
        <v>1</v>
      </c>
      <c r="DB343" s="15"/>
      <c r="DC343" s="15"/>
      <c r="DD343" s="15"/>
      <c r="DE343" s="15"/>
      <c r="DF343" s="15"/>
      <c r="DG343" s="15"/>
      <c r="DH343" s="15" t="s">
        <v>328</v>
      </c>
      <c r="DI343" s="15"/>
      <c r="DJ343" s="15"/>
      <c r="DK343" s="15"/>
      <c r="DL343" s="15"/>
      <c r="DM343" s="15"/>
      <c r="DN343" s="15"/>
      <c r="DO343" s="15" t="s">
        <v>328</v>
      </c>
      <c r="DP343" s="15"/>
      <c r="DQ343" s="15"/>
      <c r="DR343" s="15"/>
      <c r="DS343" s="15"/>
      <c r="DT343" s="15"/>
      <c r="DU343" s="15"/>
      <c r="DV343" s="15"/>
      <c r="DW343" s="15" t="s">
        <v>328</v>
      </c>
      <c r="DX343" s="15"/>
      <c r="DY343" s="15"/>
      <c r="DZ343" s="15"/>
      <c r="EA343" s="15"/>
      <c r="EB343" s="15"/>
      <c r="EC343" s="102"/>
      <c r="ED343" s="99"/>
    </row>
    <row r="344" spans="1:134" x14ac:dyDescent="0.25">
      <c r="A344" s="51" t="s">
        <v>1442</v>
      </c>
      <c r="B344" s="103" t="s">
        <v>1504</v>
      </c>
      <c r="C344" s="15" t="s">
        <v>328</v>
      </c>
      <c r="D344" s="15"/>
      <c r="E344" s="15">
        <v>42</v>
      </c>
      <c r="F344" s="15" t="s">
        <v>329</v>
      </c>
      <c r="G344" s="15" t="s">
        <v>330</v>
      </c>
      <c r="H344" s="15" t="s">
        <v>1448</v>
      </c>
      <c r="I344" s="15" t="s">
        <v>1268</v>
      </c>
      <c r="J344" s="15" t="s">
        <v>1446</v>
      </c>
      <c r="K344" s="15">
        <v>12</v>
      </c>
      <c r="L344" s="15">
        <v>1</v>
      </c>
      <c r="M344" s="15">
        <v>1</v>
      </c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 t="s">
        <v>328</v>
      </c>
      <c r="AB344" s="15"/>
      <c r="AC344" s="15"/>
      <c r="AD344" s="15"/>
      <c r="AE344" s="15"/>
      <c r="AF344" s="15"/>
      <c r="AG344" s="15"/>
      <c r="AH344" s="15"/>
      <c r="AI344" s="15"/>
      <c r="AJ344" s="15" t="s">
        <v>328</v>
      </c>
      <c r="AK344" s="15"/>
      <c r="AL344" s="15"/>
      <c r="AM344" s="15"/>
      <c r="AN344" s="15"/>
      <c r="AO344" s="15" t="s">
        <v>328</v>
      </c>
      <c r="AP344" s="15">
        <v>10</v>
      </c>
      <c r="AQ344" s="15">
        <v>10</v>
      </c>
      <c r="AR344" s="15"/>
      <c r="AS344" s="15"/>
      <c r="AT344" s="15" t="s">
        <v>328</v>
      </c>
      <c r="AU344" s="15"/>
      <c r="AV344" s="15">
        <v>1</v>
      </c>
      <c r="AW344" s="15">
        <v>3</v>
      </c>
      <c r="AX344" s="15">
        <v>2</v>
      </c>
      <c r="AY344" s="15"/>
      <c r="AZ344" s="15" t="s">
        <v>328</v>
      </c>
      <c r="BA344" s="15"/>
      <c r="BB344" s="15"/>
      <c r="BC344" s="15"/>
      <c r="BD344" s="15"/>
      <c r="BE344" s="15"/>
      <c r="BF344" s="15"/>
      <c r="BG344" s="15"/>
      <c r="BH344" s="15"/>
      <c r="BI344" s="15" t="s">
        <v>328</v>
      </c>
      <c r="BJ344" s="15"/>
      <c r="BK344" s="15"/>
      <c r="BL344" s="15"/>
      <c r="BM344" s="15" t="s">
        <v>328</v>
      </c>
      <c r="BN344" s="15" t="s">
        <v>328</v>
      </c>
      <c r="BO344" s="15"/>
      <c r="BP344" s="15"/>
      <c r="BQ344" s="15" t="s">
        <v>328</v>
      </c>
      <c r="BR344" s="15"/>
      <c r="BS344" s="15"/>
      <c r="BT344" s="15" t="s">
        <v>328</v>
      </c>
      <c r="BU344" s="15" t="s">
        <v>328</v>
      </c>
      <c r="BV344" s="15"/>
      <c r="BW344" s="15"/>
      <c r="BX344" s="15"/>
      <c r="BY344" s="15"/>
      <c r="BZ344" s="15"/>
      <c r="CA344" s="15" t="s">
        <v>328</v>
      </c>
      <c r="CB344" s="15" t="s">
        <v>328</v>
      </c>
      <c r="CC344" s="15"/>
      <c r="CD344" s="15"/>
      <c r="CE344" s="15"/>
      <c r="CF344" s="15"/>
      <c r="CG344" s="15" t="s">
        <v>328</v>
      </c>
      <c r="CH344" s="15"/>
      <c r="CI344" s="15"/>
      <c r="CJ344" s="15"/>
      <c r="CK344" s="15"/>
      <c r="CL344" s="15">
        <v>3</v>
      </c>
      <c r="CM344" s="15">
        <v>1</v>
      </c>
      <c r="CN344" s="15">
        <v>2</v>
      </c>
      <c r="CO344" s="15">
        <v>5</v>
      </c>
      <c r="CP344" s="15">
        <v>6</v>
      </c>
      <c r="CQ344" s="15">
        <v>4</v>
      </c>
      <c r="CR344" s="15"/>
      <c r="CS344" s="15"/>
      <c r="CT344" s="15"/>
      <c r="CU344" s="15"/>
      <c r="CV344" s="15"/>
      <c r="CW344" s="15"/>
      <c r="CX344" s="15" t="s">
        <v>332</v>
      </c>
      <c r="CY344" s="15"/>
      <c r="CZ344" s="15"/>
      <c r="DA344" s="15">
        <v>1</v>
      </c>
      <c r="DB344" s="15">
        <v>3</v>
      </c>
      <c r="DC344" s="15">
        <v>4</v>
      </c>
      <c r="DD344" s="15">
        <v>5</v>
      </c>
      <c r="DE344" s="15">
        <v>2</v>
      </c>
      <c r="DF344" s="15"/>
      <c r="DG344" s="15"/>
      <c r="DH344" s="15" t="s">
        <v>328</v>
      </c>
      <c r="DI344" s="15"/>
      <c r="DJ344" s="15"/>
      <c r="DK344" s="15"/>
      <c r="DL344" s="15"/>
      <c r="DM344" s="15"/>
      <c r="DN344" s="15"/>
      <c r="DO344" s="15" t="s">
        <v>328</v>
      </c>
      <c r="DP344" s="15"/>
      <c r="DQ344" s="15"/>
      <c r="DR344" s="15"/>
      <c r="DS344" s="15"/>
      <c r="DT344" s="15"/>
      <c r="DU344" s="15"/>
      <c r="DV344" s="15"/>
      <c r="DW344" s="15" t="s">
        <v>328</v>
      </c>
      <c r="DX344" s="15"/>
      <c r="DY344" s="15"/>
      <c r="DZ344" s="15"/>
      <c r="EA344" s="15"/>
      <c r="EB344" s="15"/>
      <c r="EC344" s="102"/>
      <c r="ED344" s="99"/>
    </row>
    <row r="345" spans="1:134" x14ac:dyDescent="0.25">
      <c r="A345" s="51" t="s">
        <v>1442</v>
      </c>
      <c r="B345" s="103" t="s">
        <v>1505</v>
      </c>
      <c r="C345" s="15" t="s">
        <v>328</v>
      </c>
      <c r="D345" s="15"/>
      <c r="E345" s="15">
        <v>29</v>
      </c>
      <c r="F345" s="15" t="s">
        <v>329</v>
      </c>
      <c r="G345" s="15" t="s">
        <v>330</v>
      </c>
      <c r="H345" s="15" t="s">
        <v>1506</v>
      </c>
      <c r="I345" s="15" t="s">
        <v>1507</v>
      </c>
      <c r="J345" s="15" t="s">
        <v>1339</v>
      </c>
      <c r="K345" s="15">
        <v>5</v>
      </c>
      <c r="L345" s="15">
        <v>1</v>
      </c>
      <c r="M345" s="15">
        <v>1</v>
      </c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 t="s">
        <v>328</v>
      </c>
      <c r="AB345" s="15"/>
      <c r="AC345" s="15"/>
      <c r="AD345" s="15"/>
      <c r="AE345" s="15"/>
      <c r="AF345" s="15"/>
      <c r="AG345" s="15"/>
      <c r="AH345" s="15"/>
      <c r="AI345" s="15"/>
      <c r="AJ345" s="15" t="s">
        <v>328</v>
      </c>
      <c r="AK345" s="15"/>
      <c r="AL345" s="15" t="s">
        <v>328</v>
      </c>
      <c r="AM345" s="15"/>
      <c r="AN345" s="15"/>
      <c r="AO345" s="15"/>
      <c r="AP345" s="15">
        <v>10</v>
      </c>
      <c r="AQ345" s="15">
        <v>10</v>
      </c>
      <c r="AR345" s="15"/>
      <c r="AS345" s="15"/>
      <c r="AT345" s="15" t="s">
        <v>328</v>
      </c>
      <c r="AU345" s="15"/>
      <c r="AV345" s="15">
        <v>1</v>
      </c>
      <c r="AW345" s="15">
        <v>2</v>
      </c>
      <c r="AX345" s="15">
        <v>3</v>
      </c>
      <c r="AY345" s="15"/>
      <c r="AZ345" s="15" t="s">
        <v>328</v>
      </c>
      <c r="BA345" s="15"/>
      <c r="BB345" s="15"/>
      <c r="BC345" s="15" t="s">
        <v>328</v>
      </c>
      <c r="BD345" s="15"/>
      <c r="BE345" s="15"/>
      <c r="BF345" s="15"/>
      <c r="BG345" s="15"/>
      <c r="BH345" s="15"/>
      <c r="BI345" s="15"/>
      <c r="BJ345" s="15"/>
      <c r="BK345" s="15"/>
      <c r="BL345" s="15"/>
      <c r="BM345" s="15" t="s">
        <v>328</v>
      </c>
      <c r="BN345" s="15"/>
      <c r="BO345" s="15" t="s">
        <v>328</v>
      </c>
      <c r="BP345" s="15"/>
      <c r="BQ345" s="15"/>
      <c r="BR345" s="15"/>
      <c r="BS345" s="15"/>
      <c r="BT345" s="15" t="s">
        <v>328</v>
      </c>
      <c r="BU345" s="15"/>
      <c r="BV345" s="15"/>
      <c r="BW345" s="15"/>
      <c r="BX345" s="15"/>
      <c r="BY345" s="15"/>
      <c r="BZ345" s="15"/>
      <c r="CA345" s="15" t="s">
        <v>328</v>
      </c>
      <c r="CB345" s="15" t="s">
        <v>328</v>
      </c>
      <c r="CC345" s="15"/>
      <c r="CD345" s="15"/>
      <c r="CE345" s="15"/>
      <c r="CF345" s="15"/>
      <c r="CG345" s="15" t="s">
        <v>328</v>
      </c>
      <c r="CH345" s="15"/>
      <c r="CI345" s="15"/>
      <c r="CJ345" s="15"/>
      <c r="CK345" s="15"/>
      <c r="CL345" s="15">
        <v>5</v>
      </c>
      <c r="CM345" s="15">
        <v>3</v>
      </c>
      <c r="CN345" s="15">
        <v>4</v>
      </c>
      <c r="CO345" s="15">
        <v>1</v>
      </c>
      <c r="CP345" s="15">
        <v>2</v>
      </c>
      <c r="CQ345" s="15">
        <v>6</v>
      </c>
      <c r="CR345" s="15"/>
      <c r="CS345" s="15" t="s">
        <v>328</v>
      </c>
      <c r="CT345" s="15" t="s">
        <v>328</v>
      </c>
      <c r="CU345" s="15"/>
      <c r="CV345" s="15"/>
      <c r="CW345" s="15"/>
      <c r="CX345" s="15"/>
      <c r="CY345" s="15"/>
      <c r="CZ345" s="15"/>
      <c r="DA345" s="15">
        <v>1</v>
      </c>
      <c r="DB345" s="15"/>
      <c r="DC345" s="15"/>
      <c r="DD345" s="15"/>
      <c r="DE345" s="15">
        <v>2</v>
      </c>
      <c r="DF345" s="15"/>
      <c r="DG345" s="15"/>
      <c r="DH345" s="15" t="s">
        <v>328</v>
      </c>
      <c r="DI345" s="15"/>
      <c r="DJ345" s="15"/>
      <c r="DK345" s="15"/>
      <c r="DL345" s="15"/>
      <c r="DM345" s="15"/>
      <c r="DN345" s="15"/>
      <c r="DO345" s="15" t="s">
        <v>328</v>
      </c>
      <c r="DP345" s="15"/>
      <c r="DQ345" s="15"/>
      <c r="DR345" s="15"/>
      <c r="DS345" s="15"/>
      <c r="DT345" s="15"/>
      <c r="DU345" s="15"/>
      <c r="DV345" s="15"/>
      <c r="DW345" s="15" t="s">
        <v>328</v>
      </c>
      <c r="DX345" s="15"/>
      <c r="DY345" s="15"/>
      <c r="DZ345" s="15"/>
      <c r="EA345" s="15"/>
      <c r="EB345" s="15"/>
      <c r="EC345" s="102"/>
      <c r="ED345" s="99"/>
    </row>
    <row r="346" spans="1:134" x14ac:dyDescent="0.25">
      <c r="A346" s="51" t="s">
        <v>1508</v>
      </c>
      <c r="B346" s="103" t="s">
        <v>1509</v>
      </c>
      <c r="C346" s="15" t="s">
        <v>328</v>
      </c>
      <c r="D346" s="15"/>
      <c r="E346" s="15">
        <v>52</v>
      </c>
      <c r="F346" s="15" t="s">
        <v>329</v>
      </c>
      <c r="G346" s="15" t="s">
        <v>357</v>
      </c>
      <c r="H346" s="15" t="s">
        <v>1510</v>
      </c>
      <c r="I346" s="15" t="s">
        <v>1511</v>
      </c>
      <c r="J346" s="15" t="s">
        <v>1339</v>
      </c>
      <c r="K346" s="15">
        <v>0</v>
      </c>
      <c r="L346" s="15">
        <v>3</v>
      </c>
      <c r="M346" s="15"/>
      <c r="N346" s="15"/>
      <c r="O346" s="15"/>
      <c r="P346" s="15">
        <v>3</v>
      </c>
      <c r="Q346" s="15"/>
      <c r="R346" s="15"/>
      <c r="S346" s="15"/>
      <c r="T346" s="15"/>
      <c r="U346" s="15"/>
      <c r="V346" s="15"/>
      <c r="W346" s="15"/>
      <c r="X346" s="15"/>
      <c r="Y346" s="15"/>
      <c r="Z346" s="15" t="s">
        <v>328</v>
      </c>
      <c r="AA346" s="15"/>
      <c r="AB346" s="15"/>
      <c r="AC346" s="15"/>
      <c r="AD346" s="15"/>
      <c r="AE346" s="15"/>
      <c r="AF346" s="15"/>
      <c r="AG346" s="15" t="s">
        <v>328</v>
      </c>
      <c r="AH346" s="15"/>
      <c r="AI346" s="15"/>
      <c r="AJ346" s="15"/>
      <c r="AK346" s="15" t="s">
        <v>328</v>
      </c>
      <c r="AL346" s="15" t="s">
        <v>328</v>
      </c>
      <c r="AM346" s="15"/>
      <c r="AN346" s="15"/>
      <c r="AO346" s="15"/>
      <c r="AP346" s="15">
        <v>10</v>
      </c>
      <c r="AQ346" s="15">
        <v>5</v>
      </c>
      <c r="AR346" s="15"/>
      <c r="AS346" s="15"/>
      <c r="AT346" s="15"/>
      <c r="AU346" s="15" t="s">
        <v>328</v>
      </c>
      <c r="AV346" s="15">
        <v>1</v>
      </c>
      <c r="AW346" s="15">
        <v>2</v>
      </c>
      <c r="AX346" s="15">
        <v>3</v>
      </c>
      <c r="AY346" s="15"/>
      <c r="AZ346" s="15" t="s">
        <v>328</v>
      </c>
      <c r="BA346" s="15"/>
      <c r="BB346" s="15" t="s">
        <v>328</v>
      </c>
      <c r="BC346" s="15" t="s">
        <v>328</v>
      </c>
      <c r="BD346" s="15"/>
      <c r="BE346" s="15"/>
      <c r="BF346" s="15"/>
      <c r="BG346" s="15"/>
      <c r="BH346" s="15"/>
      <c r="BI346" s="15"/>
      <c r="BJ346" s="15"/>
      <c r="BK346" s="15"/>
      <c r="BL346" s="15"/>
      <c r="BM346" s="15" t="s">
        <v>328</v>
      </c>
      <c r="BN346" s="15" t="s">
        <v>328</v>
      </c>
      <c r="BO346" s="15"/>
      <c r="BP346" s="15"/>
      <c r="BQ346" s="15" t="s">
        <v>328</v>
      </c>
      <c r="BR346" s="15"/>
      <c r="BS346" s="15"/>
      <c r="BT346" s="15" t="s">
        <v>328</v>
      </c>
      <c r="BU346" s="15" t="s">
        <v>328</v>
      </c>
      <c r="BV346" s="15"/>
      <c r="BW346" s="15"/>
      <c r="BX346" s="15"/>
      <c r="BY346" s="15"/>
      <c r="BZ346" s="15" t="s">
        <v>328</v>
      </c>
      <c r="CA346" s="15" t="s">
        <v>328</v>
      </c>
      <c r="CB346" s="15" t="s">
        <v>328</v>
      </c>
      <c r="CC346" s="15"/>
      <c r="CD346" s="15"/>
      <c r="CE346" s="15"/>
      <c r="CF346" s="15"/>
      <c r="CG346" s="15"/>
      <c r="CH346" s="15" t="s">
        <v>328</v>
      </c>
      <c r="CI346" s="15"/>
      <c r="CJ346" s="15"/>
      <c r="CK346" s="15"/>
      <c r="CL346" s="15">
        <v>2</v>
      </c>
      <c r="CM346" s="15">
        <v>4</v>
      </c>
      <c r="CN346" s="15">
        <v>1</v>
      </c>
      <c r="CO346" s="15">
        <v>5</v>
      </c>
      <c r="CP346" s="15">
        <v>6</v>
      </c>
      <c r="CQ346" s="15">
        <v>3</v>
      </c>
      <c r="CR346" s="15"/>
      <c r="CS346" s="15"/>
      <c r="CT346" s="15"/>
      <c r="CU346" s="15"/>
      <c r="CV346" s="15"/>
      <c r="CW346" s="15"/>
      <c r="CX346" s="15" t="s">
        <v>332</v>
      </c>
      <c r="CY346" s="15"/>
      <c r="CZ346" s="15"/>
      <c r="DA346" s="15">
        <v>1</v>
      </c>
      <c r="DB346" s="15"/>
      <c r="DC346" s="15"/>
      <c r="DD346" s="15"/>
      <c r="DE346" s="15">
        <v>2</v>
      </c>
      <c r="DF346" s="15"/>
      <c r="DG346" s="15"/>
      <c r="DH346" s="15" t="s">
        <v>328</v>
      </c>
      <c r="DI346" s="15"/>
      <c r="DJ346" s="15"/>
      <c r="DK346" s="15"/>
      <c r="DL346" s="15"/>
      <c r="DM346" s="15"/>
      <c r="DN346" s="15"/>
      <c r="DO346" s="15" t="s">
        <v>328</v>
      </c>
      <c r="DP346" s="15"/>
      <c r="DQ346" s="15"/>
      <c r="DR346" s="15"/>
      <c r="DS346" s="15"/>
      <c r="DT346" s="15"/>
      <c r="DU346" s="15"/>
      <c r="DV346" s="15"/>
      <c r="DW346" s="15" t="s">
        <v>328</v>
      </c>
      <c r="DX346" s="15"/>
      <c r="DY346" s="15"/>
      <c r="DZ346" s="15"/>
      <c r="EA346" s="15"/>
      <c r="EB346" s="15"/>
      <c r="EC346" s="102"/>
      <c r="ED346" s="99"/>
    </row>
    <row r="347" spans="1:134" x14ac:dyDescent="0.25">
      <c r="A347" s="51" t="s">
        <v>1508</v>
      </c>
      <c r="B347" s="103" t="s">
        <v>1512</v>
      </c>
      <c r="C347" s="15" t="s">
        <v>328</v>
      </c>
      <c r="D347" s="15"/>
      <c r="E347" s="15">
        <v>36</v>
      </c>
      <c r="F347" s="15" t="s">
        <v>329</v>
      </c>
      <c r="G347" s="15" t="s">
        <v>399</v>
      </c>
      <c r="H347" s="15" t="s">
        <v>1510</v>
      </c>
      <c r="I347" s="15" t="s">
        <v>1511</v>
      </c>
      <c r="J347" s="15" t="s">
        <v>1339</v>
      </c>
      <c r="K347" s="15">
        <v>0</v>
      </c>
      <c r="L347" s="15">
        <v>2</v>
      </c>
      <c r="M347" s="15"/>
      <c r="N347" s="15"/>
      <c r="O347" s="15"/>
      <c r="P347" s="15">
        <v>2</v>
      </c>
      <c r="Q347" s="15"/>
      <c r="R347" s="15"/>
      <c r="S347" s="15"/>
      <c r="T347" s="15"/>
      <c r="U347" s="15"/>
      <c r="V347" s="15"/>
      <c r="W347" s="15"/>
      <c r="X347" s="15"/>
      <c r="Y347" s="15"/>
      <c r="Z347" s="15" t="s">
        <v>328</v>
      </c>
      <c r="AA347" s="15"/>
      <c r="AB347" s="15"/>
      <c r="AC347" s="15"/>
      <c r="AD347" s="15"/>
      <c r="AE347" s="15"/>
      <c r="AF347" s="15"/>
      <c r="AG347" s="15" t="s">
        <v>328</v>
      </c>
      <c r="AH347" s="15"/>
      <c r="AI347" s="15"/>
      <c r="AJ347" s="15" t="s">
        <v>328</v>
      </c>
      <c r="AK347" s="15"/>
      <c r="AL347" s="15"/>
      <c r="AM347" s="15"/>
      <c r="AN347" s="15"/>
      <c r="AO347" s="15" t="s">
        <v>328</v>
      </c>
      <c r="AP347" s="15">
        <v>10</v>
      </c>
      <c r="AQ347" s="15">
        <v>6</v>
      </c>
      <c r="AR347" s="15" t="s">
        <v>328</v>
      </c>
      <c r="AS347" s="15"/>
      <c r="AT347" s="15"/>
      <c r="AU347" s="15"/>
      <c r="AV347" s="15">
        <v>1</v>
      </c>
      <c r="AW347" s="15">
        <v>2</v>
      </c>
      <c r="AX347" s="15">
        <v>3</v>
      </c>
      <c r="AY347" s="15"/>
      <c r="AZ347" s="15"/>
      <c r="BA347" s="15" t="s">
        <v>328</v>
      </c>
      <c r="BB347" s="15" t="s">
        <v>328</v>
      </c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 t="s">
        <v>328</v>
      </c>
      <c r="BN347" s="15" t="s">
        <v>328</v>
      </c>
      <c r="BO347" s="15"/>
      <c r="BP347" s="15" t="s">
        <v>328</v>
      </c>
      <c r="BQ347" s="15" t="s">
        <v>328</v>
      </c>
      <c r="BR347" s="15"/>
      <c r="BS347" s="15"/>
      <c r="BT347" s="15" t="s">
        <v>328</v>
      </c>
      <c r="BU347" s="15" t="s">
        <v>328</v>
      </c>
      <c r="BV347" s="15"/>
      <c r="BW347" s="15" t="s">
        <v>328</v>
      </c>
      <c r="BX347" s="15"/>
      <c r="BY347" s="15"/>
      <c r="BZ347" s="15" t="s">
        <v>328</v>
      </c>
      <c r="CA347" s="15" t="s">
        <v>328</v>
      </c>
      <c r="CB347" s="15" t="s">
        <v>328</v>
      </c>
      <c r="CC347" s="15"/>
      <c r="CD347" s="15"/>
      <c r="CE347" s="15"/>
      <c r="CF347" s="15"/>
      <c r="CG347" s="15" t="s">
        <v>328</v>
      </c>
      <c r="CH347" s="15"/>
      <c r="CI347" s="15"/>
      <c r="CJ347" s="15"/>
      <c r="CK347" s="15"/>
      <c r="CL347" s="15">
        <v>3</v>
      </c>
      <c r="CM347" s="15">
        <v>5</v>
      </c>
      <c r="CN347" s="15">
        <v>6</v>
      </c>
      <c r="CO347" s="15">
        <v>1</v>
      </c>
      <c r="CP347" s="15">
        <v>2</v>
      </c>
      <c r="CQ347" s="15">
        <v>4</v>
      </c>
      <c r="CR347" s="15"/>
      <c r="CS347" s="15" t="s">
        <v>328</v>
      </c>
      <c r="CT347" s="15" t="s">
        <v>328</v>
      </c>
      <c r="CU347" s="15" t="s">
        <v>328</v>
      </c>
      <c r="CV347" s="15"/>
      <c r="CW347" s="15"/>
      <c r="CX347" s="15"/>
      <c r="CY347" s="15"/>
      <c r="CZ347" s="15"/>
      <c r="DA347" s="15"/>
      <c r="DB347" s="15"/>
      <c r="DC347" s="15"/>
      <c r="DD347" s="15"/>
      <c r="DE347" s="15">
        <v>1</v>
      </c>
      <c r="DF347" s="15"/>
      <c r="DG347" s="15"/>
      <c r="DH347" s="15" t="s">
        <v>328</v>
      </c>
      <c r="DI347" s="15"/>
      <c r="DJ347" s="15"/>
      <c r="DK347" s="15"/>
      <c r="DL347" s="15"/>
      <c r="DM347" s="15"/>
      <c r="DN347" s="15"/>
      <c r="DO347" s="15" t="s">
        <v>328</v>
      </c>
      <c r="DP347" s="15"/>
      <c r="DQ347" s="15"/>
      <c r="DR347" s="15"/>
      <c r="DS347" s="15"/>
      <c r="DT347" s="15"/>
      <c r="DU347" s="15"/>
      <c r="DV347" s="15"/>
      <c r="DW347" s="15" t="s">
        <v>328</v>
      </c>
      <c r="DX347" s="15"/>
      <c r="DY347" s="15"/>
      <c r="DZ347" s="15"/>
      <c r="EA347" s="15"/>
      <c r="EB347" s="15"/>
      <c r="EC347" s="102"/>
      <c r="ED347" s="99"/>
    </row>
    <row r="348" spans="1:134" x14ac:dyDescent="0.25">
      <c r="A348" s="51" t="s">
        <v>1508</v>
      </c>
      <c r="B348" s="103" t="s">
        <v>1513</v>
      </c>
      <c r="C348" s="15" t="s">
        <v>328</v>
      </c>
      <c r="D348" s="15"/>
      <c r="E348" s="15">
        <v>32</v>
      </c>
      <c r="F348" s="15" t="s">
        <v>376</v>
      </c>
      <c r="G348" s="15" t="s">
        <v>399</v>
      </c>
      <c r="H348" s="15" t="s">
        <v>1510</v>
      </c>
      <c r="I348" s="15" t="s">
        <v>1511</v>
      </c>
      <c r="J348" s="15" t="s">
        <v>1339</v>
      </c>
      <c r="K348" s="15">
        <v>0</v>
      </c>
      <c r="L348" s="15">
        <v>4</v>
      </c>
      <c r="M348" s="15">
        <v>1</v>
      </c>
      <c r="N348" s="15"/>
      <c r="O348" s="15"/>
      <c r="P348" s="15">
        <v>3</v>
      </c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 t="s">
        <v>328</v>
      </c>
      <c r="AB348" s="15" t="s">
        <v>328</v>
      </c>
      <c r="AC348" s="15"/>
      <c r="AD348" s="15" t="s">
        <v>328</v>
      </c>
      <c r="AE348" s="15"/>
      <c r="AF348" s="15" t="s">
        <v>328</v>
      </c>
      <c r="AG348" s="15" t="s">
        <v>328</v>
      </c>
      <c r="AH348" s="15" t="s">
        <v>328</v>
      </c>
      <c r="AI348" s="15"/>
      <c r="AJ348" s="15" t="s">
        <v>328</v>
      </c>
      <c r="AK348" s="15"/>
      <c r="AL348" s="15"/>
      <c r="AM348" s="15"/>
      <c r="AN348" s="15"/>
      <c r="AO348" s="15" t="s">
        <v>328</v>
      </c>
      <c r="AP348" s="15">
        <v>10</v>
      </c>
      <c r="AQ348" s="15">
        <v>10</v>
      </c>
      <c r="AR348" s="15"/>
      <c r="AS348" s="15" t="s">
        <v>328</v>
      </c>
      <c r="AT348" s="15"/>
      <c r="AU348" s="15"/>
      <c r="AV348" s="15">
        <v>3</v>
      </c>
      <c r="AW348" s="15">
        <v>1</v>
      </c>
      <c r="AX348" s="15">
        <v>2</v>
      </c>
      <c r="AY348" s="15"/>
      <c r="AZ348" s="15"/>
      <c r="BA348" s="15" t="s">
        <v>328</v>
      </c>
      <c r="BB348" s="15" t="s">
        <v>328</v>
      </c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 t="s">
        <v>328</v>
      </c>
      <c r="BN348" s="15" t="s">
        <v>328</v>
      </c>
      <c r="BO348" s="15"/>
      <c r="BP348" s="15"/>
      <c r="BQ348" s="15"/>
      <c r="BR348" s="15"/>
      <c r="BS348" s="15"/>
      <c r="BT348" s="15" t="s">
        <v>328</v>
      </c>
      <c r="BU348" s="15"/>
      <c r="BV348" s="15"/>
      <c r="BW348" s="15" t="s">
        <v>328</v>
      </c>
      <c r="BX348" s="15"/>
      <c r="BY348" s="15"/>
      <c r="BZ348" s="15"/>
      <c r="CA348" s="15" t="s">
        <v>328</v>
      </c>
      <c r="CB348" s="15"/>
      <c r="CC348" s="15"/>
      <c r="CD348" s="15"/>
      <c r="CE348" s="15"/>
      <c r="CF348" s="15"/>
      <c r="CG348" s="15" t="s">
        <v>328</v>
      </c>
      <c r="CH348" s="15"/>
      <c r="CI348" s="15"/>
      <c r="CJ348" s="15"/>
      <c r="CK348" s="15"/>
      <c r="CL348" s="15">
        <v>4</v>
      </c>
      <c r="CM348" s="15">
        <v>1</v>
      </c>
      <c r="CN348" s="15">
        <v>2</v>
      </c>
      <c r="CO348" s="15">
        <v>5</v>
      </c>
      <c r="CP348" s="15">
        <v>6</v>
      </c>
      <c r="CQ348" s="15">
        <v>3</v>
      </c>
      <c r="CR348" s="15"/>
      <c r="CS348" s="15" t="s">
        <v>328</v>
      </c>
      <c r="CT348" s="15" t="s">
        <v>328</v>
      </c>
      <c r="CU348" s="15"/>
      <c r="CV348" s="15"/>
      <c r="CW348" s="15"/>
      <c r="CX348" s="15"/>
      <c r="CY348" s="15"/>
      <c r="CZ348" s="15"/>
      <c r="DA348" s="15">
        <v>1</v>
      </c>
      <c r="DB348" s="15"/>
      <c r="DC348" s="15"/>
      <c r="DD348" s="15"/>
      <c r="DE348" s="15">
        <v>2</v>
      </c>
      <c r="DF348" s="15"/>
      <c r="DG348" s="15"/>
      <c r="DH348" s="15" t="s">
        <v>328</v>
      </c>
      <c r="DI348" s="15"/>
      <c r="DJ348" s="15"/>
      <c r="DK348" s="15"/>
      <c r="DL348" s="15"/>
      <c r="DM348" s="15"/>
      <c r="DN348" s="15"/>
      <c r="DO348" s="15" t="s">
        <v>328</v>
      </c>
      <c r="DP348" s="15"/>
      <c r="DQ348" s="15"/>
      <c r="DR348" s="15"/>
      <c r="DS348" s="15"/>
      <c r="DT348" s="15"/>
      <c r="DU348" s="15"/>
      <c r="DV348" s="15"/>
      <c r="DW348" s="15" t="s">
        <v>328</v>
      </c>
      <c r="DX348" s="15"/>
      <c r="DY348" s="15"/>
      <c r="DZ348" s="15"/>
      <c r="EA348" s="15"/>
      <c r="EB348" s="15"/>
      <c r="EC348" s="102"/>
      <c r="ED348" s="99"/>
    </row>
    <row r="349" spans="1:134" x14ac:dyDescent="0.25">
      <c r="A349" s="51" t="s">
        <v>1508</v>
      </c>
      <c r="B349" s="103" t="s">
        <v>1514</v>
      </c>
      <c r="C349" s="15" t="s">
        <v>328</v>
      </c>
      <c r="D349" s="15"/>
      <c r="E349" s="15">
        <v>47</v>
      </c>
      <c r="F349" s="15" t="s">
        <v>329</v>
      </c>
      <c r="G349" s="15" t="s">
        <v>1346</v>
      </c>
      <c r="H349" s="15" t="s">
        <v>1515</v>
      </c>
      <c r="I349" s="15" t="s">
        <v>1516</v>
      </c>
      <c r="J349" s="15" t="s">
        <v>1339</v>
      </c>
      <c r="K349" s="15">
        <v>0</v>
      </c>
      <c r="L349" s="15">
        <v>3</v>
      </c>
      <c r="M349" s="15"/>
      <c r="N349" s="15"/>
      <c r="O349" s="15"/>
      <c r="P349" s="15"/>
      <c r="Q349" s="15"/>
      <c r="R349" s="15"/>
      <c r="S349" s="15"/>
      <c r="T349" s="15">
        <v>6</v>
      </c>
      <c r="U349" s="15"/>
      <c r="V349" s="15"/>
      <c r="W349" s="15"/>
      <c r="X349" s="15"/>
      <c r="Y349" s="15"/>
      <c r="Z349" s="15"/>
      <c r="AA349" s="15"/>
      <c r="AB349" s="15"/>
      <c r="AC349" s="15" t="s">
        <v>328</v>
      </c>
      <c r="AD349" s="15"/>
      <c r="AE349" s="15"/>
      <c r="AF349" s="15" t="s">
        <v>328</v>
      </c>
      <c r="AG349" s="15"/>
      <c r="AH349" s="15"/>
      <c r="AI349" s="15"/>
      <c r="AJ349" s="15" t="s">
        <v>328</v>
      </c>
      <c r="AK349" s="15"/>
      <c r="AL349" s="15"/>
      <c r="AM349" s="15"/>
      <c r="AN349" s="15" t="s">
        <v>328</v>
      </c>
      <c r="AO349" s="15"/>
      <c r="AP349" s="15">
        <v>10</v>
      </c>
      <c r="AQ349" s="15">
        <v>10</v>
      </c>
      <c r="AR349" s="15"/>
      <c r="AS349" s="15"/>
      <c r="AT349" s="15" t="s">
        <v>328</v>
      </c>
      <c r="AU349" s="15"/>
      <c r="AV349" s="15">
        <v>3</v>
      </c>
      <c r="AW349" s="15">
        <v>1</v>
      </c>
      <c r="AX349" s="15">
        <v>2</v>
      </c>
      <c r="AY349" s="15"/>
      <c r="AZ349" s="15"/>
      <c r="BA349" s="15" t="s">
        <v>328</v>
      </c>
      <c r="BB349" s="15"/>
      <c r="BC349" s="15"/>
      <c r="BD349" s="15" t="s">
        <v>328</v>
      </c>
      <c r="BE349" s="15"/>
      <c r="BF349" s="15"/>
      <c r="BG349" s="15"/>
      <c r="BH349" s="15"/>
      <c r="BI349" s="15"/>
      <c r="BJ349" s="15"/>
      <c r="BK349" s="15"/>
      <c r="BL349" s="15"/>
      <c r="BM349" s="15" t="s">
        <v>328</v>
      </c>
      <c r="BN349" s="15" t="s">
        <v>328</v>
      </c>
      <c r="BO349" s="15"/>
      <c r="BP349" s="15"/>
      <c r="BQ349" s="15"/>
      <c r="BR349" s="15"/>
      <c r="BS349" s="15"/>
      <c r="BT349" s="15" t="s">
        <v>328</v>
      </c>
      <c r="BU349" s="15" t="s">
        <v>328</v>
      </c>
      <c r="BV349" s="15"/>
      <c r="BW349" s="15"/>
      <c r="BX349" s="15"/>
      <c r="BY349" s="15"/>
      <c r="BZ349" s="15" t="s">
        <v>328</v>
      </c>
      <c r="CA349" s="15" t="s">
        <v>328</v>
      </c>
      <c r="CB349" s="15"/>
      <c r="CC349" s="15"/>
      <c r="CD349" s="15"/>
      <c r="CE349" s="15"/>
      <c r="CF349" s="15"/>
      <c r="CG349" s="15" t="s">
        <v>328</v>
      </c>
      <c r="CH349" s="15"/>
      <c r="CI349" s="15"/>
      <c r="CJ349" s="15"/>
      <c r="CK349" s="15"/>
      <c r="CL349" s="15">
        <v>1</v>
      </c>
      <c r="CM349" s="15">
        <v>6</v>
      </c>
      <c r="CN349" s="15">
        <v>3</v>
      </c>
      <c r="CO349" s="15">
        <v>4</v>
      </c>
      <c r="CP349" s="15">
        <v>5</v>
      </c>
      <c r="CQ349" s="15">
        <v>2</v>
      </c>
      <c r="CR349" s="15"/>
      <c r="CS349" s="15" t="s">
        <v>328</v>
      </c>
      <c r="CT349" s="15" t="s">
        <v>328</v>
      </c>
      <c r="CU349" s="15" t="s">
        <v>328</v>
      </c>
      <c r="CV349" s="15"/>
      <c r="CW349" s="15" t="s">
        <v>328</v>
      </c>
      <c r="CX349" s="15"/>
      <c r="CY349" s="15"/>
      <c r="CZ349" s="15"/>
      <c r="DA349" s="15">
        <v>1</v>
      </c>
      <c r="DB349" s="15"/>
      <c r="DC349" s="15"/>
      <c r="DD349" s="15"/>
      <c r="DE349" s="15">
        <v>2</v>
      </c>
      <c r="DF349" s="15"/>
      <c r="DG349" s="15"/>
      <c r="DH349" s="15" t="s">
        <v>328</v>
      </c>
      <c r="DI349" s="15"/>
      <c r="DJ349" s="15"/>
      <c r="DK349" s="15"/>
      <c r="DL349" s="15"/>
      <c r="DM349" s="15"/>
      <c r="DN349" s="15"/>
      <c r="DO349" s="15" t="s">
        <v>328</v>
      </c>
      <c r="DP349" s="15"/>
      <c r="DQ349" s="15"/>
      <c r="DR349" s="15"/>
      <c r="DS349" s="15"/>
      <c r="DT349" s="15"/>
      <c r="DU349" s="15"/>
      <c r="DV349" s="15"/>
      <c r="DW349" s="15" t="s">
        <v>328</v>
      </c>
      <c r="DX349" s="15"/>
      <c r="DY349" s="15"/>
      <c r="DZ349" s="15"/>
      <c r="EA349" s="15"/>
      <c r="EB349" s="15"/>
      <c r="EC349" s="102"/>
      <c r="ED349" s="99"/>
    </row>
    <row r="350" spans="1:134" x14ac:dyDescent="0.25">
      <c r="A350" s="51" t="s">
        <v>1508</v>
      </c>
      <c r="B350" s="103" t="s">
        <v>1517</v>
      </c>
      <c r="C350" s="15" t="s">
        <v>328</v>
      </c>
      <c r="D350" s="15"/>
      <c r="E350" s="15">
        <v>53</v>
      </c>
      <c r="F350" s="15" t="s">
        <v>329</v>
      </c>
      <c r="G350" s="15" t="s">
        <v>357</v>
      </c>
      <c r="H350" s="15" t="s">
        <v>1515</v>
      </c>
      <c r="I350" s="15" t="s">
        <v>1516</v>
      </c>
      <c r="J350" s="15" t="s">
        <v>1339</v>
      </c>
      <c r="K350" s="15">
        <v>0</v>
      </c>
      <c r="L350" s="15">
        <v>2</v>
      </c>
      <c r="M350" s="15">
        <v>2</v>
      </c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 t="s">
        <v>328</v>
      </c>
      <c r="AE350" s="15"/>
      <c r="AF350" s="15"/>
      <c r="AG350" s="15"/>
      <c r="AH350" s="15"/>
      <c r="AI350" s="15"/>
      <c r="AJ350" s="15" t="s">
        <v>328</v>
      </c>
      <c r="AK350" s="15"/>
      <c r="AL350" s="15"/>
      <c r="AM350" s="15"/>
      <c r="AN350" s="15" t="s">
        <v>328</v>
      </c>
      <c r="AO350" s="15"/>
      <c r="AP350" s="15">
        <v>10</v>
      </c>
      <c r="AQ350" s="15">
        <v>10</v>
      </c>
      <c r="AR350" s="15"/>
      <c r="AS350" s="15"/>
      <c r="AT350" s="15" t="s">
        <v>328</v>
      </c>
      <c r="AU350" s="15"/>
      <c r="AV350" s="15">
        <v>1</v>
      </c>
      <c r="AW350" s="15">
        <v>2</v>
      </c>
      <c r="AX350" s="15">
        <v>3</v>
      </c>
      <c r="AY350" s="15"/>
      <c r="AZ350" s="15" t="s">
        <v>328</v>
      </c>
      <c r="BA350" s="15"/>
      <c r="BB350" s="15"/>
      <c r="BC350" s="15" t="s">
        <v>328</v>
      </c>
      <c r="BD350" s="15"/>
      <c r="BE350" s="15"/>
      <c r="BF350" s="15"/>
      <c r="BG350" s="15"/>
      <c r="BH350" s="15"/>
      <c r="BI350" s="15"/>
      <c r="BJ350" s="15"/>
      <c r="BK350" s="15"/>
      <c r="BL350" s="15"/>
      <c r="BM350" s="15" t="s">
        <v>328</v>
      </c>
      <c r="BN350" s="15" t="s">
        <v>328</v>
      </c>
      <c r="BO350" s="15"/>
      <c r="BP350" s="15"/>
      <c r="BQ350" s="15"/>
      <c r="BR350" s="15"/>
      <c r="BS350" s="15"/>
      <c r="BT350" s="15" t="s">
        <v>328</v>
      </c>
      <c r="BU350" s="15"/>
      <c r="BV350" s="15"/>
      <c r="BW350" s="15"/>
      <c r="BX350" s="15"/>
      <c r="BY350" s="15"/>
      <c r="BZ350" s="15" t="s">
        <v>328</v>
      </c>
      <c r="CA350" s="15" t="s">
        <v>328</v>
      </c>
      <c r="CB350" s="15"/>
      <c r="CC350" s="15"/>
      <c r="CD350" s="15"/>
      <c r="CE350" s="15"/>
      <c r="CF350" s="15"/>
      <c r="CG350" s="15" t="s">
        <v>328</v>
      </c>
      <c r="CH350" s="15"/>
      <c r="CI350" s="15"/>
      <c r="CJ350" s="15"/>
      <c r="CK350" s="15"/>
      <c r="CL350" s="15">
        <v>3</v>
      </c>
      <c r="CM350" s="15">
        <v>1</v>
      </c>
      <c r="CN350" s="15">
        <v>2</v>
      </c>
      <c r="CO350" s="15">
        <v>5</v>
      </c>
      <c r="CP350" s="15">
        <v>6</v>
      </c>
      <c r="CQ350" s="15">
        <v>4</v>
      </c>
      <c r="CR350" s="15"/>
      <c r="CS350" s="15" t="s">
        <v>328</v>
      </c>
      <c r="CT350" s="15" t="s">
        <v>328</v>
      </c>
      <c r="CU350" s="15"/>
      <c r="CV350" s="15"/>
      <c r="CW350" s="15"/>
      <c r="CX350" s="15"/>
      <c r="CY350" s="15"/>
      <c r="CZ350" s="15"/>
      <c r="DA350" s="15">
        <v>1</v>
      </c>
      <c r="DB350" s="15"/>
      <c r="DC350" s="15"/>
      <c r="DD350" s="15"/>
      <c r="DE350" s="15">
        <v>2</v>
      </c>
      <c r="DF350" s="15"/>
      <c r="DG350" s="15"/>
      <c r="DH350" s="15" t="s">
        <v>328</v>
      </c>
      <c r="DI350" s="15"/>
      <c r="DJ350" s="15"/>
      <c r="DK350" s="15"/>
      <c r="DL350" s="15"/>
      <c r="DM350" s="15"/>
      <c r="DN350" s="15"/>
      <c r="DO350" s="15" t="s">
        <v>328</v>
      </c>
      <c r="DP350" s="15"/>
      <c r="DQ350" s="15"/>
      <c r="DR350" s="15"/>
      <c r="DS350" s="15"/>
      <c r="DT350" s="15"/>
      <c r="DU350" s="15"/>
      <c r="DV350" s="15"/>
      <c r="DW350" s="15" t="s">
        <v>328</v>
      </c>
      <c r="DX350" s="15"/>
      <c r="DY350" s="15"/>
      <c r="DZ350" s="15"/>
      <c r="EA350" s="15"/>
      <c r="EB350" s="15"/>
      <c r="EC350" s="102"/>
      <c r="ED350" s="99"/>
    </row>
    <row r="351" spans="1:134" x14ac:dyDescent="0.25">
      <c r="A351" s="51" t="s">
        <v>1508</v>
      </c>
      <c r="B351" s="103" t="s">
        <v>1518</v>
      </c>
      <c r="C351" s="15" t="s">
        <v>328</v>
      </c>
      <c r="D351" s="15"/>
      <c r="E351" s="15">
        <v>43</v>
      </c>
      <c r="F351" s="15" t="s">
        <v>329</v>
      </c>
      <c r="G351" s="15" t="s">
        <v>357</v>
      </c>
      <c r="H351" s="15" t="s">
        <v>1519</v>
      </c>
      <c r="I351" s="15" t="s">
        <v>1520</v>
      </c>
      <c r="J351" s="15" t="s">
        <v>1339</v>
      </c>
      <c r="K351" s="15">
        <v>0</v>
      </c>
      <c r="L351" s="15">
        <v>2</v>
      </c>
      <c r="M351" s="15">
        <v>2</v>
      </c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 t="s">
        <v>418</v>
      </c>
      <c r="AJ351" s="15" t="s">
        <v>328</v>
      </c>
      <c r="AK351" s="15"/>
      <c r="AL351" s="15"/>
      <c r="AM351" s="15"/>
      <c r="AN351" s="15"/>
      <c r="AO351" s="15" t="s">
        <v>328</v>
      </c>
      <c r="AP351" s="15">
        <v>10</v>
      </c>
      <c r="AQ351" s="15">
        <v>10</v>
      </c>
      <c r="AR351" s="15"/>
      <c r="AS351" s="15" t="s">
        <v>328</v>
      </c>
      <c r="AT351" s="15"/>
      <c r="AU351" s="15"/>
      <c r="AV351" s="15">
        <v>1</v>
      </c>
      <c r="AW351" s="15">
        <v>2</v>
      </c>
      <c r="AX351" s="15">
        <v>3</v>
      </c>
      <c r="AY351" s="15"/>
      <c r="AZ351" s="15"/>
      <c r="BA351" s="15" t="s">
        <v>328</v>
      </c>
      <c r="BB351" s="15" t="s">
        <v>328</v>
      </c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 t="s">
        <v>328</v>
      </c>
      <c r="BN351" s="15" t="s">
        <v>328</v>
      </c>
      <c r="BO351" s="15"/>
      <c r="BP351" s="15"/>
      <c r="BQ351" s="15"/>
      <c r="BR351" s="15"/>
      <c r="BS351" s="15"/>
      <c r="BT351" s="15" t="s">
        <v>328</v>
      </c>
      <c r="BU351" s="15"/>
      <c r="BV351" s="15"/>
      <c r="BW351" s="15"/>
      <c r="BX351" s="15"/>
      <c r="BY351" s="15"/>
      <c r="BZ351" s="15"/>
      <c r="CA351" s="15" t="s">
        <v>328</v>
      </c>
      <c r="CB351" s="15"/>
      <c r="CC351" s="15"/>
      <c r="CD351" s="15"/>
      <c r="CE351" s="15"/>
      <c r="CF351" s="15"/>
      <c r="CG351" s="15"/>
      <c r="CH351" s="15"/>
      <c r="CI351" s="15"/>
      <c r="CJ351" s="15" t="s">
        <v>328</v>
      </c>
      <c r="CK351" s="15"/>
      <c r="CL351" s="15">
        <v>5</v>
      </c>
      <c r="CM351" s="15">
        <v>3</v>
      </c>
      <c r="CN351" s="15">
        <v>4</v>
      </c>
      <c r="CO351" s="15">
        <v>1</v>
      </c>
      <c r="CP351" s="15">
        <v>2</v>
      </c>
      <c r="CQ351" s="15">
        <v>6</v>
      </c>
      <c r="CR351" s="15"/>
      <c r="CS351" s="15"/>
      <c r="CT351" s="15"/>
      <c r="CU351" s="15"/>
      <c r="CV351" s="15"/>
      <c r="CW351" s="15"/>
      <c r="CX351" s="15" t="s">
        <v>332</v>
      </c>
      <c r="CY351" s="15"/>
      <c r="CZ351" s="15"/>
      <c r="DA351" s="15">
        <v>1</v>
      </c>
      <c r="DB351" s="15">
        <v>2</v>
      </c>
      <c r="DC351" s="15">
        <v>3</v>
      </c>
      <c r="DD351" s="15">
        <v>4</v>
      </c>
      <c r="DE351" s="15">
        <v>6</v>
      </c>
      <c r="DF351" s="15">
        <v>5</v>
      </c>
      <c r="DG351" s="15"/>
      <c r="DH351" s="15" t="s">
        <v>328</v>
      </c>
      <c r="DI351" s="15"/>
      <c r="DJ351" s="15"/>
      <c r="DK351" s="15"/>
      <c r="DL351" s="15"/>
      <c r="DM351" s="15"/>
      <c r="DN351" s="15"/>
      <c r="DO351" s="15" t="s">
        <v>328</v>
      </c>
      <c r="DP351" s="15"/>
      <c r="DQ351" s="15"/>
      <c r="DR351" s="15"/>
      <c r="DS351" s="15"/>
      <c r="DT351" s="15"/>
      <c r="DU351" s="15"/>
      <c r="DV351" s="15"/>
      <c r="DW351" s="15" t="s">
        <v>328</v>
      </c>
      <c r="DX351" s="15"/>
      <c r="DY351" s="15"/>
      <c r="DZ351" s="15"/>
      <c r="EA351" s="15"/>
      <c r="EB351" s="15"/>
      <c r="EC351" s="102"/>
      <c r="ED351" s="99"/>
    </row>
    <row r="352" spans="1:134" x14ac:dyDescent="0.25">
      <c r="A352" s="51" t="s">
        <v>1508</v>
      </c>
      <c r="B352" s="103" t="s">
        <v>1521</v>
      </c>
      <c r="C352" s="15" t="s">
        <v>328</v>
      </c>
      <c r="D352" s="15"/>
      <c r="E352" s="15">
        <v>38</v>
      </c>
      <c r="F352" s="15" t="s">
        <v>329</v>
      </c>
      <c r="G352" s="15" t="s">
        <v>399</v>
      </c>
      <c r="H352" s="15" t="s">
        <v>1522</v>
      </c>
      <c r="I352" s="15" t="s">
        <v>1523</v>
      </c>
      <c r="J352" s="15" t="s">
        <v>1339</v>
      </c>
      <c r="K352" s="15">
        <v>0</v>
      </c>
      <c r="L352" s="15">
        <v>2</v>
      </c>
      <c r="M352" s="15"/>
      <c r="N352" s="15"/>
      <c r="O352" s="15"/>
      <c r="P352" s="15"/>
      <c r="Q352" s="15"/>
      <c r="R352" s="15"/>
      <c r="S352" s="15"/>
      <c r="T352" s="15">
        <v>4</v>
      </c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 t="s">
        <v>1165</v>
      </c>
      <c r="AJ352" s="15"/>
      <c r="AK352" s="15" t="s">
        <v>328</v>
      </c>
      <c r="AL352" s="15" t="s">
        <v>328</v>
      </c>
      <c r="AM352" s="15"/>
      <c r="AN352" s="15"/>
      <c r="AO352" s="15"/>
      <c r="AP352" s="15">
        <v>0</v>
      </c>
      <c r="AQ352" s="15">
        <v>0</v>
      </c>
      <c r="AR352" s="15"/>
      <c r="AS352" s="15"/>
      <c r="AT352" s="15" t="s">
        <v>328</v>
      </c>
      <c r="AU352" s="15"/>
      <c r="AV352" s="15">
        <v>1</v>
      </c>
      <c r="AW352" s="15">
        <v>2</v>
      </c>
      <c r="AX352" s="15">
        <v>3</v>
      </c>
      <c r="AY352" s="15"/>
      <c r="AZ352" s="15" t="s">
        <v>328</v>
      </c>
      <c r="BA352" s="15"/>
      <c r="BB352" s="15"/>
      <c r="BC352" s="15"/>
      <c r="BD352" s="15"/>
      <c r="BE352" s="15" t="s">
        <v>328</v>
      </c>
      <c r="BF352" s="15"/>
      <c r="BG352" s="15"/>
      <c r="BH352" s="15"/>
      <c r="BI352" s="15"/>
      <c r="BJ352" s="15"/>
      <c r="BK352" s="15"/>
      <c r="BL352" s="15"/>
      <c r="BM352" s="15" t="s">
        <v>328</v>
      </c>
      <c r="BN352" s="15"/>
      <c r="BO352" s="15" t="s">
        <v>328</v>
      </c>
      <c r="BP352" s="15"/>
      <c r="BQ352" s="15" t="s">
        <v>328</v>
      </c>
      <c r="BR352" s="15"/>
      <c r="BS352" s="15"/>
      <c r="BT352" s="15"/>
      <c r="BU352" s="15" t="s">
        <v>328</v>
      </c>
      <c r="BV352" s="15"/>
      <c r="BW352" s="15"/>
      <c r="BX352" s="15"/>
      <c r="BY352" s="15"/>
      <c r="BZ352" s="15"/>
      <c r="CA352" s="15" t="s">
        <v>328</v>
      </c>
      <c r="CB352" s="15" t="s">
        <v>328</v>
      </c>
      <c r="CC352" s="15"/>
      <c r="CD352" s="15"/>
      <c r="CE352" s="15"/>
      <c r="CF352" s="15"/>
      <c r="CG352" s="15" t="s">
        <v>328</v>
      </c>
      <c r="CH352" s="15"/>
      <c r="CI352" s="15"/>
      <c r="CJ352" s="15"/>
      <c r="CK352" s="15"/>
      <c r="CL352" s="15">
        <v>3</v>
      </c>
      <c r="CM352" s="15">
        <v>1</v>
      </c>
      <c r="CN352" s="15">
        <v>2</v>
      </c>
      <c r="CO352" s="15">
        <v>6</v>
      </c>
      <c r="CP352" s="15">
        <v>5</v>
      </c>
      <c r="CQ352" s="15">
        <v>4</v>
      </c>
      <c r="CR352" s="15"/>
      <c r="CS352" s="15" t="s">
        <v>328</v>
      </c>
      <c r="CT352" s="15" t="s">
        <v>328</v>
      </c>
      <c r="CU352" s="15"/>
      <c r="CV352" s="15"/>
      <c r="CW352" s="15"/>
      <c r="CX352" s="15"/>
      <c r="CY352" s="15"/>
      <c r="CZ352" s="15"/>
      <c r="DA352" s="15">
        <v>1</v>
      </c>
      <c r="DB352" s="15"/>
      <c r="DC352" s="15"/>
      <c r="DD352" s="15">
        <v>3</v>
      </c>
      <c r="DE352" s="15">
        <v>2</v>
      </c>
      <c r="DF352" s="15">
        <v>4</v>
      </c>
      <c r="DG352" s="15"/>
      <c r="DH352" s="15" t="s">
        <v>328</v>
      </c>
      <c r="DI352" s="15"/>
      <c r="DJ352" s="15"/>
      <c r="DK352" s="15"/>
      <c r="DL352" s="15"/>
      <c r="DM352" s="15"/>
      <c r="DN352" s="15"/>
      <c r="DO352" s="15" t="s">
        <v>328</v>
      </c>
      <c r="DP352" s="15"/>
      <c r="DQ352" s="15"/>
      <c r="DR352" s="15"/>
      <c r="DS352" s="15"/>
      <c r="DT352" s="15"/>
      <c r="DU352" s="15"/>
      <c r="DV352" s="15"/>
      <c r="DW352" s="15" t="s">
        <v>328</v>
      </c>
      <c r="DX352" s="15"/>
      <c r="DY352" s="15"/>
      <c r="DZ352" s="15"/>
      <c r="EA352" s="15"/>
      <c r="EB352" s="15"/>
      <c r="EC352" s="102"/>
      <c r="ED352" s="99"/>
    </row>
    <row r="353" spans="1:134" x14ac:dyDescent="0.25">
      <c r="A353" s="51" t="s">
        <v>1508</v>
      </c>
      <c r="B353" s="103" t="s">
        <v>1524</v>
      </c>
      <c r="C353" s="15" t="s">
        <v>328</v>
      </c>
      <c r="D353" s="15"/>
      <c r="E353" s="15">
        <v>50</v>
      </c>
      <c r="F353" s="15" t="s">
        <v>329</v>
      </c>
      <c r="G353" s="15" t="s">
        <v>399</v>
      </c>
      <c r="H353" s="15" t="s">
        <v>1519</v>
      </c>
      <c r="I353" s="15" t="s">
        <v>1520</v>
      </c>
      <c r="J353" s="15" t="s">
        <v>1339</v>
      </c>
      <c r="K353" s="15">
        <v>0</v>
      </c>
      <c r="L353" s="15">
        <v>1</v>
      </c>
      <c r="M353" s="15">
        <v>1</v>
      </c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 t="s">
        <v>328</v>
      </c>
      <c r="AC353" s="15"/>
      <c r="AD353" s="15"/>
      <c r="AE353" s="15"/>
      <c r="AF353" s="15"/>
      <c r="AG353" s="15"/>
      <c r="AH353" s="15" t="s">
        <v>328</v>
      </c>
      <c r="AI353" s="15"/>
      <c r="AJ353" s="15"/>
      <c r="AK353" s="15" t="s">
        <v>328</v>
      </c>
      <c r="AL353" s="15" t="s">
        <v>328</v>
      </c>
      <c r="AM353" s="15"/>
      <c r="AN353" s="15"/>
      <c r="AO353" s="15"/>
      <c r="AP353" s="15">
        <v>10</v>
      </c>
      <c r="AQ353" s="15">
        <v>10</v>
      </c>
      <c r="AR353" s="15"/>
      <c r="AS353" s="15"/>
      <c r="AT353" s="15"/>
      <c r="AU353" s="15" t="s">
        <v>328</v>
      </c>
      <c r="AV353" s="15">
        <v>2</v>
      </c>
      <c r="AW353" s="15">
        <v>1</v>
      </c>
      <c r="AX353" s="15">
        <v>3</v>
      </c>
      <c r="AY353" s="15"/>
      <c r="AZ353" s="15" t="s">
        <v>328</v>
      </c>
      <c r="BA353" s="15"/>
      <c r="BB353" s="15"/>
      <c r="BC353" s="15" t="s">
        <v>328</v>
      </c>
      <c r="BD353" s="15"/>
      <c r="BE353" s="15"/>
      <c r="BF353" s="15"/>
      <c r="BG353" s="15"/>
      <c r="BH353" s="15"/>
      <c r="BI353" s="15"/>
      <c r="BJ353" s="15"/>
      <c r="BK353" s="15"/>
      <c r="BL353" s="15"/>
      <c r="BM353" s="15" t="s">
        <v>328</v>
      </c>
      <c r="BN353" s="15" t="s">
        <v>328</v>
      </c>
      <c r="BO353" s="15"/>
      <c r="BP353" s="15"/>
      <c r="BQ353" s="15" t="s">
        <v>328</v>
      </c>
      <c r="BR353" s="15"/>
      <c r="BS353" s="15"/>
      <c r="BT353" s="15"/>
      <c r="BU353" s="15" t="s">
        <v>328</v>
      </c>
      <c r="BV353" s="15"/>
      <c r="BW353" s="15"/>
      <c r="BX353" s="15"/>
      <c r="BY353" s="15"/>
      <c r="BZ353" s="15" t="s">
        <v>328</v>
      </c>
      <c r="CA353" s="15" t="s">
        <v>328</v>
      </c>
      <c r="CB353" s="15"/>
      <c r="CC353" s="15"/>
      <c r="CD353" s="15"/>
      <c r="CE353" s="15"/>
      <c r="CF353" s="15"/>
      <c r="CG353" s="15" t="s">
        <v>328</v>
      </c>
      <c r="CH353" s="15"/>
      <c r="CI353" s="15"/>
      <c r="CJ353" s="15"/>
      <c r="CK353" s="15"/>
      <c r="CL353" s="15">
        <v>6</v>
      </c>
      <c r="CM353" s="15">
        <v>1</v>
      </c>
      <c r="CN353" s="15">
        <v>2</v>
      </c>
      <c r="CO353" s="15">
        <v>4</v>
      </c>
      <c r="CP353" s="15">
        <v>3</v>
      </c>
      <c r="CQ353" s="15">
        <v>5</v>
      </c>
      <c r="CR353" s="15"/>
      <c r="CS353" s="15"/>
      <c r="CT353" s="15"/>
      <c r="CU353" s="15"/>
      <c r="CV353" s="15"/>
      <c r="CW353" s="15"/>
      <c r="CX353" s="15" t="s">
        <v>332</v>
      </c>
      <c r="CY353" s="15"/>
      <c r="CZ353" s="15"/>
      <c r="DA353" s="15">
        <v>1</v>
      </c>
      <c r="DB353" s="15"/>
      <c r="DC353" s="15"/>
      <c r="DD353" s="15"/>
      <c r="DE353" s="15">
        <v>2</v>
      </c>
      <c r="DF353" s="15"/>
      <c r="DG353" s="15"/>
      <c r="DH353" s="15" t="s">
        <v>328</v>
      </c>
      <c r="DI353" s="15"/>
      <c r="DJ353" s="15"/>
      <c r="DK353" s="15"/>
      <c r="DL353" s="15"/>
      <c r="DM353" s="15"/>
      <c r="DN353" s="15"/>
      <c r="DO353" s="15" t="s">
        <v>328</v>
      </c>
      <c r="DP353" s="15"/>
      <c r="DQ353" s="15"/>
      <c r="DR353" s="15"/>
      <c r="DS353" s="15"/>
      <c r="DT353" s="15"/>
      <c r="DU353" s="15"/>
      <c r="DV353" s="15"/>
      <c r="DW353" s="15" t="s">
        <v>328</v>
      </c>
      <c r="DX353" s="15"/>
      <c r="DY353" s="15"/>
      <c r="DZ353" s="15"/>
      <c r="EA353" s="15"/>
      <c r="EB353" s="15"/>
      <c r="EC353" s="102"/>
      <c r="ED353" s="99"/>
    </row>
    <row r="354" spans="1:134" x14ac:dyDescent="0.25">
      <c r="A354" s="51" t="s">
        <v>1508</v>
      </c>
      <c r="B354" s="103" t="s">
        <v>1525</v>
      </c>
      <c r="C354" s="15" t="s">
        <v>328</v>
      </c>
      <c r="D354" s="15"/>
      <c r="E354" s="15">
        <v>42</v>
      </c>
      <c r="F354" s="15" t="s">
        <v>329</v>
      </c>
      <c r="G354" s="15" t="s">
        <v>399</v>
      </c>
      <c r="H354" s="15" t="s">
        <v>1526</v>
      </c>
      <c r="I354" s="15" t="s">
        <v>1527</v>
      </c>
      <c r="J354" s="15" t="s">
        <v>1339</v>
      </c>
      <c r="K354" s="15">
        <v>0</v>
      </c>
      <c r="L354" s="15">
        <v>2</v>
      </c>
      <c r="M354" s="15"/>
      <c r="N354" s="15"/>
      <c r="O354" s="15"/>
      <c r="P354" s="15"/>
      <c r="Q354" s="15"/>
      <c r="R354" s="15"/>
      <c r="S354" s="15"/>
      <c r="T354" s="15">
        <v>2</v>
      </c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 t="s">
        <v>1165</v>
      </c>
      <c r="AJ354" s="15" t="s">
        <v>328</v>
      </c>
      <c r="AK354" s="15"/>
      <c r="AL354" s="15" t="s">
        <v>328</v>
      </c>
      <c r="AM354" s="15"/>
      <c r="AN354" s="15"/>
      <c r="AO354" s="15"/>
      <c r="AP354" s="15">
        <v>10</v>
      </c>
      <c r="AQ354" s="15">
        <v>10</v>
      </c>
      <c r="AR354" s="15"/>
      <c r="AS354" s="15"/>
      <c r="AT354" s="15" t="s">
        <v>328</v>
      </c>
      <c r="AU354" s="15"/>
      <c r="AV354" s="15">
        <v>1</v>
      </c>
      <c r="AW354" s="15">
        <v>2</v>
      </c>
      <c r="AX354" s="15">
        <v>3</v>
      </c>
      <c r="AY354" s="15"/>
      <c r="AZ354" s="15" t="s">
        <v>328</v>
      </c>
      <c r="BA354" s="15"/>
      <c r="BB354" s="15"/>
      <c r="BC354" s="15"/>
      <c r="BD354" s="15"/>
      <c r="BE354" s="15"/>
      <c r="BF354" s="15"/>
      <c r="BG354" s="15"/>
      <c r="BH354" s="15"/>
      <c r="BI354" s="15" t="s">
        <v>328</v>
      </c>
      <c r="BJ354" s="15"/>
      <c r="BK354" s="15"/>
      <c r="BL354" s="15"/>
      <c r="BM354" s="15" t="s">
        <v>328</v>
      </c>
      <c r="BN354" s="15"/>
      <c r="BO354" s="15" t="s">
        <v>328</v>
      </c>
      <c r="BP354" s="15"/>
      <c r="BQ354" s="15"/>
      <c r="BR354" s="15"/>
      <c r="BS354" s="15"/>
      <c r="BT354" s="15" t="s">
        <v>328</v>
      </c>
      <c r="BU354" s="15"/>
      <c r="BV354" s="15"/>
      <c r="BW354" s="15"/>
      <c r="BX354" s="15"/>
      <c r="BY354" s="15"/>
      <c r="BZ354" s="15" t="s">
        <v>328</v>
      </c>
      <c r="CA354" s="15" t="s">
        <v>328</v>
      </c>
      <c r="CB354" s="15"/>
      <c r="CC354" s="15"/>
      <c r="CD354" s="15"/>
      <c r="CE354" s="15"/>
      <c r="CF354" s="15"/>
      <c r="CG354" s="15"/>
      <c r="CH354" s="15" t="s">
        <v>328</v>
      </c>
      <c r="CI354" s="15"/>
      <c r="CJ354" s="15"/>
      <c r="CK354" s="15"/>
      <c r="CL354" s="15">
        <v>3</v>
      </c>
      <c r="CM354" s="15">
        <v>2</v>
      </c>
      <c r="CN354" s="15">
        <v>1</v>
      </c>
      <c r="CO354" s="15">
        <v>5</v>
      </c>
      <c r="CP354" s="15">
        <v>6</v>
      </c>
      <c r="CQ354" s="15">
        <v>4</v>
      </c>
      <c r="CR354" s="15"/>
      <c r="CS354" s="15" t="s">
        <v>328</v>
      </c>
      <c r="CT354" s="15" t="s">
        <v>328</v>
      </c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>
        <v>1</v>
      </c>
      <c r="DF354" s="15"/>
      <c r="DG354" s="15"/>
      <c r="DH354" s="15" t="s">
        <v>328</v>
      </c>
      <c r="DI354" s="15"/>
      <c r="DJ354" s="15"/>
      <c r="DK354" s="15"/>
      <c r="DL354" s="15"/>
      <c r="DM354" s="15"/>
      <c r="DN354" s="15"/>
      <c r="DO354" s="15" t="s">
        <v>328</v>
      </c>
      <c r="DP354" s="15"/>
      <c r="DQ354" s="15"/>
      <c r="DR354" s="15"/>
      <c r="DS354" s="15"/>
      <c r="DT354" s="15"/>
      <c r="DU354" s="15"/>
      <c r="DV354" s="15"/>
      <c r="DW354" s="15" t="s">
        <v>328</v>
      </c>
      <c r="DX354" s="15"/>
      <c r="DY354" s="15"/>
      <c r="DZ354" s="15"/>
      <c r="EA354" s="15"/>
      <c r="EB354" s="15"/>
      <c r="EC354" s="102"/>
      <c r="ED354" s="99"/>
    </row>
    <row r="355" spans="1:134" x14ac:dyDescent="0.25">
      <c r="A355" s="51" t="s">
        <v>1508</v>
      </c>
      <c r="B355" s="103" t="s">
        <v>1528</v>
      </c>
      <c r="C355" s="15" t="s">
        <v>328</v>
      </c>
      <c r="D355" s="15"/>
      <c r="E355" s="15">
        <v>63</v>
      </c>
      <c r="F355" s="15" t="s">
        <v>329</v>
      </c>
      <c r="G355" s="15" t="s">
        <v>330</v>
      </c>
      <c r="H355" s="15" t="s">
        <v>1526</v>
      </c>
      <c r="I355" s="15" t="s">
        <v>1527</v>
      </c>
      <c r="J355" s="15" t="s">
        <v>1339</v>
      </c>
      <c r="K355" s="15">
        <v>35</v>
      </c>
      <c r="L355" s="15">
        <v>1</v>
      </c>
      <c r="M355" s="15"/>
      <c r="N355" s="15"/>
      <c r="O355" s="15"/>
      <c r="P355" s="15"/>
      <c r="Q355" s="15"/>
      <c r="R355" s="15"/>
      <c r="S355" s="15"/>
      <c r="T355" s="15">
        <v>1</v>
      </c>
      <c r="U355" s="15"/>
      <c r="V355" s="15"/>
      <c r="W355" s="15"/>
      <c r="X355" s="15"/>
      <c r="Y355" s="15"/>
      <c r="Z355" s="15"/>
      <c r="AA355" s="15"/>
      <c r="AB355" s="15"/>
      <c r="AC355" s="15" t="s">
        <v>328</v>
      </c>
      <c r="AD355" s="15"/>
      <c r="AE355" s="15"/>
      <c r="AF355" s="15"/>
      <c r="AG355" s="15"/>
      <c r="AH355" s="15"/>
      <c r="AI355" s="15" t="s">
        <v>1165</v>
      </c>
      <c r="AJ355" s="15" t="s">
        <v>328</v>
      </c>
      <c r="AK355" s="15"/>
      <c r="AL355" s="15" t="s">
        <v>328</v>
      </c>
      <c r="AM355" s="15"/>
      <c r="AN355" s="15"/>
      <c r="AO355" s="15"/>
      <c r="AP355" s="15">
        <v>0</v>
      </c>
      <c r="AQ355" s="15">
        <v>0</v>
      </c>
      <c r="AR355" s="15"/>
      <c r="AS355" s="15"/>
      <c r="AT355" s="15" t="s">
        <v>328</v>
      </c>
      <c r="AU355" s="15"/>
      <c r="AV355" s="15">
        <v>1</v>
      </c>
      <c r="AW355" s="15">
        <v>3</v>
      </c>
      <c r="AX355" s="15">
        <v>2</v>
      </c>
      <c r="AY355" s="15"/>
      <c r="AZ355" s="15" t="s">
        <v>328</v>
      </c>
      <c r="BA355" s="15"/>
      <c r="BB355" s="15"/>
      <c r="BC355" s="15" t="s">
        <v>328</v>
      </c>
      <c r="BD355" s="15"/>
      <c r="BE355" s="15"/>
      <c r="BF355" s="15"/>
      <c r="BG355" s="15"/>
      <c r="BH355" s="15"/>
      <c r="BI355" s="15"/>
      <c r="BJ355" s="15"/>
      <c r="BK355" s="15"/>
      <c r="BL355" s="15"/>
      <c r="BM355" s="15" t="s">
        <v>328</v>
      </c>
      <c r="BN355" s="15" t="s">
        <v>328</v>
      </c>
      <c r="BO355" s="15"/>
      <c r="BP355" s="15" t="s">
        <v>328</v>
      </c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 t="s">
        <v>328</v>
      </c>
      <c r="CC355" s="15"/>
      <c r="CD355" s="15"/>
      <c r="CE355" s="15"/>
      <c r="CF355" s="15"/>
      <c r="CG355" s="15"/>
      <c r="CH355" s="15" t="s">
        <v>328</v>
      </c>
      <c r="CI355" s="15"/>
      <c r="CJ355" s="15"/>
      <c r="CK355" s="15"/>
      <c r="CL355" s="15">
        <v>4</v>
      </c>
      <c r="CM355" s="15">
        <v>1</v>
      </c>
      <c r="CN355" s="15">
        <v>3</v>
      </c>
      <c r="CO355" s="15">
        <v>6</v>
      </c>
      <c r="CP355" s="15">
        <v>2</v>
      </c>
      <c r="CQ355" s="15">
        <v>5</v>
      </c>
      <c r="CR355" s="15"/>
      <c r="CS355" s="15"/>
      <c r="CT355" s="15"/>
      <c r="CU355" s="15"/>
      <c r="CV355" s="15" t="s">
        <v>328</v>
      </c>
      <c r="CW355" s="15"/>
      <c r="CX355" s="15"/>
      <c r="CY355" s="15"/>
      <c r="CZ355" s="15"/>
      <c r="DA355" s="15">
        <v>1</v>
      </c>
      <c r="DB355" s="15"/>
      <c r="DC355" s="15"/>
      <c r="DD355" s="15"/>
      <c r="DE355" s="15"/>
      <c r="DF355" s="15"/>
      <c r="DG355" s="15"/>
      <c r="DH355" s="15" t="s">
        <v>328</v>
      </c>
      <c r="DI355" s="15"/>
      <c r="DJ355" s="15"/>
      <c r="DK355" s="15"/>
      <c r="DL355" s="15"/>
      <c r="DM355" s="15"/>
      <c r="DN355" s="15"/>
      <c r="DO355" s="15" t="s">
        <v>328</v>
      </c>
      <c r="DP355" s="15"/>
      <c r="DQ355" s="15"/>
      <c r="DR355" s="15"/>
      <c r="DS355" s="15"/>
      <c r="DT355" s="15"/>
      <c r="DU355" s="15"/>
      <c r="DV355" s="15"/>
      <c r="DW355" s="15" t="s">
        <v>328</v>
      </c>
      <c r="DX355" s="15"/>
      <c r="DY355" s="15"/>
      <c r="DZ355" s="15"/>
      <c r="EA355" s="15"/>
      <c r="EB355" s="15"/>
      <c r="EC355" s="102"/>
      <c r="ED355" s="99"/>
    </row>
    <row r="356" spans="1:134" x14ac:dyDescent="0.25">
      <c r="A356" s="51" t="s">
        <v>1508</v>
      </c>
      <c r="B356" s="103" t="s">
        <v>1529</v>
      </c>
      <c r="C356" s="15" t="s">
        <v>328</v>
      </c>
      <c r="D356" s="15"/>
      <c r="E356" s="15">
        <v>43</v>
      </c>
      <c r="F356" s="15" t="s">
        <v>329</v>
      </c>
      <c r="G356" s="15" t="s">
        <v>357</v>
      </c>
      <c r="H356" s="15" t="s">
        <v>1519</v>
      </c>
      <c r="I356" s="15" t="s">
        <v>1520</v>
      </c>
      <c r="J356" s="15" t="s">
        <v>1339</v>
      </c>
      <c r="K356" s="15">
        <v>0</v>
      </c>
      <c r="L356" s="15">
        <v>1</v>
      </c>
      <c r="M356" s="15">
        <v>1</v>
      </c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 t="s">
        <v>328</v>
      </c>
      <c r="AE356" s="15"/>
      <c r="AF356" s="15"/>
      <c r="AG356" s="15"/>
      <c r="AH356" s="15"/>
      <c r="AI356" s="15"/>
      <c r="AJ356" s="15" t="s">
        <v>328</v>
      </c>
      <c r="AK356" s="15"/>
      <c r="AL356" s="15"/>
      <c r="AM356" s="15"/>
      <c r="AN356" s="15"/>
      <c r="AO356" s="15" t="s">
        <v>328</v>
      </c>
      <c r="AP356" s="15">
        <v>10</v>
      </c>
      <c r="AQ356" s="15">
        <v>10</v>
      </c>
      <c r="AR356" s="15" t="s">
        <v>328</v>
      </c>
      <c r="AS356" s="15"/>
      <c r="AT356" s="15"/>
      <c r="AU356" s="15"/>
      <c r="AV356" s="15">
        <v>2</v>
      </c>
      <c r="AW356" s="15">
        <v>1</v>
      </c>
      <c r="AX356" s="15">
        <v>3</v>
      </c>
      <c r="AY356" s="15"/>
      <c r="AZ356" s="15" t="s">
        <v>328</v>
      </c>
      <c r="BA356" s="15"/>
      <c r="BB356" s="15"/>
      <c r="BC356" s="15"/>
      <c r="BD356" s="15"/>
      <c r="BE356" s="15"/>
      <c r="BF356" s="15"/>
      <c r="BG356" s="15" t="s">
        <v>328</v>
      </c>
      <c r="BH356" s="15"/>
      <c r="BI356" s="15"/>
      <c r="BJ356" s="15"/>
      <c r="BK356" s="15"/>
      <c r="BL356" s="15"/>
      <c r="BM356" s="15" t="s">
        <v>328</v>
      </c>
      <c r="BN356" s="15"/>
      <c r="BO356" s="15" t="s">
        <v>328</v>
      </c>
      <c r="BP356" s="15"/>
      <c r="BQ356" s="15"/>
      <c r="BR356" s="15"/>
      <c r="BS356" s="15"/>
      <c r="BT356" s="15" t="s">
        <v>328</v>
      </c>
      <c r="BU356" s="15"/>
      <c r="BV356" s="15"/>
      <c r="BW356" s="15"/>
      <c r="BX356" s="15"/>
      <c r="BY356" s="15"/>
      <c r="BZ356" s="15"/>
      <c r="CA356" s="15" t="s">
        <v>328</v>
      </c>
      <c r="CB356" s="15"/>
      <c r="CC356" s="15"/>
      <c r="CD356" s="15"/>
      <c r="CE356" s="15"/>
      <c r="CF356" s="15"/>
      <c r="CG356" s="15"/>
      <c r="CH356" s="15" t="s">
        <v>328</v>
      </c>
      <c r="CI356" s="15"/>
      <c r="CJ356" s="15"/>
      <c r="CK356" s="15"/>
      <c r="CL356" s="15">
        <v>1</v>
      </c>
      <c r="CM356" s="15">
        <v>4</v>
      </c>
      <c r="CN356" s="15">
        <v>3</v>
      </c>
      <c r="CO356" s="15">
        <v>5</v>
      </c>
      <c r="CP356" s="15">
        <v>6</v>
      </c>
      <c r="CQ356" s="15">
        <v>2</v>
      </c>
      <c r="CR356" s="15"/>
      <c r="CS356" s="15" t="s">
        <v>328</v>
      </c>
      <c r="CT356" s="15" t="s">
        <v>328</v>
      </c>
      <c r="CU356" s="15"/>
      <c r="CV356" s="15"/>
      <c r="CW356" s="15"/>
      <c r="CX356" s="15"/>
      <c r="CY356" s="15"/>
      <c r="CZ356" s="15"/>
      <c r="DA356" s="15">
        <v>1</v>
      </c>
      <c r="DB356" s="15"/>
      <c r="DC356" s="15"/>
      <c r="DD356" s="15"/>
      <c r="DE356" s="15">
        <v>2</v>
      </c>
      <c r="DF356" s="15"/>
      <c r="DG356" s="15"/>
      <c r="DH356" s="15" t="s">
        <v>328</v>
      </c>
      <c r="DI356" s="15"/>
      <c r="DJ356" s="15"/>
      <c r="DK356" s="15"/>
      <c r="DL356" s="15"/>
      <c r="DM356" s="15"/>
      <c r="DN356" s="15"/>
      <c r="DO356" s="15" t="s">
        <v>328</v>
      </c>
      <c r="DP356" s="15"/>
      <c r="DQ356" s="15"/>
      <c r="DR356" s="15"/>
      <c r="DS356" s="15"/>
      <c r="DT356" s="15"/>
      <c r="DU356" s="15"/>
      <c r="DV356" s="15"/>
      <c r="DW356" s="15" t="s">
        <v>328</v>
      </c>
      <c r="DX356" s="15"/>
      <c r="DY356" s="15"/>
      <c r="DZ356" s="15"/>
      <c r="EA356" s="15"/>
      <c r="EB356" s="15"/>
      <c r="EC356" s="102"/>
      <c r="ED356" s="99"/>
    </row>
    <row r="357" spans="1:134" x14ac:dyDescent="0.25">
      <c r="A357" s="51" t="s">
        <v>1508</v>
      </c>
      <c r="B357" s="103" t="s">
        <v>1530</v>
      </c>
      <c r="C357" s="15" t="s">
        <v>328</v>
      </c>
      <c r="D357" s="15"/>
      <c r="E357" s="15">
        <v>52</v>
      </c>
      <c r="F357" s="15" t="s">
        <v>329</v>
      </c>
      <c r="G357" s="15" t="s">
        <v>1346</v>
      </c>
      <c r="H357" s="15" t="s">
        <v>1526</v>
      </c>
      <c r="I357" s="15" t="s">
        <v>1527</v>
      </c>
      <c r="J357" s="15" t="s">
        <v>1339</v>
      </c>
      <c r="K357" s="15">
        <v>0</v>
      </c>
      <c r="L357" s="15">
        <v>2</v>
      </c>
      <c r="M357" s="15"/>
      <c r="N357" s="15"/>
      <c r="O357" s="15"/>
      <c r="P357" s="15"/>
      <c r="Q357" s="15"/>
      <c r="R357" s="15"/>
      <c r="S357" s="15"/>
      <c r="T357" s="15">
        <v>4</v>
      </c>
      <c r="U357" s="15"/>
      <c r="V357" s="15"/>
      <c r="W357" s="15"/>
      <c r="X357" s="15"/>
      <c r="Y357" s="15"/>
      <c r="Z357" s="15"/>
      <c r="AA357" s="15"/>
      <c r="AB357" s="15"/>
      <c r="AC357" s="15" t="s">
        <v>328</v>
      </c>
      <c r="AD357" s="15"/>
      <c r="AE357" s="15"/>
      <c r="AF357" s="15"/>
      <c r="AG357" s="15"/>
      <c r="AH357" s="15"/>
      <c r="AI357" s="15" t="s">
        <v>1165</v>
      </c>
      <c r="AJ357" s="15"/>
      <c r="AK357" s="15" t="s">
        <v>328</v>
      </c>
      <c r="AL357" s="15" t="s">
        <v>328</v>
      </c>
      <c r="AM357" s="15"/>
      <c r="AN357" s="15"/>
      <c r="AO357" s="15"/>
      <c r="AP357" s="15">
        <v>10</v>
      </c>
      <c r="AQ357" s="15">
        <v>5</v>
      </c>
      <c r="AR357" s="15"/>
      <c r="AS357" s="15" t="s">
        <v>328</v>
      </c>
      <c r="AT357" s="15"/>
      <c r="AU357" s="15"/>
      <c r="AV357" s="15">
        <v>3</v>
      </c>
      <c r="AW357" s="15">
        <v>1</v>
      </c>
      <c r="AX357" s="15">
        <v>2</v>
      </c>
      <c r="AY357" s="15"/>
      <c r="AZ357" s="15" t="s">
        <v>328</v>
      </c>
      <c r="BA357" s="15"/>
      <c r="BB357" s="15"/>
      <c r="BC357" s="15" t="s">
        <v>328</v>
      </c>
      <c r="BD357" s="15"/>
      <c r="BE357" s="15"/>
      <c r="BF357" s="15"/>
      <c r="BG357" s="15"/>
      <c r="BH357" s="15"/>
      <c r="BI357" s="15"/>
      <c r="BJ357" s="15"/>
      <c r="BK357" s="15"/>
      <c r="BL357" s="15"/>
      <c r="BM357" s="15" t="s">
        <v>328</v>
      </c>
      <c r="BN357" s="15" t="s">
        <v>328</v>
      </c>
      <c r="BO357" s="15"/>
      <c r="BP357" s="15"/>
      <c r="BQ357" s="15"/>
      <c r="BR357" s="15"/>
      <c r="BS357" s="15"/>
      <c r="BT357" s="15" t="s">
        <v>328</v>
      </c>
      <c r="BU357" s="15" t="s">
        <v>328</v>
      </c>
      <c r="BV357" s="15"/>
      <c r="BW357" s="15"/>
      <c r="BX357" s="15"/>
      <c r="BY357" s="15"/>
      <c r="BZ357" s="15"/>
      <c r="CA357" s="15" t="s">
        <v>328</v>
      </c>
      <c r="CB357" s="15"/>
      <c r="CC357" s="15"/>
      <c r="CD357" s="15"/>
      <c r="CE357" s="15"/>
      <c r="CF357" s="15"/>
      <c r="CG357" s="15" t="s">
        <v>328</v>
      </c>
      <c r="CH357" s="15"/>
      <c r="CI357" s="15"/>
      <c r="CJ357" s="15"/>
      <c r="CK357" s="15"/>
      <c r="CL357" s="15">
        <v>6</v>
      </c>
      <c r="CM357" s="15">
        <v>1</v>
      </c>
      <c r="CN357" s="15">
        <v>2</v>
      </c>
      <c r="CO357" s="15">
        <v>3</v>
      </c>
      <c r="CP357" s="15">
        <v>4</v>
      </c>
      <c r="CQ357" s="15">
        <v>5</v>
      </c>
      <c r="CR357" s="15"/>
      <c r="CS357" s="15" t="s">
        <v>328</v>
      </c>
      <c r="CT357" s="15"/>
      <c r="CU357" s="15"/>
      <c r="CV357" s="15"/>
      <c r="CW357" s="15"/>
      <c r="CX357" s="15"/>
      <c r="CY357" s="15"/>
      <c r="CZ357" s="15"/>
      <c r="DA357" s="15">
        <v>2</v>
      </c>
      <c r="DB357" s="15"/>
      <c r="DC357" s="15">
        <v>3</v>
      </c>
      <c r="DD357" s="15"/>
      <c r="DE357" s="15">
        <v>1</v>
      </c>
      <c r="DF357" s="15"/>
      <c r="DG357" s="15"/>
      <c r="DH357" s="15" t="s">
        <v>328</v>
      </c>
      <c r="DI357" s="15"/>
      <c r="DJ357" s="15"/>
      <c r="DK357" s="15"/>
      <c r="DL357" s="15"/>
      <c r="DM357" s="15"/>
      <c r="DN357" s="15"/>
      <c r="DO357" s="15" t="s">
        <v>328</v>
      </c>
      <c r="DP357" s="15"/>
      <c r="DQ357" s="15"/>
      <c r="DR357" s="15"/>
      <c r="DS357" s="15"/>
      <c r="DT357" s="15"/>
      <c r="DU357" s="15"/>
      <c r="DV357" s="15"/>
      <c r="DW357" s="15" t="s">
        <v>328</v>
      </c>
      <c r="DX357" s="15"/>
      <c r="DY357" s="15"/>
      <c r="DZ357" s="15"/>
      <c r="EA357" s="15"/>
      <c r="EB357" s="15"/>
      <c r="EC357" s="102"/>
      <c r="ED357" s="99"/>
    </row>
    <row r="358" spans="1:134" x14ac:dyDescent="0.25">
      <c r="A358" s="51" t="s">
        <v>1572</v>
      </c>
      <c r="B358" s="103" t="s">
        <v>1576</v>
      </c>
      <c r="C358" s="15" t="s">
        <v>328</v>
      </c>
      <c r="D358" s="15"/>
      <c r="E358" s="15">
        <v>46</v>
      </c>
      <c r="F358" s="15" t="s">
        <v>376</v>
      </c>
      <c r="G358" s="15" t="s">
        <v>399</v>
      </c>
      <c r="H358" s="15" t="s">
        <v>1574</v>
      </c>
      <c r="I358" s="15" t="s">
        <v>1575</v>
      </c>
      <c r="J358" s="15" t="s">
        <v>1315</v>
      </c>
      <c r="K358" s="15">
        <v>4</v>
      </c>
      <c r="L358" s="15">
        <v>4</v>
      </c>
      <c r="M358" s="15">
        <v>4</v>
      </c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 t="s">
        <v>328</v>
      </c>
      <c r="Y358" s="15"/>
      <c r="Z358" s="15"/>
      <c r="AA358" s="15"/>
      <c r="AB358" s="15"/>
      <c r="AC358" s="15" t="s">
        <v>328</v>
      </c>
      <c r="AD358" s="15" t="s">
        <v>328</v>
      </c>
      <c r="AE358" s="15"/>
      <c r="AF358" s="15" t="s">
        <v>328</v>
      </c>
      <c r="AG358" s="15"/>
      <c r="AH358" s="15"/>
      <c r="AI358" s="15"/>
      <c r="AJ358" s="15"/>
      <c r="AK358" s="15"/>
      <c r="AL358" s="15" t="s">
        <v>328</v>
      </c>
      <c r="AM358" s="15"/>
      <c r="AN358" s="15"/>
      <c r="AO358" s="15" t="s">
        <v>328</v>
      </c>
      <c r="AP358" s="15">
        <v>10</v>
      </c>
      <c r="AQ358" s="15">
        <v>10</v>
      </c>
      <c r="AR358" s="15"/>
      <c r="AS358" s="15"/>
      <c r="AT358" s="15"/>
      <c r="AU358" s="15" t="s">
        <v>328</v>
      </c>
      <c r="AV358" s="15">
        <v>3</v>
      </c>
      <c r="AW358" s="15">
        <v>4</v>
      </c>
      <c r="AX358" s="15">
        <v>2</v>
      </c>
      <c r="AY358" s="15" t="s">
        <v>346</v>
      </c>
      <c r="AZ358" s="15"/>
      <c r="BA358" s="15" t="s">
        <v>328</v>
      </c>
      <c r="BB358" s="15"/>
      <c r="BC358" s="15"/>
      <c r="BD358" s="15"/>
      <c r="BE358" s="15" t="s">
        <v>328</v>
      </c>
      <c r="BF358" s="15"/>
      <c r="BG358" s="15"/>
      <c r="BH358" s="15"/>
      <c r="BI358" s="15"/>
      <c r="BJ358" s="15"/>
      <c r="BK358" s="15"/>
      <c r="BL358" s="15"/>
      <c r="BM358" s="15" t="s">
        <v>328</v>
      </c>
      <c r="BN358" s="15" t="s">
        <v>328</v>
      </c>
      <c r="BO358" s="15"/>
      <c r="BP358" s="15"/>
      <c r="BQ358" s="15"/>
      <c r="BR358" s="15"/>
      <c r="BS358" s="15"/>
      <c r="BT358" s="15"/>
      <c r="BU358" s="15" t="s">
        <v>328</v>
      </c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 t="s">
        <v>332</v>
      </c>
      <c r="CG358" s="15" t="s">
        <v>328</v>
      </c>
      <c r="CH358" s="15"/>
      <c r="CI358" s="15"/>
      <c r="CJ358" s="15"/>
      <c r="CK358" s="15"/>
      <c r="CL358" s="15">
        <v>4</v>
      </c>
      <c r="CM358" s="15">
        <v>3</v>
      </c>
      <c r="CN358" s="15">
        <v>2</v>
      </c>
      <c r="CO358" s="15">
        <v>6</v>
      </c>
      <c r="CP358" s="15">
        <v>5</v>
      </c>
      <c r="CQ358" s="15">
        <v>1</v>
      </c>
      <c r="CR358" s="15" t="s">
        <v>328</v>
      </c>
      <c r="CS358" s="15" t="s">
        <v>328</v>
      </c>
      <c r="CT358" s="15" t="s">
        <v>328</v>
      </c>
      <c r="CU358" s="15" t="s">
        <v>328</v>
      </c>
      <c r="CV358" s="15" t="s">
        <v>328</v>
      </c>
      <c r="CW358" s="15" t="s">
        <v>328</v>
      </c>
      <c r="CX358" s="15"/>
      <c r="CY358" s="15"/>
      <c r="CZ358" s="15"/>
      <c r="DA358" s="15">
        <v>2</v>
      </c>
      <c r="DB358" s="15">
        <v>5</v>
      </c>
      <c r="DC358" s="15">
        <v>6</v>
      </c>
      <c r="DD358" s="15">
        <v>4</v>
      </c>
      <c r="DE358" s="15">
        <v>1</v>
      </c>
      <c r="DF358" s="15">
        <v>3</v>
      </c>
      <c r="DG358" s="15"/>
      <c r="DH358" s="15"/>
      <c r="DI358" s="15" t="s">
        <v>328</v>
      </c>
      <c r="DJ358" s="15" t="s">
        <v>328</v>
      </c>
      <c r="DK358" s="15" t="s">
        <v>497</v>
      </c>
      <c r="DL358" s="15"/>
      <c r="DM358" s="15" t="s">
        <v>1577</v>
      </c>
      <c r="DN358" s="15" t="s">
        <v>411</v>
      </c>
      <c r="DO358" s="15" t="s">
        <v>328</v>
      </c>
      <c r="DP358" s="15"/>
      <c r="DQ358" s="15"/>
      <c r="DR358" s="15"/>
      <c r="DS358" s="15"/>
      <c r="DT358" s="15"/>
      <c r="DU358" s="15"/>
      <c r="DV358" s="15" t="s">
        <v>1145</v>
      </c>
      <c r="DW358" s="15"/>
      <c r="DX358" s="15" t="s">
        <v>328</v>
      </c>
      <c r="DY358" s="15" t="s">
        <v>328</v>
      </c>
      <c r="DZ358" s="15" t="s">
        <v>405</v>
      </c>
      <c r="EA358" s="15"/>
      <c r="EB358" s="15" t="s">
        <v>473</v>
      </c>
      <c r="EC358" s="102" t="s">
        <v>497</v>
      </c>
      <c r="ED358" s="99"/>
    </row>
    <row r="359" spans="1:134" x14ac:dyDescent="0.25">
      <c r="A359" s="51" t="s">
        <v>1572</v>
      </c>
      <c r="B359" s="103" t="s">
        <v>1579</v>
      </c>
      <c r="C359" s="15" t="s">
        <v>328</v>
      </c>
      <c r="D359" s="15"/>
      <c r="E359" s="15">
        <v>43</v>
      </c>
      <c r="F359" s="15" t="s">
        <v>376</v>
      </c>
      <c r="G359" s="15" t="s">
        <v>399</v>
      </c>
      <c r="H359" s="15" t="s">
        <v>1574</v>
      </c>
      <c r="I359" s="15" t="s">
        <v>1575</v>
      </c>
      <c r="J359" s="15" t="s">
        <v>1315</v>
      </c>
      <c r="K359" s="15">
        <v>30</v>
      </c>
      <c r="L359" s="15">
        <v>5</v>
      </c>
      <c r="M359" s="15">
        <v>6</v>
      </c>
      <c r="N359" s="15"/>
      <c r="O359" s="15"/>
      <c r="P359" s="15"/>
      <c r="Q359" s="15"/>
      <c r="R359" s="15"/>
      <c r="S359" s="15"/>
      <c r="T359" s="15">
        <v>1</v>
      </c>
      <c r="U359" s="15"/>
      <c r="V359" s="15"/>
      <c r="W359" s="15"/>
      <c r="X359" s="15"/>
      <c r="Y359" s="15"/>
      <c r="Z359" s="15"/>
      <c r="AA359" s="15"/>
      <c r="AB359" s="15"/>
      <c r="AC359" s="15"/>
      <c r="AD359" s="15" t="s">
        <v>328</v>
      </c>
      <c r="AE359" s="15"/>
      <c r="AF359" s="15" t="s">
        <v>328</v>
      </c>
      <c r="AG359" s="15"/>
      <c r="AH359" s="15"/>
      <c r="AI359" s="15"/>
      <c r="AJ359" s="15" t="s">
        <v>328</v>
      </c>
      <c r="AK359" s="15" t="s">
        <v>328</v>
      </c>
      <c r="AL359" s="15" t="s">
        <v>328</v>
      </c>
      <c r="AM359" s="15"/>
      <c r="AN359" s="15"/>
      <c r="AO359" s="15"/>
      <c r="AP359" s="15">
        <v>7</v>
      </c>
      <c r="AQ359" s="15">
        <v>5</v>
      </c>
      <c r="AR359" s="15"/>
      <c r="AS359" s="15" t="s">
        <v>328</v>
      </c>
      <c r="AT359" s="15"/>
      <c r="AU359" s="15"/>
      <c r="AV359" s="15">
        <v>2</v>
      </c>
      <c r="AW359" s="15">
        <v>3</v>
      </c>
      <c r="AX359" s="15">
        <v>1</v>
      </c>
      <c r="AY359" s="15"/>
      <c r="AZ359" s="15"/>
      <c r="BA359" s="15" t="s">
        <v>328</v>
      </c>
      <c r="BB359" s="15"/>
      <c r="BC359" s="15"/>
      <c r="BD359" s="15" t="s">
        <v>328</v>
      </c>
      <c r="BE359" s="15" t="s">
        <v>328</v>
      </c>
      <c r="BF359" s="15" t="s">
        <v>328</v>
      </c>
      <c r="BG359" s="15"/>
      <c r="BH359" s="15"/>
      <c r="BI359" s="15"/>
      <c r="BJ359" s="15"/>
      <c r="BK359" s="15"/>
      <c r="BL359" s="15"/>
      <c r="BM359" s="15" t="s">
        <v>328</v>
      </c>
      <c r="BN359" s="15" t="s">
        <v>328</v>
      </c>
      <c r="BO359" s="15"/>
      <c r="BP359" s="15"/>
      <c r="BQ359" s="15"/>
      <c r="BR359" s="15"/>
      <c r="BS359" s="15"/>
      <c r="BT359" s="15" t="s">
        <v>328</v>
      </c>
      <c r="BU359" s="15" t="s">
        <v>328</v>
      </c>
      <c r="BV359" s="15"/>
      <c r="BW359" s="15"/>
      <c r="BX359" s="15"/>
      <c r="BY359" s="15"/>
      <c r="BZ359" s="15"/>
      <c r="CA359" s="15"/>
      <c r="CB359" s="15"/>
      <c r="CC359" s="15"/>
      <c r="CD359" s="15"/>
      <c r="CE359" s="15" t="s">
        <v>328</v>
      </c>
      <c r="CF359" s="15"/>
      <c r="CG359" s="15" t="s">
        <v>328</v>
      </c>
      <c r="CH359" s="15" t="s">
        <v>328</v>
      </c>
      <c r="CI359" s="15"/>
      <c r="CJ359" s="15"/>
      <c r="CK359" s="15"/>
      <c r="CL359" s="15">
        <v>5</v>
      </c>
      <c r="CM359" s="15">
        <v>4</v>
      </c>
      <c r="CN359" s="15">
        <v>6</v>
      </c>
      <c r="CO359" s="15">
        <v>1</v>
      </c>
      <c r="CP359" s="15">
        <v>3</v>
      </c>
      <c r="CQ359" s="15">
        <v>2</v>
      </c>
      <c r="CR359" s="15" t="s">
        <v>328</v>
      </c>
      <c r="CS359" s="15" t="s">
        <v>328</v>
      </c>
      <c r="CT359" s="15" t="s">
        <v>328</v>
      </c>
      <c r="CU359" s="15"/>
      <c r="CV359" s="15" t="s">
        <v>328</v>
      </c>
      <c r="CW359" s="15"/>
      <c r="CX359" s="15"/>
      <c r="CY359" s="15"/>
      <c r="CZ359" s="15"/>
      <c r="DA359" s="15">
        <v>1</v>
      </c>
      <c r="DB359" s="15">
        <v>2</v>
      </c>
      <c r="DC359" s="15"/>
      <c r="DD359" s="15"/>
      <c r="DE359" s="15">
        <v>3</v>
      </c>
      <c r="DF359" s="15"/>
      <c r="DG359" s="15"/>
      <c r="DH359" s="15" t="s">
        <v>328</v>
      </c>
      <c r="DI359" s="15"/>
      <c r="DJ359" s="15"/>
      <c r="DK359" s="15"/>
      <c r="DL359" s="15"/>
      <c r="DM359" s="15"/>
      <c r="DN359" s="15"/>
      <c r="DO359" s="15" t="s">
        <v>328</v>
      </c>
      <c r="DP359" s="15"/>
      <c r="DQ359" s="15"/>
      <c r="DR359" s="15"/>
      <c r="DS359" s="15"/>
      <c r="DT359" s="15"/>
      <c r="DU359" s="15"/>
      <c r="DV359" s="15"/>
      <c r="DW359" s="15" t="s">
        <v>328</v>
      </c>
      <c r="DX359" s="15"/>
      <c r="DY359" s="15"/>
      <c r="DZ359" s="15"/>
      <c r="EA359" s="15"/>
      <c r="EB359" s="15"/>
      <c r="EC359" s="102"/>
      <c r="ED359" s="99"/>
    </row>
    <row r="360" spans="1:134" x14ac:dyDescent="0.25">
      <c r="A360" s="51" t="s">
        <v>1378</v>
      </c>
      <c r="B360" s="103" t="s">
        <v>1581</v>
      </c>
      <c r="C360" s="15" t="s">
        <v>328</v>
      </c>
      <c r="D360" s="15"/>
      <c r="E360" s="15">
        <v>48</v>
      </c>
      <c r="F360" s="15" t="s">
        <v>329</v>
      </c>
      <c r="G360" s="15" t="s">
        <v>399</v>
      </c>
      <c r="H360" s="15" t="s">
        <v>1394</v>
      </c>
      <c r="I360" s="15" t="s">
        <v>1395</v>
      </c>
      <c r="J360" s="15" t="s">
        <v>1281</v>
      </c>
      <c r="K360" s="15">
        <v>20</v>
      </c>
      <c r="L360" s="15">
        <v>4</v>
      </c>
      <c r="M360" s="15">
        <v>4</v>
      </c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 t="s">
        <v>328</v>
      </c>
      <c r="AD360" s="15"/>
      <c r="AE360" s="15"/>
      <c r="AF360" s="15"/>
      <c r="AG360" s="15"/>
      <c r="AH360" s="15"/>
      <c r="AI360" s="15"/>
      <c r="AJ360" s="15"/>
      <c r="AK360" s="15" t="s">
        <v>328</v>
      </c>
      <c r="AL360" s="15" t="s">
        <v>328</v>
      </c>
      <c r="AM360" s="15"/>
      <c r="AN360" s="15"/>
      <c r="AO360" s="15"/>
      <c r="AP360" s="15">
        <v>6</v>
      </c>
      <c r="AQ360" s="15">
        <v>10</v>
      </c>
      <c r="AR360" s="15"/>
      <c r="AS360" s="15"/>
      <c r="AT360" s="15"/>
      <c r="AU360" s="15" t="s">
        <v>328</v>
      </c>
      <c r="AV360" s="15">
        <v>3</v>
      </c>
      <c r="AW360" s="15">
        <v>2</v>
      </c>
      <c r="AX360" s="15">
        <v>1</v>
      </c>
      <c r="AY360" s="15"/>
      <c r="AZ360" s="15" t="s">
        <v>328</v>
      </c>
      <c r="BA360" s="15"/>
      <c r="BB360" s="15" t="s">
        <v>328</v>
      </c>
      <c r="BC360" s="15"/>
      <c r="BD360" s="15"/>
      <c r="BE360" s="15"/>
      <c r="BF360" s="15" t="s">
        <v>328</v>
      </c>
      <c r="BG360" s="15"/>
      <c r="BH360" s="15"/>
      <c r="BI360" s="15" t="s">
        <v>328</v>
      </c>
      <c r="BJ360" s="15"/>
      <c r="BK360" s="15"/>
      <c r="BL360" s="15" t="s">
        <v>328</v>
      </c>
      <c r="BM360" s="15"/>
      <c r="BN360" s="15" t="s">
        <v>328</v>
      </c>
      <c r="BO360" s="15"/>
      <c r="BP360" s="15" t="s">
        <v>328</v>
      </c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 t="s">
        <v>328</v>
      </c>
      <c r="CB360" s="15"/>
      <c r="CC360" s="15"/>
      <c r="CD360" s="15" t="s">
        <v>328</v>
      </c>
      <c r="CE360" s="15"/>
      <c r="CF360" s="15"/>
      <c r="CG360" s="15"/>
      <c r="CH360" s="15" t="s">
        <v>328</v>
      </c>
      <c r="CI360" s="15" t="s">
        <v>328</v>
      </c>
      <c r="CJ360" s="15"/>
      <c r="CK360" s="15"/>
      <c r="CL360" s="15">
        <v>3</v>
      </c>
      <c r="CM360" s="15">
        <v>2</v>
      </c>
      <c r="CN360" s="15">
        <v>1</v>
      </c>
      <c r="CO360" s="15">
        <v>4</v>
      </c>
      <c r="CP360" s="15">
        <v>5</v>
      </c>
      <c r="CQ360" s="15">
        <v>6</v>
      </c>
      <c r="CR360" s="15"/>
      <c r="CS360" s="15"/>
      <c r="CT360" s="15"/>
      <c r="CU360" s="15"/>
      <c r="CV360" s="15"/>
      <c r="CW360" s="15"/>
      <c r="CX360" s="15" t="s">
        <v>332</v>
      </c>
      <c r="CY360" s="15"/>
      <c r="CZ360" s="15"/>
      <c r="DA360" s="15">
        <v>3</v>
      </c>
      <c r="DB360" s="15"/>
      <c r="DC360" s="15">
        <v>2</v>
      </c>
      <c r="DD360" s="15"/>
      <c r="DE360" s="15">
        <v>1</v>
      </c>
      <c r="DF360" s="15"/>
      <c r="DG360" s="15"/>
      <c r="DH360" s="15" t="s">
        <v>328</v>
      </c>
      <c r="DI360" s="15"/>
      <c r="DJ360" s="15"/>
      <c r="DK360" s="15"/>
      <c r="DL360" s="15"/>
      <c r="DM360" s="15"/>
      <c r="DN360" s="15"/>
      <c r="DO360" s="15" t="s">
        <v>328</v>
      </c>
      <c r="DP360" s="15"/>
      <c r="DQ360" s="15"/>
      <c r="DR360" s="15"/>
      <c r="DS360" s="15"/>
      <c r="DT360" s="15"/>
      <c r="DU360" s="15"/>
      <c r="DV360" s="15"/>
      <c r="DW360" s="15" t="s">
        <v>328</v>
      </c>
      <c r="DX360" s="15"/>
      <c r="DY360" s="15"/>
      <c r="DZ360" s="15"/>
      <c r="EA360" s="15"/>
      <c r="EB360" s="15"/>
      <c r="EC360" s="102"/>
      <c r="ED360" s="99"/>
    </row>
    <row r="361" spans="1:134" x14ac:dyDescent="0.25">
      <c r="A361" s="51" t="s">
        <v>1378</v>
      </c>
      <c r="B361" s="103" t="s">
        <v>1582</v>
      </c>
      <c r="C361" s="15" t="s">
        <v>328</v>
      </c>
      <c r="D361" s="15"/>
      <c r="E361" s="15">
        <v>59</v>
      </c>
      <c r="F361" s="15" t="s">
        <v>329</v>
      </c>
      <c r="G361" s="15" t="s">
        <v>330</v>
      </c>
      <c r="H361" s="15" t="s">
        <v>1394</v>
      </c>
      <c r="I361" s="15" t="s">
        <v>1395</v>
      </c>
      <c r="J361" s="15" t="s">
        <v>1281</v>
      </c>
      <c r="K361" s="15">
        <v>20</v>
      </c>
      <c r="L361" s="15">
        <v>1</v>
      </c>
      <c r="M361" s="15">
        <v>1</v>
      </c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 t="s">
        <v>328</v>
      </c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 t="s">
        <v>328</v>
      </c>
      <c r="AP361" s="15">
        <v>6</v>
      </c>
      <c r="AQ361" s="15">
        <v>10</v>
      </c>
      <c r="AR361" s="15"/>
      <c r="AS361" s="15" t="s">
        <v>328</v>
      </c>
      <c r="AT361" s="15"/>
      <c r="AU361" s="15"/>
      <c r="AV361" s="15">
        <v>3</v>
      </c>
      <c r="AW361" s="15">
        <v>2</v>
      </c>
      <c r="AX361" s="15">
        <v>1</v>
      </c>
      <c r="AY361" s="15"/>
      <c r="AZ361" s="15" t="s">
        <v>328</v>
      </c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 t="s">
        <v>480</v>
      </c>
      <c r="BL361" s="15" t="s">
        <v>328</v>
      </c>
      <c r="BM361" s="15"/>
      <c r="BN361" s="15" t="s">
        <v>328</v>
      </c>
      <c r="BO361" s="15"/>
      <c r="BP361" s="15" t="s">
        <v>328</v>
      </c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 t="s">
        <v>328</v>
      </c>
      <c r="CB361" s="15"/>
      <c r="CC361" s="15"/>
      <c r="CD361" s="15"/>
      <c r="CE361" s="15"/>
      <c r="CF361" s="15"/>
      <c r="CG361" s="15"/>
      <c r="CH361" s="15" t="s">
        <v>328</v>
      </c>
      <c r="CI361" s="15"/>
      <c r="CJ361" s="15"/>
      <c r="CK361" s="15"/>
      <c r="CL361" s="15">
        <v>3</v>
      </c>
      <c r="CM361" s="15">
        <v>2</v>
      </c>
      <c r="CN361" s="15">
        <v>1</v>
      </c>
      <c r="CO361" s="15">
        <v>4</v>
      </c>
      <c r="CP361" s="15">
        <v>5</v>
      </c>
      <c r="CQ361" s="15">
        <v>6</v>
      </c>
      <c r="CR361" s="15"/>
      <c r="CS361" s="15"/>
      <c r="CT361" s="15"/>
      <c r="CU361" s="15"/>
      <c r="CV361" s="15"/>
      <c r="CW361" s="15"/>
      <c r="CX361" s="15" t="s">
        <v>332</v>
      </c>
      <c r="CY361" s="15"/>
      <c r="CZ361" s="15"/>
      <c r="DA361" s="15"/>
      <c r="DB361" s="15"/>
      <c r="DC361" s="15">
        <v>2</v>
      </c>
      <c r="DD361" s="15"/>
      <c r="DE361" s="15">
        <v>1</v>
      </c>
      <c r="DF361" s="15"/>
      <c r="DG361" s="15"/>
      <c r="DH361" s="15" t="s">
        <v>328</v>
      </c>
      <c r="DI361" s="15"/>
      <c r="DJ361" s="15"/>
      <c r="DK361" s="15"/>
      <c r="DL361" s="15"/>
      <c r="DM361" s="15"/>
      <c r="DN361" s="15"/>
      <c r="DO361" s="15" t="s">
        <v>328</v>
      </c>
      <c r="DP361" s="15"/>
      <c r="DQ361" s="15"/>
      <c r="DR361" s="15"/>
      <c r="DS361" s="15"/>
      <c r="DT361" s="15"/>
      <c r="DU361" s="15"/>
      <c r="DV361" s="15"/>
      <c r="DW361" s="15" t="s">
        <v>328</v>
      </c>
      <c r="DX361" s="15"/>
      <c r="DY361" s="15"/>
      <c r="DZ361" s="15"/>
      <c r="EA361" s="15"/>
      <c r="EB361" s="15"/>
      <c r="EC361" s="102"/>
      <c r="ED361" s="99"/>
    </row>
    <row r="362" spans="1:134" x14ac:dyDescent="0.25">
      <c r="A362" s="51" t="s">
        <v>1378</v>
      </c>
      <c r="B362" s="103" t="s">
        <v>1583</v>
      </c>
      <c r="C362" s="15" t="s">
        <v>328</v>
      </c>
      <c r="D362" s="15"/>
      <c r="E362" s="15">
        <v>66</v>
      </c>
      <c r="F362" s="15" t="s">
        <v>329</v>
      </c>
      <c r="G362" s="15" t="s">
        <v>353</v>
      </c>
      <c r="H362" s="15" t="s">
        <v>1394</v>
      </c>
      <c r="I362" s="15" t="s">
        <v>1395</v>
      </c>
      <c r="J362" s="15" t="s">
        <v>1281</v>
      </c>
      <c r="K362" s="15">
        <v>28</v>
      </c>
      <c r="L362" s="15">
        <v>3</v>
      </c>
      <c r="M362" s="15">
        <v>3</v>
      </c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 t="s">
        <v>328</v>
      </c>
      <c r="AD362" s="15"/>
      <c r="AE362" s="15"/>
      <c r="AF362" s="15"/>
      <c r="AG362" s="15"/>
      <c r="AH362" s="15"/>
      <c r="AI362" s="15"/>
      <c r="AJ362" s="15"/>
      <c r="AK362" s="15" t="s">
        <v>328</v>
      </c>
      <c r="AL362" s="15" t="s">
        <v>328</v>
      </c>
      <c r="AM362" s="15"/>
      <c r="AN362" s="15"/>
      <c r="AO362" s="15"/>
      <c r="AP362" s="15">
        <v>10</v>
      </c>
      <c r="AQ362" s="15">
        <v>6</v>
      </c>
      <c r="AR362" s="15"/>
      <c r="AS362" s="15"/>
      <c r="AT362" s="15"/>
      <c r="AU362" s="15" t="s">
        <v>328</v>
      </c>
      <c r="AV362" s="15">
        <v>2</v>
      </c>
      <c r="AW362" s="15">
        <v>1</v>
      </c>
      <c r="AX362" s="15">
        <v>3</v>
      </c>
      <c r="AY362" s="15"/>
      <c r="AZ362" s="15" t="s">
        <v>328</v>
      </c>
      <c r="BA362" s="15"/>
      <c r="BB362" s="15" t="s">
        <v>328</v>
      </c>
      <c r="BC362" s="15" t="s">
        <v>328</v>
      </c>
      <c r="BD362" s="15"/>
      <c r="BE362" s="15" t="s">
        <v>328</v>
      </c>
      <c r="BF362" s="15"/>
      <c r="BG362" s="15"/>
      <c r="BH362" s="15"/>
      <c r="BI362" s="15" t="s">
        <v>328</v>
      </c>
      <c r="BJ362" s="15"/>
      <c r="BK362" s="15"/>
      <c r="BL362" s="15" t="s">
        <v>328</v>
      </c>
      <c r="BM362" s="15"/>
      <c r="BN362" s="15" t="s">
        <v>328</v>
      </c>
      <c r="BO362" s="15"/>
      <c r="BP362" s="15"/>
      <c r="BQ362" s="15"/>
      <c r="BR362" s="15" t="s">
        <v>328</v>
      </c>
      <c r="BS362" s="15"/>
      <c r="BT362" s="15"/>
      <c r="BU362" s="15"/>
      <c r="BV362" s="15"/>
      <c r="BW362" s="15" t="s">
        <v>328</v>
      </c>
      <c r="BX362" s="15"/>
      <c r="BY362" s="15"/>
      <c r="BZ362" s="15"/>
      <c r="CA362" s="15"/>
      <c r="CB362" s="15"/>
      <c r="CC362" s="15"/>
      <c r="CD362" s="15"/>
      <c r="CE362" s="15"/>
      <c r="CF362" s="15"/>
      <c r="CG362" s="15" t="s">
        <v>328</v>
      </c>
      <c r="CH362" s="15"/>
      <c r="CI362" s="15"/>
      <c r="CJ362" s="15"/>
      <c r="CK362" s="15"/>
      <c r="CL362" s="15">
        <v>2</v>
      </c>
      <c r="CM362" s="15">
        <v>4</v>
      </c>
      <c r="CN362" s="15">
        <v>3</v>
      </c>
      <c r="CO362" s="15">
        <v>5</v>
      </c>
      <c r="CP362" s="15">
        <v>6</v>
      </c>
      <c r="CQ362" s="15">
        <v>1</v>
      </c>
      <c r="CR362" s="15"/>
      <c r="CS362" s="15"/>
      <c r="CT362" s="15"/>
      <c r="CU362" s="15"/>
      <c r="CV362" s="15"/>
      <c r="CW362" s="15"/>
      <c r="CX362" s="15" t="s">
        <v>332</v>
      </c>
      <c r="CY362" s="15"/>
      <c r="CZ362" s="15"/>
      <c r="DA362" s="15">
        <v>2</v>
      </c>
      <c r="DB362" s="15">
        <v>3</v>
      </c>
      <c r="DC362" s="15">
        <v>5</v>
      </c>
      <c r="DD362" s="15"/>
      <c r="DE362" s="15">
        <v>1</v>
      </c>
      <c r="DF362" s="15">
        <v>4</v>
      </c>
      <c r="DG362" s="15"/>
      <c r="DH362" s="15" t="s">
        <v>328</v>
      </c>
      <c r="DI362" s="15"/>
      <c r="DJ362" s="15"/>
      <c r="DK362" s="15"/>
      <c r="DL362" s="15"/>
      <c r="DM362" s="15"/>
      <c r="DN362" s="15"/>
      <c r="DO362" s="15" t="s">
        <v>328</v>
      </c>
      <c r="DP362" s="15"/>
      <c r="DQ362" s="15"/>
      <c r="DR362" s="15"/>
      <c r="DS362" s="15"/>
      <c r="DT362" s="15"/>
      <c r="DU362" s="15"/>
      <c r="DV362" s="15"/>
      <c r="DW362" s="15" t="s">
        <v>328</v>
      </c>
      <c r="DX362" s="15"/>
      <c r="DY362" s="15"/>
      <c r="DZ362" s="15"/>
      <c r="EA362" s="15"/>
      <c r="EB362" s="15"/>
      <c r="EC362" s="102"/>
      <c r="ED362" s="99"/>
    </row>
    <row r="363" spans="1:134" x14ac:dyDescent="0.25">
      <c r="A363" s="51" t="s">
        <v>1378</v>
      </c>
      <c r="B363" s="103" t="s">
        <v>1584</v>
      </c>
      <c r="C363" s="15" t="s">
        <v>328</v>
      </c>
      <c r="D363" s="15"/>
      <c r="E363" s="15">
        <v>51</v>
      </c>
      <c r="F363" s="15" t="s">
        <v>329</v>
      </c>
      <c r="G363" s="15" t="s">
        <v>330</v>
      </c>
      <c r="H363" s="15" t="s">
        <v>1394</v>
      </c>
      <c r="I363" s="15" t="s">
        <v>1395</v>
      </c>
      <c r="J363" s="15" t="s">
        <v>1281</v>
      </c>
      <c r="K363" s="15">
        <v>22</v>
      </c>
      <c r="L363" s="15">
        <v>3</v>
      </c>
      <c r="M363" s="15">
        <v>3</v>
      </c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 t="s">
        <v>328</v>
      </c>
      <c r="AD363" s="15"/>
      <c r="AE363" s="15"/>
      <c r="AF363" s="15"/>
      <c r="AG363" s="15"/>
      <c r="AH363" s="15"/>
      <c r="AI363" s="15"/>
      <c r="AJ363" s="15"/>
      <c r="AK363" s="15" t="s">
        <v>328</v>
      </c>
      <c r="AL363" s="15" t="s">
        <v>328</v>
      </c>
      <c r="AM363" s="15"/>
      <c r="AN363" s="15"/>
      <c r="AO363" s="15" t="s">
        <v>328</v>
      </c>
      <c r="AP363" s="15">
        <v>8</v>
      </c>
      <c r="AQ363" s="15">
        <v>4</v>
      </c>
      <c r="AR363" s="15"/>
      <c r="AS363" s="15"/>
      <c r="AT363" s="15"/>
      <c r="AU363" s="15" t="s">
        <v>328</v>
      </c>
      <c r="AV363" s="15">
        <v>2</v>
      </c>
      <c r="AW363" s="15">
        <v>3</v>
      </c>
      <c r="AX363" s="15">
        <v>1</v>
      </c>
      <c r="AY363" s="15"/>
      <c r="AZ363" s="15" t="s">
        <v>328</v>
      </c>
      <c r="BA363" s="15"/>
      <c r="BB363" s="15" t="s">
        <v>328</v>
      </c>
      <c r="BC363" s="15"/>
      <c r="BD363" s="15" t="s">
        <v>328</v>
      </c>
      <c r="BE363" s="15"/>
      <c r="BF363" s="15"/>
      <c r="BG363" s="15"/>
      <c r="BH363" s="15"/>
      <c r="BI363" s="15" t="s">
        <v>328</v>
      </c>
      <c r="BJ363" s="15" t="s">
        <v>328</v>
      </c>
      <c r="BK363" s="15"/>
      <c r="BL363" s="15" t="s">
        <v>328</v>
      </c>
      <c r="BM363" s="15"/>
      <c r="BN363" s="15" t="s">
        <v>328</v>
      </c>
      <c r="BO363" s="15"/>
      <c r="BP363" s="15" t="s">
        <v>328</v>
      </c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 t="s">
        <v>328</v>
      </c>
      <c r="CB363" s="15"/>
      <c r="CC363" s="15"/>
      <c r="CD363" s="15" t="s">
        <v>328</v>
      </c>
      <c r="CE363" s="15" t="s">
        <v>328</v>
      </c>
      <c r="CF363" s="15"/>
      <c r="CG363" s="15"/>
      <c r="CH363" s="15" t="s">
        <v>328</v>
      </c>
      <c r="CI363" s="15"/>
      <c r="CJ363" s="15"/>
      <c r="CK363" s="15"/>
      <c r="CL363" s="15">
        <v>2</v>
      </c>
      <c r="CM363" s="15">
        <v>3</v>
      </c>
      <c r="CN363" s="15">
        <v>6</v>
      </c>
      <c r="CO363" s="15">
        <v>4</v>
      </c>
      <c r="CP363" s="15">
        <v>5</v>
      </c>
      <c r="CQ363" s="15">
        <v>1</v>
      </c>
      <c r="CR363" s="15"/>
      <c r="CS363" s="15"/>
      <c r="CT363" s="15"/>
      <c r="CU363" s="15"/>
      <c r="CV363" s="15"/>
      <c r="CW363" s="15"/>
      <c r="CX363" s="15" t="s">
        <v>332</v>
      </c>
      <c r="CY363" s="15"/>
      <c r="CZ363" s="15"/>
      <c r="DA363" s="15">
        <v>2</v>
      </c>
      <c r="DB363" s="15">
        <v>5</v>
      </c>
      <c r="DC363" s="15">
        <v>6</v>
      </c>
      <c r="DD363" s="15">
        <v>4</v>
      </c>
      <c r="DE363" s="15">
        <v>1</v>
      </c>
      <c r="DF363" s="15">
        <v>3</v>
      </c>
      <c r="DG363" s="15"/>
      <c r="DH363" s="15" t="s">
        <v>328</v>
      </c>
      <c r="DI363" s="15"/>
      <c r="DJ363" s="15"/>
      <c r="DK363" s="15"/>
      <c r="DL363" s="15"/>
      <c r="DM363" s="15"/>
      <c r="DN363" s="15"/>
      <c r="DO363" s="15" t="s">
        <v>328</v>
      </c>
      <c r="DP363" s="15"/>
      <c r="DQ363" s="15"/>
      <c r="DR363" s="15"/>
      <c r="DS363" s="15"/>
      <c r="DT363" s="15"/>
      <c r="DU363" s="15"/>
      <c r="DV363" s="15"/>
      <c r="DW363" s="15" t="s">
        <v>328</v>
      </c>
      <c r="DX363" s="15"/>
      <c r="DY363" s="15"/>
      <c r="DZ363" s="15"/>
      <c r="EA363" s="15"/>
      <c r="EB363" s="15"/>
      <c r="EC363" s="102"/>
      <c r="ED363" s="99"/>
    </row>
    <row r="364" spans="1:134" x14ac:dyDescent="0.25">
      <c r="A364" s="51" t="s">
        <v>1378</v>
      </c>
      <c r="B364" s="103" t="s">
        <v>1585</v>
      </c>
      <c r="C364" s="15" t="s">
        <v>328</v>
      </c>
      <c r="D364" s="15"/>
      <c r="E364" s="15">
        <v>45</v>
      </c>
      <c r="F364" s="15" t="s">
        <v>329</v>
      </c>
      <c r="G364" s="15" t="s">
        <v>330</v>
      </c>
      <c r="H364" s="15" t="s">
        <v>1394</v>
      </c>
      <c r="I364" s="15" t="s">
        <v>1395</v>
      </c>
      <c r="J364" s="15" t="s">
        <v>1281</v>
      </c>
      <c r="K364" s="15">
        <v>10</v>
      </c>
      <c r="L364" s="15">
        <v>3</v>
      </c>
      <c r="M364" s="15">
        <v>3</v>
      </c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 t="s">
        <v>328</v>
      </c>
      <c r="AD364" s="15"/>
      <c r="AE364" s="15"/>
      <c r="AF364" s="15"/>
      <c r="AG364" s="15"/>
      <c r="AH364" s="15"/>
      <c r="AI364" s="15"/>
      <c r="AJ364" s="15"/>
      <c r="AK364" s="15" t="s">
        <v>328</v>
      </c>
      <c r="AL364" s="15"/>
      <c r="AM364" s="15"/>
      <c r="AN364" s="15"/>
      <c r="AO364" s="15"/>
      <c r="AP364" s="15">
        <v>6</v>
      </c>
      <c r="AQ364" s="15">
        <v>5</v>
      </c>
      <c r="AR364" s="15"/>
      <c r="AS364" s="15"/>
      <c r="AT364" s="15"/>
      <c r="AU364" s="15"/>
      <c r="AV364" s="15">
        <v>3</v>
      </c>
      <c r="AW364" s="15">
        <v>4</v>
      </c>
      <c r="AX364" s="15">
        <v>2</v>
      </c>
      <c r="AY364" s="15" t="s">
        <v>346</v>
      </c>
      <c r="AZ364" s="15" t="s">
        <v>328</v>
      </c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 t="s">
        <v>480</v>
      </c>
      <c r="BL364" s="15" t="s">
        <v>328</v>
      </c>
      <c r="BM364" s="15"/>
      <c r="BN364" s="15" t="s">
        <v>328</v>
      </c>
      <c r="BO364" s="15"/>
      <c r="BP364" s="15" t="s">
        <v>328</v>
      </c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 t="s">
        <v>328</v>
      </c>
      <c r="CE364" s="15"/>
      <c r="CF364" s="15"/>
      <c r="CG364" s="15"/>
      <c r="CH364" s="15" t="s">
        <v>328</v>
      </c>
      <c r="CI364" s="15"/>
      <c r="CJ364" s="15"/>
      <c r="CK364" s="15"/>
      <c r="CL364" s="15">
        <v>3</v>
      </c>
      <c r="CM364" s="15">
        <v>2</v>
      </c>
      <c r="CN364" s="15">
        <v>1</v>
      </c>
      <c r="CO364" s="15">
        <v>4</v>
      </c>
      <c r="CP364" s="15">
        <v>5</v>
      </c>
      <c r="CQ364" s="15">
        <v>6</v>
      </c>
      <c r="CR364" s="15"/>
      <c r="CS364" s="15"/>
      <c r="CT364" s="15"/>
      <c r="CU364" s="15"/>
      <c r="CV364" s="15"/>
      <c r="CW364" s="15"/>
      <c r="CX364" s="15" t="s">
        <v>332</v>
      </c>
      <c r="CY364" s="15"/>
      <c r="CZ364" s="15"/>
      <c r="DA364" s="15">
        <v>3</v>
      </c>
      <c r="DB364" s="15"/>
      <c r="DC364" s="15">
        <v>1</v>
      </c>
      <c r="DD364" s="15"/>
      <c r="DE364" s="15">
        <v>2</v>
      </c>
      <c r="DF364" s="15"/>
      <c r="DG364" s="15"/>
      <c r="DH364" s="15" t="s">
        <v>328</v>
      </c>
      <c r="DI364" s="15"/>
      <c r="DJ364" s="15"/>
      <c r="DK364" s="15"/>
      <c r="DL364" s="15"/>
      <c r="DM364" s="15"/>
      <c r="DN364" s="15"/>
      <c r="DO364" s="15" t="s">
        <v>328</v>
      </c>
      <c r="DP364" s="15"/>
      <c r="DQ364" s="15"/>
      <c r="DR364" s="15"/>
      <c r="DS364" s="15"/>
      <c r="DT364" s="15"/>
      <c r="DU364" s="15"/>
      <c r="DV364" s="15"/>
      <c r="DW364" s="15" t="s">
        <v>328</v>
      </c>
      <c r="DX364" s="15"/>
      <c r="DY364" s="15"/>
      <c r="DZ364" s="15"/>
      <c r="EA364" s="15"/>
      <c r="EB364" s="15"/>
      <c r="EC364" s="102"/>
      <c r="ED364" s="99"/>
    </row>
    <row r="365" spans="1:134" x14ac:dyDescent="0.25">
      <c r="A365" s="51" t="s">
        <v>1378</v>
      </c>
      <c r="B365" s="103" t="s">
        <v>1586</v>
      </c>
      <c r="C365" s="15" t="s">
        <v>328</v>
      </c>
      <c r="D365" s="15"/>
      <c r="E365" s="15">
        <v>52</v>
      </c>
      <c r="F365" s="15" t="s">
        <v>329</v>
      </c>
      <c r="G365" s="15" t="s">
        <v>330</v>
      </c>
      <c r="H365" s="15" t="s">
        <v>1394</v>
      </c>
      <c r="I365" s="15" t="s">
        <v>1395</v>
      </c>
      <c r="J365" s="15" t="s">
        <v>1281</v>
      </c>
      <c r="K365" s="15">
        <v>12</v>
      </c>
      <c r="L365" s="15">
        <v>1</v>
      </c>
      <c r="M365" s="15">
        <v>1</v>
      </c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 t="s">
        <v>328</v>
      </c>
      <c r="AD365" s="15"/>
      <c r="AE365" s="15"/>
      <c r="AF365" s="15"/>
      <c r="AG365" s="15"/>
      <c r="AH365" s="15"/>
      <c r="AI365" s="15"/>
      <c r="AJ365" s="15"/>
      <c r="AK365" s="15"/>
      <c r="AL365" s="15" t="s">
        <v>328</v>
      </c>
      <c r="AM365" s="15"/>
      <c r="AN365" s="15"/>
      <c r="AO365" s="15"/>
      <c r="AP365" s="15">
        <v>10</v>
      </c>
      <c r="AQ365" s="15">
        <v>2</v>
      </c>
      <c r="AR365" s="15"/>
      <c r="AS365" s="15"/>
      <c r="AT365" s="15"/>
      <c r="AU365" s="15" t="s">
        <v>328</v>
      </c>
      <c r="AV365" s="15">
        <v>2</v>
      </c>
      <c r="AW365" s="15">
        <v>3</v>
      </c>
      <c r="AX365" s="15">
        <v>1</v>
      </c>
      <c r="AY365" s="15"/>
      <c r="AZ365" s="15" t="s">
        <v>328</v>
      </c>
      <c r="BA365" s="15"/>
      <c r="BB365" s="15"/>
      <c r="BC365" s="15"/>
      <c r="BD365" s="15" t="s">
        <v>328</v>
      </c>
      <c r="BE365" s="15"/>
      <c r="BF365" s="15"/>
      <c r="BG365" s="15"/>
      <c r="BH365" s="15"/>
      <c r="BI365" s="15" t="s">
        <v>328</v>
      </c>
      <c r="BJ365" s="15"/>
      <c r="BK365" s="15"/>
      <c r="BL365" s="15" t="s">
        <v>328</v>
      </c>
      <c r="BM365" s="15"/>
      <c r="BN365" s="15" t="s">
        <v>328</v>
      </c>
      <c r="BO365" s="15"/>
      <c r="BP365" s="15" t="s">
        <v>328</v>
      </c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 t="s">
        <v>328</v>
      </c>
      <c r="CB365" s="15"/>
      <c r="CC365" s="15"/>
      <c r="CD365" s="15"/>
      <c r="CE365" s="15"/>
      <c r="CF365" s="15"/>
      <c r="CG365" s="15"/>
      <c r="CH365" s="15" t="s">
        <v>328</v>
      </c>
      <c r="CI365" s="15"/>
      <c r="CJ365" s="15"/>
      <c r="CK365" s="15"/>
      <c r="CL365" s="15">
        <v>3</v>
      </c>
      <c r="CM365" s="15">
        <v>2</v>
      </c>
      <c r="CN365" s="15">
        <v>1</v>
      </c>
      <c r="CO365" s="15">
        <v>4</v>
      </c>
      <c r="CP365" s="15">
        <v>5</v>
      </c>
      <c r="CQ365" s="15">
        <v>6</v>
      </c>
      <c r="CR365" s="15"/>
      <c r="CS365" s="15"/>
      <c r="CT365" s="15"/>
      <c r="CU365" s="15"/>
      <c r="CV365" s="15" t="s">
        <v>328</v>
      </c>
      <c r="CW365" s="15"/>
      <c r="CX365" s="15"/>
      <c r="CY365" s="15"/>
      <c r="CZ365" s="15"/>
      <c r="DA365" s="15"/>
      <c r="DB365" s="15"/>
      <c r="DC365" s="15">
        <v>1</v>
      </c>
      <c r="DD365" s="15"/>
      <c r="DE365" s="15">
        <v>2</v>
      </c>
      <c r="DF365" s="15"/>
      <c r="DG365" s="15"/>
      <c r="DH365" s="15" t="s">
        <v>328</v>
      </c>
      <c r="DI365" s="15"/>
      <c r="DJ365" s="15"/>
      <c r="DK365" s="15"/>
      <c r="DL365" s="15"/>
      <c r="DM365" s="15"/>
      <c r="DN365" s="15"/>
      <c r="DO365" s="15" t="s">
        <v>328</v>
      </c>
      <c r="DP365" s="15"/>
      <c r="DQ365" s="15"/>
      <c r="DR365" s="15"/>
      <c r="DS365" s="15"/>
      <c r="DT365" s="15"/>
      <c r="DU365" s="15"/>
      <c r="DV365" s="15"/>
      <c r="DW365" s="15" t="s">
        <v>328</v>
      </c>
      <c r="DX365" s="15"/>
      <c r="DY365" s="15"/>
      <c r="DZ365" s="15"/>
      <c r="EA365" s="15"/>
      <c r="EB365" s="15"/>
      <c r="EC365" s="102"/>
      <c r="ED365" s="99"/>
    </row>
    <row r="366" spans="1:134" x14ac:dyDescent="0.25">
      <c r="A366" s="51" t="s">
        <v>1378</v>
      </c>
      <c r="B366" s="103" t="s">
        <v>1587</v>
      </c>
      <c r="C366" s="15" t="s">
        <v>328</v>
      </c>
      <c r="D366" s="15"/>
      <c r="E366" s="15">
        <v>55</v>
      </c>
      <c r="F366" s="15" t="s">
        <v>329</v>
      </c>
      <c r="G366" s="15" t="s">
        <v>353</v>
      </c>
      <c r="H366" s="15" t="s">
        <v>1394</v>
      </c>
      <c r="I366" s="15" t="s">
        <v>1395</v>
      </c>
      <c r="J366" s="15" t="s">
        <v>1281</v>
      </c>
      <c r="K366" s="15">
        <v>20</v>
      </c>
      <c r="L366" s="15">
        <v>2</v>
      </c>
      <c r="M366" s="15">
        <v>2</v>
      </c>
      <c r="N366" s="15">
        <v>2</v>
      </c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 t="s">
        <v>328</v>
      </c>
      <c r="AA366" s="15"/>
      <c r="AB366" s="15"/>
      <c r="AC366" s="15"/>
      <c r="AD366" s="15"/>
      <c r="AE366" s="15"/>
      <c r="AF366" s="15"/>
      <c r="AG366" s="15" t="s">
        <v>328</v>
      </c>
      <c r="AH366" s="15"/>
      <c r="AI366" s="15"/>
      <c r="AJ366" s="15" t="s">
        <v>328</v>
      </c>
      <c r="AK366" s="15"/>
      <c r="AL366" s="15"/>
      <c r="AM366" s="15"/>
      <c r="AN366" s="15" t="s">
        <v>328</v>
      </c>
      <c r="AO366" s="15" t="s">
        <v>328</v>
      </c>
      <c r="AP366" s="15">
        <v>10</v>
      </c>
      <c r="AQ366" s="15">
        <v>5</v>
      </c>
      <c r="AR366" s="15"/>
      <c r="AS366" s="15"/>
      <c r="AT366" s="15"/>
      <c r="AU366" s="15" t="s">
        <v>328</v>
      </c>
      <c r="AV366" s="15">
        <v>3</v>
      </c>
      <c r="AW366" s="15">
        <v>4</v>
      </c>
      <c r="AX366" s="15">
        <v>2</v>
      </c>
      <c r="AY366" s="15" t="s">
        <v>346</v>
      </c>
      <c r="AZ366" s="15" t="s">
        <v>328</v>
      </c>
      <c r="BA366" s="15"/>
      <c r="BB366" s="15" t="s">
        <v>328</v>
      </c>
      <c r="BC366" s="15" t="s">
        <v>328</v>
      </c>
      <c r="BD366" s="15"/>
      <c r="BE366" s="15"/>
      <c r="BF366" s="15"/>
      <c r="BG366" s="15"/>
      <c r="BH366" s="15" t="s">
        <v>328</v>
      </c>
      <c r="BI366" s="15" t="s">
        <v>328</v>
      </c>
      <c r="BJ366" s="15"/>
      <c r="BK366" s="15"/>
      <c r="BL366" s="15" t="s">
        <v>328</v>
      </c>
      <c r="BM366" s="15"/>
      <c r="BN366" s="15" t="s">
        <v>328</v>
      </c>
      <c r="BO366" s="15"/>
      <c r="BP366" s="15" t="s">
        <v>328</v>
      </c>
      <c r="BQ366" s="15"/>
      <c r="BR366" s="15" t="s">
        <v>328</v>
      </c>
      <c r="BS366" s="15"/>
      <c r="BT366" s="15"/>
      <c r="BU366" s="15" t="s">
        <v>328</v>
      </c>
      <c r="BV366" s="15"/>
      <c r="BW366" s="15"/>
      <c r="BX366" s="15"/>
      <c r="BY366" s="15"/>
      <c r="BZ366" s="15"/>
      <c r="CA366" s="15" t="s">
        <v>328</v>
      </c>
      <c r="CB366" s="15"/>
      <c r="CC366" s="15"/>
      <c r="CD366" s="15"/>
      <c r="CE366" s="15" t="s">
        <v>328</v>
      </c>
      <c r="CF366" s="15"/>
      <c r="CG366" s="15"/>
      <c r="CH366" s="15" t="s">
        <v>328</v>
      </c>
      <c r="CI366" s="15"/>
      <c r="CJ366" s="15"/>
      <c r="CK366" s="15"/>
      <c r="CL366" s="15">
        <v>3</v>
      </c>
      <c r="CM366" s="15">
        <v>2</v>
      </c>
      <c r="CN366" s="15">
        <v>1</v>
      </c>
      <c r="CO366" s="15">
        <v>4</v>
      </c>
      <c r="CP366" s="15">
        <v>5</v>
      </c>
      <c r="CQ366" s="15">
        <v>6</v>
      </c>
      <c r="CR366" s="15" t="s">
        <v>328</v>
      </c>
      <c r="CS366" s="15"/>
      <c r="CT366" s="15"/>
      <c r="CU366" s="15"/>
      <c r="CV366" s="15" t="s">
        <v>328</v>
      </c>
      <c r="CW366" s="15"/>
      <c r="CX366" s="15"/>
      <c r="CY366" s="15"/>
      <c r="CZ366" s="15"/>
      <c r="DA366" s="15"/>
      <c r="DB366" s="15"/>
      <c r="DC366" s="15"/>
      <c r="DD366" s="15"/>
      <c r="DE366" s="15">
        <v>1</v>
      </c>
      <c r="DF366" s="15"/>
      <c r="DG366" s="15"/>
      <c r="DH366" s="15" t="s">
        <v>328</v>
      </c>
      <c r="DI366" s="15"/>
      <c r="DJ366" s="15"/>
      <c r="DK366" s="15"/>
      <c r="DL366" s="15"/>
      <c r="DM366" s="15"/>
      <c r="DN366" s="15"/>
      <c r="DO366" s="15" t="s">
        <v>328</v>
      </c>
      <c r="DP366" s="15"/>
      <c r="DQ366" s="15"/>
      <c r="DR366" s="15"/>
      <c r="DS366" s="15"/>
      <c r="DT366" s="15"/>
      <c r="DU366" s="15"/>
      <c r="DV366" s="15"/>
      <c r="DW366" s="15" t="s">
        <v>328</v>
      </c>
      <c r="DX366" s="15"/>
      <c r="DY366" s="15"/>
      <c r="DZ366" s="15"/>
      <c r="EA366" s="15"/>
      <c r="EB366" s="15"/>
      <c r="EC366" s="102"/>
      <c r="ED366" s="99"/>
    </row>
    <row r="367" spans="1:134" x14ac:dyDescent="0.25">
      <c r="A367" s="51" t="s">
        <v>1378</v>
      </c>
      <c r="B367" s="103" t="s">
        <v>1588</v>
      </c>
      <c r="C367" s="15" t="s">
        <v>328</v>
      </c>
      <c r="D367" s="15"/>
      <c r="E367" s="15">
        <v>47</v>
      </c>
      <c r="F367" s="15" t="s">
        <v>329</v>
      </c>
      <c r="G367" s="15" t="s">
        <v>353</v>
      </c>
      <c r="H367" s="15" t="s">
        <v>1394</v>
      </c>
      <c r="I367" s="15" t="s">
        <v>1395</v>
      </c>
      <c r="J367" s="15" t="s">
        <v>1281</v>
      </c>
      <c r="K367" s="15">
        <v>15</v>
      </c>
      <c r="L367" s="15">
        <v>1</v>
      </c>
      <c r="M367" s="15">
        <v>1</v>
      </c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 t="s">
        <v>328</v>
      </c>
      <c r="AB367" s="15"/>
      <c r="AC367" s="15"/>
      <c r="AD367" s="15"/>
      <c r="AE367" s="15"/>
      <c r="AF367" s="15" t="s">
        <v>328</v>
      </c>
      <c r="AG367" s="15"/>
      <c r="AH367" s="15"/>
      <c r="AI367" s="15"/>
      <c r="AJ367" s="15"/>
      <c r="AK367" s="15"/>
      <c r="AL367" s="15"/>
      <c r="AM367" s="15" t="s">
        <v>328</v>
      </c>
      <c r="AN367" s="15"/>
      <c r="AO367" s="15" t="s">
        <v>328</v>
      </c>
      <c r="AP367" s="15">
        <v>10</v>
      </c>
      <c r="AQ367" s="15">
        <v>6</v>
      </c>
      <c r="AR367" s="15"/>
      <c r="AS367" s="15" t="s">
        <v>328</v>
      </c>
      <c r="AT367" s="15"/>
      <c r="AU367" s="15"/>
      <c r="AV367" s="15">
        <v>3</v>
      </c>
      <c r="AW367" s="15">
        <v>2</v>
      </c>
      <c r="AX367" s="15">
        <v>1</v>
      </c>
      <c r="AY367" s="15"/>
      <c r="AZ367" s="15" t="s">
        <v>328</v>
      </c>
      <c r="BA367" s="15"/>
      <c r="BB367" s="15" t="s">
        <v>328</v>
      </c>
      <c r="BC367" s="15"/>
      <c r="BD367" s="15"/>
      <c r="BE367" s="15"/>
      <c r="BF367" s="15" t="s">
        <v>328</v>
      </c>
      <c r="BG367" s="15"/>
      <c r="BH367" s="15"/>
      <c r="BI367" s="15" t="s">
        <v>328</v>
      </c>
      <c r="BJ367" s="15"/>
      <c r="BK367" s="15"/>
      <c r="BL367" s="15" t="s">
        <v>328</v>
      </c>
      <c r="BM367" s="15"/>
      <c r="BN367" s="15" t="s">
        <v>328</v>
      </c>
      <c r="BO367" s="15"/>
      <c r="BP367" s="15" t="s">
        <v>328</v>
      </c>
      <c r="BQ367" s="15"/>
      <c r="BR367" s="15"/>
      <c r="BS367" s="15"/>
      <c r="BT367" s="15" t="s">
        <v>328</v>
      </c>
      <c r="BU367" s="15"/>
      <c r="BV367" s="15"/>
      <c r="BW367" s="15"/>
      <c r="BX367" s="15"/>
      <c r="BY367" s="15"/>
      <c r="BZ367" s="15"/>
      <c r="CA367" s="15" t="s">
        <v>328</v>
      </c>
      <c r="CB367" s="15"/>
      <c r="CC367" s="15" t="s">
        <v>328</v>
      </c>
      <c r="CD367" s="15"/>
      <c r="CE367" s="15"/>
      <c r="CF367" s="15"/>
      <c r="CG367" s="15"/>
      <c r="CH367" s="15" t="s">
        <v>328</v>
      </c>
      <c r="CI367" s="15"/>
      <c r="CJ367" s="15"/>
      <c r="CK367" s="15"/>
      <c r="CL367" s="15">
        <v>3</v>
      </c>
      <c r="CM367" s="15">
        <v>2</v>
      </c>
      <c r="CN367" s="15">
        <v>1</v>
      </c>
      <c r="CO367" s="15">
        <v>4</v>
      </c>
      <c r="CP367" s="15">
        <v>5</v>
      </c>
      <c r="CQ367" s="15">
        <v>6</v>
      </c>
      <c r="CR367" s="15" t="s">
        <v>328</v>
      </c>
      <c r="CS367" s="15"/>
      <c r="CT367" s="15"/>
      <c r="CU367" s="15"/>
      <c r="CV367" s="15" t="s">
        <v>328</v>
      </c>
      <c r="CW367" s="15"/>
      <c r="CX367" s="15"/>
      <c r="CY367" s="15"/>
      <c r="CZ367" s="15"/>
      <c r="DA367" s="15"/>
      <c r="DB367" s="15">
        <v>2</v>
      </c>
      <c r="DC367" s="15">
        <v>3</v>
      </c>
      <c r="DD367" s="15"/>
      <c r="DE367" s="15">
        <v>1</v>
      </c>
      <c r="DF367" s="15"/>
      <c r="DG367" s="15"/>
      <c r="DH367" s="15" t="s">
        <v>328</v>
      </c>
      <c r="DI367" s="15"/>
      <c r="DJ367" s="15"/>
      <c r="DK367" s="15"/>
      <c r="DL367" s="15"/>
      <c r="DM367" s="15"/>
      <c r="DN367" s="15"/>
      <c r="DO367" s="15" t="s">
        <v>328</v>
      </c>
      <c r="DP367" s="15"/>
      <c r="DQ367" s="15"/>
      <c r="DR367" s="15"/>
      <c r="DS367" s="15"/>
      <c r="DT367" s="15"/>
      <c r="DU367" s="15"/>
      <c r="DV367" s="15"/>
      <c r="DW367" s="15" t="s">
        <v>328</v>
      </c>
      <c r="DX367" s="15"/>
      <c r="DY367" s="15"/>
      <c r="DZ367" s="15"/>
      <c r="EA367" s="15"/>
      <c r="EB367" s="15"/>
      <c r="EC367" s="102"/>
      <c r="ED367" s="99"/>
    </row>
    <row r="368" spans="1:134" x14ac:dyDescent="0.25">
      <c r="A368" s="51" t="s">
        <v>1378</v>
      </c>
      <c r="B368" s="103" t="s">
        <v>1589</v>
      </c>
      <c r="C368" s="15" t="s">
        <v>328</v>
      </c>
      <c r="D368" s="15"/>
      <c r="E368" s="15">
        <v>62</v>
      </c>
      <c r="F368" s="15" t="s">
        <v>329</v>
      </c>
      <c r="G368" s="15" t="s">
        <v>353</v>
      </c>
      <c r="H368" s="15" t="s">
        <v>1394</v>
      </c>
      <c r="I368" s="15" t="s">
        <v>1395</v>
      </c>
      <c r="J368" s="15" t="s">
        <v>1281</v>
      </c>
      <c r="K368" s="15">
        <v>28</v>
      </c>
      <c r="L368" s="15">
        <v>2</v>
      </c>
      <c r="M368" s="15"/>
      <c r="N368" s="15"/>
      <c r="O368" s="15"/>
      <c r="P368" s="15"/>
      <c r="Q368" s="15"/>
      <c r="R368" s="15"/>
      <c r="S368" s="15"/>
      <c r="T368" s="15">
        <v>2</v>
      </c>
      <c r="U368" s="15"/>
      <c r="V368" s="15"/>
      <c r="W368" s="15">
        <v>2</v>
      </c>
      <c r="X368" s="15"/>
      <c r="Y368" s="15"/>
      <c r="Z368" s="15"/>
      <c r="AA368" s="15"/>
      <c r="AB368" s="15"/>
      <c r="AC368" s="15" t="s">
        <v>328</v>
      </c>
      <c r="AD368" s="15"/>
      <c r="AE368" s="15"/>
      <c r="AF368" s="15" t="s">
        <v>328</v>
      </c>
      <c r="AG368" s="15"/>
      <c r="AH368" s="15"/>
      <c r="AI368" s="15"/>
      <c r="AJ368" s="15" t="s">
        <v>328</v>
      </c>
      <c r="AK368" s="15"/>
      <c r="AL368" s="15"/>
      <c r="AM368" s="15" t="s">
        <v>328</v>
      </c>
      <c r="AN368" s="15"/>
      <c r="AO368" s="15" t="s">
        <v>328</v>
      </c>
      <c r="AP368" s="15">
        <v>10</v>
      </c>
      <c r="AQ368" s="15">
        <v>3</v>
      </c>
      <c r="AR368" s="15"/>
      <c r="AS368" s="15"/>
      <c r="AT368" s="15"/>
      <c r="AU368" s="15" t="s">
        <v>328</v>
      </c>
      <c r="AV368" s="15">
        <v>1</v>
      </c>
      <c r="AW368" s="15">
        <v>2</v>
      </c>
      <c r="AX368" s="15">
        <v>3</v>
      </c>
      <c r="AY368" s="15"/>
      <c r="AZ368" s="15" t="s">
        <v>328</v>
      </c>
      <c r="BA368" s="15"/>
      <c r="BB368" s="15" t="s">
        <v>328</v>
      </c>
      <c r="BC368" s="15"/>
      <c r="BD368" s="15" t="s">
        <v>328</v>
      </c>
      <c r="BE368" s="15"/>
      <c r="BF368" s="15"/>
      <c r="BG368" s="15"/>
      <c r="BH368" s="15"/>
      <c r="BI368" s="15" t="s">
        <v>328</v>
      </c>
      <c r="BJ368" s="15"/>
      <c r="BK368" s="15"/>
      <c r="BL368" s="15" t="s">
        <v>328</v>
      </c>
      <c r="BM368" s="15"/>
      <c r="BN368" s="15" t="s">
        <v>328</v>
      </c>
      <c r="BO368" s="15"/>
      <c r="BP368" s="15" t="s">
        <v>328</v>
      </c>
      <c r="BQ368" s="15"/>
      <c r="BR368" s="15"/>
      <c r="BS368" s="15"/>
      <c r="BT368" s="15" t="s">
        <v>328</v>
      </c>
      <c r="BU368" s="15"/>
      <c r="BV368" s="15"/>
      <c r="BW368" s="15"/>
      <c r="BX368" s="15"/>
      <c r="BY368" s="15"/>
      <c r="BZ368" s="15"/>
      <c r="CA368" s="15"/>
      <c r="CB368" s="15"/>
      <c r="CC368" s="15"/>
      <c r="CD368" s="15" t="s">
        <v>328</v>
      </c>
      <c r="CE368" s="15" t="s">
        <v>328</v>
      </c>
      <c r="CF368" s="15"/>
      <c r="CG368" s="15" t="s">
        <v>328</v>
      </c>
      <c r="CH368" s="15" t="s">
        <v>328</v>
      </c>
      <c r="CI368" s="15"/>
      <c r="CJ368" s="15"/>
      <c r="CK368" s="15"/>
      <c r="CL368" s="15">
        <v>3</v>
      </c>
      <c r="CM368" s="15">
        <v>2</v>
      </c>
      <c r="CN368" s="15">
        <v>1</v>
      </c>
      <c r="CO368" s="15">
        <v>4</v>
      </c>
      <c r="CP368" s="15">
        <v>5</v>
      </c>
      <c r="CQ368" s="15">
        <v>6</v>
      </c>
      <c r="CR368" s="15"/>
      <c r="CS368" s="15"/>
      <c r="CT368" s="15"/>
      <c r="CU368" s="15"/>
      <c r="CV368" s="15" t="s">
        <v>328</v>
      </c>
      <c r="CW368" s="15"/>
      <c r="CX368" s="15"/>
      <c r="CY368" s="15"/>
      <c r="CZ368" s="15"/>
      <c r="DA368" s="15">
        <v>1</v>
      </c>
      <c r="DB368" s="15"/>
      <c r="DC368" s="15">
        <v>2</v>
      </c>
      <c r="DD368" s="15"/>
      <c r="DE368" s="15">
        <v>3</v>
      </c>
      <c r="DF368" s="15"/>
      <c r="DG368" s="15"/>
      <c r="DH368" s="15" t="s">
        <v>328</v>
      </c>
      <c r="DI368" s="15"/>
      <c r="DJ368" s="15"/>
      <c r="DK368" s="15"/>
      <c r="DL368" s="15"/>
      <c r="DM368" s="15"/>
      <c r="DN368" s="15"/>
      <c r="DO368" s="15" t="s">
        <v>328</v>
      </c>
      <c r="DP368" s="15"/>
      <c r="DQ368" s="15"/>
      <c r="DR368" s="15"/>
      <c r="DS368" s="15"/>
      <c r="DT368" s="15"/>
      <c r="DU368" s="15"/>
      <c r="DV368" s="15"/>
      <c r="DW368" s="15" t="s">
        <v>328</v>
      </c>
      <c r="DX368" s="15"/>
      <c r="DY368" s="15"/>
      <c r="DZ368" s="15"/>
      <c r="EA368" s="15"/>
      <c r="EB368" s="15"/>
      <c r="EC368" s="102"/>
      <c r="ED368" s="99"/>
    </row>
    <row r="369" spans="1:134" x14ac:dyDescent="0.25">
      <c r="A369" s="51" t="s">
        <v>1378</v>
      </c>
      <c r="B369" s="103" t="s">
        <v>1590</v>
      </c>
      <c r="C369" s="15" t="s">
        <v>328</v>
      </c>
      <c r="D369" s="15"/>
      <c r="E369" s="15">
        <v>61</v>
      </c>
      <c r="F369" s="15" t="s">
        <v>329</v>
      </c>
      <c r="G369" s="15" t="s">
        <v>353</v>
      </c>
      <c r="H369" s="15" t="s">
        <v>1410</v>
      </c>
      <c r="I369" s="15" t="s">
        <v>1411</v>
      </c>
      <c r="J369" s="15" t="s">
        <v>1281</v>
      </c>
      <c r="K369" s="15">
        <v>30</v>
      </c>
      <c r="L369" s="15">
        <v>1</v>
      </c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>
        <v>1</v>
      </c>
      <c r="Y369" s="15"/>
      <c r="Z369" s="15"/>
      <c r="AA369" s="15"/>
      <c r="AB369" s="15"/>
      <c r="AC369" s="15"/>
      <c r="AD369" s="15"/>
      <c r="AE369" s="15" t="s">
        <v>328</v>
      </c>
      <c r="AF369" s="15"/>
      <c r="AG369" s="15"/>
      <c r="AH369" s="15"/>
      <c r="AI369" s="15" t="s">
        <v>692</v>
      </c>
      <c r="AJ369" s="15"/>
      <c r="AK369" s="15" t="s">
        <v>328</v>
      </c>
      <c r="AL369" s="15"/>
      <c r="AM369" s="15"/>
      <c r="AN369" s="15"/>
      <c r="AO369" s="15" t="s">
        <v>328</v>
      </c>
      <c r="AP369" s="15">
        <v>5</v>
      </c>
      <c r="AQ369" s="15">
        <v>5</v>
      </c>
      <c r="AR369" s="15"/>
      <c r="AS369" s="15"/>
      <c r="AT369" s="15"/>
      <c r="AU369" s="15" t="s">
        <v>328</v>
      </c>
      <c r="AV369" s="15">
        <v>2</v>
      </c>
      <c r="AW369" s="15">
        <v>3</v>
      </c>
      <c r="AX369" s="15">
        <v>1</v>
      </c>
      <c r="AY369" s="15"/>
      <c r="AZ369" s="15" t="s">
        <v>328</v>
      </c>
      <c r="BA369" s="15"/>
      <c r="BB369" s="15" t="s">
        <v>328</v>
      </c>
      <c r="BC369" s="15"/>
      <c r="BD369" s="15" t="s">
        <v>328</v>
      </c>
      <c r="BE369" s="15"/>
      <c r="BF369" s="15"/>
      <c r="BG369" s="15"/>
      <c r="BH369" s="15"/>
      <c r="BI369" s="15"/>
      <c r="BJ369" s="15"/>
      <c r="BK369" s="15"/>
      <c r="BL369" s="15"/>
      <c r="BM369" s="15" t="s">
        <v>328</v>
      </c>
      <c r="BN369" s="15" t="s">
        <v>328</v>
      </c>
      <c r="BO369" s="15"/>
      <c r="BP369" s="15" t="s">
        <v>328</v>
      </c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 t="s">
        <v>328</v>
      </c>
      <c r="CE369" s="15" t="s">
        <v>328</v>
      </c>
      <c r="CF369" s="15"/>
      <c r="CG369" s="15"/>
      <c r="CH369" s="15" t="s">
        <v>328</v>
      </c>
      <c r="CI369" s="15" t="s">
        <v>328</v>
      </c>
      <c r="CJ369" s="15"/>
      <c r="CK369" s="15"/>
      <c r="CL369" s="15">
        <v>2</v>
      </c>
      <c r="CM369" s="15">
        <v>3</v>
      </c>
      <c r="CN369" s="15">
        <v>5</v>
      </c>
      <c r="CO369" s="15">
        <v>4</v>
      </c>
      <c r="CP369" s="15">
        <v>6</v>
      </c>
      <c r="CQ369" s="15">
        <v>1</v>
      </c>
      <c r="CR369" s="15"/>
      <c r="CS369" s="15"/>
      <c r="CT369" s="15"/>
      <c r="CU369" s="15"/>
      <c r="CV369" s="15"/>
      <c r="CW369" s="15"/>
      <c r="CX369" s="15" t="s">
        <v>332</v>
      </c>
      <c r="CY369" s="15"/>
      <c r="CZ369" s="15"/>
      <c r="DA369" s="15">
        <v>2</v>
      </c>
      <c r="DB369" s="15">
        <v>5</v>
      </c>
      <c r="DC369" s="15">
        <v>6</v>
      </c>
      <c r="DD369" s="15">
        <v>3</v>
      </c>
      <c r="DE369" s="15">
        <v>1</v>
      </c>
      <c r="DF369" s="15">
        <v>4</v>
      </c>
      <c r="DG369" s="15"/>
      <c r="DH369" s="15" t="s">
        <v>328</v>
      </c>
      <c r="DI369" s="15"/>
      <c r="DJ369" s="15"/>
      <c r="DK369" s="15"/>
      <c r="DL369" s="15"/>
      <c r="DM369" s="15"/>
      <c r="DN369" s="15"/>
      <c r="DO369" s="15" t="s">
        <v>328</v>
      </c>
      <c r="DP369" s="15"/>
      <c r="DQ369" s="15"/>
      <c r="DR369" s="15"/>
      <c r="DS369" s="15"/>
      <c r="DT369" s="15"/>
      <c r="DU369" s="15"/>
      <c r="DV369" s="15"/>
      <c r="DW369" s="15" t="s">
        <v>328</v>
      </c>
      <c r="DX369" s="15"/>
      <c r="DY369" s="15"/>
      <c r="DZ369" s="15"/>
      <c r="EA369" s="15"/>
      <c r="EB369" s="15"/>
      <c r="EC369" s="102"/>
      <c r="ED369" s="99"/>
    </row>
    <row r="370" spans="1:134" x14ac:dyDescent="0.25">
      <c r="A370" s="51" t="s">
        <v>1378</v>
      </c>
      <c r="B370" s="103" t="s">
        <v>1591</v>
      </c>
      <c r="C370" s="15" t="s">
        <v>328</v>
      </c>
      <c r="D370" s="15"/>
      <c r="E370" s="15">
        <v>78</v>
      </c>
      <c r="F370" s="15" t="s">
        <v>329</v>
      </c>
      <c r="G370" s="15" t="s">
        <v>353</v>
      </c>
      <c r="H370" s="15" t="s">
        <v>1394</v>
      </c>
      <c r="I370" s="15" t="s">
        <v>1395</v>
      </c>
      <c r="J370" s="15" t="s">
        <v>1281</v>
      </c>
      <c r="K370" s="15">
        <v>44</v>
      </c>
      <c r="L370" s="15">
        <v>1</v>
      </c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>
        <v>1</v>
      </c>
      <c r="Y370" s="15"/>
      <c r="Z370" s="15"/>
      <c r="AA370" s="15"/>
      <c r="AB370" s="15"/>
      <c r="AC370" s="15"/>
      <c r="AD370" s="15"/>
      <c r="AE370" s="15" t="s">
        <v>328</v>
      </c>
      <c r="AF370" s="15"/>
      <c r="AG370" s="15"/>
      <c r="AH370" s="15"/>
      <c r="AI370" s="15"/>
      <c r="AJ370" s="15"/>
      <c r="AK370" s="15" t="s">
        <v>328</v>
      </c>
      <c r="AL370" s="15"/>
      <c r="AM370" s="15"/>
      <c r="AN370" s="15"/>
      <c r="AO370" s="15" t="s">
        <v>328</v>
      </c>
      <c r="AP370" s="15">
        <v>10</v>
      </c>
      <c r="AQ370" s="15">
        <v>9</v>
      </c>
      <c r="AR370" s="15"/>
      <c r="AS370" s="15"/>
      <c r="AT370" s="15"/>
      <c r="AU370" s="15" t="s">
        <v>328</v>
      </c>
      <c r="AV370" s="15">
        <v>3</v>
      </c>
      <c r="AW370" s="15">
        <v>2</v>
      </c>
      <c r="AX370" s="15">
        <v>1</v>
      </c>
      <c r="AY370" s="15"/>
      <c r="AZ370" s="15" t="s">
        <v>328</v>
      </c>
      <c r="BA370" s="15"/>
      <c r="BB370" s="15" t="s">
        <v>328</v>
      </c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 t="s">
        <v>328</v>
      </c>
      <c r="BN370" s="15" t="s">
        <v>328</v>
      </c>
      <c r="BO370" s="15"/>
      <c r="BP370" s="15"/>
      <c r="BQ370" s="15"/>
      <c r="BR370" s="15"/>
      <c r="BS370" s="15"/>
      <c r="BT370" s="15"/>
      <c r="BU370" s="15" t="s">
        <v>328</v>
      </c>
      <c r="BV370" s="15"/>
      <c r="BW370" s="15"/>
      <c r="BX370" s="15"/>
      <c r="BY370" s="15"/>
      <c r="BZ370" s="15"/>
      <c r="CA370" s="15"/>
      <c r="CB370" s="15"/>
      <c r="CC370" s="15"/>
      <c r="CD370" s="15"/>
      <c r="CE370" s="15" t="s">
        <v>328</v>
      </c>
      <c r="CF370" s="15"/>
      <c r="CG370" s="15"/>
      <c r="CH370" s="15"/>
      <c r="CI370" s="15" t="s">
        <v>328</v>
      </c>
      <c r="CJ370" s="15"/>
      <c r="CK370" s="15"/>
      <c r="CL370" s="15">
        <v>4</v>
      </c>
      <c r="CM370" s="15">
        <v>5</v>
      </c>
      <c r="CN370" s="15">
        <v>3</v>
      </c>
      <c r="CO370" s="15">
        <v>2</v>
      </c>
      <c r="CP370" s="15">
        <v>6</v>
      </c>
      <c r="CQ370" s="15">
        <v>1</v>
      </c>
      <c r="CR370" s="15"/>
      <c r="CS370" s="15"/>
      <c r="CT370" s="15"/>
      <c r="CU370" s="15"/>
      <c r="CV370" s="15"/>
      <c r="CW370" s="15"/>
      <c r="CX370" s="15" t="s">
        <v>332</v>
      </c>
      <c r="CY370" s="15"/>
      <c r="CZ370" s="15"/>
      <c r="DA370" s="15">
        <v>3</v>
      </c>
      <c r="DB370" s="15">
        <v>2</v>
      </c>
      <c r="DC370" s="15">
        <v>6</v>
      </c>
      <c r="DD370" s="15">
        <v>4</v>
      </c>
      <c r="DE370" s="15">
        <v>1</v>
      </c>
      <c r="DF370" s="15">
        <v>5</v>
      </c>
      <c r="DG370" s="15"/>
      <c r="DH370" s="15" t="s">
        <v>328</v>
      </c>
      <c r="DI370" s="15"/>
      <c r="DJ370" s="15"/>
      <c r="DK370" s="15"/>
      <c r="DL370" s="15"/>
      <c r="DM370" s="15"/>
      <c r="DN370" s="15"/>
      <c r="DO370" s="15" t="s">
        <v>328</v>
      </c>
      <c r="DP370" s="15"/>
      <c r="DQ370" s="15"/>
      <c r="DR370" s="15"/>
      <c r="DS370" s="15"/>
      <c r="DT370" s="15"/>
      <c r="DU370" s="15"/>
      <c r="DV370" s="15"/>
      <c r="DW370" s="15" t="s">
        <v>328</v>
      </c>
      <c r="DX370" s="15"/>
      <c r="DY370" s="15"/>
      <c r="DZ370" s="15"/>
      <c r="EA370" s="15"/>
      <c r="EB370" s="15"/>
      <c r="EC370" s="102"/>
      <c r="ED370" s="99"/>
    </row>
    <row r="371" spans="1:134" x14ac:dyDescent="0.25">
      <c r="A371" s="51" t="s">
        <v>1378</v>
      </c>
      <c r="B371" s="103" t="s">
        <v>1592</v>
      </c>
      <c r="C371" s="15" t="s">
        <v>328</v>
      </c>
      <c r="D371" s="15"/>
      <c r="E371" s="15">
        <v>62</v>
      </c>
      <c r="F371" s="15" t="s">
        <v>329</v>
      </c>
      <c r="G371" s="15" t="s">
        <v>353</v>
      </c>
      <c r="H371" s="15" t="s">
        <v>1394</v>
      </c>
      <c r="I371" s="15" t="s">
        <v>1395</v>
      </c>
      <c r="J371" s="15" t="s">
        <v>1281</v>
      </c>
      <c r="K371" s="15">
        <v>35</v>
      </c>
      <c r="L371" s="15">
        <v>1</v>
      </c>
      <c r="M371" s="15"/>
      <c r="N371" s="15"/>
      <c r="O371" s="15"/>
      <c r="P371" s="15"/>
      <c r="Q371" s="15"/>
      <c r="R371" s="15"/>
      <c r="S371" s="15"/>
      <c r="T371" s="15"/>
      <c r="U371" s="15"/>
      <c r="V371" s="15">
        <v>2</v>
      </c>
      <c r="W371" s="15"/>
      <c r="X371" s="15"/>
      <c r="Y371" s="15"/>
      <c r="Z371" s="15"/>
      <c r="AA371" s="15"/>
      <c r="AB371" s="15"/>
      <c r="AC371" s="15"/>
      <c r="AD371" s="15"/>
      <c r="AE371" s="15" t="s">
        <v>328</v>
      </c>
      <c r="AF371" s="15"/>
      <c r="AG371" s="15"/>
      <c r="AH371" s="15"/>
      <c r="AI371" s="15" t="s">
        <v>692</v>
      </c>
      <c r="AJ371" s="15"/>
      <c r="AK371" s="15" t="s">
        <v>328</v>
      </c>
      <c r="AL371" s="15"/>
      <c r="AM371" s="15"/>
      <c r="AN371" s="15"/>
      <c r="AO371" s="15" t="s">
        <v>328</v>
      </c>
      <c r="AP371" s="15">
        <v>4</v>
      </c>
      <c r="AQ371" s="15">
        <v>7</v>
      </c>
      <c r="AR371" s="15"/>
      <c r="AS371" s="15"/>
      <c r="AT371" s="15"/>
      <c r="AU371" s="15" t="s">
        <v>328</v>
      </c>
      <c r="AV371" s="15">
        <v>1</v>
      </c>
      <c r="AW371" s="15">
        <v>3</v>
      </c>
      <c r="AX371" s="15">
        <v>2</v>
      </c>
      <c r="AY371" s="15"/>
      <c r="AZ371" s="15" t="s">
        <v>328</v>
      </c>
      <c r="BA371" s="15"/>
      <c r="BB371" s="15"/>
      <c r="BC371" s="15"/>
      <c r="BD371" s="15" t="s">
        <v>328</v>
      </c>
      <c r="BE371" s="15"/>
      <c r="BF371" s="15"/>
      <c r="BG371" s="15"/>
      <c r="BH371" s="15"/>
      <c r="BI371" s="15"/>
      <c r="BJ371" s="15"/>
      <c r="BK371" s="15"/>
      <c r="BL371" s="15"/>
      <c r="BM371" s="15" t="s">
        <v>328</v>
      </c>
      <c r="BN371" s="15" t="s">
        <v>328</v>
      </c>
      <c r="BO371" s="15"/>
      <c r="BP371" s="15" t="s">
        <v>328</v>
      </c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 t="s">
        <v>328</v>
      </c>
      <c r="CE371" s="15" t="s">
        <v>328</v>
      </c>
      <c r="CF371" s="15"/>
      <c r="CG371" s="15"/>
      <c r="CH371" s="15"/>
      <c r="CI371" s="15" t="s">
        <v>328</v>
      </c>
      <c r="CJ371" s="15"/>
      <c r="CK371" s="15"/>
      <c r="CL371" s="15">
        <v>2</v>
      </c>
      <c r="CM371" s="15">
        <v>3</v>
      </c>
      <c r="CN371" s="15">
        <v>5</v>
      </c>
      <c r="CO371" s="15">
        <v>4</v>
      </c>
      <c r="CP371" s="15">
        <v>6</v>
      </c>
      <c r="CQ371" s="15">
        <v>1</v>
      </c>
      <c r="CR371" s="15"/>
      <c r="CS371" s="15"/>
      <c r="CT371" s="15"/>
      <c r="CU371" s="15"/>
      <c r="CV371" s="15"/>
      <c r="CW371" s="15"/>
      <c r="CX371" s="15" t="s">
        <v>332</v>
      </c>
      <c r="CY371" s="15"/>
      <c r="CZ371" s="15"/>
      <c r="DA371" s="15">
        <v>2</v>
      </c>
      <c r="DB371" s="15">
        <v>5</v>
      </c>
      <c r="DC371" s="15">
        <v>6</v>
      </c>
      <c r="DD371" s="15">
        <v>3</v>
      </c>
      <c r="DE371" s="15">
        <v>1</v>
      </c>
      <c r="DF371" s="15">
        <v>4</v>
      </c>
      <c r="DG371" s="15"/>
      <c r="DH371" s="15" t="s">
        <v>328</v>
      </c>
      <c r="DI371" s="15"/>
      <c r="DJ371" s="15"/>
      <c r="DK371" s="15"/>
      <c r="DL371" s="15"/>
      <c r="DM371" s="15"/>
      <c r="DN371" s="15"/>
      <c r="DO371" s="15" t="s">
        <v>328</v>
      </c>
      <c r="DP371" s="15"/>
      <c r="DQ371" s="15"/>
      <c r="DR371" s="15"/>
      <c r="DS371" s="15"/>
      <c r="DT371" s="15"/>
      <c r="DU371" s="15"/>
      <c r="DV371" s="15"/>
      <c r="DW371" s="15" t="s">
        <v>328</v>
      </c>
      <c r="DX371" s="15"/>
      <c r="DY371" s="15"/>
      <c r="DZ371" s="15"/>
      <c r="EA371" s="15"/>
      <c r="EB371" s="15"/>
      <c r="EC371" s="102"/>
      <c r="ED371" s="99"/>
    </row>
    <row r="372" spans="1:134" x14ac:dyDescent="0.25">
      <c r="A372" s="51" t="s">
        <v>1378</v>
      </c>
      <c r="B372" s="103" t="s">
        <v>1593</v>
      </c>
      <c r="C372" s="15" t="s">
        <v>328</v>
      </c>
      <c r="D372" s="15"/>
      <c r="E372" s="15">
        <v>64</v>
      </c>
      <c r="F372" s="15" t="s">
        <v>329</v>
      </c>
      <c r="G372" s="15" t="s">
        <v>353</v>
      </c>
      <c r="H372" s="15" t="s">
        <v>1394</v>
      </c>
      <c r="I372" s="15" t="s">
        <v>1395</v>
      </c>
      <c r="J372" s="15" t="s">
        <v>1281</v>
      </c>
      <c r="K372" s="15">
        <v>44</v>
      </c>
      <c r="L372" s="15">
        <v>1</v>
      </c>
      <c r="M372" s="15"/>
      <c r="N372" s="15"/>
      <c r="O372" s="15"/>
      <c r="P372" s="15"/>
      <c r="Q372" s="15"/>
      <c r="R372" s="15"/>
      <c r="S372" s="15"/>
      <c r="T372" s="15"/>
      <c r="U372" s="15"/>
      <c r="V372" s="15">
        <v>1</v>
      </c>
      <c r="W372" s="15"/>
      <c r="X372" s="15"/>
      <c r="Y372" s="15"/>
      <c r="Z372" s="15"/>
      <c r="AA372" s="15"/>
      <c r="AB372" s="15"/>
      <c r="AC372" s="15"/>
      <c r="AD372" s="15"/>
      <c r="AE372" s="15" t="s">
        <v>328</v>
      </c>
      <c r="AF372" s="15"/>
      <c r="AG372" s="15"/>
      <c r="AH372" s="15"/>
      <c r="AI372" s="15" t="s">
        <v>692</v>
      </c>
      <c r="AJ372" s="15"/>
      <c r="AK372" s="15" t="s">
        <v>328</v>
      </c>
      <c r="AL372" s="15"/>
      <c r="AM372" s="15" t="s">
        <v>328</v>
      </c>
      <c r="AN372" s="15"/>
      <c r="AO372" s="15" t="s">
        <v>328</v>
      </c>
      <c r="AP372" s="15">
        <v>8</v>
      </c>
      <c r="AQ372" s="15">
        <v>5</v>
      </c>
      <c r="AR372" s="15"/>
      <c r="AS372" s="15" t="s">
        <v>328</v>
      </c>
      <c r="AT372" s="15"/>
      <c r="AU372" s="15"/>
      <c r="AV372" s="15">
        <v>3</v>
      </c>
      <c r="AW372" s="15">
        <v>2</v>
      </c>
      <c r="AX372" s="15">
        <v>1</v>
      </c>
      <c r="AY372" s="15"/>
      <c r="AZ372" s="15" t="s">
        <v>328</v>
      </c>
      <c r="BA372" s="15"/>
      <c r="BB372" s="15"/>
      <c r="BC372" s="15" t="s">
        <v>328</v>
      </c>
      <c r="BD372" s="15"/>
      <c r="BE372" s="15"/>
      <c r="BF372" s="15"/>
      <c r="BG372" s="15"/>
      <c r="BH372" s="15"/>
      <c r="BI372" s="15"/>
      <c r="BJ372" s="15"/>
      <c r="BK372" s="15"/>
      <c r="BL372" s="15"/>
      <c r="BM372" s="15" t="s">
        <v>328</v>
      </c>
      <c r="BN372" s="15" t="s">
        <v>328</v>
      </c>
      <c r="BO372" s="15"/>
      <c r="BP372" s="15" t="s">
        <v>328</v>
      </c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 t="s">
        <v>328</v>
      </c>
      <c r="CE372" s="15" t="s">
        <v>328</v>
      </c>
      <c r="CF372" s="15"/>
      <c r="CG372" s="15"/>
      <c r="CH372" s="15"/>
      <c r="CI372" s="15" t="s">
        <v>328</v>
      </c>
      <c r="CJ372" s="15"/>
      <c r="CK372" s="15"/>
      <c r="CL372" s="15">
        <v>2</v>
      </c>
      <c r="CM372" s="15">
        <v>3</v>
      </c>
      <c r="CN372" s="15">
        <v>5</v>
      </c>
      <c r="CO372" s="15">
        <v>4</v>
      </c>
      <c r="CP372" s="15">
        <v>6</v>
      </c>
      <c r="CQ372" s="15">
        <v>1</v>
      </c>
      <c r="CR372" s="15"/>
      <c r="CS372" s="15"/>
      <c r="CT372" s="15"/>
      <c r="CU372" s="15"/>
      <c r="CV372" s="15"/>
      <c r="CW372" s="15"/>
      <c r="CX372" s="15" t="s">
        <v>332</v>
      </c>
      <c r="CY372" s="15"/>
      <c r="CZ372" s="15"/>
      <c r="DA372" s="15">
        <v>2</v>
      </c>
      <c r="DB372" s="15">
        <v>4</v>
      </c>
      <c r="DC372" s="15">
        <v>5</v>
      </c>
      <c r="DD372" s="15">
        <v>3</v>
      </c>
      <c r="DE372" s="15">
        <v>1</v>
      </c>
      <c r="DF372" s="15"/>
      <c r="DG372" s="15"/>
      <c r="DH372" s="15" t="s">
        <v>328</v>
      </c>
      <c r="DI372" s="15"/>
      <c r="DJ372" s="15"/>
      <c r="DK372" s="15"/>
      <c r="DL372" s="15"/>
      <c r="DM372" s="15"/>
      <c r="DN372" s="15"/>
      <c r="DO372" s="15" t="s">
        <v>328</v>
      </c>
      <c r="DP372" s="15"/>
      <c r="DQ372" s="15"/>
      <c r="DR372" s="15"/>
      <c r="DS372" s="15"/>
      <c r="DT372" s="15"/>
      <c r="DU372" s="15"/>
      <c r="DV372" s="15"/>
      <c r="DW372" s="15" t="s">
        <v>328</v>
      </c>
      <c r="DX372" s="15"/>
      <c r="DY372" s="15"/>
      <c r="DZ372" s="15"/>
      <c r="EA372" s="15"/>
      <c r="EB372" s="15"/>
      <c r="EC372" s="102"/>
      <c r="ED372" s="99"/>
    </row>
    <row r="373" spans="1:134" x14ac:dyDescent="0.25">
      <c r="A373" s="51" t="s">
        <v>1378</v>
      </c>
      <c r="B373" s="103" t="s">
        <v>1594</v>
      </c>
      <c r="C373" s="15" t="s">
        <v>328</v>
      </c>
      <c r="D373" s="15"/>
      <c r="E373" s="15">
        <v>38</v>
      </c>
      <c r="F373" s="15" t="s">
        <v>329</v>
      </c>
      <c r="G373" s="15" t="s">
        <v>357</v>
      </c>
      <c r="H373" s="15" t="s">
        <v>1394</v>
      </c>
      <c r="I373" s="15" t="s">
        <v>1395</v>
      </c>
      <c r="J373" s="15" t="s">
        <v>1281</v>
      </c>
      <c r="K373" s="15">
        <v>18</v>
      </c>
      <c r="L373" s="15">
        <v>3</v>
      </c>
      <c r="M373" s="15">
        <v>3</v>
      </c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 t="s">
        <v>328</v>
      </c>
      <c r="AF373" s="15"/>
      <c r="AG373" s="15"/>
      <c r="AH373" s="15"/>
      <c r="AI373" s="15"/>
      <c r="AJ373" s="15"/>
      <c r="AK373" s="15" t="s">
        <v>328</v>
      </c>
      <c r="AL373" s="15"/>
      <c r="AM373" s="15"/>
      <c r="AN373" s="15"/>
      <c r="AO373" s="15" t="s">
        <v>328</v>
      </c>
      <c r="AP373" s="15">
        <v>4</v>
      </c>
      <c r="AQ373" s="15">
        <v>6</v>
      </c>
      <c r="AR373" s="15"/>
      <c r="AS373" s="15"/>
      <c r="AT373" s="15"/>
      <c r="AU373" s="15" t="s">
        <v>328</v>
      </c>
      <c r="AV373" s="15">
        <v>2</v>
      </c>
      <c r="AW373" s="15">
        <v>1</v>
      </c>
      <c r="AX373" s="15">
        <v>3</v>
      </c>
      <c r="AY373" s="15"/>
      <c r="AZ373" s="15" t="s">
        <v>328</v>
      </c>
      <c r="BA373" s="15"/>
      <c r="BB373" s="15"/>
      <c r="BC373" s="15" t="s">
        <v>328</v>
      </c>
      <c r="BD373" s="15"/>
      <c r="BE373" s="15"/>
      <c r="BF373" s="15"/>
      <c r="BG373" s="15"/>
      <c r="BH373" s="15"/>
      <c r="BI373" s="15"/>
      <c r="BJ373" s="15"/>
      <c r="BK373" s="15"/>
      <c r="BL373" s="15"/>
      <c r="BM373" s="15" t="s">
        <v>328</v>
      </c>
      <c r="BN373" s="15"/>
      <c r="BO373" s="15" t="s">
        <v>328</v>
      </c>
      <c r="BP373" s="15" t="s">
        <v>328</v>
      </c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 t="s">
        <v>328</v>
      </c>
      <c r="CB373" s="15"/>
      <c r="CC373" s="15"/>
      <c r="CD373" s="15" t="s">
        <v>328</v>
      </c>
      <c r="CE373" s="15" t="s">
        <v>328</v>
      </c>
      <c r="CF373" s="15"/>
      <c r="CG373" s="15"/>
      <c r="CH373" s="15"/>
      <c r="CI373" s="15" t="s">
        <v>328</v>
      </c>
      <c r="CJ373" s="15"/>
      <c r="CK373" s="15"/>
      <c r="CL373" s="15">
        <v>1</v>
      </c>
      <c r="CM373" s="15">
        <v>2</v>
      </c>
      <c r="CN373" s="15">
        <v>5</v>
      </c>
      <c r="CO373" s="15">
        <v>4</v>
      </c>
      <c r="CP373" s="15">
        <v>6</v>
      </c>
      <c r="CQ373" s="15">
        <v>3</v>
      </c>
      <c r="CR373" s="15" t="s">
        <v>328</v>
      </c>
      <c r="CS373" s="15"/>
      <c r="CT373" s="15"/>
      <c r="CU373" s="15"/>
      <c r="CV373" s="15"/>
      <c r="CW373" s="15"/>
      <c r="CX373" s="15"/>
      <c r="CY373" s="15"/>
      <c r="CZ373" s="15"/>
      <c r="DA373" s="15">
        <v>2</v>
      </c>
      <c r="DB373" s="15">
        <v>5</v>
      </c>
      <c r="DC373" s="15">
        <v>6</v>
      </c>
      <c r="DD373" s="15">
        <v>3</v>
      </c>
      <c r="DE373" s="15">
        <v>1</v>
      </c>
      <c r="DF373" s="15">
        <v>4</v>
      </c>
      <c r="DG373" s="15"/>
      <c r="DH373" s="15" t="s">
        <v>328</v>
      </c>
      <c r="DI373" s="15"/>
      <c r="DJ373" s="15"/>
      <c r="DK373" s="15"/>
      <c r="DL373" s="15"/>
      <c r="DM373" s="15"/>
      <c r="DN373" s="15"/>
      <c r="DO373" s="15" t="s">
        <v>328</v>
      </c>
      <c r="DP373" s="15"/>
      <c r="DQ373" s="15"/>
      <c r="DR373" s="15"/>
      <c r="DS373" s="15"/>
      <c r="DT373" s="15"/>
      <c r="DU373" s="15"/>
      <c r="DV373" s="15"/>
      <c r="DW373" s="15" t="s">
        <v>328</v>
      </c>
      <c r="DX373" s="15"/>
      <c r="DY373" s="15"/>
      <c r="DZ373" s="15"/>
      <c r="EA373" s="15"/>
      <c r="EB373" s="15"/>
      <c r="EC373" s="102"/>
      <c r="ED373" s="99"/>
    </row>
    <row r="374" spans="1:134" x14ac:dyDescent="0.25">
      <c r="A374" s="51" t="s">
        <v>1378</v>
      </c>
      <c r="B374" s="103" t="s">
        <v>1595</v>
      </c>
      <c r="C374" s="15" t="s">
        <v>328</v>
      </c>
      <c r="D374" s="15"/>
      <c r="E374" s="15">
        <v>35</v>
      </c>
      <c r="F374" s="15" t="s">
        <v>329</v>
      </c>
      <c r="G374" s="15" t="s">
        <v>357</v>
      </c>
      <c r="H374" s="15" t="s">
        <v>1596</v>
      </c>
      <c r="I374" s="15" t="s">
        <v>1597</v>
      </c>
      <c r="J374" s="15" t="s">
        <v>1281</v>
      </c>
      <c r="K374" s="15">
        <v>12</v>
      </c>
      <c r="L374" s="15">
        <v>2</v>
      </c>
      <c r="M374" s="15"/>
      <c r="N374" s="15"/>
      <c r="O374" s="15"/>
      <c r="P374" s="15"/>
      <c r="Q374" s="15"/>
      <c r="R374" s="15"/>
      <c r="S374" s="15"/>
      <c r="T374" s="15"/>
      <c r="U374" s="15"/>
      <c r="V374" s="15">
        <v>2</v>
      </c>
      <c r="W374" s="15"/>
      <c r="X374" s="15"/>
      <c r="Y374" s="15"/>
      <c r="Z374" s="15"/>
      <c r="AA374" s="15"/>
      <c r="AB374" s="15"/>
      <c r="AC374" s="15"/>
      <c r="AD374" s="15"/>
      <c r="AE374" s="15" t="s">
        <v>328</v>
      </c>
      <c r="AF374" s="15"/>
      <c r="AG374" s="15"/>
      <c r="AH374" s="15"/>
      <c r="AI374" s="15" t="s">
        <v>692</v>
      </c>
      <c r="AJ374" s="15"/>
      <c r="AK374" s="15" t="s">
        <v>328</v>
      </c>
      <c r="AL374" s="15"/>
      <c r="AM374" s="15"/>
      <c r="AN374" s="15"/>
      <c r="AO374" s="15" t="s">
        <v>328</v>
      </c>
      <c r="AP374" s="15">
        <v>5</v>
      </c>
      <c r="AQ374" s="15">
        <v>3</v>
      </c>
      <c r="AR374" s="15"/>
      <c r="AS374" s="15"/>
      <c r="AT374" s="15"/>
      <c r="AU374" s="15" t="s">
        <v>328</v>
      </c>
      <c r="AV374" s="15">
        <v>2</v>
      </c>
      <c r="AW374" s="15">
        <v>1</v>
      </c>
      <c r="AX374" s="15">
        <v>3</v>
      </c>
      <c r="AY374" s="15"/>
      <c r="AZ374" s="15" t="s">
        <v>328</v>
      </c>
      <c r="BA374" s="15"/>
      <c r="BB374" s="15"/>
      <c r="BC374" s="15" t="s">
        <v>328</v>
      </c>
      <c r="BD374" s="15"/>
      <c r="BE374" s="15"/>
      <c r="BF374" s="15"/>
      <c r="BG374" s="15"/>
      <c r="BH374" s="15"/>
      <c r="BI374" s="15"/>
      <c r="BJ374" s="15"/>
      <c r="BK374" s="15"/>
      <c r="BL374" s="15"/>
      <c r="BM374" s="15" t="s">
        <v>328</v>
      </c>
      <c r="BN374" s="15"/>
      <c r="BO374" s="15" t="s">
        <v>328</v>
      </c>
      <c r="BP374" s="15" t="s">
        <v>328</v>
      </c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 t="s">
        <v>328</v>
      </c>
      <c r="CF374" s="15"/>
      <c r="CG374" s="15"/>
      <c r="CH374" s="15"/>
      <c r="CI374" s="15" t="s">
        <v>328</v>
      </c>
      <c r="CJ374" s="15"/>
      <c r="CK374" s="15"/>
      <c r="CL374" s="15">
        <v>1</v>
      </c>
      <c r="CM374" s="15">
        <v>3</v>
      </c>
      <c r="CN374" s="15">
        <v>5</v>
      </c>
      <c r="CO374" s="15">
        <v>4</v>
      </c>
      <c r="CP374" s="15">
        <v>6</v>
      </c>
      <c r="CQ374" s="15">
        <v>2</v>
      </c>
      <c r="CR374" s="15"/>
      <c r="CS374" s="15"/>
      <c r="CT374" s="15"/>
      <c r="CU374" s="15"/>
      <c r="CV374" s="15" t="s">
        <v>328</v>
      </c>
      <c r="CW374" s="15"/>
      <c r="CX374" s="15"/>
      <c r="CY374" s="15"/>
      <c r="CZ374" s="15"/>
      <c r="DA374" s="15">
        <v>2</v>
      </c>
      <c r="DB374" s="15">
        <v>4</v>
      </c>
      <c r="DC374" s="15">
        <v>6</v>
      </c>
      <c r="DD374" s="15">
        <v>3</v>
      </c>
      <c r="DE374" s="15">
        <v>1</v>
      </c>
      <c r="DF374" s="15"/>
      <c r="DG374" s="15"/>
      <c r="DH374" s="15" t="s">
        <v>328</v>
      </c>
      <c r="DI374" s="15"/>
      <c r="DJ374" s="15"/>
      <c r="DK374" s="15"/>
      <c r="DL374" s="15"/>
      <c r="DM374" s="15"/>
      <c r="DN374" s="15"/>
      <c r="DO374" s="15" t="s">
        <v>328</v>
      </c>
      <c r="DP374" s="15"/>
      <c r="DQ374" s="15"/>
      <c r="DR374" s="15"/>
      <c r="DS374" s="15"/>
      <c r="DT374" s="15"/>
      <c r="DU374" s="15"/>
      <c r="DV374" s="15"/>
      <c r="DW374" s="15" t="s">
        <v>328</v>
      </c>
      <c r="DX374" s="15"/>
      <c r="DY374" s="15"/>
      <c r="DZ374" s="15"/>
      <c r="EA374" s="15"/>
      <c r="EB374" s="15"/>
      <c r="EC374" s="102"/>
      <c r="ED374" s="99"/>
    </row>
    <row r="375" spans="1:134" x14ac:dyDescent="0.25">
      <c r="A375" s="51" t="s">
        <v>1378</v>
      </c>
      <c r="B375" s="103" t="s">
        <v>1598</v>
      </c>
      <c r="C375" s="15" t="s">
        <v>328</v>
      </c>
      <c r="D375" s="15"/>
      <c r="E375" s="15">
        <v>55</v>
      </c>
      <c r="F375" s="15" t="s">
        <v>329</v>
      </c>
      <c r="G375" s="15" t="s">
        <v>353</v>
      </c>
      <c r="H375" s="15" t="s">
        <v>1394</v>
      </c>
      <c r="I375" s="15" t="s">
        <v>1395</v>
      </c>
      <c r="J375" s="15" t="s">
        <v>1281</v>
      </c>
      <c r="K375" s="15">
        <v>10</v>
      </c>
      <c r="L375" s="15">
        <v>1</v>
      </c>
      <c r="M375" s="15"/>
      <c r="N375" s="15"/>
      <c r="O375" s="15"/>
      <c r="P375" s="15"/>
      <c r="Q375" s="15"/>
      <c r="R375" s="15"/>
      <c r="S375" s="15"/>
      <c r="T375" s="15"/>
      <c r="U375" s="15"/>
      <c r="V375" s="15">
        <v>1</v>
      </c>
      <c r="W375" s="15"/>
      <c r="X375" s="15"/>
      <c r="Y375" s="15"/>
      <c r="Z375" s="15"/>
      <c r="AA375" s="15"/>
      <c r="AB375" s="15"/>
      <c r="AC375" s="15"/>
      <c r="AD375" s="15"/>
      <c r="AE375" s="15" t="s">
        <v>328</v>
      </c>
      <c r="AF375" s="15"/>
      <c r="AG375" s="15"/>
      <c r="AH375" s="15"/>
      <c r="AI375" s="15"/>
      <c r="AJ375" s="15"/>
      <c r="AK375" s="15" t="s">
        <v>328</v>
      </c>
      <c r="AL375" s="15"/>
      <c r="AM375" s="15"/>
      <c r="AN375" s="15"/>
      <c r="AO375" s="15" t="s">
        <v>328</v>
      </c>
      <c r="AP375" s="15">
        <v>8</v>
      </c>
      <c r="AQ375" s="15">
        <v>3</v>
      </c>
      <c r="AR375" s="15"/>
      <c r="AS375" s="15"/>
      <c r="AT375" s="15" t="s">
        <v>328</v>
      </c>
      <c r="AU375" s="15"/>
      <c r="AV375" s="15">
        <v>2</v>
      </c>
      <c r="AW375" s="15">
        <v>3</v>
      </c>
      <c r="AX375" s="15">
        <v>1</v>
      </c>
      <c r="AY375" s="15"/>
      <c r="AZ375" s="15" t="s">
        <v>328</v>
      </c>
      <c r="BA375" s="15"/>
      <c r="BB375" s="15" t="s">
        <v>328</v>
      </c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 t="s">
        <v>328</v>
      </c>
      <c r="BN375" s="15"/>
      <c r="BO375" s="15" t="s">
        <v>328</v>
      </c>
      <c r="BP375" s="15" t="s">
        <v>328</v>
      </c>
      <c r="BQ375" s="15"/>
      <c r="BR375" s="15"/>
      <c r="BS375" s="15"/>
      <c r="BT375" s="15" t="s">
        <v>328</v>
      </c>
      <c r="BU375" s="15"/>
      <c r="BV375" s="15"/>
      <c r="BW375" s="15"/>
      <c r="BX375" s="15"/>
      <c r="BY375" s="15"/>
      <c r="BZ375" s="15"/>
      <c r="CA375" s="15"/>
      <c r="CB375" s="15"/>
      <c r="CC375" s="15"/>
      <c r="CD375" s="15" t="s">
        <v>328</v>
      </c>
      <c r="CE375" s="15"/>
      <c r="CF375" s="15"/>
      <c r="CG375" s="15"/>
      <c r="CH375" s="15"/>
      <c r="CI375" s="15" t="s">
        <v>328</v>
      </c>
      <c r="CJ375" s="15"/>
      <c r="CK375" s="15"/>
      <c r="CL375" s="15">
        <v>1</v>
      </c>
      <c r="CM375" s="15">
        <v>5</v>
      </c>
      <c r="CN375" s="15">
        <v>4</v>
      </c>
      <c r="CO375" s="15">
        <v>3</v>
      </c>
      <c r="CP375" s="15">
        <v>6</v>
      </c>
      <c r="CQ375" s="15">
        <v>2</v>
      </c>
      <c r="CR375" s="15"/>
      <c r="CS375" s="15"/>
      <c r="CT375" s="15"/>
      <c r="CU375" s="15"/>
      <c r="CV375" s="15"/>
      <c r="CW375" s="15"/>
      <c r="CX375" s="15" t="s">
        <v>332</v>
      </c>
      <c r="CY375" s="15"/>
      <c r="CZ375" s="15"/>
      <c r="DA375" s="15">
        <v>2</v>
      </c>
      <c r="DB375" s="15">
        <v>5</v>
      </c>
      <c r="DC375" s="15">
        <v>6</v>
      </c>
      <c r="DD375" s="15">
        <v>3</v>
      </c>
      <c r="DE375" s="15">
        <v>1</v>
      </c>
      <c r="DF375" s="15">
        <v>4</v>
      </c>
      <c r="DG375" s="15"/>
      <c r="DH375" s="15"/>
      <c r="DI375" s="15" t="s">
        <v>328</v>
      </c>
      <c r="DJ375" s="15" t="s">
        <v>328</v>
      </c>
      <c r="DK375" s="15" t="s">
        <v>497</v>
      </c>
      <c r="DL375" s="15"/>
      <c r="DM375" s="15" t="s">
        <v>492</v>
      </c>
      <c r="DN375" s="15" t="s">
        <v>411</v>
      </c>
      <c r="DO375" s="15" t="s">
        <v>328</v>
      </c>
      <c r="DP375" s="15"/>
      <c r="DQ375" s="15"/>
      <c r="DR375" s="15"/>
      <c r="DS375" s="15"/>
      <c r="DT375" s="15"/>
      <c r="DU375" s="15"/>
      <c r="DV375" s="15"/>
      <c r="DW375" s="15" t="s">
        <v>328</v>
      </c>
      <c r="DX375" s="15"/>
      <c r="DY375" s="15"/>
      <c r="DZ375" s="15"/>
      <c r="EA375" s="15"/>
      <c r="EB375" s="15"/>
      <c r="EC375" s="102"/>
      <c r="ED375" s="99"/>
    </row>
    <row r="376" spans="1:134" x14ac:dyDescent="0.25">
      <c r="A376" s="51" t="s">
        <v>1378</v>
      </c>
      <c r="B376" s="103" t="s">
        <v>1599</v>
      </c>
      <c r="C376" s="15" t="s">
        <v>328</v>
      </c>
      <c r="D376" s="15"/>
      <c r="E376" s="15">
        <v>63</v>
      </c>
      <c r="F376" s="15" t="s">
        <v>329</v>
      </c>
      <c r="G376" s="15" t="s">
        <v>330</v>
      </c>
      <c r="H376" s="15" t="s">
        <v>1394</v>
      </c>
      <c r="I376" s="15" t="s">
        <v>1395</v>
      </c>
      <c r="J376" s="15" t="s">
        <v>1281</v>
      </c>
      <c r="K376" s="15">
        <v>40</v>
      </c>
      <c r="L376" s="15">
        <v>1</v>
      </c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>
        <v>1</v>
      </c>
      <c r="Y376" s="15"/>
      <c r="Z376" s="15"/>
      <c r="AA376" s="15"/>
      <c r="AB376" s="15"/>
      <c r="AC376" s="15"/>
      <c r="AD376" s="15"/>
      <c r="AE376" s="15" t="s">
        <v>328</v>
      </c>
      <c r="AF376" s="15"/>
      <c r="AG376" s="15"/>
      <c r="AH376" s="15"/>
      <c r="AI376" s="15" t="s">
        <v>692</v>
      </c>
      <c r="AJ376" s="15"/>
      <c r="AK376" s="15" t="s">
        <v>328</v>
      </c>
      <c r="AL376" s="15"/>
      <c r="AM376" s="15"/>
      <c r="AN376" s="15"/>
      <c r="AO376" s="15" t="s">
        <v>328</v>
      </c>
      <c r="AP376" s="15">
        <v>6</v>
      </c>
      <c r="AQ376" s="15">
        <v>4</v>
      </c>
      <c r="AR376" s="15"/>
      <c r="AS376" s="15"/>
      <c r="AT376" s="15"/>
      <c r="AU376" s="15" t="s">
        <v>328</v>
      </c>
      <c r="AV376" s="15">
        <v>2</v>
      </c>
      <c r="AW376" s="15">
        <v>1</v>
      </c>
      <c r="AX376" s="15">
        <v>3</v>
      </c>
      <c r="AY376" s="15"/>
      <c r="AZ376" s="15" t="s">
        <v>328</v>
      </c>
      <c r="BA376" s="15"/>
      <c r="BB376" s="15" t="s">
        <v>328</v>
      </c>
      <c r="BC376" s="15"/>
      <c r="BD376" s="15" t="s">
        <v>328</v>
      </c>
      <c r="BE376" s="15"/>
      <c r="BF376" s="15"/>
      <c r="BG376" s="15"/>
      <c r="BH376" s="15"/>
      <c r="BI376" s="15"/>
      <c r="BJ376" s="15"/>
      <c r="BK376" s="15"/>
      <c r="BL376" s="15"/>
      <c r="BM376" s="15" t="s">
        <v>328</v>
      </c>
      <c r="BN376" s="15" t="s">
        <v>328</v>
      </c>
      <c r="BO376" s="15"/>
      <c r="BP376" s="15" t="s">
        <v>328</v>
      </c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 t="s">
        <v>328</v>
      </c>
      <c r="CF376" s="15"/>
      <c r="CG376" s="15"/>
      <c r="CH376" s="15" t="s">
        <v>328</v>
      </c>
      <c r="CI376" s="15"/>
      <c r="CJ376" s="15"/>
      <c r="CK376" s="15"/>
      <c r="CL376" s="15">
        <v>1</v>
      </c>
      <c r="CM376" s="15">
        <v>4</v>
      </c>
      <c r="CN376" s="15">
        <v>2</v>
      </c>
      <c r="CO376" s="15">
        <v>6</v>
      </c>
      <c r="CP376" s="15">
        <v>5</v>
      </c>
      <c r="CQ376" s="15">
        <v>3</v>
      </c>
      <c r="CR376" s="15"/>
      <c r="CS376" s="15"/>
      <c r="CT376" s="15"/>
      <c r="CU376" s="15"/>
      <c r="CV376" s="15"/>
      <c r="CW376" s="15"/>
      <c r="CX376" s="15" t="s">
        <v>332</v>
      </c>
      <c r="CY376" s="15"/>
      <c r="CZ376" s="15"/>
      <c r="DA376" s="15">
        <v>2</v>
      </c>
      <c r="DB376" s="15">
        <v>5</v>
      </c>
      <c r="DC376" s="15"/>
      <c r="DD376" s="15">
        <v>3</v>
      </c>
      <c r="DE376" s="15">
        <v>1</v>
      </c>
      <c r="DF376" s="15">
        <v>4</v>
      </c>
      <c r="DG376" s="15"/>
      <c r="DH376" s="15" t="s">
        <v>328</v>
      </c>
      <c r="DI376" s="15"/>
      <c r="DJ376" s="15"/>
      <c r="DK376" s="15"/>
      <c r="DL376" s="15"/>
      <c r="DM376" s="15"/>
      <c r="DN376" s="15"/>
      <c r="DO376" s="15" t="s">
        <v>328</v>
      </c>
      <c r="DP376" s="15"/>
      <c r="DQ376" s="15"/>
      <c r="DR376" s="15"/>
      <c r="DS376" s="15"/>
      <c r="DT376" s="15"/>
      <c r="DU376" s="15"/>
      <c r="DV376" s="15"/>
      <c r="DW376" s="15" t="s">
        <v>328</v>
      </c>
      <c r="DX376" s="15"/>
      <c r="DY376" s="15"/>
      <c r="DZ376" s="15"/>
      <c r="EA376" s="15"/>
      <c r="EB376" s="15"/>
      <c r="EC376" s="102"/>
      <c r="ED376" s="99"/>
    </row>
    <row r="377" spans="1:134" x14ac:dyDescent="0.25">
      <c r="A377" s="51" t="s">
        <v>1378</v>
      </c>
      <c r="B377" s="103" t="s">
        <v>1600</v>
      </c>
      <c r="C377" s="15" t="s">
        <v>328</v>
      </c>
      <c r="D377" s="15"/>
      <c r="E377" s="15">
        <v>55</v>
      </c>
      <c r="F377" s="15" t="s">
        <v>329</v>
      </c>
      <c r="G377" s="15" t="s">
        <v>330</v>
      </c>
      <c r="H377" s="15" t="s">
        <v>1394</v>
      </c>
      <c r="I377" s="15" t="s">
        <v>1395</v>
      </c>
      <c r="J377" s="15" t="s">
        <v>1281</v>
      </c>
      <c r="K377" s="15">
        <v>37</v>
      </c>
      <c r="L377" s="15">
        <v>1</v>
      </c>
      <c r="M377" s="15"/>
      <c r="N377" s="15">
        <v>1</v>
      </c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 t="s">
        <v>328</v>
      </c>
      <c r="AA377" s="15"/>
      <c r="AB377" s="15"/>
      <c r="AC377" s="15"/>
      <c r="AD377" s="15"/>
      <c r="AE377" s="15"/>
      <c r="AF377" s="15"/>
      <c r="AG377" s="15" t="s">
        <v>328</v>
      </c>
      <c r="AH377" s="15"/>
      <c r="AI377" s="15"/>
      <c r="AJ377" s="15" t="s">
        <v>328</v>
      </c>
      <c r="AK377" s="15" t="s">
        <v>328</v>
      </c>
      <c r="AL377" s="15"/>
      <c r="AM377" s="15"/>
      <c r="AN377" s="15" t="s">
        <v>328</v>
      </c>
      <c r="AO377" s="15" t="s">
        <v>328</v>
      </c>
      <c r="AP377" s="15">
        <v>6</v>
      </c>
      <c r="AQ377" s="15">
        <v>4</v>
      </c>
      <c r="AR377" s="15"/>
      <c r="AS377" s="15"/>
      <c r="AT377" s="15"/>
      <c r="AU377" s="15" t="s">
        <v>328</v>
      </c>
      <c r="AV377" s="15">
        <v>2</v>
      </c>
      <c r="AW377" s="15">
        <v>3</v>
      </c>
      <c r="AX377" s="15">
        <v>1</v>
      </c>
      <c r="AY377" s="15"/>
      <c r="AZ377" s="15" t="s">
        <v>328</v>
      </c>
      <c r="BA377" s="15"/>
      <c r="BB377" s="15" t="s">
        <v>328</v>
      </c>
      <c r="BC377" s="15"/>
      <c r="BD377" s="15" t="s">
        <v>328</v>
      </c>
      <c r="BE377" s="15"/>
      <c r="BF377" s="15"/>
      <c r="BG377" s="15"/>
      <c r="BH377" s="15"/>
      <c r="BI377" s="15"/>
      <c r="BJ377" s="15"/>
      <c r="BK377" s="15"/>
      <c r="BL377" s="15"/>
      <c r="BM377" s="15" t="s">
        <v>328</v>
      </c>
      <c r="BN377" s="15" t="s">
        <v>328</v>
      </c>
      <c r="BO377" s="15"/>
      <c r="BP377" s="15" t="s">
        <v>328</v>
      </c>
      <c r="BQ377" s="15"/>
      <c r="BR377" s="15"/>
      <c r="BS377" s="15"/>
      <c r="BT377" s="15" t="s">
        <v>328</v>
      </c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 t="s">
        <v>328</v>
      </c>
      <c r="CF377" s="15"/>
      <c r="CG377" s="15" t="s">
        <v>328</v>
      </c>
      <c r="CH377" s="15"/>
      <c r="CI377" s="15"/>
      <c r="CJ377" s="15"/>
      <c r="CK377" s="15"/>
      <c r="CL377" s="15">
        <v>1</v>
      </c>
      <c r="CM377" s="15">
        <v>3</v>
      </c>
      <c r="CN377" s="15">
        <v>5</v>
      </c>
      <c r="CO377" s="15">
        <v>4</v>
      </c>
      <c r="CP377" s="15">
        <v>6</v>
      </c>
      <c r="CQ377" s="15">
        <v>2</v>
      </c>
      <c r="CR377" s="15"/>
      <c r="CS377" s="15"/>
      <c r="CT377" s="15"/>
      <c r="CU377" s="15"/>
      <c r="CV377" s="15" t="s">
        <v>328</v>
      </c>
      <c r="CW377" s="15"/>
      <c r="CX377" s="15"/>
      <c r="CY377" s="15"/>
      <c r="CZ377" s="15"/>
      <c r="DA377" s="15">
        <v>2</v>
      </c>
      <c r="DB377" s="15">
        <v>5</v>
      </c>
      <c r="DC377" s="15">
        <v>6</v>
      </c>
      <c r="DD377" s="15">
        <v>3</v>
      </c>
      <c r="DE377" s="15">
        <v>1</v>
      </c>
      <c r="DF377" s="15">
        <v>4</v>
      </c>
      <c r="DG377" s="15"/>
      <c r="DH377" s="15" t="s">
        <v>328</v>
      </c>
      <c r="DI377" s="15"/>
      <c r="DJ377" s="15"/>
      <c r="DK377" s="15"/>
      <c r="DL377" s="15"/>
      <c r="DM377" s="15"/>
      <c r="DN377" s="15"/>
      <c r="DO377" s="15" t="s">
        <v>328</v>
      </c>
      <c r="DP377" s="15"/>
      <c r="DQ377" s="15"/>
      <c r="DR377" s="15"/>
      <c r="DS377" s="15"/>
      <c r="DT377" s="15"/>
      <c r="DU377" s="15"/>
      <c r="DV377" s="15"/>
      <c r="DW377" s="15" t="s">
        <v>328</v>
      </c>
      <c r="DX377" s="15"/>
      <c r="DY377" s="15"/>
      <c r="DZ377" s="15"/>
      <c r="EA377" s="15"/>
      <c r="EB377" s="15"/>
      <c r="EC377" s="102"/>
      <c r="ED377" s="99"/>
    </row>
    <row r="378" spans="1:134" x14ac:dyDescent="0.25">
      <c r="A378" s="51" t="s">
        <v>1378</v>
      </c>
      <c r="B378" s="103" t="s">
        <v>1601</v>
      </c>
      <c r="C378" s="15" t="s">
        <v>328</v>
      </c>
      <c r="D378" s="15"/>
      <c r="E378" s="15">
        <v>74</v>
      </c>
      <c r="F378" s="15" t="s">
        <v>329</v>
      </c>
      <c r="G378" s="15" t="s">
        <v>353</v>
      </c>
      <c r="H378" s="15" t="s">
        <v>1394</v>
      </c>
      <c r="I378" s="15" t="s">
        <v>1395</v>
      </c>
      <c r="J378" s="15" t="s">
        <v>1281</v>
      </c>
      <c r="K378" s="15">
        <v>50</v>
      </c>
      <c r="L378" s="15">
        <v>1</v>
      </c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>
        <v>1</v>
      </c>
      <c r="Y378" s="15"/>
      <c r="Z378" s="15"/>
      <c r="AA378" s="15"/>
      <c r="AB378" s="15"/>
      <c r="AC378" s="15"/>
      <c r="AD378" s="15"/>
      <c r="AE378" s="15" t="s">
        <v>328</v>
      </c>
      <c r="AF378" s="15"/>
      <c r="AG378" s="15"/>
      <c r="AH378" s="15"/>
      <c r="AI378" s="15" t="s">
        <v>692</v>
      </c>
      <c r="AJ378" s="15"/>
      <c r="AK378" s="15" t="s">
        <v>328</v>
      </c>
      <c r="AL378" s="15"/>
      <c r="AM378" s="15"/>
      <c r="AN378" s="15"/>
      <c r="AO378" s="15" t="s">
        <v>328</v>
      </c>
      <c r="AP378" s="15">
        <v>8</v>
      </c>
      <c r="AQ378" s="15">
        <v>3</v>
      </c>
      <c r="AR378" s="15"/>
      <c r="AS378" s="15"/>
      <c r="AT378" s="15"/>
      <c r="AU378" s="15" t="s">
        <v>328</v>
      </c>
      <c r="AV378" s="15">
        <v>1</v>
      </c>
      <c r="AW378" s="15">
        <v>2</v>
      </c>
      <c r="AX378" s="15">
        <v>3</v>
      </c>
      <c r="AY378" s="15"/>
      <c r="AZ378" s="15" t="s">
        <v>328</v>
      </c>
      <c r="BA378" s="15"/>
      <c r="BB378" s="15" t="s">
        <v>328</v>
      </c>
      <c r="BC378" s="15" t="s">
        <v>328</v>
      </c>
      <c r="BD378" s="15" t="s">
        <v>328</v>
      </c>
      <c r="BE378" s="15"/>
      <c r="BF378" s="15"/>
      <c r="BG378" s="15"/>
      <c r="BH378" s="15"/>
      <c r="BI378" s="15"/>
      <c r="BJ378" s="15"/>
      <c r="BK378" s="15"/>
      <c r="BL378" s="15"/>
      <c r="BM378" s="15" t="s">
        <v>328</v>
      </c>
      <c r="BN378" s="15" t="s">
        <v>328</v>
      </c>
      <c r="BO378" s="15"/>
      <c r="BP378" s="15" t="s">
        <v>328</v>
      </c>
      <c r="BQ378" s="15"/>
      <c r="BR378" s="15" t="s">
        <v>328</v>
      </c>
      <c r="BS378" s="15"/>
      <c r="BT378" s="15"/>
      <c r="BU378" s="15"/>
      <c r="BV378" s="15"/>
      <c r="BW378" s="15"/>
      <c r="BX378" s="15"/>
      <c r="BY378" s="15"/>
      <c r="BZ378" s="15"/>
      <c r="CA378" s="15" t="s">
        <v>328</v>
      </c>
      <c r="CB378" s="15"/>
      <c r="CC378" s="15"/>
      <c r="CD378" s="15"/>
      <c r="CE378" s="15" t="s">
        <v>328</v>
      </c>
      <c r="CF378" s="15"/>
      <c r="CG378" s="15" t="s">
        <v>328</v>
      </c>
      <c r="CH378" s="15"/>
      <c r="CI378" s="15"/>
      <c r="CJ378" s="15"/>
      <c r="CK378" s="15"/>
      <c r="CL378" s="15">
        <v>2</v>
      </c>
      <c r="CM378" s="15">
        <v>3</v>
      </c>
      <c r="CN378" s="15">
        <v>6</v>
      </c>
      <c r="CO378" s="15">
        <v>4</v>
      </c>
      <c r="CP378" s="15">
        <v>5</v>
      </c>
      <c r="CQ378" s="15">
        <v>1</v>
      </c>
      <c r="CR378" s="15"/>
      <c r="CS378" s="15"/>
      <c r="CT378" s="15"/>
      <c r="CU378" s="15"/>
      <c r="CV378" s="15"/>
      <c r="CW378" s="15"/>
      <c r="CX378" s="15" t="s">
        <v>332</v>
      </c>
      <c r="CY378" s="15"/>
      <c r="CZ378" s="15"/>
      <c r="DA378" s="15">
        <v>1</v>
      </c>
      <c r="DB378" s="15"/>
      <c r="DC378" s="15"/>
      <c r="DD378" s="15">
        <v>3</v>
      </c>
      <c r="DE378" s="15">
        <v>2</v>
      </c>
      <c r="DF378" s="15"/>
      <c r="DG378" s="15"/>
      <c r="DH378" s="15" t="s">
        <v>328</v>
      </c>
      <c r="DI378" s="15"/>
      <c r="DJ378" s="15"/>
      <c r="DK378" s="15"/>
      <c r="DL378" s="15"/>
      <c r="DM378" s="15"/>
      <c r="DN378" s="15"/>
      <c r="DO378" s="15" t="s">
        <v>328</v>
      </c>
      <c r="DP378" s="15"/>
      <c r="DQ378" s="15"/>
      <c r="DR378" s="15"/>
      <c r="DS378" s="15"/>
      <c r="DT378" s="15"/>
      <c r="DU378" s="15"/>
      <c r="DV378" s="15"/>
      <c r="DW378" s="15" t="s">
        <v>328</v>
      </c>
      <c r="DX378" s="15"/>
      <c r="DY378" s="15"/>
      <c r="DZ378" s="15"/>
      <c r="EA378" s="15"/>
      <c r="EB378" s="15"/>
      <c r="EC378" s="102"/>
      <c r="ED378" s="99"/>
    </row>
    <row r="379" spans="1:134" x14ac:dyDescent="0.25">
      <c r="A379" s="51" t="s">
        <v>1378</v>
      </c>
      <c r="B379" s="103" t="s">
        <v>1602</v>
      </c>
      <c r="C379" s="15" t="s">
        <v>328</v>
      </c>
      <c r="D379" s="15"/>
      <c r="E379" s="15">
        <v>51</v>
      </c>
      <c r="F379" s="15" t="s">
        <v>329</v>
      </c>
      <c r="G379" s="15" t="s">
        <v>357</v>
      </c>
      <c r="H379" s="15" t="s">
        <v>1394</v>
      </c>
      <c r="I379" s="15" t="s">
        <v>1395</v>
      </c>
      <c r="J379" s="15" t="s">
        <v>1281</v>
      </c>
      <c r="K379" s="15">
        <v>20</v>
      </c>
      <c r="L379" s="15">
        <v>1</v>
      </c>
      <c r="M379" s="15">
        <v>1</v>
      </c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 t="s">
        <v>328</v>
      </c>
      <c r="AB379" s="15"/>
      <c r="AC379" s="15"/>
      <c r="AD379" s="15" t="s">
        <v>328</v>
      </c>
      <c r="AE379" s="15"/>
      <c r="AF379" s="15"/>
      <c r="AG379" s="15"/>
      <c r="AH379" s="15"/>
      <c r="AI379" s="15"/>
      <c r="AJ379" s="15"/>
      <c r="AK379" s="15" t="s">
        <v>328</v>
      </c>
      <c r="AL379" s="15"/>
      <c r="AM379" s="15" t="s">
        <v>328</v>
      </c>
      <c r="AN379" s="15"/>
      <c r="AO379" s="15" t="s">
        <v>328</v>
      </c>
      <c r="AP379" s="15">
        <v>6</v>
      </c>
      <c r="AQ379" s="15">
        <v>3</v>
      </c>
      <c r="AR379" s="15"/>
      <c r="AS379" s="15"/>
      <c r="AT379" s="15"/>
      <c r="AU379" s="15" t="s">
        <v>328</v>
      </c>
      <c r="AV379" s="15">
        <v>2</v>
      </c>
      <c r="AW379" s="15">
        <v>3</v>
      </c>
      <c r="AX379" s="15">
        <v>4</v>
      </c>
      <c r="AY379" s="15" t="s">
        <v>346</v>
      </c>
      <c r="AZ379" s="15" t="s">
        <v>328</v>
      </c>
      <c r="BA379" s="15"/>
      <c r="BB379" s="15"/>
      <c r="BC379" s="15"/>
      <c r="BD379" s="15" t="s">
        <v>328</v>
      </c>
      <c r="BE379" s="15"/>
      <c r="BF379" s="15"/>
      <c r="BG379" s="15"/>
      <c r="BH379" s="15"/>
      <c r="BI379" s="15"/>
      <c r="BJ379" s="15" t="s">
        <v>328</v>
      </c>
      <c r="BK379" s="15"/>
      <c r="BL379" s="15"/>
      <c r="BM379" s="15" t="s">
        <v>328</v>
      </c>
      <c r="BN379" s="15" t="s">
        <v>328</v>
      </c>
      <c r="BO379" s="15"/>
      <c r="BP379" s="15" t="s">
        <v>328</v>
      </c>
      <c r="BQ379" s="15" t="s">
        <v>328</v>
      </c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 t="s">
        <v>328</v>
      </c>
      <c r="CE379" s="15"/>
      <c r="CF379" s="15"/>
      <c r="CG379" s="15"/>
      <c r="CH379" s="15" t="s">
        <v>328</v>
      </c>
      <c r="CI379" s="15" t="s">
        <v>328</v>
      </c>
      <c r="CJ379" s="15"/>
      <c r="CK379" s="15"/>
      <c r="CL379" s="15">
        <v>2</v>
      </c>
      <c r="CM379" s="15">
        <v>3</v>
      </c>
      <c r="CN379" s="15">
        <v>6</v>
      </c>
      <c r="CO379" s="15">
        <v>5</v>
      </c>
      <c r="CP379" s="15">
        <v>4</v>
      </c>
      <c r="CQ379" s="15">
        <v>1</v>
      </c>
      <c r="CR379" s="15"/>
      <c r="CS379" s="15"/>
      <c r="CT379" s="15"/>
      <c r="CU379" s="15"/>
      <c r="CV379" s="15"/>
      <c r="CW379" s="15"/>
      <c r="CX379" s="15" t="s">
        <v>332</v>
      </c>
      <c r="CY379" s="15"/>
      <c r="CZ379" s="15"/>
      <c r="DA379" s="15">
        <v>2</v>
      </c>
      <c r="DB379" s="15">
        <v>5</v>
      </c>
      <c r="DC379" s="15"/>
      <c r="DD379" s="15"/>
      <c r="DE379" s="15">
        <v>1</v>
      </c>
      <c r="DF379" s="15">
        <v>3</v>
      </c>
      <c r="DG379" s="15"/>
      <c r="DH379" s="15" t="s">
        <v>328</v>
      </c>
      <c r="DI379" s="15"/>
      <c r="DJ379" s="15"/>
      <c r="DK379" s="15"/>
      <c r="DL379" s="15"/>
      <c r="DM379" s="15"/>
      <c r="DN379" s="15"/>
      <c r="DO379" s="15" t="s">
        <v>328</v>
      </c>
      <c r="DP379" s="15"/>
      <c r="DQ379" s="15"/>
      <c r="DR379" s="15"/>
      <c r="DS379" s="15"/>
      <c r="DT379" s="15"/>
      <c r="DU379" s="15"/>
      <c r="DV379" s="15"/>
      <c r="DW379" s="15" t="s">
        <v>328</v>
      </c>
      <c r="DX379" s="15"/>
      <c r="DY379" s="15"/>
      <c r="DZ379" s="15"/>
      <c r="EA379" s="15"/>
      <c r="EB379" s="15"/>
      <c r="EC379" s="102"/>
      <c r="ED379" s="99"/>
    </row>
    <row r="380" spans="1:134" x14ac:dyDescent="0.25">
      <c r="A380" s="51" t="s">
        <v>1378</v>
      </c>
      <c r="B380" s="103" t="s">
        <v>1603</v>
      </c>
      <c r="C380" s="15" t="s">
        <v>328</v>
      </c>
      <c r="D380" s="15"/>
      <c r="E380" s="15">
        <v>60</v>
      </c>
      <c r="F380" s="15" t="s">
        <v>329</v>
      </c>
      <c r="G380" s="15" t="s">
        <v>353</v>
      </c>
      <c r="H380" s="15" t="s">
        <v>1410</v>
      </c>
      <c r="I380" s="15" t="s">
        <v>1411</v>
      </c>
      <c r="J380" s="15" t="s">
        <v>1281</v>
      </c>
      <c r="K380" s="15">
        <v>40</v>
      </c>
      <c r="L380" s="15">
        <v>1</v>
      </c>
      <c r="M380" s="15"/>
      <c r="N380" s="15"/>
      <c r="O380" s="15"/>
      <c r="P380" s="15"/>
      <c r="Q380" s="15"/>
      <c r="R380" s="15"/>
      <c r="S380" s="15" t="s">
        <v>328</v>
      </c>
      <c r="T380" s="15"/>
      <c r="U380" s="15"/>
      <c r="V380" s="15"/>
      <c r="W380" s="15"/>
      <c r="X380" s="15"/>
      <c r="Y380" s="15"/>
      <c r="Z380" s="15"/>
      <c r="AA380" s="15"/>
      <c r="AB380" s="15"/>
      <c r="AC380" s="15" t="s">
        <v>328</v>
      </c>
      <c r="AD380" s="15" t="s">
        <v>328</v>
      </c>
      <c r="AE380" s="15"/>
      <c r="AF380" s="15"/>
      <c r="AG380" s="15"/>
      <c r="AH380" s="15"/>
      <c r="AI380" s="15"/>
      <c r="AJ380" s="15"/>
      <c r="AK380" s="15" t="s">
        <v>328</v>
      </c>
      <c r="AL380" s="15"/>
      <c r="AM380" s="15"/>
      <c r="AN380" s="15"/>
      <c r="AO380" s="15" t="s">
        <v>328</v>
      </c>
      <c r="AP380" s="15">
        <v>6</v>
      </c>
      <c r="AQ380" s="15">
        <v>2</v>
      </c>
      <c r="AR380" s="15"/>
      <c r="AS380" s="15" t="s">
        <v>328</v>
      </c>
      <c r="AT380" s="15"/>
      <c r="AU380" s="15"/>
      <c r="AV380" s="15">
        <v>2</v>
      </c>
      <c r="AW380" s="15">
        <v>3</v>
      </c>
      <c r="AX380" s="15">
        <v>1</v>
      </c>
      <c r="AY380" s="15"/>
      <c r="AZ380" s="15" t="s">
        <v>328</v>
      </c>
      <c r="BA380" s="15"/>
      <c r="BB380" s="15" t="s">
        <v>328</v>
      </c>
      <c r="BC380" s="15"/>
      <c r="BD380" s="15" t="s">
        <v>328</v>
      </c>
      <c r="BE380" s="15"/>
      <c r="BF380" s="15"/>
      <c r="BG380" s="15"/>
      <c r="BH380" s="15"/>
      <c r="BI380" s="15" t="s">
        <v>328</v>
      </c>
      <c r="BJ380" s="15"/>
      <c r="BK380" s="15"/>
      <c r="BL380" s="15"/>
      <c r="BM380" s="15" t="s">
        <v>328</v>
      </c>
      <c r="BN380" s="15" t="s">
        <v>328</v>
      </c>
      <c r="BO380" s="15"/>
      <c r="BP380" s="15" t="s">
        <v>328</v>
      </c>
      <c r="BQ380" s="15"/>
      <c r="BR380" s="15" t="s">
        <v>328</v>
      </c>
      <c r="BS380" s="15"/>
      <c r="BT380" s="15"/>
      <c r="BU380" s="15"/>
      <c r="BV380" s="15"/>
      <c r="BW380" s="15"/>
      <c r="BX380" s="15"/>
      <c r="BY380" s="15"/>
      <c r="BZ380" s="15"/>
      <c r="CA380" s="15" t="s">
        <v>328</v>
      </c>
      <c r="CB380" s="15"/>
      <c r="CC380" s="15"/>
      <c r="CD380" s="15"/>
      <c r="CE380" s="15"/>
      <c r="CF380" s="15"/>
      <c r="CG380" s="15"/>
      <c r="CH380" s="15"/>
      <c r="CI380" s="15" t="s">
        <v>328</v>
      </c>
      <c r="CJ380" s="15"/>
      <c r="CK380" s="15"/>
      <c r="CL380" s="15">
        <v>2</v>
      </c>
      <c r="CM380" s="15">
        <v>3</v>
      </c>
      <c r="CN380" s="15">
        <v>5</v>
      </c>
      <c r="CO380" s="15">
        <v>4</v>
      </c>
      <c r="CP380" s="15">
        <v>6</v>
      </c>
      <c r="CQ380" s="15">
        <v>1</v>
      </c>
      <c r="CR380" s="15"/>
      <c r="CS380" s="15"/>
      <c r="CT380" s="15"/>
      <c r="CU380" s="15"/>
      <c r="CV380" s="15"/>
      <c r="CW380" s="15"/>
      <c r="CX380" s="15" t="s">
        <v>332</v>
      </c>
      <c r="CY380" s="15"/>
      <c r="CZ380" s="15"/>
      <c r="DA380" s="15">
        <v>2</v>
      </c>
      <c r="DB380" s="15">
        <v>3</v>
      </c>
      <c r="DC380" s="15"/>
      <c r="DD380" s="15"/>
      <c r="DE380" s="15">
        <v>1</v>
      </c>
      <c r="DF380" s="15"/>
      <c r="DG380" s="15"/>
      <c r="DH380" s="15" t="s">
        <v>328</v>
      </c>
      <c r="DI380" s="15"/>
      <c r="DJ380" s="15"/>
      <c r="DK380" s="15"/>
      <c r="DL380" s="15"/>
      <c r="DM380" s="15"/>
      <c r="DN380" s="15"/>
      <c r="DO380" s="15" t="s">
        <v>328</v>
      </c>
      <c r="DP380" s="15"/>
      <c r="DQ380" s="15"/>
      <c r="DR380" s="15"/>
      <c r="DS380" s="15"/>
      <c r="DT380" s="15"/>
      <c r="DU380" s="15"/>
      <c r="DV380" s="15"/>
      <c r="DW380" s="15" t="s">
        <v>328</v>
      </c>
      <c r="DX380" s="15"/>
      <c r="DY380" s="15"/>
      <c r="DZ380" s="15"/>
      <c r="EA380" s="15"/>
      <c r="EB380" s="15"/>
      <c r="EC380" s="102"/>
      <c r="ED380" s="99"/>
    </row>
    <row r="381" spans="1:134" x14ac:dyDescent="0.25">
      <c r="A381" s="51" t="s">
        <v>1378</v>
      </c>
      <c r="B381" s="103" t="s">
        <v>1604</v>
      </c>
      <c r="C381" s="15" t="s">
        <v>328</v>
      </c>
      <c r="D381" s="15"/>
      <c r="E381" s="15">
        <v>63</v>
      </c>
      <c r="F381" s="15" t="s">
        <v>329</v>
      </c>
      <c r="G381" s="15" t="s">
        <v>357</v>
      </c>
      <c r="H381" s="15" t="s">
        <v>1596</v>
      </c>
      <c r="I381" s="15" t="s">
        <v>1597</v>
      </c>
      <c r="J381" s="15" t="s">
        <v>1281</v>
      </c>
      <c r="K381" s="15">
        <v>29</v>
      </c>
      <c r="L381" s="15">
        <v>1</v>
      </c>
      <c r="M381" s="15"/>
      <c r="N381" s="15"/>
      <c r="O381" s="15"/>
      <c r="P381" s="15"/>
      <c r="Q381" s="15"/>
      <c r="R381" s="15"/>
      <c r="S381" s="15"/>
      <c r="T381" s="15"/>
      <c r="U381" s="15"/>
      <c r="V381" s="15">
        <v>1</v>
      </c>
      <c r="W381" s="15"/>
      <c r="X381" s="15"/>
      <c r="Y381" s="15"/>
      <c r="Z381" s="15"/>
      <c r="AA381" s="15"/>
      <c r="AB381" s="15"/>
      <c r="AC381" s="15"/>
      <c r="AD381" s="15"/>
      <c r="AE381" s="15" t="s">
        <v>328</v>
      </c>
      <c r="AF381" s="15"/>
      <c r="AG381" s="15"/>
      <c r="AH381" s="15"/>
      <c r="AI381" s="15" t="s">
        <v>692</v>
      </c>
      <c r="AJ381" s="15"/>
      <c r="AK381" s="15" t="s">
        <v>328</v>
      </c>
      <c r="AL381" s="15"/>
      <c r="AM381" s="15" t="s">
        <v>328</v>
      </c>
      <c r="AN381" s="15"/>
      <c r="AO381" s="15" t="s">
        <v>328</v>
      </c>
      <c r="AP381" s="15">
        <v>10</v>
      </c>
      <c r="AQ381" s="15">
        <v>8</v>
      </c>
      <c r="AR381" s="15"/>
      <c r="AS381" s="15"/>
      <c r="AT381" s="15"/>
      <c r="AU381" s="15" t="s">
        <v>328</v>
      </c>
      <c r="AV381" s="15">
        <v>2</v>
      </c>
      <c r="AW381" s="15">
        <v>1</v>
      </c>
      <c r="AX381" s="15">
        <v>3</v>
      </c>
      <c r="AY381" s="15"/>
      <c r="AZ381" s="15" t="s">
        <v>328</v>
      </c>
      <c r="BA381" s="15"/>
      <c r="BB381" s="15" t="s">
        <v>328</v>
      </c>
      <c r="BC381" s="15"/>
      <c r="BD381" s="15"/>
      <c r="BE381" s="15"/>
      <c r="BF381" s="15"/>
      <c r="BG381" s="15"/>
      <c r="BH381" s="15"/>
      <c r="BI381" s="15"/>
      <c r="BJ381" s="15" t="s">
        <v>328</v>
      </c>
      <c r="BK381" s="15"/>
      <c r="BL381" s="15"/>
      <c r="BM381" s="15" t="s">
        <v>328</v>
      </c>
      <c r="BN381" s="15" t="s">
        <v>328</v>
      </c>
      <c r="BO381" s="15"/>
      <c r="BP381" s="15"/>
      <c r="BQ381" s="15"/>
      <c r="BR381" s="15"/>
      <c r="BS381" s="15"/>
      <c r="BT381" s="15"/>
      <c r="BU381" s="15" t="s">
        <v>328</v>
      </c>
      <c r="BV381" s="15"/>
      <c r="BW381" s="15"/>
      <c r="BX381" s="15"/>
      <c r="BY381" s="15"/>
      <c r="BZ381" s="15"/>
      <c r="CA381" s="15"/>
      <c r="CB381" s="15"/>
      <c r="CC381" s="15"/>
      <c r="CD381" s="15"/>
      <c r="CE381" s="15" t="s">
        <v>328</v>
      </c>
      <c r="CF381" s="15"/>
      <c r="CG381" s="15"/>
      <c r="CH381" s="15"/>
      <c r="CI381" s="15" t="s">
        <v>328</v>
      </c>
      <c r="CJ381" s="15"/>
      <c r="CK381" s="15"/>
      <c r="CL381" s="15">
        <v>4</v>
      </c>
      <c r="CM381" s="15">
        <v>5</v>
      </c>
      <c r="CN381" s="15">
        <v>3</v>
      </c>
      <c r="CO381" s="15">
        <v>2</v>
      </c>
      <c r="CP381" s="15">
        <v>6</v>
      </c>
      <c r="CQ381" s="15">
        <v>1</v>
      </c>
      <c r="CR381" s="15" t="s">
        <v>328</v>
      </c>
      <c r="CS381" s="15"/>
      <c r="CT381" s="15"/>
      <c r="CU381" s="15"/>
      <c r="CV381" s="15"/>
      <c r="CW381" s="15"/>
      <c r="CX381" s="15"/>
      <c r="CY381" s="15"/>
      <c r="CZ381" s="15"/>
      <c r="DA381" s="15">
        <v>2</v>
      </c>
      <c r="DB381" s="15"/>
      <c r="DC381" s="15"/>
      <c r="DD381" s="15">
        <v>4</v>
      </c>
      <c r="DE381" s="15">
        <v>1</v>
      </c>
      <c r="DF381" s="15">
        <v>3</v>
      </c>
      <c r="DG381" s="15"/>
      <c r="DH381" s="15" t="s">
        <v>328</v>
      </c>
      <c r="DI381" s="15"/>
      <c r="DJ381" s="15"/>
      <c r="DK381" s="15"/>
      <c r="DL381" s="15"/>
      <c r="DM381" s="15"/>
      <c r="DN381" s="15"/>
      <c r="DO381" s="15" t="s">
        <v>328</v>
      </c>
      <c r="DP381" s="15"/>
      <c r="DQ381" s="15"/>
      <c r="DR381" s="15"/>
      <c r="DS381" s="15"/>
      <c r="DT381" s="15"/>
      <c r="DU381" s="15"/>
      <c r="DV381" s="15"/>
      <c r="DW381" s="15" t="s">
        <v>328</v>
      </c>
      <c r="DX381" s="15"/>
      <c r="DY381" s="15"/>
      <c r="DZ381" s="15"/>
      <c r="EA381" s="15"/>
      <c r="EB381" s="15"/>
      <c r="EC381" s="102"/>
      <c r="ED381" s="99"/>
    </row>
    <row r="382" spans="1:134" x14ac:dyDescent="0.25">
      <c r="A382" s="52" t="s">
        <v>1857</v>
      </c>
      <c r="B382" s="103" t="s">
        <v>1605</v>
      </c>
      <c r="C382" s="14" t="s">
        <v>328</v>
      </c>
      <c r="D382" s="14"/>
      <c r="E382" s="14">
        <v>38</v>
      </c>
      <c r="F382" s="14" t="s">
        <v>329</v>
      </c>
      <c r="G382" s="14" t="s">
        <v>355</v>
      </c>
      <c r="H382" s="8" t="s">
        <v>1606</v>
      </c>
      <c r="I382" s="14" t="s">
        <v>1607</v>
      </c>
      <c r="J382" s="14" t="s">
        <v>1256</v>
      </c>
      <c r="K382" s="14">
        <v>15</v>
      </c>
      <c r="L382" s="14">
        <v>3</v>
      </c>
      <c r="M382" s="14"/>
      <c r="N382" s="14"/>
      <c r="O382" s="14"/>
      <c r="P382" s="14"/>
      <c r="Q382" s="14"/>
      <c r="R382" s="14"/>
      <c r="S382" s="14"/>
      <c r="T382" s="14">
        <v>6</v>
      </c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5" t="s">
        <v>1165</v>
      </c>
      <c r="AJ382" s="14" t="s">
        <v>328</v>
      </c>
      <c r="AK382" s="14"/>
      <c r="AL382" s="14" t="s">
        <v>328</v>
      </c>
      <c r="AM382" s="14" t="s">
        <v>328</v>
      </c>
      <c r="AN382" s="14"/>
      <c r="AO382" s="14" t="s">
        <v>328</v>
      </c>
      <c r="AP382" s="14">
        <v>10</v>
      </c>
      <c r="AQ382" s="14">
        <v>7</v>
      </c>
      <c r="AR382" s="14"/>
      <c r="AS382" s="14"/>
      <c r="AT382" s="14"/>
      <c r="AU382" s="14" t="s">
        <v>328</v>
      </c>
      <c r="AV382" s="14">
        <v>4</v>
      </c>
      <c r="AW382" s="14">
        <v>3</v>
      </c>
      <c r="AX382" s="14">
        <v>2</v>
      </c>
      <c r="AY382" s="14" t="s">
        <v>346</v>
      </c>
      <c r="AZ382" s="14"/>
      <c r="BA382" s="14" t="s">
        <v>328</v>
      </c>
      <c r="BB382" s="14"/>
      <c r="BC382" s="14"/>
      <c r="BD382" s="14"/>
      <c r="BE382" s="14" t="s">
        <v>328</v>
      </c>
      <c r="BF382" s="14"/>
      <c r="BG382" s="14"/>
      <c r="BH382" s="14"/>
      <c r="BI382" s="14"/>
      <c r="BJ382" s="14"/>
      <c r="BK382" s="14"/>
      <c r="BL382" s="14" t="s">
        <v>328</v>
      </c>
      <c r="BM382" s="14"/>
      <c r="BN382" s="14" t="s">
        <v>328</v>
      </c>
      <c r="BO382" s="14"/>
      <c r="BP382" s="14" t="s">
        <v>328</v>
      </c>
      <c r="BQ382" s="14"/>
      <c r="BR382" s="14"/>
      <c r="BS382" s="14"/>
      <c r="BT382" s="14" t="s">
        <v>328</v>
      </c>
      <c r="BU382" s="14" t="s">
        <v>328</v>
      </c>
      <c r="BV382" s="14"/>
      <c r="BW382" s="14"/>
      <c r="BX382" s="14" t="s">
        <v>328</v>
      </c>
      <c r="BY382" s="14"/>
      <c r="BZ382" s="14"/>
      <c r="CA382" s="14" t="s">
        <v>328</v>
      </c>
      <c r="CB382" s="14"/>
      <c r="CC382" s="14"/>
      <c r="CD382" s="14"/>
      <c r="CE382" s="14"/>
      <c r="CF382" s="14"/>
      <c r="CG382" s="14" t="s">
        <v>328</v>
      </c>
      <c r="CH382" s="14"/>
      <c r="CI382" s="14"/>
      <c r="CJ382" s="14"/>
      <c r="CK382" s="14"/>
      <c r="CL382" s="14">
        <v>1</v>
      </c>
      <c r="CM382" s="14">
        <v>4</v>
      </c>
      <c r="CN382" s="14">
        <v>2</v>
      </c>
      <c r="CO382" s="14">
        <v>3</v>
      </c>
      <c r="CP382" s="14">
        <v>5</v>
      </c>
      <c r="CQ382" s="14">
        <v>6</v>
      </c>
      <c r="CR382" s="14"/>
      <c r="CS382" s="14"/>
      <c r="CT382" s="14"/>
      <c r="CU382" s="14"/>
      <c r="CV382" s="14"/>
      <c r="CW382" s="14"/>
      <c r="CX382" s="14" t="s">
        <v>332</v>
      </c>
      <c r="CY382" s="14"/>
      <c r="CZ382" s="14"/>
      <c r="DA382" s="14">
        <v>1</v>
      </c>
      <c r="DB382" s="14">
        <v>6</v>
      </c>
      <c r="DC382" s="14">
        <v>4</v>
      </c>
      <c r="DD382" s="14">
        <v>5</v>
      </c>
      <c r="DE382" s="14">
        <v>2</v>
      </c>
      <c r="DF382" s="14">
        <v>3</v>
      </c>
      <c r="DG382" s="14"/>
      <c r="DH382" s="14" t="s">
        <v>328</v>
      </c>
      <c r="DI382" s="14"/>
      <c r="DJ382" s="14"/>
      <c r="DK382" s="14"/>
      <c r="DL382" s="14"/>
      <c r="DM382" s="14"/>
      <c r="DN382" s="14" t="s">
        <v>333</v>
      </c>
      <c r="DO382" s="14"/>
      <c r="DP382" s="14" t="s">
        <v>328</v>
      </c>
      <c r="DQ382" s="14" t="s">
        <v>328</v>
      </c>
      <c r="DR382" s="14" t="s">
        <v>354</v>
      </c>
      <c r="DS382" s="14"/>
      <c r="DT382" s="14"/>
      <c r="DU382" s="14" t="s">
        <v>335</v>
      </c>
      <c r="DV382" s="14" t="s">
        <v>336</v>
      </c>
      <c r="DW382" s="14" t="s">
        <v>328</v>
      </c>
      <c r="DX382" s="14"/>
      <c r="DY382" s="14"/>
      <c r="DZ382" s="14"/>
      <c r="EA382" s="14"/>
      <c r="EB382" s="14"/>
      <c r="EC382" s="101" t="s">
        <v>333</v>
      </c>
      <c r="ED382" s="99"/>
    </row>
    <row r="383" spans="1:134" x14ac:dyDescent="0.25">
      <c r="A383" s="52" t="s">
        <v>1857</v>
      </c>
      <c r="B383" s="103" t="s">
        <v>1608</v>
      </c>
      <c r="C383" s="15" t="s">
        <v>328</v>
      </c>
      <c r="D383" s="15"/>
      <c r="E383" s="15">
        <v>33</v>
      </c>
      <c r="F383" s="15" t="s">
        <v>329</v>
      </c>
      <c r="G383" s="15" t="s">
        <v>357</v>
      </c>
      <c r="H383" s="15" t="s">
        <v>1609</v>
      </c>
      <c r="I383" s="15" t="s">
        <v>1610</v>
      </c>
      <c r="J383" s="15" t="s">
        <v>1256</v>
      </c>
      <c r="K383" s="15">
        <v>16</v>
      </c>
      <c r="L383" s="15">
        <v>2</v>
      </c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>
        <v>1</v>
      </c>
      <c r="Y383" s="15"/>
      <c r="Z383" s="15" t="s">
        <v>328</v>
      </c>
      <c r="AA383" s="15"/>
      <c r="AB383" s="15"/>
      <c r="AC383" s="15"/>
      <c r="AD383" s="15"/>
      <c r="AE383" s="15" t="s">
        <v>328</v>
      </c>
      <c r="AF383" s="15"/>
      <c r="AG383" s="15"/>
      <c r="AH383" s="15"/>
      <c r="AI383" s="15"/>
      <c r="AJ383" s="15"/>
      <c r="AK383" s="15" t="s">
        <v>328</v>
      </c>
      <c r="AL383" s="15"/>
      <c r="AM383" s="15"/>
      <c r="AN383" s="15"/>
      <c r="AO383" s="15" t="s">
        <v>328</v>
      </c>
      <c r="AP383" s="15">
        <v>10</v>
      </c>
      <c r="AQ383" s="15">
        <v>4</v>
      </c>
      <c r="AR383" s="15"/>
      <c r="AS383" s="15" t="s">
        <v>328</v>
      </c>
      <c r="AT383" s="15"/>
      <c r="AU383" s="15"/>
      <c r="AV383" s="15">
        <v>3</v>
      </c>
      <c r="AW383" s="15">
        <v>2</v>
      </c>
      <c r="AX383" s="15">
        <v>1</v>
      </c>
      <c r="AY383" s="15"/>
      <c r="AZ383" s="15" t="s">
        <v>328</v>
      </c>
      <c r="BA383" s="15"/>
      <c r="BB383" s="15" t="s">
        <v>328</v>
      </c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 t="s">
        <v>328</v>
      </c>
      <c r="BN383" s="15"/>
      <c r="BO383" s="15" t="s">
        <v>328</v>
      </c>
      <c r="BP383" s="15"/>
      <c r="BQ383" s="15"/>
      <c r="BR383" s="15"/>
      <c r="BS383" s="15"/>
      <c r="BT383" s="15"/>
      <c r="BU383" s="15" t="s">
        <v>328</v>
      </c>
      <c r="BV383" s="15"/>
      <c r="BW383" s="15"/>
      <c r="BX383" s="15"/>
      <c r="BY383" s="15"/>
      <c r="BZ383" s="15"/>
      <c r="CA383" s="15"/>
      <c r="CB383" s="15" t="s">
        <v>328</v>
      </c>
      <c r="CC383" s="15"/>
      <c r="CD383" s="15"/>
      <c r="CE383" s="15" t="s">
        <v>328</v>
      </c>
      <c r="CF383" s="15"/>
      <c r="CG383" s="15"/>
      <c r="CH383" s="15" t="s">
        <v>328</v>
      </c>
      <c r="CI383" s="15"/>
      <c r="CJ383" s="15"/>
      <c r="CK383" s="15"/>
      <c r="CL383" s="15">
        <v>6</v>
      </c>
      <c r="CM383" s="15">
        <v>2</v>
      </c>
      <c r="CN383" s="15">
        <v>1</v>
      </c>
      <c r="CO383" s="15">
        <v>3</v>
      </c>
      <c r="CP383" s="15">
        <v>4</v>
      </c>
      <c r="CQ383" s="15">
        <v>5</v>
      </c>
      <c r="CR383" s="15"/>
      <c r="CS383" s="15"/>
      <c r="CT383" s="15"/>
      <c r="CU383" s="15"/>
      <c r="CV383" s="15"/>
      <c r="CW383" s="15"/>
      <c r="CX383" s="15" t="s">
        <v>332</v>
      </c>
      <c r="CY383" s="15"/>
      <c r="CZ383" s="15"/>
      <c r="DA383" s="15">
        <v>1</v>
      </c>
      <c r="DB383" s="15">
        <v>3</v>
      </c>
      <c r="DC383" s="15">
        <v>2</v>
      </c>
      <c r="DD383" s="15">
        <v>4</v>
      </c>
      <c r="DE383" s="15">
        <v>6</v>
      </c>
      <c r="DF383" s="15">
        <v>5</v>
      </c>
      <c r="DG383" s="15"/>
      <c r="DH383" s="15" t="s">
        <v>328</v>
      </c>
      <c r="DI383" s="15"/>
      <c r="DJ383" s="15"/>
      <c r="DK383" s="15"/>
      <c r="DL383" s="15"/>
      <c r="DM383" s="15"/>
      <c r="DN383" s="14"/>
      <c r="DO383" s="15" t="s">
        <v>328</v>
      </c>
      <c r="DP383" s="15"/>
      <c r="DQ383" s="15"/>
      <c r="DR383" s="15"/>
      <c r="DS383" s="15"/>
      <c r="DT383" s="15"/>
      <c r="DU383" s="15"/>
      <c r="DV383" s="15"/>
      <c r="DW383" s="15" t="s">
        <v>328</v>
      </c>
      <c r="DX383" s="15"/>
      <c r="DY383" s="15"/>
      <c r="DZ383" s="15"/>
      <c r="EA383" s="15"/>
      <c r="EB383" s="15"/>
      <c r="EC383" s="102"/>
      <c r="ED383" s="99"/>
    </row>
    <row r="384" spans="1:134" x14ac:dyDescent="0.25">
      <c r="A384" s="52" t="s">
        <v>1857</v>
      </c>
      <c r="B384" s="103" t="s">
        <v>1611</v>
      </c>
      <c r="C384" s="15" t="s">
        <v>328</v>
      </c>
      <c r="D384" s="15"/>
      <c r="E384" s="15">
        <v>30</v>
      </c>
      <c r="F384" s="15" t="s">
        <v>329</v>
      </c>
      <c r="G384" s="15" t="s">
        <v>399</v>
      </c>
      <c r="H384" s="8" t="s">
        <v>1612</v>
      </c>
      <c r="I384" s="14" t="s">
        <v>1632</v>
      </c>
      <c r="J384" s="14" t="s">
        <v>1256</v>
      </c>
      <c r="K384" s="15">
        <v>8</v>
      </c>
      <c r="L384" s="15">
        <v>1</v>
      </c>
      <c r="M384" s="15">
        <v>1</v>
      </c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 t="s">
        <v>328</v>
      </c>
      <c r="AA384" s="15" t="s">
        <v>328</v>
      </c>
      <c r="AB384" s="15"/>
      <c r="AC384" s="15"/>
      <c r="AD384" s="15"/>
      <c r="AE384" s="15" t="s">
        <v>328</v>
      </c>
      <c r="AF384" s="15"/>
      <c r="AG384" s="15"/>
      <c r="AH384" s="15"/>
      <c r="AI384" s="15"/>
      <c r="AJ384" s="15"/>
      <c r="AK384" s="15" t="s">
        <v>328</v>
      </c>
      <c r="AL384" s="14" t="s">
        <v>328</v>
      </c>
      <c r="AM384" s="15"/>
      <c r="AN384" s="15"/>
      <c r="AO384" s="15"/>
      <c r="AP384" s="15">
        <v>10</v>
      </c>
      <c r="AQ384" s="15">
        <v>3</v>
      </c>
      <c r="AR384" s="15"/>
      <c r="AS384" s="15"/>
      <c r="AT384" s="15" t="s">
        <v>328</v>
      </c>
      <c r="AU384" s="15"/>
      <c r="AV384" s="15">
        <v>4</v>
      </c>
      <c r="AW384" s="15">
        <v>3</v>
      </c>
      <c r="AX384" s="15">
        <v>2</v>
      </c>
      <c r="AY384" s="15" t="s">
        <v>346</v>
      </c>
      <c r="AZ384" s="15" t="s">
        <v>328</v>
      </c>
      <c r="BA384" s="15"/>
      <c r="BB384" s="15" t="s">
        <v>328</v>
      </c>
      <c r="BC384" s="15"/>
      <c r="BD384" s="15"/>
      <c r="BE384" s="15"/>
      <c r="BF384" s="15"/>
      <c r="BG384" s="15"/>
      <c r="BH384" s="15"/>
      <c r="BI384" s="15" t="s">
        <v>328</v>
      </c>
      <c r="BJ384" s="15"/>
      <c r="BK384" s="15"/>
      <c r="BL384" s="15"/>
      <c r="BM384" s="15" t="s">
        <v>328</v>
      </c>
      <c r="BN384" s="15" t="s">
        <v>328</v>
      </c>
      <c r="BO384" s="15"/>
      <c r="BP384" s="15" t="s">
        <v>328</v>
      </c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 t="s">
        <v>332</v>
      </c>
      <c r="CG384" s="15" t="s">
        <v>328</v>
      </c>
      <c r="CH384" s="15"/>
      <c r="CI384" s="15"/>
      <c r="CJ384" s="15"/>
      <c r="CK384" s="15"/>
      <c r="CL384" s="15">
        <v>1</v>
      </c>
      <c r="CM384" s="15">
        <v>5</v>
      </c>
      <c r="CN384" s="15">
        <v>2</v>
      </c>
      <c r="CO384" s="15">
        <v>4</v>
      </c>
      <c r="CP384" s="15">
        <v>6</v>
      </c>
      <c r="CQ384" s="15">
        <v>3</v>
      </c>
      <c r="CR384" s="15"/>
      <c r="CS384" s="15"/>
      <c r="CT384" s="15"/>
      <c r="CU384" s="15"/>
      <c r="CV384" s="15" t="s">
        <v>328</v>
      </c>
      <c r="CW384" s="15"/>
      <c r="CX384" s="15"/>
      <c r="CY384" s="15" t="s">
        <v>328</v>
      </c>
      <c r="CZ384" s="15" t="s">
        <v>404</v>
      </c>
      <c r="DA384" s="15"/>
      <c r="DB384" s="15"/>
      <c r="DC384" s="15"/>
      <c r="DD384" s="15"/>
      <c r="DE384" s="15"/>
      <c r="DF384" s="15"/>
      <c r="DG384" s="15"/>
      <c r="DH384" s="15" t="s">
        <v>328</v>
      </c>
      <c r="DI384" s="15"/>
      <c r="DJ384" s="15"/>
      <c r="DK384" s="15"/>
      <c r="DL384" s="15"/>
      <c r="DM384" s="15"/>
      <c r="DN384" s="14" t="s">
        <v>333</v>
      </c>
      <c r="DO384" s="15"/>
      <c r="DP384" s="15" t="s">
        <v>328</v>
      </c>
      <c r="DQ384" s="15" t="s">
        <v>328</v>
      </c>
      <c r="DR384" s="15" t="s">
        <v>437</v>
      </c>
      <c r="DS384" s="15"/>
      <c r="DT384" s="15"/>
      <c r="DU384" s="15" t="s">
        <v>410</v>
      </c>
      <c r="DV384" s="14" t="s">
        <v>625</v>
      </c>
      <c r="DW384" s="15" t="s">
        <v>328</v>
      </c>
      <c r="DX384" s="15"/>
      <c r="DY384" s="15"/>
      <c r="DZ384" s="15"/>
      <c r="EA384" s="15"/>
      <c r="EB384" s="15"/>
      <c r="EC384" s="102" t="s">
        <v>1155</v>
      </c>
      <c r="ED384" s="99"/>
    </row>
    <row r="385" spans="1:134" x14ac:dyDescent="0.25">
      <c r="A385" s="52" t="s">
        <v>1857</v>
      </c>
      <c r="B385" s="103" t="s">
        <v>1613</v>
      </c>
      <c r="C385" s="14" t="s">
        <v>328</v>
      </c>
      <c r="D385" s="14"/>
      <c r="E385" s="14">
        <v>50</v>
      </c>
      <c r="F385" s="14" t="s">
        <v>329</v>
      </c>
      <c r="G385" s="14" t="s">
        <v>399</v>
      </c>
      <c r="H385" s="14" t="s">
        <v>1614</v>
      </c>
      <c r="I385" s="14" t="s">
        <v>1615</v>
      </c>
      <c r="J385" s="14" t="s">
        <v>1256</v>
      </c>
      <c r="K385" s="14">
        <v>30</v>
      </c>
      <c r="L385" s="14">
        <v>5</v>
      </c>
      <c r="M385" s="14"/>
      <c r="N385" s="14"/>
      <c r="O385" s="14"/>
      <c r="P385" s="14"/>
      <c r="Q385" s="14">
        <v>5</v>
      </c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 t="s">
        <v>328</v>
      </c>
      <c r="AI385" s="14"/>
      <c r="AJ385" s="14" t="s">
        <v>328</v>
      </c>
      <c r="AK385" s="14"/>
      <c r="AL385" s="14"/>
      <c r="AM385" s="14"/>
      <c r="AN385" s="14"/>
      <c r="AO385" s="14" t="s">
        <v>328</v>
      </c>
      <c r="AP385" s="14">
        <v>10</v>
      </c>
      <c r="AQ385" s="14">
        <v>4</v>
      </c>
      <c r="AR385" s="14"/>
      <c r="AS385" s="14" t="s">
        <v>328</v>
      </c>
      <c r="AT385" s="14"/>
      <c r="AU385" s="14"/>
      <c r="AV385" s="14">
        <v>1</v>
      </c>
      <c r="AW385" s="14">
        <v>3</v>
      </c>
      <c r="AX385" s="14">
        <v>2</v>
      </c>
      <c r="AY385" s="14"/>
      <c r="AZ385" s="14"/>
      <c r="BA385" s="14" t="s">
        <v>328</v>
      </c>
      <c r="BB385" s="14" t="s">
        <v>328</v>
      </c>
      <c r="BC385" s="14"/>
      <c r="BD385" s="14"/>
      <c r="BE385" s="14" t="s">
        <v>328</v>
      </c>
      <c r="BF385" s="14"/>
      <c r="BG385" s="14"/>
      <c r="BH385" s="14"/>
      <c r="BI385" s="14"/>
      <c r="BJ385" s="14"/>
      <c r="BK385" s="14"/>
      <c r="BL385" s="14" t="s">
        <v>328</v>
      </c>
      <c r="BM385" s="14"/>
      <c r="BN385" s="14" t="s">
        <v>328</v>
      </c>
      <c r="BO385" s="14"/>
      <c r="BP385" s="14" t="s">
        <v>328</v>
      </c>
      <c r="BQ385" s="14"/>
      <c r="BR385" s="14"/>
      <c r="BS385" s="14"/>
      <c r="BT385" s="14" t="s">
        <v>328</v>
      </c>
      <c r="BU385" s="14"/>
      <c r="BV385" s="14"/>
      <c r="BW385" s="14"/>
      <c r="BX385" s="14" t="s">
        <v>328</v>
      </c>
      <c r="BY385" s="14"/>
      <c r="BZ385" s="14" t="s">
        <v>328</v>
      </c>
      <c r="CA385" s="14" t="s">
        <v>328</v>
      </c>
      <c r="CB385" s="14"/>
      <c r="CC385" s="14"/>
      <c r="CD385" s="14"/>
      <c r="CE385" s="14"/>
      <c r="CF385" s="14"/>
      <c r="CG385" s="14" t="s">
        <v>328</v>
      </c>
      <c r="CH385" s="14"/>
      <c r="CI385" s="14"/>
      <c r="CJ385" s="14"/>
      <c r="CK385" s="14"/>
      <c r="CL385" s="14">
        <v>3</v>
      </c>
      <c r="CM385" s="14">
        <v>2</v>
      </c>
      <c r="CN385" s="14">
        <v>4</v>
      </c>
      <c r="CO385" s="14">
        <v>5</v>
      </c>
      <c r="CP385" s="14">
        <v>6</v>
      </c>
      <c r="CQ385" s="14">
        <v>1</v>
      </c>
      <c r="CR385" s="14"/>
      <c r="CS385" s="14" t="s">
        <v>328</v>
      </c>
      <c r="CT385" s="14" t="s">
        <v>328</v>
      </c>
      <c r="CU385" s="14"/>
      <c r="CV385" s="14" t="s">
        <v>328</v>
      </c>
      <c r="CW385" s="14"/>
      <c r="CX385" s="14"/>
      <c r="CY385" s="14"/>
      <c r="CZ385" s="14"/>
      <c r="DA385" s="14">
        <v>2</v>
      </c>
      <c r="DB385" s="14">
        <v>6</v>
      </c>
      <c r="DC385" s="14">
        <v>5</v>
      </c>
      <c r="DD385" s="14">
        <v>3</v>
      </c>
      <c r="DE385" s="14">
        <v>1</v>
      </c>
      <c r="DF385" s="14">
        <v>4</v>
      </c>
      <c r="DG385" s="14"/>
      <c r="DH385" s="14"/>
      <c r="DI385" s="14" t="s">
        <v>328</v>
      </c>
      <c r="DJ385" s="14" t="s">
        <v>328</v>
      </c>
      <c r="DK385" s="14" t="s">
        <v>387</v>
      </c>
      <c r="DL385" s="14"/>
      <c r="DM385" s="14" t="s">
        <v>396</v>
      </c>
      <c r="DN385" s="14" t="s">
        <v>389</v>
      </c>
      <c r="DO385" s="14"/>
      <c r="DP385" s="14" t="s">
        <v>328</v>
      </c>
      <c r="DQ385" s="14" t="s">
        <v>328</v>
      </c>
      <c r="DR385" s="14" t="s">
        <v>397</v>
      </c>
      <c r="DS385" s="14"/>
      <c r="DT385" s="14"/>
      <c r="DU385" s="14" t="s">
        <v>335</v>
      </c>
      <c r="DV385" s="14" t="s">
        <v>336</v>
      </c>
      <c r="DW385" s="14"/>
      <c r="DX385" s="14" t="s">
        <v>328</v>
      </c>
      <c r="DY385" s="14" t="s">
        <v>328</v>
      </c>
      <c r="DZ385" s="14" t="s">
        <v>397</v>
      </c>
      <c r="EA385" s="14"/>
      <c r="EB385" s="14" t="s">
        <v>398</v>
      </c>
      <c r="EC385" s="102" t="s">
        <v>1145</v>
      </c>
      <c r="ED385" s="99" t="s">
        <v>395</v>
      </c>
    </row>
    <row r="386" spans="1:134" x14ac:dyDescent="0.25">
      <c r="A386" s="52" t="s">
        <v>1857</v>
      </c>
      <c r="B386" s="103" t="s">
        <v>1616</v>
      </c>
      <c r="C386" s="15" t="s">
        <v>328</v>
      </c>
      <c r="D386" s="15"/>
      <c r="E386" s="15">
        <v>53</v>
      </c>
      <c r="F386" s="15" t="s">
        <v>329</v>
      </c>
      <c r="G386" s="15" t="s">
        <v>357</v>
      </c>
      <c r="H386" s="14" t="s">
        <v>1617</v>
      </c>
      <c r="I386" s="14" t="s">
        <v>1264</v>
      </c>
      <c r="J386" s="14" t="s">
        <v>1256</v>
      </c>
      <c r="K386" s="15">
        <v>23</v>
      </c>
      <c r="L386" s="15">
        <v>5</v>
      </c>
      <c r="M386" s="15">
        <v>2</v>
      </c>
      <c r="N386" s="15"/>
      <c r="O386" s="15">
        <v>6</v>
      </c>
      <c r="P386" s="15">
        <v>2</v>
      </c>
      <c r="Q386" s="15">
        <v>1</v>
      </c>
      <c r="R386" s="15"/>
      <c r="S386" s="15"/>
      <c r="T386" s="15"/>
      <c r="U386" s="15"/>
      <c r="V386" s="15"/>
      <c r="W386" s="15"/>
      <c r="X386" s="15"/>
      <c r="Y386" s="15"/>
      <c r="Z386" s="15" t="s">
        <v>328</v>
      </c>
      <c r="AA386" s="15"/>
      <c r="AB386" s="15" t="s">
        <v>328</v>
      </c>
      <c r="AC386" s="15"/>
      <c r="AD386" s="15"/>
      <c r="AE386" s="15" t="s">
        <v>328</v>
      </c>
      <c r="AF386" s="15"/>
      <c r="AG386" s="15" t="s">
        <v>328</v>
      </c>
      <c r="AH386" s="15"/>
      <c r="AI386" s="15"/>
      <c r="AJ386" s="15" t="s">
        <v>328</v>
      </c>
      <c r="AK386" s="15"/>
      <c r="AL386" s="15"/>
      <c r="AM386" s="14" t="s">
        <v>328</v>
      </c>
      <c r="AN386" s="15"/>
      <c r="AO386" s="15" t="s">
        <v>328</v>
      </c>
      <c r="AP386" s="15">
        <v>8</v>
      </c>
      <c r="AQ386" s="15">
        <v>6</v>
      </c>
      <c r="AR386" s="15"/>
      <c r="AS386" s="15"/>
      <c r="AT386" s="15"/>
      <c r="AU386" s="15" t="s">
        <v>328</v>
      </c>
      <c r="AV386" s="15">
        <v>2</v>
      </c>
      <c r="AW386" s="15">
        <v>3</v>
      </c>
      <c r="AX386" s="15">
        <v>4</v>
      </c>
      <c r="AY386" s="15" t="s">
        <v>346</v>
      </c>
      <c r="AZ386" s="15"/>
      <c r="BA386" s="15" t="s">
        <v>328</v>
      </c>
      <c r="BB386" s="15" t="s">
        <v>328</v>
      </c>
      <c r="BC386" s="15"/>
      <c r="BD386" s="15" t="s">
        <v>328</v>
      </c>
      <c r="BE386" s="15"/>
      <c r="BF386" s="15"/>
      <c r="BG386" s="15"/>
      <c r="BH386" s="15"/>
      <c r="BI386" s="15" t="s">
        <v>328</v>
      </c>
      <c r="BJ386" s="15"/>
      <c r="BK386" s="15"/>
      <c r="BL386" s="15" t="s">
        <v>328</v>
      </c>
      <c r="BM386" s="15"/>
      <c r="BN386" s="15" t="s">
        <v>328</v>
      </c>
      <c r="BO386" s="15"/>
      <c r="BP386" s="15" t="s">
        <v>328</v>
      </c>
      <c r="BQ386" s="15"/>
      <c r="BR386" s="15"/>
      <c r="BS386" s="15"/>
      <c r="BT386" s="15" t="s">
        <v>328</v>
      </c>
      <c r="BU386" s="15" t="s">
        <v>328</v>
      </c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 t="s">
        <v>332</v>
      </c>
      <c r="CG386" s="15" t="s">
        <v>328</v>
      </c>
      <c r="CH386" s="15"/>
      <c r="CI386" s="15" t="s">
        <v>328</v>
      </c>
      <c r="CJ386" s="15"/>
      <c r="CK386" s="15"/>
      <c r="CL386" s="15">
        <v>3</v>
      </c>
      <c r="CM386" s="15">
        <v>2</v>
      </c>
      <c r="CN386" s="15">
        <v>5</v>
      </c>
      <c r="CO386" s="15">
        <v>4</v>
      </c>
      <c r="CP386" s="15">
        <v>6</v>
      </c>
      <c r="CQ386" s="15">
        <v>1</v>
      </c>
      <c r="CR386" s="15" t="s">
        <v>328</v>
      </c>
      <c r="CS386" s="15" t="s">
        <v>328</v>
      </c>
      <c r="CT386" s="15"/>
      <c r="CU386" s="15"/>
      <c r="CV386" s="15" t="s">
        <v>328</v>
      </c>
      <c r="CW386" s="15"/>
      <c r="CX386" s="15"/>
      <c r="CY386" s="15" t="s">
        <v>328</v>
      </c>
      <c r="CZ386" s="15" t="s">
        <v>404</v>
      </c>
      <c r="DA386" s="15"/>
      <c r="DB386" s="15"/>
      <c r="DC386" s="15"/>
      <c r="DD386" s="15"/>
      <c r="DE386" s="15"/>
      <c r="DF386" s="15"/>
      <c r="DG386" s="15"/>
      <c r="DH386" s="15"/>
      <c r="DI386" s="15" t="s">
        <v>328</v>
      </c>
      <c r="DJ386" s="15" t="s">
        <v>328</v>
      </c>
      <c r="DK386" s="14" t="s">
        <v>397</v>
      </c>
      <c r="DL386" s="15"/>
      <c r="DM386" s="14" t="s">
        <v>432</v>
      </c>
      <c r="DN386" s="15" t="s">
        <v>411</v>
      </c>
      <c r="DO386" s="15"/>
      <c r="DP386" s="15" t="s">
        <v>328</v>
      </c>
      <c r="DQ386" s="15" t="s">
        <v>328</v>
      </c>
      <c r="DR386" s="15" t="s">
        <v>489</v>
      </c>
      <c r="DS386" s="15"/>
      <c r="DT386" s="15"/>
      <c r="DU386" s="15" t="s">
        <v>410</v>
      </c>
      <c r="DV386" s="15" t="s">
        <v>411</v>
      </c>
      <c r="DW386" s="15"/>
      <c r="DX386" s="15" t="s">
        <v>328</v>
      </c>
      <c r="DY386" s="15" t="s">
        <v>328</v>
      </c>
      <c r="DZ386" s="15" t="s">
        <v>397</v>
      </c>
      <c r="EA386" s="15"/>
      <c r="EB386" s="15" t="s">
        <v>432</v>
      </c>
      <c r="EC386" s="102" t="s">
        <v>333</v>
      </c>
      <c r="ED386" s="99"/>
    </row>
    <row r="387" spans="1:134" x14ac:dyDescent="0.25">
      <c r="A387" s="52" t="s">
        <v>1857</v>
      </c>
      <c r="B387" s="103" t="s">
        <v>1618</v>
      </c>
      <c r="C387" s="14" t="s">
        <v>328</v>
      </c>
      <c r="D387" s="14"/>
      <c r="E387" s="14">
        <v>41</v>
      </c>
      <c r="F387" s="14" t="s">
        <v>329</v>
      </c>
      <c r="G387" s="14" t="s">
        <v>399</v>
      </c>
      <c r="H387" s="14" t="s">
        <v>1619</v>
      </c>
      <c r="I387" s="14" t="s">
        <v>1620</v>
      </c>
      <c r="J387" s="14" t="s">
        <v>1256</v>
      </c>
      <c r="K387" s="14">
        <v>15</v>
      </c>
      <c r="L387" s="14">
        <v>3</v>
      </c>
      <c r="M387" s="14"/>
      <c r="N387" s="14"/>
      <c r="O387" s="14"/>
      <c r="P387" s="14"/>
      <c r="Q387" s="14">
        <v>3</v>
      </c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 t="s">
        <v>328</v>
      </c>
      <c r="AI387" s="14"/>
      <c r="AJ387" s="14" t="s">
        <v>328</v>
      </c>
      <c r="AK387" s="14"/>
      <c r="AL387" s="14"/>
      <c r="AM387" s="14"/>
      <c r="AN387" s="14"/>
      <c r="AO387" s="14" t="s">
        <v>328</v>
      </c>
      <c r="AP387" s="14">
        <v>10</v>
      </c>
      <c r="AQ387" s="14">
        <v>2</v>
      </c>
      <c r="AR387" s="14"/>
      <c r="AS387" s="14"/>
      <c r="AT387" s="14"/>
      <c r="AU387" s="14" t="s">
        <v>328</v>
      </c>
      <c r="AV387" s="14">
        <v>3</v>
      </c>
      <c r="AW387" s="14">
        <v>2</v>
      </c>
      <c r="AX387" s="14">
        <v>1</v>
      </c>
      <c r="AY387" s="14"/>
      <c r="AZ387" s="14"/>
      <c r="BA387" s="14" t="s">
        <v>328</v>
      </c>
      <c r="BB387" s="14"/>
      <c r="BC387" s="14" t="s">
        <v>328</v>
      </c>
      <c r="BD387" s="14"/>
      <c r="BE387" s="14" t="s">
        <v>328</v>
      </c>
      <c r="BF387" s="14"/>
      <c r="BG387" s="14"/>
      <c r="BH387" s="14"/>
      <c r="BI387" s="14"/>
      <c r="BJ387" s="14"/>
      <c r="BK387" s="14"/>
      <c r="BL387" s="14"/>
      <c r="BM387" s="14" t="s">
        <v>328</v>
      </c>
      <c r="BN387" s="14" t="s">
        <v>328</v>
      </c>
      <c r="BO387" s="14"/>
      <c r="BP387" s="14"/>
      <c r="BQ387" s="14"/>
      <c r="BR387" s="14"/>
      <c r="BS387" s="14"/>
      <c r="BT387" s="14" t="s">
        <v>328</v>
      </c>
      <c r="BU387" s="14" t="s">
        <v>328</v>
      </c>
      <c r="BV387" s="14"/>
      <c r="BW387" s="14"/>
      <c r="BX387" s="14"/>
      <c r="BY387" s="14"/>
      <c r="BZ387" s="14" t="s">
        <v>328</v>
      </c>
      <c r="CA387" s="14" t="s">
        <v>328</v>
      </c>
      <c r="CB387" s="14" t="s">
        <v>328</v>
      </c>
      <c r="CC387" s="14"/>
      <c r="CD387" s="14"/>
      <c r="CE387" s="14"/>
      <c r="CF387" s="14"/>
      <c r="CG387" s="14" t="s">
        <v>328</v>
      </c>
      <c r="CH387" s="14"/>
      <c r="CI387" s="14"/>
      <c r="CJ387" s="14"/>
      <c r="CK387" s="14" t="s">
        <v>328</v>
      </c>
      <c r="CL387" s="14">
        <v>1</v>
      </c>
      <c r="CM387" s="14">
        <v>5</v>
      </c>
      <c r="CN387" s="14">
        <v>6</v>
      </c>
      <c r="CO387" s="14">
        <v>3</v>
      </c>
      <c r="CP387" s="14">
        <v>4</v>
      </c>
      <c r="CQ387" s="14">
        <v>2</v>
      </c>
      <c r="CR387" s="14"/>
      <c r="CS387" s="14"/>
      <c r="CT387" s="14"/>
      <c r="CU387" s="14"/>
      <c r="CV387" s="14"/>
      <c r="CW387" s="14"/>
      <c r="CX387" s="14" t="s">
        <v>332</v>
      </c>
      <c r="CY387" s="14"/>
      <c r="CZ387" s="14"/>
      <c r="DA387" s="14">
        <v>1</v>
      </c>
      <c r="DB387" s="14">
        <v>2</v>
      </c>
      <c r="DC387" s="14">
        <v>6</v>
      </c>
      <c r="DD387" s="14">
        <v>3</v>
      </c>
      <c r="DE387" s="14">
        <v>5</v>
      </c>
      <c r="DF387" s="14">
        <v>4</v>
      </c>
      <c r="DG387" s="14"/>
      <c r="DH387" s="14" t="s">
        <v>328</v>
      </c>
      <c r="DI387" s="14"/>
      <c r="DJ387" s="14"/>
      <c r="DK387" s="14"/>
      <c r="DL387" s="14"/>
      <c r="DM387" s="14"/>
      <c r="DN387" s="14"/>
      <c r="DO387" s="14" t="s">
        <v>328</v>
      </c>
      <c r="DP387" s="14"/>
      <c r="DQ387" s="14"/>
      <c r="DR387" s="14"/>
      <c r="DS387" s="14"/>
      <c r="DT387" s="14"/>
      <c r="DU387" s="14"/>
      <c r="DV387" s="14"/>
      <c r="DW387" s="14" t="s">
        <v>328</v>
      </c>
      <c r="DX387" s="14"/>
      <c r="DY387" s="14"/>
      <c r="DZ387" s="14"/>
      <c r="EA387" s="14"/>
      <c r="EB387" s="14"/>
      <c r="EC387" s="101"/>
      <c r="ED387" s="99"/>
    </row>
    <row r="388" spans="1:134" x14ac:dyDescent="0.25">
      <c r="A388" s="52" t="s">
        <v>1857</v>
      </c>
      <c r="B388" s="103" t="s">
        <v>1621</v>
      </c>
      <c r="C388" s="15" t="s">
        <v>328</v>
      </c>
      <c r="D388" s="15"/>
      <c r="E388" s="15">
        <v>35</v>
      </c>
      <c r="F388" s="15" t="s">
        <v>329</v>
      </c>
      <c r="G388" s="15" t="s">
        <v>357</v>
      </c>
      <c r="H388" s="15" t="s">
        <v>1622</v>
      </c>
      <c r="I388" s="15" t="s">
        <v>1623</v>
      </c>
      <c r="J388" s="15" t="s">
        <v>1256</v>
      </c>
      <c r="K388" s="15">
        <v>10</v>
      </c>
      <c r="L388" s="15">
        <v>3</v>
      </c>
      <c r="M388" s="15">
        <v>2</v>
      </c>
      <c r="N388" s="15">
        <v>3</v>
      </c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 t="s">
        <v>328</v>
      </c>
      <c r="AA388" s="15" t="s">
        <v>328</v>
      </c>
      <c r="AB388" s="15"/>
      <c r="AC388" s="15"/>
      <c r="AD388" s="15"/>
      <c r="AE388" s="15"/>
      <c r="AF388" s="15"/>
      <c r="AG388" s="15"/>
      <c r="AH388" s="15"/>
      <c r="AI388" s="15"/>
      <c r="AJ388" s="15" t="s">
        <v>328</v>
      </c>
      <c r="AK388" s="15"/>
      <c r="AL388" s="15"/>
      <c r="AM388" s="15"/>
      <c r="AN388" s="15"/>
      <c r="AO388" s="15" t="s">
        <v>328</v>
      </c>
      <c r="AP388" s="15">
        <v>10</v>
      </c>
      <c r="AQ388" s="15">
        <v>4</v>
      </c>
      <c r="AR388" s="15"/>
      <c r="AS388" s="15"/>
      <c r="AT388" s="15"/>
      <c r="AU388" s="15" t="s">
        <v>328</v>
      </c>
      <c r="AV388" s="15">
        <v>2</v>
      </c>
      <c r="AW388" s="15">
        <v>1</v>
      </c>
      <c r="AX388" s="15">
        <v>3</v>
      </c>
      <c r="AY388" s="15"/>
      <c r="AZ388" s="15" t="s">
        <v>328</v>
      </c>
      <c r="BA388" s="15"/>
      <c r="BB388" s="15" t="s">
        <v>328</v>
      </c>
      <c r="BC388" s="15"/>
      <c r="BD388" s="15" t="s">
        <v>328</v>
      </c>
      <c r="BE388" s="15"/>
      <c r="BF388" s="15"/>
      <c r="BG388" s="15"/>
      <c r="BH388" s="15"/>
      <c r="BI388" s="15"/>
      <c r="BJ388" s="15"/>
      <c r="BK388" s="15"/>
      <c r="BL388" s="15"/>
      <c r="BM388" s="15" t="s">
        <v>328</v>
      </c>
      <c r="BN388" s="15" t="s">
        <v>328</v>
      </c>
      <c r="BO388" s="15"/>
      <c r="BP388" s="15" t="s">
        <v>328</v>
      </c>
      <c r="BQ388" s="15"/>
      <c r="BR388" s="15"/>
      <c r="BS388" s="15"/>
      <c r="BT388" s="15"/>
      <c r="BU388" s="15" t="s">
        <v>328</v>
      </c>
      <c r="BV388" s="15"/>
      <c r="BW388" s="15"/>
      <c r="BX388" s="15"/>
      <c r="BY388" s="15"/>
      <c r="BZ388" s="15" t="s">
        <v>328</v>
      </c>
      <c r="CA388" s="15" t="s">
        <v>328</v>
      </c>
      <c r="CB388" s="15"/>
      <c r="CC388" s="15"/>
      <c r="CD388" s="15"/>
      <c r="CE388" s="15"/>
      <c r="CF388" s="15"/>
      <c r="CG388" s="15" t="s">
        <v>328</v>
      </c>
      <c r="CH388" s="15"/>
      <c r="CI388" s="15" t="s">
        <v>328</v>
      </c>
      <c r="CJ388" s="15"/>
      <c r="CK388" s="15"/>
      <c r="CL388" s="15">
        <v>5</v>
      </c>
      <c r="CM388" s="15">
        <v>3</v>
      </c>
      <c r="CN388" s="15">
        <v>4</v>
      </c>
      <c r="CO388" s="15">
        <v>6</v>
      </c>
      <c r="CP388" s="15">
        <v>2</v>
      </c>
      <c r="CQ388" s="15">
        <v>1</v>
      </c>
      <c r="CR388" s="15" t="s">
        <v>328</v>
      </c>
      <c r="CS388" s="15"/>
      <c r="CT388" s="15"/>
      <c r="CU388" s="15"/>
      <c r="CV388" s="15" t="s">
        <v>328</v>
      </c>
      <c r="CW388" s="15"/>
      <c r="CX388" s="15"/>
      <c r="CY388" s="15"/>
      <c r="CZ388" s="15"/>
      <c r="DA388" s="15">
        <v>2</v>
      </c>
      <c r="DB388" s="15">
        <v>4</v>
      </c>
      <c r="DC388" s="15"/>
      <c r="DD388" s="15"/>
      <c r="DE388" s="15">
        <v>3</v>
      </c>
      <c r="DF388" s="15"/>
      <c r="DG388" s="15" t="s">
        <v>346</v>
      </c>
      <c r="DH388" s="15" t="s">
        <v>328</v>
      </c>
      <c r="DI388" s="15"/>
      <c r="DJ388" s="15"/>
      <c r="DK388" s="15"/>
      <c r="DL388" s="15"/>
      <c r="DM388" s="15"/>
      <c r="DN388" s="15"/>
      <c r="DO388" s="15" t="s">
        <v>328</v>
      </c>
      <c r="DP388" s="15"/>
      <c r="DQ388" s="15"/>
      <c r="DR388" s="15"/>
      <c r="DS388" s="15"/>
      <c r="DT388" s="15"/>
      <c r="DU388" s="15"/>
      <c r="DV388" s="15"/>
      <c r="DW388" s="15" t="s">
        <v>328</v>
      </c>
      <c r="DX388" s="15"/>
      <c r="DY388" s="15"/>
      <c r="DZ388" s="15"/>
      <c r="EA388" s="15"/>
      <c r="EB388" s="15"/>
      <c r="EC388" s="102"/>
      <c r="ED388" s="99"/>
    </row>
    <row r="389" spans="1:134" x14ac:dyDescent="0.25">
      <c r="A389" s="52" t="s">
        <v>1857</v>
      </c>
      <c r="B389" s="103" t="s">
        <v>1627</v>
      </c>
      <c r="C389" s="15" t="s">
        <v>328</v>
      </c>
      <c r="D389" s="15"/>
      <c r="E389" s="15">
        <v>60</v>
      </c>
      <c r="F389" s="15" t="s">
        <v>329</v>
      </c>
      <c r="G389" s="15" t="s">
        <v>353</v>
      </c>
      <c r="H389" s="14" t="s">
        <v>1617</v>
      </c>
      <c r="I389" s="14" t="s">
        <v>1264</v>
      </c>
      <c r="J389" s="14" t="s">
        <v>1256</v>
      </c>
      <c r="K389" s="15">
        <v>40</v>
      </c>
      <c r="L389" s="15">
        <v>2</v>
      </c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>
        <v>2</v>
      </c>
      <c r="Y389" s="14"/>
      <c r="Z389" s="15" t="s">
        <v>328</v>
      </c>
      <c r="AA389" s="15"/>
      <c r="AB389" s="15"/>
      <c r="AC389" s="15"/>
      <c r="AD389" s="15"/>
      <c r="AE389" s="15" t="s">
        <v>328</v>
      </c>
      <c r="AF389" s="15"/>
      <c r="AG389" s="15"/>
      <c r="AH389" s="15"/>
      <c r="AI389" s="15"/>
      <c r="AJ389" s="15"/>
      <c r="AK389" s="15" t="s">
        <v>328</v>
      </c>
      <c r="AL389" s="15"/>
      <c r="AM389" s="15"/>
      <c r="AN389" s="15"/>
      <c r="AO389" s="15" t="s">
        <v>328</v>
      </c>
      <c r="AP389" s="15">
        <v>10</v>
      </c>
      <c r="AQ389" s="15">
        <v>4</v>
      </c>
      <c r="AR389" s="15"/>
      <c r="AS389" s="15"/>
      <c r="AT389" s="15"/>
      <c r="AU389" s="15" t="s">
        <v>328</v>
      </c>
      <c r="AV389" s="15">
        <v>1</v>
      </c>
      <c r="AW389" s="15">
        <v>3</v>
      </c>
      <c r="AX389" s="15">
        <v>2</v>
      </c>
      <c r="AY389" s="15"/>
      <c r="AZ389" s="15" t="s">
        <v>328</v>
      </c>
      <c r="BA389" s="15"/>
      <c r="BB389" s="15" t="s">
        <v>328</v>
      </c>
      <c r="BC389" s="15" t="s">
        <v>328</v>
      </c>
      <c r="BD389" s="15"/>
      <c r="BE389" s="15"/>
      <c r="BF389" s="15"/>
      <c r="BG389" s="15"/>
      <c r="BH389" s="15"/>
      <c r="BI389" s="15"/>
      <c r="BJ389" s="15"/>
      <c r="BK389" s="15"/>
      <c r="BL389" s="15" t="s">
        <v>328</v>
      </c>
      <c r="BM389" s="15"/>
      <c r="BN389" s="15" t="s">
        <v>328</v>
      </c>
      <c r="BO389" s="15"/>
      <c r="BP389" s="15" t="s">
        <v>328</v>
      </c>
      <c r="BQ389" s="15"/>
      <c r="BR389" s="15" t="s">
        <v>328</v>
      </c>
      <c r="BS389" s="15"/>
      <c r="BT389" s="15"/>
      <c r="BU389" s="15" t="s">
        <v>328</v>
      </c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 t="s">
        <v>332</v>
      </c>
      <c r="CG389" s="15" t="s">
        <v>328</v>
      </c>
      <c r="CH389" s="15" t="s">
        <v>328</v>
      </c>
      <c r="CI389" s="15"/>
      <c r="CJ389" s="15"/>
      <c r="CK389" s="15"/>
      <c r="CL389" s="15">
        <v>3</v>
      </c>
      <c r="CM389" s="15">
        <v>5</v>
      </c>
      <c r="CN389" s="15">
        <v>4</v>
      </c>
      <c r="CO389" s="15">
        <v>6</v>
      </c>
      <c r="CP389" s="15">
        <v>2</v>
      </c>
      <c r="CQ389" s="15">
        <v>1</v>
      </c>
      <c r="CR389" s="15" t="s">
        <v>328</v>
      </c>
      <c r="CS389" s="15"/>
      <c r="CT389" s="15"/>
      <c r="CU389" s="15"/>
      <c r="CV389" s="15" t="s">
        <v>328</v>
      </c>
      <c r="CW389" s="15"/>
      <c r="CX389" s="15"/>
      <c r="CY389" s="15"/>
      <c r="CZ389" s="15"/>
      <c r="DA389" s="15">
        <v>1</v>
      </c>
      <c r="DB389" s="15">
        <v>3</v>
      </c>
      <c r="DC389" s="15">
        <v>6</v>
      </c>
      <c r="DD389" s="15">
        <v>5</v>
      </c>
      <c r="DE389" s="15">
        <v>2</v>
      </c>
      <c r="DF389" s="15">
        <v>4</v>
      </c>
      <c r="DG389" s="15"/>
      <c r="DH389" s="15" t="s">
        <v>328</v>
      </c>
      <c r="DI389" s="15"/>
      <c r="DJ389" s="15"/>
      <c r="DK389" s="15"/>
      <c r="DL389" s="15"/>
      <c r="DM389" s="15"/>
      <c r="DN389" s="14" t="s">
        <v>333</v>
      </c>
      <c r="DO389" s="15" t="s">
        <v>328</v>
      </c>
      <c r="DP389" s="15"/>
      <c r="DQ389" s="15"/>
      <c r="DR389" s="15"/>
      <c r="DS389" s="15"/>
      <c r="DT389" s="15"/>
      <c r="DU389" s="15"/>
      <c r="DV389" s="15" t="s">
        <v>1155</v>
      </c>
      <c r="DW389" s="15" t="s">
        <v>328</v>
      </c>
      <c r="DX389" s="15"/>
      <c r="DY389" s="15"/>
      <c r="DZ389" s="15"/>
      <c r="EA389" s="15"/>
      <c r="EB389" s="15"/>
      <c r="EC389" s="102" t="s">
        <v>1155</v>
      </c>
      <c r="ED389" s="99"/>
    </row>
    <row r="390" spans="1:134" x14ac:dyDescent="0.25">
      <c r="A390" s="52" t="s">
        <v>1857</v>
      </c>
      <c r="B390" s="103" t="s">
        <v>1628</v>
      </c>
      <c r="C390" s="15" t="s">
        <v>328</v>
      </c>
      <c r="D390" s="15"/>
      <c r="E390" s="15">
        <v>28</v>
      </c>
      <c r="F390" s="15" t="s">
        <v>329</v>
      </c>
      <c r="G390" s="15" t="s">
        <v>357</v>
      </c>
      <c r="H390" s="15" t="s">
        <v>1629</v>
      </c>
      <c r="I390" s="18" t="s">
        <v>1630</v>
      </c>
      <c r="J390" s="15" t="s">
        <v>1256</v>
      </c>
      <c r="K390" s="15">
        <v>3</v>
      </c>
      <c r="L390" s="15">
        <v>3</v>
      </c>
      <c r="M390" s="15">
        <v>2</v>
      </c>
      <c r="N390" s="15">
        <v>3</v>
      </c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 t="s">
        <v>328</v>
      </c>
      <c r="AA390" s="15" t="s">
        <v>328</v>
      </c>
      <c r="AB390" s="15"/>
      <c r="AC390" s="15"/>
      <c r="AD390" s="15"/>
      <c r="AE390" s="15"/>
      <c r="AF390" s="15"/>
      <c r="AG390" s="15"/>
      <c r="AH390" s="15"/>
      <c r="AI390" s="15"/>
      <c r="AJ390" s="15" t="s">
        <v>328</v>
      </c>
      <c r="AK390" s="15"/>
      <c r="AL390" s="15"/>
      <c r="AM390" s="15"/>
      <c r="AN390" s="15"/>
      <c r="AO390" s="15"/>
      <c r="AP390" s="15">
        <v>8</v>
      </c>
      <c r="AQ390" s="15">
        <v>4</v>
      </c>
      <c r="AR390" s="15"/>
      <c r="AS390" s="15"/>
      <c r="AT390" s="15"/>
      <c r="AU390" s="15" t="s">
        <v>328</v>
      </c>
      <c r="AV390" s="15">
        <v>2</v>
      </c>
      <c r="AW390" s="15">
        <v>1</v>
      </c>
      <c r="AX390" s="15">
        <v>3</v>
      </c>
      <c r="AY390" s="15"/>
      <c r="AZ390" s="15" t="s">
        <v>328</v>
      </c>
      <c r="BA390" s="15"/>
      <c r="BB390" s="15" t="s">
        <v>328</v>
      </c>
      <c r="BC390" s="15"/>
      <c r="BD390" s="15" t="s">
        <v>328</v>
      </c>
      <c r="BE390" s="15"/>
      <c r="BF390" s="15"/>
      <c r="BG390" s="15"/>
      <c r="BH390" s="15"/>
      <c r="BI390" s="15"/>
      <c r="BJ390" s="15"/>
      <c r="BK390" s="15"/>
      <c r="BL390" s="15"/>
      <c r="BM390" s="15" t="s">
        <v>328</v>
      </c>
      <c r="BN390" s="15" t="s">
        <v>328</v>
      </c>
      <c r="BO390" s="15"/>
      <c r="BP390" s="15" t="s">
        <v>328</v>
      </c>
      <c r="BQ390" s="15"/>
      <c r="BR390" s="15"/>
      <c r="BS390" s="15"/>
      <c r="BT390" s="15"/>
      <c r="BU390" s="15" t="s">
        <v>328</v>
      </c>
      <c r="BV390" s="15"/>
      <c r="BW390" s="15"/>
      <c r="BX390" s="15"/>
      <c r="BY390" s="15"/>
      <c r="BZ390" s="15"/>
      <c r="CA390" s="15" t="s">
        <v>328</v>
      </c>
      <c r="CB390" s="15"/>
      <c r="CC390" s="15"/>
      <c r="CD390" s="15"/>
      <c r="CE390" s="15"/>
      <c r="CF390" s="15"/>
      <c r="CG390" s="15" t="s">
        <v>328</v>
      </c>
      <c r="CH390" s="15"/>
      <c r="CI390" s="15" t="s">
        <v>328</v>
      </c>
      <c r="CJ390" s="15"/>
      <c r="CK390" s="15"/>
      <c r="CL390" s="15">
        <v>5</v>
      </c>
      <c r="CM390" s="15">
        <v>3</v>
      </c>
      <c r="CN390" s="15">
        <v>4</v>
      </c>
      <c r="CO390" s="15">
        <v>6</v>
      </c>
      <c r="CP390" s="15">
        <v>2</v>
      </c>
      <c r="CQ390" s="15">
        <v>1</v>
      </c>
      <c r="CR390" s="15"/>
      <c r="CS390" s="15"/>
      <c r="CT390" s="15"/>
      <c r="CU390" s="15"/>
      <c r="CV390" s="15"/>
      <c r="CW390" s="15"/>
      <c r="CX390" s="15" t="s">
        <v>332</v>
      </c>
      <c r="CY390" s="15"/>
      <c r="CZ390" s="15"/>
      <c r="DA390" s="15">
        <v>2</v>
      </c>
      <c r="DB390" s="15">
        <v>4</v>
      </c>
      <c r="DC390" s="15"/>
      <c r="DD390" s="15"/>
      <c r="DE390" s="15">
        <v>3</v>
      </c>
      <c r="DF390" s="15"/>
      <c r="DG390" s="15" t="s">
        <v>346</v>
      </c>
      <c r="DH390" s="15" t="s">
        <v>328</v>
      </c>
      <c r="DI390" s="15"/>
      <c r="DJ390" s="15"/>
      <c r="DK390" s="15"/>
      <c r="DL390" s="15"/>
      <c r="DM390" s="15"/>
      <c r="DN390" s="15"/>
      <c r="DO390" s="15" t="s">
        <v>328</v>
      </c>
      <c r="DP390" s="15"/>
      <c r="DQ390" s="15"/>
      <c r="DR390" s="15"/>
      <c r="DS390" s="15"/>
      <c r="DT390" s="15"/>
      <c r="DU390" s="15"/>
      <c r="DV390" s="15"/>
      <c r="DW390" s="15" t="s">
        <v>328</v>
      </c>
      <c r="DX390" s="15"/>
      <c r="DY390" s="15"/>
      <c r="DZ390" s="15"/>
      <c r="EA390" s="15"/>
      <c r="EB390" s="15"/>
      <c r="EC390" s="102"/>
      <c r="ED390" s="99"/>
    </row>
    <row r="391" spans="1:134" x14ac:dyDescent="0.25">
      <c r="A391" s="52" t="s">
        <v>1857</v>
      </c>
      <c r="B391" s="103" t="s">
        <v>1634</v>
      </c>
      <c r="C391" s="15" t="s">
        <v>328</v>
      </c>
      <c r="D391" s="15"/>
      <c r="E391" s="15">
        <v>40</v>
      </c>
      <c r="F391" s="15" t="s">
        <v>329</v>
      </c>
      <c r="G391" s="15" t="s">
        <v>330</v>
      </c>
      <c r="H391" s="15" t="s">
        <v>1635</v>
      </c>
      <c r="I391" s="15" t="s">
        <v>1636</v>
      </c>
      <c r="J391" s="15" t="s">
        <v>1256</v>
      </c>
      <c r="K391" s="15">
        <v>20</v>
      </c>
      <c r="L391" s="15">
        <v>1</v>
      </c>
      <c r="M391" s="15">
        <v>1</v>
      </c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 t="s">
        <v>418</v>
      </c>
      <c r="AJ391" s="15"/>
      <c r="AK391" s="15" t="s">
        <v>328</v>
      </c>
      <c r="AL391" s="15"/>
      <c r="AM391" s="15" t="s">
        <v>328</v>
      </c>
      <c r="AN391" s="15"/>
      <c r="AO391" s="15" t="s">
        <v>328</v>
      </c>
      <c r="AP391" s="15">
        <v>10</v>
      </c>
      <c r="AQ391" s="15">
        <v>3</v>
      </c>
      <c r="AR391" s="15"/>
      <c r="AS391" s="15"/>
      <c r="AT391" s="15" t="s">
        <v>328</v>
      </c>
      <c r="AU391" s="15"/>
      <c r="AV391" s="15">
        <v>2</v>
      </c>
      <c r="AW391" s="15">
        <v>3</v>
      </c>
      <c r="AX391" s="15">
        <v>1</v>
      </c>
      <c r="AY391" s="15"/>
      <c r="AZ391" s="15" t="s">
        <v>328</v>
      </c>
      <c r="BA391" s="15"/>
      <c r="BB391" s="15" t="s">
        <v>328</v>
      </c>
      <c r="BC391" s="15"/>
      <c r="BD391" s="15"/>
      <c r="BE391" s="15"/>
      <c r="BF391" s="15"/>
      <c r="BG391" s="15"/>
      <c r="BH391" s="15"/>
      <c r="BI391" s="15" t="s">
        <v>328</v>
      </c>
      <c r="BJ391" s="15"/>
      <c r="BK391" s="15"/>
      <c r="BL391" s="15"/>
      <c r="BM391" s="15" t="s">
        <v>328</v>
      </c>
      <c r="BN391" s="15"/>
      <c r="BO391" s="15" t="s">
        <v>328</v>
      </c>
      <c r="BP391" s="15" t="s">
        <v>328</v>
      </c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 t="s">
        <v>332</v>
      </c>
      <c r="CG391" s="15"/>
      <c r="CH391" s="15"/>
      <c r="CI391" s="15"/>
      <c r="CJ391" s="15" t="s">
        <v>328</v>
      </c>
      <c r="CK391" s="15"/>
      <c r="CL391" s="15">
        <v>4</v>
      </c>
      <c r="CM391" s="15">
        <v>2</v>
      </c>
      <c r="CN391" s="15">
        <v>1</v>
      </c>
      <c r="CO391" s="15">
        <v>5</v>
      </c>
      <c r="CP391" s="15">
        <v>6</v>
      </c>
      <c r="CQ391" s="15">
        <v>3</v>
      </c>
      <c r="CR391" s="15"/>
      <c r="CS391" s="15"/>
      <c r="CT391" s="15"/>
      <c r="CU391" s="15"/>
      <c r="CV391" s="15"/>
      <c r="CW391" s="15"/>
      <c r="CX391" s="15" t="s">
        <v>332</v>
      </c>
      <c r="CY391" s="15" t="s">
        <v>328</v>
      </c>
      <c r="CZ391" s="15" t="s">
        <v>404</v>
      </c>
      <c r="DA391" s="15"/>
      <c r="DB391" s="15"/>
      <c r="DC391" s="15"/>
      <c r="DD391" s="15"/>
      <c r="DE391" s="15"/>
      <c r="DF391" s="15"/>
      <c r="DG391" s="15"/>
      <c r="DH391" s="15" t="s">
        <v>328</v>
      </c>
      <c r="DI391" s="15"/>
      <c r="DJ391" s="15"/>
      <c r="DK391" s="15"/>
      <c r="DL391" s="15"/>
      <c r="DM391" s="15"/>
      <c r="DN391" s="14" t="s">
        <v>333</v>
      </c>
      <c r="DO391" s="15" t="s">
        <v>328</v>
      </c>
      <c r="DP391" s="15"/>
      <c r="DQ391" s="15"/>
      <c r="DR391" s="15"/>
      <c r="DS391" s="15"/>
      <c r="DT391" s="15"/>
      <c r="DU391" s="15"/>
      <c r="DV391" s="15" t="s">
        <v>1144</v>
      </c>
      <c r="DW391" s="15" t="s">
        <v>328</v>
      </c>
      <c r="DX391" s="15"/>
      <c r="DY391" s="15"/>
      <c r="DZ391" s="15"/>
      <c r="EA391" s="15"/>
      <c r="EB391" s="15"/>
      <c r="EC391" s="101" t="s">
        <v>333</v>
      </c>
      <c r="ED391" s="99"/>
    </row>
    <row r="392" spans="1:134" x14ac:dyDescent="0.25">
      <c r="A392" s="52" t="s">
        <v>1857</v>
      </c>
      <c r="B392" s="103" t="s">
        <v>1637</v>
      </c>
      <c r="C392" s="15" t="s">
        <v>328</v>
      </c>
      <c r="D392" s="15"/>
      <c r="E392" s="15">
        <v>42</v>
      </c>
      <c r="F392" s="15" t="s">
        <v>329</v>
      </c>
      <c r="G392" s="15" t="s">
        <v>357</v>
      </c>
      <c r="H392" s="8" t="s">
        <v>1612</v>
      </c>
      <c r="I392" s="14" t="s">
        <v>1632</v>
      </c>
      <c r="J392" s="14" t="s">
        <v>1256</v>
      </c>
      <c r="K392" s="15">
        <v>15</v>
      </c>
      <c r="L392" s="15">
        <v>2</v>
      </c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>
        <v>2</v>
      </c>
      <c r="Y392" s="14"/>
      <c r="Z392" s="15" t="s">
        <v>328</v>
      </c>
      <c r="AA392" s="15" t="s">
        <v>328</v>
      </c>
      <c r="AB392" s="15"/>
      <c r="AC392" s="15"/>
      <c r="AD392" s="15"/>
      <c r="AE392" s="15" t="s">
        <v>328</v>
      </c>
      <c r="AF392" s="15"/>
      <c r="AG392" s="15"/>
      <c r="AH392" s="15"/>
      <c r="AI392" s="15" t="s">
        <v>692</v>
      </c>
      <c r="AJ392" s="15"/>
      <c r="AK392" s="15" t="s">
        <v>328</v>
      </c>
      <c r="AL392" s="15"/>
      <c r="AM392" s="15" t="s">
        <v>328</v>
      </c>
      <c r="AN392" s="15" t="s">
        <v>328</v>
      </c>
      <c r="AO392" s="15" t="s">
        <v>328</v>
      </c>
      <c r="AP392" s="15">
        <v>8</v>
      </c>
      <c r="AQ392" s="15">
        <v>5</v>
      </c>
      <c r="AR392" s="15"/>
      <c r="AS392" s="15" t="s">
        <v>328</v>
      </c>
      <c r="AT392" s="15"/>
      <c r="AU392" s="15"/>
      <c r="AV392" s="15">
        <v>2</v>
      </c>
      <c r="AW392" s="15">
        <v>3</v>
      </c>
      <c r="AX392" s="15">
        <v>4</v>
      </c>
      <c r="AY392" s="15" t="s">
        <v>346</v>
      </c>
      <c r="AZ392" s="15" t="s">
        <v>328</v>
      </c>
      <c r="BA392" s="15"/>
      <c r="BB392" s="15" t="s">
        <v>328</v>
      </c>
      <c r="BC392" s="15" t="s">
        <v>328</v>
      </c>
      <c r="BD392" s="15"/>
      <c r="BE392" s="15"/>
      <c r="BF392" s="15"/>
      <c r="BG392" s="15"/>
      <c r="BH392" s="15"/>
      <c r="BI392" s="15"/>
      <c r="BJ392" s="15"/>
      <c r="BK392" s="15"/>
      <c r="BL392" s="15"/>
      <c r="BM392" s="15" t="s">
        <v>328</v>
      </c>
      <c r="BN392" s="15" t="s">
        <v>328</v>
      </c>
      <c r="BO392" s="15"/>
      <c r="BP392" s="15"/>
      <c r="BQ392" s="15"/>
      <c r="BR392" s="15"/>
      <c r="BS392" s="15"/>
      <c r="BT392" s="15" t="s">
        <v>328</v>
      </c>
      <c r="BU392" s="15"/>
      <c r="BV392" s="15"/>
      <c r="BW392" s="15" t="s">
        <v>328</v>
      </c>
      <c r="BX392" s="15"/>
      <c r="BY392" s="15"/>
      <c r="BZ392" s="15" t="s">
        <v>328</v>
      </c>
      <c r="CA392" s="15" t="s">
        <v>328</v>
      </c>
      <c r="CB392" s="15"/>
      <c r="CC392" s="15"/>
      <c r="CD392" s="15"/>
      <c r="CE392" s="15"/>
      <c r="CF392" s="15"/>
      <c r="CG392" s="15" t="s">
        <v>328</v>
      </c>
      <c r="CH392" s="15"/>
      <c r="CI392" s="15"/>
      <c r="CJ392" s="15"/>
      <c r="CK392" s="15"/>
      <c r="CL392" s="15">
        <v>2</v>
      </c>
      <c r="CM392" s="15">
        <v>4</v>
      </c>
      <c r="CN392" s="15">
        <v>1</v>
      </c>
      <c r="CO392" s="15">
        <v>5</v>
      </c>
      <c r="CP392" s="15">
        <v>6</v>
      </c>
      <c r="CQ392" s="15">
        <v>3</v>
      </c>
      <c r="CR392" s="15"/>
      <c r="CS392" s="15"/>
      <c r="CT392" s="15"/>
      <c r="CU392" s="15"/>
      <c r="CV392" s="15" t="s">
        <v>328</v>
      </c>
      <c r="CW392" s="15"/>
      <c r="CX392" s="15"/>
      <c r="CY392" s="15"/>
      <c r="CZ392" s="15"/>
      <c r="DA392" s="15">
        <v>1</v>
      </c>
      <c r="DB392" s="15">
        <v>2</v>
      </c>
      <c r="DC392" s="15">
        <v>4</v>
      </c>
      <c r="DD392" s="15">
        <v>5</v>
      </c>
      <c r="DE392" s="15">
        <v>3</v>
      </c>
      <c r="DF392" s="15">
        <v>6</v>
      </c>
      <c r="DG392" s="15"/>
      <c r="DH392" s="15" t="s">
        <v>328</v>
      </c>
      <c r="DI392" s="15"/>
      <c r="DJ392" s="15"/>
      <c r="DK392" s="15"/>
      <c r="DL392" s="15"/>
      <c r="DM392" s="15"/>
      <c r="DN392" s="14" t="s">
        <v>333</v>
      </c>
      <c r="DO392" s="15" t="s">
        <v>328</v>
      </c>
      <c r="DP392" s="15"/>
      <c r="DQ392" s="15"/>
      <c r="DR392" s="15"/>
      <c r="DS392" s="15"/>
      <c r="DT392" s="15"/>
      <c r="DU392" s="15"/>
      <c r="DV392" s="15" t="s">
        <v>1144</v>
      </c>
      <c r="DW392" s="15" t="s">
        <v>328</v>
      </c>
      <c r="DX392" s="15"/>
      <c r="DY392" s="15"/>
      <c r="DZ392" s="15"/>
      <c r="EA392" s="15"/>
      <c r="EB392" s="15"/>
      <c r="EC392" s="101" t="s">
        <v>333</v>
      </c>
      <c r="ED392" s="99"/>
    </row>
    <row r="393" spans="1:134" x14ac:dyDescent="0.25">
      <c r="A393" s="52" t="s">
        <v>1857</v>
      </c>
      <c r="B393" s="103" t="s">
        <v>1638</v>
      </c>
      <c r="C393" s="15" t="s">
        <v>328</v>
      </c>
      <c r="D393" s="15"/>
      <c r="E393" s="15">
        <v>60</v>
      </c>
      <c r="F393" s="15" t="s">
        <v>329</v>
      </c>
      <c r="G393" s="15" t="s">
        <v>353</v>
      </c>
      <c r="H393" s="14" t="s">
        <v>1614</v>
      </c>
      <c r="I393" s="14" t="s">
        <v>1615</v>
      </c>
      <c r="J393" s="14" t="s">
        <v>1256</v>
      </c>
      <c r="K393" s="15">
        <v>35</v>
      </c>
      <c r="L393" s="15">
        <v>2</v>
      </c>
      <c r="M393" s="15"/>
      <c r="N393" s="15">
        <v>4</v>
      </c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 t="s">
        <v>328</v>
      </c>
      <c r="AA393" s="15"/>
      <c r="AB393" s="15"/>
      <c r="AC393" s="15"/>
      <c r="AD393" s="15"/>
      <c r="AE393" s="15"/>
      <c r="AF393" s="15"/>
      <c r="AG393" s="15" t="s">
        <v>328</v>
      </c>
      <c r="AH393" s="15"/>
      <c r="AI393" s="15"/>
      <c r="AJ393" s="15" t="s">
        <v>328</v>
      </c>
      <c r="AK393" s="15"/>
      <c r="AL393" s="15" t="s">
        <v>328</v>
      </c>
      <c r="AM393" s="15" t="s">
        <v>328</v>
      </c>
      <c r="AN393" s="15"/>
      <c r="AO393" s="12"/>
      <c r="AP393" s="15">
        <v>10</v>
      </c>
      <c r="AQ393" s="15">
        <v>5</v>
      </c>
      <c r="AR393" s="15" t="s">
        <v>328</v>
      </c>
      <c r="AS393" s="15"/>
      <c r="AT393" s="15" t="s">
        <v>328</v>
      </c>
      <c r="AU393" s="15"/>
      <c r="AV393" s="15">
        <v>3</v>
      </c>
      <c r="AW393" s="15">
        <v>2</v>
      </c>
      <c r="AX393" s="15">
        <v>4</v>
      </c>
      <c r="AY393" s="15" t="s">
        <v>346</v>
      </c>
      <c r="AZ393" s="15" t="s">
        <v>328</v>
      </c>
      <c r="BA393" s="15"/>
      <c r="BB393" s="15"/>
      <c r="BC393" s="15"/>
      <c r="BD393" s="15" t="s">
        <v>328</v>
      </c>
      <c r="BE393" s="15"/>
      <c r="BF393" s="15"/>
      <c r="BG393" s="15"/>
      <c r="BH393" s="15"/>
      <c r="BI393" s="15" t="s">
        <v>328</v>
      </c>
      <c r="BJ393" s="15"/>
      <c r="BK393" s="15"/>
      <c r="BL393" s="15"/>
      <c r="BM393" s="15" t="s">
        <v>328</v>
      </c>
      <c r="BN393" s="15" t="s">
        <v>328</v>
      </c>
      <c r="BO393" s="15"/>
      <c r="BP393" s="15" t="s">
        <v>328</v>
      </c>
      <c r="BQ393" s="15"/>
      <c r="BR393" s="15" t="s">
        <v>328</v>
      </c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 t="s">
        <v>328</v>
      </c>
      <c r="CE393" s="15"/>
      <c r="CF393" s="15"/>
      <c r="CG393" s="15" t="s">
        <v>328</v>
      </c>
      <c r="CH393" s="15"/>
      <c r="CI393" s="15"/>
      <c r="CJ393" s="15"/>
      <c r="CK393" s="15" t="s">
        <v>328</v>
      </c>
      <c r="CL393" s="15">
        <v>2</v>
      </c>
      <c r="CM393" s="15">
        <v>1</v>
      </c>
      <c r="CN393" s="15">
        <v>3</v>
      </c>
      <c r="CO393" s="15">
        <v>5</v>
      </c>
      <c r="CP393" s="15">
        <v>4</v>
      </c>
      <c r="CQ393" s="15">
        <v>6</v>
      </c>
      <c r="CR393" s="15" t="s">
        <v>328</v>
      </c>
      <c r="CS393" s="15"/>
      <c r="CT393" s="15"/>
      <c r="CU393" s="15"/>
      <c r="CV393" s="15" t="s">
        <v>328</v>
      </c>
      <c r="CW393" s="15"/>
      <c r="CX393" s="15"/>
      <c r="CY393" s="15"/>
      <c r="CZ393" s="15"/>
      <c r="DA393" s="15">
        <v>3</v>
      </c>
      <c r="DB393" s="15">
        <v>6</v>
      </c>
      <c r="DC393" s="15">
        <v>5</v>
      </c>
      <c r="DD393" s="15">
        <v>2</v>
      </c>
      <c r="DE393" s="15">
        <v>4</v>
      </c>
      <c r="DF393" s="15">
        <v>1</v>
      </c>
      <c r="DG393" s="15"/>
      <c r="DH393" s="15" t="s">
        <v>328</v>
      </c>
      <c r="DI393" s="15"/>
      <c r="DJ393" s="15"/>
      <c r="DK393" s="15"/>
      <c r="DL393" s="15"/>
      <c r="DM393" s="15"/>
      <c r="DN393" s="15"/>
      <c r="DO393" s="15" t="s">
        <v>328</v>
      </c>
      <c r="DP393" s="15"/>
      <c r="DQ393" s="15"/>
      <c r="DR393" s="15"/>
      <c r="DS393" s="15"/>
      <c r="DT393" s="15"/>
      <c r="DU393" s="15"/>
      <c r="DV393" s="15"/>
      <c r="DW393" s="15" t="s">
        <v>328</v>
      </c>
      <c r="DX393" s="15"/>
      <c r="DY393" s="15"/>
      <c r="DZ393" s="15"/>
      <c r="EA393" s="15"/>
      <c r="EB393" s="12"/>
      <c r="EC393" s="80"/>
      <c r="ED393" s="83"/>
    </row>
    <row r="394" spans="1:134" x14ac:dyDescent="0.25">
      <c r="A394" s="52" t="s">
        <v>1857</v>
      </c>
      <c r="B394" s="103" t="s">
        <v>1639</v>
      </c>
      <c r="C394" s="15" t="s">
        <v>328</v>
      </c>
      <c r="D394" s="15"/>
      <c r="E394" s="15">
        <v>35</v>
      </c>
      <c r="F394" s="15" t="s">
        <v>329</v>
      </c>
      <c r="G394" s="15" t="s">
        <v>399</v>
      </c>
      <c r="H394" s="8" t="s">
        <v>1606</v>
      </c>
      <c r="I394" s="14" t="s">
        <v>1607</v>
      </c>
      <c r="J394" s="14" t="s">
        <v>1256</v>
      </c>
      <c r="K394" s="15">
        <v>10</v>
      </c>
      <c r="L394" s="15">
        <v>4</v>
      </c>
      <c r="M394" s="15">
        <v>3</v>
      </c>
      <c r="N394" s="15"/>
      <c r="O394" s="15"/>
      <c r="P394" s="15">
        <v>3</v>
      </c>
      <c r="Q394" s="15"/>
      <c r="R394" s="15"/>
      <c r="S394" s="15"/>
      <c r="T394" s="15"/>
      <c r="U394" s="15"/>
      <c r="V394" s="15"/>
      <c r="W394" s="15"/>
      <c r="X394" s="15"/>
      <c r="Y394" s="15"/>
      <c r="Z394" s="15" t="s">
        <v>328</v>
      </c>
      <c r="AA394" s="15" t="s">
        <v>328</v>
      </c>
      <c r="AB394" s="15"/>
      <c r="AC394" s="15"/>
      <c r="AD394" s="15"/>
      <c r="AE394" s="15"/>
      <c r="AF394" s="15"/>
      <c r="AG394" s="15" t="s">
        <v>328</v>
      </c>
      <c r="AH394" s="15"/>
      <c r="AI394" s="15"/>
      <c r="AJ394" s="15" t="s">
        <v>328</v>
      </c>
      <c r="AK394" s="15"/>
      <c r="AL394" s="15"/>
      <c r="AM394" s="15"/>
      <c r="AN394" s="15"/>
      <c r="AO394" s="15" t="s">
        <v>328</v>
      </c>
      <c r="AP394" s="15">
        <v>10</v>
      </c>
      <c r="AQ394" s="15">
        <v>5</v>
      </c>
      <c r="AR394" s="15"/>
      <c r="AS394" s="15" t="s">
        <v>328</v>
      </c>
      <c r="AT394" s="15"/>
      <c r="AU394" s="15"/>
      <c r="AV394" s="15">
        <v>3</v>
      </c>
      <c r="AW394" s="15">
        <v>1</v>
      </c>
      <c r="AX394" s="15">
        <v>2</v>
      </c>
      <c r="AY394" s="15"/>
      <c r="AZ394" s="15"/>
      <c r="BA394" s="15" t="s">
        <v>328</v>
      </c>
      <c r="BB394" s="15" t="s">
        <v>328</v>
      </c>
      <c r="BC394" s="15"/>
      <c r="BD394" s="15"/>
      <c r="BE394" s="15"/>
      <c r="BF394" s="15"/>
      <c r="BG394" s="15"/>
      <c r="BH394" s="15"/>
      <c r="BI394" s="15" t="s">
        <v>328</v>
      </c>
      <c r="BJ394" s="15"/>
      <c r="BK394" s="15"/>
      <c r="BL394" s="15"/>
      <c r="BM394" s="15" t="s">
        <v>328</v>
      </c>
      <c r="BN394" s="15" t="s">
        <v>328</v>
      </c>
      <c r="BO394" s="15"/>
      <c r="BP394" s="15" t="s">
        <v>328</v>
      </c>
      <c r="BQ394" s="15"/>
      <c r="BR394" s="15"/>
      <c r="BS394" s="15"/>
      <c r="BT394" s="15" t="s">
        <v>328</v>
      </c>
      <c r="BU394" s="15"/>
      <c r="BV394" s="15"/>
      <c r="BW394" s="15" t="s">
        <v>328</v>
      </c>
      <c r="BX394" s="15"/>
      <c r="BY394" s="15"/>
      <c r="BZ394" s="15"/>
      <c r="CA394" s="15" t="s">
        <v>328</v>
      </c>
      <c r="CB394" s="15"/>
      <c r="CC394" s="15"/>
      <c r="CD394" s="15"/>
      <c r="CE394" s="15"/>
      <c r="CF394" s="15"/>
      <c r="CG394" s="15" t="s">
        <v>328</v>
      </c>
      <c r="CH394" s="15"/>
      <c r="CI394" s="15"/>
      <c r="CJ394" s="15"/>
      <c r="CK394" s="15"/>
      <c r="CL394" s="15">
        <v>1</v>
      </c>
      <c r="CM394" s="15">
        <v>4</v>
      </c>
      <c r="CN394" s="15">
        <v>2</v>
      </c>
      <c r="CO394" s="15">
        <v>6</v>
      </c>
      <c r="CP394" s="15">
        <v>5</v>
      </c>
      <c r="CQ394" s="15">
        <v>3</v>
      </c>
      <c r="CR394" s="15"/>
      <c r="CS394" s="15" t="s">
        <v>328</v>
      </c>
      <c r="CT394" s="15" t="s">
        <v>328</v>
      </c>
      <c r="CU394" s="15"/>
      <c r="CV394" s="15"/>
      <c r="CW394" s="15" t="s">
        <v>328</v>
      </c>
      <c r="CX394" s="15"/>
      <c r="CY394" s="15"/>
      <c r="CZ394" s="15"/>
      <c r="DA394" s="15">
        <v>1</v>
      </c>
      <c r="DB394" s="15"/>
      <c r="DC394" s="15"/>
      <c r="DD394" s="15"/>
      <c r="DE394" s="15">
        <v>2</v>
      </c>
      <c r="DF394" s="15">
        <v>3</v>
      </c>
      <c r="DG394" s="15"/>
      <c r="DH394" s="15" t="s">
        <v>328</v>
      </c>
      <c r="DI394" s="15"/>
      <c r="DJ394" s="15"/>
      <c r="DK394" s="15"/>
      <c r="DL394" s="15"/>
      <c r="DM394" s="15"/>
      <c r="DN394" s="15"/>
      <c r="DO394" s="15" t="s">
        <v>328</v>
      </c>
      <c r="DP394" s="15"/>
      <c r="DQ394" s="15"/>
      <c r="DR394" s="15"/>
      <c r="DS394" s="15"/>
      <c r="DT394" s="15"/>
      <c r="DU394" s="15"/>
      <c r="DV394" s="15"/>
      <c r="DW394" s="15" t="s">
        <v>328</v>
      </c>
      <c r="DX394" s="15"/>
      <c r="DY394" s="15"/>
      <c r="DZ394" s="15"/>
      <c r="EA394" s="15"/>
      <c r="EB394" s="15"/>
      <c r="EC394" s="102"/>
      <c r="ED394" s="99"/>
    </row>
    <row r="395" spans="1:134" x14ac:dyDescent="0.25">
      <c r="A395" s="52" t="s">
        <v>1857</v>
      </c>
      <c r="B395" s="103" t="s">
        <v>1640</v>
      </c>
      <c r="C395" s="14" t="s">
        <v>328</v>
      </c>
      <c r="D395" s="14"/>
      <c r="E395" s="14">
        <v>52</v>
      </c>
      <c r="F395" s="14" t="s">
        <v>329</v>
      </c>
      <c r="G395" s="14" t="s">
        <v>357</v>
      </c>
      <c r="H395" s="14" t="s">
        <v>1641</v>
      </c>
      <c r="I395" s="8" t="s">
        <v>1642</v>
      </c>
      <c r="J395" s="14" t="s">
        <v>1256</v>
      </c>
      <c r="K395" s="14">
        <v>37</v>
      </c>
      <c r="L395" s="14">
        <v>1</v>
      </c>
      <c r="M395" s="14"/>
      <c r="N395" s="14"/>
      <c r="O395" s="14"/>
      <c r="P395" s="14">
        <v>1</v>
      </c>
      <c r="Q395" s="14"/>
      <c r="R395" s="14"/>
      <c r="S395" s="14"/>
      <c r="T395" s="14"/>
      <c r="U395" s="14"/>
      <c r="V395" s="14"/>
      <c r="W395" s="14"/>
      <c r="X395" s="14"/>
      <c r="Y395" s="14"/>
      <c r="Z395" s="14" t="s">
        <v>328</v>
      </c>
      <c r="AA395" s="14"/>
      <c r="AB395" s="14"/>
      <c r="AC395" s="14"/>
      <c r="AD395" s="14"/>
      <c r="AE395" s="14"/>
      <c r="AF395" s="14"/>
      <c r="AG395" s="14" t="s">
        <v>328</v>
      </c>
      <c r="AH395" s="14"/>
      <c r="AI395" s="14"/>
      <c r="AJ395" s="14"/>
      <c r="AK395" s="14" t="s">
        <v>328</v>
      </c>
      <c r="AL395" s="14"/>
      <c r="AM395" s="14" t="s">
        <v>328</v>
      </c>
      <c r="AN395" s="14"/>
      <c r="AO395" s="14" t="s">
        <v>328</v>
      </c>
      <c r="AP395" s="14">
        <v>7</v>
      </c>
      <c r="AQ395" s="14">
        <v>3</v>
      </c>
      <c r="AR395" s="14"/>
      <c r="AS395" s="14" t="s">
        <v>328</v>
      </c>
      <c r="AT395" s="14"/>
      <c r="AU395" s="14"/>
      <c r="AV395" s="14">
        <v>3</v>
      </c>
      <c r="AW395" s="14">
        <v>4</v>
      </c>
      <c r="AX395" s="14">
        <v>2</v>
      </c>
      <c r="AY395" s="14" t="s">
        <v>346</v>
      </c>
      <c r="AZ395" s="14" t="s">
        <v>328</v>
      </c>
      <c r="BA395" s="14"/>
      <c r="BB395" s="14" t="s">
        <v>328</v>
      </c>
      <c r="BC395" s="14" t="s">
        <v>328</v>
      </c>
      <c r="BD395" s="14"/>
      <c r="BE395" s="14"/>
      <c r="BF395" s="14"/>
      <c r="BG395" s="14"/>
      <c r="BH395" s="14"/>
      <c r="BI395" s="14"/>
      <c r="BJ395" s="14"/>
      <c r="BK395" s="14"/>
      <c r="BL395" s="14"/>
      <c r="BM395" s="14" t="s">
        <v>328</v>
      </c>
      <c r="BN395" s="14"/>
      <c r="BO395" s="14" t="s">
        <v>328</v>
      </c>
      <c r="BP395" s="14"/>
      <c r="BQ395" s="14"/>
      <c r="BR395" s="14" t="s">
        <v>328</v>
      </c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 t="s">
        <v>328</v>
      </c>
      <c r="CE395" s="14"/>
      <c r="CF395" s="14"/>
      <c r="CG395" s="14"/>
      <c r="CH395" s="14"/>
      <c r="CI395" s="14" t="s">
        <v>328</v>
      </c>
      <c r="CJ395" s="14"/>
      <c r="CK395" s="14"/>
      <c r="CL395" s="14">
        <v>6</v>
      </c>
      <c r="CM395" s="14">
        <v>1</v>
      </c>
      <c r="CN395" s="14">
        <v>2</v>
      </c>
      <c r="CO395" s="14">
        <v>3</v>
      </c>
      <c r="CP395" s="14">
        <v>4</v>
      </c>
      <c r="CQ395" s="14">
        <v>5</v>
      </c>
      <c r="CR395" s="14"/>
      <c r="CS395" s="14"/>
      <c r="CT395" s="14"/>
      <c r="CU395" s="14"/>
      <c r="CV395" s="14"/>
      <c r="CW395" s="14"/>
      <c r="CX395" s="14" t="s">
        <v>332</v>
      </c>
      <c r="CY395" s="14"/>
      <c r="CZ395" s="14"/>
      <c r="DA395" s="14">
        <v>1</v>
      </c>
      <c r="DB395" s="14">
        <v>3</v>
      </c>
      <c r="DC395" s="14">
        <v>5</v>
      </c>
      <c r="DD395" s="14">
        <v>2</v>
      </c>
      <c r="DE395" s="14">
        <v>4</v>
      </c>
      <c r="DF395" s="14">
        <v>6</v>
      </c>
      <c r="DG395" s="14"/>
      <c r="DH395" s="14" t="s">
        <v>328</v>
      </c>
      <c r="DI395" s="14"/>
      <c r="DJ395" s="14"/>
      <c r="DK395" s="14"/>
      <c r="DL395" s="14"/>
      <c r="DM395" s="14"/>
      <c r="DN395" s="14" t="s">
        <v>333</v>
      </c>
      <c r="DO395" s="14" t="s">
        <v>328</v>
      </c>
      <c r="DP395" s="14"/>
      <c r="DQ395" s="14"/>
      <c r="DR395" s="14"/>
      <c r="DS395" s="14"/>
      <c r="DT395" s="14"/>
      <c r="DU395" s="14"/>
      <c r="DV395" s="15" t="s">
        <v>1144</v>
      </c>
      <c r="DW395" s="14" t="s">
        <v>328</v>
      </c>
      <c r="DX395" s="14"/>
      <c r="DY395" s="14"/>
      <c r="DZ395" s="14"/>
      <c r="EA395" s="14"/>
      <c r="EB395" s="14"/>
      <c r="EC395" s="101" t="s">
        <v>333</v>
      </c>
      <c r="ED395" s="99"/>
    </row>
    <row r="396" spans="1:134" x14ac:dyDescent="0.25">
      <c r="A396" s="52" t="s">
        <v>1857</v>
      </c>
      <c r="B396" s="103" t="s">
        <v>1643</v>
      </c>
      <c r="C396" s="14" t="s">
        <v>328</v>
      </c>
      <c r="D396" s="14"/>
      <c r="E396" s="14">
        <v>51</v>
      </c>
      <c r="F396" s="14" t="s">
        <v>329</v>
      </c>
      <c r="G396" s="14" t="s">
        <v>355</v>
      </c>
      <c r="H396" s="14" t="s">
        <v>386</v>
      </c>
      <c r="I396" s="14" t="s">
        <v>1189</v>
      </c>
      <c r="J396" s="14" t="s">
        <v>1256</v>
      </c>
      <c r="K396" s="14">
        <v>20</v>
      </c>
      <c r="L396" s="14">
        <v>2</v>
      </c>
      <c r="M396" s="14">
        <v>2</v>
      </c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 t="s">
        <v>328</v>
      </c>
      <c r="AB396" s="14"/>
      <c r="AC396" s="14"/>
      <c r="AD396" s="14"/>
      <c r="AE396" s="14" t="s">
        <v>328</v>
      </c>
      <c r="AF396" s="14"/>
      <c r="AG396" s="14"/>
      <c r="AH396" s="14"/>
      <c r="AI396" s="14"/>
      <c r="AJ396" s="14" t="s">
        <v>328</v>
      </c>
      <c r="AK396" s="14"/>
      <c r="AL396" s="14"/>
      <c r="AM396" s="14" t="s">
        <v>328</v>
      </c>
      <c r="AN396" s="14"/>
      <c r="AO396" s="14"/>
      <c r="AP396" s="14">
        <v>10</v>
      </c>
      <c r="AQ396" s="14">
        <v>10</v>
      </c>
      <c r="AR396" s="14"/>
      <c r="AS396" s="14" t="s">
        <v>328</v>
      </c>
      <c r="AT396" s="14"/>
      <c r="AU396" s="14" t="s">
        <v>328</v>
      </c>
      <c r="AV396" s="14">
        <v>3</v>
      </c>
      <c r="AW396" s="14">
        <v>4</v>
      </c>
      <c r="AX396" s="14">
        <v>2</v>
      </c>
      <c r="AY396" s="14" t="s">
        <v>346</v>
      </c>
      <c r="AZ396" s="14"/>
      <c r="BA396" s="14" t="s">
        <v>328</v>
      </c>
      <c r="BB396" s="14" t="s">
        <v>328</v>
      </c>
      <c r="BC396" s="14"/>
      <c r="BD396" s="14" t="s">
        <v>328</v>
      </c>
      <c r="BE396" s="14"/>
      <c r="BF396" s="14"/>
      <c r="BG396" s="14"/>
      <c r="BH396" s="14"/>
      <c r="BI396" s="14"/>
      <c r="BJ396" s="14"/>
      <c r="BK396" s="14"/>
      <c r="BL396" s="14" t="s">
        <v>328</v>
      </c>
      <c r="BM396" s="14"/>
      <c r="BN396" s="14"/>
      <c r="BO396" s="14" t="s">
        <v>328</v>
      </c>
      <c r="BP396" s="14"/>
      <c r="BQ396" s="14"/>
      <c r="BR396" s="14" t="s">
        <v>328</v>
      </c>
      <c r="BS396" s="14"/>
      <c r="BT396" s="14"/>
      <c r="BU396" s="14" t="s">
        <v>328</v>
      </c>
      <c r="BV396" s="14"/>
      <c r="BW396" s="14" t="s">
        <v>328</v>
      </c>
      <c r="BX396" s="14"/>
      <c r="BY396" s="14"/>
      <c r="BZ396" s="14"/>
      <c r="CA396" s="14"/>
      <c r="CB396" s="14"/>
      <c r="CC396" s="14"/>
      <c r="CD396" s="14"/>
      <c r="CE396" s="14" t="s">
        <v>328</v>
      </c>
      <c r="CF396" s="14"/>
      <c r="CG396" s="14" t="s">
        <v>328</v>
      </c>
      <c r="CH396" s="14"/>
      <c r="CI396" s="14" t="s">
        <v>328</v>
      </c>
      <c r="CJ396" s="14"/>
      <c r="CK396" s="14"/>
      <c r="CL396" s="14">
        <v>2</v>
      </c>
      <c r="CM396" s="14">
        <v>3</v>
      </c>
      <c r="CN396" s="14">
        <v>1</v>
      </c>
      <c r="CO396" s="14">
        <v>6</v>
      </c>
      <c r="CP396" s="14">
        <v>5</v>
      </c>
      <c r="CQ396" s="14">
        <v>4</v>
      </c>
      <c r="CR396" s="14"/>
      <c r="CS396" s="14"/>
      <c r="CT396" s="14"/>
      <c r="CU396" s="14"/>
      <c r="CV396" s="14"/>
      <c r="CW396" s="14"/>
      <c r="CX396" s="14" t="s">
        <v>332</v>
      </c>
      <c r="CY396" s="14"/>
      <c r="CZ396" s="14"/>
      <c r="DA396" s="14">
        <v>2</v>
      </c>
      <c r="DB396" s="14">
        <v>4</v>
      </c>
      <c r="DC396" s="14">
        <v>3</v>
      </c>
      <c r="DD396" s="14">
        <v>6</v>
      </c>
      <c r="DE396" s="14">
        <v>1</v>
      </c>
      <c r="DF396" s="14">
        <v>5</v>
      </c>
      <c r="DG396" s="14"/>
      <c r="DH396" s="14"/>
      <c r="DI396" s="14" t="s">
        <v>328</v>
      </c>
      <c r="DJ396" s="14" t="s">
        <v>328</v>
      </c>
      <c r="DK396" s="14" t="s">
        <v>387</v>
      </c>
      <c r="DL396" s="14"/>
      <c r="DM396" s="14" t="s">
        <v>388</v>
      </c>
      <c r="DN396" s="14" t="s">
        <v>389</v>
      </c>
      <c r="DO396" s="14"/>
      <c r="DP396" s="14" t="s">
        <v>328</v>
      </c>
      <c r="DQ396" s="14" t="s">
        <v>328</v>
      </c>
      <c r="DR396" s="14" t="s">
        <v>354</v>
      </c>
      <c r="DS396" s="14"/>
      <c r="DT396" s="14"/>
      <c r="DU396" s="14" t="s">
        <v>335</v>
      </c>
      <c r="DV396" s="14" t="s">
        <v>336</v>
      </c>
      <c r="DW396" s="14" t="s">
        <v>328</v>
      </c>
      <c r="DX396" s="14"/>
      <c r="DY396" s="14"/>
      <c r="DZ396" s="14"/>
      <c r="EA396" s="14"/>
      <c r="EB396" s="14"/>
      <c r="EC396" s="101" t="s">
        <v>333</v>
      </c>
      <c r="ED396" s="99"/>
    </row>
    <row r="397" spans="1:134" x14ac:dyDescent="0.25">
      <c r="A397" s="52" t="s">
        <v>1857</v>
      </c>
      <c r="B397" s="103" t="s">
        <v>1644</v>
      </c>
      <c r="C397" s="15" t="s">
        <v>328</v>
      </c>
      <c r="D397" s="15"/>
      <c r="E397" s="15">
        <v>45</v>
      </c>
      <c r="F397" s="15" t="s">
        <v>329</v>
      </c>
      <c r="G397" s="15" t="s">
        <v>353</v>
      </c>
      <c r="H397" s="15" t="s">
        <v>1629</v>
      </c>
      <c r="I397" s="18" t="s">
        <v>1630</v>
      </c>
      <c r="J397" s="15" t="s">
        <v>1256</v>
      </c>
      <c r="K397" s="15">
        <v>27</v>
      </c>
      <c r="L397" s="15">
        <v>1</v>
      </c>
      <c r="M397" s="15"/>
      <c r="N397" s="15"/>
      <c r="O397" s="15"/>
      <c r="P397" s="15"/>
      <c r="Q397" s="15"/>
      <c r="R397" s="15"/>
      <c r="S397" s="15"/>
      <c r="T397" s="15">
        <v>1</v>
      </c>
      <c r="U397" s="15"/>
      <c r="V397" s="15"/>
      <c r="W397" s="15"/>
      <c r="X397" s="15"/>
      <c r="Y397" s="15"/>
      <c r="Z397" s="15"/>
      <c r="AA397" s="15"/>
      <c r="AB397" s="15"/>
      <c r="AC397" s="15"/>
      <c r="AD397" s="15" t="s">
        <v>328</v>
      </c>
      <c r="AE397" s="15"/>
      <c r="AF397" s="15"/>
      <c r="AG397" s="15"/>
      <c r="AH397" s="15"/>
      <c r="AI397" s="15"/>
      <c r="AJ397" s="15"/>
      <c r="AK397" s="15" t="s">
        <v>328</v>
      </c>
      <c r="AL397" s="15"/>
      <c r="AM397" s="15" t="s">
        <v>328</v>
      </c>
      <c r="AN397" s="15"/>
      <c r="AO397" s="15"/>
      <c r="AP397" s="15">
        <v>8</v>
      </c>
      <c r="AQ397" s="15">
        <v>4</v>
      </c>
      <c r="AR397" s="15"/>
      <c r="AS397" s="15" t="s">
        <v>328</v>
      </c>
      <c r="AT397" s="15"/>
      <c r="AU397" s="15"/>
      <c r="AV397" s="15">
        <v>1</v>
      </c>
      <c r="AW397" s="15">
        <v>2</v>
      </c>
      <c r="AX397" s="15">
        <v>3</v>
      </c>
      <c r="AY397" s="15"/>
      <c r="AZ397" s="15" t="s">
        <v>328</v>
      </c>
      <c r="BA397" s="15"/>
      <c r="BB397" s="15" t="s">
        <v>328</v>
      </c>
      <c r="BC397" s="15"/>
      <c r="BD397" s="15"/>
      <c r="BE397" s="15"/>
      <c r="BF397" s="15"/>
      <c r="BG397" s="15"/>
      <c r="BH397" s="15"/>
      <c r="BI397" s="15" t="s">
        <v>328</v>
      </c>
      <c r="BJ397" s="15"/>
      <c r="BK397" s="15"/>
      <c r="BL397" s="15"/>
      <c r="BM397" s="15" t="s">
        <v>328</v>
      </c>
      <c r="BN397" s="15"/>
      <c r="BO397" s="15" t="s">
        <v>328</v>
      </c>
      <c r="BP397" s="15"/>
      <c r="BQ397" s="15"/>
      <c r="BR397" s="15"/>
      <c r="BS397" s="15"/>
      <c r="BT397" s="15"/>
      <c r="BU397" s="15" t="s">
        <v>328</v>
      </c>
      <c r="BV397" s="15"/>
      <c r="BW397" s="15"/>
      <c r="BX397" s="15"/>
      <c r="BY397" s="15"/>
      <c r="BZ397" s="15"/>
      <c r="CA397" s="15"/>
      <c r="CB397" s="15" t="s">
        <v>328</v>
      </c>
      <c r="CC397" s="15"/>
      <c r="CD397" s="15" t="s">
        <v>328</v>
      </c>
      <c r="CE397" s="15" t="s">
        <v>328</v>
      </c>
      <c r="CF397" s="15"/>
      <c r="CG397" s="15"/>
      <c r="CH397" s="15" t="s">
        <v>328</v>
      </c>
      <c r="CI397" s="15"/>
      <c r="CJ397" s="15"/>
      <c r="CK397" s="15"/>
      <c r="CL397" s="15">
        <v>1</v>
      </c>
      <c r="CM397" s="15">
        <v>3</v>
      </c>
      <c r="CN397" s="15">
        <v>4</v>
      </c>
      <c r="CO397" s="15">
        <v>5</v>
      </c>
      <c r="CP397" s="15">
        <v>6</v>
      </c>
      <c r="CQ397" s="15">
        <v>2</v>
      </c>
      <c r="CR397" s="15"/>
      <c r="CS397" s="15"/>
      <c r="CT397" s="15"/>
      <c r="CU397" s="15"/>
      <c r="CV397" s="15" t="s">
        <v>328</v>
      </c>
      <c r="CW397" s="15"/>
      <c r="CX397" s="15"/>
      <c r="CY397" s="15" t="s">
        <v>328</v>
      </c>
      <c r="CZ397" s="15" t="s">
        <v>404</v>
      </c>
      <c r="DA397" s="15"/>
      <c r="DB397" s="15"/>
      <c r="DC397" s="15"/>
      <c r="DD397" s="15"/>
      <c r="DE397" s="15"/>
      <c r="DF397" s="15"/>
      <c r="DG397" s="15"/>
      <c r="DH397" s="15" t="s">
        <v>328</v>
      </c>
      <c r="DI397" s="15"/>
      <c r="DJ397" s="15"/>
      <c r="DK397" s="15"/>
      <c r="DL397" s="15"/>
      <c r="DM397" s="15"/>
      <c r="DN397" s="15"/>
      <c r="DO397" s="15" t="s">
        <v>328</v>
      </c>
      <c r="DP397" s="15"/>
      <c r="DQ397" s="15"/>
      <c r="DR397" s="15"/>
      <c r="DS397" s="15"/>
      <c r="DT397" s="15"/>
      <c r="DU397" s="15"/>
      <c r="DV397" s="15"/>
      <c r="DW397" s="15" t="s">
        <v>328</v>
      </c>
      <c r="DX397" s="15"/>
      <c r="DY397" s="15"/>
      <c r="DZ397" s="15"/>
      <c r="EA397" s="15"/>
      <c r="EB397" s="15"/>
      <c r="EC397" s="102"/>
      <c r="ED397" s="99"/>
    </row>
    <row r="398" spans="1:134" x14ac:dyDescent="0.25">
      <c r="A398" s="52" t="s">
        <v>1857</v>
      </c>
      <c r="B398" s="103" t="s">
        <v>1646</v>
      </c>
      <c r="C398" s="15" t="s">
        <v>328</v>
      </c>
      <c r="D398" s="15"/>
      <c r="E398" s="15">
        <v>40</v>
      </c>
      <c r="F398" s="15" t="s">
        <v>329</v>
      </c>
      <c r="G398" s="15" t="s">
        <v>353</v>
      </c>
      <c r="H398" s="15" t="s">
        <v>1629</v>
      </c>
      <c r="I398" s="18" t="s">
        <v>1630</v>
      </c>
      <c r="J398" s="15" t="s">
        <v>1256</v>
      </c>
      <c r="K398" s="15">
        <v>20</v>
      </c>
      <c r="L398" s="15">
        <v>1</v>
      </c>
      <c r="M398" s="15">
        <v>1</v>
      </c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 t="s">
        <v>328</v>
      </c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4" t="s">
        <v>328</v>
      </c>
      <c r="AL398" s="15"/>
      <c r="AM398" s="15"/>
      <c r="AN398" s="15"/>
      <c r="AO398" s="15" t="s">
        <v>328</v>
      </c>
      <c r="AP398" s="15">
        <v>10</v>
      </c>
      <c r="AQ398" s="15">
        <v>5</v>
      </c>
      <c r="AR398" s="15"/>
      <c r="AS398" s="15" t="s">
        <v>328</v>
      </c>
      <c r="AT398" s="15"/>
      <c r="AU398" s="15"/>
      <c r="AV398" s="15">
        <v>1</v>
      </c>
      <c r="AW398" s="15">
        <v>2</v>
      </c>
      <c r="AX398" s="15">
        <v>3</v>
      </c>
      <c r="AY398" s="15"/>
      <c r="AZ398" s="15" t="s">
        <v>328</v>
      </c>
      <c r="BA398" s="15"/>
      <c r="BB398" s="15"/>
      <c r="BC398" s="15" t="s">
        <v>328</v>
      </c>
      <c r="BD398" s="15"/>
      <c r="BE398" s="15"/>
      <c r="BF398" s="15"/>
      <c r="BG398" s="15"/>
      <c r="BH398" s="15"/>
      <c r="BI398" s="15" t="s">
        <v>328</v>
      </c>
      <c r="BJ398" s="15"/>
      <c r="BK398" s="15"/>
      <c r="BL398" s="15"/>
      <c r="BM398" s="15" t="s">
        <v>328</v>
      </c>
      <c r="BN398" s="15"/>
      <c r="BO398" s="15" t="s">
        <v>328</v>
      </c>
      <c r="BP398" s="15"/>
      <c r="BQ398" s="15"/>
      <c r="BR398" s="15"/>
      <c r="BS398" s="15"/>
      <c r="BT398" s="15" t="s">
        <v>328</v>
      </c>
      <c r="BU398" s="15" t="s">
        <v>328</v>
      </c>
      <c r="BV398" s="15"/>
      <c r="BW398" s="15"/>
      <c r="BX398" s="15"/>
      <c r="BY398" s="15"/>
      <c r="BZ398" s="15"/>
      <c r="CA398" s="15" t="s">
        <v>328</v>
      </c>
      <c r="CB398" s="15"/>
      <c r="CC398" s="15"/>
      <c r="CD398" s="15"/>
      <c r="CE398" s="15"/>
      <c r="CF398" s="15"/>
      <c r="CG398" s="15" t="s">
        <v>328</v>
      </c>
      <c r="CH398" s="15"/>
      <c r="CI398" s="15"/>
      <c r="CJ398" s="15"/>
      <c r="CK398" s="15"/>
      <c r="CL398" s="15">
        <v>2</v>
      </c>
      <c r="CM398" s="15">
        <v>6</v>
      </c>
      <c r="CN398" s="15">
        <v>3</v>
      </c>
      <c r="CO398" s="15">
        <v>5</v>
      </c>
      <c r="CP398" s="15">
        <v>4</v>
      </c>
      <c r="CQ398" s="15">
        <v>1</v>
      </c>
      <c r="CR398" s="15" t="s">
        <v>328</v>
      </c>
      <c r="CS398" s="15" t="s">
        <v>328</v>
      </c>
      <c r="CT398" s="15"/>
      <c r="CU398" s="15"/>
      <c r="CV398" s="15" t="s">
        <v>328</v>
      </c>
      <c r="CW398" s="15"/>
      <c r="CX398" s="15"/>
      <c r="CY398" s="15"/>
      <c r="CZ398" s="15"/>
      <c r="DA398" s="15">
        <v>1</v>
      </c>
      <c r="DB398" s="15">
        <v>2</v>
      </c>
      <c r="DC398" s="15">
        <v>4</v>
      </c>
      <c r="DD398" s="15">
        <v>5</v>
      </c>
      <c r="DE398" s="15">
        <v>3</v>
      </c>
      <c r="DF398" s="15">
        <v>6</v>
      </c>
      <c r="DG398" s="15"/>
      <c r="DH398" s="15" t="s">
        <v>328</v>
      </c>
      <c r="DI398" s="15"/>
      <c r="DJ398" s="15"/>
      <c r="DK398" s="15"/>
      <c r="DL398" s="15"/>
      <c r="DM398" s="15"/>
      <c r="DN398" s="14" t="s">
        <v>333</v>
      </c>
      <c r="DO398" s="15" t="s">
        <v>328</v>
      </c>
      <c r="DP398" s="15"/>
      <c r="DQ398" s="15"/>
      <c r="DR398" s="15"/>
      <c r="DS398" s="15"/>
      <c r="DT398" s="15"/>
      <c r="DU398" s="15"/>
      <c r="DV398" s="14" t="s">
        <v>333</v>
      </c>
      <c r="DW398" s="15" t="s">
        <v>328</v>
      </c>
      <c r="DX398" s="15"/>
      <c r="DY398" s="15"/>
      <c r="DZ398" s="15"/>
      <c r="EA398" s="15"/>
      <c r="EB398" s="15"/>
      <c r="EC398" s="101" t="s">
        <v>333</v>
      </c>
      <c r="ED398" s="99"/>
    </row>
    <row r="399" spans="1:134" x14ac:dyDescent="0.25">
      <c r="A399" s="52" t="s">
        <v>1857</v>
      </c>
      <c r="B399" s="103" t="s">
        <v>1647</v>
      </c>
      <c r="C399" s="15" t="s">
        <v>328</v>
      </c>
      <c r="D399" s="15"/>
      <c r="E399" s="15">
        <v>53</v>
      </c>
      <c r="F399" s="15" t="s">
        <v>329</v>
      </c>
      <c r="G399" s="15" t="s">
        <v>357</v>
      </c>
      <c r="H399" s="14" t="s">
        <v>386</v>
      </c>
      <c r="I399" s="14" t="s">
        <v>1189</v>
      </c>
      <c r="J399" s="14" t="s">
        <v>1256</v>
      </c>
      <c r="K399" s="15">
        <v>20</v>
      </c>
      <c r="L399" s="15">
        <v>2</v>
      </c>
      <c r="M399" s="15">
        <v>2</v>
      </c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>
        <v>2</v>
      </c>
      <c r="Y399" s="15"/>
      <c r="Z399" s="15"/>
      <c r="AA399" s="15"/>
      <c r="AB399" s="15"/>
      <c r="AC399" s="15"/>
      <c r="AD399" s="15"/>
      <c r="AE399" s="15" t="s">
        <v>328</v>
      </c>
      <c r="AF399" s="15"/>
      <c r="AG399" s="15"/>
      <c r="AH399" s="15"/>
      <c r="AI399" s="15" t="s">
        <v>692</v>
      </c>
      <c r="AJ399" s="15" t="s">
        <v>328</v>
      </c>
      <c r="AK399" s="15"/>
      <c r="AL399" s="15" t="s">
        <v>328</v>
      </c>
      <c r="AM399" s="15" t="s">
        <v>328</v>
      </c>
      <c r="AN399" s="15"/>
      <c r="AO399" s="15" t="s">
        <v>328</v>
      </c>
      <c r="AP399" s="15">
        <v>10</v>
      </c>
      <c r="AQ399" s="15">
        <v>5</v>
      </c>
      <c r="AR399" s="15"/>
      <c r="AS399" s="15"/>
      <c r="AT399" s="15"/>
      <c r="AU399" s="15" t="s">
        <v>328</v>
      </c>
      <c r="AV399" s="15">
        <v>2</v>
      </c>
      <c r="AW399" s="15">
        <v>3</v>
      </c>
      <c r="AX399" s="15">
        <v>1</v>
      </c>
      <c r="AY399" s="15"/>
      <c r="AZ399" s="15" t="s">
        <v>328</v>
      </c>
      <c r="BA399" s="15"/>
      <c r="BB399" s="15"/>
      <c r="BC399" s="15"/>
      <c r="BD399" s="15" t="s">
        <v>328</v>
      </c>
      <c r="BE399" s="15"/>
      <c r="BF399" s="15"/>
      <c r="BG399" s="15"/>
      <c r="BH399" s="15"/>
      <c r="BI399" s="15" t="s">
        <v>328</v>
      </c>
      <c r="BJ399" s="15" t="s">
        <v>328</v>
      </c>
      <c r="BK399" s="15"/>
      <c r="BL399" s="15"/>
      <c r="BM399" s="15" t="s">
        <v>328</v>
      </c>
      <c r="BN399" s="15" t="s">
        <v>328</v>
      </c>
      <c r="BO399" s="15"/>
      <c r="BP399" s="15" t="s">
        <v>328</v>
      </c>
      <c r="BQ399" s="15" t="s">
        <v>328</v>
      </c>
      <c r="BR399" s="15" t="s">
        <v>328</v>
      </c>
      <c r="BS399" s="15" t="s">
        <v>328</v>
      </c>
      <c r="BT399" s="15"/>
      <c r="BU399" s="15"/>
      <c r="BV399" s="15"/>
      <c r="BW399" s="15"/>
      <c r="BX399" s="15"/>
      <c r="BY399" s="15"/>
      <c r="BZ399" s="15"/>
      <c r="CA399" s="15" t="s">
        <v>328</v>
      </c>
      <c r="CB399" s="15"/>
      <c r="CC399" s="15"/>
      <c r="CD399" s="15"/>
      <c r="CE399" s="15"/>
      <c r="CF399" s="15"/>
      <c r="CG399" s="15" t="s">
        <v>328</v>
      </c>
      <c r="CH399" s="15"/>
      <c r="CI399" s="15"/>
      <c r="CJ399" s="15"/>
      <c r="CK399" s="15"/>
      <c r="CL399" s="15">
        <v>3</v>
      </c>
      <c r="CM399" s="15">
        <v>2</v>
      </c>
      <c r="CN399" s="15">
        <v>1</v>
      </c>
      <c r="CO399" s="15">
        <v>6</v>
      </c>
      <c r="CP399" s="15">
        <v>5</v>
      </c>
      <c r="CQ399" s="15">
        <v>4</v>
      </c>
      <c r="CR399" s="15" t="s">
        <v>328</v>
      </c>
      <c r="CS399" s="15"/>
      <c r="CT399" s="15"/>
      <c r="CU399" s="15"/>
      <c r="CV399" s="15" t="s">
        <v>328</v>
      </c>
      <c r="CW399" s="15"/>
      <c r="CX399" s="15"/>
      <c r="CY399" s="15" t="s">
        <v>328</v>
      </c>
      <c r="CZ399" s="15" t="s">
        <v>404</v>
      </c>
      <c r="DA399" s="15"/>
      <c r="DB399" s="15"/>
      <c r="DC399" s="15"/>
      <c r="DD399" s="15"/>
      <c r="DE399" s="15"/>
      <c r="DF399" s="15"/>
      <c r="DG399" s="15"/>
      <c r="DH399" s="15" t="s">
        <v>328</v>
      </c>
      <c r="DI399" s="15"/>
      <c r="DJ399" s="15"/>
      <c r="DK399" s="15"/>
      <c r="DL399" s="15"/>
      <c r="DM399" s="15"/>
      <c r="DN399" s="15"/>
      <c r="DO399" s="15" t="s">
        <v>328</v>
      </c>
      <c r="DP399" s="15"/>
      <c r="DQ399" s="15"/>
      <c r="DR399" s="15"/>
      <c r="DS399" s="15"/>
      <c r="DT399" s="15"/>
      <c r="DU399" s="15"/>
      <c r="DV399" s="15"/>
      <c r="DW399" s="15" t="s">
        <v>328</v>
      </c>
      <c r="DX399" s="15"/>
      <c r="DY399" s="15"/>
      <c r="DZ399" s="15"/>
      <c r="EA399" s="15"/>
      <c r="EB399" s="12"/>
      <c r="EC399" s="80"/>
      <c r="ED399" s="99"/>
    </row>
    <row r="400" spans="1:134" x14ac:dyDescent="0.25">
      <c r="A400" s="52" t="s">
        <v>1857</v>
      </c>
      <c r="B400" s="103" t="s">
        <v>1648</v>
      </c>
      <c r="C400" s="15" t="s">
        <v>328</v>
      </c>
      <c r="D400" s="15"/>
      <c r="E400" s="15">
        <v>32</v>
      </c>
      <c r="F400" s="15" t="s">
        <v>329</v>
      </c>
      <c r="G400" s="15" t="s">
        <v>357</v>
      </c>
      <c r="H400" s="14" t="s">
        <v>1617</v>
      </c>
      <c r="I400" s="14" t="s">
        <v>1264</v>
      </c>
      <c r="J400" s="14" t="s">
        <v>1256</v>
      </c>
      <c r="K400" s="15">
        <v>8</v>
      </c>
      <c r="L400" s="15">
        <v>4</v>
      </c>
      <c r="M400" s="15">
        <v>1</v>
      </c>
      <c r="N400" s="15"/>
      <c r="O400" s="15"/>
      <c r="P400" s="15">
        <v>3</v>
      </c>
      <c r="Q400" s="15"/>
      <c r="R400" s="15"/>
      <c r="S400" s="15"/>
      <c r="T400" s="15"/>
      <c r="U400" s="15"/>
      <c r="V400" s="15"/>
      <c r="W400" s="15"/>
      <c r="X400" s="15"/>
      <c r="Y400" s="15"/>
      <c r="Z400" s="15" t="s">
        <v>328</v>
      </c>
      <c r="AA400" s="15" t="s">
        <v>328</v>
      </c>
      <c r="AB400" s="15"/>
      <c r="AC400" s="15"/>
      <c r="AD400" s="15" t="s">
        <v>328</v>
      </c>
      <c r="AE400" s="15"/>
      <c r="AF400" s="15"/>
      <c r="AG400" s="15" t="s">
        <v>328</v>
      </c>
      <c r="AH400" s="15"/>
      <c r="AI400" s="15"/>
      <c r="AJ400" s="15" t="s">
        <v>328</v>
      </c>
      <c r="AK400" s="15"/>
      <c r="AL400" s="15"/>
      <c r="AM400" s="15"/>
      <c r="AN400" s="15"/>
      <c r="AO400" s="15" t="s">
        <v>328</v>
      </c>
      <c r="AP400" s="15">
        <v>10</v>
      </c>
      <c r="AQ400" s="15">
        <v>3</v>
      </c>
      <c r="AR400" s="15"/>
      <c r="AS400" s="15" t="s">
        <v>328</v>
      </c>
      <c r="AT400" s="15"/>
      <c r="AU400" s="15"/>
      <c r="AV400" s="15">
        <v>3</v>
      </c>
      <c r="AW400" s="15">
        <v>1</v>
      </c>
      <c r="AX400" s="15">
        <v>2</v>
      </c>
      <c r="AY400" s="15"/>
      <c r="AZ400" s="15" t="s">
        <v>328</v>
      </c>
      <c r="BA400" s="15"/>
      <c r="BB400" s="15" t="s">
        <v>328</v>
      </c>
      <c r="BC400" s="15"/>
      <c r="BD400" s="15"/>
      <c r="BE400" s="15" t="s">
        <v>328</v>
      </c>
      <c r="BF400" s="15"/>
      <c r="BG400" s="15"/>
      <c r="BH400" s="15"/>
      <c r="BI400" s="15"/>
      <c r="BJ400" s="15"/>
      <c r="BK400" s="15"/>
      <c r="BL400" s="15"/>
      <c r="BM400" s="15" t="s">
        <v>328</v>
      </c>
      <c r="BN400" s="15" t="s">
        <v>328</v>
      </c>
      <c r="BO400" s="15"/>
      <c r="BP400" s="15" t="s">
        <v>328</v>
      </c>
      <c r="BQ400" s="15"/>
      <c r="BR400" s="15"/>
      <c r="BS400" s="15"/>
      <c r="BT400" s="15" t="s">
        <v>328</v>
      </c>
      <c r="BU400" s="15"/>
      <c r="BV400" s="15"/>
      <c r="BW400" s="15"/>
      <c r="BX400" s="15"/>
      <c r="BY400" s="15"/>
      <c r="BZ400" s="15" t="s">
        <v>328</v>
      </c>
      <c r="CA400" s="15" t="s">
        <v>328</v>
      </c>
      <c r="CB400" s="15"/>
      <c r="CC400" s="15"/>
      <c r="CD400" s="15"/>
      <c r="CE400" s="15"/>
      <c r="CF400" s="15"/>
      <c r="CG400" s="15" t="s">
        <v>328</v>
      </c>
      <c r="CH400" s="15"/>
      <c r="CI400" s="15"/>
      <c r="CJ400" s="15"/>
      <c r="CK400" s="15"/>
      <c r="CL400" s="15">
        <v>6</v>
      </c>
      <c r="CM400" s="15">
        <v>5</v>
      </c>
      <c r="CN400" s="15">
        <v>4</v>
      </c>
      <c r="CO400" s="15">
        <v>2</v>
      </c>
      <c r="CP400" s="15">
        <v>1</v>
      </c>
      <c r="CQ400" s="15">
        <v>3</v>
      </c>
      <c r="CR400" s="15"/>
      <c r="CS400" s="15"/>
      <c r="CT400" s="15" t="s">
        <v>328</v>
      </c>
      <c r="CU400" s="15"/>
      <c r="CV400" s="15" t="s">
        <v>328</v>
      </c>
      <c r="CW400" s="15"/>
      <c r="CX400" s="15"/>
      <c r="CY400" s="15"/>
      <c r="CZ400" s="15"/>
      <c r="DA400" s="15">
        <v>1</v>
      </c>
      <c r="DB400" s="15">
        <v>4</v>
      </c>
      <c r="DC400" s="15"/>
      <c r="DD400" s="15">
        <v>3</v>
      </c>
      <c r="DE400" s="15">
        <v>2</v>
      </c>
      <c r="DF400" s="15"/>
      <c r="DG400" s="15"/>
      <c r="DH400" s="15" t="s">
        <v>328</v>
      </c>
      <c r="DI400" s="15"/>
      <c r="DJ400" s="15"/>
      <c r="DK400" s="15"/>
      <c r="DL400" s="15"/>
      <c r="DM400" s="15"/>
      <c r="DN400" s="15"/>
      <c r="DO400" s="15" t="s">
        <v>328</v>
      </c>
      <c r="DP400" s="15"/>
      <c r="DQ400" s="15"/>
      <c r="DR400" s="15"/>
      <c r="DS400" s="15"/>
      <c r="DT400" s="15"/>
      <c r="DU400" s="15"/>
      <c r="DV400" s="15"/>
      <c r="DW400" s="15" t="s">
        <v>328</v>
      </c>
      <c r="DX400" s="15"/>
      <c r="DY400" s="15"/>
      <c r="DZ400" s="15"/>
      <c r="EA400" s="15"/>
      <c r="EB400" s="15"/>
      <c r="EC400" s="102"/>
      <c r="ED400" s="99"/>
    </row>
    <row r="401" spans="1:134" x14ac:dyDescent="0.25">
      <c r="A401" s="52" t="s">
        <v>1857</v>
      </c>
      <c r="B401" s="103" t="s">
        <v>1649</v>
      </c>
      <c r="C401" s="15" t="s">
        <v>328</v>
      </c>
      <c r="D401" s="15"/>
      <c r="E401" s="15">
        <v>40</v>
      </c>
      <c r="F401" s="15" t="s">
        <v>329</v>
      </c>
      <c r="G401" s="15" t="s">
        <v>330</v>
      </c>
      <c r="H401" s="14" t="s">
        <v>1619</v>
      </c>
      <c r="I401" s="14" t="s">
        <v>1620</v>
      </c>
      <c r="J401" s="14" t="s">
        <v>1256</v>
      </c>
      <c r="K401" s="15">
        <v>15</v>
      </c>
      <c r="L401" s="15">
        <v>2</v>
      </c>
      <c r="M401" s="15"/>
      <c r="N401" s="15"/>
      <c r="O401" s="15"/>
      <c r="P401" s="15"/>
      <c r="Q401" s="15"/>
      <c r="R401" s="15"/>
      <c r="S401" s="15"/>
      <c r="T401" s="15"/>
      <c r="U401" s="15">
        <v>2</v>
      </c>
      <c r="V401" s="15"/>
      <c r="W401" s="15"/>
      <c r="X401" s="15"/>
      <c r="Y401" s="15"/>
      <c r="Z401" s="15"/>
      <c r="AA401" s="15"/>
      <c r="AB401" s="15"/>
      <c r="AC401" s="15"/>
      <c r="AD401" s="15" t="s">
        <v>328</v>
      </c>
      <c r="AE401" s="15"/>
      <c r="AF401" s="15"/>
      <c r="AG401" s="15"/>
      <c r="AH401" s="15"/>
      <c r="AI401" s="15"/>
      <c r="AJ401" s="15" t="s">
        <v>328</v>
      </c>
      <c r="AK401" s="15"/>
      <c r="AL401" s="15"/>
      <c r="AM401" s="15"/>
      <c r="AN401" s="15"/>
      <c r="AO401" s="15" t="s">
        <v>328</v>
      </c>
      <c r="AP401" s="15">
        <v>10</v>
      </c>
      <c r="AQ401" s="15">
        <v>10</v>
      </c>
      <c r="AR401" s="15"/>
      <c r="AS401" s="15"/>
      <c r="AT401" s="15" t="s">
        <v>328</v>
      </c>
      <c r="AU401" s="15"/>
      <c r="AV401" s="15">
        <v>1</v>
      </c>
      <c r="AW401" s="15">
        <v>2</v>
      </c>
      <c r="AX401" s="15">
        <v>3</v>
      </c>
      <c r="AY401" s="15"/>
      <c r="AZ401" s="15" t="s">
        <v>328</v>
      </c>
      <c r="BA401" s="15"/>
      <c r="BB401" s="15"/>
      <c r="BC401" s="15"/>
      <c r="BD401" s="15"/>
      <c r="BE401" s="15"/>
      <c r="BF401" s="15"/>
      <c r="BG401" s="15"/>
      <c r="BH401" s="15"/>
      <c r="BI401" s="15" t="s">
        <v>328</v>
      </c>
      <c r="BJ401" s="15"/>
      <c r="BK401" s="15"/>
      <c r="BL401" s="15"/>
      <c r="BM401" s="15" t="s">
        <v>328</v>
      </c>
      <c r="BN401" s="15"/>
      <c r="BO401" s="15" t="s">
        <v>328</v>
      </c>
      <c r="BP401" s="15"/>
      <c r="BQ401" s="15"/>
      <c r="BR401" s="15"/>
      <c r="BS401" s="15"/>
      <c r="BT401" s="15" t="s">
        <v>328</v>
      </c>
      <c r="BU401" s="15"/>
      <c r="BV401" s="15"/>
      <c r="BW401" s="15"/>
      <c r="BX401" s="15"/>
      <c r="BY401" s="15"/>
      <c r="BZ401" s="15"/>
      <c r="CA401" s="15"/>
      <c r="CB401" s="15" t="s">
        <v>328</v>
      </c>
      <c r="CC401" s="15"/>
      <c r="CD401" s="15"/>
      <c r="CE401" s="15" t="s">
        <v>328</v>
      </c>
      <c r="CF401" s="15"/>
      <c r="CG401" s="15" t="s">
        <v>328</v>
      </c>
      <c r="CH401" s="15"/>
      <c r="CI401" s="15"/>
      <c r="CJ401" s="15"/>
      <c r="CK401" s="15"/>
      <c r="CL401" s="15">
        <v>4</v>
      </c>
      <c r="CM401" s="15">
        <v>1</v>
      </c>
      <c r="CN401" s="15">
        <v>2</v>
      </c>
      <c r="CO401" s="15">
        <v>5</v>
      </c>
      <c r="CP401" s="15">
        <v>6</v>
      </c>
      <c r="CQ401" s="15">
        <v>3</v>
      </c>
      <c r="CR401" s="15" t="s">
        <v>328</v>
      </c>
      <c r="CS401" s="15"/>
      <c r="CT401" s="15"/>
      <c r="CU401" s="15"/>
      <c r="CV401" s="15" t="s">
        <v>328</v>
      </c>
      <c r="CW401" s="15"/>
      <c r="CX401" s="15"/>
      <c r="CY401" s="15"/>
      <c r="CZ401" s="15"/>
      <c r="DA401" s="15">
        <v>2</v>
      </c>
      <c r="DB401" s="15">
        <v>3</v>
      </c>
      <c r="DC401" s="15"/>
      <c r="DD401" s="15">
        <v>4</v>
      </c>
      <c r="DE401" s="15">
        <v>1</v>
      </c>
      <c r="DF401" s="15"/>
      <c r="DG401" s="15"/>
      <c r="DH401" s="15" t="s">
        <v>328</v>
      </c>
      <c r="DI401" s="15"/>
      <c r="DJ401" s="15"/>
      <c r="DK401" s="15"/>
      <c r="DL401" s="15"/>
      <c r="DM401" s="15"/>
      <c r="DN401" s="15"/>
      <c r="DO401" s="15" t="s">
        <v>328</v>
      </c>
      <c r="DP401" s="15"/>
      <c r="DQ401" s="15"/>
      <c r="DR401" s="15"/>
      <c r="DS401" s="15"/>
      <c r="DT401" s="15"/>
      <c r="DU401" s="15"/>
      <c r="DV401" s="15"/>
      <c r="DW401" s="15" t="s">
        <v>328</v>
      </c>
      <c r="DX401" s="15"/>
      <c r="DY401" s="15"/>
      <c r="DZ401" s="15"/>
      <c r="EA401" s="15"/>
      <c r="EB401" s="15"/>
      <c r="EC401" s="102"/>
      <c r="ED401" s="99"/>
    </row>
    <row r="402" spans="1:134" x14ac:dyDescent="0.25">
      <c r="A402" s="52" t="s">
        <v>1857</v>
      </c>
      <c r="B402" s="103" t="s">
        <v>1650</v>
      </c>
      <c r="C402" s="15" t="s">
        <v>328</v>
      </c>
      <c r="D402" s="15"/>
      <c r="E402" s="15">
        <v>50</v>
      </c>
      <c r="F402" s="15" t="s">
        <v>329</v>
      </c>
      <c r="G402" s="15" t="s">
        <v>357</v>
      </c>
      <c r="H402" s="15" t="s">
        <v>1629</v>
      </c>
      <c r="I402" s="18" t="s">
        <v>1630</v>
      </c>
      <c r="J402" s="15" t="s">
        <v>1256</v>
      </c>
      <c r="K402" s="15">
        <v>20</v>
      </c>
      <c r="L402" s="15">
        <v>1</v>
      </c>
      <c r="M402" s="15">
        <v>1</v>
      </c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 t="s">
        <v>418</v>
      </c>
      <c r="AJ402" s="15"/>
      <c r="AK402" s="15"/>
      <c r="AL402" s="15" t="s">
        <v>328</v>
      </c>
      <c r="AM402" s="15" t="s">
        <v>328</v>
      </c>
      <c r="AN402" s="15"/>
      <c r="AO402" s="12"/>
      <c r="AP402" s="15">
        <v>10</v>
      </c>
      <c r="AQ402" s="15">
        <v>8</v>
      </c>
      <c r="AR402" s="15"/>
      <c r="AS402" s="15" t="s">
        <v>328</v>
      </c>
      <c r="AT402" s="15"/>
      <c r="AU402" s="12"/>
      <c r="AV402" s="15">
        <v>2</v>
      </c>
      <c r="AW402" s="15">
        <v>4</v>
      </c>
      <c r="AX402" s="15">
        <v>3</v>
      </c>
      <c r="AY402" s="15" t="s">
        <v>346</v>
      </c>
      <c r="AZ402" s="15" t="s">
        <v>328</v>
      </c>
      <c r="BA402" s="15"/>
      <c r="BB402" s="15"/>
      <c r="BC402" s="15" t="s">
        <v>328</v>
      </c>
      <c r="BD402" s="15"/>
      <c r="BE402" s="15"/>
      <c r="BF402" s="15"/>
      <c r="BG402" s="15"/>
      <c r="BH402" s="15"/>
      <c r="BI402" s="15" t="s">
        <v>328</v>
      </c>
      <c r="BJ402" s="15"/>
      <c r="BK402" s="15"/>
      <c r="BL402" s="15"/>
      <c r="BM402" s="15" t="s">
        <v>328</v>
      </c>
      <c r="BN402" s="15" t="s">
        <v>328</v>
      </c>
      <c r="BO402" s="15"/>
      <c r="BP402" s="15" t="s">
        <v>328</v>
      </c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 t="s">
        <v>328</v>
      </c>
      <c r="CC402" s="15"/>
      <c r="CD402" s="15"/>
      <c r="CE402" s="15"/>
      <c r="CF402" s="15"/>
      <c r="CG402" s="15"/>
      <c r="CH402" s="15" t="s">
        <v>328</v>
      </c>
      <c r="CI402" s="15"/>
      <c r="CJ402" s="15"/>
      <c r="CK402" s="15"/>
      <c r="CL402" s="15">
        <v>2</v>
      </c>
      <c r="CM402" s="15">
        <v>1</v>
      </c>
      <c r="CN402" s="15">
        <v>3</v>
      </c>
      <c r="CO402" s="15">
        <v>5</v>
      </c>
      <c r="CP402" s="15">
        <v>4</v>
      </c>
      <c r="CQ402" s="15">
        <v>6</v>
      </c>
      <c r="CR402" s="15" t="s">
        <v>328</v>
      </c>
      <c r="CS402" s="15" t="s">
        <v>328</v>
      </c>
      <c r="CT402" s="15"/>
      <c r="CU402" s="15"/>
      <c r="CV402" s="15" t="s">
        <v>328</v>
      </c>
      <c r="CW402" s="15"/>
      <c r="CX402" s="15"/>
      <c r="CY402" s="15" t="s">
        <v>328</v>
      </c>
      <c r="CZ402" s="15" t="s">
        <v>404</v>
      </c>
      <c r="DA402" s="15"/>
      <c r="DB402" s="15"/>
      <c r="DC402" s="15"/>
      <c r="DD402" s="15"/>
      <c r="DE402" s="15"/>
      <c r="DF402" s="15"/>
      <c r="DG402" s="15"/>
      <c r="DH402" s="15" t="s">
        <v>328</v>
      </c>
      <c r="DI402" s="15"/>
      <c r="DJ402" s="15"/>
      <c r="DK402" s="15"/>
      <c r="DL402" s="15"/>
      <c r="DM402" s="15"/>
      <c r="DN402" s="15" t="s">
        <v>497</v>
      </c>
      <c r="DO402" s="15" t="s">
        <v>328</v>
      </c>
      <c r="DP402" s="15"/>
      <c r="DQ402" s="15"/>
      <c r="DR402" s="15"/>
      <c r="DS402" s="15"/>
      <c r="DT402" s="15"/>
      <c r="DU402" s="15"/>
      <c r="DV402" s="15" t="s">
        <v>497</v>
      </c>
      <c r="DW402" s="15" t="s">
        <v>328</v>
      </c>
      <c r="DX402" s="15"/>
      <c r="DY402" s="15"/>
      <c r="DZ402" s="15"/>
      <c r="EA402" s="15"/>
      <c r="EB402" s="15"/>
      <c r="EC402" s="102" t="s">
        <v>497</v>
      </c>
      <c r="ED402" s="99"/>
    </row>
    <row r="403" spans="1:134" x14ac:dyDescent="0.25">
      <c r="A403" s="52" t="s">
        <v>1857</v>
      </c>
      <c r="B403" s="103" t="s">
        <v>1651</v>
      </c>
      <c r="C403" s="15" t="s">
        <v>328</v>
      </c>
      <c r="D403" s="15"/>
      <c r="E403" s="15">
        <v>43</v>
      </c>
      <c r="F403" s="15" t="s">
        <v>329</v>
      </c>
      <c r="G403" s="15" t="s">
        <v>353</v>
      </c>
      <c r="H403" s="14" t="s">
        <v>386</v>
      </c>
      <c r="I403" s="14" t="s">
        <v>1189</v>
      </c>
      <c r="J403" s="14" t="s">
        <v>1256</v>
      </c>
      <c r="K403" s="15">
        <v>15</v>
      </c>
      <c r="L403" s="15">
        <v>2</v>
      </c>
      <c r="M403" s="15">
        <v>2</v>
      </c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 t="s">
        <v>418</v>
      </c>
      <c r="AJ403" s="15" t="s">
        <v>328</v>
      </c>
      <c r="AK403" s="15"/>
      <c r="AL403" s="15"/>
      <c r="AM403" s="15"/>
      <c r="AN403" s="15"/>
      <c r="AO403" s="15" t="s">
        <v>328</v>
      </c>
      <c r="AP403" s="15">
        <v>10</v>
      </c>
      <c r="AQ403" s="15">
        <v>7</v>
      </c>
      <c r="AR403" s="15"/>
      <c r="AS403" s="15" t="s">
        <v>328</v>
      </c>
      <c r="AT403" s="15"/>
      <c r="AU403" s="15"/>
      <c r="AV403" s="15">
        <v>1</v>
      </c>
      <c r="AW403" s="15">
        <v>2</v>
      </c>
      <c r="AX403" s="15">
        <v>3</v>
      </c>
      <c r="AY403" s="15"/>
      <c r="AZ403" s="15" t="s">
        <v>328</v>
      </c>
      <c r="BA403" s="15"/>
      <c r="BB403" s="15" t="s">
        <v>328</v>
      </c>
      <c r="BC403" s="15"/>
      <c r="BD403" s="15"/>
      <c r="BE403" s="15"/>
      <c r="BF403" s="15"/>
      <c r="BG403" s="15"/>
      <c r="BH403" s="15"/>
      <c r="BI403" s="15" t="s">
        <v>328</v>
      </c>
      <c r="BJ403" s="15"/>
      <c r="BK403" s="15"/>
      <c r="BL403" s="15"/>
      <c r="BM403" s="15" t="s">
        <v>328</v>
      </c>
      <c r="BN403" s="15" t="s">
        <v>328</v>
      </c>
      <c r="BO403" s="15"/>
      <c r="BP403" s="15"/>
      <c r="BQ403" s="15"/>
      <c r="BR403" s="15"/>
      <c r="BS403" s="15"/>
      <c r="BT403" s="15" t="s">
        <v>328</v>
      </c>
      <c r="BU403" s="15"/>
      <c r="BV403" s="15"/>
      <c r="BW403" s="15"/>
      <c r="BX403" s="15"/>
      <c r="BY403" s="15"/>
      <c r="BZ403" s="15"/>
      <c r="CA403" s="15" t="s">
        <v>328</v>
      </c>
      <c r="CB403" s="15"/>
      <c r="CC403" s="15"/>
      <c r="CD403" s="15"/>
      <c r="CE403" s="15"/>
      <c r="CF403" s="15"/>
      <c r="CG403" s="15" t="s">
        <v>328</v>
      </c>
      <c r="CH403" s="15"/>
      <c r="CI403" s="15"/>
      <c r="CJ403" s="15"/>
      <c r="CK403" s="15"/>
      <c r="CL403" s="15">
        <v>5</v>
      </c>
      <c r="CM403" s="15">
        <v>3</v>
      </c>
      <c r="CN403" s="15">
        <v>4</v>
      </c>
      <c r="CO403" s="15">
        <v>1</v>
      </c>
      <c r="CP403" s="15">
        <v>2</v>
      </c>
      <c r="CQ403" s="15">
        <v>6</v>
      </c>
      <c r="CR403" s="15"/>
      <c r="CS403" s="15"/>
      <c r="CT403" s="15"/>
      <c r="CU403" s="15"/>
      <c r="CV403" s="15"/>
      <c r="CW403" s="15"/>
      <c r="CX403" s="15" t="s">
        <v>332</v>
      </c>
      <c r="CY403" s="15"/>
      <c r="CZ403" s="15"/>
      <c r="DA403" s="15">
        <v>1</v>
      </c>
      <c r="DB403" s="15">
        <v>2</v>
      </c>
      <c r="DC403" s="15">
        <v>3</v>
      </c>
      <c r="DD403" s="15">
        <v>4</v>
      </c>
      <c r="DE403" s="15">
        <v>6</v>
      </c>
      <c r="DF403" s="15">
        <v>5</v>
      </c>
      <c r="DG403" s="15"/>
      <c r="DH403" s="15" t="s">
        <v>328</v>
      </c>
      <c r="DI403" s="15"/>
      <c r="DJ403" s="15"/>
      <c r="DK403" s="15"/>
      <c r="DL403" s="15"/>
      <c r="DM403" s="15"/>
      <c r="DN403" s="15"/>
      <c r="DO403" s="15" t="s">
        <v>328</v>
      </c>
      <c r="DP403" s="15"/>
      <c r="DQ403" s="15"/>
      <c r="DR403" s="15"/>
      <c r="DS403" s="15"/>
      <c r="DT403" s="15"/>
      <c r="DU403" s="15"/>
      <c r="DV403" s="15"/>
      <c r="DW403" s="15" t="s">
        <v>328</v>
      </c>
      <c r="DX403" s="15"/>
      <c r="DY403" s="15"/>
      <c r="DZ403" s="15"/>
      <c r="EA403" s="15"/>
      <c r="EB403" s="15"/>
      <c r="EC403" s="102"/>
      <c r="ED403" s="99"/>
    </row>
    <row r="404" spans="1:134" x14ac:dyDescent="0.25">
      <c r="A404" s="52" t="s">
        <v>1857</v>
      </c>
      <c r="B404" s="103" t="s">
        <v>1652</v>
      </c>
      <c r="C404" s="15" t="s">
        <v>328</v>
      </c>
      <c r="D404" s="15"/>
      <c r="E404" s="15">
        <v>54</v>
      </c>
      <c r="F404" s="15" t="s">
        <v>329</v>
      </c>
      <c r="G404" s="15" t="s">
        <v>330</v>
      </c>
      <c r="H404" s="14" t="s">
        <v>1641</v>
      </c>
      <c r="I404" s="8" t="s">
        <v>1642</v>
      </c>
      <c r="J404" s="14" t="s">
        <v>1256</v>
      </c>
      <c r="K404" s="15">
        <v>30</v>
      </c>
      <c r="L404" s="15">
        <v>1</v>
      </c>
      <c r="M404" s="15">
        <v>1</v>
      </c>
      <c r="N404" s="15"/>
      <c r="O404" s="15"/>
      <c r="P404" s="15"/>
      <c r="Q404" s="15"/>
      <c r="R404" s="15"/>
      <c r="S404" s="15"/>
      <c r="T404" s="15">
        <v>1</v>
      </c>
      <c r="U404" s="15"/>
      <c r="V404" s="15"/>
      <c r="W404" s="15"/>
      <c r="X404" s="15"/>
      <c r="Y404" s="15"/>
      <c r="Z404" s="15"/>
      <c r="AA404" s="15" t="s">
        <v>328</v>
      </c>
      <c r="AB404" s="15"/>
      <c r="AC404" s="15"/>
      <c r="AD404" s="15"/>
      <c r="AE404" s="15"/>
      <c r="AF404" s="15" t="s">
        <v>328</v>
      </c>
      <c r="AG404" s="15"/>
      <c r="AH404" s="15"/>
      <c r="AI404" s="15" t="s">
        <v>1165</v>
      </c>
      <c r="AJ404" s="15" t="s">
        <v>328</v>
      </c>
      <c r="AK404" s="15"/>
      <c r="AL404" s="15" t="s">
        <v>328</v>
      </c>
      <c r="AM404" s="15"/>
      <c r="AN404" s="15"/>
      <c r="AO404" s="15" t="s">
        <v>328</v>
      </c>
      <c r="AP404" s="15">
        <v>10</v>
      </c>
      <c r="AQ404" s="15">
        <v>3</v>
      </c>
      <c r="AR404" s="15"/>
      <c r="AS404" s="15"/>
      <c r="AT404" s="15" t="s">
        <v>328</v>
      </c>
      <c r="AU404" s="15"/>
      <c r="AV404" s="15">
        <v>2</v>
      </c>
      <c r="AW404" s="15">
        <v>3</v>
      </c>
      <c r="AX404" s="15">
        <v>1</v>
      </c>
      <c r="AY404" s="15"/>
      <c r="AZ404" s="15" t="s">
        <v>328</v>
      </c>
      <c r="BA404" s="15"/>
      <c r="BB404" s="15"/>
      <c r="BC404" s="15"/>
      <c r="BD404" s="15"/>
      <c r="BE404" s="15" t="s">
        <v>328</v>
      </c>
      <c r="BF404" s="15"/>
      <c r="BG404" s="15"/>
      <c r="BH404" s="15"/>
      <c r="BI404" s="15" t="s">
        <v>328</v>
      </c>
      <c r="BJ404" s="15"/>
      <c r="BK404" s="15"/>
      <c r="BL404" s="15"/>
      <c r="BM404" s="15" t="s">
        <v>328</v>
      </c>
      <c r="BN404" s="15"/>
      <c r="BO404" s="15" t="s">
        <v>328</v>
      </c>
      <c r="BP404" s="15" t="s">
        <v>328</v>
      </c>
      <c r="BQ404" s="15"/>
      <c r="BR404" s="15"/>
      <c r="BS404" s="15"/>
      <c r="BT404" s="15"/>
      <c r="BU404" s="15"/>
      <c r="BV404" s="15"/>
      <c r="BW404" s="15"/>
      <c r="BX404" s="15"/>
      <c r="BY404" s="15"/>
      <c r="BZ404" s="15" t="s">
        <v>328</v>
      </c>
      <c r="CA404" s="15" t="s">
        <v>328</v>
      </c>
      <c r="CB404" s="15"/>
      <c r="CC404" s="15"/>
      <c r="CD404" s="15"/>
      <c r="CE404" s="15"/>
      <c r="CF404" s="15"/>
      <c r="CG404" s="15" t="s">
        <v>328</v>
      </c>
      <c r="CH404" s="15"/>
      <c r="CI404" s="15"/>
      <c r="CJ404" s="15"/>
      <c r="CK404" s="15"/>
      <c r="CL404" s="15">
        <v>4</v>
      </c>
      <c r="CM404" s="15">
        <v>1</v>
      </c>
      <c r="CN404" s="15">
        <v>2</v>
      </c>
      <c r="CO404" s="15">
        <v>6</v>
      </c>
      <c r="CP404" s="15">
        <v>3</v>
      </c>
      <c r="CQ404" s="15">
        <v>5</v>
      </c>
      <c r="CR404" s="15" t="s">
        <v>328</v>
      </c>
      <c r="CS404" s="15"/>
      <c r="CT404" s="15"/>
      <c r="CU404" s="15"/>
      <c r="CV404" s="15" t="s">
        <v>328</v>
      </c>
      <c r="CW404" s="15"/>
      <c r="CX404" s="15"/>
      <c r="CY404" s="15"/>
      <c r="CZ404" s="15"/>
      <c r="DA404" s="15">
        <v>5</v>
      </c>
      <c r="DB404" s="15">
        <v>1</v>
      </c>
      <c r="DC404" s="15">
        <v>2</v>
      </c>
      <c r="DD404" s="15">
        <v>3</v>
      </c>
      <c r="DE404" s="15">
        <v>6</v>
      </c>
      <c r="DF404" s="15">
        <v>4</v>
      </c>
      <c r="DG404" s="15"/>
      <c r="DH404" s="15" t="s">
        <v>328</v>
      </c>
      <c r="DI404" s="15"/>
      <c r="DJ404" s="15"/>
      <c r="DK404" s="15"/>
      <c r="DL404" s="15"/>
      <c r="DM404" s="15"/>
      <c r="DN404" s="14" t="s">
        <v>333</v>
      </c>
      <c r="DO404" s="15" t="s">
        <v>328</v>
      </c>
      <c r="DP404" s="15"/>
      <c r="DQ404" s="15"/>
      <c r="DR404" s="15"/>
      <c r="DS404" s="15"/>
      <c r="DT404" s="15"/>
      <c r="DU404" s="15"/>
      <c r="DV404" s="15" t="s">
        <v>333</v>
      </c>
      <c r="DW404" s="15" t="s">
        <v>328</v>
      </c>
      <c r="DX404" s="15"/>
      <c r="DY404" s="15"/>
      <c r="DZ404" s="15"/>
      <c r="EA404" s="15"/>
      <c r="EB404" s="15"/>
      <c r="EC404" s="102" t="s">
        <v>333</v>
      </c>
      <c r="ED404" s="99"/>
    </row>
    <row r="405" spans="1:134" x14ac:dyDescent="0.25">
      <c r="A405" s="52" t="s">
        <v>1857</v>
      </c>
      <c r="B405" s="103" t="s">
        <v>1653</v>
      </c>
      <c r="C405" s="15" t="s">
        <v>328</v>
      </c>
      <c r="D405" s="15"/>
      <c r="E405" s="15">
        <v>42</v>
      </c>
      <c r="F405" s="15" t="s">
        <v>329</v>
      </c>
      <c r="G405" s="15" t="s">
        <v>399</v>
      </c>
      <c r="H405" s="14" t="s">
        <v>1614</v>
      </c>
      <c r="I405" s="14" t="s">
        <v>1615</v>
      </c>
      <c r="J405" s="14" t="s">
        <v>1256</v>
      </c>
      <c r="K405" s="15">
        <v>15</v>
      </c>
      <c r="L405" s="15">
        <v>4</v>
      </c>
      <c r="M405" s="15">
        <v>1</v>
      </c>
      <c r="N405" s="15"/>
      <c r="O405" s="15"/>
      <c r="P405" s="15"/>
      <c r="Q405" s="15"/>
      <c r="R405" s="15"/>
      <c r="S405" s="15"/>
      <c r="T405" s="15">
        <v>5</v>
      </c>
      <c r="U405" s="15"/>
      <c r="V405" s="15"/>
      <c r="W405" s="15"/>
      <c r="X405" s="15"/>
      <c r="Y405" s="15"/>
      <c r="Z405" s="15"/>
      <c r="AA405" s="15"/>
      <c r="AB405" s="15"/>
      <c r="AC405" s="15"/>
      <c r="AD405" s="15" t="s">
        <v>328</v>
      </c>
      <c r="AE405" s="15"/>
      <c r="AF405" s="15"/>
      <c r="AG405" s="15"/>
      <c r="AH405" s="15"/>
      <c r="AI405" s="15" t="s">
        <v>1165</v>
      </c>
      <c r="AJ405" s="15" t="s">
        <v>328</v>
      </c>
      <c r="AK405" s="15"/>
      <c r="AL405" s="15" t="s">
        <v>328</v>
      </c>
      <c r="AM405" s="15"/>
      <c r="AN405" s="15"/>
      <c r="AO405" s="15" t="s">
        <v>328</v>
      </c>
      <c r="AP405" s="15">
        <v>10</v>
      </c>
      <c r="AQ405" s="15">
        <v>2</v>
      </c>
      <c r="AR405" s="15"/>
      <c r="AS405" s="15"/>
      <c r="AT405" s="15"/>
      <c r="AU405" s="15" t="s">
        <v>328</v>
      </c>
      <c r="AV405" s="15">
        <v>3</v>
      </c>
      <c r="AW405" s="15">
        <v>1</v>
      </c>
      <c r="AX405" s="15">
        <v>2</v>
      </c>
      <c r="AY405" s="15"/>
      <c r="AZ405" s="15"/>
      <c r="BA405" s="15" t="s">
        <v>328</v>
      </c>
      <c r="BB405" s="15" t="s">
        <v>328</v>
      </c>
      <c r="BC405" s="15" t="s">
        <v>328</v>
      </c>
      <c r="BD405" s="15"/>
      <c r="BE405" s="15" t="s">
        <v>328</v>
      </c>
      <c r="BF405" s="15"/>
      <c r="BG405" s="15"/>
      <c r="BH405" s="15"/>
      <c r="BI405" s="15"/>
      <c r="BJ405" s="15"/>
      <c r="BK405" s="15"/>
      <c r="BL405" s="15"/>
      <c r="BM405" s="15" t="s">
        <v>328</v>
      </c>
      <c r="BN405" s="15" t="s">
        <v>328</v>
      </c>
      <c r="BO405" s="15"/>
      <c r="BP405" s="15" t="s">
        <v>328</v>
      </c>
      <c r="BQ405" s="15"/>
      <c r="BR405" s="15"/>
      <c r="BS405" s="15"/>
      <c r="BT405" s="15" t="s">
        <v>328</v>
      </c>
      <c r="BU405" s="15"/>
      <c r="BV405" s="15"/>
      <c r="BW405" s="15"/>
      <c r="BX405" s="15"/>
      <c r="BY405" s="15"/>
      <c r="BZ405" s="15"/>
      <c r="CA405" s="15" t="s">
        <v>328</v>
      </c>
      <c r="CB405" s="15"/>
      <c r="CC405" s="15"/>
      <c r="CD405" s="15"/>
      <c r="CE405" s="15"/>
      <c r="CF405" s="15"/>
      <c r="CG405" s="15" t="s">
        <v>328</v>
      </c>
      <c r="CH405" s="15"/>
      <c r="CI405" s="15"/>
      <c r="CJ405" s="15"/>
      <c r="CK405" s="15"/>
      <c r="CL405" s="15">
        <v>4</v>
      </c>
      <c r="CM405" s="15">
        <v>1</v>
      </c>
      <c r="CN405" s="15">
        <v>2</v>
      </c>
      <c r="CO405" s="15">
        <v>5</v>
      </c>
      <c r="CP405" s="15">
        <v>6</v>
      </c>
      <c r="CQ405" s="15">
        <v>3</v>
      </c>
      <c r="CR405" s="15"/>
      <c r="CS405" s="15" t="s">
        <v>328</v>
      </c>
      <c r="CT405" s="15" t="s">
        <v>328</v>
      </c>
      <c r="CU405" s="15"/>
      <c r="CV405" s="15"/>
      <c r="CW405" s="15"/>
      <c r="CX405" s="15"/>
      <c r="CY405" s="15"/>
      <c r="CZ405" s="15"/>
      <c r="DA405" s="15">
        <v>1</v>
      </c>
      <c r="DB405" s="15">
        <v>4</v>
      </c>
      <c r="DC405" s="15">
        <v>5</v>
      </c>
      <c r="DD405" s="15">
        <v>3</v>
      </c>
      <c r="DE405" s="15">
        <v>2</v>
      </c>
      <c r="DF405" s="15">
        <v>6</v>
      </c>
      <c r="DG405" s="15"/>
      <c r="DH405" s="15" t="s">
        <v>328</v>
      </c>
      <c r="DI405" s="15"/>
      <c r="DJ405" s="15"/>
      <c r="DK405" s="15"/>
      <c r="DL405" s="15"/>
      <c r="DM405" s="15"/>
      <c r="DN405" s="15"/>
      <c r="DO405" s="15" t="s">
        <v>328</v>
      </c>
      <c r="DP405" s="15"/>
      <c r="DQ405" s="15"/>
      <c r="DR405" s="15"/>
      <c r="DS405" s="15"/>
      <c r="DT405" s="15"/>
      <c r="DU405" s="15"/>
      <c r="DV405" s="15"/>
      <c r="DW405" s="15" t="s">
        <v>328</v>
      </c>
      <c r="DX405" s="15"/>
      <c r="DY405" s="15"/>
      <c r="DZ405" s="15"/>
      <c r="EA405" s="15"/>
      <c r="EB405" s="15"/>
      <c r="EC405" s="102"/>
      <c r="ED405" s="99"/>
    </row>
    <row r="406" spans="1:134" x14ac:dyDescent="0.25">
      <c r="A406" s="52" t="s">
        <v>1857</v>
      </c>
      <c r="B406" s="103" t="s">
        <v>1654</v>
      </c>
      <c r="C406" s="15" t="s">
        <v>328</v>
      </c>
      <c r="D406" s="15"/>
      <c r="E406" s="15">
        <v>45</v>
      </c>
      <c r="F406" s="15" t="s">
        <v>329</v>
      </c>
      <c r="G406" s="15" t="s">
        <v>330</v>
      </c>
      <c r="H406" s="14" t="s">
        <v>1619</v>
      </c>
      <c r="I406" s="14" t="s">
        <v>1620</v>
      </c>
      <c r="J406" s="14" t="s">
        <v>1256</v>
      </c>
      <c r="K406" s="15">
        <v>18</v>
      </c>
      <c r="L406" s="15">
        <v>1</v>
      </c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>
        <v>1</v>
      </c>
      <c r="Y406" s="15"/>
      <c r="Z406" s="15" t="s">
        <v>328</v>
      </c>
      <c r="AA406" s="15"/>
      <c r="AB406" s="15"/>
      <c r="AC406" s="15"/>
      <c r="AD406" s="15"/>
      <c r="AE406" s="15" t="s">
        <v>328</v>
      </c>
      <c r="AF406" s="15"/>
      <c r="AG406" s="15"/>
      <c r="AH406" s="15"/>
      <c r="AI406" s="15" t="s">
        <v>692</v>
      </c>
      <c r="AJ406" s="15"/>
      <c r="AK406" s="15" t="s">
        <v>328</v>
      </c>
      <c r="AL406" s="15"/>
      <c r="AM406" s="15" t="s">
        <v>328</v>
      </c>
      <c r="AN406" s="15"/>
      <c r="AO406" s="15" t="s">
        <v>328</v>
      </c>
      <c r="AP406" s="15">
        <v>6</v>
      </c>
      <c r="AQ406" s="15">
        <v>3</v>
      </c>
      <c r="AR406" s="15"/>
      <c r="AS406" s="15" t="s">
        <v>328</v>
      </c>
      <c r="AT406" s="15"/>
      <c r="AU406" s="15"/>
      <c r="AV406" s="15">
        <v>3</v>
      </c>
      <c r="AW406" s="15">
        <v>2</v>
      </c>
      <c r="AX406" s="15">
        <v>1</v>
      </c>
      <c r="AY406" s="15"/>
      <c r="AZ406" s="15" t="s">
        <v>328</v>
      </c>
      <c r="BA406" s="15"/>
      <c r="BB406" s="15" t="s">
        <v>328</v>
      </c>
      <c r="BC406" s="15"/>
      <c r="BD406" s="15"/>
      <c r="BE406" s="15"/>
      <c r="BF406" s="15"/>
      <c r="BG406" s="15"/>
      <c r="BH406" s="15"/>
      <c r="BI406" s="15" t="s">
        <v>328</v>
      </c>
      <c r="BJ406" s="15"/>
      <c r="BK406" s="15"/>
      <c r="BL406" s="15"/>
      <c r="BM406" s="15" t="s">
        <v>328</v>
      </c>
      <c r="BN406" s="15" t="s">
        <v>328</v>
      </c>
      <c r="BO406" s="15"/>
      <c r="BP406" s="15"/>
      <c r="BQ406" s="15" t="s">
        <v>328</v>
      </c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 t="s">
        <v>332</v>
      </c>
      <c r="CG406" s="15" t="s">
        <v>328</v>
      </c>
      <c r="CH406" s="15"/>
      <c r="CI406" s="15"/>
      <c r="CJ406" s="15"/>
      <c r="CK406" s="15"/>
      <c r="CL406" s="15">
        <v>1</v>
      </c>
      <c r="CM406" s="15">
        <v>2</v>
      </c>
      <c r="CN406" s="15">
        <v>3</v>
      </c>
      <c r="CO406" s="15">
        <v>4</v>
      </c>
      <c r="CP406" s="15">
        <v>5</v>
      </c>
      <c r="CQ406" s="15">
        <v>6</v>
      </c>
      <c r="CR406" s="15"/>
      <c r="CS406" s="15"/>
      <c r="CT406" s="15"/>
      <c r="CU406" s="15"/>
      <c r="CV406" s="15"/>
      <c r="CW406" s="15"/>
      <c r="CX406" s="15" t="s">
        <v>332</v>
      </c>
      <c r="CY406" s="15" t="s">
        <v>328</v>
      </c>
      <c r="CZ406" s="15" t="s">
        <v>700</v>
      </c>
      <c r="DA406" s="15"/>
      <c r="DB406" s="15"/>
      <c r="DC406" s="15"/>
      <c r="DD406" s="15"/>
      <c r="DE406" s="15"/>
      <c r="DF406" s="15"/>
      <c r="DG406" s="15"/>
      <c r="DH406" s="15" t="s">
        <v>328</v>
      </c>
      <c r="DI406" s="15"/>
      <c r="DJ406" s="15"/>
      <c r="DK406" s="15"/>
      <c r="DL406" s="15"/>
      <c r="DM406" s="15"/>
      <c r="DN406" s="14" t="s">
        <v>333</v>
      </c>
      <c r="DO406" s="15" t="s">
        <v>328</v>
      </c>
      <c r="DP406" s="15"/>
      <c r="DQ406" s="15"/>
      <c r="DR406" s="15"/>
      <c r="DS406" s="15"/>
      <c r="DT406" s="15"/>
      <c r="DU406" s="15"/>
      <c r="DV406" s="15" t="s">
        <v>333</v>
      </c>
      <c r="DW406" s="15" t="s">
        <v>328</v>
      </c>
      <c r="DX406" s="15"/>
      <c r="DY406" s="15"/>
      <c r="DZ406" s="15"/>
      <c r="EA406" s="15"/>
      <c r="EB406" s="15"/>
      <c r="EC406" s="102" t="s">
        <v>333</v>
      </c>
      <c r="ED406" s="99"/>
    </row>
    <row r="407" spans="1:134" x14ac:dyDescent="0.25">
      <c r="A407" s="52" t="s">
        <v>1857</v>
      </c>
      <c r="B407" s="103" t="s">
        <v>1655</v>
      </c>
      <c r="C407" s="15" t="s">
        <v>328</v>
      </c>
      <c r="D407" s="15"/>
      <c r="E407" s="15">
        <v>52</v>
      </c>
      <c r="F407" s="15" t="s">
        <v>329</v>
      </c>
      <c r="G407" s="15" t="s">
        <v>353</v>
      </c>
      <c r="H407" s="15" t="s">
        <v>1635</v>
      </c>
      <c r="I407" s="15" t="s">
        <v>1636</v>
      </c>
      <c r="J407" s="15" t="s">
        <v>1256</v>
      </c>
      <c r="K407" s="15">
        <v>8</v>
      </c>
      <c r="L407" s="15">
        <v>2</v>
      </c>
      <c r="M407" s="15"/>
      <c r="N407" s="15"/>
      <c r="O407" s="15"/>
      <c r="P407" s="15"/>
      <c r="Q407" s="15"/>
      <c r="R407" s="15"/>
      <c r="S407" s="15"/>
      <c r="T407" s="15"/>
      <c r="U407" s="15">
        <v>2</v>
      </c>
      <c r="V407" s="15"/>
      <c r="W407" s="15"/>
      <c r="X407" s="15"/>
      <c r="Y407" s="15"/>
      <c r="Z407" s="15"/>
      <c r="AA407" s="15"/>
      <c r="AB407" s="15"/>
      <c r="AC407" s="15" t="s">
        <v>328</v>
      </c>
      <c r="AD407" s="15" t="s">
        <v>328</v>
      </c>
      <c r="AE407" s="15"/>
      <c r="AF407" s="15"/>
      <c r="AG407" s="15"/>
      <c r="AH407" s="15"/>
      <c r="AI407" s="15"/>
      <c r="AJ407" s="15" t="s">
        <v>328</v>
      </c>
      <c r="AK407" s="15"/>
      <c r="AL407" s="15"/>
      <c r="AM407" s="15"/>
      <c r="AN407" s="15"/>
      <c r="AO407" s="15" t="s">
        <v>328</v>
      </c>
      <c r="AP407" s="15">
        <v>10</v>
      </c>
      <c r="AQ407" s="15">
        <v>2</v>
      </c>
      <c r="AR407" s="15"/>
      <c r="AS407" s="15" t="s">
        <v>328</v>
      </c>
      <c r="AT407" s="15"/>
      <c r="AU407" s="15"/>
      <c r="AV407" s="15">
        <v>2</v>
      </c>
      <c r="AW407" s="15">
        <v>1</v>
      </c>
      <c r="AX407" s="15">
        <v>3</v>
      </c>
      <c r="AY407" s="15"/>
      <c r="AZ407" s="15" t="s">
        <v>328</v>
      </c>
      <c r="BA407" s="15"/>
      <c r="BB407" s="15"/>
      <c r="BC407" s="15"/>
      <c r="BD407" s="15"/>
      <c r="BE407" s="15" t="s">
        <v>328</v>
      </c>
      <c r="BF407" s="15"/>
      <c r="BG407" s="15"/>
      <c r="BH407" s="15"/>
      <c r="BI407" s="15" t="s">
        <v>328</v>
      </c>
      <c r="BJ407" s="15"/>
      <c r="BK407" s="15"/>
      <c r="BL407" s="15"/>
      <c r="BM407" s="15" t="s">
        <v>328</v>
      </c>
      <c r="BN407" s="15"/>
      <c r="BO407" s="15" t="s">
        <v>328</v>
      </c>
      <c r="BP407" s="15"/>
      <c r="BQ407" s="15" t="s">
        <v>328</v>
      </c>
      <c r="BR407" s="15"/>
      <c r="BS407" s="15"/>
      <c r="BT407" s="15"/>
      <c r="BU407" s="15" t="s">
        <v>328</v>
      </c>
      <c r="BV407" s="15"/>
      <c r="BW407" s="15"/>
      <c r="BX407" s="15"/>
      <c r="BY407" s="15"/>
      <c r="BZ407" s="15"/>
      <c r="CA407" s="15"/>
      <c r="CB407" s="15" t="s">
        <v>328</v>
      </c>
      <c r="CC407" s="15"/>
      <c r="CD407" s="15"/>
      <c r="CE407" s="15"/>
      <c r="CF407" s="15"/>
      <c r="CG407" s="15"/>
      <c r="CH407" s="15" t="s">
        <v>328</v>
      </c>
      <c r="CI407" s="15"/>
      <c r="CJ407" s="15"/>
      <c r="CK407" s="15"/>
      <c r="CL407" s="15">
        <v>6</v>
      </c>
      <c r="CM407" s="15">
        <v>2</v>
      </c>
      <c r="CN407" s="15">
        <v>1</v>
      </c>
      <c r="CO407" s="15">
        <v>4</v>
      </c>
      <c r="CP407" s="15">
        <v>3</v>
      </c>
      <c r="CQ407" s="15">
        <v>5</v>
      </c>
      <c r="CR407" s="15"/>
      <c r="CS407" s="15"/>
      <c r="CT407" s="15"/>
      <c r="CU407" s="15"/>
      <c r="CV407" s="15"/>
      <c r="CW407" s="15"/>
      <c r="CX407" s="15" t="s">
        <v>332</v>
      </c>
      <c r="CY407" s="15" t="s">
        <v>328</v>
      </c>
      <c r="CZ407" s="15" t="s">
        <v>404</v>
      </c>
      <c r="DA407" s="15"/>
      <c r="DB407" s="15"/>
      <c r="DC407" s="15"/>
      <c r="DD407" s="15"/>
      <c r="DE407" s="15"/>
      <c r="DF407" s="15"/>
      <c r="DG407" s="15"/>
      <c r="DH407" s="15" t="s">
        <v>328</v>
      </c>
      <c r="DI407" s="15"/>
      <c r="DJ407" s="15"/>
      <c r="DK407" s="15"/>
      <c r="DL407" s="15"/>
      <c r="DM407" s="15"/>
      <c r="DN407" s="15"/>
      <c r="DO407" s="15" t="s">
        <v>328</v>
      </c>
      <c r="DP407" s="15"/>
      <c r="DQ407" s="15"/>
      <c r="DR407" s="15"/>
      <c r="DS407" s="15"/>
      <c r="DT407" s="15"/>
      <c r="DU407" s="15"/>
      <c r="DV407" s="15"/>
      <c r="DW407" s="15" t="s">
        <v>328</v>
      </c>
      <c r="DX407" s="15"/>
      <c r="DY407" s="15"/>
      <c r="DZ407" s="15"/>
      <c r="EA407" s="15"/>
      <c r="EB407" s="15"/>
      <c r="EC407" s="102"/>
      <c r="ED407" s="99"/>
    </row>
    <row r="408" spans="1:134" x14ac:dyDescent="0.25">
      <c r="A408" s="52" t="s">
        <v>1857</v>
      </c>
      <c r="B408" s="103" t="s">
        <v>1810</v>
      </c>
      <c r="C408" s="15" t="s">
        <v>328</v>
      </c>
      <c r="D408" s="15"/>
      <c r="E408" s="15">
        <v>45</v>
      </c>
      <c r="F408" s="15" t="s">
        <v>329</v>
      </c>
      <c r="G408" s="15" t="s">
        <v>353</v>
      </c>
      <c r="H408" s="14" t="s">
        <v>1619</v>
      </c>
      <c r="I408" s="14" t="s">
        <v>1620</v>
      </c>
      <c r="J408" s="14" t="s">
        <v>1256</v>
      </c>
      <c r="K408" s="15">
        <v>15</v>
      </c>
      <c r="L408" s="15">
        <v>1</v>
      </c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>
        <v>1</v>
      </c>
      <c r="Y408" s="14"/>
      <c r="Z408" s="15"/>
      <c r="AA408" s="15"/>
      <c r="AB408" s="15"/>
      <c r="AC408" s="15" t="s">
        <v>328</v>
      </c>
      <c r="AD408" s="15"/>
      <c r="AE408" s="15" t="s">
        <v>328</v>
      </c>
      <c r="AF408" s="15"/>
      <c r="AG408" s="15"/>
      <c r="AH408" s="15"/>
      <c r="AI408" s="15"/>
      <c r="AJ408" s="15"/>
      <c r="AK408" s="15" t="s">
        <v>328</v>
      </c>
      <c r="AL408" s="15"/>
      <c r="AM408" s="15"/>
      <c r="AN408" s="15"/>
      <c r="AO408" s="15" t="s">
        <v>328</v>
      </c>
      <c r="AP408" s="15">
        <v>10</v>
      </c>
      <c r="AQ408" s="15">
        <v>3</v>
      </c>
      <c r="AR408" s="15"/>
      <c r="AS408" s="15" t="s">
        <v>328</v>
      </c>
      <c r="AT408" s="15"/>
      <c r="AU408" s="15"/>
      <c r="AV408" s="15">
        <v>2</v>
      </c>
      <c r="AW408" s="15">
        <v>3</v>
      </c>
      <c r="AX408" s="15">
        <v>1</v>
      </c>
      <c r="AY408" s="15"/>
      <c r="AZ408" s="15" t="s">
        <v>328</v>
      </c>
      <c r="BA408" s="15"/>
      <c r="BB408" s="15" t="s">
        <v>328</v>
      </c>
      <c r="BC408" s="15" t="s">
        <v>328</v>
      </c>
      <c r="BD408" s="15"/>
      <c r="BE408" s="15"/>
      <c r="BF408" s="15"/>
      <c r="BG408" s="15"/>
      <c r="BH408" s="15"/>
      <c r="BI408" s="15"/>
      <c r="BJ408" s="15"/>
      <c r="BK408" s="15"/>
      <c r="BL408" s="15"/>
      <c r="BM408" s="15" t="s">
        <v>328</v>
      </c>
      <c r="BN408" s="15" t="s">
        <v>328</v>
      </c>
      <c r="BO408" s="15"/>
      <c r="BP408" s="15"/>
      <c r="BQ408" s="15"/>
      <c r="BR408" s="15" t="s">
        <v>328</v>
      </c>
      <c r="BS408" s="15"/>
      <c r="BT408" s="15"/>
      <c r="BU408" s="15"/>
      <c r="BV408" s="15"/>
      <c r="BW408" s="15"/>
      <c r="BX408" s="15"/>
      <c r="BY408" s="15"/>
      <c r="BZ408" s="15"/>
      <c r="CA408" s="15"/>
      <c r="CB408" s="15" t="s">
        <v>328</v>
      </c>
      <c r="CC408" s="15"/>
      <c r="CD408" s="15"/>
      <c r="CE408" s="15"/>
      <c r="CF408" s="15"/>
      <c r="CG408" s="15"/>
      <c r="CH408" s="15" t="s">
        <v>328</v>
      </c>
      <c r="CI408" s="15"/>
      <c r="CJ408" s="15"/>
      <c r="CK408" s="15"/>
      <c r="CL408" s="15">
        <v>1</v>
      </c>
      <c r="CM408" s="15">
        <v>3</v>
      </c>
      <c r="CN408" s="15">
        <v>6</v>
      </c>
      <c r="CO408" s="15">
        <v>4</v>
      </c>
      <c r="CP408" s="15">
        <v>5</v>
      </c>
      <c r="CQ408" s="15">
        <v>2</v>
      </c>
      <c r="CR408" s="15" t="s">
        <v>328</v>
      </c>
      <c r="CS408" s="15"/>
      <c r="CT408" s="15"/>
      <c r="CU408" s="15"/>
      <c r="CV408" s="15"/>
      <c r="CW408" s="15"/>
      <c r="CX408" s="15"/>
      <c r="CY408" s="15"/>
      <c r="CZ408" s="15"/>
      <c r="DA408" s="15">
        <v>2</v>
      </c>
      <c r="DB408" s="15">
        <v>3</v>
      </c>
      <c r="DC408" s="15"/>
      <c r="DD408" s="15"/>
      <c r="DE408" s="15">
        <v>1</v>
      </c>
      <c r="DF408" s="15"/>
      <c r="DG408" s="15"/>
      <c r="DH408" s="15" t="s">
        <v>328</v>
      </c>
      <c r="DI408" s="15"/>
      <c r="DJ408" s="15"/>
      <c r="DK408" s="15"/>
      <c r="DL408" s="15"/>
      <c r="DM408" s="15"/>
      <c r="DN408" s="15"/>
      <c r="DO408" s="15" t="s">
        <v>328</v>
      </c>
      <c r="DP408" s="15"/>
      <c r="DQ408" s="15"/>
      <c r="DR408" s="15"/>
      <c r="DS408" s="15"/>
      <c r="DT408" s="15"/>
      <c r="DU408" s="15"/>
      <c r="DV408" s="15"/>
      <c r="DW408" s="15" t="s">
        <v>328</v>
      </c>
      <c r="DX408" s="15"/>
      <c r="DY408" s="15"/>
      <c r="DZ408" s="15"/>
      <c r="EA408" s="15"/>
      <c r="EB408" s="15"/>
      <c r="EC408" s="102"/>
      <c r="ED408" s="99"/>
    </row>
    <row r="409" spans="1:134" x14ac:dyDescent="0.25">
      <c r="A409" s="52" t="s">
        <v>1857</v>
      </c>
      <c r="B409" s="103" t="s">
        <v>1811</v>
      </c>
      <c r="C409" s="15" t="s">
        <v>328</v>
      </c>
      <c r="D409" s="15"/>
      <c r="E409" s="15">
        <v>44</v>
      </c>
      <c r="F409" s="15" t="s">
        <v>329</v>
      </c>
      <c r="G409" s="15" t="s">
        <v>357</v>
      </c>
      <c r="H409" s="15" t="s">
        <v>1635</v>
      </c>
      <c r="I409" s="15" t="s">
        <v>1636</v>
      </c>
      <c r="J409" s="15" t="s">
        <v>1256</v>
      </c>
      <c r="K409" s="15">
        <v>20</v>
      </c>
      <c r="L409" s="15">
        <v>2</v>
      </c>
      <c r="M409" s="15">
        <v>2</v>
      </c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 t="s">
        <v>328</v>
      </c>
      <c r="AE409" s="15"/>
      <c r="AF409" s="15" t="s">
        <v>328</v>
      </c>
      <c r="AG409" s="15"/>
      <c r="AH409" s="15"/>
      <c r="AI409" s="15"/>
      <c r="AJ409" s="15"/>
      <c r="AK409" s="15" t="s">
        <v>328</v>
      </c>
      <c r="AL409" s="15"/>
      <c r="AM409" s="15"/>
      <c r="AN409" s="15" t="s">
        <v>328</v>
      </c>
      <c r="AO409" s="15" t="s">
        <v>328</v>
      </c>
      <c r="AP409" s="15">
        <v>10</v>
      </c>
      <c r="AQ409" s="15">
        <v>3</v>
      </c>
      <c r="AR409" s="15"/>
      <c r="AS409" s="15" t="s">
        <v>328</v>
      </c>
      <c r="AT409" s="15"/>
      <c r="AU409" s="15"/>
      <c r="AV409" s="15">
        <v>1</v>
      </c>
      <c r="AW409" s="15">
        <v>2</v>
      </c>
      <c r="AX409" s="15">
        <v>3</v>
      </c>
      <c r="AY409" s="15"/>
      <c r="AZ409" s="15" t="s">
        <v>328</v>
      </c>
      <c r="BA409" s="15"/>
      <c r="BB409" s="15"/>
      <c r="BC409" s="15"/>
      <c r="BD409" s="15"/>
      <c r="BE409" s="15"/>
      <c r="BF409" s="15"/>
      <c r="BG409" s="15" t="s">
        <v>328</v>
      </c>
      <c r="BH409" s="15"/>
      <c r="BI409" s="15" t="s">
        <v>328</v>
      </c>
      <c r="BJ409" s="15"/>
      <c r="BK409" s="15"/>
      <c r="BL409" s="15"/>
      <c r="BM409" s="15" t="s">
        <v>328</v>
      </c>
      <c r="BN409" s="15"/>
      <c r="BO409" s="15" t="s">
        <v>328</v>
      </c>
      <c r="BP409" s="15"/>
      <c r="BQ409" s="15"/>
      <c r="BR409" s="15"/>
      <c r="BS409" s="15"/>
      <c r="BT409" s="15" t="s">
        <v>328</v>
      </c>
      <c r="BU409" s="15" t="s">
        <v>328</v>
      </c>
      <c r="BV409" s="15"/>
      <c r="BW409" s="15"/>
      <c r="BX409" s="15"/>
      <c r="BY409" s="15"/>
      <c r="BZ409" s="15"/>
      <c r="CA409" s="15"/>
      <c r="CB409" s="15" t="s">
        <v>328</v>
      </c>
      <c r="CC409" s="15"/>
      <c r="CD409" s="15"/>
      <c r="CE409" s="15" t="s">
        <v>328</v>
      </c>
      <c r="CF409" s="15"/>
      <c r="CG409" s="15"/>
      <c r="CH409" s="15" t="s">
        <v>328</v>
      </c>
      <c r="CI409" s="15"/>
      <c r="CJ409" s="15"/>
      <c r="CK409" s="15"/>
      <c r="CL409" s="15">
        <v>3</v>
      </c>
      <c r="CM409" s="15">
        <v>2</v>
      </c>
      <c r="CN409" s="15">
        <v>5</v>
      </c>
      <c r="CO409" s="15">
        <v>4</v>
      </c>
      <c r="CP409" s="15">
        <v>1</v>
      </c>
      <c r="CQ409" s="15">
        <v>6</v>
      </c>
      <c r="CR409" s="15"/>
      <c r="CS409" s="15"/>
      <c r="CT409" s="15"/>
      <c r="CU409" s="15"/>
      <c r="CV409" s="15" t="s">
        <v>328</v>
      </c>
      <c r="CW409" s="15"/>
      <c r="CX409" s="15"/>
      <c r="CY409" s="15"/>
      <c r="CZ409" s="15"/>
      <c r="DA409" s="15">
        <v>6</v>
      </c>
      <c r="DB409" s="15">
        <v>1</v>
      </c>
      <c r="DC409" s="15">
        <v>2</v>
      </c>
      <c r="DD409" s="15">
        <v>3</v>
      </c>
      <c r="DE409" s="15">
        <v>5</v>
      </c>
      <c r="DF409" s="15">
        <v>4</v>
      </c>
      <c r="DG409" s="15"/>
      <c r="DH409" s="15" t="s">
        <v>328</v>
      </c>
      <c r="DI409" s="15"/>
      <c r="DJ409" s="15"/>
      <c r="DK409" s="15"/>
      <c r="DL409" s="15"/>
      <c r="DM409" s="15"/>
      <c r="DN409" s="14" t="s">
        <v>1145</v>
      </c>
      <c r="DO409" s="15" t="s">
        <v>328</v>
      </c>
      <c r="DP409" s="15"/>
      <c r="DQ409" s="15"/>
      <c r="DR409" s="15"/>
      <c r="DS409" s="15"/>
      <c r="DT409" s="15"/>
      <c r="DU409" s="15"/>
      <c r="DV409" s="15" t="s">
        <v>1145</v>
      </c>
      <c r="DW409" s="15" t="s">
        <v>328</v>
      </c>
      <c r="DX409" s="15"/>
      <c r="DY409" s="15"/>
      <c r="DZ409" s="15"/>
      <c r="EA409" s="15"/>
      <c r="EB409" s="15"/>
      <c r="EC409" s="102" t="s">
        <v>1145</v>
      </c>
      <c r="ED409" s="99"/>
    </row>
    <row r="410" spans="1:134" x14ac:dyDescent="0.25">
      <c r="A410" s="52" t="s">
        <v>1857</v>
      </c>
      <c r="B410" s="103" t="s">
        <v>1812</v>
      </c>
      <c r="C410" s="14" t="s">
        <v>328</v>
      </c>
      <c r="D410" s="14"/>
      <c r="E410" s="14">
        <v>35</v>
      </c>
      <c r="F410" s="14" t="s">
        <v>329</v>
      </c>
      <c r="G410" s="14" t="s">
        <v>330</v>
      </c>
      <c r="H410" s="14" t="s">
        <v>1614</v>
      </c>
      <c r="I410" s="14" t="s">
        <v>1615</v>
      </c>
      <c r="J410" s="14" t="s">
        <v>1256</v>
      </c>
      <c r="K410" s="14">
        <v>12</v>
      </c>
      <c r="L410" s="14">
        <v>1</v>
      </c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>
        <v>1</v>
      </c>
      <c r="Y410" s="14"/>
      <c r="Z410" s="14" t="s">
        <v>328</v>
      </c>
      <c r="AA410" s="14"/>
      <c r="AB410" s="14"/>
      <c r="AC410" s="14"/>
      <c r="AD410" s="14"/>
      <c r="AE410" s="14" t="s">
        <v>328</v>
      </c>
      <c r="AF410" s="14"/>
      <c r="AG410" s="14"/>
      <c r="AH410" s="14"/>
      <c r="AI410" s="14"/>
      <c r="AJ410" s="14"/>
      <c r="AK410" s="14" t="s">
        <v>328</v>
      </c>
      <c r="AL410" s="14"/>
      <c r="AM410" s="14" t="s">
        <v>328</v>
      </c>
      <c r="AN410" s="14"/>
      <c r="AO410" s="14" t="s">
        <v>328</v>
      </c>
      <c r="AP410" s="14">
        <v>6</v>
      </c>
      <c r="AQ410" s="14">
        <v>3</v>
      </c>
      <c r="AR410" s="14"/>
      <c r="AS410" s="14"/>
      <c r="AT410" s="14" t="s">
        <v>328</v>
      </c>
      <c r="AU410" s="14"/>
      <c r="AV410" s="14">
        <v>2</v>
      </c>
      <c r="AW410" s="14">
        <v>1</v>
      </c>
      <c r="AX410" s="14">
        <v>3</v>
      </c>
      <c r="AY410" s="14"/>
      <c r="AZ410" s="14" t="s">
        <v>328</v>
      </c>
      <c r="BA410" s="14"/>
      <c r="BB410" s="14" t="s">
        <v>328</v>
      </c>
      <c r="BC410" s="14" t="s">
        <v>328</v>
      </c>
      <c r="BD410" s="14"/>
      <c r="BE410" s="14"/>
      <c r="BF410" s="14"/>
      <c r="BG410" s="14"/>
      <c r="BH410" s="14"/>
      <c r="BI410" s="14"/>
      <c r="BJ410" s="14"/>
      <c r="BK410" s="14"/>
      <c r="BL410" s="14"/>
      <c r="BM410" s="14" t="s">
        <v>328</v>
      </c>
      <c r="BN410" s="14"/>
      <c r="BO410" s="14" t="s">
        <v>328</v>
      </c>
      <c r="BP410" s="14"/>
      <c r="BQ410" s="14"/>
      <c r="BR410" s="14" t="s">
        <v>328</v>
      </c>
      <c r="BS410" s="14"/>
      <c r="BT410" s="14"/>
      <c r="BU410" s="14" t="s">
        <v>328</v>
      </c>
      <c r="BV410" s="14"/>
      <c r="BW410" s="14"/>
      <c r="BX410" s="14"/>
      <c r="BY410" s="14"/>
      <c r="BZ410" s="14"/>
      <c r="CA410" s="14"/>
      <c r="CB410" s="14"/>
      <c r="CC410" s="14"/>
      <c r="CD410" s="14"/>
      <c r="CE410" s="14" t="s">
        <v>328</v>
      </c>
      <c r="CF410" s="14"/>
      <c r="CG410" s="14"/>
      <c r="CH410" s="14" t="s">
        <v>328</v>
      </c>
      <c r="CI410" s="14"/>
      <c r="CJ410" s="14"/>
      <c r="CK410" s="14"/>
      <c r="CL410" s="14">
        <v>1</v>
      </c>
      <c r="CM410" s="14">
        <v>2</v>
      </c>
      <c r="CN410" s="14">
        <v>4</v>
      </c>
      <c r="CO410" s="14">
        <v>6</v>
      </c>
      <c r="CP410" s="14">
        <v>5</v>
      </c>
      <c r="CQ410" s="14">
        <v>3</v>
      </c>
      <c r="CR410" s="14"/>
      <c r="CS410" s="14"/>
      <c r="CT410" s="14"/>
      <c r="CU410" s="14"/>
      <c r="CV410" s="14"/>
      <c r="CW410" s="14"/>
      <c r="CX410" s="14" t="s">
        <v>332</v>
      </c>
      <c r="CY410" s="14"/>
      <c r="CZ410" s="14"/>
      <c r="DA410" s="14">
        <v>2</v>
      </c>
      <c r="DB410" s="14">
        <v>3</v>
      </c>
      <c r="DC410" s="14"/>
      <c r="DD410" s="14"/>
      <c r="DE410" s="14">
        <v>1</v>
      </c>
      <c r="DF410" s="14"/>
      <c r="DG410" s="14"/>
      <c r="DH410" s="14" t="s">
        <v>328</v>
      </c>
      <c r="DI410" s="14"/>
      <c r="DJ410" s="14"/>
      <c r="DK410" s="14"/>
      <c r="DL410" s="14"/>
      <c r="DM410" s="14"/>
      <c r="DN410" s="14" t="s">
        <v>333</v>
      </c>
      <c r="DO410" s="14"/>
      <c r="DP410" s="14" t="s">
        <v>328</v>
      </c>
      <c r="DQ410" s="14" t="s">
        <v>328</v>
      </c>
      <c r="DR410" s="14" t="s">
        <v>354</v>
      </c>
      <c r="DS410" s="14"/>
      <c r="DT410" s="14"/>
      <c r="DU410" s="15" t="s">
        <v>410</v>
      </c>
      <c r="DV410" s="15" t="s">
        <v>411</v>
      </c>
      <c r="DW410" s="14" t="s">
        <v>328</v>
      </c>
      <c r="DX410" s="14"/>
      <c r="DY410" s="14"/>
      <c r="DZ410" s="14"/>
      <c r="EA410" s="14"/>
      <c r="EB410" s="14"/>
      <c r="EC410" s="101" t="s">
        <v>333</v>
      </c>
      <c r="ED410" s="48"/>
    </row>
    <row r="411" spans="1:134" x14ac:dyDescent="0.25">
      <c r="A411" s="52" t="s">
        <v>1857</v>
      </c>
      <c r="B411" s="103" t="s">
        <v>1813</v>
      </c>
      <c r="C411" s="14" t="s">
        <v>328</v>
      </c>
      <c r="D411" s="14"/>
      <c r="E411" s="14">
        <v>28</v>
      </c>
      <c r="F411" s="14" t="s">
        <v>329</v>
      </c>
      <c r="G411" s="14" t="s">
        <v>357</v>
      </c>
      <c r="H411" s="15" t="s">
        <v>1635</v>
      </c>
      <c r="I411" s="15" t="s">
        <v>1636</v>
      </c>
      <c r="J411" s="15" t="s">
        <v>1256</v>
      </c>
      <c r="K411" s="14">
        <v>10</v>
      </c>
      <c r="L411" s="14">
        <v>2</v>
      </c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>
        <v>2</v>
      </c>
      <c r="Y411" s="14"/>
      <c r="Z411" s="14" t="s">
        <v>328</v>
      </c>
      <c r="AA411" s="14"/>
      <c r="AB411" s="14"/>
      <c r="AC411" s="14"/>
      <c r="AD411" s="14"/>
      <c r="AE411" s="14" t="s">
        <v>328</v>
      </c>
      <c r="AF411" s="14"/>
      <c r="AG411" s="14"/>
      <c r="AH411" s="14"/>
      <c r="AI411" s="14"/>
      <c r="AJ411" s="14"/>
      <c r="AK411" s="14" t="s">
        <v>328</v>
      </c>
      <c r="AL411" s="14"/>
      <c r="AM411" s="14" t="s">
        <v>328</v>
      </c>
      <c r="AN411" s="14"/>
      <c r="AO411" s="14"/>
      <c r="AP411" s="14">
        <v>10</v>
      </c>
      <c r="AQ411" s="14">
        <v>2</v>
      </c>
      <c r="AR411" s="14"/>
      <c r="AS411" s="14" t="s">
        <v>328</v>
      </c>
      <c r="AT411" s="14"/>
      <c r="AU411" s="14"/>
      <c r="AV411" s="14">
        <v>1</v>
      </c>
      <c r="AW411" s="14">
        <v>3</v>
      </c>
      <c r="AX411" s="14">
        <v>2</v>
      </c>
      <c r="AY411" s="14"/>
      <c r="AZ411" s="14" t="s">
        <v>328</v>
      </c>
      <c r="BA411" s="14"/>
      <c r="BB411" s="14" t="s">
        <v>328</v>
      </c>
      <c r="BC411" s="14"/>
      <c r="BD411" s="14" t="s">
        <v>328</v>
      </c>
      <c r="BE411" s="14"/>
      <c r="BF411" s="14"/>
      <c r="BG411" s="14"/>
      <c r="BH411" s="14"/>
      <c r="BI411" s="14"/>
      <c r="BJ411" s="14"/>
      <c r="BK411" s="14"/>
      <c r="BL411" s="14" t="s">
        <v>328</v>
      </c>
      <c r="BM411" s="14"/>
      <c r="BN411" s="14" t="s">
        <v>328</v>
      </c>
      <c r="BO411" s="14"/>
      <c r="BP411" s="14" t="s">
        <v>328</v>
      </c>
      <c r="BQ411" s="14"/>
      <c r="BR411" s="14"/>
      <c r="BS411" s="14"/>
      <c r="BT411" s="14"/>
      <c r="BU411" s="14"/>
      <c r="BV411" s="14"/>
      <c r="BW411" s="14" t="s">
        <v>328</v>
      </c>
      <c r="BX411" s="14"/>
      <c r="BY411" s="14"/>
      <c r="BZ411" s="14"/>
      <c r="CA411" s="14" t="s">
        <v>328</v>
      </c>
      <c r="CB411" s="14"/>
      <c r="CC411" s="14"/>
      <c r="CD411" s="14"/>
      <c r="CE411" s="14"/>
      <c r="CF411" s="14"/>
      <c r="CG411" s="14" t="s">
        <v>328</v>
      </c>
      <c r="CH411" s="14"/>
      <c r="CI411" s="14"/>
      <c r="CJ411" s="14"/>
      <c r="CK411" s="14"/>
      <c r="CL411" s="14">
        <v>3</v>
      </c>
      <c r="CM411" s="14">
        <v>1</v>
      </c>
      <c r="CN411" s="14">
        <v>4</v>
      </c>
      <c r="CO411" s="14">
        <v>6</v>
      </c>
      <c r="CP411" s="14">
        <v>5</v>
      </c>
      <c r="CQ411" s="14">
        <v>2</v>
      </c>
      <c r="CR411" s="14"/>
      <c r="CS411" s="14" t="s">
        <v>328</v>
      </c>
      <c r="CT411" s="14"/>
      <c r="CU411" s="14"/>
      <c r="CV411" s="14" t="s">
        <v>328</v>
      </c>
      <c r="CW411" s="14"/>
      <c r="CX411" s="14"/>
      <c r="CY411" s="14"/>
      <c r="CZ411" s="14"/>
      <c r="DA411" s="14">
        <v>1</v>
      </c>
      <c r="DB411" s="14">
        <v>3</v>
      </c>
      <c r="DC411" s="14">
        <v>5</v>
      </c>
      <c r="DD411" s="14">
        <v>4</v>
      </c>
      <c r="DE411" s="14">
        <v>2</v>
      </c>
      <c r="DF411" s="14">
        <v>6</v>
      </c>
      <c r="DG411" s="14"/>
      <c r="DH411" s="14" t="s">
        <v>328</v>
      </c>
      <c r="DI411" s="14"/>
      <c r="DJ411" s="14"/>
      <c r="DK411" s="14"/>
      <c r="DL411" s="14"/>
      <c r="DM411" s="14"/>
      <c r="DN411" s="14" t="s">
        <v>333</v>
      </c>
      <c r="DO411" s="14"/>
      <c r="DP411" s="14" t="s">
        <v>328</v>
      </c>
      <c r="DQ411" s="14" t="s">
        <v>328</v>
      </c>
      <c r="DR411" s="14" t="s">
        <v>354</v>
      </c>
      <c r="DS411" s="14"/>
      <c r="DT411" s="14"/>
      <c r="DU411" s="14" t="s">
        <v>335</v>
      </c>
      <c r="DV411" s="14" t="s">
        <v>336</v>
      </c>
      <c r="DW411" s="14" t="s">
        <v>328</v>
      </c>
      <c r="DX411" s="14"/>
      <c r="DY411" s="14"/>
      <c r="DZ411" s="14"/>
      <c r="EA411" s="14"/>
      <c r="EB411" s="14"/>
      <c r="EC411" s="101" t="s">
        <v>333</v>
      </c>
      <c r="ED411" s="99"/>
    </row>
    <row r="412" spans="1:134" x14ac:dyDescent="0.25">
      <c r="A412" s="52" t="s">
        <v>1857</v>
      </c>
      <c r="B412" s="103" t="s">
        <v>1814</v>
      </c>
      <c r="C412" s="15" t="s">
        <v>328</v>
      </c>
      <c r="D412" s="15"/>
      <c r="E412" s="15">
        <v>35</v>
      </c>
      <c r="F412" s="15" t="s">
        <v>329</v>
      </c>
      <c r="G412" s="15" t="s">
        <v>399</v>
      </c>
      <c r="H412" s="14" t="s">
        <v>386</v>
      </c>
      <c r="I412" s="14" t="s">
        <v>1189</v>
      </c>
      <c r="J412" s="14" t="s">
        <v>1256</v>
      </c>
      <c r="K412" s="15">
        <v>8</v>
      </c>
      <c r="L412" s="15">
        <v>1</v>
      </c>
      <c r="M412" s="15"/>
      <c r="N412" s="15"/>
      <c r="O412" s="15"/>
      <c r="P412" s="15">
        <v>1</v>
      </c>
      <c r="Q412" s="15"/>
      <c r="R412" s="15"/>
      <c r="S412" s="15"/>
      <c r="T412" s="15"/>
      <c r="U412" s="15"/>
      <c r="V412" s="15"/>
      <c r="W412" s="15"/>
      <c r="X412" s="15"/>
      <c r="Y412" s="15"/>
      <c r="Z412" s="15" t="s">
        <v>328</v>
      </c>
      <c r="AA412" s="15"/>
      <c r="AB412" s="15"/>
      <c r="AC412" s="15"/>
      <c r="AD412" s="15"/>
      <c r="AE412" s="15"/>
      <c r="AF412" s="15"/>
      <c r="AG412" s="15" t="s">
        <v>328</v>
      </c>
      <c r="AH412" s="15"/>
      <c r="AI412" s="15"/>
      <c r="AJ412" s="15" t="s">
        <v>328</v>
      </c>
      <c r="AK412" s="15"/>
      <c r="AL412" s="15"/>
      <c r="AM412" s="15"/>
      <c r="AN412" s="14" t="s">
        <v>328</v>
      </c>
      <c r="AO412" s="15"/>
      <c r="AP412" s="15">
        <v>10</v>
      </c>
      <c r="AQ412" s="15">
        <v>2</v>
      </c>
      <c r="AR412" s="15"/>
      <c r="AS412" s="15" t="s">
        <v>328</v>
      </c>
      <c r="AT412" s="15"/>
      <c r="AU412" s="15"/>
      <c r="AV412" s="15">
        <v>4</v>
      </c>
      <c r="AW412" s="15">
        <v>2</v>
      </c>
      <c r="AX412" s="15">
        <v>3</v>
      </c>
      <c r="AY412" s="15" t="s">
        <v>346</v>
      </c>
      <c r="AZ412" s="15"/>
      <c r="BA412" s="15" t="s">
        <v>328</v>
      </c>
      <c r="BB412" s="15"/>
      <c r="BC412" s="15"/>
      <c r="BD412" s="15"/>
      <c r="BE412" s="15" t="s">
        <v>328</v>
      </c>
      <c r="BF412" s="15"/>
      <c r="BG412" s="15"/>
      <c r="BH412" s="15"/>
      <c r="BI412" s="15"/>
      <c r="BJ412" s="15"/>
      <c r="BK412" s="15"/>
      <c r="BL412" s="15" t="s">
        <v>328</v>
      </c>
      <c r="BM412" s="15"/>
      <c r="BN412" s="15" t="s">
        <v>328</v>
      </c>
      <c r="BO412" s="15"/>
      <c r="BP412" s="15" t="s">
        <v>328</v>
      </c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 t="s">
        <v>332</v>
      </c>
      <c r="CG412" s="15" t="s">
        <v>328</v>
      </c>
      <c r="CH412" s="15"/>
      <c r="CI412" s="15"/>
      <c r="CJ412" s="15"/>
      <c r="CK412" s="15"/>
      <c r="CL412" s="15">
        <v>3</v>
      </c>
      <c r="CM412" s="15">
        <v>1</v>
      </c>
      <c r="CN412" s="15">
        <v>4</v>
      </c>
      <c r="CO412" s="15">
        <v>5</v>
      </c>
      <c r="CP412" s="15">
        <v>6</v>
      </c>
      <c r="CQ412" s="15">
        <v>2</v>
      </c>
      <c r="CR412" s="15"/>
      <c r="CS412" s="15" t="s">
        <v>328</v>
      </c>
      <c r="CT412" s="15" t="s">
        <v>328</v>
      </c>
      <c r="CU412" s="15" t="s">
        <v>328</v>
      </c>
      <c r="CV412" s="15"/>
      <c r="CW412" s="15" t="s">
        <v>328</v>
      </c>
      <c r="CX412" s="15"/>
      <c r="CY412" s="15"/>
      <c r="CZ412" s="15"/>
      <c r="DA412" s="15">
        <v>2</v>
      </c>
      <c r="DB412" s="15">
        <v>3</v>
      </c>
      <c r="DC412" s="15">
        <v>6</v>
      </c>
      <c r="DD412" s="15">
        <v>5</v>
      </c>
      <c r="DE412" s="15">
        <v>1</v>
      </c>
      <c r="DF412" s="15">
        <v>4</v>
      </c>
      <c r="DG412" s="15"/>
      <c r="DH412" s="15"/>
      <c r="DI412" s="15" t="s">
        <v>328</v>
      </c>
      <c r="DJ412" s="15" t="s">
        <v>328</v>
      </c>
      <c r="DK412" s="15" t="s">
        <v>618</v>
      </c>
      <c r="DL412" s="15"/>
      <c r="DM412" s="14" t="s">
        <v>432</v>
      </c>
      <c r="DN412" s="14" t="s">
        <v>333</v>
      </c>
      <c r="DO412" s="15"/>
      <c r="DP412" s="15" t="s">
        <v>328</v>
      </c>
      <c r="DQ412" s="15" t="s">
        <v>328</v>
      </c>
      <c r="DR412" s="15" t="s">
        <v>420</v>
      </c>
      <c r="DS412" s="15"/>
      <c r="DT412" s="15"/>
      <c r="DU412" s="14" t="s">
        <v>335</v>
      </c>
      <c r="DV412" s="15" t="s">
        <v>616</v>
      </c>
      <c r="DW412" s="15"/>
      <c r="DX412" s="15" t="s">
        <v>328</v>
      </c>
      <c r="DY412" s="15" t="s">
        <v>328</v>
      </c>
      <c r="DZ412" s="15" t="s">
        <v>420</v>
      </c>
      <c r="EA412" s="15"/>
      <c r="EB412" s="15" t="s">
        <v>432</v>
      </c>
      <c r="EC412" s="102" t="s">
        <v>497</v>
      </c>
      <c r="ED412" s="99"/>
    </row>
    <row r="413" spans="1:134" x14ac:dyDescent="0.25">
      <c r="A413" s="52" t="s">
        <v>1857</v>
      </c>
      <c r="B413" s="103" t="s">
        <v>1815</v>
      </c>
      <c r="C413" s="15" t="s">
        <v>328</v>
      </c>
      <c r="D413" s="15"/>
      <c r="E413" s="15">
        <v>36</v>
      </c>
      <c r="F413" s="15" t="s">
        <v>329</v>
      </c>
      <c r="G413" s="15" t="s">
        <v>357</v>
      </c>
      <c r="H413" s="15" t="s">
        <v>1629</v>
      </c>
      <c r="I413" s="18" t="s">
        <v>1630</v>
      </c>
      <c r="J413" s="15" t="s">
        <v>1256</v>
      </c>
      <c r="K413" s="15">
        <v>9</v>
      </c>
      <c r="L413" s="15">
        <v>1</v>
      </c>
      <c r="M413" s="15"/>
      <c r="N413" s="15"/>
      <c r="O413" s="15"/>
      <c r="P413" s="15"/>
      <c r="Q413" s="15"/>
      <c r="R413" s="15"/>
      <c r="S413" s="15"/>
      <c r="T413" s="15">
        <v>3</v>
      </c>
      <c r="U413" s="15"/>
      <c r="V413" s="15"/>
      <c r="W413" s="15"/>
      <c r="X413" s="15"/>
      <c r="Y413" s="18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 t="s">
        <v>1165</v>
      </c>
      <c r="AJ413" s="15" t="s">
        <v>328</v>
      </c>
      <c r="AK413" s="15"/>
      <c r="AL413" s="15" t="s">
        <v>328</v>
      </c>
      <c r="AM413" s="15"/>
      <c r="AN413" s="15"/>
      <c r="AO413" s="15"/>
      <c r="AP413" s="15">
        <v>10</v>
      </c>
      <c r="AQ413" s="15">
        <v>1</v>
      </c>
      <c r="AR413" s="15"/>
      <c r="AS413" s="15"/>
      <c r="AT413" s="15" t="s">
        <v>328</v>
      </c>
      <c r="AU413" s="15"/>
      <c r="AV413" s="15">
        <v>3</v>
      </c>
      <c r="AW413" s="15">
        <v>2</v>
      </c>
      <c r="AX413" s="15">
        <v>1</v>
      </c>
      <c r="AY413" s="15"/>
      <c r="AZ413" s="15" t="s">
        <v>328</v>
      </c>
      <c r="BA413" s="15"/>
      <c r="BB413" s="15"/>
      <c r="BC413" s="15"/>
      <c r="BD413" s="15"/>
      <c r="BE413" s="15" t="s">
        <v>328</v>
      </c>
      <c r="BF413" s="15"/>
      <c r="BG413" s="15"/>
      <c r="BH413" s="15"/>
      <c r="BI413" s="15"/>
      <c r="BJ413" s="15"/>
      <c r="BK413" s="15"/>
      <c r="BL413" s="15"/>
      <c r="BM413" s="15" t="s">
        <v>328</v>
      </c>
      <c r="BN413" s="15"/>
      <c r="BO413" s="15" t="s">
        <v>328</v>
      </c>
      <c r="BP413" s="15" t="s">
        <v>328</v>
      </c>
      <c r="BQ413" s="15"/>
      <c r="BR413" s="15"/>
      <c r="BS413" s="15"/>
      <c r="BT413" s="15"/>
      <c r="BU413" s="15" t="s">
        <v>328</v>
      </c>
      <c r="BV413" s="15"/>
      <c r="BW413" s="15" t="s">
        <v>328</v>
      </c>
      <c r="BX413" s="15"/>
      <c r="BY413" s="15"/>
      <c r="BZ413" s="15"/>
      <c r="CA413" s="15" t="s">
        <v>328</v>
      </c>
      <c r="CB413" s="15"/>
      <c r="CC413" s="15"/>
      <c r="CD413" s="15"/>
      <c r="CE413" s="15" t="s">
        <v>328</v>
      </c>
      <c r="CF413" s="15"/>
      <c r="CG413" s="15" t="s">
        <v>328</v>
      </c>
      <c r="CH413" s="15"/>
      <c r="CI413" s="15"/>
      <c r="CJ413" s="15"/>
      <c r="CK413" s="15"/>
      <c r="CL413" s="15">
        <v>3</v>
      </c>
      <c r="CM413" s="15">
        <v>1</v>
      </c>
      <c r="CN413" s="15">
        <v>2</v>
      </c>
      <c r="CO413" s="15">
        <v>6</v>
      </c>
      <c r="CP413" s="15">
        <v>5</v>
      </c>
      <c r="CQ413" s="15">
        <v>4</v>
      </c>
      <c r="CR413" s="15"/>
      <c r="CS413" s="15" t="s">
        <v>328</v>
      </c>
      <c r="CT413" s="15" t="s">
        <v>328</v>
      </c>
      <c r="CU413" s="15"/>
      <c r="CV413" s="15"/>
      <c r="CW413" s="15"/>
      <c r="CX413" s="15"/>
      <c r="CY413" s="15"/>
      <c r="CZ413" s="15"/>
      <c r="DA413" s="15">
        <v>1</v>
      </c>
      <c r="DB413" s="15">
        <v>5</v>
      </c>
      <c r="DC413" s="15">
        <v>3</v>
      </c>
      <c r="DD413" s="15">
        <v>4</v>
      </c>
      <c r="DE413" s="15">
        <v>2</v>
      </c>
      <c r="DF413" s="15">
        <v>6</v>
      </c>
      <c r="DG413" s="15"/>
      <c r="DH413" s="15" t="s">
        <v>328</v>
      </c>
      <c r="DI413" s="15"/>
      <c r="DJ413" s="15"/>
      <c r="DK413" s="15"/>
      <c r="DL413" s="15"/>
      <c r="DM413" s="15"/>
      <c r="DN413" s="14" t="s">
        <v>1145</v>
      </c>
      <c r="DO413" s="15"/>
      <c r="DP413" s="15" t="s">
        <v>328</v>
      </c>
      <c r="DQ413" s="15" t="s">
        <v>328</v>
      </c>
      <c r="DR413" s="15" t="s">
        <v>420</v>
      </c>
      <c r="DS413" s="15"/>
      <c r="DT413" s="15"/>
      <c r="DU413" s="15" t="s">
        <v>428</v>
      </c>
      <c r="DV413" s="15" t="s">
        <v>1145</v>
      </c>
      <c r="DW413" s="15" t="s">
        <v>328</v>
      </c>
      <c r="DX413" s="15"/>
      <c r="DY413" s="15"/>
      <c r="DZ413" s="15"/>
      <c r="EA413" s="15"/>
      <c r="EB413" s="15"/>
      <c r="EC413" s="102"/>
      <c r="ED413" s="48"/>
    </row>
    <row r="414" spans="1:134" x14ac:dyDescent="0.25">
      <c r="A414" s="52" t="s">
        <v>1857</v>
      </c>
      <c r="B414" s="103" t="s">
        <v>1816</v>
      </c>
      <c r="C414" s="14" t="s">
        <v>328</v>
      </c>
      <c r="D414" s="14"/>
      <c r="E414" s="14">
        <v>51</v>
      </c>
      <c r="F414" s="14" t="s">
        <v>329</v>
      </c>
      <c r="G414" s="14" t="s">
        <v>357</v>
      </c>
      <c r="H414" s="14" t="s">
        <v>386</v>
      </c>
      <c r="I414" s="14" t="s">
        <v>1189</v>
      </c>
      <c r="J414" s="14" t="s">
        <v>1256</v>
      </c>
      <c r="K414" s="14">
        <v>30</v>
      </c>
      <c r="L414" s="14">
        <v>2</v>
      </c>
      <c r="M414" s="14">
        <v>2</v>
      </c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 t="s">
        <v>328</v>
      </c>
      <c r="AB414" s="14"/>
      <c r="AC414" s="14" t="s">
        <v>328</v>
      </c>
      <c r="AD414" s="14"/>
      <c r="AE414" s="14"/>
      <c r="AF414" s="14"/>
      <c r="AG414" s="14"/>
      <c r="AH414" s="14"/>
      <c r="AI414" s="14"/>
      <c r="AJ414" s="14" t="s">
        <v>328</v>
      </c>
      <c r="AK414" s="14"/>
      <c r="AL414" s="14"/>
      <c r="AM414" s="14" t="s">
        <v>328</v>
      </c>
      <c r="AN414" s="14"/>
      <c r="AO414" s="14" t="s">
        <v>328</v>
      </c>
      <c r="AP414" s="14">
        <v>10</v>
      </c>
      <c r="AQ414" s="14">
        <v>4</v>
      </c>
      <c r="AR414" s="14"/>
      <c r="AS414" s="14"/>
      <c r="AT414" s="14"/>
      <c r="AU414" s="14" t="s">
        <v>328</v>
      </c>
      <c r="AV414" s="14">
        <v>4</v>
      </c>
      <c r="AW414" s="14">
        <v>3</v>
      </c>
      <c r="AX414" s="14">
        <v>2</v>
      </c>
      <c r="AY414" s="14" t="s">
        <v>346</v>
      </c>
      <c r="AZ414" s="14" t="s">
        <v>328</v>
      </c>
      <c r="BA414" s="14"/>
      <c r="BB414" s="14" t="s">
        <v>328</v>
      </c>
      <c r="BC414" s="14"/>
      <c r="BD414" s="14" t="s">
        <v>328</v>
      </c>
      <c r="BE414" s="14"/>
      <c r="BF414" s="14"/>
      <c r="BG414" s="14"/>
      <c r="BH414" s="14"/>
      <c r="BI414" s="14"/>
      <c r="BJ414" s="14"/>
      <c r="BK414" s="14"/>
      <c r="BL414" s="14" t="s">
        <v>328</v>
      </c>
      <c r="BM414" s="14"/>
      <c r="BN414" s="14"/>
      <c r="BO414" s="14" t="s">
        <v>328</v>
      </c>
      <c r="BP414" s="14"/>
      <c r="BQ414" s="14"/>
      <c r="BR414" s="14" t="s">
        <v>328</v>
      </c>
      <c r="BS414" s="14"/>
      <c r="BT414" s="14"/>
      <c r="BU414" s="14" t="s">
        <v>328</v>
      </c>
      <c r="BV414" s="14"/>
      <c r="BW414" s="14"/>
      <c r="BX414" s="14"/>
      <c r="BY414" s="14"/>
      <c r="BZ414" s="14"/>
      <c r="CA414" s="14" t="s">
        <v>328</v>
      </c>
      <c r="CB414" s="14"/>
      <c r="CC414" s="14"/>
      <c r="CD414" s="14"/>
      <c r="CE414" s="14" t="s">
        <v>328</v>
      </c>
      <c r="CF414" s="14"/>
      <c r="CG414" s="14" t="s">
        <v>328</v>
      </c>
      <c r="CH414" s="14"/>
      <c r="CI414" s="14"/>
      <c r="CJ414" s="14"/>
      <c r="CK414" s="14" t="s">
        <v>328</v>
      </c>
      <c r="CL414" s="14">
        <v>2</v>
      </c>
      <c r="CM414" s="14">
        <v>3</v>
      </c>
      <c r="CN414" s="14">
        <v>1</v>
      </c>
      <c r="CO414" s="14">
        <v>6</v>
      </c>
      <c r="CP414" s="14">
        <v>5</v>
      </c>
      <c r="CQ414" s="14">
        <v>4</v>
      </c>
      <c r="CR414" s="14"/>
      <c r="CS414" s="14"/>
      <c r="CT414" s="14"/>
      <c r="CU414" s="14"/>
      <c r="CV414" s="14" t="s">
        <v>328</v>
      </c>
      <c r="CW414" s="14"/>
      <c r="CX414" s="14"/>
      <c r="CY414" s="14"/>
      <c r="CZ414" s="14"/>
      <c r="DA414" s="14">
        <v>2</v>
      </c>
      <c r="DB414" s="14">
        <v>4</v>
      </c>
      <c r="DC414" s="14">
        <v>3</v>
      </c>
      <c r="DD414" s="14">
        <v>6</v>
      </c>
      <c r="DE414" s="14">
        <v>1</v>
      </c>
      <c r="DF414" s="14">
        <v>5</v>
      </c>
      <c r="DG414" s="14"/>
      <c r="DH414" s="14"/>
      <c r="DI414" s="14" t="s">
        <v>328</v>
      </c>
      <c r="DJ414" s="14" t="s">
        <v>328</v>
      </c>
      <c r="DK414" s="14" t="s">
        <v>387</v>
      </c>
      <c r="DL414" s="14"/>
      <c r="DM414" s="14" t="s">
        <v>388</v>
      </c>
      <c r="DN414" s="14" t="s">
        <v>389</v>
      </c>
      <c r="DO414" s="14"/>
      <c r="DP414" s="14" t="s">
        <v>328</v>
      </c>
      <c r="DQ414" s="14" t="s">
        <v>328</v>
      </c>
      <c r="DR414" s="14" t="s">
        <v>354</v>
      </c>
      <c r="DS414" s="14"/>
      <c r="DT414" s="14"/>
      <c r="DU414" s="14" t="s">
        <v>335</v>
      </c>
      <c r="DV414" s="15" t="s">
        <v>497</v>
      </c>
      <c r="DW414" s="14" t="s">
        <v>328</v>
      </c>
      <c r="DX414" s="14"/>
      <c r="DY414" s="14"/>
      <c r="DZ414" s="14"/>
      <c r="EA414" s="14"/>
      <c r="EB414" s="14"/>
      <c r="EC414" s="101" t="s">
        <v>333</v>
      </c>
      <c r="ED414" s="99"/>
    </row>
    <row r="415" spans="1:134" x14ac:dyDescent="0.25">
      <c r="A415" s="52" t="s">
        <v>1857</v>
      </c>
      <c r="B415" s="103" t="s">
        <v>1818</v>
      </c>
      <c r="C415" s="15" t="s">
        <v>328</v>
      </c>
      <c r="D415" s="15"/>
      <c r="E415" s="15">
        <v>34</v>
      </c>
      <c r="F415" s="15" t="s">
        <v>329</v>
      </c>
      <c r="G415" s="15" t="s">
        <v>357</v>
      </c>
      <c r="H415" s="14" t="s">
        <v>386</v>
      </c>
      <c r="I415" s="14" t="s">
        <v>1189</v>
      </c>
      <c r="J415" s="14" t="s">
        <v>1256</v>
      </c>
      <c r="K415" s="15">
        <v>8</v>
      </c>
      <c r="L415" s="15">
        <v>1</v>
      </c>
      <c r="M415" s="15"/>
      <c r="N415" s="15"/>
      <c r="O415" s="15"/>
      <c r="P415" s="15"/>
      <c r="Q415" s="15"/>
      <c r="R415" s="15"/>
      <c r="S415" s="15">
        <v>2</v>
      </c>
      <c r="T415" s="15"/>
      <c r="U415" s="15"/>
      <c r="V415" s="15"/>
      <c r="W415" s="15"/>
      <c r="X415" s="15"/>
      <c r="Y415" s="15"/>
      <c r="Z415" s="15"/>
      <c r="AA415" s="15"/>
      <c r="AB415" s="15"/>
      <c r="AC415" s="15" t="s">
        <v>328</v>
      </c>
      <c r="AD415" s="15"/>
      <c r="AE415" s="15"/>
      <c r="AF415" s="15"/>
      <c r="AG415" s="15"/>
      <c r="AH415" s="15"/>
      <c r="AI415" s="15"/>
      <c r="AJ415" s="15"/>
      <c r="AK415" s="15" t="s">
        <v>328</v>
      </c>
      <c r="AL415" s="15"/>
      <c r="AM415" s="15"/>
      <c r="AN415" s="15"/>
      <c r="AO415" s="15" t="s">
        <v>328</v>
      </c>
      <c r="AP415" s="15">
        <v>10</v>
      </c>
      <c r="AQ415" s="15">
        <v>4</v>
      </c>
      <c r="AR415" s="15"/>
      <c r="AS415" s="15" t="s">
        <v>328</v>
      </c>
      <c r="AT415" s="15"/>
      <c r="AU415" s="15"/>
      <c r="AV415" s="15">
        <v>1</v>
      </c>
      <c r="AW415" s="15">
        <v>2</v>
      </c>
      <c r="AX415" s="15">
        <v>3</v>
      </c>
      <c r="AY415" s="15"/>
      <c r="AZ415" s="15" t="s">
        <v>328</v>
      </c>
      <c r="BA415" s="15"/>
      <c r="BB415" s="15" t="s">
        <v>328</v>
      </c>
      <c r="BC415" s="15" t="s">
        <v>328</v>
      </c>
      <c r="BD415" s="15"/>
      <c r="BE415" s="15"/>
      <c r="BF415" s="15"/>
      <c r="BG415" s="15"/>
      <c r="BH415" s="15"/>
      <c r="BI415" s="15"/>
      <c r="BJ415" s="15"/>
      <c r="BK415" s="15"/>
      <c r="BL415" s="15" t="s">
        <v>328</v>
      </c>
      <c r="BM415" s="15"/>
      <c r="BN415" s="15" t="s">
        <v>328</v>
      </c>
      <c r="BO415" s="15"/>
      <c r="BP415" s="15" t="s">
        <v>328</v>
      </c>
      <c r="BQ415" s="15"/>
      <c r="BR415" s="15"/>
      <c r="BS415" s="15"/>
      <c r="BT415" s="15"/>
      <c r="BU415" s="15" t="s">
        <v>328</v>
      </c>
      <c r="BV415" s="15"/>
      <c r="BW415" s="15"/>
      <c r="BX415" s="15"/>
      <c r="BY415" s="15"/>
      <c r="BZ415" s="15"/>
      <c r="CA415" s="15" t="s">
        <v>328</v>
      </c>
      <c r="CB415" s="15"/>
      <c r="CC415" s="15"/>
      <c r="CD415" s="15"/>
      <c r="CE415" s="15"/>
      <c r="CF415" s="15"/>
      <c r="CG415" s="15" t="s">
        <v>328</v>
      </c>
      <c r="CH415" s="15"/>
      <c r="CI415" s="15" t="s">
        <v>328</v>
      </c>
      <c r="CJ415" s="15"/>
      <c r="CK415" s="15"/>
      <c r="CL415" s="15">
        <v>6</v>
      </c>
      <c r="CM415" s="15">
        <v>5</v>
      </c>
      <c r="CN415" s="15">
        <v>1</v>
      </c>
      <c r="CO415" s="15">
        <v>2</v>
      </c>
      <c r="CP415" s="15">
        <v>4</v>
      </c>
      <c r="CQ415" s="15">
        <v>3</v>
      </c>
      <c r="CR415" s="15"/>
      <c r="CS415" s="15"/>
      <c r="CT415" s="15"/>
      <c r="CU415" s="15"/>
      <c r="CV415" s="15"/>
      <c r="CW415" s="15"/>
      <c r="CX415" s="14" t="s">
        <v>332</v>
      </c>
      <c r="CY415" s="15"/>
      <c r="CZ415" s="15"/>
      <c r="DA415" s="15"/>
      <c r="DB415" s="15">
        <v>2</v>
      </c>
      <c r="DC415" s="15">
        <v>3</v>
      </c>
      <c r="DD415" s="15">
        <v>4</v>
      </c>
      <c r="DE415" s="15"/>
      <c r="DF415" s="15">
        <v>5</v>
      </c>
      <c r="DG415" s="15" t="s">
        <v>346</v>
      </c>
      <c r="DH415" s="15" t="s">
        <v>328</v>
      </c>
      <c r="DI415" s="15"/>
      <c r="DJ415" s="15"/>
      <c r="DK415" s="15"/>
      <c r="DL415" s="15"/>
      <c r="DM415" s="15"/>
      <c r="DN415" s="14"/>
      <c r="DO415" s="15" t="s">
        <v>328</v>
      </c>
      <c r="DP415" s="15"/>
      <c r="DQ415" s="15"/>
      <c r="DR415" s="15"/>
      <c r="DS415" s="15"/>
      <c r="DT415" s="15"/>
      <c r="DU415" s="15"/>
      <c r="DV415" s="15"/>
      <c r="DW415" s="15" t="s">
        <v>328</v>
      </c>
      <c r="DX415" s="15"/>
      <c r="DY415" s="15"/>
      <c r="DZ415" s="15"/>
      <c r="EA415" s="15"/>
      <c r="EB415" s="15"/>
      <c r="EC415" s="102"/>
      <c r="ED415" s="99"/>
    </row>
    <row r="416" spans="1:134" x14ac:dyDescent="0.25">
      <c r="A416" s="52" t="s">
        <v>1857</v>
      </c>
      <c r="B416" s="103" t="s">
        <v>1819</v>
      </c>
      <c r="C416" s="15" t="s">
        <v>328</v>
      </c>
      <c r="D416" s="15"/>
      <c r="E416" s="15">
        <v>30</v>
      </c>
      <c r="F416" s="15" t="s">
        <v>329</v>
      </c>
      <c r="G416" s="15" t="s">
        <v>357</v>
      </c>
      <c r="H416" s="15" t="s">
        <v>1635</v>
      </c>
      <c r="I416" s="15" t="s">
        <v>1636</v>
      </c>
      <c r="J416" s="15" t="s">
        <v>1256</v>
      </c>
      <c r="K416" s="15">
        <v>6</v>
      </c>
      <c r="L416" s="15">
        <v>1</v>
      </c>
      <c r="M416" s="15"/>
      <c r="N416" s="15"/>
      <c r="O416" s="15"/>
      <c r="P416" s="15">
        <v>2</v>
      </c>
      <c r="Q416" s="15"/>
      <c r="R416" s="15"/>
      <c r="S416" s="15"/>
      <c r="T416" s="15"/>
      <c r="U416" s="15"/>
      <c r="V416" s="15"/>
      <c r="W416" s="15"/>
      <c r="X416" s="15"/>
      <c r="Y416" s="15"/>
      <c r="Z416" s="15" t="s">
        <v>328</v>
      </c>
      <c r="AA416" s="15"/>
      <c r="AB416" s="15"/>
      <c r="AC416" s="15"/>
      <c r="AD416" s="15"/>
      <c r="AE416" s="15"/>
      <c r="AF416" s="15"/>
      <c r="AG416" s="15" t="s">
        <v>328</v>
      </c>
      <c r="AH416" s="15"/>
      <c r="AI416" s="15"/>
      <c r="AJ416" s="15" t="s">
        <v>328</v>
      </c>
      <c r="AK416" s="15"/>
      <c r="AL416" s="15"/>
      <c r="AM416" s="14" t="s">
        <v>328</v>
      </c>
      <c r="AN416" s="15"/>
      <c r="AO416" s="15" t="s">
        <v>328</v>
      </c>
      <c r="AP416" s="15">
        <v>10</v>
      </c>
      <c r="AQ416" s="15">
        <v>2</v>
      </c>
      <c r="AR416" s="15"/>
      <c r="AS416" s="15" t="s">
        <v>328</v>
      </c>
      <c r="AT416" s="15"/>
      <c r="AU416" s="15"/>
      <c r="AV416" s="15">
        <v>2</v>
      </c>
      <c r="AW416" s="15">
        <v>3</v>
      </c>
      <c r="AX416" s="15">
        <v>1</v>
      </c>
      <c r="AY416" s="15"/>
      <c r="AZ416" s="15" t="s">
        <v>328</v>
      </c>
      <c r="BA416" s="15"/>
      <c r="BB416" s="15" t="s">
        <v>328</v>
      </c>
      <c r="BC416" s="15" t="s">
        <v>328</v>
      </c>
      <c r="BD416" s="15"/>
      <c r="BE416" s="15"/>
      <c r="BF416" s="15"/>
      <c r="BG416" s="15"/>
      <c r="BH416" s="15"/>
      <c r="BI416" s="15"/>
      <c r="BJ416" s="15"/>
      <c r="BK416" s="15"/>
      <c r="BL416" s="15" t="s">
        <v>328</v>
      </c>
      <c r="BM416" s="15"/>
      <c r="BN416" s="15" t="s">
        <v>328</v>
      </c>
      <c r="BO416" s="15"/>
      <c r="BP416" s="15"/>
      <c r="BQ416" s="15"/>
      <c r="BR416" s="15"/>
      <c r="BS416" s="15"/>
      <c r="BT416" s="15"/>
      <c r="BU416" s="15"/>
      <c r="BV416" s="15" t="s">
        <v>332</v>
      </c>
      <c r="BW416" s="15"/>
      <c r="BX416" s="15"/>
      <c r="BY416" s="15"/>
      <c r="BZ416" s="15"/>
      <c r="CA416" s="15"/>
      <c r="CB416" s="15"/>
      <c r="CC416" s="15"/>
      <c r="CD416" s="15"/>
      <c r="CE416" s="15"/>
      <c r="CF416" s="15" t="s">
        <v>332</v>
      </c>
      <c r="CG416" s="15" t="s">
        <v>328</v>
      </c>
      <c r="CH416" s="15"/>
      <c r="CI416" s="15"/>
      <c r="CJ416" s="15"/>
      <c r="CK416" s="15"/>
      <c r="CL416" s="15">
        <v>1</v>
      </c>
      <c r="CM416" s="15">
        <v>3</v>
      </c>
      <c r="CN416" s="15">
        <v>5</v>
      </c>
      <c r="CO416" s="15">
        <v>4</v>
      </c>
      <c r="CP416" s="15">
        <v>6</v>
      </c>
      <c r="CQ416" s="15">
        <v>2</v>
      </c>
      <c r="CR416" s="15" t="s">
        <v>328</v>
      </c>
      <c r="CS416" s="15" t="s">
        <v>328</v>
      </c>
      <c r="CT416" s="15"/>
      <c r="CU416" s="15"/>
      <c r="CV416" s="15" t="s">
        <v>328</v>
      </c>
      <c r="CW416" s="15"/>
      <c r="CX416" s="15"/>
      <c r="CY416" s="15" t="s">
        <v>328</v>
      </c>
      <c r="CZ416" s="18" t="s">
        <v>404</v>
      </c>
      <c r="DA416" s="15"/>
      <c r="DB416" s="15"/>
      <c r="DC416" s="15"/>
      <c r="DD416" s="15"/>
      <c r="DE416" s="15"/>
      <c r="DF416" s="15"/>
      <c r="DG416" s="15"/>
      <c r="DH416" s="15" t="s">
        <v>328</v>
      </c>
      <c r="DI416" s="15"/>
      <c r="DJ416" s="15"/>
      <c r="DK416" s="14"/>
      <c r="DL416" s="15"/>
      <c r="DM416" s="14"/>
      <c r="DN416" s="14"/>
      <c r="DO416" s="15" t="s">
        <v>328</v>
      </c>
      <c r="DP416" s="15"/>
      <c r="DQ416" s="15"/>
      <c r="DR416" s="14"/>
      <c r="DS416" s="15"/>
      <c r="DT416" s="15"/>
      <c r="DU416" s="15"/>
      <c r="DV416" s="15"/>
      <c r="DW416" s="15" t="s">
        <v>328</v>
      </c>
      <c r="DX416" s="15"/>
      <c r="DY416" s="15"/>
      <c r="DZ416" s="14"/>
      <c r="EA416" s="15"/>
      <c r="EB416" s="15"/>
      <c r="EC416" s="102"/>
      <c r="ED416" s="99"/>
    </row>
    <row r="417" spans="1:134" x14ac:dyDescent="0.25">
      <c r="A417" s="52" t="s">
        <v>1857</v>
      </c>
      <c r="B417" s="103" t="s">
        <v>1820</v>
      </c>
      <c r="C417" s="15" t="s">
        <v>328</v>
      </c>
      <c r="D417" s="15"/>
      <c r="E417" s="15">
        <v>40</v>
      </c>
      <c r="F417" s="15" t="s">
        <v>329</v>
      </c>
      <c r="G417" s="15" t="s">
        <v>330</v>
      </c>
      <c r="H417" s="15" t="s">
        <v>1105</v>
      </c>
      <c r="I417" s="15" t="s">
        <v>1320</v>
      </c>
      <c r="J417" s="15" t="s">
        <v>1256</v>
      </c>
      <c r="K417" s="15">
        <v>20</v>
      </c>
      <c r="L417" s="15">
        <v>1</v>
      </c>
      <c r="M417" s="15">
        <v>1</v>
      </c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>
        <v>1</v>
      </c>
      <c r="Y417" s="14"/>
      <c r="Z417" s="15"/>
      <c r="AA417" s="15"/>
      <c r="AB417" s="15"/>
      <c r="AC417" s="15" t="s">
        <v>328</v>
      </c>
      <c r="AD417" s="15" t="s">
        <v>328</v>
      </c>
      <c r="AE417" s="15"/>
      <c r="AF417" s="15" t="s">
        <v>328</v>
      </c>
      <c r="AG417" s="15"/>
      <c r="AH417" s="15"/>
      <c r="AI417" s="15"/>
      <c r="AJ417" s="15" t="s">
        <v>328</v>
      </c>
      <c r="AK417" s="15"/>
      <c r="AL417" s="15"/>
      <c r="AM417" s="15" t="s">
        <v>328</v>
      </c>
      <c r="AN417" s="15" t="s">
        <v>328</v>
      </c>
      <c r="AO417" s="15" t="s">
        <v>328</v>
      </c>
      <c r="AP417" s="15">
        <v>10</v>
      </c>
      <c r="AQ417" s="15">
        <v>4</v>
      </c>
      <c r="AR417" s="15"/>
      <c r="AS417" s="15"/>
      <c r="AT417" s="15"/>
      <c r="AU417" s="15" t="s">
        <v>328</v>
      </c>
      <c r="AV417" s="15">
        <v>1</v>
      </c>
      <c r="AW417" s="15">
        <v>3</v>
      </c>
      <c r="AX417" s="15">
        <v>2</v>
      </c>
      <c r="AY417" s="15"/>
      <c r="AZ417" s="15" t="s">
        <v>328</v>
      </c>
      <c r="BA417" s="15"/>
      <c r="BB417" s="15" t="s">
        <v>328</v>
      </c>
      <c r="BC417" s="15"/>
      <c r="BD417" s="15"/>
      <c r="BE417" s="15" t="s">
        <v>328</v>
      </c>
      <c r="BF417" s="15" t="s">
        <v>328</v>
      </c>
      <c r="BG417" s="15"/>
      <c r="BH417" s="15"/>
      <c r="BI417" s="15"/>
      <c r="BJ417" s="15"/>
      <c r="BK417" s="15"/>
      <c r="BL417" s="15"/>
      <c r="BM417" s="15" t="s">
        <v>328</v>
      </c>
      <c r="BN417" s="15"/>
      <c r="BO417" s="15" t="s">
        <v>328</v>
      </c>
      <c r="BP417" s="15" t="s">
        <v>328</v>
      </c>
      <c r="BQ417" s="15"/>
      <c r="BR417" s="15"/>
      <c r="BS417" s="15"/>
      <c r="BT417" s="15" t="s">
        <v>328</v>
      </c>
      <c r="BU417" s="15"/>
      <c r="BV417" s="15"/>
      <c r="BW417" s="15"/>
      <c r="BX417" s="15"/>
      <c r="BY417" s="15"/>
      <c r="BZ417" s="15" t="s">
        <v>328</v>
      </c>
      <c r="CA417" s="15"/>
      <c r="CB417" s="15" t="s">
        <v>328</v>
      </c>
      <c r="CC417" s="15"/>
      <c r="CD417" s="15"/>
      <c r="CE417" s="15"/>
      <c r="CF417" s="15"/>
      <c r="CG417" s="15" t="s">
        <v>328</v>
      </c>
      <c r="CH417" s="15"/>
      <c r="CI417" s="15"/>
      <c r="CJ417" s="12"/>
      <c r="CK417" s="12"/>
      <c r="CL417" s="15">
        <v>5</v>
      </c>
      <c r="CM417" s="15">
        <v>1</v>
      </c>
      <c r="CN417" s="15">
        <v>6</v>
      </c>
      <c r="CO417" s="15">
        <v>2</v>
      </c>
      <c r="CP417" s="15">
        <v>3</v>
      </c>
      <c r="CQ417" s="15">
        <v>4</v>
      </c>
      <c r="CR417" s="15"/>
      <c r="CS417" s="15"/>
      <c r="CT417" s="15"/>
      <c r="CU417" s="15"/>
      <c r="CV417" s="15"/>
      <c r="CW417" s="15"/>
      <c r="CX417" s="15" t="s">
        <v>332</v>
      </c>
      <c r="CY417" s="15" t="s">
        <v>328</v>
      </c>
      <c r="CZ417" s="18" t="s">
        <v>404</v>
      </c>
      <c r="DA417" s="15"/>
      <c r="DB417" s="15"/>
      <c r="DC417" s="15"/>
      <c r="DD417" s="15"/>
      <c r="DE417" s="15"/>
      <c r="DF417" s="15"/>
      <c r="DG417" s="15"/>
      <c r="DH417" s="15" t="s">
        <v>328</v>
      </c>
      <c r="DI417" s="15"/>
      <c r="DJ417" s="15"/>
      <c r="DK417" s="15"/>
      <c r="DL417" s="15"/>
      <c r="DM417" s="15"/>
      <c r="DN417" s="14" t="s">
        <v>333</v>
      </c>
      <c r="DO417" s="15" t="s">
        <v>328</v>
      </c>
      <c r="DP417" s="15"/>
      <c r="DQ417" s="15"/>
      <c r="DR417" s="15"/>
      <c r="DS417" s="15"/>
      <c r="DT417" s="15"/>
      <c r="DU417" s="15"/>
      <c r="DV417" s="15" t="s">
        <v>333</v>
      </c>
      <c r="DW417" s="15" t="s">
        <v>328</v>
      </c>
      <c r="DX417" s="15"/>
      <c r="DY417" s="15"/>
      <c r="DZ417" s="15"/>
      <c r="EA417" s="15"/>
      <c r="EB417" s="15"/>
      <c r="EC417" s="101" t="s">
        <v>333</v>
      </c>
      <c r="ED417" s="99"/>
    </row>
    <row r="418" spans="1:134" x14ac:dyDescent="0.25">
      <c r="A418" s="52" t="s">
        <v>1857</v>
      </c>
      <c r="B418" s="103" t="s">
        <v>1821</v>
      </c>
      <c r="C418" s="15" t="s">
        <v>328</v>
      </c>
      <c r="D418" s="15"/>
      <c r="E418" s="15">
        <v>31</v>
      </c>
      <c r="F418" s="15" t="s">
        <v>329</v>
      </c>
      <c r="G418" s="15" t="s">
        <v>399</v>
      </c>
      <c r="H418" s="15" t="s">
        <v>1629</v>
      </c>
      <c r="I418" s="18" t="s">
        <v>1630</v>
      </c>
      <c r="J418" s="15" t="s">
        <v>1256</v>
      </c>
      <c r="K418" s="15">
        <v>5</v>
      </c>
      <c r="L418" s="15">
        <v>2</v>
      </c>
      <c r="M418" s="15"/>
      <c r="N418" s="15"/>
      <c r="O418" s="15"/>
      <c r="P418" s="15"/>
      <c r="Q418" s="15"/>
      <c r="R418" s="15"/>
      <c r="S418" s="15"/>
      <c r="T418" s="15">
        <v>6</v>
      </c>
      <c r="U418" s="15"/>
      <c r="V418" s="15"/>
      <c r="W418" s="15"/>
      <c r="X418" s="15"/>
      <c r="Y418" s="14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 t="s">
        <v>1165</v>
      </c>
      <c r="AJ418" s="15" t="s">
        <v>328</v>
      </c>
      <c r="AK418" s="15"/>
      <c r="AL418" s="15" t="s">
        <v>328</v>
      </c>
      <c r="AM418" s="15"/>
      <c r="AN418" s="15"/>
      <c r="AO418" s="15"/>
      <c r="AP418" s="15">
        <v>10</v>
      </c>
      <c r="AQ418" s="15">
        <v>1</v>
      </c>
      <c r="AR418" s="15"/>
      <c r="AS418" s="15"/>
      <c r="AT418" s="15"/>
      <c r="AU418" s="15" t="s">
        <v>328</v>
      </c>
      <c r="AV418" s="15">
        <v>2</v>
      </c>
      <c r="AW418" s="15">
        <v>1</v>
      </c>
      <c r="AX418" s="15">
        <v>3</v>
      </c>
      <c r="AY418" s="15"/>
      <c r="AZ418" s="15" t="s">
        <v>328</v>
      </c>
      <c r="BA418" s="15"/>
      <c r="BB418" s="15"/>
      <c r="BC418" s="15"/>
      <c r="BD418" s="15"/>
      <c r="BE418" s="15" t="s">
        <v>328</v>
      </c>
      <c r="BF418" s="15"/>
      <c r="BG418" s="15"/>
      <c r="BH418" s="15"/>
      <c r="BI418" s="15"/>
      <c r="BJ418" s="15"/>
      <c r="BK418" s="15"/>
      <c r="BL418" s="15" t="s">
        <v>328</v>
      </c>
      <c r="BM418" s="15"/>
      <c r="BN418" s="15" t="s">
        <v>328</v>
      </c>
      <c r="BO418" s="15"/>
      <c r="BP418" s="15" t="s">
        <v>328</v>
      </c>
      <c r="BQ418" s="15"/>
      <c r="BR418" s="15"/>
      <c r="BS418" s="15"/>
      <c r="BT418" s="15" t="s">
        <v>328</v>
      </c>
      <c r="BU418" s="15"/>
      <c r="BV418" s="15"/>
      <c r="BW418" s="15" t="s">
        <v>328</v>
      </c>
      <c r="BX418" s="15"/>
      <c r="BY418" s="15"/>
      <c r="BZ418" s="15"/>
      <c r="CA418" s="15"/>
      <c r="CB418" s="15"/>
      <c r="CC418" s="15"/>
      <c r="CD418" s="15"/>
      <c r="CE418" s="15" t="s">
        <v>328</v>
      </c>
      <c r="CF418" s="15"/>
      <c r="CG418" s="15" t="s">
        <v>328</v>
      </c>
      <c r="CH418" s="15"/>
      <c r="CI418" s="15"/>
      <c r="CJ418" s="15"/>
      <c r="CK418" s="15"/>
      <c r="CL418" s="15">
        <v>3</v>
      </c>
      <c r="CM418" s="15">
        <v>2</v>
      </c>
      <c r="CN418" s="15">
        <v>4</v>
      </c>
      <c r="CO418" s="15">
        <v>5</v>
      </c>
      <c r="CP418" s="15">
        <v>6</v>
      </c>
      <c r="CQ418" s="15">
        <v>1</v>
      </c>
      <c r="CR418" s="15"/>
      <c r="CS418" s="15" t="s">
        <v>328</v>
      </c>
      <c r="CT418" s="15"/>
      <c r="CU418" s="15"/>
      <c r="CV418" s="15" t="s">
        <v>328</v>
      </c>
      <c r="CW418" s="15"/>
      <c r="CX418" s="15"/>
      <c r="CY418" s="15"/>
      <c r="CZ418" s="15"/>
      <c r="DA418" s="15">
        <v>3</v>
      </c>
      <c r="DB418" s="15">
        <v>5</v>
      </c>
      <c r="DC418" s="15">
        <v>2</v>
      </c>
      <c r="DD418" s="15">
        <v>1</v>
      </c>
      <c r="DE418" s="15">
        <v>6</v>
      </c>
      <c r="DF418" s="15">
        <v>4</v>
      </c>
      <c r="DG418" s="15"/>
      <c r="DH418" s="15" t="s">
        <v>328</v>
      </c>
      <c r="DI418" s="15"/>
      <c r="DJ418" s="15"/>
      <c r="DK418" s="15"/>
      <c r="DL418" s="15"/>
      <c r="DM418" s="15"/>
      <c r="DN418" s="14" t="s">
        <v>333</v>
      </c>
      <c r="DO418" s="15"/>
      <c r="DP418" s="15" t="s">
        <v>328</v>
      </c>
      <c r="DQ418" s="15" t="s">
        <v>328</v>
      </c>
      <c r="DR418" s="15" t="s">
        <v>420</v>
      </c>
      <c r="DS418" s="15"/>
      <c r="DT418" s="15"/>
      <c r="DU418" s="14" t="s">
        <v>335</v>
      </c>
      <c r="DV418" s="15"/>
      <c r="DW418" s="15" t="s">
        <v>328</v>
      </c>
      <c r="DX418" s="15"/>
      <c r="DY418" s="15"/>
      <c r="DZ418" s="15"/>
      <c r="EA418" s="15"/>
      <c r="EB418" s="15"/>
      <c r="EC418" s="102"/>
      <c r="ED418" s="48"/>
    </row>
    <row r="419" spans="1:134" x14ac:dyDescent="0.25">
      <c r="A419" s="52" t="s">
        <v>1857</v>
      </c>
      <c r="B419" s="103" t="s">
        <v>1822</v>
      </c>
      <c r="C419" s="15" t="s">
        <v>328</v>
      </c>
      <c r="D419" s="15"/>
      <c r="E419" s="15">
        <v>50</v>
      </c>
      <c r="F419" s="15" t="s">
        <v>329</v>
      </c>
      <c r="G419" s="15" t="s">
        <v>330</v>
      </c>
      <c r="H419" s="14" t="s">
        <v>1641</v>
      </c>
      <c r="I419" s="8" t="s">
        <v>1642</v>
      </c>
      <c r="J419" s="14" t="s">
        <v>1256</v>
      </c>
      <c r="K419" s="15">
        <v>25</v>
      </c>
      <c r="L419" s="15">
        <v>1</v>
      </c>
      <c r="M419" s="15"/>
      <c r="N419" s="15"/>
      <c r="O419" s="15"/>
      <c r="P419" s="15"/>
      <c r="Q419" s="15"/>
      <c r="R419" s="15"/>
      <c r="S419" s="15">
        <v>1</v>
      </c>
      <c r="T419" s="15"/>
      <c r="U419" s="15"/>
      <c r="V419" s="15"/>
      <c r="W419" s="15"/>
      <c r="X419" s="15"/>
      <c r="Y419" s="15"/>
      <c r="Z419" s="15"/>
      <c r="AA419" s="15"/>
      <c r="AB419" s="15"/>
      <c r="AC419" s="15" t="s">
        <v>328</v>
      </c>
      <c r="AD419" s="15"/>
      <c r="AE419" s="15"/>
      <c r="AF419" s="15"/>
      <c r="AG419" s="15"/>
      <c r="AH419" s="15"/>
      <c r="AI419" s="15"/>
      <c r="AJ419" s="15"/>
      <c r="AK419" s="15" t="s">
        <v>328</v>
      </c>
      <c r="AL419" s="15"/>
      <c r="AM419" s="14" t="s">
        <v>328</v>
      </c>
      <c r="AN419" s="15"/>
      <c r="AO419" s="15"/>
      <c r="AP419" s="15">
        <v>10</v>
      </c>
      <c r="AQ419" s="15">
        <v>8</v>
      </c>
      <c r="AR419" s="15"/>
      <c r="AS419" s="15" t="s">
        <v>328</v>
      </c>
      <c r="AT419" s="15"/>
      <c r="AU419" s="15"/>
      <c r="AV419" s="15">
        <v>1</v>
      </c>
      <c r="AW419" s="15">
        <v>3</v>
      </c>
      <c r="AX419" s="15">
        <v>2</v>
      </c>
      <c r="AY419" s="15"/>
      <c r="AZ419" s="15" t="s">
        <v>328</v>
      </c>
      <c r="BA419" s="15"/>
      <c r="BB419" s="15" t="s">
        <v>328</v>
      </c>
      <c r="BC419" s="15" t="s">
        <v>328</v>
      </c>
      <c r="BD419" s="15"/>
      <c r="BE419" s="15"/>
      <c r="BF419" s="15"/>
      <c r="BG419" s="15"/>
      <c r="BH419" s="15"/>
      <c r="BI419" s="15"/>
      <c r="BJ419" s="15"/>
      <c r="BK419" s="15"/>
      <c r="BL419" s="15"/>
      <c r="BM419" s="15" t="s">
        <v>328</v>
      </c>
      <c r="BN419" s="15"/>
      <c r="BO419" s="15" t="s">
        <v>328</v>
      </c>
      <c r="BP419" s="15"/>
      <c r="BQ419" s="15"/>
      <c r="BR419" s="15" t="s">
        <v>328</v>
      </c>
      <c r="BS419" s="15"/>
      <c r="BT419" s="15"/>
      <c r="BU419" s="15" t="s">
        <v>328</v>
      </c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 t="s">
        <v>332</v>
      </c>
      <c r="CG419" s="15"/>
      <c r="CH419" s="15"/>
      <c r="CI419" s="15" t="s">
        <v>328</v>
      </c>
      <c r="CJ419" s="15"/>
      <c r="CK419" s="15"/>
      <c r="CL419" s="15">
        <v>4</v>
      </c>
      <c r="CM419" s="15">
        <v>1</v>
      </c>
      <c r="CN419" s="15">
        <v>3</v>
      </c>
      <c r="CO419" s="15">
        <v>5</v>
      </c>
      <c r="CP419" s="15">
        <v>6</v>
      </c>
      <c r="CQ419" s="15">
        <v>2</v>
      </c>
      <c r="CR419" s="15" t="s">
        <v>328</v>
      </c>
      <c r="CS419" s="15"/>
      <c r="CT419" s="15"/>
      <c r="CU419" s="15"/>
      <c r="CV419" s="15" t="s">
        <v>328</v>
      </c>
      <c r="CW419" s="15"/>
      <c r="CX419" s="15"/>
      <c r="CY419" s="15" t="s">
        <v>328</v>
      </c>
      <c r="CZ419" s="15" t="s">
        <v>404</v>
      </c>
      <c r="DA419" s="15"/>
      <c r="DB419" s="15"/>
      <c r="DC419" s="15"/>
      <c r="DD419" s="15"/>
      <c r="DE419" s="15"/>
      <c r="DF419" s="15"/>
      <c r="DG419" s="15"/>
      <c r="DH419" s="15" t="s">
        <v>328</v>
      </c>
      <c r="DI419" s="15"/>
      <c r="DJ419" s="15"/>
      <c r="DK419" s="15"/>
      <c r="DL419" s="15"/>
      <c r="DM419" s="15"/>
      <c r="DN419" s="14"/>
      <c r="DO419" s="15" t="s">
        <v>328</v>
      </c>
      <c r="DP419" s="15"/>
      <c r="DQ419" s="15"/>
      <c r="DR419" s="15"/>
      <c r="DS419" s="15"/>
      <c r="DT419" s="15"/>
      <c r="DU419" s="15"/>
      <c r="DV419" s="15"/>
      <c r="DW419" s="15" t="s">
        <v>328</v>
      </c>
      <c r="DX419" s="15"/>
      <c r="DY419" s="15"/>
      <c r="DZ419" s="15"/>
      <c r="EA419" s="15"/>
      <c r="EB419" s="15"/>
      <c r="EC419" s="102"/>
      <c r="ED419" s="99"/>
    </row>
    <row r="420" spans="1:134" x14ac:dyDescent="0.25">
      <c r="A420" s="52" t="s">
        <v>1857</v>
      </c>
      <c r="B420" s="103" t="s">
        <v>1823</v>
      </c>
      <c r="C420" s="15" t="s">
        <v>328</v>
      </c>
      <c r="D420" s="15"/>
      <c r="E420" s="15">
        <v>45</v>
      </c>
      <c r="F420" s="15" t="s">
        <v>329</v>
      </c>
      <c r="G420" s="15" t="s">
        <v>399</v>
      </c>
      <c r="H420" s="8" t="s">
        <v>1824</v>
      </c>
      <c r="I420" s="14" t="s">
        <v>1825</v>
      </c>
      <c r="J420" s="14" t="s">
        <v>1188</v>
      </c>
      <c r="K420" s="15">
        <v>15</v>
      </c>
      <c r="L420" s="15">
        <v>3</v>
      </c>
      <c r="M420" s="15"/>
      <c r="N420" s="15"/>
      <c r="O420" s="15"/>
      <c r="P420" s="15">
        <v>4</v>
      </c>
      <c r="Q420" s="15"/>
      <c r="R420" s="15"/>
      <c r="S420" s="15"/>
      <c r="T420" s="15"/>
      <c r="U420" s="15"/>
      <c r="V420" s="15"/>
      <c r="W420" s="15"/>
      <c r="X420" s="15"/>
      <c r="Y420" s="15"/>
      <c r="Z420" s="15" t="s">
        <v>328</v>
      </c>
      <c r="AA420" s="15"/>
      <c r="AB420" s="15"/>
      <c r="AC420" s="15"/>
      <c r="AD420" s="15"/>
      <c r="AE420" s="15"/>
      <c r="AF420" s="15"/>
      <c r="AG420" s="15" t="s">
        <v>328</v>
      </c>
      <c r="AH420" s="15"/>
      <c r="AI420" s="15"/>
      <c r="AJ420" s="14" t="s">
        <v>328</v>
      </c>
      <c r="AK420" s="15"/>
      <c r="AL420" s="15"/>
      <c r="AM420" s="15"/>
      <c r="AN420" s="15"/>
      <c r="AO420" s="15" t="s">
        <v>328</v>
      </c>
      <c r="AP420" s="15">
        <v>10</v>
      </c>
      <c r="AQ420" s="15">
        <v>3</v>
      </c>
      <c r="AR420" s="15"/>
      <c r="AS420" s="15" t="s">
        <v>328</v>
      </c>
      <c r="AT420" s="15"/>
      <c r="AU420" s="15"/>
      <c r="AV420" s="15">
        <v>3</v>
      </c>
      <c r="AW420" s="15">
        <v>2</v>
      </c>
      <c r="AX420" s="15">
        <v>4</v>
      </c>
      <c r="AY420" s="15" t="s">
        <v>346</v>
      </c>
      <c r="AZ420" s="15"/>
      <c r="BA420" s="15" t="s">
        <v>328</v>
      </c>
      <c r="BB420" s="15" t="s">
        <v>328</v>
      </c>
      <c r="BC420" s="15"/>
      <c r="BD420" s="15"/>
      <c r="BE420" s="15"/>
      <c r="BF420" s="15"/>
      <c r="BG420" s="15"/>
      <c r="BH420" s="15"/>
      <c r="BI420" s="15" t="s">
        <v>328</v>
      </c>
      <c r="BJ420" s="15"/>
      <c r="BK420" s="15"/>
      <c r="BL420" s="15" t="s">
        <v>328</v>
      </c>
      <c r="BM420" s="15"/>
      <c r="BN420" s="15" t="s">
        <v>328</v>
      </c>
      <c r="BO420" s="15"/>
      <c r="BP420" s="15"/>
      <c r="BQ420" s="15"/>
      <c r="BR420" s="15"/>
      <c r="BS420" s="15"/>
      <c r="BT420" s="15" t="s">
        <v>328</v>
      </c>
      <c r="BU420" s="15" t="s">
        <v>328</v>
      </c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4" t="s">
        <v>332</v>
      </c>
      <c r="CG420" s="15" t="s">
        <v>328</v>
      </c>
      <c r="CH420" s="15"/>
      <c r="CI420" s="15" t="s">
        <v>328</v>
      </c>
      <c r="CJ420" s="15"/>
      <c r="CK420" s="15"/>
      <c r="CL420" s="15">
        <v>3</v>
      </c>
      <c r="CM420" s="15">
        <v>1</v>
      </c>
      <c r="CN420" s="15">
        <v>4</v>
      </c>
      <c r="CO420" s="15">
        <v>6</v>
      </c>
      <c r="CP420" s="15">
        <v>5</v>
      </c>
      <c r="CQ420" s="15">
        <v>2</v>
      </c>
      <c r="CR420" s="15"/>
      <c r="CS420" s="15" t="s">
        <v>328</v>
      </c>
      <c r="CT420" s="15"/>
      <c r="CU420" s="15"/>
      <c r="CV420" s="15" t="s">
        <v>328</v>
      </c>
      <c r="CW420" s="15"/>
      <c r="CX420" s="15"/>
      <c r="CY420" s="15"/>
      <c r="CZ420" s="15"/>
      <c r="DA420" s="15">
        <v>1</v>
      </c>
      <c r="DB420" s="15">
        <v>4</v>
      </c>
      <c r="DC420" s="15">
        <v>5</v>
      </c>
      <c r="DD420" s="15">
        <v>3</v>
      </c>
      <c r="DE420" s="15">
        <v>2</v>
      </c>
      <c r="DF420" s="15">
        <v>6</v>
      </c>
      <c r="DG420" s="15"/>
      <c r="DH420" s="15" t="s">
        <v>328</v>
      </c>
      <c r="DI420" s="15"/>
      <c r="DJ420" s="15"/>
      <c r="DK420" s="14"/>
      <c r="DL420" s="15"/>
      <c r="DM420" s="14"/>
      <c r="DN420" s="14" t="s">
        <v>1145</v>
      </c>
      <c r="DO420" s="15" t="s">
        <v>328</v>
      </c>
      <c r="DP420" s="15"/>
      <c r="DQ420" s="15"/>
      <c r="DR420" s="14"/>
      <c r="DS420" s="15"/>
      <c r="DT420" s="15"/>
      <c r="DU420" s="14"/>
      <c r="DV420" s="15" t="s">
        <v>1145</v>
      </c>
      <c r="DW420" s="15" t="s">
        <v>328</v>
      </c>
      <c r="DX420" s="15"/>
      <c r="DY420" s="15"/>
      <c r="DZ420" s="15"/>
      <c r="EA420" s="15"/>
      <c r="EB420" s="15"/>
      <c r="EC420" s="101" t="s">
        <v>1145</v>
      </c>
      <c r="ED420" s="48"/>
    </row>
    <row r="421" spans="1:134" x14ac:dyDescent="0.25">
      <c r="A421" s="52" t="s">
        <v>1857</v>
      </c>
      <c r="B421" s="103" t="s">
        <v>1826</v>
      </c>
      <c r="C421" s="15" t="s">
        <v>328</v>
      </c>
      <c r="D421" s="15"/>
      <c r="E421" s="15">
        <v>33</v>
      </c>
      <c r="F421" s="15" t="s">
        <v>329</v>
      </c>
      <c r="G421" s="15" t="s">
        <v>330</v>
      </c>
      <c r="H421" s="18" t="s">
        <v>1827</v>
      </c>
      <c r="I421" s="18" t="s">
        <v>1828</v>
      </c>
      <c r="J421" s="15" t="s">
        <v>1338</v>
      </c>
      <c r="K421" s="15">
        <v>16</v>
      </c>
      <c r="L421" s="15">
        <v>1</v>
      </c>
      <c r="M421" s="15"/>
      <c r="N421" s="15"/>
      <c r="O421" s="15">
        <v>2</v>
      </c>
      <c r="P421" s="15"/>
      <c r="Q421" s="15"/>
      <c r="R421" s="15"/>
      <c r="S421" s="15"/>
      <c r="T421" s="15"/>
      <c r="U421" s="15">
        <v>2</v>
      </c>
      <c r="V421" s="15"/>
      <c r="W421" s="15"/>
      <c r="X421" s="15"/>
      <c r="Y421" s="15"/>
      <c r="Z421" s="15"/>
      <c r="AA421" s="15"/>
      <c r="AB421" s="15"/>
      <c r="AC421" s="15" t="s">
        <v>328</v>
      </c>
      <c r="AD421" s="15"/>
      <c r="AE421" s="15"/>
      <c r="AF421" s="15"/>
      <c r="AG421" s="15"/>
      <c r="AH421" s="15"/>
      <c r="AI421" s="15"/>
      <c r="AJ421" s="15"/>
      <c r="AK421" s="15" t="s">
        <v>328</v>
      </c>
      <c r="AL421" s="15"/>
      <c r="AM421" s="15"/>
      <c r="AN421" s="15"/>
      <c r="AO421" s="15" t="s">
        <v>328</v>
      </c>
      <c r="AP421" s="15">
        <v>10</v>
      </c>
      <c r="AQ421" s="15">
        <v>4</v>
      </c>
      <c r="AR421" s="15"/>
      <c r="AS421" s="15" t="s">
        <v>328</v>
      </c>
      <c r="AT421" s="15"/>
      <c r="AU421" s="15"/>
      <c r="AV421" s="15">
        <v>3</v>
      </c>
      <c r="AW421" s="15">
        <v>1</v>
      </c>
      <c r="AX421" s="15">
        <v>2</v>
      </c>
      <c r="AY421" s="15"/>
      <c r="AZ421" s="15" t="s">
        <v>328</v>
      </c>
      <c r="BA421" s="15"/>
      <c r="BB421" s="15"/>
      <c r="BC421" s="15"/>
      <c r="BD421" s="15" t="s">
        <v>328</v>
      </c>
      <c r="BE421" s="15"/>
      <c r="BF421" s="15"/>
      <c r="BG421" s="15"/>
      <c r="BH421" s="15"/>
      <c r="BI421" s="15" t="s">
        <v>328</v>
      </c>
      <c r="BJ421" s="15"/>
      <c r="BK421" s="15"/>
      <c r="BL421" s="15"/>
      <c r="BM421" s="15" t="s">
        <v>328</v>
      </c>
      <c r="BN421" s="15"/>
      <c r="BO421" s="15" t="s">
        <v>328</v>
      </c>
      <c r="BP421" s="15" t="s">
        <v>328</v>
      </c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 t="s">
        <v>332</v>
      </c>
      <c r="CG421" s="15"/>
      <c r="CH421" s="15"/>
      <c r="CI421" s="15"/>
      <c r="CJ421" s="15"/>
      <c r="CK421" s="15" t="s">
        <v>328</v>
      </c>
      <c r="CL421" s="15">
        <v>2</v>
      </c>
      <c r="CM421" s="15">
        <v>4</v>
      </c>
      <c r="CN421" s="15">
        <v>3</v>
      </c>
      <c r="CO421" s="15">
        <v>5</v>
      </c>
      <c r="CP421" s="15">
        <v>6</v>
      </c>
      <c r="CQ421" s="15">
        <v>1</v>
      </c>
      <c r="CR421" s="15"/>
      <c r="CS421" s="15"/>
      <c r="CT421" s="15"/>
      <c r="CU421" s="15"/>
      <c r="CV421" s="15"/>
      <c r="CW421" s="15"/>
      <c r="CX421" s="15" t="s">
        <v>332</v>
      </c>
      <c r="CY421" s="15" t="s">
        <v>328</v>
      </c>
      <c r="CZ421" s="15" t="s">
        <v>404</v>
      </c>
      <c r="DA421" s="15"/>
      <c r="DB421" s="15"/>
      <c r="DC421" s="15"/>
      <c r="DD421" s="15"/>
      <c r="DE421" s="15"/>
      <c r="DF421" s="15"/>
      <c r="DG421" s="15"/>
      <c r="DH421" s="15" t="s">
        <v>328</v>
      </c>
      <c r="DI421" s="15"/>
      <c r="DJ421" s="15"/>
      <c r="DK421" s="15"/>
      <c r="DL421" s="15"/>
      <c r="DM421" s="15"/>
      <c r="DN421" s="14" t="s">
        <v>1145</v>
      </c>
      <c r="DO421" s="15" t="s">
        <v>328</v>
      </c>
      <c r="DP421" s="15"/>
      <c r="DQ421" s="15"/>
      <c r="DR421" s="15"/>
      <c r="DS421" s="15"/>
      <c r="DT421" s="15"/>
      <c r="DU421" s="15"/>
      <c r="DV421" s="15" t="s">
        <v>1145</v>
      </c>
      <c r="DW421" s="15" t="s">
        <v>328</v>
      </c>
      <c r="DX421" s="15"/>
      <c r="DY421" s="15"/>
      <c r="DZ421" s="15"/>
      <c r="EA421" s="15"/>
      <c r="EB421" s="15"/>
      <c r="EC421" s="101" t="s">
        <v>1145</v>
      </c>
      <c r="ED421" s="48"/>
    </row>
    <row r="422" spans="1:134" x14ac:dyDescent="0.25">
      <c r="A422" s="52" t="s">
        <v>1857</v>
      </c>
      <c r="B422" s="103" t="s">
        <v>1829</v>
      </c>
      <c r="C422" s="14" t="s">
        <v>328</v>
      </c>
      <c r="D422" s="14"/>
      <c r="E422" s="14">
        <v>50</v>
      </c>
      <c r="F422" s="14" t="s">
        <v>329</v>
      </c>
      <c r="G422" s="14" t="s">
        <v>353</v>
      </c>
      <c r="H422" s="14" t="s">
        <v>358</v>
      </c>
      <c r="I422" s="14" t="s">
        <v>1184</v>
      </c>
      <c r="J422" s="14" t="s">
        <v>1188</v>
      </c>
      <c r="K422" s="14">
        <v>25</v>
      </c>
      <c r="L422" s="14">
        <v>1</v>
      </c>
      <c r="M422" s="14"/>
      <c r="N422" s="14"/>
      <c r="O422" s="14"/>
      <c r="P422" s="14"/>
      <c r="Q422" s="14">
        <v>1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 t="s">
        <v>328</v>
      </c>
      <c r="AC422" s="14"/>
      <c r="AD422" s="14"/>
      <c r="AE422" s="14"/>
      <c r="AF422" s="14"/>
      <c r="AG422" s="14"/>
      <c r="AH422" s="14"/>
      <c r="AI422" s="14"/>
      <c r="AJ422" s="14" t="s">
        <v>328</v>
      </c>
      <c r="AK422" s="14"/>
      <c r="AL422" s="14"/>
      <c r="AM422" s="14"/>
      <c r="AN422" s="14"/>
      <c r="AO422" s="14" t="s">
        <v>328</v>
      </c>
      <c r="AP422" s="14">
        <v>10</v>
      </c>
      <c r="AQ422" s="14">
        <v>1</v>
      </c>
      <c r="AR422" s="14"/>
      <c r="AS422" s="14"/>
      <c r="AT422" s="14" t="s">
        <v>328</v>
      </c>
      <c r="AU422" s="14"/>
      <c r="AV422" s="14">
        <v>1</v>
      </c>
      <c r="AW422" s="14">
        <v>3</v>
      </c>
      <c r="AX422" s="14">
        <v>2</v>
      </c>
      <c r="AY422" s="14"/>
      <c r="AZ422" s="14" t="s">
        <v>328</v>
      </c>
      <c r="BA422" s="14"/>
      <c r="BB422" s="14"/>
      <c r="BC422" s="14"/>
      <c r="BD422" s="14"/>
      <c r="BE422" s="14" t="s">
        <v>328</v>
      </c>
      <c r="BF422" s="14"/>
      <c r="BG422" s="14"/>
      <c r="BH422" s="14"/>
      <c r="BI422" s="14"/>
      <c r="BJ422" s="14"/>
      <c r="BK422" s="14"/>
      <c r="BL422" s="14" t="s">
        <v>328</v>
      </c>
      <c r="BM422" s="14"/>
      <c r="BN422" s="14" t="s">
        <v>328</v>
      </c>
      <c r="BO422" s="14"/>
      <c r="BP422" s="14" t="s">
        <v>328</v>
      </c>
      <c r="BQ422" s="14"/>
      <c r="BR422" s="14" t="s">
        <v>328</v>
      </c>
      <c r="BS422" s="14"/>
      <c r="BT422" s="14"/>
      <c r="BU422" s="14" t="s">
        <v>328</v>
      </c>
      <c r="BV422" s="14"/>
      <c r="BW422" s="14"/>
      <c r="BX422" s="14"/>
      <c r="BY422" s="14"/>
      <c r="BZ422" s="14"/>
      <c r="CA422" s="14" t="s">
        <v>328</v>
      </c>
      <c r="CB422" s="14"/>
      <c r="CC422" s="14"/>
      <c r="CD422" s="14"/>
      <c r="CE422" s="14"/>
      <c r="CF422" s="14"/>
      <c r="CG422" s="14" t="s">
        <v>328</v>
      </c>
      <c r="CH422" s="14"/>
      <c r="CI422" s="14"/>
      <c r="CJ422" s="14"/>
      <c r="CK422" s="14"/>
      <c r="CL422" s="14">
        <v>3</v>
      </c>
      <c r="CM422" s="14">
        <v>4</v>
      </c>
      <c r="CN422" s="14">
        <v>1</v>
      </c>
      <c r="CO422" s="14">
        <v>5</v>
      </c>
      <c r="CP422" s="14">
        <v>6</v>
      </c>
      <c r="CQ422" s="14">
        <v>2</v>
      </c>
      <c r="CR422" s="14" t="s">
        <v>328</v>
      </c>
      <c r="CS422" s="14"/>
      <c r="CT422" s="14"/>
      <c r="CU422" s="14"/>
      <c r="CV422" s="14" t="s">
        <v>328</v>
      </c>
      <c r="CW422" s="14"/>
      <c r="CX422" s="14"/>
      <c r="CY422" s="14"/>
      <c r="CZ422" s="14"/>
      <c r="DA422" s="14">
        <v>1</v>
      </c>
      <c r="DB422" s="14">
        <v>4</v>
      </c>
      <c r="DC422" s="14">
        <v>3</v>
      </c>
      <c r="DD422" s="14">
        <v>6</v>
      </c>
      <c r="DE422" s="14">
        <v>2</v>
      </c>
      <c r="DF422" s="14">
        <v>5</v>
      </c>
      <c r="DG422" s="14"/>
      <c r="DH422" s="14" t="s">
        <v>328</v>
      </c>
      <c r="DI422" s="14"/>
      <c r="DJ422" s="14"/>
      <c r="DK422" s="14"/>
      <c r="DL422" s="14"/>
      <c r="DM422" s="14"/>
      <c r="DN422" s="14" t="s">
        <v>333</v>
      </c>
      <c r="DO422" s="14" t="s">
        <v>328</v>
      </c>
      <c r="DP422" s="14"/>
      <c r="DQ422" s="14"/>
      <c r="DR422" s="14"/>
      <c r="DS422" s="14"/>
      <c r="DT422" s="14"/>
      <c r="DU422" s="14"/>
      <c r="DV422" s="14" t="s">
        <v>333</v>
      </c>
      <c r="DW422" s="14" t="s">
        <v>328</v>
      </c>
      <c r="DX422" s="14"/>
      <c r="DY422" s="14"/>
      <c r="DZ422" s="14"/>
      <c r="EA422" s="14"/>
      <c r="EB422" s="14"/>
      <c r="EC422" s="101" t="s">
        <v>333</v>
      </c>
      <c r="ED422" s="48"/>
    </row>
    <row r="423" spans="1:134" x14ac:dyDescent="0.25">
      <c r="A423" s="52" t="s">
        <v>1857</v>
      </c>
      <c r="B423" s="103" t="s">
        <v>1830</v>
      </c>
      <c r="C423" s="14" t="s">
        <v>328</v>
      </c>
      <c r="D423" s="14"/>
      <c r="E423" s="14">
        <v>45</v>
      </c>
      <c r="F423" s="14" t="s">
        <v>329</v>
      </c>
      <c r="G423" s="14" t="s">
        <v>330</v>
      </c>
      <c r="H423" s="14" t="s">
        <v>331</v>
      </c>
      <c r="I423" s="14" t="s">
        <v>1181</v>
      </c>
      <c r="J423" s="14" t="s">
        <v>1182</v>
      </c>
      <c r="K423" s="14">
        <v>20</v>
      </c>
      <c r="L423" s="14">
        <v>1</v>
      </c>
      <c r="M423" s="14"/>
      <c r="N423" s="14"/>
      <c r="O423" s="14"/>
      <c r="P423" s="14"/>
      <c r="Q423" s="14">
        <v>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 t="s">
        <v>328</v>
      </c>
      <c r="AI423" s="14"/>
      <c r="AJ423" s="14" t="s">
        <v>328</v>
      </c>
      <c r="AK423" s="14"/>
      <c r="AL423" s="14"/>
      <c r="AM423" s="14"/>
      <c r="AN423" s="14"/>
      <c r="AO423" s="14" t="s">
        <v>328</v>
      </c>
      <c r="AP423" s="14">
        <v>10</v>
      </c>
      <c r="AQ423" s="14">
        <v>1</v>
      </c>
      <c r="AR423" s="14"/>
      <c r="AS423" s="14"/>
      <c r="AT423" s="14" t="s">
        <v>328</v>
      </c>
      <c r="AU423" s="14"/>
      <c r="AV423" s="14">
        <v>2</v>
      </c>
      <c r="AW423" s="14">
        <v>3</v>
      </c>
      <c r="AX423" s="14">
        <v>1</v>
      </c>
      <c r="AY423" s="14"/>
      <c r="AZ423" s="14" t="s">
        <v>328</v>
      </c>
      <c r="BA423" s="14"/>
      <c r="BB423" s="14"/>
      <c r="BC423" s="14"/>
      <c r="BD423" s="14" t="s">
        <v>328</v>
      </c>
      <c r="BE423" s="14"/>
      <c r="BF423" s="14"/>
      <c r="BG423" s="14"/>
      <c r="BH423" s="14"/>
      <c r="BI423" s="14"/>
      <c r="BJ423" s="14"/>
      <c r="BK423" s="14"/>
      <c r="BL423" s="14" t="s">
        <v>328</v>
      </c>
      <c r="BM423" s="14"/>
      <c r="BN423" s="14" t="s">
        <v>328</v>
      </c>
      <c r="BO423" s="14"/>
      <c r="BP423" s="14"/>
      <c r="BQ423" s="14"/>
      <c r="BR423" s="14"/>
      <c r="BS423" s="14"/>
      <c r="BT423" s="14" t="s">
        <v>328</v>
      </c>
      <c r="BU423" s="14"/>
      <c r="BV423" s="14"/>
      <c r="BW423" s="14"/>
      <c r="BX423" s="14"/>
      <c r="BY423" s="14"/>
      <c r="BZ423" s="14" t="s">
        <v>328</v>
      </c>
      <c r="CA423" s="14" t="s">
        <v>328</v>
      </c>
      <c r="CB423" s="14"/>
      <c r="CC423" s="14"/>
      <c r="CD423" s="14"/>
      <c r="CE423" s="14"/>
      <c r="CF423" s="14"/>
      <c r="CG423" s="14" t="s">
        <v>328</v>
      </c>
      <c r="CH423" s="14"/>
      <c r="CI423" s="14"/>
      <c r="CJ423" s="14"/>
      <c r="CK423" s="14"/>
      <c r="CL423" s="14">
        <v>4</v>
      </c>
      <c r="CM423" s="14">
        <v>1</v>
      </c>
      <c r="CN423" s="14">
        <v>2</v>
      </c>
      <c r="CO423" s="14">
        <v>5</v>
      </c>
      <c r="CP423" s="14">
        <v>6</v>
      </c>
      <c r="CQ423" s="14">
        <v>3</v>
      </c>
      <c r="CR423" s="14" t="s">
        <v>328</v>
      </c>
      <c r="CS423" s="14"/>
      <c r="CT423" s="14"/>
      <c r="CU423" s="14"/>
      <c r="CV423" s="14" t="s">
        <v>328</v>
      </c>
      <c r="CW423" s="14"/>
      <c r="CX423" s="14"/>
      <c r="CY423" s="14"/>
      <c r="CZ423" s="14"/>
      <c r="DA423" s="14">
        <v>2</v>
      </c>
      <c r="DB423" s="14">
        <v>3</v>
      </c>
      <c r="DC423" s="14">
        <v>6</v>
      </c>
      <c r="DD423" s="14">
        <v>5</v>
      </c>
      <c r="DE423" s="14">
        <v>1</v>
      </c>
      <c r="DF423" s="14">
        <v>4</v>
      </c>
      <c r="DG423" s="14"/>
      <c r="DH423" s="14" t="s">
        <v>328</v>
      </c>
      <c r="DI423" s="14"/>
      <c r="DJ423" s="14"/>
      <c r="DK423" s="14"/>
      <c r="DL423" s="14"/>
      <c r="DM423" s="14"/>
      <c r="DN423" s="14" t="s">
        <v>333</v>
      </c>
      <c r="DO423" s="14"/>
      <c r="DP423" s="14" t="s">
        <v>328</v>
      </c>
      <c r="DQ423" s="14" t="s">
        <v>328</v>
      </c>
      <c r="DR423" s="15" t="s">
        <v>437</v>
      </c>
      <c r="DS423" s="14"/>
      <c r="DT423" s="14"/>
      <c r="DU423" s="14" t="s">
        <v>335</v>
      </c>
      <c r="DV423" s="14" t="s">
        <v>497</v>
      </c>
      <c r="DW423" s="14" t="s">
        <v>328</v>
      </c>
      <c r="DX423" s="14"/>
      <c r="DY423" s="14"/>
      <c r="DZ423" s="14"/>
      <c r="EA423" s="14"/>
      <c r="EB423" s="14"/>
      <c r="EC423" s="101" t="s">
        <v>333</v>
      </c>
      <c r="ED423" s="1"/>
    </row>
    <row r="424" spans="1:134" x14ac:dyDescent="0.25">
      <c r="A424" s="52" t="s">
        <v>1857</v>
      </c>
      <c r="B424" s="103" t="s">
        <v>1831</v>
      </c>
      <c r="C424" s="14" t="s">
        <v>328</v>
      </c>
      <c r="D424" s="14"/>
      <c r="E424" s="14">
        <v>40</v>
      </c>
      <c r="F424" s="14" t="s">
        <v>329</v>
      </c>
      <c r="G424" s="14" t="s">
        <v>357</v>
      </c>
      <c r="H424" s="14" t="s">
        <v>380</v>
      </c>
      <c r="I424" s="14" t="s">
        <v>1188</v>
      </c>
      <c r="J424" s="14" t="s">
        <v>1188</v>
      </c>
      <c r="K424" s="14">
        <v>5</v>
      </c>
      <c r="L424" s="14">
        <v>1</v>
      </c>
      <c r="M424" s="14">
        <v>1</v>
      </c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 t="s">
        <v>328</v>
      </c>
      <c r="AD424" s="14"/>
      <c r="AE424" s="14"/>
      <c r="AF424" s="14" t="s">
        <v>328</v>
      </c>
      <c r="AG424" s="14"/>
      <c r="AH424" s="14"/>
      <c r="AI424" s="14"/>
      <c r="AJ424" s="14"/>
      <c r="AK424" s="14" t="s">
        <v>328</v>
      </c>
      <c r="AL424" s="14"/>
      <c r="AM424" s="14"/>
      <c r="AN424" s="14"/>
      <c r="AO424" s="14" t="s">
        <v>328</v>
      </c>
      <c r="AP424" s="14">
        <v>10</v>
      </c>
      <c r="AQ424" s="14">
        <v>2</v>
      </c>
      <c r="AR424" s="14"/>
      <c r="AS424" s="14"/>
      <c r="AT424" s="14"/>
      <c r="AU424" s="14" t="s">
        <v>328</v>
      </c>
      <c r="AV424" s="14">
        <v>1</v>
      </c>
      <c r="AW424" s="14">
        <v>2</v>
      </c>
      <c r="AX424" s="14">
        <v>3</v>
      </c>
      <c r="AY424" s="14"/>
      <c r="AZ424" s="14" t="s">
        <v>328</v>
      </c>
      <c r="BA424" s="14"/>
      <c r="BB424" s="14" t="s">
        <v>328</v>
      </c>
      <c r="BC424" s="14" t="s">
        <v>328</v>
      </c>
      <c r="BD424" s="14"/>
      <c r="BE424" s="14"/>
      <c r="BF424" s="14"/>
      <c r="BG424" s="14"/>
      <c r="BH424" s="14"/>
      <c r="BI424" s="14"/>
      <c r="BJ424" s="14"/>
      <c r="BK424" s="14"/>
      <c r="BL424" s="14"/>
      <c r="BM424" s="14" t="s">
        <v>328</v>
      </c>
      <c r="BN424" s="14"/>
      <c r="BO424" s="14" t="s">
        <v>328</v>
      </c>
      <c r="BP424" s="14"/>
      <c r="BQ424" s="14"/>
      <c r="BR424" s="14" t="s">
        <v>328</v>
      </c>
      <c r="BS424" s="14"/>
      <c r="BT424" s="14"/>
      <c r="BU424" s="14" t="s">
        <v>328</v>
      </c>
      <c r="BV424" s="14"/>
      <c r="BW424" s="14"/>
      <c r="BX424" s="14" t="s">
        <v>328</v>
      </c>
      <c r="BY424" s="14"/>
      <c r="BZ424" s="14"/>
      <c r="CA424" s="14"/>
      <c r="CB424" s="14"/>
      <c r="CC424" s="14"/>
      <c r="CD424" s="14"/>
      <c r="CE424" s="14"/>
      <c r="CF424" s="14"/>
      <c r="CG424" s="14" t="s">
        <v>328</v>
      </c>
      <c r="CH424" s="14"/>
      <c r="CI424" s="14" t="s">
        <v>328</v>
      </c>
      <c r="CJ424" s="14"/>
      <c r="CK424" s="14"/>
      <c r="CL424" s="14">
        <v>3</v>
      </c>
      <c r="CM424" s="14">
        <v>1</v>
      </c>
      <c r="CN424" s="14">
        <v>2</v>
      </c>
      <c r="CO424" s="14">
        <v>6</v>
      </c>
      <c r="CP424" s="14">
        <v>5</v>
      </c>
      <c r="CQ424" s="14">
        <v>4</v>
      </c>
      <c r="CR424" s="14"/>
      <c r="CS424" s="14"/>
      <c r="CT424" s="14"/>
      <c r="CU424" s="14"/>
      <c r="CV424" s="14"/>
      <c r="CW424" s="14"/>
      <c r="CX424" s="14" t="s">
        <v>332</v>
      </c>
      <c r="CY424" s="14" t="s">
        <v>328</v>
      </c>
      <c r="CZ424" s="14" t="s">
        <v>347</v>
      </c>
      <c r="DA424" s="14"/>
      <c r="DB424" s="14"/>
      <c r="DC424" s="14"/>
      <c r="DD424" s="14"/>
      <c r="DE424" s="14"/>
      <c r="DF424" s="14"/>
      <c r="DG424" s="14"/>
      <c r="DH424" s="14" t="s">
        <v>328</v>
      </c>
      <c r="DI424" s="14"/>
      <c r="DJ424" s="14"/>
      <c r="DK424" s="14"/>
      <c r="DL424" s="14"/>
      <c r="DM424" s="14"/>
      <c r="DN424" s="14" t="s">
        <v>333</v>
      </c>
      <c r="DO424" s="14" t="s">
        <v>328</v>
      </c>
      <c r="DP424" s="14"/>
      <c r="DQ424" s="14"/>
      <c r="DR424" s="14"/>
      <c r="DS424" s="14"/>
      <c r="DT424" s="14"/>
      <c r="DU424" s="14"/>
      <c r="DV424" s="14" t="s">
        <v>333</v>
      </c>
      <c r="DW424" s="14" t="s">
        <v>328</v>
      </c>
      <c r="DX424" s="14"/>
      <c r="DY424" s="14"/>
      <c r="DZ424" s="14"/>
      <c r="EA424" s="14"/>
      <c r="EB424" s="14"/>
      <c r="EC424" s="101" t="s">
        <v>333</v>
      </c>
      <c r="ED424" s="99"/>
    </row>
    <row r="425" spans="1:134" x14ac:dyDescent="0.25">
      <c r="A425" s="52" t="s">
        <v>1857</v>
      </c>
      <c r="B425" s="103" t="s">
        <v>1832</v>
      </c>
      <c r="C425" s="15" t="s">
        <v>328</v>
      </c>
      <c r="D425" s="15"/>
      <c r="E425" s="15">
        <v>54</v>
      </c>
      <c r="F425" s="15" t="s">
        <v>329</v>
      </c>
      <c r="G425" s="15" t="s">
        <v>353</v>
      </c>
      <c r="H425" s="15" t="s">
        <v>782</v>
      </c>
      <c r="I425" s="18" t="s">
        <v>1259</v>
      </c>
      <c r="J425" s="15" t="s">
        <v>1182</v>
      </c>
      <c r="K425" s="15">
        <v>30</v>
      </c>
      <c r="L425" s="15">
        <v>1</v>
      </c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>
        <v>1</v>
      </c>
      <c r="Y425" s="15"/>
      <c r="Z425" s="15" t="s">
        <v>328</v>
      </c>
      <c r="AA425" s="15" t="s">
        <v>328</v>
      </c>
      <c r="AB425" s="15"/>
      <c r="AC425" s="15"/>
      <c r="AD425" s="15"/>
      <c r="AE425" s="15" t="s">
        <v>328</v>
      </c>
      <c r="AF425" s="15"/>
      <c r="AG425" s="15"/>
      <c r="AH425" s="15"/>
      <c r="AI425" s="15"/>
      <c r="AJ425" s="15"/>
      <c r="AK425" s="15" t="s">
        <v>328</v>
      </c>
      <c r="AL425" s="15"/>
      <c r="AM425" s="15" t="s">
        <v>328</v>
      </c>
      <c r="AN425" s="15"/>
      <c r="AO425" s="15"/>
      <c r="AP425" s="15">
        <v>6</v>
      </c>
      <c r="AQ425" s="15">
        <v>2</v>
      </c>
      <c r="AR425" s="15"/>
      <c r="AS425" s="15" t="s">
        <v>328</v>
      </c>
      <c r="AT425" s="15"/>
      <c r="AU425" s="15"/>
      <c r="AV425" s="15">
        <v>2</v>
      </c>
      <c r="AW425" s="15">
        <v>1</v>
      </c>
      <c r="AX425" s="15">
        <v>3</v>
      </c>
      <c r="AY425" s="15"/>
      <c r="AZ425" s="15" t="s">
        <v>328</v>
      </c>
      <c r="BA425" s="15"/>
      <c r="BB425" s="15" t="s">
        <v>328</v>
      </c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 t="s">
        <v>328</v>
      </c>
      <c r="BN425" s="15"/>
      <c r="BO425" s="15" t="s">
        <v>328</v>
      </c>
      <c r="BP425" s="15"/>
      <c r="BQ425" s="15"/>
      <c r="BR425" s="15"/>
      <c r="BS425" s="15"/>
      <c r="BT425" s="15" t="s">
        <v>328</v>
      </c>
      <c r="BU425" s="15"/>
      <c r="BV425" s="14"/>
      <c r="BW425" s="15"/>
      <c r="BX425" s="15"/>
      <c r="BY425" s="15"/>
      <c r="BZ425" s="15"/>
      <c r="CA425" s="15"/>
      <c r="CB425" s="15"/>
      <c r="CC425" s="15"/>
      <c r="CD425" s="15"/>
      <c r="CE425" s="15" t="s">
        <v>328</v>
      </c>
      <c r="CF425" s="15"/>
      <c r="CG425" s="15"/>
      <c r="CH425" s="15"/>
      <c r="CI425" s="15"/>
      <c r="CJ425" s="15" t="s">
        <v>328</v>
      </c>
      <c r="CK425" s="15"/>
      <c r="CL425" s="15">
        <v>6</v>
      </c>
      <c r="CM425" s="15">
        <v>3</v>
      </c>
      <c r="CN425" s="15">
        <v>4</v>
      </c>
      <c r="CO425" s="15">
        <v>1</v>
      </c>
      <c r="CP425" s="15">
        <v>2</v>
      </c>
      <c r="CQ425" s="15">
        <v>5</v>
      </c>
      <c r="CR425" s="15"/>
      <c r="CS425" s="15"/>
      <c r="CT425" s="15"/>
      <c r="CU425" s="15"/>
      <c r="CV425" s="15"/>
      <c r="CW425" s="15"/>
      <c r="CX425" s="15" t="s">
        <v>332</v>
      </c>
      <c r="CY425" s="15"/>
      <c r="CZ425" s="15"/>
      <c r="DA425" s="15">
        <v>2</v>
      </c>
      <c r="DB425" s="15">
        <v>3</v>
      </c>
      <c r="DC425" s="15">
        <v>4</v>
      </c>
      <c r="DD425" s="15">
        <v>5</v>
      </c>
      <c r="DE425" s="15">
        <v>1</v>
      </c>
      <c r="DF425" s="15">
        <v>6</v>
      </c>
      <c r="DG425" s="15"/>
      <c r="DH425" s="15" t="s">
        <v>328</v>
      </c>
      <c r="DI425" s="15"/>
      <c r="DJ425" s="15"/>
      <c r="DK425" s="15"/>
      <c r="DL425" s="15"/>
      <c r="DM425" s="15"/>
      <c r="DN425" s="14" t="s">
        <v>1145</v>
      </c>
      <c r="DO425" s="15" t="s">
        <v>328</v>
      </c>
      <c r="DP425" s="15"/>
      <c r="DQ425" s="15"/>
      <c r="DR425" s="15"/>
      <c r="DS425" s="15"/>
      <c r="DT425" s="15"/>
      <c r="DU425" s="15"/>
      <c r="DV425" s="15" t="s">
        <v>1145</v>
      </c>
      <c r="DW425" s="15" t="s">
        <v>328</v>
      </c>
      <c r="DX425" s="15"/>
      <c r="DY425" s="15"/>
      <c r="DZ425" s="15"/>
      <c r="EA425" s="15"/>
      <c r="EB425" s="15"/>
      <c r="EC425" s="102" t="s">
        <v>1145</v>
      </c>
      <c r="ED425" s="99"/>
    </row>
    <row r="426" spans="1:134" x14ac:dyDescent="0.25">
      <c r="A426" s="52" t="s">
        <v>1857</v>
      </c>
      <c r="B426" s="103" t="s">
        <v>1833</v>
      </c>
      <c r="C426" s="15" t="s">
        <v>328</v>
      </c>
      <c r="D426" s="15"/>
      <c r="E426" s="15">
        <v>39</v>
      </c>
      <c r="F426" s="15" t="s">
        <v>329</v>
      </c>
      <c r="G426" s="15" t="s">
        <v>399</v>
      </c>
      <c r="H426" s="18" t="s">
        <v>1834</v>
      </c>
      <c r="I426" s="15" t="s">
        <v>1835</v>
      </c>
      <c r="J426" s="15" t="s">
        <v>1333</v>
      </c>
      <c r="K426" s="15">
        <v>8</v>
      </c>
      <c r="L426" s="15">
        <v>2</v>
      </c>
      <c r="M426" s="15">
        <v>2</v>
      </c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>
        <v>2</v>
      </c>
      <c r="Y426" s="15"/>
      <c r="Z426" s="15"/>
      <c r="AA426" s="15"/>
      <c r="AB426" s="15"/>
      <c r="AC426" s="15"/>
      <c r="AD426" s="15"/>
      <c r="AE426" s="15" t="s">
        <v>328</v>
      </c>
      <c r="AF426" s="15"/>
      <c r="AG426" s="15"/>
      <c r="AH426" s="15"/>
      <c r="AI426" s="15" t="s">
        <v>418</v>
      </c>
      <c r="AJ426" s="15"/>
      <c r="AK426" s="14" t="s">
        <v>328</v>
      </c>
      <c r="AL426" s="15"/>
      <c r="AM426" s="15"/>
      <c r="AN426" s="15" t="s">
        <v>328</v>
      </c>
      <c r="AO426" s="15" t="s">
        <v>328</v>
      </c>
      <c r="AP426" s="15">
        <v>10</v>
      </c>
      <c r="AQ426" s="15">
        <v>6</v>
      </c>
      <c r="AR426" s="15"/>
      <c r="AS426" s="15" t="s">
        <v>328</v>
      </c>
      <c r="AT426" s="15"/>
      <c r="AU426" s="15"/>
      <c r="AV426" s="15">
        <v>1</v>
      </c>
      <c r="AW426" s="15">
        <v>3</v>
      </c>
      <c r="AX426" s="15">
        <v>2</v>
      </c>
      <c r="AY426" s="15"/>
      <c r="AZ426" s="15" t="s">
        <v>328</v>
      </c>
      <c r="BA426" s="15"/>
      <c r="BB426" s="15" t="s">
        <v>328</v>
      </c>
      <c r="BC426" s="15"/>
      <c r="BD426" s="15"/>
      <c r="BE426" s="15" t="s">
        <v>328</v>
      </c>
      <c r="BF426" s="15"/>
      <c r="BG426" s="15"/>
      <c r="BH426" s="15"/>
      <c r="BI426" s="15"/>
      <c r="BJ426" s="15"/>
      <c r="BK426" s="15"/>
      <c r="BL426" s="15" t="s">
        <v>328</v>
      </c>
      <c r="BM426" s="15"/>
      <c r="BN426" s="15" t="s">
        <v>328</v>
      </c>
      <c r="BO426" s="15"/>
      <c r="BP426" s="15"/>
      <c r="BQ426" s="15"/>
      <c r="BR426" s="15"/>
      <c r="BS426" s="15"/>
      <c r="BT426" s="15" t="s">
        <v>328</v>
      </c>
      <c r="BU426" s="15"/>
      <c r="BV426" s="15"/>
      <c r="BW426" s="15"/>
      <c r="BX426" s="15"/>
      <c r="BY426" s="15"/>
      <c r="BZ426" s="15"/>
      <c r="CA426" s="15" t="s">
        <v>328</v>
      </c>
      <c r="CB426" s="15"/>
      <c r="CC426" s="15"/>
      <c r="CD426" s="15"/>
      <c r="CE426" s="15"/>
      <c r="CF426" s="15"/>
      <c r="CG426" s="15" t="s">
        <v>328</v>
      </c>
      <c r="CH426" s="15"/>
      <c r="CI426" s="15" t="s">
        <v>328</v>
      </c>
      <c r="CJ426" s="15"/>
      <c r="CK426" s="15"/>
      <c r="CL426" s="15">
        <v>2</v>
      </c>
      <c r="CM426" s="15">
        <v>1</v>
      </c>
      <c r="CN426" s="15">
        <v>4</v>
      </c>
      <c r="CO426" s="15">
        <v>6</v>
      </c>
      <c r="CP426" s="15">
        <v>5</v>
      </c>
      <c r="CQ426" s="15">
        <v>3</v>
      </c>
      <c r="CR426" s="15" t="s">
        <v>328</v>
      </c>
      <c r="CS426" s="15"/>
      <c r="CT426" s="15"/>
      <c r="CU426" s="15"/>
      <c r="CV426" s="15" t="s">
        <v>328</v>
      </c>
      <c r="CW426" s="15"/>
      <c r="CX426" s="15"/>
      <c r="CY426" s="15" t="s">
        <v>328</v>
      </c>
      <c r="CZ426" s="15" t="s">
        <v>404</v>
      </c>
      <c r="DA426" s="15"/>
      <c r="DB426" s="15"/>
      <c r="DC426" s="15"/>
      <c r="DD426" s="15"/>
      <c r="DE426" s="15"/>
      <c r="DF426" s="15"/>
      <c r="DG426" s="15"/>
      <c r="DH426" s="15"/>
      <c r="DI426" s="15" t="s">
        <v>328</v>
      </c>
      <c r="DJ426" s="15" t="s">
        <v>328</v>
      </c>
      <c r="DK426" s="15" t="s">
        <v>618</v>
      </c>
      <c r="DL426" s="15"/>
      <c r="DM426" s="14" t="s">
        <v>432</v>
      </c>
      <c r="DN426" s="14" t="s">
        <v>333</v>
      </c>
      <c r="DO426" s="15"/>
      <c r="DP426" s="15" t="s">
        <v>328</v>
      </c>
      <c r="DQ426" s="15" t="s">
        <v>328</v>
      </c>
      <c r="DR426" s="15" t="s">
        <v>504</v>
      </c>
      <c r="DS426" s="15"/>
      <c r="DT426" s="15"/>
      <c r="DU426" s="14" t="s">
        <v>335</v>
      </c>
      <c r="DV426" s="14" t="s">
        <v>497</v>
      </c>
      <c r="DW426" s="15" t="s">
        <v>328</v>
      </c>
      <c r="DX426" s="15"/>
      <c r="DY426" s="15"/>
      <c r="DZ426" s="15"/>
      <c r="EA426" s="15"/>
      <c r="EB426" s="15"/>
      <c r="EC426" s="101" t="s">
        <v>333</v>
      </c>
      <c r="ED426" s="48"/>
    </row>
    <row r="427" spans="1:134" x14ac:dyDescent="0.25">
      <c r="A427" s="52" t="s">
        <v>1857</v>
      </c>
      <c r="B427" s="103" t="s">
        <v>1836</v>
      </c>
      <c r="C427" s="14" t="s">
        <v>328</v>
      </c>
      <c r="D427" s="14"/>
      <c r="E427" s="14">
        <v>39</v>
      </c>
      <c r="F427" s="14" t="s">
        <v>329</v>
      </c>
      <c r="G427" s="14" t="s">
        <v>330</v>
      </c>
      <c r="H427" s="14" t="s">
        <v>369</v>
      </c>
      <c r="I427" s="14" t="s">
        <v>1185</v>
      </c>
      <c r="J427" s="14" t="s">
        <v>1182</v>
      </c>
      <c r="K427" s="14">
        <v>17</v>
      </c>
      <c r="L427" s="14">
        <v>1</v>
      </c>
      <c r="M427" s="14"/>
      <c r="N427" s="14"/>
      <c r="O427" s="14"/>
      <c r="P427" s="14"/>
      <c r="Q427" s="14"/>
      <c r="R427" s="14"/>
      <c r="S427" s="14"/>
      <c r="T427" s="14">
        <v>1</v>
      </c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5" t="s">
        <v>1165</v>
      </c>
      <c r="AJ427" s="15"/>
      <c r="AK427" s="14"/>
      <c r="AL427" s="14" t="s">
        <v>328</v>
      </c>
      <c r="AM427" s="14"/>
      <c r="AN427" s="14"/>
      <c r="AO427" s="14" t="s">
        <v>328</v>
      </c>
      <c r="AP427" s="14">
        <v>10</v>
      </c>
      <c r="AQ427" s="14">
        <v>1</v>
      </c>
      <c r="AR427" s="14"/>
      <c r="AS427" s="14"/>
      <c r="AT427" s="14" t="s">
        <v>328</v>
      </c>
      <c r="AU427" s="14"/>
      <c r="AV427" s="14">
        <v>3</v>
      </c>
      <c r="AW427" s="14">
        <v>2</v>
      </c>
      <c r="AX427" s="14">
        <v>1</v>
      </c>
      <c r="AY427" s="14"/>
      <c r="AZ427" s="14" t="s">
        <v>328</v>
      </c>
      <c r="BA427" s="14"/>
      <c r="BB427" s="14"/>
      <c r="BC427" s="14"/>
      <c r="BD427" s="14" t="s">
        <v>328</v>
      </c>
      <c r="BE427" s="14"/>
      <c r="BF427" s="14"/>
      <c r="BG427" s="14"/>
      <c r="BH427" s="14"/>
      <c r="BI427" s="14"/>
      <c r="BJ427" s="14"/>
      <c r="BK427" s="14"/>
      <c r="BL427" s="14" t="s">
        <v>328</v>
      </c>
      <c r="BM427" s="14"/>
      <c r="BN427" s="14" t="s">
        <v>328</v>
      </c>
      <c r="BO427" s="14"/>
      <c r="BP427" s="14" t="s">
        <v>328</v>
      </c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 t="s">
        <v>332</v>
      </c>
      <c r="CG427" s="14" t="s">
        <v>328</v>
      </c>
      <c r="CH427" s="14"/>
      <c r="CI427" s="14"/>
      <c r="CJ427" s="14"/>
      <c r="CK427" s="14"/>
      <c r="CL427" s="14">
        <v>3</v>
      </c>
      <c r="CM427" s="14">
        <v>4</v>
      </c>
      <c r="CN427" s="14">
        <v>2</v>
      </c>
      <c r="CO427" s="14">
        <v>5</v>
      </c>
      <c r="CP427" s="14">
        <v>6</v>
      </c>
      <c r="CQ427" s="14">
        <v>1</v>
      </c>
      <c r="CR427" s="14" t="s">
        <v>328</v>
      </c>
      <c r="CS427" s="14"/>
      <c r="CT427" s="14"/>
      <c r="CU427" s="14"/>
      <c r="CV427" s="14"/>
      <c r="CW427" s="14"/>
      <c r="CX427" s="14" t="s">
        <v>424</v>
      </c>
      <c r="CY427" s="14" t="s">
        <v>328</v>
      </c>
      <c r="CZ427" s="15" t="s">
        <v>404</v>
      </c>
      <c r="DA427" s="14"/>
      <c r="DB427" s="14"/>
      <c r="DC427" s="14"/>
      <c r="DD427" s="14"/>
      <c r="DE427" s="14"/>
      <c r="DF427" s="14"/>
      <c r="DG427" s="14"/>
      <c r="DH427" s="14" t="s">
        <v>328</v>
      </c>
      <c r="DI427" s="14"/>
      <c r="DJ427" s="14"/>
      <c r="DK427" s="14"/>
      <c r="DL427" s="14"/>
      <c r="DM427" s="14"/>
      <c r="DN427" s="15"/>
      <c r="DO427" s="14"/>
      <c r="DP427" s="14" t="s">
        <v>328</v>
      </c>
      <c r="DQ427" s="14" t="s">
        <v>328</v>
      </c>
      <c r="DR427" s="14" t="s">
        <v>397</v>
      </c>
      <c r="DS427" s="14"/>
      <c r="DT427" s="14"/>
      <c r="DU427" s="14" t="s">
        <v>428</v>
      </c>
      <c r="DV427" s="14" t="s">
        <v>497</v>
      </c>
      <c r="DW427" s="14" t="s">
        <v>328</v>
      </c>
      <c r="DX427" s="14"/>
      <c r="DY427" s="14"/>
      <c r="DZ427" s="14"/>
      <c r="EA427" s="14"/>
      <c r="EB427" s="14"/>
      <c r="EC427" s="101" t="s">
        <v>1145</v>
      </c>
      <c r="ED427" s="99"/>
    </row>
    <row r="429" spans="1:134" x14ac:dyDescent="0.25">
      <c r="Z429" s="17">
        <f>COUNTIF(Z51:Z427,"X")</f>
        <v>132</v>
      </c>
      <c r="AA429" s="17">
        <f t="shared" ref="AA429:AK429" si="1">COUNTIF(AA51:AA427,"X")</f>
        <v>83</v>
      </c>
      <c r="AB429" s="17">
        <f t="shared" si="1"/>
        <v>21</v>
      </c>
      <c r="AC429" s="17">
        <f t="shared" si="1"/>
        <v>66</v>
      </c>
      <c r="AD429" s="17">
        <f t="shared" si="1"/>
        <v>71</v>
      </c>
      <c r="AE429" s="17">
        <f t="shared" si="1"/>
        <v>93</v>
      </c>
      <c r="AF429" s="17">
        <f t="shared" si="1"/>
        <v>50</v>
      </c>
      <c r="AG429" s="17">
        <f t="shared" si="1"/>
        <v>54</v>
      </c>
      <c r="AH429" s="17">
        <f t="shared" si="1"/>
        <v>23</v>
      </c>
      <c r="AI429" s="17">
        <f>COUNTA(AI51:AI427)</f>
        <v>83</v>
      </c>
      <c r="AJ429" s="17">
        <f t="shared" si="1"/>
        <v>155</v>
      </c>
      <c r="AK429" s="17">
        <f t="shared" si="1"/>
        <v>226</v>
      </c>
    </row>
    <row r="430" spans="1:134" x14ac:dyDescent="0.25">
      <c r="AB430" s="17">
        <f>+AB429+AH429</f>
        <v>44</v>
      </c>
      <c r="AD430" s="17">
        <f>+AD429+AF429</f>
        <v>121</v>
      </c>
    </row>
  </sheetData>
  <sortState ref="A7:ED348">
    <sortCondition ref="C7:C348"/>
    <sortCondition ref="B7:B348"/>
  </sortState>
  <mergeCells count="116">
    <mergeCell ref="DW47:DX47"/>
    <mergeCell ref="DY47:EA47"/>
    <mergeCell ref="EB47:EB48"/>
    <mergeCell ref="EC47:EC48"/>
    <mergeCell ref="S48:Y48"/>
    <mergeCell ref="DM47:DM48"/>
    <mergeCell ref="DN47:DN48"/>
    <mergeCell ref="DO47:DP47"/>
    <mergeCell ref="DQ47:DT47"/>
    <mergeCell ref="DU47:DU48"/>
    <mergeCell ref="DV47:DV48"/>
    <mergeCell ref="CG47:CK47"/>
    <mergeCell ref="CL47:CQ47"/>
    <mergeCell ref="CR47:CX47"/>
    <mergeCell ref="CY47:DG47"/>
    <mergeCell ref="DH47:DI47"/>
    <mergeCell ref="DJ47:DL47"/>
    <mergeCell ref="AZ47:BA47"/>
    <mergeCell ref="BB47:BK47"/>
    <mergeCell ref="BL47:BM47"/>
    <mergeCell ref="BN47:BO47"/>
    <mergeCell ref="BP47:BV47"/>
    <mergeCell ref="BW47:CF47"/>
    <mergeCell ref="M47:Y47"/>
    <mergeCell ref="Z47:AI47"/>
    <mergeCell ref="AJ47:AO47"/>
    <mergeCell ref="AP47:AQ47"/>
    <mergeCell ref="AR47:AU47"/>
    <mergeCell ref="AV47:AY47"/>
    <mergeCell ref="DO46:DV46"/>
    <mergeCell ref="DW46:EC46"/>
    <mergeCell ref="C47:C48"/>
    <mergeCell ref="D47:D48"/>
    <mergeCell ref="E47:E48"/>
    <mergeCell ref="F47:F48"/>
    <mergeCell ref="G47:G48"/>
    <mergeCell ref="H47:H48"/>
    <mergeCell ref="K47:K48"/>
    <mergeCell ref="L47:L48"/>
    <mergeCell ref="BW46:CF46"/>
    <mergeCell ref="CG46:CK46"/>
    <mergeCell ref="CL46:CQ46"/>
    <mergeCell ref="CR46:CX46"/>
    <mergeCell ref="CY46:DG46"/>
    <mergeCell ref="DH46:DN46"/>
    <mergeCell ref="AR46:AY46"/>
    <mergeCell ref="AZ46:BA46"/>
    <mergeCell ref="BB46:BK46"/>
    <mergeCell ref="BL46:BM46"/>
    <mergeCell ref="BN46:BO46"/>
    <mergeCell ref="BP46:BV46"/>
    <mergeCell ref="EC3:EC4"/>
    <mergeCell ref="S4:Y4"/>
    <mergeCell ref="B46:B48"/>
    <mergeCell ref="C46:D46"/>
    <mergeCell ref="E46:F46"/>
    <mergeCell ref="M46:Y46"/>
    <mergeCell ref="Z46:AI46"/>
    <mergeCell ref="AJ46:AO46"/>
    <mergeCell ref="AP46:AQ46"/>
    <mergeCell ref="DQ3:DT3"/>
    <mergeCell ref="DU3:DU4"/>
    <mergeCell ref="DV3:DV4"/>
    <mergeCell ref="DW3:DX3"/>
    <mergeCell ref="DY3:EA3"/>
    <mergeCell ref="EB3:EB4"/>
    <mergeCell ref="CY3:DG3"/>
    <mergeCell ref="DH3:DI3"/>
    <mergeCell ref="DJ3:DL3"/>
    <mergeCell ref="DM3:DM4"/>
    <mergeCell ref="DN3:DN4"/>
    <mergeCell ref="DO3:DP3"/>
    <mergeCell ref="BW3:CF3"/>
    <mergeCell ref="CG3:CK3"/>
    <mergeCell ref="CL3:CQ3"/>
    <mergeCell ref="CR3:CX3"/>
    <mergeCell ref="AP3:AQ3"/>
    <mergeCell ref="AR3:AU3"/>
    <mergeCell ref="AV3:AY3"/>
    <mergeCell ref="AZ3:BA3"/>
    <mergeCell ref="BB3:BK3"/>
    <mergeCell ref="BL3:BM3"/>
    <mergeCell ref="DH2:DN2"/>
    <mergeCell ref="DO2:DV2"/>
    <mergeCell ref="DW2:EC2"/>
    <mergeCell ref="C3:C4"/>
    <mergeCell ref="D3:D4"/>
    <mergeCell ref="E3:E4"/>
    <mergeCell ref="F3:F4"/>
    <mergeCell ref="G3:G4"/>
    <mergeCell ref="H3:H4"/>
    <mergeCell ref="K3:K4"/>
    <mergeCell ref="BP2:BV2"/>
    <mergeCell ref="BW2:CF2"/>
    <mergeCell ref="CG2:CK2"/>
    <mergeCell ref="CL2:CQ2"/>
    <mergeCell ref="CR2:CX2"/>
    <mergeCell ref="CY2:DG2"/>
    <mergeCell ref="AP2:AQ2"/>
    <mergeCell ref="AR2:AY2"/>
    <mergeCell ref="AZ2:BA2"/>
    <mergeCell ref="BB2:BK2"/>
    <mergeCell ref="BL2:BM2"/>
    <mergeCell ref="BN2:BO2"/>
    <mergeCell ref="BN3:BO3"/>
    <mergeCell ref="BP3:BV3"/>
    <mergeCell ref="B2:B4"/>
    <mergeCell ref="C2:D2"/>
    <mergeCell ref="E2:F2"/>
    <mergeCell ref="M2:Y2"/>
    <mergeCell ref="Z2:AI2"/>
    <mergeCell ref="AJ2:AO2"/>
    <mergeCell ref="L3:L4"/>
    <mergeCell ref="M3:Y3"/>
    <mergeCell ref="Z3:AI3"/>
    <mergeCell ref="AJ3:AO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3:AF1893"/>
  <sheetViews>
    <sheetView tabSelected="1" topLeftCell="L4" zoomScale="90" zoomScaleNormal="90" workbookViewId="0">
      <pane ySplit="1" topLeftCell="A1437" activePane="bottomLeft" state="frozen"/>
      <selection activeCell="A4" sqref="A4"/>
      <selection pane="bottomLeft" activeCell="AD1450" sqref="AD1450"/>
    </sheetView>
  </sheetViews>
  <sheetFormatPr baseColWidth="10" defaultColWidth="11.42578125" defaultRowHeight="15" x14ac:dyDescent="0.25"/>
  <cols>
    <col min="1" max="1" width="3.85546875" style="17" customWidth="1"/>
    <col min="2" max="2" width="7.85546875" style="17" bestFit="1" customWidth="1"/>
    <col min="3" max="3" width="8.5703125" style="17" customWidth="1"/>
    <col min="4" max="4" width="9" style="17" customWidth="1"/>
    <col min="5" max="5" width="12.7109375" style="17" customWidth="1"/>
    <col min="6" max="6" width="12.42578125" style="17" customWidth="1"/>
    <col min="7" max="7" width="12.140625" style="17" customWidth="1"/>
    <col min="8" max="8" width="11.7109375" style="17" customWidth="1"/>
    <col min="9" max="9" width="5.85546875" style="249" customWidth="1"/>
    <col min="10" max="10" width="8.7109375" style="143" customWidth="1"/>
    <col min="11" max="11" width="6.28515625" style="249" customWidth="1"/>
    <col min="12" max="12" width="14.5703125" style="144" customWidth="1"/>
    <col min="13" max="13" width="12.85546875" style="17" customWidth="1"/>
    <col min="14" max="14" width="15.140625" style="17" customWidth="1"/>
    <col min="15" max="15" width="9.7109375" style="17" customWidth="1"/>
    <col min="16" max="17" width="10.28515625" style="17" customWidth="1"/>
    <col min="18" max="18" width="4.28515625" style="17" customWidth="1"/>
    <col min="19" max="24" width="8.85546875" style="17" customWidth="1"/>
    <col min="25" max="25" width="3.42578125" style="17" customWidth="1"/>
    <col min="26" max="26" width="8.28515625" style="145" customWidth="1"/>
    <col min="27" max="27" width="8.7109375" style="249" customWidth="1"/>
    <col min="28" max="32" width="11.42578125" style="250"/>
    <col min="33" max="16384" width="11.42578125" style="17"/>
  </cols>
  <sheetData>
    <row r="3" spans="2:32" ht="15.75" thickBot="1" x14ac:dyDescent="0.3"/>
    <row r="4" spans="2:32" ht="68.25" thickBot="1" x14ac:dyDescent="0.3">
      <c r="B4" s="17" t="s">
        <v>1900</v>
      </c>
      <c r="C4" s="242" t="s">
        <v>153</v>
      </c>
      <c r="D4" s="242" t="s">
        <v>107</v>
      </c>
      <c r="E4" s="244" t="s">
        <v>157</v>
      </c>
      <c r="F4" s="242" t="s">
        <v>161</v>
      </c>
      <c r="G4" s="242" t="s">
        <v>162</v>
      </c>
      <c r="H4" s="242" t="s">
        <v>118</v>
      </c>
      <c r="J4" s="138" t="s">
        <v>2373</v>
      </c>
      <c r="L4" s="144">
        <f>SUMPRODUCT(E5:E1437,M5:M1437)/SUM(M5:M1437)</f>
        <v>1063645.8765138921</v>
      </c>
      <c r="M4" s="146" t="s">
        <v>2397</v>
      </c>
      <c r="N4" s="146" t="s">
        <v>2476</v>
      </c>
      <c r="O4" s="120" t="s">
        <v>274</v>
      </c>
      <c r="P4" s="120" t="s">
        <v>275</v>
      </c>
      <c r="Q4" s="120" t="s">
        <v>276</v>
      </c>
      <c r="S4" s="120" t="s">
        <v>307</v>
      </c>
      <c r="T4" s="120" t="s">
        <v>163</v>
      </c>
      <c r="U4" s="120" t="s">
        <v>164</v>
      </c>
      <c r="V4" s="120" t="s">
        <v>165</v>
      </c>
      <c r="W4" s="120" t="s">
        <v>166</v>
      </c>
      <c r="X4" s="120" t="s">
        <v>167</v>
      </c>
      <c r="Z4" s="124" t="s">
        <v>159</v>
      </c>
      <c r="AA4" s="147" t="s">
        <v>813</v>
      </c>
      <c r="AB4" s="148" t="s">
        <v>401</v>
      </c>
      <c r="AC4" s="148" t="s">
        <v>281</v>
      </c>
      <c r="AD4" s="148" t="s">
        <v>342</v>
      </c>
      <c r="AE4" s="148" t="s">
        <v>344</v>
      </c>
      <c r="AF4" s="148" t="s">
        <v>282</v>
      </c>
    </row>
    <row r="5" spans="2:32" x14ac:dyDescent="0.25">
      <c r="B5" s="54" t="s">
        <v>308</v>
      </c>
      <c r="C5" s="55" t="s">
        <v>337</v>
      </c>
      <c r="D5" s="55">
        <v>2008</v>
      </c>
      <c r="E5" s="56">
        <v>485000</v>
      </c>
      <c r="F5" s="55">
        <v>1.5</v>
      </c>
      <c r="G5" s="55">
        <v>1.8</v>
      </c>
      <c r="H5" s="55" t="s">
        <v>340</v>
      </c>
      <c r="I5" s="249">
        <f>IF(F5&gt;G5,0,1)</f>
        <v>1</v>
      </c>
      <c r="J5" s="143">
        <v>1900</v>
      </c>
      <c r="K5" s="249" t="s">
        <v>2378</v>
      </c>
      <c r="L5" s="144">
        <f>SUMIFS($J$5:$J$1437,$K$5:$K$1437,"PT")</f>
        <v>3446500.6666666665</v>
      </c>
      <c r="M5" s="249">
        <f>2015-$D$5</f>
        <v>7</v>
      </c>
      <c r="N5" s="249">
        <f>2014-$D5</f>
        <v>6</v>
      </c>
      <c r="O5" s="55" t="s">
        <v>328</v>
      </c>
      <c r="P5" s="55"/>
      <c r="Q5" s="55"/>
      <c r="S5" s="55"/>
      <c r="T5" s="55"/>
      <c r="U5" s="55"/>
      <c r="V5" s="55"/>
      <c r="W5" s="55"/>
      <c r="X5" s="55" t="s">
        <v>328</v>
      </c>
      <c r="Z5" s="125">
        <v>0.5</v>
      </c>
      <c r="AA5" s="249">
        <v>1</v>
      </c>
      <c r="AB5" s="250">
        <v>5500</v>
      </c>
      <c r="AC5" s="250">
        <v>10000</v>
      </c>
      <c r="AD5" s="250">
        <v>1500</v>
      </c>
      <c r="AE5" s="250">
        <v>85000</v>
      </c>
      <c r="AF5" s="250">
        <v>15000</v>
      </c>
    </row>
    <row r="6" spans="2:32" x14ac:dyDescent="0.25">
      <c r="B6" s="61" t="s">
        <v>309</v>
      </c>
      <c r="C6" s="14" t="s">
        <v>348</v>
      </c>
      <c r="D6" s="14">
        <v>1995</v>
      </c>
      <c r="E6" s="13">
        <v>1200000</v>
      </c>
      <c r="F6" s="14">
        <v>1.7</v>
      </c>
      <c r="G6" s="14">
        <v>2.5</v>
      </c>
      <c r="H6" s="14" t="s">
        <v>340</v>
      </c>
      <c r="I6" s="249">
        <f t="shared" ref="I6:I69" si="0">IF(F6&gt;G6,0,1)</f>
        <v>1</v>
      </c>
      <c r="J6" s="143">
        <v>12000</v>
      </c>
      <c r="K6" s="249" t="s">
        <v>2378</v>
      </c>
      <c r="L6" s="144">
        <f>+COUNTIFS($J$5:$J$1437,"&gt;0",$K$5:$K$1437,"PT")</f>
        <v>400</v>
      </c>
      <c r="M6" s="249">
        <f t="shared" ref="M6:M69" si="1">2015-D6</f>
        <v>20</v>
      </c>
      <c r="N6" s="249">
        <f t="shared" ref="N6:N69" si="2">2014-$D6</f>
        <v>19</v>
      </c>
      <c r="O6" s="14"/>
      <c r="P6" s="14"/>
      <c r="Q6" s="14" t="s">
        <v>328</v>
      </c>
      <c r="S6" s="14"/>
      <c r="T6" s="14"/>
      <c r="U6" s="14"/>
      <c r="V6" s="14"/>
      <c r="W6" s="14" t="s">
        <v>328</v>
      </c>
      <c r="X6" s="14"/>
      <c r="Z6" s="126">
        <v>0.5</v>
      </c>
      <c r="AA6" s="249">
        <v>2</v>
      </c>
      <c r="AB6" s="250">
        <v>7000</v>
      </c>
      <c r="AC6" s="250">
        <v>10000</v>
      </c>
      <c r="AD6" s="250">
        <v>11000</v>
      </c>
      <c r="AE6" s="250">
        <v>120000</v>
      </c>
      <c r="AF6" s="250">
        <v>10000</v>
      </c>
    </row>
    <row r="7" spans="2:32" x14ac:dyDescent="0.25">
      <c r="B7" s="61" t="s">
        <v>309</v>
      </c>
      <c r="C7" s="14" t="s">
        <v>351</v>
      </c>
      <c r="D7" s="14">
        <v>1988</v>
      </c>
      <c r="E7" s="13" t="s">
        <v>352</v>
      </c>
      <c r="F7" s="14">
        <v>1.5</v>
      </c>
      <c r="G7" s="14">
        <v>2.2000000000000002</v>
      </c>
      <c r="H7" s="14" t="s">
        <v>340</v>
      </c>
      <c r="I7" s="249">
        <f t="shared" si="0"/>
        <v>1</v>
      </c>
      <c r="J7" s="143">
        <v>6000</v>
      </c>
      <c r="K7" s="249" t="s">
        <v>2378</v>
      </c>
      <c r="L7" s="144">
        <f>+L5/L6</f>
        <v>8616.251666666667</v>
      </c>
      <c r="M7" s="249">
        <f t="shared" si="1"/>
        <v>27</v>
      </c>
      <c r="N7" s="249">
        <f t="shared" si="2"/>
        <v>26</v>
      </c>
      <c r="O7" s="14"/>
      <c r="P7" s="14"/>
      <c r="Q7" s="14" t="s">
        <v>328</v>
      </c>
      <c r="S7" s="14"/>
      <c r="T7" s="14" t="s">
        <v>328</v>
      </c>
      <c r="U7" s="14"/>
      <c r="V7" s="14"/>
      <c r="W7" s="14"/>
      <c r="X7" s="14"/>
      <c r="Z7" s="126">
        <v>0.5</v>
      </c>
      <c r="AA7" s="249">
        <v>2</v>
      </c>
      <c r="AB7" s="250">
        <v>7000</v>
      </c>
      <c r="AC7" s="250">
        <v>10000</v>
      </c>
      <c r="AD7" s="250">
        <v>11000</v>
      </c>
      <c r="AE7" s="250">
        <v>120000</v>
      </c>
      <c r="AF7" s="250">
        <v>8000</v>
      </c>
    </row>
    <row r="8" spans="2:32" x14ac:dyDescent="0.25">
      <c r="B8" s="61" t="s">
        <v>310</v>
      </c>
      <c r="C8" s="14" t="s">
        <v>351</v>
      </c>
      <c r="D8" s="14">
        <v>1985</v>
      </c>
      <c r="E8" s="13">
        <v>1000000</v>
      </c>
      <c r="F8" s="14">
        <v>1.8</v>
      </c>
      <c r="G8" s="14">
        <v>2.5</v>
      </c>
      <c r="H8" s="14" t="s">
        <v>340</v>
      </c>
      <c r="I8" s="249">
        <f t="shared" si="0"/>
        <v>1</v>
      </c>
      <c r="J8" s="143">
        <v>5845.5</v>
      </c>
      <c r="K8" s="249" t="s">
        <v>2378</v>
      </c>
      <c r="M8" s="249">
        <f t="shared" si="1"/>
        <v>30</v>
      </c>
      <c r="N8" s="249">
        <f t="shared" si="2"/>
        <v>29</v>
      </c>
      <c r="O8" s="14"/>
      <c r="P8" s="14" t="s">
        <v>328</v>
      </c>
      <c r="Q8" s="14"/>
      <c r="S8" s="14"/>
      <c r="T8" s="14"/>
      <c r="U8" s="14"/>
      <c r="V8" s="14"/>
      <c r="W8" s="14" t="s">
        <v>328</v>
      </c>
      <c r="X8" s="14"/>
      <c r="Z8" s="126">
        <v>0.5</v>
      </c>
      <c r="AA8" s="249">
        <v>1</v>
      </c>
      <c r="AB8" s="250">
        <v>6000</v>
      </c>
      <c r="AC8" s="250">
        <v>15000</v>
      </c>
      <c r="AD8" s="250">
        <v>6000</v>
      </c>
      <c r="AE8" s="250">
        <v>70000</v>
      </c>
      <c r="AF8" s="250">
        <v>30000</v>
      </c>
    </row>
    <row r="9" spans="2:32" x14ac:dyDescent="0.25">
      <c r="B9" s="61" t="s">
        <v>311</v>
      </c>
      <c r="C9" s="14" t="s">
        <v>337</v>
      </c>
      <c r="D9" s="14">
        <v>1999</v>
      </c>
      <c r="E9" s="13">
        <v>850000</v>
      </c>
      <c r="F9" s="14">
        <v>1.8</v>
      </c>
      <c r="G9" s="14">
        <v>2.4500000000000002</v>
      </c>
      <c r="H9" s="14" t="s">
        <v>340</v>
      </c>
      <c r="I9" s="249">
        <f t="shared" si="0"/>
        <v>1</v>
      </c>
      <c r="J9" s="143">
        <v>5000</v>
      </c>
      <c r="K9" s="249" t="s">
        <v>2378</v>
      </c>
      <c r="L9" s="144">
        <f>SUMIFS($J$5:$J$1437,$K$5:$K$1437,"HC")</f>
        <v>6796349.333333333</v>
      </c>
      <c r="M9" s="249">
        <f t="shared" si="1"/>
        <v>16</v>
      </c>
      <c r="N9" s="249">
        <f t="shared" si="2"/>
        <v>15</v>
      </c>
      <c r="O9" s="14" t="s">
        <v>328</v>
      </c>
      <c r="P9" s="14"/>
      <c r="Q9" s="14"/>
      <c r="S9" s="14"/>
      <c r="T9" s="14"/>
      <c r="U9" s="14"/>
      <c r="V9" s="14"/>
      <c r="W9" s="14" t="s">
        <v>328</v>
      </c>
      <c r="X9" s="14"/>
      <c r="Z9" s="126">
        <v>0.3</v>
      </c>
      <c r="AA9" s="249">
        <v>1</v>
      </c>
      <c r="AB9" s="250">
        <v>7500</v>
      </c>
      <c r="AC9" s="250">
        <v>25000</v>
      </c>
      <c r="AD9" s="250">
        <v>10000</v>
      </c>
      <c r="AE9" s="250">
        <v>80000</v>
      </c>
      <c r="AF9" s="250">
        <v>30000</v>
      </c>
    </row>
    <row r="10" spans="2:32" x14ac:dyDescent="0.25">
      <c r="B10" s="61" t="s">
        <v>312</v>
      </c>
      <c r="C10" s="14" t="s">
        <v>337</v>
      </c>
      <c r="D10" s="14">
        <v>1985</v>
      </c>
      <c r="E10" s="13">
        <v>1100000</v>
      </c>
      <c r="F10" s="14">
        <v>1.8</v>
      </c>
      <c r="G10" s="14">
        <v>2</v>
      </c>
      <c r="H10" s="14" t="s">
        <v>340</v>
      </c>
      <c r="I10" s="249">
        <f t="shared" si="0"/>
        <v>1</v>
      </c>
      <c r="J10" s="143">
        <v>10000</v>
      </c>
      <c r="K10" s="249" t="s">
        <v>2378</v>
      </c>
      <c r="L10" s="144">
        <f>+COUNTIFS($J$5:$J$1437,"&gt;0",$K$5:$K$1437,"HC")</f>
        <v>1021</v>
      </c>
      <c r="M10" s="249">
        <f t="shared" si="1"/>
        <v>30</v>
      </c>
      <c r="N10" s="249">
        <f t="shared" si="2"/>
        <v>29</v>
      </c>
      <c r="O10" s="14"/>
      <c r="P10" s="14"/>
      <c r="Q10" s="14" t="s">
        <v>328</v>
      </c>
      <c r="S10" s="14"/>
      <c r="T10" s="14"/>
      <c r="U10" s="14"/>
      <c r="V10" s="14"/>
      <c r="W10" s="14" t="s">
        <v>328</v>
      </c>
      <c r="X10" s="14"/>
      <c r="Z10" s="126">
        <v>0.5</v>
      </c>
      <c r="AA10" s="249">
        <v>1</v>
      </c>
      <c r="AB10" s="250">
        <v>7000</v>
      </c>
      <c r="AC10" s="250">
        <v>16000</v>
      </c>
      <c r="AD10" s="250">
        <v>10000</v>
      </c>
      <c r="AE10" s="250">
        <v>80000</v>
      </c>
      <c r="AF10" s="250">
        <v>16000</v>
      </c>
    </row>
    <row r="11" spans="2:32" x14ac:dyDescent="0.25">
      <c r="B11" s="61" t="s">
        <v>313</v>
      </c>
      <c r="C11" s="14" t="s">
        <v>337</v>
      </c>
      <c r="D11" s="14">
        <v>2000</v>
      </c>
      <c r="E11" s="13">
        <v>600000</v>
      </c>
      <c r="F11" s="14">
        <v>1.7</v>
      </c>
      <c r="G11" s="14">
        <v>2.4</v>
      </c>
      <c r="H11" s="14" t="s">
        <v>340</v>
      </c>
      <c r="I11" s="249">
        <f t="shared" si="0"/>
        <v>1</v>
      </c>
      <c r="J11" s="143">
        <v>4166.666666666667</v>
      </c>
      <c r="K11" s="249" t="s">
        <v>2378</v>
      </c>
      <c r="L11" s="144">
        <f>+L9/L10</f>
        <v>6656.5615409729016</v>
      </c>
      <c r="M11" s="249">
        <f t="shared" si="1"/>
        <v>15</v>
      </c>
      <c r="N11" s="249">
        <f t="shared" si="2"/>
        <v>14</v>
      </c>
      <c r="O11" s="14"/>
      <c r="P11" s="14" t="s">
        <v>328</v>
      </c>
      <c r="Q11" s="14"/>
      <c r="S11" s="14" t="s">
        <v>328</v>
      </c>
      <c r="T11" s="14"/>
      <c r="U11" s="14"/>
      <c r="V11" s="14"/>
      <c r="W11" s="14"/>
      <c r="X11" s="14"/>
      <c r="Z11" s="126">
        <v>0.5</v>
      </c>
      <c r="AA11" s="249">
        <v>1</v>
      </c>
      <c r="AB11" s="250">
        <v>6500</v>
      </c>
      <c r="AC11" s="250">
        <v>10000</v>
      </c>
      <c r="AD11" s="250">
        <v>10000</v>
      </c>
      <c r="AE11" s="250">
        <v>100000</v>
      </c>
      <c r="AF11" s="250">
        <v>20000</v>
      </c>
    </row>
    <row r="12" spans="2:32" x14ac:dyDescent="0.25">
      <c r="B12" s="61" t="s">
        <v>314</v>
      </c>
      <c r="C12" s="14" t="s">
        <v>359</v>
      </c>
      <c r="D12" s="14">
        <v>2004</v>
      </c>
      <c r="E12" s="13">
        <v>560000</v>
      </c>
      <c r="F12" s="14">
        <v>1.8</v>
      </c>
      <c r="G12" s="14">
        <v>2.5</v>
      </c>
      <c r="H12" s="14" t="s">
        <v>340</v>
      </c>
      <c r="I12" s="249">
        <f t="shared" si="0"/>
        <v>1</v>
      </c>
      <c r="J12" s="143">
        <v>5000</v>
      </c>
      <c r="K12" s="249" t="s">
        <v>2378</v>
      </c>
      <c r="M12" s="249">
        <f t="shared" si="1"/>
        <v>11</v>
      </c>
      <c r="N12" s="249">
        <f t="shared" si="2"/>
        <v>10</v>
      </c>
      <c r="O12" s="14"/>
      <c r="P12" s="14" t="s">
        <v>328</v>
      </c>
      <c r="Q12" s="14"/>
      <c r="S12" s="14"/>
      <c r="T12" s="14"/>
      <c r="U12" s="14"/>
      <c r="V12" s="14"/>
      <c r="W12" s="14"/>
      <c r="X12" s="14" t="s">
        <v>328</v>
      </c>
      <c r="Z12" s="126">
        <v>0.5</v>
      </c>
      <c r="AA12" s="249">
        <v>2</v>
      </c>
      <c r="AB12" s="250">
        <v>7500</v>
      </c>
      <c r="AC12" s="250">
        <v>15000</v>
      </c>
      <c r="AD12" s="250">
        <v>5000</v>
      </c>
      <c r="AE12" s="250">
        <v>75000</v>
      </c>
      <c r="AF12" s="250">
        <v>15000</v>
      </c>
    </row>
    <row r="13" spans="2:32" x14ac:dyDescent="0.25">
      <c r="B13" s="61" t="s">
        <v>314</v>
      </c>
      <c r="C13" s="14" t="s">
        <v>348</v>
      </c>
      <c r="D13" s="14">
        <v>1992</v>
      </c>
      <c r="E13" s="13" t="s">
        <v>352</v>
      </c>
      <c r="F13" s="14">
        <v>1.5</v>
      </c>
      <c r="G13" s="14">
        <v>2.2000000000000002</v>
      </c>
      <c r="H13" s="14" t="s">
        <v>340</v>
      </c>
      <c r="I13" s="249">
        <f t="shared" si="0"/>
        <v>1</v>
      </c>
      <c r="J13" s="143">
        <v>5000</v>
      </c>
      <c r="K13" s="249" t="s">
        <v>2378</v>
      </c>
      <c r="M13" s="249">
        <f t="shared" si="1"/>
        <v>23</v>
      </c>
      <c r="N13" s="249">
        <f t="shared" si="2"/>
        <v>22</v>
      </c>
      <c r="O13" s="14"/>
      <c r="P13" s="14"/>
      <c r="Q13" s="14" t="s">
        <v>328</v>
      </c>
      <c r="S13" s="14" t="s">
        <v>328</v>
      </c>
      <c r="T13" s="14"/>
      <c r="U13" s="14"/>
      <c r="V13" s="14"/>
      <c r="W13" s="14"/>
      <c r="X13" s="14"/>
      <c r="Z13" s="126">
        <v>0.5</v>
      </c>
      <c r="AA13" s="249">
        <v>2</v>
      </c>
      <c r="AB13" s="250">
        <v>7500</v>
      </c>
      <c r="AC13" s="250">
        <v>15000</v>
      </c>
      <c r="AD13" s="250">
        <v>6000</v>
      </c>
      <c r="AE13" s="250">
        <v>75000</v>
      </c>
      <c r="AF13" s="250">
        <v>15000</v>
      </c>
    </row>
    <row r="14" spans="2:32" x14ac:dyDescent="0.25">
      <c r="B14" s="61" t="s">
        <v>315</v>
      </c>
      <c r="C14" s="14" t="s">
        <v>337</v>
      </c>
      <c r="D14" s="14">
        <v>1996</v>
      </c>
      <c r="E14" s="13">
        <v>1150000</v>
      </c>
      <c r="F14" s="14">
        <v>1.4</v>
      </c>
      <c r="G14" s="14">
        <v>2</v>
      </c>
      <c r="H14" s="14" t="s">
        <v>340</v>
      </c>
      <c r="I14" s="249">
        <f t="shared" si="0"/>
        <v>1</v>
      </c>
      <c r="J14" s="143">
        <v>3750</v>
      </c>
      <c r="K14" s="249" t="s">
        <v>2379</v>
      </c>
      <c r="M14" s="249">
        <f t="shared" si="1"/>
        <v>19</v>
      </c>
      <c r="N14" s="249">
        <f t="shared" si="2"/>
        <v>18</v>
      </c>
      <c r="O14" s="14"/>
      <c r="P14" s="14" t="s">
        <v>328</v>
      </c>
      <c r="Q14" s="14"/>
      <c r="S14" s="14"/>
      <c r="T14" s="14" t="s">
        <v>328</v>
      </c>
      <c r="U14" s="14"/>
      <c r="V14" s="14"/>
      <c r="W14" s="14"/>
      <c r="X14" s="14"/>
      <c r="Z14" s="126">
        <v>0.5</v>
      </c>
      <c r="AA14" s="249">
        <v>7</v>
      </c>
      <c r="AB14" s="250">
        <v>7000</v>
      </c>
      <c r="AC14" s="250">
        <v>40000</v>
      </c>
      <c r="AD14" s="250">
        <v>30000</v>
      </c>
      <c r="AE14" s="250">
        <v>70000</v>
      </c>
      <c r="AF14" s="250">
        <v>100000</v>
      </c>
    </row>
    <row r="15" spans="2:32" x14ac:dyDescent="0.25">
      <c r="B15" s="61" t="s">
        <v>315</v>
      </c>
      <c r="C15" s="14" t="s">
        <v>337</v>
      </c>
      <c r="D15" s="14">
        <v>1996</v>
      </c>
      <c r="E15" s="13">
        <v>1000000</v>
      </c>
      <c r="F15" s="14">
        <v>1.4</v>
      </c>
      <c r="G15" s="14">
        <v>2</v>
      </c>
      <c r="H15" s="14" t="s">
        <v>340</v>
      </c>
      <c r="I15" s="249">
        <f t="shared" si="0"/>
        <v>1</v>
      </c>
      <c r="J15" s="143">
        <v>3750</v>
      </c>
      <c r="K15" s="249" t="s">
        <v>2379</v>
      </c>
      <c r="M15" s="249">
        <f t="shared" si="1"/>
        <v>19</v>
      </c>
      <c r="N15" s="249">
        <f t="shared" si="2"/>
        <v>18</v>
      </c>
      <c r="O15" s="14"/>
      <c r="P15" s="14" t="s">
        <v>328</v>
      </c>
      <c r="Q15" s="14"/>
      <c r="S15" s="14"/>
      <c r="T15" s="14"/>
      <c r="U15" s="14"/>
      <c r="V15" s="14"/>
      <c r="W15" s="14" t="s">
        <v>328</v>
      </c>
      <c r="X15" s="14"/>
      <c r="Z15" s="126">
        <v>0.5</v>
      </c>
      <c r="AA15" s="249">
        <v>7</v>
      </c>
      <c r="AB15" s="250">
        <v>7000</v>
      </c>
      <c r="AC15" s="250">
        <v>40000</v>
      </c>
      <c r="AD15" s="250">
        <v>30000</v>
      </c>
      <c r="AE15" s="250">
        <v>70000</v>
      </c>
      <c r="AF15" s="250">
        <v>100000</v>
      </c>
    </row>
    <row r="16" spans="2:32" x14ac:dyDescent="0.25">
      <c r="B16" s="61" t="s">
        <v>315</v>
      </c>
      <c r="C16" s="14" t="s">
        <v>337</v>
      </c>
      <c r="D16" s="14">
        <v>2000</v>
      </c>
      <c r="E16" s="13">
        <v>650000</v>
      </c>
      <c r="F16" s="14">
        <v>1.5</v>
      </c>
      <c r="G16" s="14">
        <v>2.2000000000000002</v>
      </c>
      <c r="H16" s="14" t="s">
        <v>340</v>
      </c>
      <c r="I16" s="249">
        <f t="shared" si="0"/>
        <v>1</v>
      </c>
      <c r="J16" s="143">
        <v>4166.666666666667</v>
      </c>
      <c r="K16" s="249" t="s">
        <v>2379</v>
      </c>
      <c r="M16" s="249">
        <f t="shared" si="1"/>
        <v>15</v>
      </c>
      <c r="N16" s="249">
        <f t="shared" si="2"/>
        <v>14</v>
      </c>
      <c r="O16" s="14"/>
      <c r="P16" s="14" t="s">
        <v>328</v>
      </c>
      <c r="Q16" s="14"/>
      <c r="S16" s="14"/>
      <c r="T16" s="14"/>
      <c r="U16" s="14"/>
      <c r="V16" s="14"/>
      <c r="W16" s="14" t="s">
        <v>328</v>
      </c>
      <c r="X16" s="14"/>
      <c r="Z16" s="126">
        <v>0.5</v>
      </c>
      <c r="AA16" s="249">
        <v>7</v>
      </c>
      <c r="AB16" s="250">
        <v>7000</v>
      </c>
      <c r="AC16" s="250">
        <v>60000</v>
      </c>
      <c r="AD16" s="250">
        <v>30000</v>
      </c>
      <c r="AE16" s="250">
        <v>70000</v>
      </c>
      <c r="AF16" s="250">
        <v>100000</v>
      </c>
    </row>
    <row r="17" spans="2:32" x14ac:dyDescent="0.25">
      <c r="B17" s="61" t="s">
        <v>315</v>
      </c>
      <c r="C17" s="14" t="s">
        <v>337</v>
      </c>
      <c r="D17" s="14">
        <v>2001</v>
      </c>
      <c r="E17" s="13">
        <v>550000</v>
      </c>
      <c r="F17" s="14">
        <v>1.5</v>
      </c>
      <c r="G17" s="14">
        <v>2.2000000000000002</v>
      </c>
      <c r="H17" s="14" t="s">
        <v>340</v>
      </c>
      <c r="I17" s="249">
        <f t="shared" si="0"/>
        <v>1</v>
      </c>
      <c r="J17" s="143">
        <v>4166.666666666667</v>
      </c>
      <c r="K17" s="249" t="s">
        <v>2379</v>
      </c>
      <c r="M17" s="249">
        <f t="shared" si="1"/>
        <v>14</v>
      </c>
      <c r="N17" s="249">
        <f t="shared" si="2"/>
        <v>13</v>
      </c>
      <c r="O17" s="14" t="s">
        <v>328</v>
      </c>
      <c r="P17" s="14"/>
      <c r="Q17" s="14"/>
      <c r="S17" s="14"/>
      <c r="T17" s="14"/>
      <c r="U17" s="14"/>
      <c r="V17" s="14"/>
      <c r="W17" s="14" t="s">
        <v>328</v>
      </c>
      <c r="X17" s="14"/>
      <c r="Z17" s="126">
        <v>0.5</v>
      </c>
      <c r="AA17" s="249">
        <v>7</v>
      </c>
      <c r="AB17" s="250">
        <v>7000</v>
      </c>
      <c r="AC17" s="250">
        <v>60000</v>
      </c>
      <c r="AD17" s="250">
        <v>30000</v>
      </c>
      <c r="AE17" s="250">
        <v>70000</v>
      </c>
      <c r="AF17" s="250">
        <v>100000</v>
      </c>
    </row>
    <row r="18" spans="2:32" x14ac:dyDescent="0.25">
      <c r="B18" s="61" t="s">
        <v>315</v>
      </c>
      <c r="C18" s="14" t="s">
        <v>337</v>
      </c>
      <c r="D18" s="14">
        <v>2006</v>
      </c>
      <c r="E18" s="13">
        <v>400000</v>
      </c>
      <c r="F18" s="14">
        <v>1.6</v>
      </c>
      <c r="G18" s="14">
        <v>2.4</v>
      </c>
      <c r="H18" s="14" t="s">
        <v>340</v>
      </c>
      <c r="I18" s="249">
        <f t="shared" si="0"/>
        <v>1</v>
      </c>
      <c r="J18" s="143">
        <v>5000</v>
      </c>
      <c r="K18" s="249" t="s">
        <v>2379</v>
      </c>
      <c r="M18" s="249">
        <f t="shared" si="1"/>
        <v>9</v>
      </c>
      <c r="N18" s="249">
        <f t="shared" si="2"/>
        <v>8</v>
      </c>
      <c r="O18" s="14" t="s">
        <v>328</v>
      </c>
      <c r="P18" s="14"/>
      <c r="Q18" s="14"/>
      <c r="S18" s="14"/>
      <c r="T18" s="14"/>
      <c r="U18" s="14"/>
      <c r="V18" s="14"/>
      <c r="W18" s="14" t="s">
        <v>328</v>
      </c>
      <c r="X18" s="14"/>
      <c r="Z18" s="126">
        <v>0.5</v>
      </c>
      <c r="AA18" s="249">
        <v>7</v>
      </c>
      <c r="AB18" s="250">
        <v>12500</v>
      </c>
      <c r="AC18" s="250">
        <v>60000</v>
      </c>
      <c r="AD18" s="250">
        <v>30000</v>
      </c>
      <c r="AE18" s="250">
        <v>70000</v>
      </c>
      <c r="AF18" s="250">
        <v>200000</v>
      </c>
    </row>
    <row r="19" spans="2:32" x14ac:dyDescent="0.25">
      <c r="B19" s="61" t="s">
        <v>315</v>
      </c>
      <c r="C19" s="14" t="s">
        <v>337</v>
      </c>
      <c r="D19" s="14">
        <v>2007</v>
      </c>
      <c r="E19" s="13">
        <v>350000</v>
      </c>
      <c r="F19" s="14">
        <v>1.6</v>
      </c>
      <c r="G19" s="14">
        <v>2.4</v>
      </c>
      <c r="H19" s="14" t="s">
        <v>340</v>
      </c>
      <c r="I19" s="249">
        <f t="shared" si="0"/>
        <v>1</v>
      </c>
      <c r="J19" s="143">
        <v>5000</v>
      </c>
      <c r="K19" s="249" t="s">
        <v>2379</v>
      </c>
      <c r="M19" s="249">
        <f t="shared" si="1"/>
        <v>8</v>
      </c>
      <c r="N19" s="249">
        <f t="shared" si="2"/>
        <v>7</v>
      </c>
      <c r="O19" s="14" t="s">
        <v>328</v>
      </c>
      <c r="P19" s="14"/>
      <c r="Q19" s="14"/>
      <c r="S19" s="14"/>
      <c r="T19" s="14"/>
      <c r="U19" s="14"/>
      <c r="V19" s="14"/>
      <c r="W19" s="14" t="s">
        <v>328</v>
      </c>
      <c r="X19" s="14"/>
      <c r="Z19" s="126">
        <v>0.5</v>
      </c>
      <c r="AA19" s="249">
        <v>7</v>
      </c>
      <c r="AB19" s="250">
        <v>12500</v>
      </c>
      <c r="AC19" s="250">
        <v>60000</v>
      </c>
      <c r="AD19" s="250">
        <v>30000</v>
      </c>
      <c r="AE19" s="250">
        <v>70000</v>
      </c>
      <c r="AF19" s="250">
        <v>200000</v>
      </c>
    </row>
    <row r="20" spans="2:32" x14ac:dyDescent="0.25">
      <c r="B20" s="61" t="s">
        <v>315</v>
      </c>
      <c r="C20" s="14" t="s">
        <v>337</v>
      </c>
      <c r="D20" s="14">
        <v>2008</v>
      </c>
      <c r="E20" s="13">
        <v>300000</v>
      </c>
      <c r="F20" s="14">
        <v>1.6</v>
      </c>
      <c r="G20" s="14">
        <v>2.5</v>
      </c>
      <c r="H20" s="14" t="s">
        <v>340</v>
      </c>
      <c r="I20" s="249">
        <f t="shared" si="0"/>
        <v>1</v>
      </c>
      <c r="J20" s="143">
        <v>5000</v>
      </c>
      <c r="K20" s="249" t="s">
        <v>2379</v>
      </c>
      <c r="M20" s="249">
        <f t="shared" si="1"/>
        <v>7</v>
      </c>
      <c r="N20" s="249">
        <f t="shared" si="2"/>
        <v>6</v>
      </c>
      <c r="O20" s="14" t="s">
        <v>328</v>
      </c>
      <c r="P20" s="14"/>
      <c r="Q20" s="14"/>
      <c r="S20" s="14"/>
      <c r="T20" s="14"/>
      <c r="U20" s="14"/>
      <c r="V20" s="14"/>
      <c r="W20" s="14" t="s">
        <v>328</v>
      </c>
      <c r="X20" s="14"/>
      <c r="Z20" s="126">
        <v>0.5</v>
      </c>
      <c r="AA20" s="249">
        <v>7</v>
      </c>
      <c r="AB20" s="250">
        <v>12500</v>
      </c>
      <c r="AC20" s="250">
        <v>60000</v>
      </c>
      <c r="AD20" s="250">
        <v>30000</v>
      </c>
      <c r="AE20" s="250">
        <v>70000</v>
      </c>
      <c r="AF20" s="250">
        <v>200000</v>
      </c>
    </row>
    <row r="21" spans="2:32" x14ac:dyDescent="0.25">
      <c r="B21" s="61" t="s">
        <v>316</v>
      </c>
      <c r="C21" s="14" t="s">
        <v>351</v>
      </c>
      <c r="D21" s="14">
        <v>1994</v>
      </c>
      <c r="E21" s="13">
        <v>750000</v>
      </c>
      <c r="F21" s="14">
        <v>1.7</v>
      </c>
      <c r="G21" s="14">
        <v>2.1</v>
      </c>
      <c r="H21" s="14" t="s">
        <v>340</v>
      </c>
      <c r="I21" s="249">
        <f t="shared" si="0"/>
        <v>1</v>
      </c>
      <c r="J21" s="143">
        <v>2500</v>
      </c>
      <c r="K21" s="249" t="s">
        <v>2378</v>
      </c>
      <c r="M21" s="249">
        <f t="shared" si="1"/>
        <v>21</v>
      </c>
      <c r="N21" s="249">
        <f t="shared" si="2"/>
        <v>20</v>
      </c>
      <c r="O21" s="14" t="s">
        <v>328</v>
      </c>
      <c r="P21" s="14"/>
      <c r="Q21" s="14"/>
      <c r="S21" s="14"/>
      <c r="T21" s="14"/>
      <c r="U21" s="14"/>
      <c r="V21" s="14"/>
      <c r="W21" s="14" t="s">
        <v>328</v>
      </c>
      <c r="X21" s="14"/>
      <c r="Z21" s="126">
        <v>0.5</v>
      </c>
      <c r="AA21" s="249">
        <v>2</v>
      </c>
      <c r="AB21" s="250">
        <v>6000</v>
      </c>
      <c r="AC21" s="250">
        <v>10000</v>
      </c>
      <c r="AD21" s="250">
        <v>30000</v>
      </c>
      <c r="AE21" s="250">
        <v>80000</v>
      </c>
      <c r="AF21" s="250">
        <v>16000</v>
      </c>
    </row>
    <row r="22" spans="2:32" x14ac:dyDescent="0.25">
      <c r="B22" s="61" t="s">
        <v>316</v>
      </c>
      <c r="C22" s="14" t="s">
        <v>351</v>
      </c>
      <c r="D22" s="14">
        <v>1994</v>
      </c>
      <c r="E22" s="13">
        <v>800000</v>
      </c>
      <c r="F22" s="14">
        <v>1.7</v>
      </c>
      <c r="G22" s="14">
        <v>2.1</v>
      </c>
      <c r="H22" s="14" t="s">
        <v>340</v>
      </c>
      <c r="I22" s="249">
        <f t="shared" si="0"/>
        <v>1</v>
      </c>
      <c r="J22" s="143">
        <v>2500</v>
      </c>
      <c r="K22" s="249" t="s">
        <v>2378</v>
      </c>
      <c r="M22" s="249">
        <f t="shared" si="1"/>
        <v>21</v>
      </c>
      <c r="N22" s="249">
        <f t="shared" si="2"/>
        <v>20</v>
      </c>
      <c r="O22" s="14" t="s">
        <v>328</v>
      </c>
      <c r="P22" s="14"/>
      <c r="Q22" s="14"/>
      <c r="S22" s="14"/>
      <c r="T22" s="14"/>
      <c r="U22" s="14"/>
      <c r="V22" s="14"/>
      <c r="W22" s="14" t="s">
        <v>328</v>
      </c>
      <c r="X22" s="14"/>
      <c r="Z22" s="126">
        <v>0.5</v>
      </c>
      <c r="AA22" s="249">
        <v>2</v>
      </c>
      <c r="AB22" s="250">
        <v>6000</v>
      </c>
      <c r="AC22" s="250">
        <v>10000</v>
      </c>
      <c r="AD22" s="250">
        <v>30000</v>
      </c>
      <c r="AE22" s="250">
        <v>80000</v>
      </c>
      <c r="AF22" s="250">
        <v>16000</v>
      </c>
    </row>
    <row r="23" spans="2:32" x14ac:dyDescent="0.25">
      <c r="B23" s="61" t="s">
        <v>317</v>
      </c>
      <c r="C23" s="14" t="s">
        <v>351</v>
      </c>
      <c r="D23" s="14">
        <v>1994</v>
      </c>
      <c r="E23" s="13">
        <v>720000</v>
      </c>
      <c r="F23" s="14">
        <v>1.9</v>
      </c>
      <c r="G23" s="14">
        <v>2.2999999999999998</v>
      </c>
      <c r="H23" s="14" t="s">
        <v>340</v>
      </c>
      <c r="I23" s="249">
        <f t="shared" si="0"/>
        <v>1</v>
      </c>
      <c r="J23" s="143">
        <v>3000</v>
      </c>
      <c r="K23" s="249" t="s">
        <v>2378</v>
      </c>
      <c r="M23" s="249">
        <f t="shared" si="1"/>
        <v>21</v>
      </c>
      <c r="N23" s="249">
        <f t="shared" si="2"/>
        <v>20</v>
      </c>
      <c r="O23" s="14"/>
      <c r="P23" s="14"/>
      <c r="Q23" s="14" t="s">
        <v>328</v>
      </c>
      <c r="S23" s="14"/>
      <c r="T23" s="14"/>
      <c r="U23" s="14"/>
      <c r="V23" s="14"/>
      <c r="W23" s="14"/>
      <c r="X23" s="14" t="s">
        <v>328</v>
      </c>
      <c r="Z23" s="126">
        <v>0.3</v>
      </c>
      <c r="AA23" s="249">
        <v>5</v>
      </c>
      <c r="AB23" s="250">
        <v>7000</v>
      </c>
      <c r="AC23" s="250">
        <v>25000</v>
      </c>
      <c r="AD23" s="250">
        <v>12000</v>
      </c>
      <c r="AE23" s="250">
        <v>80000</v>
      </c>
      <c r="AF23" s="250">
        <v>20000</v>
      </c>
    </row>
    <row r="24" spans="2:32" x14ac:dyDescent="0.25">
      <c r="B24" s="61" t="s">
        <v>317</v>
      </c>
      <c r="C24" s="14" t="s">
        <v>348</v>
      </c>
      <c r="D24" s="14">
        <v>1994</v>
      </c>
      <c r="E24" s="13">
        <v>700000</v>
      </c>
      <c r="F24" s="14">
        <v>1.9</v>
      </c>
      <c r="G24" s="14">
        <v>2.2999999999999998</v>
      </c>
      <c r="H24" s="14" t="s">
        <v>340</v>
      </c>
      <c r="I24" s="249">
        <f t="shared" si="0"/>
        <v>1</v>
      </c>
      <c r="J24" s="143">
        <v>3000</v>
      </c>
      <c r="K24" s="249" t="s">
        <v>2378</v>
      </c>
      <c r="M24" s="249">
        <f t="shared" si="1"/>
        <v>21</v>
      </c>
      <c r="N24" s="249">
        <f t="shared" si="2"/>
        <v>20</v>
      </c>
      <c r="O24" s="14"/>
      <c r="P24" s="14"/>
      <c r="Q24" s="14" t="s">
        <v>328</v>
      </c>
      <c r="S24" s="14"/>
      <c r="T24" s="14"/>
      <c r="U24" s="14"/>
      <c r="V24" s="14"/>
      <c r="W24" s="14"/>
      <c r="X24" s="14" t="s">
        <v>328</v>
      </c>
      <c r="Z24" s="126">
        <v>0.3</v>
      </c>
      <c r="AA24" s="249">
        <v>5</v>
      </c>
      <c r="AB24" s="250">
        <v>7000</v>
      </c>
      <c r="AC24" s="250">
        <v>25000</v>
      </c>
      <c r="AD24" s="250">
        <v>12000</v>
      </c>
      <c r="AE24" s="250">
        <v>80000</v>
      </c>
      <c r="AF24" s="250">
        <v>20000</v>
      </c>
    </row>
    <row r="25" spans="2:32" x14ac:dyDescent="0.25">
      <c r="B25" s="61" t="s">
        <v>317</v>
      </c>
      <c r="C25" s="14" t="s">
        <v>348</v>
      </c>
      <c r="D25" s="14">
        <v>1993</v>
      </c>
      <c r="E25" s="13">
        <v>760000</v>
      </c>
      <c r="F25" s="14">
        <v>1.9</v>
      </c>
      <c r="G25" s="14">
        <v>2.2999999999999998</v>
      </c>
      <c r="H25" s="14" t="s">
        <v>340</v>
      </c>
      <c r="I25" s="249">
        <f t="shared" si="0"/>
        <v>1</v>
      </c>
      <c r="J25" s="143">
        <v>3000</v>
      </c>
      <c r="K25" s="249" t="s">
        <v>2378</v>
      </c>
      <c r="M25" s="249">
        <f t="shared" si="1"/>
        <v>22</v>
      </c>
      <c r="N25" s="249">
        <f t="shared" si="2"/>
        <v>21</v>
      </c>
      <c r="O25" s="14"/>
      <c r="P25" s="14" t="s">
        <v>328</v>
      </c>
      <c r="Q25" s="14"/>
      <c r="S25" s="14"/>
      <c r="T25" s="14"/>
      <c r="U25" s="14"/>
      <c r="V25" s="14"/>
      <c r="W25" s="14" t="s">
        <v>328</v>
      </c>
      <c r="X25" s="14"/>
      <c r="Z25" s="126">
        <v>0.3</v>
      </c>
      <c r="AA25" s="249">
        <v>5</v>
      </c>
      <c r="AB25" s="250">
        <v>7000</v>
      </c>
      <c r="AC25" s="250">
        <v>25000</v>
      </c>
      <c r="AD25" s="250">
        <v>12000</v>
      </c>
      <c r="AE25" s="250">
        <v>80000</v>
      </c>
      <c r="AF25" s="250">
        <v>20000</v>
      </c>
    </row>
    <row r="26" spans="2:32" x14ac:dyDescent="0.25">
      <c r="B26" s="61" t="s">
        <v>317</v>
      </c>
      <c r="C26" s="14" t="s">
        <v>348</v>
      </c>
      <c r="D26" s="14">
        <v>1990</v>
      </c>
      <c r="E26" s="13">
        <v>850000</v>
      </c>
      <c r="F26" s="14">
        <v>1.6</v>
      </c>
      <c r="G26" s="14">
        <v>2</v>
      </c>
      <c r="H26" s="14" t="s">
        <v>371</v>
      </c>
      <c r="I26" s="249">
        <f t="shared" si="0"/>
        <v>1</v>
      </c>
      <c r="J26" s="143">
        <v>3000</v>
      </c>
      <c r="K26" s="249" t="s">
        <v>2378</v>
      </c>
      <c r="M26" s="249">
        <f t="shared" si="1"/>
        <v>25</v>
      </c>
      <c r="N26" s="249">
        <f t="shared" si="2"/>
        <v>24</v>
      </c>
      <c r="O26" s="14"/>
      <c r="P26" s="14" t="s">
        <v>328</v>
      </c>
      <c r="Q26" s="14"/>
      <c r="S26" s="14"/>
      <c r="T26" s="14"/>
      <c r="U26" s="14"/>
      <c r="V26" s="14"/>
      <c r="W26" s="14" t="s">
        <v>328</v>
      </c>
      <c r="X26" s="14"/>
      <c r="Z26" s="126">
        <v>0.3</v>
      </c>
      <c r="AA26" s="249">
        <v>5</v>
      </c>
      <c r="AB26" s="250">
        <v>7000</v>
      </c>
      <c r="AC26" s="250">
        <v>20000</v>
      </c>
      <c r="AD26" s="250">
        <v>12000</v>
      </c>
      <c r="AE26" s="250">
        <v>80000</v>
      </c>
      <c r="AF26" s="250" t="s">
        <v>385</v>
      </c>
    </row>
    <row r="27" spans="2:32" x14ac:dyDescent="0.25">
      <c r="B27" s="61" t="s">
        <v>317</v>
      </c>
      <c r="C27" s="14" t="s">
        <v>348</v>
      </c>
      <c r="D27" s="14">
        <v>1982</v>
      </c>
      <c r="E27" s="13">
        <v>1150000</v>
      </c>
      <c r="F27" s="14">
        <v>1.6</v>
      </c>
      <c r="G27" s="14">
        <v>2</v>
      </c>
      <c r="H27" s="14" t="s">
        <v>371</v>
      </c>
      <c r="I27" s="249">
        <f t="shared" si="0"/>
        <v>1</v>
      </c>
      <c r="J27" s="143">
        <v>3000</v>
      </c>
      <c r="K27" s="249" t="s">
        <v>2378</v>
      </c>
      <c r="M27" s="249">
        <f t="shared" si="1"/>
        <v>33</v>
      </c>
      <c r="N27" s="249">
        <f t="shared" si="2"/>
        <v>32</v>
      </c>
      <c r="O27" s="14"/>
      <c r="P27" s="14"/>
      <c r="Q27" s="14" t="s">
        <v>328</v>
      </c>
      <c r="S27" s="14"/>
      <c r="T27" s="14"/>
      <c r="U27" s="14"/>
      <c r="V27" s="14"/>
      <c r="W27" s="14" t="s">
        <v>328</v>
      </c>
      <c r="X27" s="14"/>
      <c r="Z27" s="126">
        <v>0.3</v>
      </c>
      <c r="AA27" s="249">
        <v>5</v>
      </c>
      <c r="AB27" s="250">
        <v>7000</v>
      </c>
      <c r="AC27" s="250">
        <v>20000</v>
      </c>
      <c r="AD27" s="250">
        <v>12000</v>
      </c>
      <c r="AE27" s="250">
        <v>80000</v>
      </c>
      <c r="AF27" s="250" t="s">
        <v>385</v>
      </c>
    </row>
    <row r="28" spans="2:32" x14ac:dyDescent="0.25">
      <c r="B28" s="61" t="s">
        <v>318</v>
      </c>
      <c r="C28" s="14" t="s">
        <v>351</v>
      </c>
      <c r="D28" s="14">
        <v>1994</v>
      </c>
      <c r="E28" s="13">
        <v>500000</v>
      </c>
      <c r="F28" s="14">
        <v>1.5</v>
      </c>
      <c r="G28" s="14">
        <v>1.8</v>
      </c>
      <c r="H28" s="14" t="s">
        <v>340</v>
      </c>
      <c r="I28" s="249">
        <f t="shared" si="0"/>
        <v>1</v>
      </c>
      <c r="J28" s="143">
        <v>2165</v>
      </c>
      <c r="K28" s="249" t="s">
        <v>2378</v>
      </c>
      <c r="M28" s="249">
        <f t="shared" si="1"/>
        <v>21</v>
      </c>
      <c r="N28" s="249">
        <f t="shared" si="2"/>
        <v>20</v>
      </c>
      <c r="O28" s="14"/>
      <c r="P28" s="14"/>
      <c r="Q28" s="14" t="s">
        <v>328</v>
      </c>
      <c r="S28" s="14"/>
      <c r="T28" s="14"/>
      <c r="U28" s="14"/>
      <c r="V28" s="14"/>
      <c r="W28" s="14" t="s">
        <v>328</v>
      </c>
      <c r="X28" s="14"/>
      <c r="Z28" s="126">
        <v>0.5</v>
      </c>
      <c r="AA28" s="249">
        <v>1</v>
      </c>
      <c r="AB28" s="250">
        <v>6000</v>
      </c>
      <c r="AC28" s="250">
        <v>6495</v>
      </c>
      <c r="AD28" s="250">
        <v>6000</v>
      </c>
      <c r="AE28" s="250">
        <v>70000</v>
      </c>
      <c r="AF28" s="250">
        <v>6495</v>
      </c>
    </row>
    <row r="29" spans="2:32" x14ac:dyDescent="0.25">
      <c r="B29" s="61" t="s">
        <v>319</v>
      </c>
      <c r="C29" s="14" t="s">
        <v>348</v>
      </c>
      <c r="D29" s="14">
        <v>1975</v>
      </c>
      <c r="E29" s="13">
        <v>2000000</v>
      </c>
      <c r="F29" s="14">
        <v>1.3</v>
      </c>
      <c r="G29" s="14">
        <v>1.6</v>
      </c>
      <c r="H29" s="14" t="s">
        <v>340</v>
      </c>
      <c r="I29" s="249">
        <f t="shared" si="0"/>
        <v>1</v>
      </c>
      <c r="J29" s="143">
        <v>6495</v>
      </c>
      <c r="K29" s="249" t="s">
        <v>2378</v>
      </c>
      <c r="M29" s="249">
        <f t="shared" si="1"/>
        <v>40</v>
      </c>
      <c r="N29" s="249">
        <f t="shared" si="2"/>
        <v>39</v>
      </c>
      <c r="O29" s="14"/>
      <c r="P29" s="14"/>
      <c r="Q29" s="14" t="s">
        <v>328</v>
      </c>
      <c r="S29" s="14"/>
      <c r="T29" s="14"/>
      <c r="U29" s="14"/>
      <c r="V29" s="14"/>
      <c r="W29" s="14" t="s">
        <v>328</v>
      </c>
      <c r="X29" s="14"/>
      <c r="Z29" s="126">
        <v>0.5</v>
      </c>
      <c r="AA29" s="249">
        <v>3</v>
      </c>
      <c r="AB29" s="250">
        <v>6500</v>
      </c>
      <c r="AC29" s="250">
        <v>18000</v>
      </c>
      <c r="AD29" s="250">
        <v>5000</v>
      </c>
      <c r="AE29" s="250">
        <v>95000</v>
      </c>
      <c r="AF29" s="250">
        <v>18000</v>
      </c>
    </row>
    <row r="30" spans="2:32" x14ac:dyDescent="0.25">
      <c r="B30" s="61" t="s">
        <v>319</v>
      </c>
      <c r="C30" s="14" t="s">
        <v>348</v>
      </c>
      <c r="D30" s="14">
        <v>1978</v>
      </c>
      <c r="E30" s="13">
        <v>2000000</v>
      </c>
      <c r="F30" s="14">
        <v>1.3</v>
      </c>
      <c r="G30" s="14">
        <v>1.6</v>
      </c>
      <c r="H30" s="14" t="s">
        <v>340</v>
      </c>
      <c r="I30" s="249">
        <f t="shared" si="0"/>
        <v>1</v>
      </c>
      <c r="J30" s="143">
        <v>6495</v>
      </c>
      <c r="K30" s="249" t="s">
        <v>2378</v>
      </c>
      <c r="M30" s="249">
        <f t="shared" si="1"/>
        <v>37</v>
      </c>
      <c r="N30" s="249">
        <f t="shared" si="2"/>
        <v>36</v>
      </c>
      <c r="O30" s="14"/>
      <c r="P30" s="14"/>
      <c r="Q30" s="14" t="s">
        <v>328</v>
      </c>
      <c r="S30" s="14"/>
      <c r="T30" s="14"/>
      <c r="U30" s="14"/>
      <c r="V30" s="14"/>
      <c r="W30" s="14" t="s">
        <v>328</v>
      </c>
      <c r="X30" s="14"/>
      <c r="Z30" s="126">
        <v>0.5</v>
      </c>
      <c r="AA30" s="249">
        <v>3</v>
      </c>
      <c r="AB30" s="250">
        <v>6500</v>
      </c>
      <c r="AC30" s="250">
        <v>18000</v>
      </c>
      <c r="AD30" s="250">
        <v>5000</v>
      </c>
      <c r="AE30" s="250">
        <v>95000</v>
      </c>
      <c r="AF30" s="250">
        <v>18000</v>
      </c>
    </row>
    <row r="31" spans="2:32" x14ac:dyDescent="0.25">
      <c r="B31" s="61" t="s">
        <v>319</v>
      </c>
      <c r="C31" s="14" t="s">
        <v>337</v>
      </c>
      <c r="D31" s="14">
        <v>1995</v>
      </c>
      <c r="E31" s="13">
        <v>1600000</v>
      </c>
      <c r="F31" s="14">
        <v>1.5</v>
      </c>
      <c r="G31" s="14">
        <v>1.8</v>
      </c>
      <c r="H31" s="14" t="s">
        <v>340</v>
      </c>
      <c r="I31" s="249">
        <f t="shared" si="0"/>
        <v>1</v>
      </c>
      <c r="J31" s="143">
        <v>8660</v>
      </c>
      <c r="K31" s="249" t="s">
        <v>2378</v>
      </c>
      <c r="M31" s="249">
        <f t="shared" si="1"/>
        <v>20</v>
      </c>
      <c r="N31" s="249">
        <f t="shared" si="2"/>
        <v>19</v>
      </c>
      <c r="O31" s="14"/>
      <c r="P31" s="14"/>
      <c r="Q31" s="14" t="s">
        <v>328</v>
      </c>
      <c r="S31" s="14"/>
      <c r="T31" s="14"/>
      <c r="U31" s="14"/>
      <c r="V31" s="14"/>
      <c r="W31" s="14" t="s">
        <v>328</v>
      </c>
      <c r="X31" s="14"/>
      <c r="Z31" s="126">
        <v>0.5</v>
      </c>
      <c r="AA31" s="249">
        <v>3</v>
      </c>
      <c r="AB31" s="250">
        <v>6500</v>
      </c>
      <c r="AC31" s="250">
        <v>20000</v>
      </c>
      <c r="AD31" s="250">
        <v>5000</v>
      </c>
      <c r="AE31" s="250">
        <v>95000</v>
      </c>
      <c r="AF31" s="250">
        <v>20000</v>
      </c>
    </row>
    <row r="32" spans="2:32" x14ac:dyDescent="0.25">
      <c r="B32" s="61" t="s">
        <v>320</v>
      </c>
      <c r="C32" s="14" t="s">
        <v>351</v>
      </c>
      <c r="D32" s="14">
        <v>1982</v>
      </c>
      <c r="E32" s="13">
        <v>2000000</v>
      </c>
      <c r="F32" s="14">
        <v>1.9</v>
      </c>
      <c r="G32" s="14">
        <v>2.2000000000000002</v>
      </c>
      <c r="H32" s="14" t="s">
        <v>340</v>
      </c>
      <c r="I32" s="249">
        <f t="shared" si="0"/>
        <v>1</v>
      </c>
      <c r="J32" s="143">
        <v>2598</v>
      </c>
      <c r="K32" s="249" t="s">
        <v>2378</v>
      </c>
      <c r="M32" s="249">
        <f t="shared" si="1"/>
        <v>33</v>
      </c>
      <c r="N32" s="249">
        <f t="shared" si="2"/>
        <v>32</v>
      </c>
      <c r="O32" s="14" t="s">
        <v>328</v>
      </c>
      <c r="P32" s="14"/>
      <c r="Q32" s="14"/>
      <c r="S32" s="14"/>
      <c r="T32" s="14"/>
      <c r="U32" s="14"/>
      <c r="V32" s="14"/>
      <c r="W32" s="14" t="s">
        <v>328</v>
      </c>
      <c r="X32" s="14"/>
      <c r="Z32" s="126">
        <v>0.5</v>
      </c>
      <c r="AA32" s="249">
        <v>3</v>
      </c>
      <c r="AB32" s="250">
        <v>7500</v>
      </c>
      <c r="AC32" s="250">
        <v>15000</v>
      </c>
      <c r="AD32" s="250">
        <v>6500</v>
      </c>
      <c r="AE32" s="250">
        <v>130000</v>
      </c>
      <c r="AF32" s="250">
        <v>15000</v>
      </c>
    </row>
    <row r="33" spans="2:32" x14ac:dyDescent="0.25">
      <c r="B33" s="61" t="s">
        <v>320</v>
      </c>
      <c r="C33" s="14" t="s">
        <v>351</v>
      </c>
      <c r="D33" s="14">
        <v>1989</v>
      </c>
      <c r="E33" s="13">
        <v>2000000</v>
      </c>
      <c r="F33" s="14">
        <v>1.9</v>
      </c>
      <c r="G33" s="14">
        <v>2.2000000000000002</v>
      </c>
      <c r="H33" s="14" t="s">
        <v>340</v>
      </c>
      <c r="I33" s="249">
        <f t="shared" si="0"/>
        <v>1</v>
      </c>
      <c r="J33" s="143">
        <v>2598</v>
      </c>
      <c r="K33" s="249" t="s">
        <v>2378</v>
      </c>
      <c r="M33" s="249">
        <f t="shared" si="1"/>
        <v>26</v>
      </c>
      <c r="N33" s="249">
        <f t="shared" si="2"/>
        <v>25</v>
      </c>
      <c r="O33" s="14" t="s">
        <v>328</v>
      </c>
      <c r="P33" s="14"/>
      <c r="Q33" s="14"/>
      <c r="S33" s="14"/>
      <c r="T33" s="14"/>
      <c r="U33" s="14"/>
      <c r="V33" s="14"/>
      <c r="W33" s="14" t="s">
        <v>328</v>
      </c>
      <c r="X33" s="14"/>
      <c r="Z33" s="126">
        <v>0.5</v>
      </c>
      <c r="AA33" s="249">
        <v>3</v>
      </c>
      <c r="AB33" s="250">
        <v>7500</v>
      </c>
      <c r="AC33" s="250">
        <v>15000</v>
      </c>
      <c r="AD33" s="250">
        <v>6500</v>
      </c>
      <c r="AE33" s="250">
        <v>130000</v>
      </c>
      <c r="AF33" s="250">
        <v>15000</v>
      </c>
    </row>
    <row r="34" spans="2:32" x14ac:dyDescent="0.25">
      <c r="B34" s="61" t="s">
        <v>320</v>
      </c>
      <c r="C34" s="14" t="s">
        <v>351</v>
      </c>
      <c r="D34" s="14">
        <v>1991</v>
      </c>
      <c r="E34" s="13">
        <v>1500000</v>
      </c>
      <c r="F34" s="14">
        <v>2.1</v>
      </c>
      <c r="G34" s="14">
        <v>2.5</v>
      </c>
      <c r="H34" s="14" t="s">
        <v>340</v>
      </c>
      <c r="I34" s="249">
        <f t="shared" si="0"/>
        <v>1</v>
      </c>
      <c r="J34" s="143">
        <v>3464</v>
      </c>
      <c r="K34" s="249" t="s">
        <v>2378</v>
      </c>
      <c r="M34" s="249">
        <f t="shared" si="1"/>
        <v>24</v>
      </c>
      <c r="N34" s="249">
        <f t="shared" si="2"/>
        <v>23</v>
      </c>
      <c r="O34" s="14" t="s">
        <v>328</v>
      </c>
      <c r="P34" s="14"/>
      <c r="Q34" s="14"/>
      <c r="S34" s="14"/>
      <c r="T34" s="14"/>
      <c r="U34" s="14"/>
      <c r="V34" s="14"/>
      <c r="W34" s="14" t="s">
        <v>328</v>
      </c>
      <c r="X34" s="14"/>
      <c r="Z34" s="126">
        <v>0.5</v>
      </c>
      <c r="AA34" s="249">
        <v>3</v>
      </c>
      <c r="AB34" s="250">
        <v>7500</v>
      </c>
      <c r="AC34" s="250">
        <v>15000</v>
      </c>
      <c r="AD34" s="250">
        <v>6500</v>
      </c>
      <c r="AE34" s="250">
        <v>130000</v>
      </c>
      <c r="AF34" s="250">
        <v>15000</v>
      </c>
    </row>
    <row r="35" spans="2:32" x14ac:dyDescent="0.25">
      <c r="B35" s="61" t="s">
        <v>321</v>
      </c>
      <c r="C35" s="14" t="s">
        <v>348</v>
      </c>
      <c r="D35" s="14">
        <v>1969</v>
      </c>
      <c r="E35" s="13">
        <v>2500000</v>
      </c>
      <c r="F35" s="14">
        <v>1.8</v>
      </c>
      <c r="G35" s="14">
        <v>2.1</v>
      </c>
      <c r="H35" s="14" t="s">
        <v>340</v>
      </c>
      <c r="I35" s="249">
        <f t="shared" si="0"/>
        <v>1</v>
      </c>
      <c r="J35" s="143">
        <v>4500</v>
      </c>
      <c r="K35" s="249" t="s">
        <v>2378</v>
      </c>
      <c r="M35" s="249">
        <f t="shared" si="1"/>
        <v>46</v>
      </c>
      <c r="N35" s="249">
        <f t="shared" si="2"/>
        <v>45</v>
      </c>
      <c r="O35" s="14"/>
      <c r="P35" s="14"/>
      <c r="Q35" s="14" t="s">
        <v>328</v>
      </c>
      <c r="S35" s="14"/>
      <c r="T35" s="14"/>
      <c r="U35" s="14"/>
      <c r="V35" s="14"/>
      <c r="W35" s="14" t="s">
        <v>328</v>
      </c>
      <c r="X35" s="14"/>
      <c r="Z35" s="126">
        <v>0.2</v>
      </c>
      <c r="AA35" s="249">
        <v>2</v>
      </c>
      <c r="AB35" s="250">
        <v>15000</v>
      </c>
      <c r="AC35" s="250">
        <v>10000</v>
      </c>
      <c r="AD35" s="250">
        <v>8000</v>
      </c>
      <c r="AE35" s="250">
        <v>70000</v>
      </c>
      <c r="AF35" s="250">
        <v>10000</v>
      </c>
    </row>
    <row r="36" spans="2:32" x14ac:dyDescent="0.25">
      <c r="B36" s="61" t="s">
        <v>321</v>
      </c>
      <c r="C36" s="14" t="s">
        <v>348</v>
      </c>
      <c r="D36" s="14">
        <v>1998</v>
      </c>
      <c r="E36" s="13">
        <v>950000</v>
      </c>
      <c r="F36" s="14">
        <v>1.6</v>
      </c>
      <c r="G36" s="14">
        <v>1.9</v>
      </c>
      <c r="H36" s="14" t="s">
        <v>340</v>
      </c>
      <c r="I36" s="249">
        <f t="shared" si="0"/>
        <v>1</v>
      </c>
      <c r="J36" s="143">
        <v>6000</v>
      </c>
      <c r="K36" s="249" t="s">
        <v>2378</v>
      </c>
      <c r="M36" s="249">
        <f t="shared" si="1"/>
        <v>17</v>
      </c>
      <c r="N36" s="249">
        <f t="shared" si="2"/>
        <v>16</v>
      </c>
      <c r="O36" s="14"/>
      <c r="P36" s="14"/>
      <c r="Q36" s="14" t="s">
        <v>328</v>
      </c>
      <c r="S36" s="14"/>
      <c r="T36" s="14"/>
      <c r="U36" s="14"/>
      <c r="V36" s="14"/>
      <c r="W36" s="14" t="s">
        <v>328</v>
      </c>
      <c r="X36" s="14"/>
      <c r="Z36" s="126">
        <v>0.2</v>
      </c>
      <c r="AA36" s="249">
        <v>2</v>
      </c>
      <c r="AB36" s="250">
        <v>15000</v>
      </c>
      <c r="AC36" s="250">
        <v>10000</v>
      </c>
      <c r="AD36" s="250">
        <v>8000</v>
      </c>
      <c r="AE36" s="250">
        <v>80000</v>
      </c>
      <c r="AF36" s="250">
        <v>10000</v>
      </c>
    </row>
    <row r="37" spans="2:32" x14ac:dyDescent="0.25">
      <c r="B37" s="61" t="s">
        <v>322</v>
      </c>
      <c r="C37" s="14" t="s">
        <v>351</v>
      </c>
      <c r="D37" s="14">
        <v>1994</v>
      </c>
      <c r="E37" s="13">
        <v>1400000</v>
      </c>
      <c r="F37" s="14">
        <v>1.5</v>
      </c>
      <c r="G37" s="14">
        <v>2</v>
      </c>
      <c r="H37" s="14" t="s">
        <v>340</v>
      </c>
      <c r="I37" s="249">
        <f t="shared" si="0"/>
        <v>1</v>
      </c>
      <c r="J37" s="143">
        <v>5000</v>
      </c>
      <c r="K37" s="249" t="s">
        <v>2378</v>
      </c>
      <c r="M37" s="249">
        <f t="shared" si="1"/>
        <v>21</v>
      </c>
      <c r="N37" s="249">
        <f t="shared" si="2"/>
        <v>20</v>
      </c>
      <c r="O37" s="14"/>
      <c r="P37" s="14"/>
      <c r="Q37" s="14" t="s">
        <v>328</v>
      </c>
      <c r="S37" s="14" t="s">
        <v>328</v>
      </c>
      <c r="T37" s="14"/>
      <c r="U37" s="14"/>
      <c r="V37" s="14"/>
      <c r="W37" s="14"/>
      <c r="X37" s="14"/>
      <c r="Z37" s="126">
        <v>0.5</v>
      </c>
      <c r="AA37" s="249">
        <v>2</v>
      </c>
      <c r="AB37" s="250">
        <v>6000</v>
      </c>
      <c r="AC37" s="250">
        <v>30000</v>
      </c>
      <c r="AD37" s="250">
        <v>5000</v>
      </c>
      <c r="AE37" s="250">
        <v>60000</v>
      </c>
      <c r="AF37" s="250">
        <v>30000</v>
      </c>
    </row>
    <row r="38" spans="2:32" x14ac:dyDescent="0.25">
      <c r="B38" s="61" t="s">
        <v>322</v>
      </c>
      <c r="C38" s="14" t="s">
        <v>351</v>
      </c>
      <c r="D38" s="14">
        <v>2000</v>
      </c>
      <c r="E38" s="13">
        <v>1200000</v>
      </c>
      <c r="F38" s="14">
        <v>1.8</v>
      </c>
      <c r="G38" s="14">
        <v>2.1</v>
      </c>
      <c r="H38" s="14" t="s">
        <v>340</v>
      </c>
      <c r="I38" s="249">
        <f t="shared" si="0"/>
        <v>1</v>
      </c>
      <c r="J38" s="143">
        <v>5833.333333333333</v>
      </c>
      <c r="K38" s="249" t="s">
        <v>2378</v>
      </c>
      <c r="M38" s="249">
        <f t="shared" si="1"/>
        <v>15</v>
      </c>
      <c r="N38" s="249">
        <f t="shared" si="2"/>
        <v>14</v>
      </c>
      <c r="O38" s="14"/>
      <c r="P38" s="14" t="s">
        <v>328</v>
      </c>
      <c r="Q38" s="14"/>
      <c r="S38" s="14"/>
      <c r="T38" s="14" t="s">
        <v>328</v>
      </c>
      <c r="U38" s="14"/>
      <c r="V38" s="14"/>
      <c r="W38" s="14"/>
      <c r="X38" s="14"/>
      <c r="Z38" s="126">
        <v>0.5</v>
      </c>
      <c r="AA38" s="249">
        <v>2</v>
      </c>
      <c r="AB38" s="250">
        <v>6000</v>
      </c>
      <c r="AC38" s="250">
        <v>30000</v>
      </c>
      <c r="AD38" s="250">
        <v>5000</v>
      </c>
      <c r="AE38" s="250">
        <v>70000</v>
      </c>
      <c r="AF38" s="250">
        <v>30000</v>
      </c>
    </row>
    <row r="39" spans="2:32" x14ac:dyDescent="0.25">
      <c r="B39" s="61" t="s">
        <v>323</v>
      </c>
      <c r="C39" s="14" t="s">
        <v>348</v>
      </c>
      <c r="D39" s="14">
        <v>1992</v>
      </c>
      <c r="E39" s="13">
        <v>705000</v>
      </c>
      <c r="F39" s="14">
        <v>1.6</v>
      </c>
      <c r="G39" s="14">
        <v>2.5</v>
      </c>
      <c r="H39" s="14" t="s">
        <v>340</v>
      </c>
      <c r="I39" s="249">
        <f t="shared" si="0"/>
        <v>1</v>
      </c>
      <c r="J39" s="143">
        <v>2800</v>
      </c>
      <c r="K39" s="249" t="s">
        <v>2378</v>
      </c>
      <c r="M39" s="249">
        <f t="shared" si="1"/>
        <v>23</v>
      </c>
      <c r="N39" s="249">
        <f t="shared" si="2"/>
        <v>22</v>
      </c>
      <c r="O39" s="14"/>
      <c r="P39" s="14"/>
      <c r="Q39" s="14" t="s">
        <v>328</v>
      </c>
      <c r="S39" s="14"/>
      <c r="T39" s="14"/>
      <c r="U39" s="14"/>
      <c r="V39" s="14"/>
      <c r="W39" s="14"/>
      <c r="X39" s="14" t="s">
        <v>328</v>
      </c>
      <c r="Z39" s="126">
        <v>0.5</v>
      </c>
      <c r="AA39" s="249">
        <v>1</v>
      </c>
      <c r="AB39" s="250">
        <v>7500</v>
      </c>
      <c r="AC39" s="250">
        <v>15000</v>
      </c>
      <c r="AD39" s="250">
        <v>11000</v>
      </c>
      <c r="AE39" s="250">
        <v>75000</v>
      </c>
      <c r="AF39" s="250">
        <v>15000</v>
      </c>
    </row>
    <row r="40" spans="2:32" x14ac:dyDescent="0.25">
      <c r="B40" s="61" t="s">
        <v>324</v>
      </c>
      <c r="C40" s="14" t="s">
        <v>348</v>
      </c>
      <c r="D40" s="14">
        <v>1992</v>
      </c>
      <c r="E40" s="13">
        <v>2100000</v>
      </c>
      <c r="F40" s="14">
        <v>1.5</v>
      </c>
      <c r="G40" s="14">
        <v>2.2000000000000002</v>
      </c>
      <c r="H40" s="14" t="s">
        <v>340</v>
      </c>
      <c r="I40" s="249">
        <f t="shared" si="0"/>
        <v>1</v>
      </c>
      <c r="J40" s="143">
        <v>15000</v>
      </c>
      <c r="K40" s="249" t="s">
        <v>2378</v>
      </c>
      <c r="M40" s="249">
        <f t="shared" si="1"/>
        <v>23</v>
      </c>
      <c r="N40" s="249">
        <f t="shared" si="2"/>
        <v>22</v>
      </c>
      <c r="O40" s="14"/>
      <c r="P40" s="14"/>
      <c r="Q40" s="14" t="s">
        <v>328</v>
      </c>
      <c r="S40" s="14"/>
      <c r="T40" s="14"/>
      <c r="U40" s="14"/>
      <c r="V40" s="14"/>
      <c r="W40" s="14"/>
      <c r="X40" s="14" t="s">
        <v>328</v>
      </c>
      <c r="Z40" s="126">
        <v>0.5</v>
      </c>
      <c r="AA40" s="249">
        <v>1</v>
      </c>
      <c r="AB40" s="250">
        <v>7500</v>
      </c>
      <c r="AC40" s="250">
        <v>15000</v>
      </c>
      <c r="AD40" s="250">
        <v>7000</v>
      </c>
      <c r="AE40" s="250">
        <v>120000</v>
      </c>
      <c r="AF40" s="250">
        <v>15000</v>
      </c>
    </row>
    <row r="41" spans="2:32" x14ac:dyDescent="0.25">
      <c r="B41" s="61" t="s">
        <v>325</v>
      </c>
      <c r="C41" s="14" t="s">
        <v>348</v>
      </c>
      <c r="D41" s="14">
        <v>2002</v>
      </c>
      <c r="E41" s="13">
        <v>930000</v>
      </c>
      <c r="F41" s="14">
        <v>1.8</v>
      </c>
      <c r="G41" s="14">
        <v>2.2000000000000002</v>
      </c>
      <c r="H41" s="14" t="s">
        <v>340</v>
      </c>
      <c r="I41" s="249">
        <f t="shared" si="0"/>
        <v>1</v>
      </c>
      <c r="J41" s="143">
        <v>6500</v>
      </c>
      <c r="K41" s="249" t="s">
        <v>2378</v>
      </c>
      <c r="M41" s="249">
        <f t="shared" si="1"/>
        <v>13</v>
      </c>
      <c r="N41" s="249">
        <f t="shared" si="2"/>
        <v>12</v>
      </c>
      <c r="O41" s="14"/>
      <c r="P41" s="14" t="s">
        <v>328</v>
      </c>
      <c r="Q41" s="14"/>
      <c r="S41" s="14"/>
      <c r="T41" s="14"/>
      <c r="U41" s="14"/>
      <c r="V41" s="14"/>
      <c r="W41" s="14" t="s">
        <v>328</v>
      </c>
      <c r="X41" s="14"/>
      <c r="Z41" s="126">
        <v>0.2</v>
      </c>
      <c r="AA41" s="249">
        <v>1</v>
      </c>
      <c r="AB41" s="250">
        <v>15000</v>
      </c>
      <c r="AC41" s="250">
        <v>15000</v>
      </c>
      <c r="AD41" s="250">
        <v>7000</v>
      </c>
      <c r="AE41" s="250">
        <v>100000</v>
      </c>
      <c r="AF41" s="250">
        <v>15000</v>
      </c>
    </row>
    <row r="42" spans="2:32" x14ac:dyDescent="0.25">
      <c r="B42" s="61" t="s">
        <v>326</v>
      </c>
      <c r="C42" s="14" t="s">
        <v>351</v>
      </c>
      <c r="D42" s="14">
        <v>1998</v>
      </c>
      <c r="E42" s="13">
        <v>1000000</v>
      </c>
      <c r="F42" s="14">
        <v>1.7</v>
      </c>
      <c r="G42" s="14">
        <v>2.2000000000000002</v>
      </c>
      <c r="H42" s="14" t="s">
        <v>340</v>
      </c>
      <c r="I42" s="249">
        <f t="shared" si="0"/>
        <v>1</v>
      </c>
      <c r="J42" s="143">
        <v>5000</v>
      </c>
      <c r="K42" s="249" t="s">
        <v>2378</v>
      </c>
      <c r="M42" s="249">
        <f t="shared" si="1"/>
        <v>17</v>
      </c>
      <c r="N42" s="249">
        <f t="shared" si="2"/>
        <v>16</v>
      </c>
      <c r="O42" s="14" t="s">
        <v>328</v>
      </c>
      <c r="P42" s="14"/>
      <c r="Q42" s="14"/>
      <c r="S42" s="14"/>
      <c r="T42" s="14"/>
      <c r="U42" s="14"/>
      <c r="V42" s="14"/>
      <c r="W42" s="14" t="s">
        <v>328</v>
      </c>
      <c r="X42" s="14"/>
      <c r="Z42" s="126">
        <v>0.5</v>
      </c>
      <c r="AA42" s="249">
        <v>1</v>
      </c>
      <c r="AB42" s="250">
        <v>15000</v>
      </c>
      <c r="AC42" s="250">
        <v>30000</v>
      </c>
      <c r="AD42" s="250">
        <v>7000</v>
      </c>
      <c r="AE42" s="250">
        <v>85000</v>
      </c>
      <c r="AF42" s="250">
        <v>30000</v>
      </c>
    </row>
    <row r="43" spans="2:32" x14ac:dyDescent="0.25">
      <c r="B43" s="61" t="s">
        <v>327</v>
      </c>
      <c r="C43" s="14" t="s">
        <v>351</v>
      </c>
      <c r="D43" s="14">
        <v>1974</v>
      </c>
      <c r="E43" s="13">
        <v>1900000</v>
      </c>
      <c r="F43" s="14">
        <v>1.8</v>
      </c>
      <c r="G43" s="14">
        <v>2</v>
      </c>
      <c r="H43" s="14" t="s">
        <v>340</v>
      </c>
      <c r="I43" s="249">
        <f t="shared" si="0"/>
        <v>1</v>
      </c>
      <c r="J43" s="143">
        <v>4000</v>
      </c>
      <c r="K43" s="249" t="s">
        <v>2378</v>
      </c>
      <c r="M43" s="249">
        <f t="shared" si="1"/>
        <v>41</v>
      </c>
      <c r="N43" s="249">
        <f t="shared" si="2"/>
        <v>40</v>
      </c>
      <c r="O43" s="14"/>
      <c r="P43" s="14"/>
      <c r="Q43" s="14" t="s">
        <v>328</v>
      </c>
      <c r="S43" s="14"/>
      <c r="T43" s="14"/>
      <c r="U43" s="14"/>
      <c r="V43" s="14"/>
      <c r="W43" s="14" t="s">
        <v>328</v>
      </c>
      <c r="X43" s="14"/>
      <c r="Z43" s="126">
        <v>0.3</v>
      </c>
      <c r="AA43" s="249">
        <v>1</v>
      </c>
      <c r="AB43" s="250">
        <v>6500</v>
      </c>
      <c r="AC43" s="250">
        <v>10000</v>
      </c>
      <c r="AD43" s="250">
        <v>7000</v>
      </c>
      <c r="AE43" s="250">
        <v>100000</v>
      </c>
      <c r="AF43" s="250">
        <v>10000</v>
      </c>
    </row>
    <row r="44" spans="2:32" x14ac:dyDescent="0.25">
      <c r="B44" s="61" t="s">
        <v>390</v>
      </c>
      <c r="C44" s="14" t="s">
        <v>348</v>
      </c>
      <c r="D44" s="14">
        <v>1980</v>
      </c>
      <c r="E44" s="13">
        <v>250000</v>
      </c>
      <c r="F44" s="14">
        <v>5</v>
      </c>
      <c r="G44" s="14">
        <v>7</v>
      </c>
      <c r="H44" s="14" t="s">
        <v>371</v>
      </c>
      <c r="I44" s="249">
        <f t="shared" si="0"/>
        <v>1</v>
      </c>
      <c r="J44" s="143">
        <v>600</v>
      </c>
      <c r="K44" s="249" t="s">
        <v>2379</v>
      </c>
      <c r="M44" s="249">
        <f t="shared" si="1"/>
        <v>35</v>
      </c>
      <c r="N44" s="249">
        <f t="shared" si="2"/>
        <v>34</v>
      </c>
      <c r="O44" s="14" t="s">
        <v>328</v>
      </c>
      <c r="P44" s="14"/>
      <c r="Q44" s="14"/>
      <c r="S44" s="14" t="s">
        <v>328</v>
      </c>
      <c r="T44" s="14"/>
      <c r="U44" s="14"/>
      <c r="V44" s="14"/>
      <c r="W44" s="14"/>
      <c r="X44" s="14"/>
      <c r="Z44" s="126">
        <v>0.3</v>
      </c>
      <c r="AA44" s="249">
        <v>7</v>
      </c>
      <c r="AB44" s="250">
        <v>5000</v>
      </c>
      <c r="AC44" s="250">
        <v>7000</v>
      </c>
      <c r="AD44" s="250">
        <v>15000</v>
      </c>
      <c r="AE44" s="250">
        <v>50000</v>
      </c>
      <c r="AF44" s="250" t="s">
        <v>385</v>
      </c>
    </row>
    <row r="45" spans="2:32" x14ac:dyDescent="0.25">
      <c r="B45" s="61" t="s">
        <v>390</v>
      </c>
      <c r="C45" s="14" t="s">
        <v>348</v>
      </c>
      <c r="D45" s="14">
        <v>1982</v>
      </c>
      <c r="E45" s="13">
        <v>225000</v>
      </c>
      <c r="F45" s="14">
        <v>5</v>
      </c>
      <c r="G45" s="14">
        <v>7</v>
      </c>
      <c r="H45" s="14" t="s">
        <v>371</v>
      </c>
      <c r="I45" s="249">
        <f t="shared" si="0"/>
        <v>1</v>
      </c>
      <c r="J45" s="143">
        <v>600</v>
      </c>
      <c r="K45" s="249" t="s">
        <v>2379</v>
      </c>
      <c r="M45" s="249">
        <f t="shared" si="1"/>
        <v>33</v>
      </c>
      <c r="N45" s="249">
        <f t="shared" si="2"/>
        <v>32</v>
      </c>
      <c r="O45" s="14" t="s">
        <v>328</v>
      </c>
      <c r="P45" s="14"/>
      <c r="Q45" s="14"/>
      <c r="S45" s="14" t="s">
        <v>328</v>
      </c>
      <c r="T45" s="14"/>
      <c r="U45" s="14"/>
      <c r="V45" s="14"/>
      <c r="W45" s="14"/>
      <c r="X45" s="14"/>
      <c r="Z45" s="126">
        <v>0.3</v>
      </c>
      <c r="AA45" s="249">
        <v>7</v>
      </c>
      <c r="AB45" s="250">
        <v>5000</v>
      </c>
      <c r="AC45" s="250">
        <v>7000</v>
      </c>
      <c r="AD45" s="250">
        <v>15000</v>
      </c>
      <c r="AE45" s="250">
        <v>50000</v>
      </c>
      <c r="AF45" s="250" t="s">
        <v>385</v>
      </c>
    </row>
    <row r="46" spans="2:32" x14ac:dyDescent="0.25">
      <c r="B46" s="61" t="s">
        <v>390</v>
      </c>
      <c r="C46" s="14" t="s">
        <v>348</v>
      </c>
      <c r="D46" s="14">
        <v>1984</v>
      </c>
      <c r="E46" s="13">
        <v>200000</v>
      </c>
      <c r="F46" s="14">
        <v>5</v>
      </c>
      <c r="G46" s="14">
        <v>7</v>
      </c>
      <c r="H46" s="14" t="s">
        <v>371</v>
      </c>
      <c r="I46" s="249">
        <f t="shared" si="0"/>
        <v>1</v>
      </c>
      <c r="J46" s="143">
        <v>600</v>
      </c>
      <c r="K46" s="249" t="s">
        <v>2379</v>
      </c>
      <c r="M46" s="249">
        <f t="shared" si="1"/>
        <v>31</v>
      </c>
      <c r="N46" s="249">
        <f t="shared" si="2"/>
        <v>30</v>
      </c>
      <c r="O46" s="14" t="s">
        <v>328</v>
      </c>
      <c r="P46" s="14"/>
      <c r="Q46" s="14"/>
      <c r="S46" s="14"/>
      <c r="T46" s="14"/>
      <c r="U46" s="14"/>
      <c r="V46" s="14"/>
      <c r="W46" s="14" t="s">
        <v>328</v>
      </c>
      <c r="X46" s="14"/>
      <c r="Z46" s="126">
        <v>0.3</v>
      </c>
      <c r="AA46" s="249">
        <v>7</v>
      </c>
      <c r="AB46" s="250">
        <v>5000</v>
      </c>
      <c r="AC46" s="250">
        <v>7000</v>
      </c>
      <c r="AD46" s="250">
        <v>15000</v>
      </c>
      <c r="AE46" s="250">
        <v>50000</v>
      </c>
      <c r="AF46" s="250" t="s">
        <v>385</v>
      </c>
    </row>
    <row r="47" spans="2:32" x14ac:dyDescent="0.25">
      <c r="B47" s="61" t="s">
        <v>390</v>
      </c>
      <c r="C47" s="14" t="s">
        <v>348</v>
      </c>
      <c r="D47" s="14">
        <v>1985</v>
      </c>
      <c r="E47" s="13">
        <v>270000</v>
      </c>
      <c r="F47" s="14">
        <v>4.5</v>
      </c>
      <c r="G47" s="14">
        <v>6.5</v>
      </c>
      <c r="H47" s="14" t="s">
        <v>371</v>
      </c>
      <c r="I47" s="249">
        <f t="shared" si="0"/>
        <v>1</v>
      </c>
      <c r="J47" s="143">
        <v>800</v>
      </c>
      <c r="K47" s="249" t="s">
        <v>2379</v>
      </c>
      <c r="M47" s="249">
        <f t="shared" si="1"/>
        <v>30</v>
      </c>
      <c r="N47" s="249">
        <f t="shared" si="2"/>
        <v>29</v>
      </c>
      <c r="O47" s="14" t="s">
        <v>328</v>
      </c>
      <c r="P47" s="14"/>
      <c r="Q47" s="14"/>
      <c r="S47" s="14"/>
      <c r="T47" s="14"/>
      <c r="U47" s="14"/>
      <c r="V47" s="14"/>
      <c r="W47" s="14" t="s">
        <v>328</v>
      </c>
      <c r="X47" s="14"/>
      <c r="Z47" s="126">
        <v>0.3</v>
      </c>
      <c r="AA47" s="249">
        <v>7</v>
      </c>
      <c r="AB47" s="250">
        <v>5000</v>
      </c>
      <c r="AC47" s="250">
        <v>8000</v>
      </c>
      <c r="AD47" s="250">
        <v>15000</v>
      </c>
      <c r="AE47" s="250">
        <v>50000</v>
      </c>
      <c r="AF47" s="250" t="s">
        <v>385</v>
      </c>
    </row>
    <row r="48" spans="2:32" x14ac:dyDescent="0.25">
      <c r="B48" s="61" t="s">
        <v>390</v>
      </c>
      <c r="C48" s="14" t="s">
        <v>348</v>
      </c>
      <c r="D48" s="14">
        <v>1990</v>
      </c>
      <c r="E48" s="13">
        <v>210000</v>
      </c>
      <c r="F48" s="14">
        <v>4.5</v>
      </c>
      <c r="G48" s="14">
        <v>6.5</v>
      </c>
      <c r="H48" s="14" t="s">
        <v>371</v>
      </c>
      <c r="I48" s="249">
        <f t="shared" si="0"/>
        <v>1</v>
      </c>
      <c r="J48" s="143">
        <v>800</v>
      </c>
      <c r="K48" s="249" t="s">
        <v>2379</v>
      </c>
      <c r="M48" s="249">
        <f t="shared" si="1"/>
        <v>25</v>
      </c>
      <c r="N48" s="249">
        <f t="shared" si="2"/>
        <v>24</v>
      </c>
      <c r="O48" s="14" t="s">
        <v>328</v>
      </c>
      <c r="P48" s="14"/>
      <c r="Q48" s="14"/>
      <c r="S48" s="14"/>
      <c r="T48" s="14"/>
      <c r="U48" s="14"/>
      <c r="V48" s="14"/>
      <c r="W48" s="14" t="s">
        <v>328</v>
      </c>
      <c r="X48" s="14"/>
      <c r="Z48" s="126">
        <v>0.3</v>
      </c>
      <c r="AA48" s="249">
        <v>7</v>
      </c>
      <c r="AB48" s="250">
        <v>5000</v>
      </c>
      <c r="AC48" s="250">
        <v>8000</v>
      </c>
      <c r="AD48" s="250">
        <v>15000</v>
      </c>
      <c r="AE48" s="250">
        <v>50000</v>
      </c>
      <c r="AF48" s="250" t="s">
        <v>385</v>
      </c>
    </row>
    <row r="49" spans="2:32" x14ac:dyDescent="0.25">
      <c r="B49" s="61" t="s">
        <v>390</v>
      </c>
      <c r="C49" s="14" t="s">
        <v>348</v>
      </c>
      <c r="D49" s="14">
        <v>1995</v>
      </c>
      <c r="E49" s="13">
        <v>240000</v>
      </c>
      <c r="F49" s="14">
        <v>1.8</v>
      </c>
      <c r="G49" s="14">
        <v>2.2000000000000002</v>
      </c>
      <c r="H49" s="14" t="s">
        <v>340</v>
      </c>
      <c r="I49" s="249">
        <f t="shared" si="0"/>
        <v>1</v>
      </c>
      <c r="J49" s="143">
        <v>1200</v>
      </c>
      <c r="K49" s="249" t="s">
        <v>2379</v>
      </c>
      <c r="M49" s="249">
        <f t="shared" si="1"/>
        <v>20</v>
      </c>
      <c r="N49" s="249">
        <f t="shared" si="2"/>
        <v>19</v>
      </c>
      <c r="O49" s="14" t="s">
        <v>328</v>
      </c>
      <c r="P49" s="14"/>
      <c r="Q49" s="14"/>
      <c r="S49" s="14"/>
      <c r="T49" s="14"/>
      <c r="U49" s="14"/>
      <c r="V49" s="14"/>
      <c r="W49" s="14" t="s">
        <v>328</v>
      </c>
      <c r="X49" s="14"/>
      <c r="Z49" s="126">
        <v>0.3</v>
      </c>
      <c r="AA49" s="249">
        <v>7</v>
      </c>
      <c r="AB49" s="250">
        <v>5000</v>
      </c>
      <c r="AC49" s="250">
        <v>15000</v>
      </c>
      <c r="AD49" s="250">
        <v>15000</v>
      </c>
      <c r="AE49" s="250">
        <v>80000</v>
      </c>
      <c r="AF49" s="250">
        <v>15000</v>
      </c>
    </row>
    <row r="50" spans="2:32" x14ac:dyDescent="0.25">
      <c r="B50" s="61" t="s">
        <v>390</v>
      </c>
      <c r="C50" s="14" t="s">
        <v>348</v>
      </c>
      <c r="D50" s="14">
        <v>2000</v>
      </c>
      <c r="E50" s="13">
        <v>185000</v>
      </c>
      <c r="F50" s="14">
        <v>1.8</v>
      </c>
      <c r="G50" s="14">
        <v>2.2000000000000002</v>
      </c>
      <c r="H50" s="14" t="s">
        <v>340</v>
      </c>
      <c r="I50" s="249">
        <f t="shared" si="0"/>
        <v>1</v>
      </c>
      <c r="J50" s="143">
        <v>1200</v>
      </c>
      <c r="K50" s="249" t="s">
        <v>2379</v>
      </c>
      <c r="M50" s="249">
        <f t="shared" si="1"/>
        <v>15</v>
      </c>
      <c r="N50" s="249">
        <f t="shared" si="2"/>
        <v>14</v>
      </c>
      <c r="O50" s="14" t="s">
        <v>328</v>
      </c>
      <c r="P50" s="14"/>
      <c r="Q50" s="14"/>
      <c r="S50" s="14"/>
      <c r="T50" s="14"/>
      <c r="U50" s="14"/>
      <c r="V50" s="14"/>
      <c r="W50" s="14" t="s">
        <v>328</v>
      </c>
      <c r="X50" s="14"/>
      <c r="Z50" s="126">
        <v>0.3</v>
      </c>
      <c r="AA50" s="249">
        <v>7</v>
      </c>
      <c r="AB50" s="250">
        <v>5000</v>
      </c>
      <c r="AC50" s="250">
        <v>15000</v>
      </c>
      <c r="AD50" s="250">
        <v>15000</v>
      </c>
      <c r="AE50" s="250">
        <v>80000</v>
      </c>
      <c r="AF50" s="250">
        <v>15000</v>
      </c>
    </row>
    <row r="51" spans="2:32" x14ac:dyDescent="0.25">
      <c r="B51" s="61" t="s">
        <v>391</v>
      </c>
      <c r="C51" s="14" t="s">
        <v>337</v>
      </c>
      <c r="D51" s="14">
        <v>1998</v>
      </c>
      <c r="E51" s="13">
        <v>2100000</v>
      </c>
      <c r="F51" s="14">
        <v>1.2</v>
      </c>
      <c r="G51" s="14">
        <v>1.8</v>
      </c>
      <c r="H51" s="14" t="s">
        <v>340</v>
      </c>
      <c r="I51" s="249">
        <f t="shared" si="0"/>
        <v>1</v>
      </c>
      <c r="J51" s="143">
        <v>14072.5</v>
      </c>
      <c r="K51" s="249" t="s">
        <v>2378</v>
      </c>
      <c r="M51" s="249">
        <f t="shared" si="1"/>
        <v>17</v>
      </c>
      <c r="N51" s="249">
        <f t="shared" si="2"/>
        <v>16</v>
      </c>
      <c r="O51" s="14"/>
      <c r="P51" s="14"/>
      <c r="Q51" s="14" t="s">
        <v>328</v>
      </c>
      <c r="S51" s="14"/>
      <c r="T51" s="14" t="s">
        <v>328</v>
      </c>
      <c r="U51" s="14"/>
      <c r="V51" s="14"/>
      <c r="W51" s="14"/>
      <c r="X51" s="14"/>
      <c r="Z51" s="126">
        <v>0.5</v>
      </c>
      <c r="AA51" s="249">
        <v>1</v>
      </c>
      <c r="AB51" s="250">
        <v>7000</v>
      </c>
      <c r="AC51" s="250">
        <v>30000</v>
      </c>
      <c r="AD51" s="250">
        <v>12000</v>
      </c>
      <c r="AE51" s="250">
        <v>80000</v>
      </c>
      <c r="AF51" s="250">
        <v>30000</v>
      </c>
    </row>
    <row r="52" spans="2:32" x14ac:dyDescent="0.25">
      <c r="B52" s="61" t="s">
        <v>392</v>
      </c>
      <c r="C52" s="14" t="s">
        <v>337</v>
      </c>
      <c r="D52" s="14">
        <v>1979</v>
      </c>
      <c r="E52" s="13">
        <v>2000000</v>
      </c>
      <c r="F52" s="14">
        <v>1.4</v>
      </c>
      <c r="G52" s="14">
        <v>2.1</v>
      </c>
      <c r="H52" s="14" t="s">
        <v>340</v>
      </c>
      <c r="I52" s="249">
        <f t="shared" si="0"/>
        <v>1</v>
      </c>
      <c r="J52" s="143">
        <v>5000</v>
      </c>
      <c r="K52" s="249" t="s">
        <v>2378</v>
      </c>
      <c r="M52" s="249">
        <f t="shared" si="1"/>
        <v>36</v>
      </c>
      <c r="N52" s="249">
        <f t="shared" si="2"/>
        <v>35</v>
      </c>
      <c r="O52" s="14"/>
      <c r="P52" s="14"/>
      <c r="Q52" s="14" t="s">
        <v>328</v>
      </c>
      <c r="S52" s="14" t="s">
        <v>328</v>
      </c>
      <c r="T52" s="14"/>
      <c r="U52" s="14"/>
      <c r="V52" s="14"/>
      <c r="W52" s="14"/>
      <c r="X52" s="14"/>
      <c r="Z52" s="126">
        <v>0.4</v>
      </c>
      <c r="AA52" s="249">
        <v>1</v>
      </c>
      <c r="AB52" s="250">
        <v>6000</v>
      </c>
      <c r="AC52" s="250">
        <v>15000</v>
      </c>
      <c r="AD52" s="250">
        <v>5000</v>
      </c>
      <c r="AE52" s="250">
        <v>80000</v>
      </c>
      <c r="AF52" s="250">
        <v>15000</v>
      </c>
    </row>
    <row r="53" spans="2:32" x14ac:dyDescent="0.25">
      <c r="B53" s="61" t="s">
        <v>393</v>
      </c>
      <c r="C53" s="14" t="s">
        <v>348</v>
      </c>
      <c r="D53" s="14">
        <v>1985</v>
      </c>
      <c r="E53" s="13">
        <v>2100000</v>
      </c>
      <c r="F53" s="14">
        <v>1.9</v>
      </c>
      <c r="G53" s="14">
        <v>2.2999999999999998</v>
      </c>
      <c r="H53" s="14" t="s">
        <v>340</v>
      </c>
      <c r="I53" s="249">
        <f t="shared" si="0"/>
        <v>1</v>
      </c>
      <c r="J53" s="143">
        <v>5000</v>
      </c>
      <c r="K53" s="249" t="s">
        <v>2378</v>
      </c>
      <c r="M53" s="249">
        <f t="shared" si="1"/>
        <v>30</v>
      </c>
      <c r="N53" s="249">
        <f t="shared" si="2"/>
        <v>29</v>
      </c>
      <c r="O53" s="14"/>
      <c r="P53" s="14"/>
      <c r="Q53" s="14" t="s">
        <v>328</v>
      </c>
      <c r="S53" s="14"/>
      <c r="T53" s="14"/>
      <c r="U53" s="14"/>
      <c r="V53" s="14"/>
      <c r="W53" s="14" t="s">
        <v>328</v>
      </c>
      <c r="X53" s="14"/>
      <c r="Z53" s="126">
        <v>0.25</v>
      </c>
      <c r="AA53" s="249">
        <v>2</v>
      </c>
      <c r="AB53" s="250">
        <v>12000</v>
      </c>
      <c r="AC53" s="250">
        <v>15000</v>
      </c>
      <c r="AD53" s="250">
        <v>7000</v>
      </c>
      <c r="AE53" s="250">
        <v>100000</v>
      </c>
      <c r="AF53" s="250">
        <v>15000</v>
      </c>
    </row>
    <row r="54" spans="2:32" x14ac:dyDescent="0.25">
      <c r="B54" s="61" t="s">
        <v>393</v>
      </c>
      <c r="C54" s="14" t="s">
        <v>348</v>
      </c>
      <c r="D54" s="14">
        <v>1992</v>
      </c>
      <c r="E54" s="13">
        <v>780000</v>
      </c>
      <c r="F54" s="14">
        <v>1.8</v>
      </c>
      <c r="G54" s="14">
        <v>2.2000000000000002</v>
      </c>
      <c r="H54" s="14" t="s">
        <v>340</v>
      </c>
      <c r="I54" s="249">
        <f t="shared" si="0"/>
        <v>1</v>
      </c>
      <c r="J54" s="143">
        <v>5000</v>
      </c>
      <c r="K54" s="249" t="s">
        <v>2378</v>
      </c>
      <c r="M54" s="249">
        <f t="shared" si="1"/>
        <v>23</v>
      </c>
      <c r="N54" s="249">
        <f t="shared" si="2"/>
        <v>22</v>
      </c>
      <c r="O54" s="14"/>
      <c r="P54" s="14" t="s">
        <v>328</v>
      </c>
      <c r="Q54" s="14"/>
      <c r="S54" s="14"/>
      <c r="T54" s="14"/>
      <c r="U54" s="14"/>
      <c r="V54" s="14"/>
      <c r="W54" s="14" t="s">
        <v>328</v>
      </c>
      <c r="X54" s="14"/>
      <c r="Z54" s="126">
        <v>0.25</v>
      </c>
      <c r="AA54" s="249">
        <v>2</v>
      </c>
      <c r="AB54" s="250">
        <v>7000</v>
      </c>
      <c r="AC54" s="250">
        <v>20000</v>
      </c>
      <c r="AD54" s="250">
        <v>7000</v>
      </c>
      <c r="AE54" s="250">
        <v>100000</v>
      </c>
      <c r="AF54" s="250">
        <v>20000</v>
      </c>
    </row>
    <row r="55" spans="2:32" x14ac:dyDescent="0.25">
      <c r="B55" s="61" t="s">
        <v>394</v>
      </c>
      <c r="C55" s="14" t="s">
        <v>348</v>
      </c>
      <c r="D55" s="14">
        <v>2004</v>
      </c>
      <c r="E55" s="13">
        <v>75000</v>
      </c>
      <c r="F55" s="14">
        <v>2.2999999999999998</v>
      </c>
      <c r="G55" s="14">
        <v>2.6</v>
      </c>
      <c r="H55" s="14" t="s">
        <v>371</v>
      </c>
      <c r="I55" s="249">
        <f t="shared" si="0"/>
        <v>1</v>
      </c>
      <c r="J55" s="143">
        <v>750</v>
      </c>
      <c r="K55" s="249" t="s">
        <v>2378</v>
      </c>
      <c r="M55" s="249">
        <f t="shared" si="1"/>
        <v>11</v>
      </c>
      <c r="N55" s="249">
        <f t="shared" si="2"/>
        <v>10</v>
      </c>
      <c r="O55" s="14" t="s">
        <v>328</v>
      </c>
      <c r="P55" s="14"/>
      <c r="Q55" s="14"/>
      <c r="S55" s="14" t="s">
        <v>328</v>
      </c>
      <c r="T55" s="14"/>
      <c r="U55" s="14"/>
      <c r="V55" s="14"/>
      <c r="W55" s="14"/>
      <c r="X55" s="14"/>
      <c r="Z55" s="126">
        <v>0.3</v>
      </c>
      <c r="AA55" s="249">
        <v>5</v>
      </c>
      <c r="AB55" s="250">
        <v>12000</v>
      </c>
      <c r="AC55" s="250">
        <v>12000</v>
      </c>
      <c r="AD55" s="250">
        <v>15000</v>
      </c>
      <c r="AE55" s="250">
        <v>60000</v>
      </c>
      <c r="AF55" s="250" t="s">
        <v>385</v>
      </c>
    </row>
    <row r="56" spans="2:32" x14ac:dyDescent="0.25">
      <c r="B56" s="61" t="s">
        <v>394</v>
      </c>
      <c r="C56" s="14" t="s">
        <v>348</v>
      </c>
      <c r="D56" s="14">
        <v>2004</v>
      </c>
      <c r="E56" s="13">
        <v>70000</v>
      </c>
      <c r="F56" s="14">
        <v>2.2999999999999998</v>
      </c>
      <c r="G56" s="14">
        <v>2.6</v>
      </c>
      <c r="H56" s="14" t="s">
        <v>371</v>
      </c>
      <c r="I56" s="249">
        <f t="shared" si="0"/>
        <v>1</v>
      </c>
      <c r="J56" s="143">
        <v>750</v>
      </c>
      <c r="K56" s="249" t="s">
        <v>2378</v>
      </c>
      <c r="M56" s="249">
        <f t="shared" si="1"/>
        <v>11</v>
      </c>
      <c r="N56" s="249">
        <f t="shared" si="2"/>
        <v>10</v>
      </c>
      <c r="O56" s="14" t="s">
        <v>328</v>
      </c>
      <c r="P56" s="14"/>
      <c r="Q56" s="14"/>
      <c r="S56" s="14" t="s">
        <v>328</v>
      </c>
      <c r="T56" s="14"/>
      <c r="U56" s="14"/>
      <c r="V56" s="14"/>
      <c r="W56" s="14"/>
      <c r="X56" s="14"/>
      <c r="Z56" s="126">
        <v>0.3</v>
      </c>
      <c r="AA56" s="249">
        <v>5</v>
      </c>
      <c r="AB56" s="250">
        <v>12000</v>
      </c>
      <c r="AC56" s="250">
        <v>12000</v>
      </c>
      <c r="AD56" s="250">
        <v>15000</v>
      </c>
      <c r="AE56" s="250">
        <v>60000</v>
      </c>
      <c r="AF56" s="250" t="s">
        <v>385</v>
      </c>
    </row>
    <row r="57" spans="2:32" x14ac:dyDescent="0.25">
      <c r="B57" s="61" t="s">
        <v>394</v>
      </c>
      <c r="C57" s="14" t="s">
        <v>348</v>
      </c>
      <c r="D57" s="14">
        <v>2006</v>
      </c>
      <c r="E57" s="13">
        <v>61000</v>
      </c>
      <c r="F57" s="14">
        <v>2.2999999999999998</v>
      </c>
      <c r="G57" s="14">
        <v>2.6</v>
      </c>
      <c r="H57" s="14" t="s">
        <v>371</v>
      </c>
      <c r="I57" s="249">
        <f t="shared" si="0"/>
        <v>1</v>
      </c>
      <c r="J57" s="143">
        <v>750</v>
      </c>
      <c r="K57" s="249" t="s">
        <v>2378</v>
      </c>
      <c r="M57" s="249">
        <f t="shared" si="1"/>
        <v>9</v>
      </c>
      <c r="N57" s="249">
        <f t="shared" si="2"/>
        <v>8</v>
      </c>
      <c r="O57" s="14" t="s">
        <v>328</v>
      </c>
      <c r="P57" s="14"/>
      <c r="Q57" s="14"/>
      <c r="S57" s="14" t="s">
        <v>328</v>
      </c>
      <c r="T57" s="14"/>
      <c r="U57" s="14"/>
      <c r="V57" s="14"/>
      <c r="W57" s="14"/>
      <c r="X57" s="14"/>
      <c r="Z57" s="126">
        <v>0.3</v>
      </c>
      <c r="AA57" s="249">
        <v>5</v>
      </c>
      <c r="AB57" s="250">
        <v>12000</v>
      </c>
      <c r="AC57" s="250">
        <v>12000</v>
      </c>
      <c r="AD57" s="250">
        <v>15000</v>
      </c>
      <c r="AE57" s="250">
        <v>60000</v>
      </c>
      <c r="AF57" s="250" t="s">
        <v>385</v>
      </c>
    </row>
    <row r="58" spans="2:32" x14ac:dyDescent="0.25">
      <c r="B58" s="61" t="s">
        <v>394</v>
      </c>
      <c r="C58" s="14" t="s">
        <v>348</v>
      </c>
      <c r="D58" s="14">
        <v>2010</v>
      </c>
      <c r="E58" s="13">
        <v>25000</v>
      </c>
      <c r="F58" s="14">
        <v>2.2999999999999998</v>
      </c>
      <c r="G58" s="14">
        <v>2.6</v>
      </c>
      <c r="H58" s="14" t="s">
        <v>371</v>
      </c>
      <c r="I58" s="249">
        <f t="shared" si="0"/>
        <v>1</v>
      </c>
      <c r="J58" s="143">
        <v>750</v>
      </c>
      <c r="K58" s="249" t="s">
        <v>2378</v>
      </c>
      <c r="M58" s="249">
        <f t="shared" si="1"/>
        <v>5</v>
      </c>
      <c r="N58" s="249">
        <f t="shared" si="2"/>
        <v>4</v>
      </c>
      <c r="O58" s="14" t="s">
        <v>328</v>
      </c>
      <c r="P58" s="14"/>
      <c r="Q58" s="14"/>
      <c r="S58" s="14"/>
      <c r="T58" s="14"/>
      <c r="U58" s="14"/>
      <c r="V58" s="14"/>
      <c r="W58" s="14"/>
      <c r="X58" s="14" t="s">
        <v>328</v>
      </c>
      <c r="Z58" s="126">
        <v>0.3</v>
      </c>
      <c r="AA58" s="249">
        <v>5</v>
      </c>
      <c r="AB58" s="250">
        <v>12000</v>
      </c>
      <c r="AC58" s="250">
        <v>12000</v>
      </c>
      <c r="AD58" s="250">
        <v>15000</v>
      </c>
      <c r="AE58" s="250">
        <v>60000</v>
      </c>
      <c r="AF58" s="250" t="s">
        <v>385</v>
      </c>
    </row>
    <row r="59" spans="2:32" x14ac:dyDescent="0.25">
      <c r="B59" s="61" t="s">
        <v>394</v>
      </c>
      <c r="C59" s="14" t="s">
        <v>348</v>
      </c>
      <c r="D59" s="14">
        <v>2012</v>
      </c>
      <c r="E59" s="13">
        <v>14500</v>
      </c>
      <c r="F59" s="14">
        <v>2.2999999999999998</v>
      </c>
      <c r="G59" s="14">
        <v>2.6</v>
      </c>
      <c r="H59" s="14" t="s">
        <v>371</v>
      </c>
      <c r="I59" s="249">
        <f t="shared" si="0"/>
        <v>1</v>
      </c>
      <c r="J59" s="143">
        <v>750</v>
      </c>
      <c r="K59" s="249" t="s">
        <v>2378</v>
      </c>
      <c r="M59" s="249">
        <f t="shared" si="1"/>
        <v>3</v>
      </c>
      <c r="N59" s="249">
        <f t="shared" si="2"/>
        <v>2</v>
      </c>
      <c r="O59" s="14" t="s">
        <v>328</v>
      </c>
      <c r="P59" s="14"/>
      <c r="Q59" s="14"/>
      <c r="S59" s="14"/>
      <c r="T59" s="14"/>
      <c r="U59" s="14"/>
      <c r="V59" s="14"/>
      <c r="W59" s="14"/>
      <c r="X59" s="14" t="s">
        <v>328</v>
      </c>
      <c r="Z59" s="126">
        <v>0.3</v>
      </c>
      <c r="AA59" s="249">
        <v>5</v>
      </c>
      <c r="AB59" s="250">
        <v>12000</v>
      </c>
      <c r="AC59" s="250">
        <v>12000</v>
      </c>
      <c r="AD59" s="250">
        <v>15000</v>
      </c>
      <c r="AE59" s="250">
        <v>60000</v>
      </c>
      <c r="AF59" s="250" t="s">
        <v>385</v>
      </c>
    </row>
    <row r="60" spans="2:32" x14ac:dyDescent="0.25">
      <c r="B60" s="61" t="s">
        <v>403</v>
      </c>
      <c r="C60" s="14" t="s">
        <v>337</v>
      </c>
      <c r="D60" s="14">
        <v>1991</v>
      </c>
      <c r="E60" s="13" t="s">
        <v>908</v>
      </c>
      <c r="F60" s="14">
        <v>1.8</v>
      </c>
      <c r="G60" s="14">
        <v>2</v>
      </c>
      <c r="H60" s="14" t="s">
        <v>340</v>
      </c>
      <c r="I60" s="249">
        <f t="shared" si="0"/>
        <v>1</v>
      </c>
      <c r="J60" s="143">
        <v>3200</v>
      </c>
      <c r="K60" s="249" t="s">
        <v>2378</v>
      </c>
      <c r="M60" s="249">
        <f t="shared" si="1"/>
        <v>24</v>
      </c>
      <c r="N60" s="249">
        <f t="shared" si="2"/>
        <v>23</v>
      </c>
      <c r="O60" s="14"/>
      <c r="P60" s="14"/>
      <c r="Q60" s="14" t="s">
        <v>328</v>
      </c>
      <c r="S60" s="14"/>
      <c r="T60" s="14" t="s">
        <v>328</v>
      </c>
      <c r="U60" s="14"/>
      <c r="V60" s="14"/>
      <c r="W60" s="14"/>
      <c r="X60" s="14"/>
      <c r="Z60" s="126">
        <v>0.5</v>
      </c>
      <c r="AA60" s="249">
        <v>1</v>
      </c>
      <c r="AB60" s="250">
        <v>3000</v>
      </c>
      <c r="AC60" s="250">
        <v>6000</v>
      </c>
      <c r="AD60" s="250">
        <v>12000</v>
      </c>
      <c r="AE60" s="250">
        <v>60000</v>
      </c>
      <c r="AF60" s="250">
        <v>3000</v>
      </c>
    </row>
    <row r="61" spans="2:32" x14ac:dyDescent="0.25">
      <c r="B61" s="61" t="s">
        <v>408</v>
      </c>
      <c r="C61" s="14" t="s">
        <v>337</v>
      </c>
      <c r="D61" s="14">
        <v>1985</v>
      </c>
      <c r="E61" s="13">
        <v>1500000</v>
      </c>
      <c r="F61" s="14">
        <v>1.8</v>
      </c>
      <c r="G61" s="14">
        <v>2</v>
      </c>
      <c r="H61" s="14" t="s">
        <v>340</v>
      </c>
      <c r="I61" s="249">
        <f t="shared" si="0"/>
        <v>1</v>
      </c>
      <c r="J61" s="143">
        <v>4500</v>
      </c>
      <c r="K61" s="249" t="s">
        <v>2378</v>
      </c>
      <c r="M61" s="249">
        <f t="shared" si="1"/>
        <v>30</v>
      </c>
      <c r="N61" s="249">
        <f t="shared" si="2"/>
        <v>29</v>
      </c>
      <c r="O61" s="14"/>
      <c r="P61" s="14"/>
      <c r="Q61" s="14" t="s">
        <v>328</v>
      </c>
      <c r="S61" s="14" t="s">
        <v>328</v>
      </c>
      <c r="T61" s="14"/>
      <c r="U61" s="14"/>
      <c r="V61" s="14"/>
      <c r="W61" s="14"/>
      <c r="X61" s="14"/>
      <c r="Z61" s="126">
        <v>0.5</v>
      </c>
      <c r="AA61" s="249">
        <v>5</v>
      </c>
      <c r="AB61" s="250">
        <v>12000</v>
      </c>
      <c r="AC61" s="250">
        <v>54000</v>
      </c>
      <c r="AD61" s="250">
        <v>4500</v>
      </c>
      <c r="AE61" s="250">
        <v>54000</v>
      </c>
      <c r="AF61" s="250" t="s">
        <v>480</v>
      </c>
    </row>
    <row r="62" spans="2:32" x14ac:dyDescent="0.25">
      <c r="B62" s="61" t="s">
        <v>408</v>
      </c>
      <c r="C62" s="14" t="s">
        <v>337</v>
      </c>
      <c r="D62" s="14">
        <v>1986</v>
      </c>
      <c r="E62" s="13">
        <v>1500000</v>
      </c>
      <c r="F62" s="14">
        <v>1.8</v>
      </c>
      <c r="G62" s="14">
        <v>2</v>
      </c>
      <c r="H62" s="14" t="s">
        <v>340</v>
      </c>
      <c r="I62" s="249">
        <f t="shared" si="0"/>
        <v>1</v>
      </c>
      <c r="J62" s="143">
        <v>4500</v>
      </c>
      <c r="K62" s="249" t="s">
        <v>2378</v>
      </c>
      <c r="M62" s="249">
        <f t="shared" si="1"/>
        <v>29</v>
      </c>
      <c r="N62" s="249">
        <f t="shared" si="2"/>
        <v>28</v>
      </c>
      <c r="O62" s="14"/>
      <c r="P62" s="14"/>
      <c r="Q62" s="14" t="s">
        <v>328</v>
      </c>
      <c r="S62" s="14"/>
      <c r="T62" s="14"/>
      <c r="U62" s="14"/>
      <c r="V62" s="14" t="s">
        <v>328</v>
      </c>
      <c r="W62" s="14"/>
      <c r="X62" s="14"/>
      <c r="Z62" s="126">
        <v>0.5</v>
      </c>
      <c r="AA62" s="249">
        <v>5</v>
      </c>
      <c r="AB62" s="250">
        <v>12000</v>
      </c>
      <c r="AC62" s="250">
        <v>54000</v>
      </c>
      <c r="AD62" s="250">
        <v>4500</v>
      </c>
      <c r="AE62" s="250">
        <v>54000</v>
      </c>
      <c r="AF62" s="250" t="s">
        <v>480</v>
      </c>
    </row>
    <row r="63" spans="2:32" x14ac:dyDescent="0.25">
      <c r="B63" s="61" t="s">
        <v>408</v>
      </c>
      <c r="C63" s="14" t="s">
        <v>337</v>
      </c>
      <c r="D63" s="14">
        <v>1987</v>
      </c>
      <c r="E63" s="13">
        <v>1500000</v>
      </c>
      <c r="F63" s="14">
        <v>1.8</v>
      </c>
      <c r="G63" s="14">
        <v>2</v>
      </c>
      <c r="H63" s="14" t="s">
        <v>340</v>
      </c>
      <c r="I63" s="249">
        <f t="shared" si="0"/>
        <v>1</v>
      </c>
      <c r="J63" s="143">
        <v>4500</v>
      </c>
      <c r="K63" s="249" t="s">
        <v>2378</v>
      </c>
      <c r="M63" s="249">
        <f t="shared" si="1"/>
        <v>28</v>
      </c>
      <c r="N63" s="249">
        <f t="shared" si="2"/>
        <v>27</v>
      </c>
      <c r="O63" s="14"/>
      <c r="P63" s="14"/>
      <c r="Q63" s="14" t="s">
        <v>328</v>
      </c>
      <c r="S63" s="14"/>
      <c r="T63" s="14" t="s">
        <v>328</v>
      </c>
      <c r="U63" s="14"/>
      <c r="V63" s="14"/>
      <c r="W63" s="14"/>
      <c r="X63" s="14"/>
      <c r="Z63" s="126">
        <v>0.5</v>
      </c>
      <c r="AA63" s="249">
        <v>5</v>
      </c>
      <c r="AB63" s="250">
        <v>12000</v>
      </c>
      <c r="AC63" s="250">
        <v>54000</v>
      </c>
      <c r="AD63" s="250">
        <v>4500</v>
      </c>
      <c r="AE63" s="250">
        <v>54000</v>
      </c>
      <c r="AF63" s="250" t="s">
        <v>480</v>
      </c>
    </row>
    <row r="64" spans="2:32" x14ac:dyDescent="0.25">
      <c r="B64" s="61" t="s">
        <v>408</v>
      </c>
      <c r="C64" s="14" t="s">
        <v>337</v>
      </c>
      <c r="D64" s="14">
        <v>1983</v>
      </c>
      <c r="E64" s="13">
        <v>1500000</v>
      </c>
      <c r="F64" s="14">
        <v>1.8</v>
      </c>
      <c r="G64" s="14">
        <v>2</v>
      </c>
      <c r="H64" s="14" t="s">
        <v>340</v>
      </c>
      <c r="I64" s="249">
        <f t="shared" si="0"/>
        <v>1</v>
      </c>
      <c r="J64" s="143">
        <v>4500</v>
      </c>
      <c r="K64" s="249" t="s">
        <v>2378</v>
      </c>
      <c r="M64" s="249">
        <f t="shared" si="1"/>
        <v>32</v>
      </c>
      <c r="N64" s="249">
        <f t="shared" si="2"/>
        <v>31</v>
      </c>
      <c r="O64" s="14"/>
      <c r="P64" s="14"/>
      <c r="Q64" s="14" t="s">
        <v>328</v>
      </c>
      <c r="S64" s="14"/>
      <c r="T64" s="14"/>
      <c r="U64" s="14"/>
      <c r="V64" s="14"/>
      <c r="W64" s="14" t="s">
        <v>328</v>
      </c>
      <c r="X64" s="14"/>
      <c r="Z64" s="126">
        <v>0.5</v>
      </c>
      <c r="AA64" s="249">
        <v>5</v>
      </c>
      <c r="AB64" s="250">
        <v>12000</v>
      </c>
      <c r="AC64" s="250">
        <v>54000</v>
      </c>
      <c r="AD64" s="250">
        <v>4500</v>
      </c>
      <c r="AE64" s="250">
        <v>54000</v>
      </c>
      <c r="AF64" s="250" t="s">
        <v>480</v>
      </c>
    </row>
    <row r="65" spans="2:32" x14ac:dyDescent="0.25">
      <c r="B65" s="61" t="s">
        <v>408</v>
      </c>
      <c r="C65" s="14" t="s">
        <v>337</v>
      </c>
      <c r="D65" s="14">
        <v>1985</v>
      </c>
      <c r="E65" s="13">
        <v>1500000</v>
      </c>
      <c r="F65" s="14">
        <v>1.8</v>
      </c>
      <c r="G65" s="14">
        <v>2</v>
      </c>
      <c r="H65" s="14" t="s">
        <v>340</v>
      </c>
      <c r="I65" s="249">
        <f t="shared" si="0"/>
        <v>1</v>
      </c>
      <c r="J65" s="143">
        <v>4500</v>
      </c>
      <c r="K65" s="249" t="s">
        <v>2378</v>
      </c>
      <c r="M65" s="249">
        <f t="shared" si="1"/>
        <v>30</v>
      </c>
      <c r="N65" s="249">
        <f t="shared" si="2"/>
        <v>29</v>
      </c>
      <c r="O65" s="14"/>
      <c r="P65" s="14"/>
      <c r="Q65" s="14" t="s">
        <v>328</v>
      </c>
      <c r="S65" s="14"/>
      <c r="T65" s="14" t="s">
        <v>328</v>
      </c>
      <c r="U65" s="14"/>
      <c r="V65" s="14"/>
      <c r="W65" s="14"/>
      <c r="X65" s="14"/>
      <c r="Z65" s="126">
        <v>0.5</v>
      </c>
      <c r="AA65" s="249">
        <v>5</v>
      </c>
      <c r="AB65" s="250">
        <v>12000</v>
      </c>
      <c r="AC65" s="250">
        <v>54000</v>
      </c>
      <c r="AD65" s="250">
        <v>4500</v>
      </c>
      <c r="AE65" s="250">
        <v>54000</v>
      </c>
      <c r="AF65" s="250" t="s">
        <v>480</v>
      </c>
    </row>
    <row r="66" spans="2:32" x14ac:dyDescent="0.25">
      <c r="B66" s="61" t="s">
        <v>413</v>
      </c>
      <c r="C66" s="14" t="s">
        <v>337</v>
      </c>
      <c r="D66" s="14">
        <v>2004</v>
      </c>
      <c r="E66" s="13">
        <v>1000000</v>
      </c>
      <c r="F66" s="14">
        <v>2</v>
      </c>
      <c r="G66" s="14">
        <v>5</v>
      </c>
      <c r="H66" s="14" t="s">
        <v>340</v>
      </c>
      <c r="I66" s="249">
        <f t="shared" si="0"/>
        <v>1</v>
      </c>
      <c r="J66" s="143">
        <v>9300</v>
      </c>
      <c r="K66" s="249" t="s">
        <v>2378</v>
      </c>
      <c r="M66" s="249">
        <f t="shared" si="1"/>
        <v>11</v>
      </c>
      <c r="N66" s="249">
        <f t="shared" si="2"/>
        <v>10</v>
      </c>
      <c r="O66" s="14"/>
      <c r="P66" s="14"/>
      <c r="Q66" s="14" t="s">
        <v>328</v>
      </c>
      <c r="S66" s="14"/>
      <c r="T66" s="14" t="s">
        <v>328</v>
      </c>
      <c r="U66" s="14"/>
      <c r="V66" s="14"/>
      <c r="W66" s="14"/>
      <c r="X66" s="14"/>
      <c r="Z66" s="126">
        <v>0.5</v>
      </c>
      <c r="AA66" s="249">
        <v>2</v>
      </c>
      <c r="AB66" s="250">
        <v>20000</v>
      </c>
      <c r="AC66" s="250">
        <v>12000</v>
      </c>
      <c r="AD66" s="250">
        <v>9300</v>
      </c>
      <c r="AE66" s="250">
        <v>56000</v>
      </c>
      <c r="AF66" s="250">
        <v>50000</v>
      </c>
    </row>
    <row r="67" spans="2:32" x14ac:dyDescent="0.25">
      <c r="B67" s="61" t="s">
        <v>413</v>
      </c>
      <c r="C67" s="14" t="s">
        <v>337</v>
      </c>
      <c r="D67" s="14">
        <v>2006</v>
      </c>
      <c r="E67" s="13">
        <v>1000000</v>
      </c>
      <c r="F67" s="14">
        <v>2</v>
      </c>
      <c r="G67" s="14">
        <v>5</v>
      </c>
      <c r="H67" s="14" t="s">
        <v>340</v>
      </c>
      <c r="I67" s="249">
        <f t="shared" si="0"/>
        <v>1</v>
      </c>
      <c r="J67" s="143">
        <v>12000</v>
      </c>
      <c r="K67" s="249" t="s">
        <v>2378</v>
      </c>
      <c r="M67" s="249">
        <f t="shared" si="1"/>
        <v>9</v>
      </c>
      <c r="N67" s="249">
        <f t="shared" si="2"/>
        <v>8</v>
      </c>
      <c r="O67" s="14"/>
      <c r="P67" s="14"/>
      <c r="Q67" s="14" t="s">
        <v>328</v>
      </c>
      <c r="S67" s="14"/>
      <c r="T67" s="14" t="s">
        <v>328</v>
      </c>
      <c r="U67" s="14"/>
      <c r="V67" s="14"/>
      <c r="W67" s="14"/>
      <c r="X67" s="14"/>
      <c r="Z67" s="126">
        <v>0.5</v>
      </c>
      <c r="AA67" s="249">
        <v>2</v>
      </c>
      <c r="AB67" s="250">
        <v>20000</v>
      </c>
      <c r="AC67" s="250">
        <v>12000</v>
      </c>
      <c r="AD67" s="250">
        <v>12000</v>
      </c>
      <c r="AE67" s="250">
        <v>72000</v>
      </c>
      <c r="AF67" s="250">
        <v>50000</v>
      </c>
    </row>
    <row r="68" spans="2:32" x14ac:dyDescent="0.25">
      <c r="B68" s="61" t="s">
        <v>416</v>
      </c>
      <c r="C68" s="14" t="s">
        <v>337</v>
      </c>
      <c r="D68" s="14">
        <v>2000</v>
      </c>
      <c r="E68" s="13">
        <v>300000</v>
      </c>
      <c r="F68" s="14">
        <v>2.5</v>
      </c>
      <c r="G68" s="14">
        <v>2.8</v>
      </c>
      <c r="H68" s="14" t="s">
        <v>340</v>
      </c>
      <c r="I68" s="249">
        <f t="shared" si="0"/>
        <v>1</v>
      </c>
      <c r="J68" s="143">
        <v>10000</v>
      </c>
      <c r="K68" s="249" t="s">
        <v>2379</v>
      </c>
      <c r="M68" s="249">
        <f t="shared" si="1"/>
        <v>15</v>
      </c>
      <c r="N68" s="249">
        <f t="shared" si="2"/>
        <v>14</v>
      </c>
      <c r="O68" s="14" t="s">
        <v>328</v>
      </c>
      <c r="P68" s="14"/>
      <c r="Q68" s="14"/>
      <c r="S68" s="14"/>
      <c r="T68" s="14"/>
      <c r="U68" s="14"/>
      <c r="V68" s="14"/>
      <c r="W68" s="14" t="s">
        <v>328</v>
      </c>
      <c r="X68" s="14"/>
      <c r="Z68" s="126">
        <v>0.35</v>
      </c>
      <c r="AA68" s="249">
        <v>10</v>
      </c>
      <c r="AB68" s="250">
        <v>10000</v>
      </c>
      <c r="AC68" s="250">
        <v>60000</v>
      </c>
      <c r="AD68" s="250">
        <v>60000</v>
      </c>
      <c r="AE68" s="250">
        <v>120000</v>
      </c>
      <c r="AF68" s="250">
        <v>60000</v>
      </c>
    </row>
    <row r="69" spans="2:32" x14ac:dyDescent="0.25">
      <c r="B69" s="61" t="s">
        <v>416</v>
      </c>
      <c r="C69" s="14" t="s">
        <v>337</v>
      </c>
      <c r="D69" s="14">
        <v>2000</v>
      </c>
      <c r="E69" s="13">
        <v>300000</v>
      </c>
      <c r="F69" s="14">
        <v>2.5</v>
      </c>
      <c r="G69" s="14">
        <v>2.8</v>
      </c>
      <c r="H69" s="14" t="s">
        <v>340</v>
      </c>
      <c r="I69" s="249">
        <f t="shared" si="0"/>
        <v>1</v>
      </c>
      <c r="J69" s="143">
        <v>10000</v>
      </c>
      <c r="K69" s="249" t="s">
        <v>2379</v>
      </c>
      <c r="M69" s="249">
        <f t="shared" si="1"/>
        <v>15</v>
      </c>
      <c r="N69" s="249">
        <f t="shared" si="2"/>
        <v>14</v>
      </c>
      <c r="O69" s="14" t="s">
        <v>328</v>
      </c>
      <c r="P69" s="14"/>
      <c r="Q69" s="14"/>
      <c r="S69" s="14"/>
      <c r="T69" s="14"/>
      <c r="U69" s="14"/>
      <c r="V69" s="14"/>
      <c r="W69" s="14" t="s">
        <v>328</v>
      </c>
      <c r="X69" s="14"/>
      <c r="Z69" s="126">
        <v>0.35</v>
      </c>
      <c r="AA69" s="249">
        <v>10</v>
      </c>
      <c r="AB69" s="250">
        <v>10000</v>
      </c>
      <c r="AC69" s="250">
        <v>60000</v>
      </c>
      <c r="AD69" s="250">
        <v>60000</v>
      </c>
      <c r="AE69" s="250">
        <v>120000</v>
      </c>
      <c r="AF69" s="250">
        <v>60000</v>
      </c>
    </row>
    <row r="70" spans="2:32" x14ac:dyDescent="0.25">
      <c r="B70" s="61" t="s">
        <v>416</v>
      </c>
      <c r="C70" s="14" t="s">
        <v>337</v>
      </c>
      <c r="D70" s="14">
        <v>2001</v>
      </c>
      <c r="E70" s="13">
        <v>300000</v>
      </c>
      <c r="F70" s="14">
        <v>2.5</v>
      </c>
      <c r="G70" s="14">
        <v>2.8</v>
      </c>
      <c r="H70" s="14" t="s">
        <v>340</v>
      </c>
      <c r="I70" s="249">
        <f t="shared" ref="I70:I133" si="3">IF(F70&gt;G70,0,1)</f>
        <v>1</v>
      </c>
      <c r="J70" s="143">
        <v>10000</v>
      </c>
      <c r="K70" s="249" t="s">
        <v>2379</v>
      </c>
      <c r="M70" s="249">
        <f t="shared" ref="M70:M133" si="4">2015-D70</f>
        <v>14</v>
      </c>
      <c r="N70" s="249">
        <f t="shared" ref="N70:N133" si="5">2014-$D70</f>
        <v>13</v>
      </c>
      <c r="O70" s="14" t="s">
        <v>328</v>
      </c>
      <c r="P70" s="14"/>
      <c r="Q70" s="14"/>
      <c r="S70" s="14"/>
      <c r="T70" s="14"/>
      <c r="U70" s="14"/>
      <c r="V70" s="14"/>
      <c r="W70" s="14" t="s">
        <v>328</v>
      </c>
      <c r="X70" s="14"/>
      <c r="Z70" s="126">
        <v>0.35</v>
      </c>
      <c r="AA70" s="249">
        <v>10</v>
      </c>
      <c r="AB70" s="250">
        <v>10000</v>
      </c>
      <c r="AC70" s="250">
        <v>60000</v>
      </c>
      <c r="AD70" s="250">
        <v>60000</v>
      </c>
      <c r="AE70" s="250">
        <v>120000</v>
      </c>
      <c r="AF70" s="250">
        <v>60000</v>
      </c>
    </row>
    <row r="71" spans="2:32" x14ac:dyDescent="0.25">
      <c r="B71" s="61" t="s">
        <v>416</v>
      </c>
      <c r="C71" s="14" t="s">
        <v>337</v>
      </c>
      <c r="D71" s="14">
        <v>2001</v>
      </c>
      <c r="E71" s="13">
        <v>300000</v>
      </c>
      <c r="F71" s="14">
        <v>2.5</v>
      </c>
      <c r="G71" s="14">
        <v>2.8</v>
      </c>
      <c r="H71" s="14" t="s">
        <v>340</v>
      </c>
      <c r="I71" s="249">
        <f t="shared" si="3"/>
        <v>1</v>
      </c>
      <c r="J71" s="143">
        <v>10000</v>
      </c>
      <c r="K71" s="249" t="s">
        <v>2379</v>
      </c>
      <c r="M71" s="249">
        <f t="shared" si="4"/>
        <v>14</v>
      </c>
      <c r="N71" s="249">
        <f t="shared" si="5"/>
        <v>13</v>
      </c>
      <c r="O71" s="14" t="s">
        <v>328</v>
      </c>
      <c r="P71" s="14"/>
      <c r="Q71" s="14"/>
      <c r="S71" s="14"/>
      <c r="T71" s="14"/>
      <c r="U71" s="14"/>
      <c r="V71" s="14"/>
      <c r="W71" s="14" t="s">
        <v>328</v>
      </c>
      <c r="X71" s="14"/>
      <c r="Z71" s="126">
        <v>0.35</v>
      </c>
      <c r="AA71" s="249">
        <v>10</v>
      </c>
      <c r="AB71" s="250">
        <v>10000</v>
      </c>
      <c r="AC71" s="250">
        <v>60000</v>
      </c>
      <c r="AD71" s="250">
        <v>60000</v>
      </c>
      <c r="AE71" s="250">
        <v>120000</v>
      </c>
      <c r="AF71" s="250">
        <v>60000</v>
      </c>
    </row>
    <row r="72" spans="2:32" x14ac:dyDescent="0.25">
      <c r="B72" s="61" t="s">
        <v>416</v>
      </c>
      <c r="C72" s="14" t="s">
        <v>337</v>
      </c>
      <c r="D72" s="14">
        <v>2002</v>
      </c>
      <c r="E72" s="13">
        <v>300000</v>
      </c>
      <c r="F72" s="14">
        <v>2.5</v>
      </c>
      <c r="G72" s="14">
        <v>2.8</v>
      </c>
      <c r="H72" s="14" t="s">
        <v>340</v>
      </c>
      <c r="I72" s="249">
        <f t="shared" si="3"/>
        <v>1</v>
      </c>
      <c r="J72" s="143">
        <v>10000</v>
      </c>
      <c r="K72" s="249" t="s">
        <v>2379</v>
      </c>
      <c r="M72" s="249">
        <f t="shared" si="4"/>
        <v>13</v>
      </c>
      <c r="N72" s="249">
        <f t="shared" si="5"/>
        <v>12</v>
      </c>
      <c r="O72" s="14" t="s">
        <v>328</v>
      </c>
      <c r="P72" s="14"/>
      <c r="Q72" s="14"/>
      <c r="S72" s="14"/>
      <c r="T72" s="14"/>
      <c r="U72" s="14"/>
      <c r="V72" s="14"/>
      <c r="W72" s="14" t="s">
        <v>328</v>
      </c>
      <c r="X72" s="14"/>
      <c r="Z72" s="126">
        <v>0.35</v>
      </c>
      <c r="AA72" s="249">
        <v>10</v>
      </c>
      <c r="AB72" s="250">
        <v>10000</v>
      </c>
      <c r="AC72" s="250">
        <v>60000</v>
      </c>
      <c r="AD72" s="250">
        <v>60000</v>
      </c>
      <c r="AE72" s="250">
        <v>120000</v>
      </c>
      <c r="AF72" s="250">
        <v>60000</v>
      </c>
    </row>
    <row r="73" spans="2:32" x14ac:dyDescent="0.25">
      <c r="B73" s="61" t="s">
        <v>416</v>
      </c>
      <c r="C73" s="14" t="s">
        <v>337</v>
      </c>
      <c r="D73" s="14">
        <v>2002</v>
      </c>
      <c r="E73" s="13">
        <v>300000</v>
      </c>
      <c r="F73" s="14">
        <v>2.5</v>
      </c>
      <c r="G73" s="14">
        <v>2.8</v>
      </c>
      <c r="H73" s="14" t="s">
        <v>340</v>
      </c>
      <c r="I73" s="249">
        <f t="shared" si="3"/>
        <v>1</v>
      </c>
      <c r="J73" s="143">
        <v>10000</v>
      </c>
      <c r="K73" s="249" t="s">
        <v>2379</v>
      </c>
      <c r="M73" s="249">
        <f t="shared" si="4"/>
        <v>13</v>
      </c>
      <c r="N73" s="249">
        <f t="shared" si="5"/>
        <v>12</v>
      </c>
      <c r="O73" s="14"/>
      <c r="P73" s="14"/>
      <c r="Q73" s="14" t="s">
        <v>328</v>
      </c>
      <c r="S73" s="14"/>
      <c r="T73" s="14"/>
      <c r="U73" s="14"/>
      <c r="V73" s="14"/>
      <c r="W73" s="14" t="s">
        <v>328</v>
      </c>
      <c r="X73" s="14"/>
      <c r="Z73" s="126">
        <v>0.35</v>
      </c>
      <c r="AA73" s="249">
        <v>10</v>
      </c>
      <c r="AB73" s="250">
        <v>10000</v>
      </c>
      <c r="AC73" s="250">
        <v>60000</v>
      </c>
      <c r="AD73" s="250">
        <v>60000</v>
      </c>
      <c r="AE73" s="250">
        <v>120000</v>
      </c>
      <c r="AF73" s="250">
        <v>60000</v>
      </c>
    </row>
    <row r="74" spans="2:32" x14ac:dyDescent="0.25">
      <c r="B74" s="61" t="s">
        <v>416</v>
      </c>
      <c r="C74" s="14" t="s">
        <v>337</v>
      </c>
      <c r="D74" s="14">
        <v>2004</v>
      </c>
      <c r="E74" s="13">
        <v>300000</v>
      </c>
      <c r="F74" s="14">
        <v>2.5</v>
      </c>
      <c r="G74" s="14">
        <v>2.8</v>
      </c>
      <c r="H74" s="14" t="s">
        <v>340</v>
      </c>
      <c r="I74" s="249">
        <f t="shared" si="3"/>
        <v>1</v>
      </c>
      <c r="J74" s="143">
        <v>10000</v>
      </c>
      <c r="K74" s="249" t="s">
        <v>2379</v>
      </c>
      <c r="M74" s="249">
        <f t="shared" si="4"/>
        <v>11</v>
      </c>
      <c r="N74" s="249">
        <f t="shared" si="5"/>
        <v>10</v>
      </c>
      <c r="O74" s="14"/>
      <c r="P74" s="14"/>
      <c r="Q74" s="14" t="s">
        <v>328</v>
      </c>
      <c r="S74" s="14"/>
      <c r="T74" s="14"/>
      <c r="U74" s="14"/>
      <c r="V74" s="14"/>
      <c r="W74" s="14" t="s">
        <v>328</v>
      </c>
      <c r="X74" s="14"/>
      <c r="Z74" s="126">
        <v>0.35</v>
      </c>
      <c r="AA74" s="249">
        <v>10</v>
      </c>
      <c r="AB74" s="250">
        <v>10000</v>
      </c>
      <c r="AC74" s="250">
        <v>60000</v>
      </c>
      <c r="AD74" s="250">
        <v>60000</v>
      </c>
      <c r="AE74" s="250">
        <v>120000</v>
      </c>
      <c r="AF74" s="250">
        <v>60000</v>
      </c>
    </row>
    <row r="75" spans="2:32" x14ac:dyDescent="0.25">
      <c r="B75" s="61" t="s">
        <v>416</v>
      </c>
      <c r="C75" s="14" t="s">
        <v>337</v>
      </c>
      <c r="D75" s="14">
        <v>2005</v>
      </c>
      <c r="E75" s="13">
        <v>300000</v>
      </c>
      <c r="F75" s="14">
        <v>2.5</v>
      </c>
      <c r="G75" s="14">
        <v>2.8</v>
      </c>
      <c r="H75" s="14" t="s">
        <v>340</v>
      </c>
      <c r="I75" s="249">
        <f t="shared" si="3"/>
        <v>1</v>
      </c>
      <c r="J75" s="143">
        <v>10000</v>
      </c>
      <c r="K75" s="249" t="s">
        <v>2379</v>
      </c>
      <c r="M75" s="249">
        <f t="shared" si="4"/>
        <v>10</v>
      </c>
      <c r="N75" s="249">
        <f t="shared" si="5"/>
        <v>9</v>
      </c>
      <c r="O75" s="14"/>
      <c r="P75" s="14"/>
      <c r="Q75" s="14" t="s">
        <v>328</v>
      </c>
      <c r="S75" s="14"/>
      <c r="T75" s="14"/>
      <c r="U75" s="14"/>
      <c r="V75" s="14"/>
      <c r="W75" s="14" t="s">
        <v>328</v>
      </c>
      <c r="X75" s="14"/>
      <c r="Z75" s="126">
        <v>0.35</v>
      </c>
      <c r="AA75" s="249">
        <v>10</v>
      </c>
      <c r="AB75" s="250">
        <v>10000</v>
      </c>
      <c r="AC75" s="250">
        <v>60000</v>
      </c>
      <c r="AD75" s="250">
        <v>60000</v>
      </c>
      <c r="AE75" s="250">
        <v>120000</v>
      </c>
      <c r="AF75" s="250">
        <v>60000</v>
      </c>
    </row>
    <row r="76" spans="2:32" x14ac:dyDescent="0.25">
      <c r="B76" s="61" t="s">
        <v>416</v>
      </c>
      <c r="C76" s="14" t="s">
        <v>337</v>
      </c>
      <c r="D76" s="14">
        <v>2006</v>
      </c>
      <c r="E76" s="13">
        <v>300000</v>
      </c>
      <c r="F76" s="14">
        <v>2.5</v>
      </c>
      <c r="G76" s="14">
        <v>2.8</v>
      </c>
      <c r="H76" s="14" t="s">
        <v>340</v>
      </c>
      <c r="I76" s="249">
        <f t="shared" si="3"/>
        <v>1</v>
      </c>
      <c r="J76" s="143">
        <v>10000</v>
      </c>
      <c r="K76" s="249" t="s">
        <v>2379</v>
      </c>
      <c r="M76" s="249">
        <f t="shared" si="4"/>
        <v>9</v>
      </c>
      <c r="N76" s="249">
        <f t="shared" si="5"/>
        <v>8</v>
      </c>
      <c r="O76" s="14"/>
      <c r="P76" s="14"/>
      <c r="Q76" s="14" t="s">
        <v>328</v>
      </c>
      <c r="S76" s="14"/>
      <c r="T76" s="14"/>
      <c r="U76" s="14"/>
      <c r="V76" s="14"/>
      <c r="W76" s="14" t="s">
        <v>328</v>
      </c>
      <c r="X76" s="14"/>
      <c r="Z76" s="126">
        <v>0.35</v>
      </c>
      <c r="AA76" s="249">
        <v>10</v>
      </c>
      <c r="AB76" s="250">
        <v>10000</v>
      </c>
      <c r="AC76" s="250">
        <v>60000</v>
      </c>
      <c r="AD76" s="250">
        <v>60000</v>
      </c>
      <c r="AE76" s="250">
        <v>120000</v>
      </c>
      <c r="AF76" s="250">
        <v>60000</v>
      </c>
    </row>
    <row r="77" spans="2:32" x14ac:dyDescent="0.25">
      <c r="B77" s="61" t="s">
        <v>416</v>
      </c>
      <c r="C77" s="14" t="s">
        <v>337</v>
      </c>
      <c r="D77" s="14">
        <v>2006</v>
      </c>
      <c r="E77" s="13">
        <v>300000</v>
      </c>
      <c r="F77" s="14">
        <v>2.5</v>
      </c>
      <c r="G77" s="14">
        <v>2.8</v>
      </c>
      <c r="H77" s="14" t="s">
        <v>340</v>
      </c>
      <c r="I77" s="249">
        <f t="shared" si="3"/>
        <v>1</v>
      </c>
      <c r="J77" s="143">
        <v>10000</v>
      </c>
      <c r="K77" s="249" t="s">
        <v>2379</v>
      </c>
      <c r="M77" s="249">
        <f t="shared" si="4"/>
        <v>9</v>
      </c>
      <c r="N77" s="249">
        <f t="shared" si="5"/>
        <v>8</v>
      </c>
      <c r="O77" s="14"/>
      <c r="P77" s="14"/>
      <c r="Q77" s="14" t="s">
        <v>328</v>
      </c>
      <c r="S77" s="14"/>
      <c r="T77" s="14"/>
      <c r="U77" s="14"/>
      <c r="V77" s="14"/>
      <c r="W77" s="14" t="s">
        <v>328</v>
      </c>
      <c r="X77" s="14"/>
      <c r="Z77" s="126">
        <v>0.35</v>
      </c>
      <c r="AA77" s="249">
        <v>10</v>
      </c>
      <c r="AB77" s="250">
        <v>10000</v>
      </c>
      <c r="AC77" s="250">
        <v>60000</v>
      </c>
      <c r="AD77" s="250">
        <v>60000</v>
      </c>
      <c r="AE77" s="250">
        <v>120000</v>
      </c>
      <c r="AF77" s="250">
        <v>60000</v>
      </c>
    </row>
    <row r="78" spans="2:32" x14ac:dyDescent="0.25">
      <c r="B78" s="61" t="s">
        <v>417</v>
      </c>
      <c r="C78" s="14" t="s">
        <v>337</v>
      </c>
      <c r="D78" s="14">
        <v>2012</v>
      </c>
      <c r="E78" s="13">
        <v>62000</v>
      </c>
      <c r="F78" s="14">
        <v>2</v>
      </c>
      <c r="G78" s="14">
        <v>2.4</v>
      </c>
      <c r="H78" s="14" t="s">
        <v>340</v>
      </c>
      <c r="I78" s="249">
        <f t="shared" si="3"/>
        <v>1</v>
      </c>
      <c r="J78" s="143">
        <v>26000</v>
      </c>
      <c r="K78" s="249" t="s">
        <v>2379</v>
      </c>
      <c r="M78" s="249">
        <f t="shared" si="4"/>
        <v>3</v>
      </c>
      <c r="N78" s="249">
        <f t="shared" si="5"/>
        <v>2</v>
      </c>
      <c r="O78" s="14" t="s">
        <v>328</v>
      </c>
      <c r="P78" s="14"/>
      <c r="Q78" s="14"/>
      <c r="S78" s="14"/>
      <c r="T78" s="14"/>
      <c r="U78" s="14" t="s">
        <v>328</v>
      </c>
      <c r="V78" s="14"/>
      <c r="W78" s="14"/>
      <c r="X78" s="14"/>
      <c r="Z78" s="126">
        <v>0.5</v>
      </c>
      <c r="AA78" s="249">
        <v>16</v>
      </c>
      <c r="AB78" s="250">
        <v>156000</v>
      </c>
      <c r="AC78" s="250">
        <v>312000</v>
      </c>
      <c r="AD78" s="250">
        <v>156000</v>
      </c>
      <c r="AE78" s="250" t="s">
        <v>415</v>
      </c>
      <c r="AF78" s="250" t="s">
        <v>409</v>
      </c>
    </row>
    <row r="79" spans="2:32" x14ac:dyDescent="0.25">
      <c r="B79" s="61" t="s">
        <v>417</v>
      </c>
      <c r="C79" s="14" t="s">
        <v>337</v>
      </c>
      <c r="D79" s="14">
        <v>2012</v>
      </c>
      <c r="E79" s="13">
        <v>62000</v>
      </c>
      <c r="F79" s="14">
        <v>2</v>
      </c>
      <c r="G79" s="14">
        <v>2.4</v>
      </c>
      <c r="H79" s="14" t="s">
        <v>340</v>
      </c>
      <c r="I79" s="249">
        <f t="shared" si="3"/>
        <v>1</v>
      </c>
      <c r="J79" s="143">
        <v>26000</v>
      </c>
      <c r="K79" s="249" t="s">
        <v>2379</v>
      </c>
      <c r="M79" s="249">
        <f t="shared" si="4"/>
        <v>3</v>
      </c>
      <c r="N79" s="249">
        <f t="shared" si="5"/>
        <v>2</v>
      </c>
      <c r="O79" s="14" t="s">
        <v>328</v>
      </c>
      <c r="P79" s="14"/>
      <c r="Q79" s="14"/>
      <c r="S79" s="14"/>
      <c r="T79" s="14"/>
      <c r="U79" s="14" t="s">
        <v>328</v>
      </c>
      <c r="V79" s="14"/>
      <c r="W79" s="14"/>
      <c r="X79" s="14"/>
      <c r="Z79" s="126">
        <v>0.5</v>
      </c>
      <c r="AA79" s="249">
        <v>16</v>
      </c>
      <c r="AB79" s="250">
        <v>156000</v>
      </c>
      <c r="AC79" s="250">
        <v>312000</v>
      </c>
      <c r="AD79" s="250">
        <v>156000</v>
      </c>
      <c r="AE79" s="250" t="s">
        <v>415</v>
      </c>
      <c r="AF79" s="250" t="s">
        <v>409</v>
      </c>
    </row>
    <row r="80" spans="2:32" x14ac:dyDescent="0.25">
      <c r="B80" s="61" t="s">
        <v>417</v>
      </c>
      <c r="C80" s="14" t="s">
        <v>337</v>
      </c>
      <c r="D80" s="14">
        <v>2012</v>
      </c>
      <c r="E80" s="13">
        <v>62000</v>
      </c>
      <c r="F80" s="14">
        <v>2</v>
      </c>
      <c r="G80" s="14">
        <v>2.4</v>
      </c>
      <c r="H80" s="14" t="s">
        <v>340</v>
      </c>
      <c r="I80" s="249">
        <f t="shared" si="3"/>
        <v>1</v>
      </c>
      <c r="J80" s="143">
        <v>26000</v>
      </c>
      <c r="K80" s="249" t="s">
        <v>2379</v>
      </c>
      <c r="M80" s="249">
        <f t="shared" si="4"/>
        <v>3</v>
      </c>
      <c r="N80" s="249">
        <f t="shared" si="5"/>
        <v>2</v>
      </c>
      <c r="O80" s="14" t="s">
        <v>328</v>
      </c>
      <c r="P80" s="14"/>
      <c r="Q80" s="14"/>
      <c r="S80" s="14"/>
      <c r="T80" s="14"/>
      <c r="U80" s="14" t="s">
        <v>328</v>
      </c>
      <c r="V80" s="14"/>
      <c r="W80" s="14"/>
      <c r="X80" s="14"/>
      <c r="Z80" s="126">
        <v>0.5</v>
      </c>
      <c r="AA80" s="249">
        <v>16</v>
      </c>
      <c r="AB80" s="250">
        <v>156000</v>
      </c>
      <c r="AC80" s="250">
        <v>312000</v>
      </c>
      <c r="AD80" s="250">
        <v>156000</v>
      </c>
      <c r="AE80" s="250" t="s">
        <v>415</v>
      </c>
      <c r="AF80" s="250" t="s">
        <v>409</v>
      </c>
    </row>
    <row r="81" spans="2:32" x14ac:dyDescent="0.25">
      <c r="B81" s="61" t="s">
        <v>417</v>
      </c>
      <c r="C81" s="14" t="s">
        <v>337</v>
      </c>
      <c r="D81" s="14">
        <v>2012</v>
      </c>
      <c r="E81" s="13">
        <v>62000</v>
      </c>
      <c r="F81" s="14">
        <v>2</v>
      </c>
      <c r="G81" s="14">
        <v>2.4</v>
      </c>
      <c r="H81" s="14" t="s">
        <v>340</v>
      </c>
      <c r="I81" s="249">
        <f t="shared" si="3"/>
        <v>1</v>
      </c>
      <c r="J81" s="143">
        <v>26000</v>
      </c>
      <c r="K81" s="249" t="s">
        <v>2379</v>
      </c>
      <c r="M81" s="249">
        <f t="shared" si="4"/>
        <v>3</v>
      </c>
      <c r="N81" s="249">
        <f t="shared" si="5"/>
        <v>2</v>
      </c>
      <c r="O81" s="14" t="s">
        <v>328</v>
      </c>
      <c r="P81" s="14"/>
      <c r="Q81" s="14"/>
      <c r="S81" s="14"/>
      <c r="T81" s="14"/>
      <c r="U81" s="14" t="s">
        <v>328</v>
      </c>
      <c r="V81" s="14"/>
      <c r="W81" s="14"/>
      <c r="X81" s="14"/>
      <c r="Z81" s="126">
        <v>0.5</v>
      </c>
      <c r="AA81" s="249">
        <v>16</v>
      </c>
      <c r="AB81" s="250">
        <v>156000</v>
      </c>
      <c r="AC81" s="250">
        <v>312000</v>
      </c>
      <c r="AD81" s="250">
        <v>156000</v>
      </c>
      <c r="AE81" s="250" t="s">
        <v>415</v>
      </c>
      <c r="AF81" s="250" t="s">
        <v>409</v>
      </c>
    </row>
    <row r="82" spans="2:32" x14ac:dyDescent="0.25">
      <c r="B82" s="61" t="s">
        <v>417</v>
      </c>
      <c r="C82" s="14" t="s">
        <v>337</v>
      </c>
      <c r="D82" s="14">
        <v>2012</v>
      </c>
      <c r="E82" s="13">
        <v>62000</v>
      </c>
      <c r="F82" s="14">
        <v>2</v>
      </c>
      <c r="G82" s="14">
        <v>2.4</v>
      </c>
      <c r="H82" s="14" t="s">
        <v>340</v>
      </c>
      <c r="I82" s="249">
        <f t="shared" si="3"/>
        <v>1</v>
      </c>
      <c r="J82" s="143">
        <v>26000</v>
      </c>
      <c r="K82" s="249" t="s">
        <v>2379</v>
      </c>
      <c r="M82" s="249">
        <f t="shared" si="4"/>
        <v>3</v>
      </c>
      <c r="N82" s="249">
        <f t="shared" si="5"/>
        <v>2</v>
      </c>
      <c r="O82" s="14" t="s">
        <v>328</v>
      </c>
      <c r="P82" s="14"/>
      <c r="Q82" s="14"/>
      <c r="S82" s="14"/>
      <c r="T82" s="14"/>
      <c r="U82" s="14" t="s">
        <v>328</v>
      </c>
      <c r="V82" s="14"/>
      <c r="W82" s="14"/>
      <c r="X82" s="14"/>
      <c r="Z82" s="126">
        <v>0.5</v>
      </c>
      <c r="AA82" s="249">
        <v>16</v>
      </c>
      <c r="AB82" s="250">
        <v>156000</v>
      </c>
      <c r="AC82" s="250">
        <v>312000</v>
      </c>
      <c r="AD82" s="250">
        <v>156000</v>
      </c>
      <c r="AE82" s="250" t="s">
        <v>415</v>
      </c>
      <c r="AF82" s="250" t="s">
        <v>409</v>
      </c>
    </row>
    <row r="83" spans="2:32" x14ac:dyDescent="0.25">
      <c r="B83" s="61" t="s">
        <v>417</v>
      </c>
      <c r="C83" s="14" t="s">
        <v>337</v>
      </c>
      <c r="D83" s="14">
        <v>2012</v>
      </c>
      <c r="E83" s="13">
        <v>62000</v>
      </c>
      <c r="F83" s="14">
        <v>2</v>
      </c>
      <c r="G83" s="14">
        <v>2.4</v>
      </c>
      <c r="H83" s="14" t="s">
        <v>340</v>
      </c>
      <c r="I83" s="249">
        <f t="shared" si="3"/>
        <v>1</v>
      </c>
      <c r="J83" s="143">
        <v>26000</v>
      </c>
      <c r="K83" s="249" t="s">
        <v>2379</v>
      </c>
      <c r="M83" s="249">
        <f t="shared" si="4"/>
        <v>3</v>
      </c>
      <c r="N83" s="249">
        <f t="shared" si="5"/>
        <v>2</v>
      </c>
      <c r="O83" s="14" t="s">
        <v>328</v>
      </c>
      <c r="P83" s="14"/>
      <c r="Q83" s="14"/>
      <c r="S83" s="14"/>
      <c r="T83" s="14"/>
      <c r="U83" s="14" t="s">
        <v>328</v>
      </c>
      <c r="V83" s="14"/>
      <c r="W83" s="14"/>
      <c r="X83" s="14"/>
      <c r="Z83" s="126">
        <v>0.5</v>
      </c>
      <c r="AA83" s="249">
        <v>16</v>
      </c>
      <c r="AB83" s="250">
        <v>156000</v>
      </c>
      <c r="AC83" s="250">
        <v>312000</v>
      </c>
      <c r="AD83" s="250">
        <v>156000</v>
      </c>
      <c r="AE83" s="250" t="s">
        <v>415</v>
      </c>
      <c r="AF83" s="250" t="s">
        <v>409</v>
      </c>
    </row>
    <row r="84" spans="2:32" x14ac:dyDescent="0.25">
      <c r="B84" s="61" t="s">
        <v>417</v>
      </c>
      <c r="C84" s="14" t="s">
        <v>337</v>
      </c>
      <c r="D84" s="14">
        <v>2012</v>
      </c>
      <c r="E84" s="13">
        <v>62000</v>
      </c>
      <c r="F84" s="14">
        <v>2</v>
      </c>
      <c r="G84" s="14">
        <v>2.4</v>
      </c>
      <c r="H84" s="14" t="s">
        <v>340</v>
      </c>
      <c r="I84" s="249">
        <f t="shared" si="3"/>
        <v>1</v>
      </c>
      <c r="J84" s="143">
        <v>26000</v>
      </c>
      <c r="K84" s="249" t="s">
        <v>2379</v>
      </c>
      <c r="M84" s="249">
        <f t="shared" si="4"/>
        <v>3</v>
      </c>
      <c r="N84" s="249">
        <f t="shared" si="5"/>
        <v>2</v>
      </c>
      <c r="O84" s="14" t="s">
        <v>328</v>
      </c>
      <c r="P84" s="14"/>
      <c r="Q84" s="14"/>
      <c r="S84" s="14"/>
      <c r="T84" s="14"/>
      <c r="U84" s="14" t="s">
        <v>328</v>
      </c>
      <c r="V84" s="14"/>
      <c r="W84" s="14"/>
      <c r="X84" s="14"/>
      <c r="Z84" s="126">
        <v>0.5</v>
      </c>
      <c r="AA84" s="249">
        <v>16</v>
      </c>
      <c r="AB84" s="250">
        <v>156000</v>
      </c>
      <c r="AC84" s="250">
        <v>312000</v>
      </c>
      <c r="AD84" s="250">
        <v>156000</v>
      </c>
      <c r="AE84" s="250" t="s">
        <v>415</v>
      </c>
      <c r="AF84" s="250" t="s">
        <v>409</v>
      </c>
    </row>
    <row r="85" spans="2:32" x14ac:dyDescent="0.25">
      <c r="B85" s="61" t="s">
        <v>417</v>
      </c>
      <c r="C85" s="14" t="s">
        <v>337</v>
      </c>
      <c r="D85" s="14">
        <v>2012</v>
      </c>
      <c r="E85" s="13">
        <v>62000</v>
      </c>
      <c r="F85" s="14">
        <v>2</v>
      </c>
      <c r="G85" s="14">
        <v>2.4</v>
      </c>
      <c r="H85" s="14" t="s">
        <v>340</v>
      </c>
      <c r="I85" s="249">
        <f t="shared" si="3"/>
        <v>1</v>
      </c>
      <c r="J85" s="143">
        <v>26000</v>
      </c>
      <c r="K85" s="249" t="s">
        <v>2379</v>
      </c>
      <c r="M85" s="249">
        <f t="shared" si="4"/>
        <v>3</v>
      </c>
      <c r="N85" s="249">
        <f t="shared" si="5"/>
        <v>2</v>
      </c>
      <c r="O85" s="14" t="s">
        <v>328</v>
      </c>
      <c r="P85" s="14"/>
      <c r="Q85" s="14"/>
      <c r="S85" s="14"/>
      <c r="T85" s="14"/>
      <c r="U85" s="14" t="s">
        <v>328</v>
      </c>
      <c r="V85" s="14"/>
      <c r="W85" s="14"/>
      <c r="X85" s="14"/>
      <c r="Z85" s="126">
        <v>0.5</v>
      </c>
      <c r="AA85" s="249">
        <v>16</v>
      </c>
      <c r="AB85" s="250">
        <v>156000</v>
      </c>
      <c r="AC85" s="250">
        <v>312000</v>
      </c>
      <c r="AD85" s="250">
        <v>156000</v>
      </c>
      <c r="AE85" s="250" t="s">
        <v>415</v>
      </c>
      <c r="AF85" s="250" t="s">
        <v>409</v>
      </c>
    </row>
    <row r="86" spans="2:32" x14ac:dyDescent="0.25">
      <c r="B86" s="61" t="s">
        <v>417</v>
      </c>
      <c r="C86" s="14" t="s">
        <v>337</v>
      </c>
      <c r="D86" s="14">
        <v>2012</v>
      </c>
      <c r="E86" s="13">
        <v>62000</v>
      </c>
      <c r="F86" s="14">
        <v>2</v>
      </c>
      <c r="G86" s="14">
        <v>2.4</v>
      </c>
      <c r="H86" s="14" t="s">
        <v>340</v>
      </c>
      <c r="I86" s="249">
        <f t="shared" si="3"/>
        <v>1</v>
      </c>
      <c r="J86" s="143">
        <v>26000</v>
      </c>
      <c r="K86" s="249" t="s">
        <v>2379</v>
      </c>
      <c r="M86" s="249">
        <f t="shared" si="4"/>
        <v>3</v>
      </c>
      <c r="N86" s="249">
        <f t="shared" si="5"/>
        <v>2</v>
      </c>
      <c r="O86" s="14" t="s">
        <v>328</v>
      </c>
      <c r="P86" s="14"/>
      <c r="Q86" s="14"/>
      <c r="S86" s="14"/>
      <c r="T86" s="14"/>
      <c r="U86" s="14" t="s">
        <v>328</v>
      </c>
      <c r="V86" s="14"/>
      <c r="W86" s="14"/>
      <c r="X86" s="14"/>
      <c r="Z86" s="126">
        <v>0.5</v>
      </c>
      <c r="AA86" s="249">
        <v>16</v>
      </c>
      <c r="AB86" s="250">
        <v>156000</v>
      </c>
      <c r="AC86" s="250">
        <v>312000</v>
      </c>
      <c r="AD86" s="250">
        <v>156000</v>
      </c>
      <c r="AE86" s="250" t="s">
        <v>415</v>
      </c>
      <c r="AF86" s="250" t="s">
        <v>409</v>
      </c>
    </row>
    <row r="87" spans="2:32" x14ac:dyDescent="0.25">
      <c r="B87" s="61" t="s">
        <v>417</v>
      </c>
      <c r="C87" s="14" t="s">
        <v>337</v>
      </c>
      <c r="D87" s="14">
        <v>2012</v>
      </c>
      <c r="E87" s="13">
        <v>62000</v>
      </c>
      <c r="F87" s="14">
        <v>2</v>
      </c>
      <c r="G87" s="14">
        <v>2.4</v>
      </c>
      <c r="H87" s="14" t="s">
        <v>340</v>
      </c>
      <c r="I87" s="249">
        <f t="shared" si="3"/>
        <v>1</v>
      </c>
      <c r="J87" s="143">
        <v>26000</v>
      </c>
      <c r="K87" s="249" t="s">
        <v>2379</v>
      </c>
      <c r="M87" s="249">
        <f t="shared" si="4"/>
        <v>3</v>
      </c>
      <c r="N87" s="249">
        <f t="shared" si="5"/>
        <v>2</v>
      </c>
      <c r="O87" s="14" t="s">
        <v>328</v>
      </c>
      <c r="P87" s="14"/>
      <c r="Q87" s="14"/>
      <c r="S87" s="14"/>
      <c r="T87" s="14"/>
      <c r="U87" s="14" t="s">
        <v>328</v>
      </c>
      <c r="V87" s="14"/>
      <c r="W87" s="14"/>
      <c r="X87" s="14"/>
      <c r="Z87" s="126">
        <v>0.5</v>
      </c>
      <c r="AA87" s="249">
        <v>16</v>
      </c>
      <c r="AB87" s="250">
        <v>156000</v>
      </c>
      <c r="AC87" s="250">
        <v>312000</v>
      </c>
      <c r="AD87" s="250">
        <v>156000</v>
      </c>
      <c r="AE87" s="250" t="s">
        <v>415</v>
      </c>
      <c r="AF87" s="250" t="s">
        <v>409</v>
      </c>
    </row>
    <row r="88" spans="2:32" x14ac:dyDescent="0.25">
      <c r="B88" s="61" t="s">
        <v>417</v>
      </c>
      <c r="C88" s="14" t="s">
        <v>337</v>
      </c>
      <c r="D88" s="14">
        <v>2012</v>
      </c>
      <c r="E88" s="13">
        <v>62000</v>
      </c>
      <c r="F88" s="14">
        <v>2</v>
      </c>
      <c r="G88" s="14">
        <v>2.4</v>
      </c>
      <c r="H88" s="14" t="s">
        <v>340</v>
      </c>
      <c r="I88" s="249">
        <f t="shared" si="3"/>
        <v>1</v>
      </c>
      <c r="J88" s="143">
        <v>26000</v>
      </c>
      <c r="K88" s="249" t="s">
        <v>2379</v>
      </c>
      <c r="M88" s="249">
        <f t="shared" si="4"/>
        <v>3</v>
      </c>
      <c r="N88" s="249">
        <f t="shared" si="5"/>
        <v>2</v>
      </c>
      <c r="O88" s="14" t="s">
        <v>328</v>
      </c>
      <c r="P88" s="14"/>
      <c r="Q88" s="14"/>
      <c r="S88" s="14"/>
      <c r="T88" s="14"/>
      <c r="U88" s="14" t="s">
        <v>328</v>
      </c>
      <c r="V88" s="14"/>
      <c r="W88" s="14"/>
      <c r="X88" s="14"/>
      <c r="Z88" s="126">
        <v>0.5</v>
      </c>
      <c r="AA88" s="249">
        <v>16</v>
      </c>
      <c r="AB88" s="250">
        <v>156000</v>
      </c>
      <c r="AC88" s="250">
        <v>312000</v>
      </c>
      <c r="AD88" s="250">
        <v>156000</v>
      </c>
      <c r="AE88" s="250" t="s">
        <v>415</v>
      </c>
      <c r="AF88" s="250" t="s">
        <v>409</v>
      </c>
    </row>
    <row r="89" spans="2:32" x14ac:dyDescent="0.25">
      <c r="B89" s="61" t="s">
        <v>417</v>
      </c>
      <c r="C89" s="14" t="s">
        <v>337</v>
      </c>
      <c r="D89" s="14">
        <v>2012</v>
      </c>
      <c r="E89" s="13">
        <v>62000</v>
      </c>
      <c r="F89" s="14">
        <v>2</v>
      </c>
      <c r="G89" s="14">
        <v>2.4</v>
      </c>
      <c r="H89" s="14" t="s">
        <v>340</v>
      </c>
      <c r="I89" s="249">
        <f t="shared" si="3"/>
        <v>1</v>
      </c>
      <c r="J89" s="143">
        <v>26000</v>
      </c>
      <c r="K89" s="249" t="s">
        <v>2379</v>
      </c>
      <c r="M89" s="249">
        <f t="shared" si="4"/>
        <v>3</v>
      </c>
      <c r="N89" s="249">
        <f t="shared" si="5"/>
        <v>2</v>
      </c>
      <c r="O89" s="14" t="s">
        <v>328</v>
      </c>
      <c r="P89" s="14"/>
      <c r="Q89" s="14"/>
      <c r="S89" s="14"/>
      <c r="T89" s="14"/>
      <c r="U89" s="14" t="s">
        <v>328</v>
      </c>
      <c r="V89" s="14"/>
      <c r="W89" s="14"/>
      <c r="X89" s="14"/>
      <c r="Z89" s="126">
        <v>0.5</v>
      </c>
      <c r="AA89" s="249">
        <v>16</v>
      </c>
      <c r="AB89" s="250">
        <v>156000</v>
      </c>
      <c r="AC89" s="250">
        <v>312000</v>
      </c>
      <c r="AD89" s="250">
        <v>156000</v>
      </c>
      <c r="AE89" s="250" t="s">
        <v>415</v>
      </c>
      <c r="AF89" s="250" t="s">
        <v>409</v>
      </c>
    </row>
    <row r="90" spans="2:32" x14ac:dyDescent="0.25">
      <c r="B90" s="61" t="s">
        <v>417</v>
      </c>
      <c r="C90" s="14" t="s">
        <v>337</v>
      </c>
      <c r="D90" s="14">
        <v>2012</v>
      </c>
      <c r="E90" s="13">
        <v>62000</v>
      </c>
      <c r="F90" s="14">
        <v>2</v>
      </c>
      <c r="G90" s="14">
        <v>2.4</v>
      </c>
      <c r="H90" s="14" t="s">
        <v>340</v>
      </c>
      <c r="I90" s="249">
        <f t="shared" si="3"/>
        <v>1</v>
      </c>
      <c r="J90" s="143">
        <v>26000</v>
      </c>
      <c r="K90" s="249" t="s">
        <v>2379</v>
      </c>
      <c r="M90" s="249">
        <f t="shared" si="4"/>
        <v>3</v>
      </c>
      <c r="N90" s="249">
        <f t="shared" si="5"/>
        <v>2</v>
      </c>
      <c r="O90" s="14" t="s">
        <v>328</v>
      </c>
      <c r="P90" s="14"/>
      <c r="Q90" s="14"/>
      <c r="S90" s="14"/>
      <c r="T90" s="14"/>
      <c r="U90" s="14" t="s">
        <v>328</v>
      </c>
      <c r="V90" s="14"/>
      <c r="W90" s="14"/>
      <c r="X90" s="14"/>
      <c r="Z90" s="126">
        <v>0.5</v>
      </c>
      <c r="AA90" s="249">
        <v>16</v>
      </c>
      <c r="AB90" s="250">
        <v>156000</v>
      </c>
      <c r="AC90" s="250">
        <v>312000</v>
      </c>
      <c r="AD90" s="250">
        <v>156000</v>
      </c>
      <c r="AE90" s="250" t="s">
        <v>415</v>
      </c>
      <c r="AF90" s="250" t="s">
        <v>409</v>
      </c>
    </row>
    <row r="91" spans="2:32" x14ac:dyDescent="0.25">
      <c r="B91" s="61" t="s">
        <v>417</v>
      </c>
      <c r="C91" s="14" t="s">
        <v>337</v>
      </c>
      <c r="D91" s="14">
        <v>2012</v>
      </c>
      <c r="E91" s="13">
        <v>62000</v>
      </c>
      <c r="F91" s="14">
        <v>2</v>
      </c>
      <c r="G91" s="14">
        <v>2.4</v>
      </c>
      <c r="H91" s="14" t="s">
        <v>340</v>
      </c>
      <c r="I91" s="249">
        <f t="shared" si="3"/>
        <v>1</v>
      </c>
      <c r="J91" s="143">
        <v>26000</v>
      </c>
      <c r="K91" s="249" t="s">
        <v>2379</v>
      </c>
      <c r="M91" s="249">
        <f t="shared" si="4"/>
        <v>3</v>
      </c>
      <c r="N91" s="249">
        <f t="shared" si="5"/>
        <v>2</v>
      </c>
      <c r="O91" s="14" t="s">
        <v>328</v>
      </c>
      <c r="P91" s="14"/>
      <c r="Q91" s="14"/>
      <c r="S91" s="14"/>
      <c r="T91" s="14"/>
      <c r="U91" s="14" t="s">
        <v>328</v>
      </c>
      <c r="V91" s="14"/>
      <c r="W91" s="14"/>
      <c r="X91" s="14"/>
      <c r="Z91" s="126">
        <v>0.5</v>
      </c>
      <c r="AA91" s="249">
        <v>16</v>
      </c>
      <c r="AB91" s="250">
        <v>156000</v>
      </c>
      <c r="AC91" s="250">
        <v>312000</v>
      </c>
      <c r="AD91" s="250">
        <v>156000</v>
      </c>
      <c r="AE91" s="250" t="s">
        <v>415</v>
      </c>
      <c r="AF91" s="250" t="s">
        <v>409</v>
      </c>
    </row>
    <row r="92" spans="2:32" x14ac:dyDescent="0.25">
      <c r="B92" s="61" t="s">
        <v>417</v>
      </c>
      <c r="C92" s="14" t="s">
        <v>337</v>
      </c>
      <c r="D92" s="14">
        <v>2012</v>
      </c>
      <c r="E92" s="13">
        <v>62000</v>
      </c>
      <c r="F92" s="14">
        <v>2</v>
      </c>
      <c r="G92" s="14">
        <v>2.4</v>
      </c>
      <c r="H92" s="14" t="s">
        <v>340</v>
      </c>
      <c r="I92" s="249">
        <f t="shared" si="3"/>
        <v>1</v>
      </c>
      <c r="J92" s="143">
        <v>26000</v>
      </c>
      <c r="K92" s="249" t="s">
        <v>2379</v>
      </c>
      <c r="M92" s="249">
        <f t="shared" si="4"/>
        <v>3</v>
      </c>
      <c r="N92" s="249">
        <f t="shared" si="5"/>
        <v>2</v>
      </c>
      <c r="O92" s="14" t="s">
        <v>328</v>
      </c>
      <c r="P92" s="14"/>
      <c r="Q92" s="14"/>
      <c r="S92" s="14"/>
      <c r="T92" s="14"/>
      <c r="U92" s="14" t="s">
        <v>328</v>
      </c>
      <c r="V92" s="14"/>
      <c r="W92" s="14"/>
      <c r="X92" s="14"/>
      <c r="Z92" s="126">
        <v>0.5</v>
      </c>
      <c r="AA92" s="249">
        <v>16</v>
      </c>
      <c r="AB92" s="250">
        <v>156000</v>
      </c>
      <c r="AC92" s="250">
        <v>312000</v>
      </c>
      <c r="AD92" s="250">
        <v>156000</v>
      </c>
      <c r="AE92" s="250" t="s">
        <v>415</v>
      </c>
      <c r="AF92" s="250" t="s">
        <v>409</v>
      </c>
    </row>
    <row r="93" spans="2:32" x14ac:dyDescent="0.25">
      <c r="B93" s="61" t="s">
        <v>417</v>
      </c>
      <c r="C93" s="14" t="s">
        <v>337</v>
      </c>
      <c r="D93" s="14">
        <v>2012</v>
      </c>
      <c r="E93" s="13">
        <v>62000</v>
      </c>
      <c r="F93" s="14">
        <v>2</v>
      </c>
      <c r="G93" s="14">
        <v>2.4</v>
      </c>
      <c r="H93" s="14" t="s">
        <v>340</v>
      </c>
      <c r="I93" s="249">
        <f t="shared" si="3"/>
        <v>1</v>
      </c>
      <c r="J93" s="143">
        <v>26000</v>
      </c>
      <c r="K93" s="249" t="s">
        <v>2379</v>
      </c>
      <c r="M93" s="249">
        <f t="shared" si="4"/>
        <v>3</v>
      </c>
      <c r="N93" s="249">
        <f t="shared" si="5"/>
        <v>2</v>
      </c>
      <c r="O93" s="14" t="s">
        <v>328</v>
      </c>
      <c r="P93" s="14"/>
      <c r="Q93" s="14"/>
      <c r="S93" s="14"/>
      <c r="T93" s="14"/>
      <c r="U93" s="14" t="s">
        <v>328</v>
      </c>
      <c r="V93" s="14"/>
      <c r="W93" s="14"/>
      <c r="X93" s="14"/>
      <c r="Z93" s="126">
        <v>0.5</v>
      </c>
      <c r="AA93" s="249">
        <v>16</v>
      </c>
      <c r="AB93" s="250">
        <v>156000</v>
      </c>
      <c r="AC93" s="250">
        <v>312000</v>
      </c>
      <c r="AD93" s="250">
        <v>156000</v>
      </c>
      <c r="AE93" s="250" t="s">
        <v>415</v>
      </c>
      <c r="AF93" s="250" t="s">
        <v>409</v>
      </c>
    </row>
    <row r="94" spans="2:32" x14ac:dyDescent="0.25">
      <c r="B94" s="61" t="s">
        <v>422</v>
      </c>
      <c r="C94" s="14" t="s">
        <v>348</v>
      </c>
      <c r="D94" s="14">
        <v>1997</v>
      </c>
      <c r="E94" s="13">
        <v>960000</v>
      </c>
      <c r="F94" s="14">
        <v>2</v>
      </c>
      <c r="G94" s="14">
        <v>2.8</v>
      </c>
      <c r="H94" s="14" t="s">
        <v>430</v>
      </c>
      <c r="I94" s="249">
        <f t="shared" si="3"/>
        <v>1</v>
      </c>
      <c r="J94" s="143">
        <v>5000</v>
      </c>
      <c r="K94" s="249" t="s">
        <v>2378</v>
      </c>
      <c r="M94" s="249">
        <f t="shared" si="4"/>
        <v>18</v>
      </c>
      <c r="N94" s="249">
        <f t="shared" si="5"/>
        <v>17</v>
      </c>
      <c r="O94" s="14"/>
      <c r="P94" s="14"/>
      <c r="Q94" s="14" t="s">
        <v>328</v>
      </c>
      <c r="S94" s="14"/>
      <c r="T94" s="14" t="s">
        <v>328</v>
      </c>
      <c r="U94" s="14"/>
      <c r="V94" s="14"/>
      <c r="W94" s="14"/>
      <c r="X94" s="14"/>
      <c r="Z94" s="126">
        <v>0.5</v>
      </c>
      <c r="AA94" s="249">
        <v>1</v>
      </c>
      <c r="AB94" s="250">
        <v>30000</v>
      </c>
      <c r="AC94" s="250">
        <v>30000</v>
      </c>
      <c r="AD94" s="250">
        <v>30000</v>
      </c>
      <c r="AE94" s="250">
        <v>60000</v>
      </c>
      <c r="AF94" s="250" t="s">
        <v>385</v>
      </c>
    </row>
    <row r="95" spans="2:32" x14ac:dyDescent="0.25">
      <c r="B95" s="61" t="s">
        <v>431</v>
      </c>
      <c r="C95" s="14" t="s">
        <v>348</v>
      </c>
      <c r="D95" s="14">
        <v>2008</v>
      </c>
      <c r="E95" s="13">
        <v>480000</v>
      </c>
      <c r="F95" s="14">
        <v>5</v>
      </c>
      <c r="G95" s="14">
        <v>7</v>
      </c>
      <c r="H95" s="14" t="s">
        <v>371</v>
      </c>
      <c r="I95" s="249">
        <f t="shared" si="3"/>
        <v>1</v>
      </c>
      <c r="J95" s="143">
        <v>8000</v>
      </c>
      <c r="K95" s="249" t="s">
        <v>2379</v>
      </c>
      <c r="M95" s="249">
        <f t="shared" si="4"/>
        <v>7</v>
      </c>
      <c r="N95" s="249">
        <f t="shared" si="5"/>
        <v>6</v>
      </c>
      <c r="O95" s="14" t="s">
        <v>328</v>
      </c>
      <c r="P95" s="14"/>
      <c r="Q95" s="14"/>
      <c r="S95" s="14"/>
      <c r="T95" s="14" t="s">
        <v>328</v>
      </c>
      <c r="U95" s="14"/>
      <c r="V95" s="14"/>
      <c r="W95" s="14"/>
      <c r="X95" s="14"/>
      <c r="Z95" s="126">
        <v>0.5</v>
      </c>
      <c r="AA95" s="249">
        <v>8</v>
      </c>
      <c r="AB95" s="250">
        <v>7000</v>
      </c>
      <c r="AC95" s="250">
        <v>12000</v>
      </c>
      <c r="AD95" s="250">
        <v>50000</v>
      </c>
      <c r="AE95" s="250">
        <v>50000</v>
      </c>
      <c r="AF95" s="250" t="s">
        <v>385</v>
      </c>
    </row>
    <row r="96" spans="2:32" x14ac:dyDescent="0.25">
      <c r="B96" s="61" t="s">
        <v>431</v>
      </c>
      <c r="C96" s="14" t="s">
        <v>348</v>
      </c>
      <c r="D96" s="14">
        <v>2008</v>
      </c>
      <c r="E96" s="13">
        <v>480000</v>
      </c>
      <c r="F96" s="14">
        <v>5</v>
      </c>
      <c r="G96" s="14">
        <v>7</v>
      </c>
      <c r="H96" s="14" t="s">
        <v>371</v>
      </c>
      <c r="I96" s="249">
        <f t="shared" si="3"/>
        <v>1</v>
      </c>
      <c r="J96" s="143">
        <v>8000</v>
      </c>
      <c r="K96" s="249" t="s">
        <v>2379</v>
      </c>
      <c r="M96" s="249">
        <f t="shared" si="4"/>
        <v>7</v>
      </c>
      <c r="N96" s="249">
        <f t="shared" si="5"/>
        <v>6</v>
      </c>
      <c r="O96" s="14" t="s">
        <v>328</v>
      </c>
      <c r="P96" s="14"/>
      <c r="Q96" s="14"/>
      <c r="S96" s="14"/>
      <c r="T96" s="14" t="s">
        <v>328</v>
      </c>
      <c r="U96" s="14"/>
      <c r="V96" s="14"/>
      <c r="W96" s="14"/>
      <c r="X96" s="14"/>
      <c r="Z96" s="126">
        <v>0.5</v>
      </c>
      <c r="AA96" s="249">
        <v>8</v>
      </c>
      <c r="AB96" s="250">
        <v>7000</v>
      </c>
      <c r="AC96" s="250">
        <v>12000</v>
      </c>
      <c r="AD96" s="250">
        <v>50000</v>
      </c>
      <c r="AE96" s="250">
        <v>50000</v>
      </c>
      <c r="AF96" s="250" t="s">
        <v>385</v>
      </c>
    </row>
    <row r="97" spans="2:32" x14ac:dyDescent="0.25">
      <c r="B97" s="61" t="s">
        <v>431</v>
      </c>
      <c r="C97" s="14" t="s">
        <v>348</v>
      </c>
      <c r="D97" s="14">
        <v>2008</v>
      </c>
      <c r="E97" s="13">
        <v>480000</v>
      </c>
      <c r="F97" s="14">
        <v>5</v>
      </c>
      <c r="G97" s="14">
        <v>7</v>
      </c>
      <c r="H97" s="14" t="s">
        <v>371</v>
      </c>
      <c r="I97" s="249">
        <f t="shared" si="3"/>
        <v>1</v>
      </c>
      <c r="J97" s="143">
        <v>8000</v>
      </c>
      <c r="K97" s="249" t="s">
        <v>2379</v>
      </c>
      <c r="M97" s="249">
        <f t="shared" si="4"/>
        <v>7</v>
      </c>
      <c r="N97" s="249">
        <f t="shared" si="5"/>
        <v>6</v>
      </c>
      <c r="O97" s="14" t="s">
        <v>328</v>
      </c>
      <c r="P97" s="14"/>
      <c r="Q97" s="14"/>
      <c r="S97" s="14"/>
      <c r="T97" s="14" t="s">
        <v>328</v>
      </c>
      <c r="U97" s="14"/>
      <c r="V97" s="14"/>
      <c r="W97" s="14"/>
      <c r="X97" s="14"/>
      <c r="Z97" s="126">
        <v>0.5</v>
      </c>
      <c r="AA97" s="249">
        <v>8</v>
      </c>
      <c r="AB97" s="250">
        <v>7000</v>
      </c>
      <c r="AC97" s="250">
        <v>12000</v>
      </c>
      <c r="AD97" s="250">
        <v>50000</v>
      </c>
      <c r="AE97" s="250">
        <v>50000</v>
      </c>
      <c r="AF97" s="250" t="s">
        <v>385</v>
      </c>
    </row>
    <row r="98" spans="2:32" x14ac:dyDescent="0.25">
      <c r="B98" s="61" t="s">
        <v>431</v>
      </c>
      <c r="C98" s="14" t="s">
        <v>348</v>
      </c>
      <c r="D98" s="14">
        <v>2008</v>
      </c>
      <c r="E98" s="13">
        <v>480000</v>
      </c>
      <c r="F98" s="14">
        <v>5</v>
      </c>
      <c r="G98" s="14">
        <v>7</v>
      </c>
      <c r="H98" s="14" t="s">
        <v>371</v>
      </c>
      <c r="I98" s="249">
        <f t="shared" si="3"/>
        <v>1</v>
      </c>
      <c r="J98" s="143">
        <v>8000</v>
      </c>
      <c r="K98" s="249" t="s">
        <v>2379</v>
      </c>
      <c r="M98" s="249">
        <f t="shared" si="4"/>
        <v>7</v>
      </c>
      <c r="N98" s="249">
        <f t="shared" si="5"/>
        <v>6</v>
      </c>
      <c r="O98" s="14" t="s">
        <v>328</v>
      </c>
      <c r="P98" s="14"/>
      <c r="Q98" s="14"/>
      <c r="S98" s="14"/>
      <c r="T98" s="14" t="s">
        <v>328</v>
      </c>
      <c r="U98" s="14"/>
      <c r="V98" s="14"/>
      <c r="W98" s="14"/>
      <c r="X98" s="14"/>
      <c r="Z98" s="126">
        <v>0.5</v>
      </c>
      <c r="AA98" s="249">
        <v>8</v>
      </c>
      <c r="AB98" s="250">
        <v>7000</v>
      </c>
      <c r="AC98" s="250">
        <v>12000</v>
      </c>
      <c r="AD98" s="250">
        <v>50000</v>
      </c>
      <c r="AE98" s="250">
        <v>50000</v>
      </c>
      <c r="AF98" s="250" t="s">
        <v>385</v>
      </c>
    </row>
    <row r="99" spans="2:32" x14ac:dyDescent="0.25">
      <c r="B99" s="61" t="s">
        <v>431</v>
      </c>
      <c r="C99" s="14" t="s">
        <v>348</v>
      </c>
      <c r="D99" s="14">
        <v>2008</v>
      </c>
      <c r="E99" s="13">
        <v>480000</v>
      </c>
      <c r="F99" s="14">
        <v>5</v>
      </c>
      <c r="G99" s="14">
        <v>7</v>
      </c>
      <c r="H99" s="14" t="s">
        <v>371</v>
      </c>
      <c r="I99" s="249">
        <f t="shared" si="3"/>
        <v>1</v>
      </c>
      <c r="J99" s="143">
        <v>8000</v>
      </c>
      <c r="K99" s="249" t="s">
        <v>2379</v>
      </c>
      <c r="M99" s="249">
        <f t="shared" si="4"/>
        <v>7</v>
      </c>
      <c r="N99" s="249">
        <f t="shared" si="5"/>
        <v>6</v>
      </c>
      <c r="O99" s="14" t="s">
        <v>328</v>
      </c>
      <c r="P99" s="14"/>
      <c r="Q99" s="14"/>
      <c r="S99" s="14"/>
      <c r="T99" s="14" t="s">
        <v>328</v>
      </c>
      <c r="U99" s="14"/>
      <c r="V99" s="14"/>
      <c r="W99" s="14"/>
      <c r="X99" s="14"/>
      <c r="Z99" s="126">
        <v>0.5</v>
      </c>
      <c r="AA99" s="249">
        <v>8</v>
      </c>
      <c r="AB99" s="250">
        <v>7000</v>
      </c>
      <c r="AC99" s="250">
        <v>12000</v>
      </c>
      <c r="AD99" s="250">
        <v>50000</v>
      </c>
      <c r="AE99" s="250">
        <v>50000</v>
      </c>
      <c r="AF99" s="250" t="s">
        <v>385</v>
      </c>
    </row>
    <row r="100" spans="2:32" x14ac:dyDescent="0.25">
      <c r="B100" s="61" t="s">
        <v>431</v>
      </c>
      <c r="C100" s="14" t="s">
        <v>348</v>
      </c>
      <c r="D100" s="14">
        <v>2009</v>
      </c>
      <c r="E100" s="13">
        <v>480000</v>
      </c>
      <c r="F100" s="14">
        <v>5</v>
      </c>
      <c r="G100" s="14">
        <v>7</v>
      </c>
      <c r="H100" s="14" t="s">
        <v>371</v>
      </c>
      <c r="I100" s="249">
        <f t="shared" si="3"/>
        <v>1</v>
      </c>
      <c r="J100" s="143">
        <v>8000</v>
      </c>
      <c r="K100" s="249" t="s">
        <v>2379</v>
      </c>
      <c r="M100" s="249">
        <f t="shared" si="4"/>
        <v>6</v>
      </c>
      <c r="N100" s="249">
        <f t="shared" si="5"/>
        <v>5</v>
      </c>
      <c r="O100" s="14" t="s">
        <v>328</v>
      </c>
      <c r="P100" s="14"/>
      <c r="Q100" s="14"/>
      <c r="S100" s="14"/>
      <c r="T100" s="14"/>
      <c r="U100" s="14"/>
      <c r="V100" s="14"/>
      <c r="W100" s="14" t="s">
        <v>328</v>
      </c>
      <c r="X100" s="14"/>
      <c r="Z100" s="126">
        <v>0.5</v>
      </c>
      <c r="AA100" s="249">
        <v>8</v>
      </c>
      <c r="AB100" s="250">
        <v>7000</v>
      </c>
      <c r="AC100" s="250">
        <v>12000</v>
      </c>
      <c r="AD100" s="250">
        <v>50000</v>
      </c>
      <c r="AE100" s="250">
        <v>50000</v>
      </c>
      <c r="AF100" s="250" t="s">
        <v>385</v>
      </c>
    </row>
    <row r="101" spans="2:32" x14ac:dyDescent="0.25">
      <c r="B101" s="61" t="s">
        <v>431</v>
      </c>
      <c r="C101" s="14" t="s">
        <v>348</v>
      </c>
      <c r="D101" s="14">
        <v>2009</v>
      </c>
      <c r="E101" s="13">
        <v>480000</v>
      </c>
      <c r="F101" s="14">
        <v>5</v>
      </c>
      <c r="G101" s="14">
        <v>7</v>
      </c>
      <c r="H101" s="14" t="s">
        <v>371</v>
      </c>
      <c r="I101" s="249">
        <f t="shared" si="3"/>
        <v>1</v>
      </c>
      <c r="J101" s="143">
        <v>8000</v>
      </c>
      <c r="K101" s="249" t="s">
        <v>2379</v>
      </c>
      <c r="M101" s="249">
        <f t="shared" si="4"/>
        <v>6</v>
      </c>
      <c r="N101" s="249">
        <f t="shared" si="5"/>
        <v>5</v>
      </c>
      <c r="O101" s="14" t="s">
        <v>328</v>
      </c>
      <c r="P101" s="14"/>
      <c r="Q101" s="14"/>
      <c r="S101" s="14"/>
      <c r="T101" s="14"/>
      <c r="U101" s="14"/>
      <c r="V101" s="14"/>
      <c r="W101" s="14" t="s">
        <v>328</v>
      </c>
      <c r="X101" s="14"/>
      <c r="Z101" s="126">
        <v>0.5</v>
      </c>
      <c r="AA101" s="249">
        <v>8</v>
      </c>
      <c r="AB101" s="250">
        <v>7000</v>
      </c>
      <c r="AC101" s="250">
        <v>12000</v>
      </c>
      <c r="AD101" s="250">
        <v>50000</v>
      </c>
      <c r="AE101" s="250">
        <v>50000</v>
      </c>
      <c r="AF101" s="250" t="s">
        <v>385</v>
      </c>
    </row>
    <row r="102" spans="2:32" x14ac:dyDescent="0.25">
      <c r="B102" s="61" t="s">
        <v>431</v>
      </c>
      <c r="C102" s="14" t="s">
        <v>348</v>
      </c>
      <c r="D102" s="14">
        <v>2010</v>
      </c>
      <c r="E102" s="13">
        <v>480000</v>
      </c>
      <c r="F102" s="14">
        <v>5</v>
      </c>
      <c r="G102" s="14">
        <v>7</v>
      </c>
      <c r="H102" s="14" t="s">
        <v>371</v>
      </c>
      <c r="I102" s="249">
        <f t="shared" si="3"/>
        <v>1</v>
      </c>
      <c r="J102" s="143">
        <v>8000</v>
      </c>
      <c r="K102" s="249" t="s">
        <v>2379</v>
      </c>
      <c r="M102" s="249">
        <f t="shared" si="4"/>
        <v>5</v>
      </c>
      <c r="N102" s="249">
        <f t="shared" si="5"/>
        <v>4</v>
      </c>
      <c r="O102" s="14" t="s">
        <v>328</v>
      </c>
      <c r="P102" s="14"/>
      <c r="Q102" s="14"/>
      <c r="S102" s="14"/>
      <c r="T102" s="14"/>
      <c r="U102" s="14"/>
      <c r="V102" s="14"/>
      <c r="W102" s="14" t="s">
        <v>328</v>
      </c>
      <c r="X102" s="14"/>
      <c r="Z102" s="126">
        <v>0.5</v>
      </c>
      <c r="AA102" s="249">
        <v>8</v>
      </c>
      <c r="AB102" s="250">
        <v>7000</v>
      </c>
      <c r="AC102" s="250">
        <v>12000</v>
      </c>
      <c r="AD102" s="250">
        <v>50000</v>
      </c>
      <c r="AE102" s="250">
        <v>50000</v>
      </c>
      <c r="AF102" s="250" t="s">
        <v>385</v>
      </c>
    </row>
    <row r="103" spans="2:32" x14ac:dyDescent="0.25">
      <c r="B103" s="61" t="s">
        <v>434</v>
      </c>
      <c r="C103" s="14" t="s">
        <v>348</v>
      </c>
      <c r="D103" s="14">
        <v>2006</v>
      </c>
      <c r="E103" s="13">
        <v>420000</v>
      </c>
      <c r="F103" s="14">
        <v>2</v>
      </c>
      <c r="G103" s="14">
        <v>2.8</v>
      </c>
      <c r="H103" s="14" t="s">
        <v>371</v>
      </c>
      <c r="I103" s="249">
        <f t="shared" si="3"/>
        <v>1</v>
      </c>
      <c r="J103" s="143">
        <v>5000</v>
      </c>
      <c r="K103" s="249" t="s">
        <v>2378</v>
      </c>
      <c r="M103" s="249">
        <f t="shared" si="4"/>
        <v>9</v>
      </c>
      <c r="N103" s="249">
        <f t="shared" si="5"/>
        <v>8</v>
      </c>
      <c r="O103" s="14" t="s">
        <v>328</v>
      </c>
      <c r="P103" s="14"/>
      <c r="Q103" s="14"/>
      <c r="S103" s="14"/>
      <c r="T103" s="14" t="s">
        <v>328</v>
      </c>
      <c r="U103" s="14"/>
      <c r="V103" s="14"/>
      <c r="W103" s="14"/>
      <c r="X103" s="14"/>
      <c r="Z103" s="126">
        <v>0.5</v>
      </c>
      <c r="AA103" s="249">
        <v>3</v>
      </c>
      <c r="AB103" s="250">
        <v>5000</v>
      </c>
      <c r="AC103" s="250">
        <v>5000</v>
      </c>
      <c r="AD103" s="250">
        <v>10000</v>
      </c>
      <c r="AE103" s="250">
        <v>30000</v>
      </c>
      <c r="AF103" s="250" t="s">
        <v>385</v>
      </c>
    </row>
    <row r="104" spans="2:32" x14ac:dyDescent="0.25">
      <c r="B104" s="61" t="s">
        <v>434</v>
      </c>
      <c r="C104" s="14" t="s">
        <v>348</v>
      </c>
      <c r="D104" s="14">
        <v>2006</v>
      </c>
      <c r="E104" s="13">
        <v>420000</v>
      </c>
      <c r="F104" s="14">
        <v>2</v>
      </c>
      <c r="G104" s="14">
        <v>2.8</v>
      </c>
      <c r="H104" s="14" t="s">
        <v>371</v>
      </c>
      <c r="I104" s="249">
        <f t="shared" si="3"/>
        <v>1</v>
      </c>
      <c r="J104" s="143">
        <v>5000</v>
      </c>
      <c r="K104" s="249" t="s">
        <v>2378</v>
      </c>
      <c r="M104" s="249">
        <f t="shared" si="4"/>
        <v>9</v>
      </c>
      <c r="N104" s="249">
        <f t="shared" si="5"/>
        <v>8</v>
      </c>
      <c r="O104" s="14" t="s">
        <v>328</v>
      </c>
      <c r="P104" s="14"/>
      <c r="Q104" s="14"/>
      <c r="S104" s="14"/>
      <c r="T104" s="14" t="s">
        <v>328</v>
      </c>
      <c r="U104" s="14"/>
      <c r="V104" s="14"/>
      <c r="W104" s="14"/>
      <c r="X104" s="14"/>
      <c r="Z104" s="126">
        <v>0.5</v>
      </c>
      <c r="AA104" s="249">
        <v>3</v>
      </c>
      <c r="AB104" s="250">
        <v>5000</v>
      </c>
      <c r="AC104" s="250">
        <v>5000</v>
      </c>
      <c r="AD104" s="250">
        <v>10000</v>
      </c>
      <c r="AE104" s="250">
        <v>30000</v>
      </c>
      <c r="AF104" s="250" t="s">
        <v>385</v>
      </c>
    </row>
    <row r="105" spans="2:32" x14ac:dyDescent="0.25">
      <c r="B105" s="61" t="s">
        <v>434</v>
      </c>
      <c r="C105" s="14" t="s">
        <v>348</v>
      </c>
      <c r="D105" s="14">
        <v>2006</v>
      </c>
      <c r="E105" s="13">
        <v>420000</v>
      </c>
      <c r="F105" s="14">
        <v>2</v>
      </c>
      <c r="G105" s="14">
        <v>2.8</v>
      </c>
      <c r="H105" s="14" t="s">
        <v>371</v>
      </c>
      <c r="I105" s="249">
        <f t="shared" si="3"/>
        <v>1</v>
      </c>
      <c r="J105" s="143">
        <v>5000</v>
      </c>
      <c r="K105" s="249" t="s">
        <v>2378</v>
      </c>
      <c r="M105" s="249">
        <f t="shared" si="4"/>
        <v>9</v>
      </c>
      <c r="N105" s="249">
        <f t="shared" si="5"/>
        <v>8</v>
      </c>
      <c r="O105" s="14" t="s">
        <v>328</v>
      </c>
      <c r="P105" s="14"/>
      <c r="Q105" s="14"/>
      <c r="S105" s="14"/>
      <c r="T105" s="14" t="s">
        <v>328</v>
      </c>
      <c r="U105" s="14"/>
      <c r="V105" s="14"/>
      <c r="W105" s="14"/>
      <c r="X105" s="14"/>
      <c r="Z105" s="126">
        <v>0.5</v>
      </c>
      <c r="AA105" s="249">
        <v>3</v>
      </c>
      <c r="AB105" s="250">
        <v>5000</v>
      </c>
      <c r="AC105" s="250">
        <v>5000</v>
      </c>
      <c r="AD105" s="250">
        <v>10000</v>
      </c>
      <c r="AE105" s="250">
        <v>30000</v>
      </c>
      <c r="AF105" s="250" t="s">
        <v>385</v>
      </c>
    </row>
    <row r="106" spans="2:32" x14ac:dyDescent="0.25">
      <c r="B106" s="61" t="s">
        <v>436</v>
      </c>
      <c r="C106" s="14" t="s">
        <v>351</v>
      </c>
      <c r="D106" s="14">
        <v>2005</v>
      </c>
      <c r="E106" s="13">
        <v>1000000</v>
      </c>
      <c r="F106" s="14">
        <v>2</v>
      </c>
      <c r="G106" s="14">
        <v>2.5</v>
      </c>
      <c r="H106" s="14" t="s">
        <v>340</v>
      </c>
      <c r="I106" s="249">
        <f t="shared" si="3"/>
        <v>1</v>
      </c>
      <c r="J106" s="143">
        <v>10000</v>
      </c>
      <c r="K106" s="249" t="s">
        <v>2379</v>
      </c>
      <c r="M106" s="249">
        <f t="shared" si="4"/>
        <v>10</v>
      </c>
      <c r="N106" s="249">
        <f t="shared" si="5"/>
        <v>9</v>
      </c>
      <c r="O106" s="14" t="s">
        <v>328</v>
      </c>
      <c r="P106" s="14"/>
      <c r="Q106" s="14"/>
      <c r="S106" s="14"/>
      <c r="T106" s="14"/>
      <c r="U106" s="14"/>
      <c r="V106" s="14"/>
      <c r="W106" s="14" t="s">
        <v>328</v>
      </c>
      <c r="X106" s="14"/>
      <c r="Z106" s="126">
        <v>0.3</v>
      </c>
      <c r="AA106" s="249">
        <v>6</v>
      </c>
      <c r="AB106" s="250">
        <v>12000</v>
      </c>
      <c r="AC106" s="250">
        <v>6000</v>
      </c>
      <c r="AD106" s="250">
        <v>6000</v>
      </c>
      <c r="AE106" s="250">
        <v>60000</v>
      </c>
      <c r="AF106" s="250">
        <v>12000</v>
      </c>
    </row>
    <row r="107" spans="2:32" x14ac:dyDescent="0.25">
      <c r="B107" s="61" t="s">
        <v>436</v>
      </c>
      <c r="C107" s="14" t="s">
        <v>351</v>
      </c>
      <c r="D107" s="14">
        <v>2005</v>
      </c>
      <c r="E107" s="13">
        <v>1000000</v>
      </c>
      <c r="F107" s="14">
        <v>2</v>
      </c>
      <c r="G107" s="14">
        <v>2.5</v>
      </c>
      <c r="H107" s="14" t="s">
        <v>340</v>
      </c>
      <c r="I107" s="249">
        <f t="shared" si="3"/>
        <v>1</v>
      </c>
      <c r="J107" s="143">
        <v>10000</v>
      </c>
      <c r="K107" s="249" t="s">
        <v>2379</v>
      </c>
      <c r="M107" s="249">
        <f t="shared" si="4"/>
        <v>10</v>
      </c>
      <c r="N107" s="249">
        <f t="shared" si="5"/>
        <v>9</v>
      </c>
      <c r="O107" s="14" t="s">
        <v>328</v>
      </c>
      <c r="P107" s="14"/>
      <c r="Q107" s="14"/>
      <c r="S107" s="14"/>
      <c r="T107" s="14"/>
      <c r="U107" s="14"/>
      <c r="V107" s="14"/>
      <c r="W107" s="14" t="s">
        <v>328</v>
      </c>
      <c r="X107" s="14"/>
      <c r="Z107" s="126">
        <v>0.3</v>
      </c>
      <c r="AA107" s="249">
        <v>6</v>
      </c>
      <c r="AB107" s="250">
        <v>12000</v>
      </c>
      <c r="AC107" s="250">
        <v>6000</v>
      </c>
      <c r="AD107" s="250">
        <v>6000</v>
      </c>
      <c r="AE107" s="250">
        <v>60000</v>
      </c>
      <c r="AF107" s="250">
        <v>12000</v>
      </c>
    </row>
    <row r="108" spans="2:32" x14ac:dyDescent="0.25">
      <c r="B108" s="61" t="s">
        <v>436</v>
      </c>
      <c r="C108" s="14" t="s">
        <v>351</v>
      </c>
      <c r="D108" s="14">
        <v>2005</v>
      </c>
      <c r="E108" s="13">
        <v>1000000</v>
      </c>
      <c r="F108" s="14">
        <v>2</v>
      </c>
      <c r="G108" s="14">
        <v>2.5</v>
      </c>
      <c r="H108" s="14" t="s">
        <v>340</v>
      </c>
      <c r="I108" s="249">
        <f t="shared" si="3"/>
        <v>1</v>
      </c>
      <c r="J108" s="143">
        <v>10000</v>
      </c>
      <c r="K108" s="249" t="s">
        <v>2379</v>
      </c>
      <c r="M108" s="249">
        <f t="shared" si="4"/>
        <v>10</v>
      </c>
      <c r="N108" s="249">
        <f t="shared" si="5"/>
        <v>9</v>
      </c>
      <c r="O108" s="14" t="s">
        <v>328</v>
      </c>
      <c r="P108" s="14"/>
      <c r="Q108" s="14"/>
      <c r="S108" s="14"/>
      <c r="T108" s="14" t="s">
        <v>328</v>
      </c>
      <c r="U108" s="14"/>
      <c r="V108" s="14"/>
      <c r="W108" s="14"/>
      <c r="X108" s="14"/>
      <c r="Z108" s="126">
        <v>0.3</v>
      </c>
      <c r="AA108" s="249">
        <v>6</v>
      </c>
      <c r="AB108" s="250">
        <v>12000</v>
      </c>
      <c r="AC108" s="250">
        <v>6000</v>
      </c>
      <c r="AD108" s="250">
        <v>6000</v>
      </c>
      <c r="AE108" s="250">
        <v>60000</v>
      </c>
      <c r="AF108" s="250">
        <v>12000</v>
      </c>
    </row>
    <row r="109" spans="2:32" x14ac:dyDescent="0.25">
      <c r="B109" s="61" t="s">
        <v>436</v>
      </c>
      <c r="C109" s="14" t="s">
        <v>351</v>
      </c>
      <c r="D109" s="14">
        <v>2005</v>
      </c>
      <c r="E109" s="13">
        <v>1000000</v>
      </c>
      <c r="F109" s="14">
        <v>2</v>
      </c>
      <c r="G109" s="14">
        <v>2.5</v>
      </c>
      <c r="H109" s="14" t="s">
        <v>340</v>
      </c>
      <c r="I109" s="249">
        <f t="shared" si="3"/>
        <v>1</v>
      </c>
      <c r="J109" s="143">
        <v>10000</v>
      </c>
      <c r="K109" s="249" t="s">
        <v>2379</v>
      </c>
      <c r="M109" s="249">
        <f t="shared" si="4"/>
        <v>10</v>
      </c>
      <c r="N109" s="249">
        <f t="shared" si="5"/>
        <v>9</v>
      </c>
      <c r="O109" s="14" t="s">
        <v>328</v>
      </c>
      <c r="P109" s="14"/>
      <c r="Q109" s="14"/>
      <c r="S109" s="14"/>
      <c r="T109" s="14" t="s">
        <v>328</v>
      </c>
      <c r="U109" s="14"/>
      <c r="V109" s="14"/>
      <c r="W109" s="14"/>
      <c r="X109" s="14"/>
      <c r="Z109" s="126">
        <v>0.3</v>
      </c>
      <c r="AA109" s="249">
        <v>6</v>
      </c>
      <c r="AB109" s="250">
        <v>12000</v>
      </c>
      <c r="AC109" s="250">
        <v>6000</v>
      </c>
      <c r="AD109" s="250">
        <v>6000</v>
      </c>
      <c r="AE109" s="250">
        <v>60000</v>
      </c>
      <c r="AF109" s="250">
        <v>12000</v>
      </c>
    </row>
    <row r="110" spans="2:32" x14ac:dyDescent="0.25">
      <c r="B110" s="61" t="s">
        <v>436</v>
      </c>
      <c r="C110" s="14" t="s">
        <v>351</v>
      </c>
      <c r="D110" s="14">
        <v>2005</v>
      </c>
      <c r="E110" s="13">
        <v>1000000</v>
      </c>
      <c r="F110" s="14">
        <v>2</v>
      </c>
      <c r="G110" s="14">
        <v>2.5</v>
      </c>
      <c r="H110" s="14" t="s">
        <v>340</v>
      </c>
      <c r="I110" s="249">
        <f t="shared" si="3"/>
        <v>1</v>
      </c>
      <c r="J110" s="143">
        <v>10000</v>
      </c>
      <c r="K110" s="249" t="s">
        <v>2379</v>
      </c>
      <c r="M110" s="249">
        <f t="shared" si="4"/>
        <v>10</v>
      </c>
      <c r="N110" s="249">
        <f t="shared" si="5"/>
        <v>9</v>
      </c>
      <c r="O110" s="14"/>
      <c r="P110" s="14" t="s">
        <v>328</v>
      </c>
      <c r="Q110" s="14"/>
      <c r="S110" s="14"/>
      <c r="T110" s="14" t="s">
        <v>328</v>
      </c>
      <c r="U110" s="14"/>
      <c r="V110" s="14"/>
      <c r="W110" s="14"/>
      <c r="X110" s="14"/>
      <c r="Z110" s="126">
        <v>0.3</v>
      </c>
      <c r="AA110" s="249">
        <v>6</v>
      </c>
      <c r="AB110" s="250">
        <v>12000</v>
      </c>
      <c r="AC110" s="250">
        <v>6000</v>
      </c>
      <c r="AD110" s="250">
        <v>6000</v>
      </c>
      <c r="AE110" s="250">
        <v>60000</v>
      </c>
      <c r="AF110" s="250">
        <v>12000</v>
      </c>
    </row>
    <row r="111" spans="2:32" x14ac:dyDescent="0.25">
      <c r="B111" s="61" t="s">
        <v>436</v>
      </c>
      <c r="C111" s="14" t="s">
        <v>351</v>
      </c>
      <c r="D111" s="14">
        <v>2005</v>
      </c>
      <c r="E111" s="13">
        <v>1000000</v>
      </c>
      <c r="F111" s="14">
        <v>2</v>
      </c>
      <c r="G111" s="14">
        <v>2.5</v>
      </c>
      <c r="H111" s="14" t="s">
        <v>340</v>
      </c>
      <c r="I111" s="249">
        <f t="shared" si="3"/>
        <v>1</v>
      </c>
      <c r="J111" s="143">
        <v>10000</v>
      </c>
      <c r="K111" s="249" t="s">
        <v>2379</v>
      </c>
      <c r="M111" s="249">
        <f t="shared" si="4"/>
        <v>10</v>
      </c>
      <c r="N111" s="249">
        <f t="shared" si="5"/>
        <v>9</v>
      </c>
      <c r="O111" s="14"/>
      <c r="P111" s="14" t="s">
        <v>328</v>
      </c>
      <c r="Q111" s="14"/>
      <c r="S111" s="14"/>
      <c r="T111" s="14" t="s">
        <v>328</v>
      </c>
      <c r="U111" s="14"/>
      <c r="V111" s="14"/>
      <c r="W111" s="14"/>
      <c r="X111" s="14"/>
      <c r="Z111" s="126">
        <v>0.3</v>
      </c>
      <c r="AA111" s="249">
        <v>6</v>
      </c>
      <c r="AB111" s="250">
        <v>12000</v>
      </c>
      <c r="AC111" s="250">
        <v>6000</v>
      </c>
      <c r="AD111" s="250">
        <v>6000</v>
      </c>
      <c r="AE111" s="250">
        <v>60000</v>
      </c>
      <c r="AF111" s="250">
        <v>12000</v>
      </c>
    </row>
    <row r="112" spans="2:32" x14ac:dyDescent="0.25">
      <c r="B112" s="61" t="s">
        <v>439</v>
      </c>
      <c r="C112" s="14" t="s">
        <v>337</v>
      </c>
      <c r="D112" s="14">
        <v>2003</v>
      </c>
      <c r="E112" s="13">
        <v>1200000</v>
      </c>
      <c r="F112" s="14">
        <v>2</v>
      </c>
      <c r="G112" s="14">
        <v>2.5</v>
      </c>
      <c r="H112" s="14" t="s">
        <v>340</v>
      </c>
      <c r="I112" s="249">
        <f t="shared" si="3"/>
        <v>1</v>
      </c>
      <c r="J112" s="143">
        <v>10000</v>
      </c>
      <c r="K112" s="249" t="s">
        <v>2378</v>
      </c>
      <c r="M112" s="249">
        <f t="shared" si="4"/>
        <v>12</v>
      </c>
      <c r="N112" s="249">
        <f t="shared" si="5"/>
        <v>11</v>
      </c>
      <c r="O112" s="14"/>
      <c r="P112" s="14" t="s">
        <v>328</v>
      </c>
      <c r="Q112" s="14"/>
      <c r="S112" s="14"/>
      <c r="T112" s="14" t="s">
        <v>328</v>
      </c>
      <c r="U112" s="14"/>
      <c r="V112" s="14"/>
      <c r="W112" s="14"/>
      <c r="X112" s="14"/>
      <c r="Z112" s="126">
        <v>0.5</v>
      </c>
      <c r="AA112" s="249">
        <v>2</v>
      </c>
      <c r="AB112" s="250">
        <v>30000</v>
      </c>
      <c r="AC112" s="250">
        <v>30000</v>
      </c>
      <c r="AD112" s="250">
        <v>30000</v>
      </c>
      <c r="AE112" s="250">
        <v>120000</v>
      </c>
      <c r="AF112" s="250">
        <v>30000</v>
      </c>
    </row>
    <row r="113" spans="2:32" x14ac:dyDescent="0.25">
      <c r="B113" s="61" t="s">
        <v>439</v>
      </c>
      <c r="C113" s="14" t="s">
        <v>337</v>
      </c>
      <c r="D113" s="14">
        <v>2003</v>
      </c>
      <c r="E113" s="13">
        <v>1200000</v>
      </c>
      <c r="F113" s="14">
        <v>2</v>
      </c>
      <c r="G113" s="14">
        <v>2.5</v>
      </c>
      <c r="H113" s="14" t="s">
        <v>340</v>
      </c>
      <c r="I113" s="249">
        <f t="shared" si="3"/>
        <v>1</v>
      </c>
      <c r="J113" s="143">
        <v>10000</v>
      </c>
      <c r="K113" s="249" t="s">
        <v>2378</v>
      </c>
      <c r="M113" s="249">
        <f t="shared" si="4"/>
        <v>12</v>
      </c>
      <c r="N113" s="249">
        <f t="shared" si="5"/>
        <v>11</v>
      </c>
      <c r="O113" s="14"/>
      <c r="P113" s="14" t="s">
        <v>328</v>
      </c>
      <c r="Q113" s="14"/>
      <c r="S113" s="14"/>
      <c r="T113" s="14" t="s">
        <v>328</v>
      </c>
      <c r="U113" s="14"/>
      <c r="V113" s="14"/>
      <c r="W113" s="14"/>
      <c r="X113" s="14"/>
      <c r="Z113" s="126">
        <v>0.5</v>
      </c>
      <c r="AA113" s="249">
        <v>2</v>
      </c>
      <c r="AB113" s="250">
        <v>30000</v>
      </c>
      <c r="AC113" s="250">
        <v>30000</v>
      </c>
      <c r="AD113" s="250">
        <v>30000</v>
      </c>
      <c r="AE113" s="250">
        <v>120000</v>
      </c>
      <c r="AF113" s="250">
        <v>30000</v>
      </c>
    </row>
    <row r="114" spans="2:32" x14ac:dyDescent="0.25">
      <c r="B114" s="61" t="s">
        <v>441</v>
      </c>
      <c r="C114" s="14" t="s">
        <v>337</v>
      </c>
      <c r="D114" s="14">
        <v>2008</v>
      </c>
      <c r="E114" s="13">
        <v>1000000</v>
      </c>
      <c r="F114" s="14">
        <v>2</v>
      </c>
      <c r="G114" s="14">
        <v>2.5</v>
      </c>
      <c r="H114" s="14" t="s">
        <v>340</v>
      </c>
      <c r="I114" s="249">
        <f t="shared" si="3"/>
        <v>1</v>
      </c>
      <c r="J114" s="143">
        <v>30000</v>
      </c>
      <c r="K114" s="249" t="s">
        <v>2379</v>
      </c>
      <c r="M114" s="249">
        <f t="shared" si="4"/>
        <v>7</v>
      </c>
      <c r="N114" s="249">
        <f t="shared" si="5"/>
        <v>6</v>
      </c>
      <c r="O114" s="14" t="s">
        <v>328</v>
      </c>
      <c r="P114" s="14"/>
      <c r="Q114" s="14"/>
      <c r="S114" s="14" t="s">
        <v>328</v>
      </c>
      <c r="T114" s="14"/>
      <c r="U114" s="14"/>
      <c r="V114" s="14"/>
      <c r="W114" s="14"/>
      <c r="X114" s="14"/>
      <c r="Z114" s="126">
        <v>0.5</v>
      </c>
      <c r="AA114" s="249">
        <v>7</v>
      </c>
      <c r="AB114" s="250">
        <v>30000</v>
      </c>
      <c r="AC114" s="250">
        <v>30000</v>
      </c>
      <c r="AD114" s="250">
        <v>50000</v>
      </c>
      <c r="AE114" s="250">
        <v>150000</v>
      </c>
      <c r="AF114" s="250">
        <v>30000</v>
      </c>
    </row>
    <row r="115" spans="2:32" x14ac:dyDescent="0.25">
      <c r="B115" s="61" t="s">
        <v>441</v>
      </c>
      <c r="C115" s="14" t="s">
        <v>337</v>
      </c>
      <c r="D115" s="14">
        <v>2008</v>
      </c>
      <c r="E115" s="13">
        <v>1200000</v>
      </c>
      <c r="F115" s="14">
        <v>2</v>
      </c>
      <c r="G115" s="14">
        <v>2.5</v>
      </c>
      <c r="H115" s="14" t="s">
        <v>340</v>
      </c>
      <c r="I115" s="249">
        <f t="shared" si="3"/>
        <v>1</v>
      </c>
      <c r="J115" s="143">
        <v>30000</v>
      </c>
      <c r="K115" s="249" t="s">
        <v>2379</v>
      </c>
      <c r="M115" s="249">
        <f t="shared" si="4"/>
        <v>7</v>
      </c>
      <c r="N115" s="249">
        <f t="shared" si="5"/>
        <v>6</v>
      </c>
      <c r="O115" s="14" t="s">
        <v>328</v>
      </c>
      <c r="P115" s="14"/>
      <c r="Q115" s="14"/>
      <c r="S115" s="14" t="s">
        <v>328</v>
      </c>
      <c r="T115" s="14"/>
      <c r="U115" s="14"/>
      <c r="V115" s="14"/>
      <c r="W115" s="14"/>
      <c r="X115" s="14"/>
      <c r="Z115" s="126">
        <v>0.5</v>
      </c>
      <c r="AA115" s="249">
        <v>7</v>
      </c>
      <c r="AB115" s="250">
        <v>30000</v>
      </c>
      <c r="AC115" s="250">
        <v>30000</v>
      </c>
      <c r="AD115" s="250">
        <v>50000</v>
      </c>
      <c r="AE115" s="250">
        <v>150000</v>
      </c>
      <c r="AF115" s="250">
        <v>30000</v>
      </c>
    </row>
    <row r="116" spans="2:32" x14ac:dyDescent="0.25">
      <c r="B116" s="61" t="s">
        <v>441</v>
      </c>
      <c r="C116" s="14" t="s">
        <v>337</v>
      </c>
      <c r="D116" s="14">
        <v>2011</v>
      </c>
      <c r="E116" s="13">
        <v>900000</v>
      </c>
      <c r="F116" s="14">
        <v>2</v>
      </c>
      <c r="G116" s="14">
        <v>2.5</v>
      </c>
      <c r="H116" s="14" t="s">
        <v>340</v>
      </c>
      <c r="I116" s="249">
        <f t="shared" si="3"/>
        <v>1</v>
      </c>
      <c r="J116" s="143">
        <v>30000</v>
      </c>
      <c r="K116" s="249" t="s">
        <v>2379</v>
      </c>
      <c r="M116" s="249">
        <f t="shared" si="4"/>
        <v>4</v>
      </c>
      <c r="N116" s="249">
        <f t="shared" si="5"/>
        <v>3</v>
      </c>
      <c r="O116" s="14" t="s">
        <v>328</v>
      </c>
      <c r="P116" s="14"/>
      <c r="Q116" s="14"/>
      <c r="S116" s="14"/>
      <c r="T116" s="14" t="s">
        <v>328</v>
      </c>
      <c r="U116" s="14"/>
      <c r="V116" s="14"/>
      <c r="W116" s="14"/>
      <c r="X116" s="14"/>
      <c r="Z116" s="126">
        <v>0.5</v>
      </c>
      <c r="AA116" s="249">
        <v>7</v>
      </c>
      <c r="AB116" s="250">
        <v>30000</v>
      </c>
      <c r="AC116" s="250">
        <v>30000</v>
      </c>
      <c r="AD116" s="250">
        <v>50000</v>
      </c>
      <c r="AE116" s="250">
        <v>150000</v>
      </c>
      <c r="AF116" s="250">
        <v>30000</v>
      </c>
    </row>
    <row r="117" spans="2:32" x14ac:dyDescent="0.25">
      <c r="B117" s="61" t="s">
        <v>441</v>
      </c>
      <c r="C117" s="14" t="s">
        <v>337</v>
      </c>
      <c r="D117" s="14">
        <v>2012</v>
      </c>
      <c r="E117" s="13">
        <v>400000</v>
      </c>
      <c r="F117" s="14">
        <v>2</v>
      </c>
      <c r="G117" s="14">
        <v>2.5</v>
      </c>
      <c r="H117" s="14" t="s">
        <v>340</v>
      </c>
      <c r="I117" s="249">
        <f t="shared" si="3"/>
        <v>1</v>
      </c>
      <c r="J117" s="143">
        <v>30000</v>
      </c>
      <c r="K117" s="249" t="s">
        <v>2379</v>
      </c>
      <c r="M117" s="249">
        <f t="shared" si="4"/>
        <v>3</v>
      </c>
      <c r="N117" s="249">
        <f t="shared" si="5"/>
        <v>2</v>
      </c>
      <c r="O117" s="14" t="s">
        <v>328</v>
      </c>
      <c r="P117" s="14"/>
      <c r="Q117" s="14"/>
      <c r="S117" s="14"/>
      <c r="T117" s="14"/>
      <c r="U117" s="14"/>
      <c r="V117" s="14"/>
      <c r="W117" s="14" t="s">
        <v>328</v>
      </c>
      <c r="X117" s="14"/>
      <c r="Z117" s="126">
        <v>0.5</v>
      </c>
      <c r="AA117" s="249">
        <v>7</v>
      </c>
      <c r="AB117" s="250">
        <v>30000</v>
      </c>
      <c r="AC117" s="250">
        <v>30000</v>
      </c>
      <c r="AD117" s="250">
        <v>50000</v>
      </c>
      <c r="AE117" s="250">
        <v>150000</v>
      </c>
      <c r="AF117" s="250">
        <v>30000</v>
      </c>
    </row>
    <row r="118" spans="2:32" x14ac:dyDescent="0.25">
      <c r="B118" s="61" t="s">
        <v>441</v>
      </c>
      <c r="C118" s="14" t="s">
        <v>351</v>
      </c>
      <c r="D118" s="14">
        <v>2009</v>
      </c>
      <c r="E118" s="13">
        <v>950000</v>
      </c>
      <c r="F118" s="14">
        <v>2</v>
      </c>
      <c r="G118" s="14">
        <v>2.5</v>
      </c>
      <c r="H118" s="14" t="s">
        <v>340</v>
      </c>
      <c r="I118" s="249">
        <f t="shared" si="3"/>
        <v>1</v>
      </c>
      <c r="J118" s="143">
        <v>30000</v>
      </c>
      <c r="K118" s="249" t="s">
        <v>2379</v>
      </c>
      <c r="M118" s="249">
        <f t="shared" si="4"/>
        <v>6</v>
      </c>
      <c r="N118" s="249">
        <f t="shared" si="5"/>
        <v>5</v>
      </c>
      <c r="O118" s="14" t="s">
        <v>328</v>
      </c>
      <c r="P118" s="14"/>
      <c r="Q118" s="14"/>
      <c r="S118" s="14"/>
      <c r="T118" s="14" t="s">
        <v>328</v>
      </c>
      <c r="U118" s="14"/>
      <c r="V118" s="14"/>
      <c r="W118" s="14"/>
      <c r="X118" s="14"/>
      <c r="Z118" s="126">
        <v>0.5</v>
      </c>
      <c r="AA118" s="249">
        <v>7</v>
      </c>
      <c r="AB118" s="250">
        <v>30000</v>
      </c>
      <c r="AC118" s="250">
        <v>30000</v>
      </c>
      <c r="AD118" s="250">
        <v>50000</v>
      </c>
      <c r="AE118" s="250">
        <v>150000</v>
      </c>
      <c r="AF118" s="250">
        <v>30000</v>
      </c>
    </row>
    <row r="119" spans="2:32" x14ac:dyDescent="0.25">
      <c r="B119" s="61" t="s">
        <v>441</v>
      </c>
      <c r="C119" s="14" t="s">
        <v>351</v>
      </c>
      <c r="D119" s="14">
        <v>2009</v>
      </c>
      <c r="E119" s="13">
        <v>800000</v>
      </c>
      <c r="F119" s="14">
        <v>2</v>
      </c>
      <c r="G119" s="14">
        <v>2.5</v>
      </c>
      <c r="H119" s="14" t="s">
        <v>340</v>
      </c>
      <c r="I119" s="249">
        <f t="shared" si="3"/>
        <v>1</v>
      </c>
      <c r="J119" s="143">
        <v>30000</v>
      </c>
      <c r="K119" s="249" t="s">
        <v>2379</v>
      </c>
      <c r="M119" s="249">
        <f t="shared" si="4"/>
        <v>6</v>
      </c>
      <c r="N119" s="249">
        <f t="shared" si="5"/>
        <v>5</v>
      </c>
      <c r="O119" s="14" t="s">
        <v>328</v>
      </c>
      <c r="P119" s="14"/>
      <c r="Q119" s="14"/>
      <c r="S119" s="14"/>
      <c r="T119" s="14" t="s">
        <v>328</v>
      </c>
      <c r="U119" s="14"/>
      <c r="V119" s="14"/>
      <c r="W119" s="14"/>
      <c r="X119" s="14"/>
      <c r="Z119" s="126">
        <v>0.5</v>
      </c>
      <c r="AA119" s="249">
        <v>7</v>
      </c>
      <c r="AB119" s="250">
        <v>30000</v>
      </c>
      <c r="AC119" s="250">
        <v>30000</v>
      </c>
      <c r="AD119" s="250">
        <v>50000</v>
      </c>
      <c r="AE119" s="250">
        <v>150000</v>
      </c>
      <c r="AF119" s="250">
        <v>30000</v>
      </c>
    </row>
    <row r="120" spans="2:32" x14ac:dyDescent="0.25">
      <c r="B120" s="61" t="s">
        <v>441</v>
      </c>
      <c r="C120" s="14" t="s">
        <v>351</v>
      </c>
      <c r="D120" s="14">
        <v>2012</v>
      </c>
      <c r="E120" s="13">
        <v>300000</v>
      </c>
      <c r="F120" s="14">
        <v>2</v>
      </c>
      <c r="G120" s="14">
        <v>2.5</v>
      </c>
      <c r="H120" s="14" t="s">
        <v>340</v>
      </c>
      <c r="I120" s="249">
        <f t="shared" si="3"/>
        <v>1</v>
      </c>
      <c r="J120" s="143">
        <v>20000</v>
      </c>
      <c r="K120" s="249" t="s">
        <v>2379</v>
      </c>
      <c r="M120" s="249">
        <f t="shared" si="4"/>
        <v>3</v>
      </c>
      <c r="N120" s="249">
        <f t="shared" si="5"/>
        <v>2</v>
      </c>
      <c r="O120" s="14" t="s">
        <v>328</v>
      </c>
      <c r="P120" s="14"/>
      <c r="Q120" s="14"/>
      <c r="S120" s="14"/>
      <c r="T120" s="14"/>
      <c r="U120" s="14"/>
      <c r="V120" s="14"/>
      <c r="W120" s="14" t="s">
        <v>328</v>
      </c>
      <c r="X120" s="14"/>
      <c r="Z120" s="126">
        <v>0.5</v>
      </c>
      <c r="AA120" s="249">
        <v>7</v>
      </c>
      <c r="AB120" s="250">
        <v>30000</v>
      </c>
      <c r="AC120" s="250">
        <v>30000</v>
      </c>
      <c r="AD120" s="250">
        <v>50000</v>
      </c>
      <c r="AE120" s="250">
        <v>150000</v>
      </c>
      <c r="AF120" s="250">
        <v>30000</v>
      </c>
    </row>
    <row r="121" spans="2:32" x14ac:dyDescent="0.25">
      <c r="B121" s="61" t="s">
        <v>442</v>
      </c>
      <c r="C121" s="14" t="s">
        <v>348</v>
      </c>
      <c r="D121" s="14">
        <v>2001</v>
      </c>
      <c r="E121" s="13">
        <v>300000</v>
      </c>
      <c r="F121" s="14">
        <v>1.6</v>
      </c>
      <c r="G121" s="14">
        <v>1.6</v>
      </c>
      <c r="H121" s="14" t="s">
        <v>430</v>
      </c>
      <c r="I121" s="249">
        <f t="shared" si="3"/>
        <v>1</v>
      </c>
      <c r="J121" s="143">
        <v>3000</v>
      </c>
      <c r="K121" s="249" t="s">
        <v>2378</v>
      </c>
      <c r="M121" s="249">
        <f t="shared" si="4"/>
        <v>14</v>
      </c>
      <c r="N121" s="249">
        <f t="shared" si="5"/>
        <v>13</v>
      </c>
      <c r="O121" s="14"/>
      <c r="P121" s="14"/>
      <c r="Q121" s="14" t="s">
        <v>328</v>
      </c>
      <c r="S121" s="14"/>
      <c r="T121" s="14"/>
      <c r="U121" s="14"/>
      <c r="V121" s="14"/>
      <c r="W121" s="14"/>
      <c r="X121" s="14" t="s">
        <v>328</v>
      </c>
      <c r="Z121" s="126">
        <v>0.5</v>
      </c>
      <c r="AA121" s="249">
        <v>1</v>
      </c>
      <c r="AB121" s="250">
        <v>5000</v>
      </c>
      <c r="AC121" s="250">
        <v>5000</v>
      </c>
      <c r="AD121" s="250">
        <v>12000</v>
      </c>
      <c r="AE121" s="250">
        <v>12000</v>
      </c>
      <c r="AF121" s="250" t="s">
        <v>385</v>
      </c>
    </row>
    <row r="122" spans="2:32" x14ac:dyDescent="0.25">
      <c r="B122" s="61" t="s">
        <v>445</v>
      </c>
      <c r="C122" s="14" t="s">
        <v>337</v>
      </c>
      <c r="D122" s="14">
        <v>2008</v>
      </c>
      <c r="E122" s="13">
        <v>1000000</v>
      </c>
      <c r="F122" s="14">
        <v>2</v>
      </c>
      <c r="G122" s="14">
        <v>2.5</v>
      </c>
      <c r="H122" s="14" t="s">
        <v>340</v>
      </c>
      <c r="I122" s="249">
        <f t="shared" si="3"/>
        <v>1</v>
      </c>
      <c r="J122" s="143">
        <v>15000</v>
      </c>
      <c r="K122" s="249" t="s">
        <v>2378</v>
      </c>
      <c r="M122" s="249">
        <f t="shared" si="4"/>
        <v>7</v>
      </c>
      <c r="N122" s="249">
        <f t="shared" si="5"/>
        <v>6</v>
      </c>
      <c r="O122" s="14" t="s">
        <v>328</v>
      </c>
      <c r="P122" s="14"/>
      <c r="Q122" s="14"/>
      <c r="S122" s="14" t="s">
        <v>328</v>
      </c>
      <c r="T122" s="14"/>
      <c r="U122" s="14"/>
      <c r="V122" s="14"/>
      <c r="W122" s="14"/>
      <c r="X122" s="14"/>
      <c r="Z122" s="126">
        <v>0.5</v>
      </c>
      <c r="AA122" s="249">
        <v>4</v>
      </c>
      <c r="AB122" s="250">
        <v>20000</v>
      </c>
      <c r="AC122" s="250">
        <v>20000</v>
      </c>
      <c r="AD122" s="250">
        <v>40000</v>
      </c>
      <c r="AE122" s="250">
        <v>80000</v>
      </c>
      <c r="AF122" s="250">
        <v>20000</v>
      </c>
    </row>
    <row r="123" spans="2:32" x14ac:dyDescent="0.25">
      <c r="B123" s="61" t="s">
        <v>445</v>
      </c>
      <c r="C123" s="14" t="s">
        <v>337</v>
      </c>
      <c r="D123" s="14">
        <v>2009</v>
      </c>
      <c r="E123" s="13">
        <v>800000</v>
      </c>
      <c r="F123" s="14">
        <v>2.2999999999999998</v>
      </c>
      <c r="G123" s="14">
        <v>2.8</v>
      </c>
      <c r="H123" s="14" t="s">
        <v>340</v>
      </c>
      <c r="I123" s="249">
        <f t="shared" si="3"/>
        <v>1</v>
      </c>
      <c r="J123" s="143">
        <v>15000</v>
      </c>
      <c r="K123" s="249" t="s">
        <v>2378</v>
      </c>
      <c r="M123" s="249">
        <f t="shared" si="4"/>
        <v>6</v>
      </c>
      <c r="N123" s="249">
        <f t="shared" si="5"/>
        <v>5</v>
      </c>
      <c r="O123" s="14" t="s">
        <v>328</v>
      </c>
      <c r="P123" s="14"/>
      <c r="Q123" s="14"/>
      <c r="S123" s="14" t="s">
        <v>328</v>
      </c>
      <c r="T123" s="14"/>
      <c r="U123" s="14"/>
      <c r="V123" s="14"/>
      <c r="W123" s="14"/>
      <c r="X123" s="14"/>
      <c r="Z123" s="126">
        <v>0.5</v>
      </c>
      <c r="AA123" s="249">
        <v>4</v>
      </c>
      <c r="AB123" s="250">
        <v>20000</v>
      </c>
      <c r="AC123" s="250">
        <v>20000</v>
      </c>
      <c r="AD123" s="250">
        <v>40000</v>
      </c>
      <c r="AE123" s="250">
        <v>80000</v>
      </c>
      <c r="AF123" s="250">
        <v>20000</v>
      </c>
    </row>
    <row r="124" spans="2:32" x14ac:dyDescent="0.25">
      <c r="B124" s="61" t="s">
        <v>445</v>
      </c>
      <c r="C124" s="14" t="s">
        <v>351</v>
      </c>
      <c r="D124" s="14">
        <v>2012</v>
      </c>
      <c r="E124" s="13">
        <v>300000</v>
      </c>
      <c r="F124" s="14">
        <v>2.2999999999999998</v>
      </c>
      <c r="G124" s="14">
        <v>2.8</v>
      </c>
      <c r="H124" s="14" t="s">
        <v>340</v>
      </c>
      <c r="I124" s="249">
        <f t="shared" si="3"/>
        <v>1</v>
      </c>
      <c r="J124" s="143">
        <v>15000</v>
      </c>
      <c r="K124" s="249" t="s">
        <v>2378</v>
      </c>
      <c r="M124" s="249">
        <f t="shared" si="4"/>
        <v>3</v>
      </c>
      <c r="N124" s="249">
        <f t="shared" si="5"/>
        <v>2</v>
      </c>
      <c r="O124" s="14" t="s">
        <v>328</v>
      </c>
      <c r="P124" s="14"/>
      <c r="Q124" s="14"/>
      <c r="S124" s="14"/>
      <c r="T124" s="14" t="s">
        <v>328</v>
      </c>
      <c r="U124" s="14"/>
      <c r="V124" s="14"/>
      <c r="W124" s="14"/>
      <c r="X124" s="14"/>
      <c r="Z124" s="126">
        <v>0.5</v>
      </c>
      <c r="AA124" s="249">
        <v>4</v>
      </c>
      <c r="AB124" s="250">
        <v>20000</v>
      </c>
      <c r="AC124" s="250">
        <v>20000</v>
      </c>
      <c r="AD124" s="250">
        <v>40000</v>
      </c>
      <c r="AE124" s="250">
        <v>80000</v>
      </c>
      <c r="AF124" s="250">
        <v>20000</v>
      </c>
    </row>
    <row r="125" spans="2:32" x14ac:dyDescent="0.25">
      <c r="B125" s="61" t="s">
        <v>445</v>
      </c>
      <c r="C125" s="14" t="s">
        <v>351</v>
      </c>
      <c r="D125" s="14">
        <v>2012</v>
      </c>
      <c r="E125" s="13">
        <v>300000</v>
      </c>
      <c r="F125" s="14">
        <v>2.2999999999999998</v>
      </c>
      <c r="G125" s="14">
        <v>2.8</v>
      </c>
      <c r="H125" s="14" t="s">
        <v>340</v>
      </c>
      <c r="I125" s="249">
        <f t="shared" si="3"/>
        <v>1</v>
      </c>
      <c r="J125" s="143">
        <v>15000</v>
      </c>
      <c r="K125" s="249" t="s">
        <v>2378</v>
      </c>
      <c r="M125" s="249">
        <f t="shared" si="4"/>
        <v>3</v>
      </c>
      <c r="N125" s="249">
        <f t="shared" si="5"/>
        <v>2</v>
      </c>
      <c r="O125" s="14" t="s">
        <v>328</v>
      </c>
      <c r="P125" s="14"/>
      <c r="Q125" s="14"/>
      <c r="S125" s="14"/>
      <c r="T125" s="14"/>
      <c r="U125" s="14"/>
      <c r="V125" s="14"/>
      <c r="W125" s="14" t="s">
        <v>328</v>
      </c>
      <c r="X125" s="14"/>
      <c r="Z125" s="126">
        <v>0.5</v>
      </c>
      <c r="AA125" s="249">
        <v>4</v>
      </c>
      <c r="AB125" s="250">
        <v>20000</v>
      </c>
      <c r="AC125" s="250">
        <v>20000</v>
      </c>
      <c r="AD125" s="250">
        <v>40000</v>
      </c>
      <c r="AE125" s="250">
        <v>80000</v>
      </c>
      <c r="AF125" s="250">
        <v>20000</v>
      </c>
    </row>
    <row r="126" spans="2:32" x14ac:dyDescent="0.25">
      <c r="B126" s="61" t="s">
        <v>446</v>
      </c>
      <c r="C126" s="14" t="s">
        <v>337</v>
      </c>
      <c r="D126" s="14">
        <v>2012</v>
      </c>
      <c r="E126" s="13">
        <v>200000</v>
      </c>
      <c r="F126" s="14">
        <v>2</v>
      </c>
      <c r="G126" s="14">
        <v>2.5</v>
      </c>
      <c r="H126" s="14" t="s">
        <v>340</v>
      </c>
      <c r="I126" s="249">
        <f t="shared" si="3"/>
        <v>1</v>
      </c>
      <c r="J126" s="143">
        <v>25000</v>
      </c>
      <c r="K126" s="249" t="s">
        <v>2379</v>
      </c>
      <c r="M126" s="249">
        <f t="shared" si="4"/>
        <v>3</v>
      </c>
      <c r="N126" s="249">
        <f t="shared" si="5"/>
        <v>2</v>
      </c>
      <c r="O126" s="14" t="s">
        <v>328</v>
      </c>
      <c r="P126" s="14"/>
      <c r="Q126" s="14"/>
      <c r="S126" s="14"/>
      <c r="T126" s="14"/>
      <c r="U126" s="14"/>
      <c r="V126" s="14" t="s">
        <v>328</v>
      </c>
      <c r="W126" s="14"/>
      <c r="X126" s="14"/>
      <c r="Z126" s="126">
        <v>0.5</v>
      </c>
      <c r="AA126" s="249">
        <v>8</v>
      </c>
      <c r="AB126" s="250">
        <v>40000</v>
      </c>
      <c r="AC126" s="250">
        <v>40000</v>
      </c>
      <c r="AD126" s="250">
        <v>40000</v>
      </c>
      <c r="AE126" s="250" t="s">
        <v>498</v>
      </c>
      <c r="AF126" s="250">
        <v>40000</v>
      </c>
    </row>
    <row r="127" spans="2:32" x14ac:dyDescent="0.25">
      <c r="B127" s="61" t="s">
        <v>446</v>
      </c>
      <c r="C127" s="14" t="s">
        <v>337</v>
      </c>
      <c r="D127" s="14">
        <v>2012</v>
      </c>
      <c r="E127" s="13">
        <v>200000</v>
      </c>
      <c r="F127" s="14">
        <v>2</v>
      </c>
      <c r="G127" s="14">
        <v>2.5</v>
      </c>
      <c r="H127" s="14" t="s">
        <v>340</v>
      </c>
      <c r="I127" s="249">
        <f t="shared" si="3"/>
        <v>1</v>
      </c>
      <c r="J127" s="143">
        <v>25000</v>
      </c>
      <c r="K127" s="249" t="s">
        <v>2379</v>
      </c>
      <c r="M127" s="249">
        <f t="shared" si="4"/>
        <v>3</v>
      </c>
      <c r="N127" s="249">
        <f t="shared" si="5"/>
        <v>2</v>
      </c>
      <c r="O127" s="14" t="s">
        <v>328</v>
      </c>
      <c r="P127" s="14"/>
      <c r="Q127" s="14"/>
      <c r="S127" s="14"/>
      <c r="T127" s="14"/>
      <c r="U127" s="14"/>
      <c r="V127" s="14" t="s">
        <v>328</v>
      </c>
      <c r="W127" s="14"/>
      <c r="X127" s="14"/>
      <c r="Z127" s="126">
        <v>0.5</v>
      </c>
      <c r="AA127" s="249">
        <v>8</v>
      </c>
      <c r="AB127" s="250">
        <v>40000</v>
      </c>
      <c r="AC127" s="250">
        <v>40000</v>
      </c>
      <c r="AD127" s="250">
        <v>40000</v>
      </c>
      <c r="AE127" s="250" t="s">
        <v>498</v>
      </c>
      <c r="AF127" s="250">
        <v>40000</v>
      </c>
    </row>
    <row r="128" spans="2:32" x14ac:dyDescent="0.25">
      <c r="B128" s="61" t="s">
        <v>446</v>
      </c>
      <c r="C128" s="14" t="s">
        <v>337</v>
      </c>
      <c r="D128" s="14">
        <v>2012</v>
      </c>
      <c r="E128" s="13">
        <v>200000</v>
      </c>
      <c r="F128" s="14">
        <v>2</v>
      </c>
      <c r="G128" s="14">
        <v>2.5</v>
      </c>
      <c r="H128" s="14" t="s">
        <v>340</v>
      </c>
      <c r="I128" s="249">
        <f t="shared" si="3"/>
        <v>1</v>
      </c>
      <c r="J128" s="143">
        <v>25000</v>
      </c>
      <c r="K128" s="249" t="s">
        <v>2379</v>
      </c>
      <c r="M128" s="249">
        <f t="shared" si="4"/>
        <v>3</v>
      </c>
      <c r="N128" s="249">
        <f t="shared" si="5"/>
        <v>2</v>
      </c>
      <c r="O128" s="14" t="s">
        <v>328</v>
      </c>
      <c r="P128" s="14"/>
      <c r="Q128" s="14"/>
      <c r="S128" s="14"/>
      <c r="T128" s="14"/>
      <c r="U128" s="14"/>
      <c r="V128" s="14" t="s">
        <v>328</v>
      </c>
      <c r="W128" s="14"/>
      <c r="X128" s="14"/>
      <c r="Z128" s="126">
        <v>0.5</v>
      </c>
      <c r="AA128" s="249">
        <v>8</v>
      </c>
      <c r="AB128" s="250">
        <v>40000</v>
      </c>
      <c r="AC128" s="250">
        <v>40000</v>
      </c>
      <c r="AD128" s="250">
        <v>40000</v>
      </c>
      <c r="AE128" s="250" t="s">
        <v>498</v>
      </c>
      <c r="AF128" s="250">
        <v>40000</v>
      </c>
    </row>
    <row r="129" spans="2:32" x14ac:dyDescent="0.25">
      <c r="B129" s="61" t="s">
        <v>446</v>
      </c>
      <c r="C129" s="14" t="s">
        <v>337</v>
      </c>
      <c r="D129" s="14">
        <v>2012</v>
      </c>
      <c r="E129" s="13">
        <v>200000</v>
      </c>
      <c r="F129" s="14">
        <v>2</v>
      </c>
      <c r="G129" s="14">
        <v>2.5</v>
      </c>
      <c r="H129" s="14" t="s">
        <v>340</v>
      </c>
      <c r="I129" s="249">
        <f t="shared" si="3"/>
        <v>1</v>
      </c>
      <c r="J129" s="143">
        <v>25000</v>
      </c>
      <c r="K129" s="249" t="s">
        <v>2379</v>
      </c>
      <c r="M129" s="249">
        <f t="shared" si="4"/>
        <v>3</v>
      </c>
      <c r="N129" s="249">
        <f t="shared" si="5"/>
        <v>2</v>
      </c>
      <c r="O129" s="14" t="s">
        <v>328</v>
      </c>
      <c r="P129" s="14"/>
      <c r="Q129" s="14"/>
      <c r="S129" s="14"/>
      <c r="T129" s="14"/>
      <c r="U129" s="14"/>
      <c r="V129" s="14" t="s">
        <v>328</v>
      </c>
      <c r="W129" s="14"/>
      <c r="X129" s="14"/>
      <c r="Z129" s="126">
        <v>0.5</v>
      </c>
      <c r="AA129" s="249">
        <v>8</v>
      </c>
      <c r="AB129" s="250">
        <v>40000</v>
      </c>
      <c r="AC129" s="250">
        <v>40000</v>
      </c>
      <c r="AD129" s="250">
        <v>40000</v>
      </c>
      <c r="AE129" s="250" t="s">
        <v>498</v>
      </c>
      <c r="AF129" s="250">
        <v>40000</v>
      </c>
    </row>
    <row r="130" spans="2:32" x14ac:dyDescent="0.25">
      <c r="B130" s="61" t="s">
        <v>446</v>
      </c>
      <c r="C130" s="14" t="s">
        <v>337</v>
      </c>
      <c r="D130" s="14">
        <v>2013</v>
      </c>
      <c r="E130" s="13">
        <v>200000</v>
      </c>
      <c r="F130" s="14">
        <v>2</v>
      </c>
      <c r="G130" s="14">
        <v>2.5</v>
      </c>
      <c r="H130" s="14" t="s">
        <v>340</v>
      </c>
      <c r="I130" s="249">
        <f t="shared" si="3"/>
        <v>1</v>
      </c>
      <c r="J130" s="143">
        <v>25000</v>
      </c>
      <c r="K130" s="249" t="s">
        <v>2379</v>
      </c>
      <c r="M130" s="249">
        <f t="shared" si="4"/>
        <v>2</v>
      </c>
      <c r="N130" s="249">
        <f t="shared" si="5"/>
        <v>1</v>
      </c>
      <c r="O130" s="14" t="s">
        <v>328</v>
      </c>
      <c r="P130" s="14"/>
      <c r="Q130" s="14"/>
      <c r="S130" s="14"/>
      <c r="T130" s="14"/>
      <c r="U130" s="14"/>
      <c r="V130" s="14" t="s">
        <v>328</v>
      </c>
      <c r="W130" s="14"/>
      <c r="X130" s="14"/>
      <c r="Z130" s="126">
        <v>0.5</v>
      </c>
      <c r="AA130" s="249">
        <v>8</v>
      </c>
      <c r="AB130" s="250">
        <v>40000</v>
      </c>
      <c r="AC130" s="250">
        <v>40000</v>
      </c>
      <c r="AD130" s="250">
        <v>40000</v>
      </c>
      <c r="AE130" s="250" t="s">
        <v>498</v>
      </c>
      <c r="AF130" s="250">
        <v>40000</v>
      </c>
    </row>
    <row r="131" spans="2:32" x14ac:dyDescent="0.25">
      <c r="B131" s="61" t="s">
        <v>446</v>
      </c>
      <c r="C131" s="14" t="s">
        <v>337</v>
      </c>
      <c r="D131" s="14">
        <v>2013</v>
      </c>
      <c r="E131" s="13">
        <v>200000</v>
      </c>
      <c r="F131" s="14">
        <v>2</v>
      </c>
      <c r="G131" s="14">
        <v>2.5</v>
      </c>
      <c r="H131" s="14" t="s">
        <v>340</v>
      </c>
      <c r="I131" s="249">
        <f t="shared" si="3"/>
        <v>1</v>
      </c>
      <c r="J131" s="143">
        <v>25000</v>
      </c>
      <c r="K131" s="249" t="s">
        <v>2379</v>
      </c>
      <c r="M131" s="249">
        <f t="shared" si="4"/>
        <v>2</v>
      </c>
      <c r="N131" s="249">
        <f t="shared" si="5"/>
        <v>1</v>
      </c>
      <c r="O131" s="14" t="s">
        <v>328</v>
      </c>
      <c r="P131" s="14"/>
      <c r="Q131" s="14"/>
      <c r="S131" s="14"/>
      <c r="T131" s="14"/>
      <c r="U131" s="14"/>
      <c r="V131" s="14" t="s">
        <v>328</v>
      </c>
      <c r="W131" s="14"/>
      <c r="X131" s="14"/>
      <c r="Z131" s="126">
        <v>0.5</v>
      </c>
      <c r="AA131" s="249">
        <v>8</v>
      </c>
      <c r="AB131" s="250">
        <v>40000</v>
      </c>
      <c r="AC131" s="250">
        <v>40000</v>
      </c>
      <c r="AD131" s="250">
        <v>40000</v>
      </c>
      <c r="AE131" s="250" t="s">
        <v>498</v>
      </c>
      <c r="AF131" s="250">
        <v>40000</v>
      </c>
    </row>
    <row r="132" spans="2:32" x14ac:dyDescent="0.25">
      <c r="B132" s="61" t="s">
        <v>446</v>
      </c>
      <c r="C132" s="14" t="s">
        <v>337</v>
      </c>
      <c r="D132" s="14">
        <v>2013</v>
      </c>
      <c r="E132" s="13">
        <v>200000</v>
      </c>
      <c r="F132" s="14">
        <v>2</v>
      </c>
      <c r="G132" s="14">
        <v>2.5</v>
      </c>
      <c r="H132" s="14" t="s">
        <v>340</v>
      </c>
      <c r="I132" s="249">
        <f t="shared" si="3"/>
        <v>1</v>
      </c>
      <c r="J132" s="143">
        <v>25000</v>
      </c>
      <c r="K132" s="249" t="s">
        <v>2379</v>
      </c>
      <c r="M132" s="249">
        <f t="shared" si="4"/>
        <v>2</v>
      </c>
      <c r="N132" s="249">
        <f t="shared" si="5"/>
        <v>1</v>
      </c>
      <c r="O132" s="14" t="s">
        <v>328</v>
      </c>
      <c r="P132" s="14"/>
      <c r="Q132" s="14"/>
      <c r="S132" s="14"/>
      <c r="T132" s="14"/>
      <c r="U132" s="14"/>
      <c r="V132" s="14" t="s">
        <v>328</v>
      </c>
      <c r="W132" s="14"/>
      <c r="X132" s="14"/>
      <c r="Z132" s="126">
        <v>0.5</v>
      </c>
      <c r="AA132" s="249">
        <v>8</v>
      </c>
      <c r="AB132" s="250">
        <v>40000</v>
      </c>
      <c r="AC132" s="250">
        <v>40000</v>
      </c>
      <c r="AD132" s="250">
        <v>40000</v>
      </c>
      <c r="AE132" s="250" t="s">
        <v>498</v>
      </c>
      <c r="AF132" s="250">
        <v>40000</v>
      </c>
    </row>
    <row r="133" spans="2:32" x14ac:dyDescent="0.25">
      <c r="B133" s="61" t="s">
        <v>446</v>
      </c>
      <c r="C133" s="14" t="s">
        <v>337</v>
      </c>
      <c r="D133" s="14">
        <v>2013</v>
      </c>
      <c r="E133" s="13">
        <v>200000</v>
      </c>
      <c r="F133" s="14">
        <v>2</v>
      </c>
      <c r="G133" s="14">
        <v>2.5</v>
      </c>
      <c r="H133" s="14" t="s">
        <v>340</v>
      </c>
      <c r="I133" s="249">
        <f t="shared" si="3"/>
        <v>1</v>
      </c>
      <c r="J133" s="143">
        <v>25000</v>
      </c>
      <c r="K133" s="249" t="s">
        <v>2379</v>
      </c>
      <c r="M133" s="249">
        <f t="shared" si="4"/>
        <v>2</v>
      </c>
      <c r="N133" s="249">
        <f t="shared" si="5"/>
        <v>1</v>
      </c>
      <c r="O133" s="14" t="s">
        <v>328</v>
      </c>
      <c r="P133" s="14"/>
      <c r="Q133" s="14"/>
      <c r="S133" s="14"/>
      <c r="T133" s="14"/>
      <c r="U133" s="14"/>
      <c r="V133" s="14" t="s">
        <v>328</v>
      </c>
      <c r="W133" s="14"/>
      <c r="X133" s="14"/>
      <c r="Z133" s="126">
        <v>0.5</v>
      </c>
      <c r="AA133" s="249">
        <v>8</v>
      </c>
      <c r="AB133" s="250">
        <v>40000</v>
      </c>
      <c r="AC133" s="250">
        <v>40000</v>
      </c>
      <c r="AD133" s="250">
        <v>40000</v>
      </c>
      <c r="AE133" s="250" t="s">
        <v>498</v>
      </c>
      <c r="AF133" s="250">
        <v>40000</v>
      </c>
    </row>
    <row r="134" spans="2:32" x14ac:dyDescent="0.25">
      <c r="B134" s="61" t="s">
        <v>447</v>
      </c>
      <c r="C134" s="14" t="s">
        <v>348</v>
      </c>
      <c r="D134" s="14">
        <v>2004</v>
      </c>
      <c r="E134" s="13">
        <v>540000</v>
      </c>
      <c r="F134" s="14">
        <v>4</v>
      </c>
      <c r="G134" s="14">
        <v>4.5</v>
      </c>
      <c r="H134" s="14" t="s">
        <v>430</v>
      </c>
      <c r="I134" s="249">
        <f t="shared" ref="I134:I197" si="6">IF(F134&gt;G134,0,1)</f>
        <v>1</v>
      </c>
      <c r="J134" s="143">
        <v>5000</v>
      </c>
      <c r="K134" s="249" t="s">
        <v>2379</v>
      </c>
      <c r="M134" s="249">
        <f t="shared" ref="M134:M197" si="7">2015-D134</f>
        <v>11</v>
      </c>
      <c r="N134" s="249">
        <f t="shared" ref="N134:N197" si="8">2014-$D134</f>
        <v>10</v>
      </c>
      <c r="O134" s="14" t="s">
        <v>328</v>
      </c>
      <c r="P134" s="14"/>
      <c r="Q134" s="14"/>
      <c r="S134" s="14"/>
      <c r="T134" s="14"/>
      <c r="U134" s="14"/>
      <c r="V134" s="14"/>
      <c r="W134" s="14" t="s">
        <v>328</v>
      </c>
      <c r="X134" s="14"/>
      <c r="Z134" s="126">
        <v>0.4</v>
      </c>
      <c r="AA134" s="249">
        <v>6</v>
      </c>
      <c r="AB134" s="250">
        <v>5000</v>
      </c>
      <c r="AC134" s="250">
        <v>15000</v>
      </c>
      <c r="AD134" s="250">
        <v>15000</v>
      </c>
      <c r="AE134" s="250">
        <v>60000</v>
      </c>
      <c r="AF134" s="250" t="s">
        <v>385</v>
      </c>
    </row>
    <row r="135" spans="2:32" x14ac:dyDescent="0.25">
      <c r="B135" s="61" t="s">
        <v>447</v>
      </c>
      <c r="C135" s="14" t="s">
        <v>348</v>
      </c>
      <c r="D135" s="14">
        <v>2004</v>
      </c>
      <c r="E135" s="13">
        <v>540000</v>
      </c>
      <c r="F135" s="14">
        <v>4</v>
      </c>
      <c r="G135" s="14">
        <v>4.5</v>
      </c>
      <c r="H135" s="14" t="s">
        <v>430</v>
      </c>
      <c r="I135" s="249">
        <f t="shared" si="6"/>
        <v>1</v>
      </c>
      <c r="J135" s="143">
        <v>5000</v>
      </c>
      <c r="K135" s="249" t="s">
        <v>2379</v>
      </c>
      <c r="M135" s="249">
        <f t="shared" si="7"/>
        <v>11</v>
      </c>
      <c r="N135" s="249">
        <f t="shared" si="8"/>
        <v>10</v>
      </c>
      <c r="O135" s="14" t="s">
        <v>328</v>
      </c>
      <c r="P135" s="14"/>
      <c r="Q135" s="14"/>
      <c r="S135" s="14"/>
      <c r="T135" s="14"/>
      <c r="U135" s="14"/>
      <c r="V135" s="14"/>
      <c r="W135" s="14" t="s">
        <v>328</v>
      </c>
      <c r="X135" s="14"/>
      <c r="Z135" s="126">
        <v>0.4</v>
      </c>
      <c r="AA135" s="249">
        <v>6</v>
      </c>
      <c r="AB135" s="250">
        <v>5000</v>
      </c>
      <c r="AC135" s="250">
        <v>15000</v>
      </c>
      <c r="AD135" s="250">
        <v>15000</v>
      </c>
      <c r="AE135" s="250">
        <v>60000</v>
      </c>
      <c r="AF135" s="250" t="s">
        <v>385</v>
      </c>
    </row>
    <row r="136" spans="2:32" x14ac:dyDescent="0.25">
      <c r="B136" s="61" t="s">
        <v>447</v>
      </c>
      <c r="C136" s="14" t="s">
        <v>348</v>
      </c>
      <c r="D136" s="14">
        <v>2002</v>
      </c>
      <c r="E136" s="13">
        <v>660000</v>
      </c>
      <c r="F136" s="14">
        <v>4</v>
      </c>
      <c r="G136" s="14">
        <v>4.5</v>
      </c>
      <c r="H136" s="14" t="s">
        <v>371</v>
      </c>
      <c r="I136" s="249">
        <f t="shared" si="6"/>
        <v>1</v>
      </c>
      <c r="J136" s="143">
        <v>5000</v>
      </c>
      <c r="K136" s="249" t="s">
        <v>2379</v>
      </c>
      <c r="M136" s="249">
        <f t="shared" si="7"/>
        <v>13</v>
      </c>
      <c r="N136" s="249">
        <f t="shared" si="8"/>
        <v>12</v>
      </c>
      <c r="O136" s="14" t="s">
        <v>328</v>
      </c>
      <c r="P136" s="14"/>
      <c r="Q136" s="14"/>
      <c r="S136" s="14"/>
      <c r="T136" s="14"/>
      <c r="U136" s="14"/>
      <c r="V136" s="14"/>
      <c r="W136" s="14" t="s">
        <v>328</v>
      </c>
      <c r="X136" s="14"/>
      <c r="Z136" s="126">
        <v>0.4</v>
      </c>
      <c r="AA136" s="249">
        <v>6</v>
      </c>
      <c r="AB136" s="250">
        <v>5000</v>
      </c>
      <c r="AC136" s="250">
        <v>15000</v>
      </c>
      <c r="AD136" s="250">
        <v>15000</v>
      </c>
      <c r="AE136" s="250">
        <v>60000</v>
      </c>
      <c r="AF136" s="250" t="s">
        <v>385</v>
      </c>
    </row>
    <row r="137" spans="2:32" x14ac:dyDescent="0.25">
      <c r="B137" s="61" t="s">
        <v>447</v>
      </c>
      <c r="C137" s="14" t="s">
        <v>348</v>
      </c>
      <c r="D137" s="14">
        <v>2012</v>
      </c>
      <c r="E137" s="13">
        <v>120000</v>
      </c>
      <c r="F137" s="14">
        <v>4</v>
      </c>
      <c r="G137" s="14">
        <v>4.5</v>
      </c>
      <c r="H137" s="14" t="s">
        <v>371</v>
      </c>
      <c r="I137" s="249">
        <f t="shared" si="6"/>
        <v>1</v>
      </c>
      <c r="J137" s="143">
        <v>1000</v>
      </c>
      <c r="K137" s="249" t="s">
        <v>2379</v>
      </c>
      <c r="M137" s="249">
        <f t="shared" si="7"/>
        <v>3</v>
      </c>
      <c r="N137" s="249">
        <f t="shared" si="8"/>
        <v>2</v>
      </c>
      <c r="O137" s="14" t="s">
        <v>328</v>
      </c>
      <c r="P137" s="14"/>
      <c r="Q137" s="14"/>
      <c r="S137" s="14"/>
      <c r="T137" s="14"/>
      <c r="U137" s="14"/>
      <c r="V137" s="14"/>
      <c r="W137" s="14"/>
      <c r="X137" s="14" t="s">
        <v>328</v>
      </c>
      <c r="Z137" s="126">
        <v>0.4</v>
      </c>
      <c r="AA137" s="249">
        <v>6</v>
      </c>
      <c r="AB137" s="250">
        <v>5000</v>
      </c>
      <c r="AC137" s="250">
        <v>3000</v>
      </c>
      <c r="AD137" s="250">
        <v>3000</v>
      </c>
      <c r="AE137" s="250">
        <v>12000</v>
      </c>
      <c r="AF137" s="250" t="s">
        <v>385</v>
      </c>
    </row>
    <row r="138" spans="2:32" x14ac:dyDescent="0.25">
      <c r="B138" s="61" t="s">
        <v>447</v>
      </c>
      <c r="C138" s="14" t="s">
        <v>351</v>
      </c>
      <c r="D138" s="14">
        <v>2008</v>
      </c>
      <c r="E138" s="13">
        <v>300000</v>
      </c>
      <c r="F138" s="14">
        <v>4</v>
      </c>
      <c r="G138" s="14">
        <v>4.5</v>
      </c>
      <c r="H138" s="14" t="s">
        <v>340</v>
      </c>
      <c r="I138" s="249">
        <f t="shared" si="6"/>
        <v>1</v>
      </c>
      <c r="J138" s="143">
        <v>5000</v>
      </c>
      <c r="K138" s="249" t="s">
        <v>2379</v>
      </c>
      <c r="M138" s="249">
        <f t="shared" si="7"/>
        <v>7</v>
      </c>
      <c r="N138" s="249">
        <f t="shared" si="8"/>
        <v>6</v>
      </c>
      <c r="O138" s="14" t="s">
        <v>328</v>
      </c>
      <c r="P138" s="14"/>
      <c r="Q138" s="14"/>
      <c r="S138" s="14"/>
      <c r="T138" s="14"/>
      <c r="U138" s="14"/>
      <c r="V138" s="14"/>
      <c r="W138" s="14" t="s">
        <v>328</v>
      </c>
      <c r="X138" s="14"/>
      <c r="Z138" s="126">
        <v>0.4</v>
      </c>
      <c r="AA138" s="249">
        <v>6</v>
      </c>
      <c r="AB138" s="250">
        <v>10000</v>
      </c>
      <c r="AC138" s="250">
        <v>15000</v>
      </c>
      <c r="AD138" s="250">
        <v>15000</v>
      </c>
      <c r="AE138" s="250">
        <v>60000</v>
      </c>
      <c r="AF138" s="250">
        <v>15000</v>
      </c>
    </row>
    <row r="139" spans="2:32" x14ac:dyDescent="0.25">
      <c r="B139" s="61" t="s">
        <v>447</v>
      </c>
      <c r="C139" s="14" t="s">
        <v>351</v>
      </c>
      <c r="D139" s="14">
        <v>2009</v>
      </c>
      <c r="E139" s="13">
        <v>240000</v>
      </c>
      <c r="F139" s="14">
        <v>4</v>
      </c>
      <c r="G139" s="14">
        <v>4.5</v>
      </c>
      <c r="H139" s="14" t="s">
        <v>340</v>
      </c>
      <c r="I139" s="249">
        <f t="shared" si="6"/>
        <v>1</v>
      </c>
      <c r="J139" s="143">
        <v>5000</v>
      </c>
      <c r="K139" s="249" t="s">
        <v>2379</v>
      </c>
      <c r="M139" s="249">
        <f t="shared" si="7"/>
        <v>6</v>
      </c>
      <c r="N139" s="249">
        <f t="shared" si="8"/>
        <v>5</v>
      </c>
      <c r="O139" s="14" t="s">
        <v>328</v>
      </c>
      <c r="P139" s="14"/>
      <c r="Q139" s="14"/>
      <c r="S139" s="14"/>
      <c r="T139" s="14"/>
      <c r="U139" s="14"/>
      <c r="V139" s="14"/>
      <c r="W139" s="14" t="s">
        <v>328</v>
      </c>
      <c r="X139" s="14"/>
      <c r="Z139" s="126">
        <v>0.4</v>
      </c>
      <c r="AA139" s="249">
        <v>6</v>
      </c>
      <c r="AB139" s="250">
        <v>10000</v>
      </c>
      <c r="AC139" s="250">
        <v>15000</v>
      </c>
      <c r="AD139" s="250">
        <v>15000</v>
      </c>
      <c r="AE139" s="250">
        <v>60000</v>
      </c>
      <c r="AF139" s="250">
        <v>15000</v>
      </c>
    </row>
    <row r="140" spans="2:32" x14ac:dyDescent="0.25">
      <c r="B140" s="61" t="s">
        <v>452</v>
      </c>
      <c r="C140" s="14" t="s">
        <v>337</v>
      </c>
      <c r="D140" s="14">
        <v>1982</v>
      </c>
      <c r="E140" s="13">
        <v>1900000</v>
      </c>
      <c r="F140" s="14">
        <v>2</v>
      </c>
      <c r="G140" s="14">
        <v>3</v>
      </c>
      <c r="H140" s="14" t="s">
        <v>340</v>
      </c>
      <c r="I140" s="249">
        <f t="shared" si="6"/>
        <v>1</v>
      </c>
      <c r="J140" s="143">
        <v>5000</v>
      </c>
      <c r="K140" s="249" t="s">
        <v>2378</v>
      </c>
      <c r="M140" s="249">
        <f t="shared" si="7"/>
        <v>33</v>
      </c>
      <c r="N140" s="249">
        <f t="shared" si="8"/>
        <v>32</v>
      </c>
      <c r="O140" s="14"/>
      <c r="P140" s="14"/>
      <c r="Q140" s="14" t="s">
        <v>328</v>
      </c>
      <c r="S140" s="14"/>
      <c r="T140" s="14" t="s">
        <v>328</v>
      </c>
      <c r="U140" s="14"/>
      <c r="V140" s="14"/>
      <c r="W140" s="14"/>
      <c r="X140" s="14"/>
      <c r="Z140" s="126">
        <v>0.3</v>
      </c>
      <c r="AA140" s="249">
        <v>3</v>
      </c>
      <c r="AB140" s="250">
        <v>15000</v>
      </c>
      <c r="AC140" s="250">
        <v>30000</v>
      </c>
      <c r="AD140" s="250">
        <v>30000</v>
      </c>
      <c r="AE140" s="250">
        <v>60000</v>
      </c>
      <c r="AF140" s="250">
        <v>15000</v>
      </c>
    </row>
    <row r="141" spans="2:32" x14ac:dyDescent="0.25">
      <c r="B141" s="61" t="s">
        <v>452</v>
      </c>
      <c r="C141" s="14" t="s">
        <v>337</v>
      </c>
      <c r="D141" s="14">
        <v>1980</v>
      </c>
      <c r="E141" s="13">
        <v>1900000</v>
      </c>
      <c r="F141" s="14">
        <v>2</v>
      </c>
      <c r="G141" s="14">
        <v>3</v>
      </c>
      <c r="H141" s="14" t="s">
        <v>340</v>
      </c>
      <c r="I141" s="249">
        <f t="shared" si="6"/>
        <v>1</v>
      </c>
      <c r="J141" s="143">
        <v>5000</v>
      </c>
      <c r="K141" s="249" t="s">
        <v>2378</v>
      </c>
      <c r="M141" s="249">
        <f t="shared" si="7"/>
        <v>35</v>
      </c>
      <c r="N141" s="249">
        <f t="shared" si="8"/>
        <v>34</v>
      </c>
      <c r="O141" s="14"/>
      <c r="P141" s="14"/>
      <c r="Q141" s="14" t="s">
        <v>328</v>
      </c>
      <c r="S141" s="14"/>
      <c r="T141" s="14" t="s">
        <v>328</v>
      </c>
      <c r="U141" s="14"/>
      <c r="V141" s="14"/>
      <c r="W141" s="14"/>
      <c r="X141" s="14"/>
      <c r="Z141" s="126">
        <v>0.5</v>
      </c>
      <c r="AA141" s="249">
        <v>3</v>
      </c>
      <c r="AB141" s="250">
        <v>15000</v>
      </c>
      <c r="AC141" s="250">
        <v>30000</v>
      </c>
      <c r="AD141" s="250">
        <v>30000</v>
      </c>
      <c r="AE141" s="250">
        <v>60000</v>
      </c>
      <c r="AF141" s="250">
        <v>15000</v>
      </c>
    </row>
    <row r="142" spans="2:32" x14ac:dyDescent="0.25">
      <c r="B142" s="61" t="s">
        <v>452</v>
      </c>
      <c r="C142" s="14" t="s">
        <v>337</v>
      </c>
      <c r="D142" s="14">
        <v>1985</v>
      </c>
      <c r="E142" s="13">
        <v>1700000</v>
      </c>
      <c r="F142" s="14">
        <v>2</v>
      </c>
      <c r="G142" s="14">
        <v>3</v>
      </c>
      <c r="H142" s="14" t="s">
        <v>340</v>
      </c>
      <c r="I142" s="249">
        <f t="shared" si="6"/>
        <v>1</v>
      </c>
      <c r="J142" s="143">
        <v>5000</v>
      </c>
      <c r="K142" s="249" t="s">
        <v>2378</v>
      </c>
      <c r="M142" s="249">
        <f t="shared" si="7"/>
        <v>30</v>
      </c>
      <c r="N142" s="249">
        <f t="shared" si="8"/>
        <v>29</v>
      </c>
      <c r="O142" s="14"/>
      <c r="P142" s="14"/>
      <c r="Q142" s="14" t="s">
        <v>328</v>
      </c>
      <c r="S142" s="14"/>
      <c r="T142" s="14" t="s">
        <v>328</v>
      </c>
      <c r="U142" s="14"/>
      <c r="V142" s="14"/>
      <c r="W142" s="14"/>
      <c r="X142" s="14"/>
      <c r="Z142" s="126">
        <v>0.3</v>
      </c>
      <c r="AA142" s="249">
        <v>3</v>
      </c>
      <c r="AB142" s="250">
        <v>15000</v>
      </c>
      <c r="AC142" s="250">
        <v>30000</v>
      </c>
      <c r="AD142" s="250">
        <v>30000</v>
      </c>
      <c r="AE142" s="250">
        <v>60000</v>
      </c>
      <c r="AF142" s="250">
        <v>15000</v>
      </c>
    </row>
    <row r="143" spans="2:32" x14ac:dyDescent="0.25">
      <c r="B143" s="61" t="s">
        <v>454</v>
      </c>
      <c r="C143" s="14" t="s">
        <v>351</v>
      </c>
      <c r="D143" s="14">
        <v>1990</v>
      </c>
      <c r="E143" s="13">
        <v>500000</v>
      </c>
      <c r="F143" s="14">
        <v>2</v>
      </c>
      <c r="G143" s="14">
        <v>2.5</v>
      </c>
      <c r="H143" s="14" t="s">
        <v>340</v>
      </c>
      <c r="I143" s="249">
        <f t="shared" si="6"/>
        <v>1</v>
      </c>
      <c r="J143" s="143">
        <v>3000</v>
      </c>
      <c r="K143" s="249" t="s">
        <v>2378</v>
      </c>
      <c r="M143" s="249">
        <f t="shared" si="7"/>
        <v>25</v>
      </c>
      <c r="N143" s="249">
        <f t="shared" si="8"/>
        <v>24</v>
      </c>
      <c r="O143" s="14"/>
      <c r="P143" s="14" t="s">
        <v>328</v>
      </c>
      <c r="Q143" s="14"/>
      <c r="S143" s="14"/>
      <c r="T143" s="14"/>
      <c r="U143" s="14"/>
      <c r="V143" s="14"/>
      <c r="W143" s="14" t="s">
        <v>328</v>
      </c>
      <c r="X143" s="14"/>
      <c r="Z143" s="126">
        <v>0.5</v>
      </c>
      <c r="AA143" s="249">
        <v>3</v>
      </c>
      <c r="AB143" s="250">
        <v>18000</v>
      </c>
      <c r="AC143" s="250">
        <v>18000</v>
      </c>
      <c r="AD143" s="250">
        <v>18000</v>
      </c>
      <c r="AE143" s="250">
        <v>36000</v>
      </c>
      <c r="AF143" s="250">
        <v>9000</v>
      </c>
    </row>
    <row r="144" spans="2:32" x14ac:dyDescent="0.25">
      <c r="B144" s="61" t="s">
        <v>454</v>
      </c>
      <c r="C144" s="14" t="s">
        <v>351</v>
      </c>
      <c r="D144" s="14">
        <v>1990</v>
      </c>
      <c r="E144" s="13">
        <v>500000</v>
      </c>
      <c r="F144" s="14">
        <v>2</v>
      </c>
      <c r="G144" s="14">
        <v>2.5</v>
      </c>
      <c r="H144" s="14" t="s">
        <v>340</v>
      </c>
      <c r="I144" s="249">
        <f t="shared" si="6"/>
        <v>1</v>
      </c>
      <c r="J144" s="143">
        <v>3000</v>
      </c>
      <c r="K144" s="249" t="s">
        <v>2378</v>
      </c>
      <c r="M144" s="249">
        <f t="shared" si="7"/>
        <v>25</v>
      </c>
      <c r="N144" s="249">
        <f t="shared" si="8"/>
        <v>24</v>
      </c>
      <c r="O144" s="14"/>
      <c r="P144" s="14" t="s">
        <v>328</v>
      </c>
      <c r="Q144" s="14"/>
      <c r="S144" s="14"/>
      <c r="T144" s="14"/>
      <c r="U144" s="14"/>
      <c r="V144" s="14"/>
      <c r="W144" s="14" t="s">
        <v>328</v>
      </c>
      <c r="X144" s="14"/>
      <c r="Z144" s="126">
        <v>0.5</v>
      </c>
      <c r="AA144" s="249">
        <v>3</v>
      </c>
      <c r="AB144" s="250">
        <v>18000</v>
      </c>
      <c r="AC144" s="250">
        <v>18000</v>
      </c>
      <c r="AD144" s="250">
        <v>18000</v>
      </c>
      <c r="AE144" s="250">
        <v>36000</v>
      </c>
      <c r="AF144" s="250">
        <v>9000</v>
      </c>
    </row>
    <row r="145" spans="2:32" x14ac:dyDescent="0.25">
      <c r="B145" s="61" t="s">
        <v>454</v>
      </c>
      <c r="C145" s="14" t="s">
        <v>351</v>
      </c>
      <c r="D145" s="14">
        <v>1990</v>
      </c>
      <c r="E145" s="13">
        <v>500000</v>
      </c>
      <c r="F145" s="14">
        <v>2</v>
      </c>
      <c r="G145" s="14">
        <v>2.5</v>
      </c>
      <c r="H145" s="14" t="s">
        <v>340</v>
      </c>
      <c r="I145" s="249">
        <f t="shared" si="6"/>
        <v>1</v>
      </c>
      <c r="J145" s="143">
        <v>3000</v>
      </c>
      <c r="K145" s="249" t="s">
        <v>2378</v>
      </c>
      <c r="M145" s="249">
        <f t="shared" si="7"/>
        <v>25</v>
      </c>
      <c r="N145" s="249">
        <f t="shared" si="8"/>
        <v>24</v>
      </c>
      <c r="O145" s="14"/>
      <c r="P145" s="14" t="s">
        <v>328</v>
      </c>
      <c r="Q145" s="14"/>
      <c r="S145" s="14"/>
      <c r="T145" s="14"/>
      <c r="U145" s="14"/>
      <c r="V145" s="14"/>
      <c r="W145" s="14" t="s">
        <v>328</v>
      </c>
      <c r="X145" s="14"/>
      <c r="Z145" s="126">
        <v>0.5</v>
      </c>
      <c r="AA145" s="249">
        <v>3</v>
      </c>
      <c r="AB145" s="250">
        <v>18000</v>
      </c>
      <c r="AC145" s="250">
        <v>18000</v>
      </c>
      <c r="AD145" s="250">
        <v>18000</v>
      </c>
      <c r="AE145" s="250">
        <v>36000</v>
      </c>
      <c r="AF145" s="250">
        <v>9000</v>
      </c>
    </row>
    <row r="146" spans="2:32" x14ac:dyDescent="0.25">
      <c r="B146" s="61" t="s">
        <v>455</v>
      </c>
      <c r="C146" s="14" t="s">
        <v>337</v>
      </c>
      <c r="D146" s="14">
        <v>2013</v>
      </c>
      <c r="E146" s="13">
        <v>180000</v>
      </c>
      <c r="F146" s="14">
        <v>1.8</v>
      </c>
      <c r="G146" s="14">
        <v>2.2999999999999998</v>
      </c>
      <c r="H146" s="14" t="s">
        <v>340</v>
      </c>
      <c r="I146" s="249">
        <f t="shared" si="6"/>
        <v>1</v>
      </c>
      <c r="J146" s="143">
        <v>7200</v>
      </c>
      <c r="K146" s="249" t="s">
        <v>2378</v>
      </c>
      <c r="M146" s="249">
        <f t="shared" si="7"/>
        <v>2</v>
      </c>
      <c r="N146" s="249">
        <f t="shared" si="8"/>
        <v>1</v>
      </c>
      <c r="O146" s="14" t="s">
        <v>328</v>
      </c>
      <c r="P146" s="14"/>
      <c r="Q146" s="14"/>
      <c r="S146" s="14"/>
      <c r="T146" s="14"/>
      <c r="U146" s="14"/>
      <c r="V146" s="14"/>
      <c r="W146" s="14"/>
      <c r="X146" s="14" t="s">
        <v>328</v>
      </c>
      <c r="Z146" s="126">
        <v>0.4</v>
      </c>
      <c r="AA146" s="249">
        <v>1</v>
      </c>
      <c r="AB146" s="250">
        <v>15000</v>
      </c>
      <c r="AC146" s="250">
        <v>20000</v>
      </c>
      <c r="AD146" s="250">
        <v>40000</v>
      </c>
      <c r="AE146" s="250">
        <v>54000</v>
      </c>
      <c r="AF146" s="250">
        <v>54000</v>
      </c>
    </row>
    <row r="147" spans="2:32" x14ac:dyDescent="0.25">
      <c r="B147" s="61" t="s">
        <v>464</v>
      </c>
      <c r="C147" s="14" t="s">
        <v>348</v>
      </c>
      <c r="D147" s="14">
        <v>1991</v>
      </c>
      <c r="E147" s="13">
        <v>1900000</v>
      </c>
      <c r="F147" s="14">
        <v>2</v>
      </c>
      <c r="G147" s="14">
        <v>2.5</v>
      </c>
      <c r="H147" s="14" t="s">
        <v>340</v>
      </c>
      <c r="I147" s="249">
        <f t="shared" si="6"/>
        <v>1</v>
      </c>
      <c r="J147" s="143">
        <v>7000</v>
      </c>
      <c r="K147" s="249" t="s">
        <v>2379</v>
      </c>
      <c r="M147" s="249">
        <f t="shared" si="7"/>
        <v>24</v>
      </c>
      <c r="N147" s="249">
        <f t="shared" si="8"/>
        <v>23</v>
      </c>
      <c r="O147" s="14"/>
      <c r="P147" s="14"/>
      <c r="Q147" s="14" t="s">
        <v>328</v>
      </c>
      <c r="S147" s="14"/>
      <c r="T147" s="14"/>
      <c r="U147" s="14"/>
      <c r="V147" s="14"/>
      <c r="W147" s="14" t="s">
        <v>328</v>
      </c>
      <c r="X147" s="14"/>
      <c r="Z147" s="126">
        <v>0.5</v>
      </c>
      <c r="AA147" s="249">
        <v>6</v>
      </c>
      <c r="AB147" s="250">
        <v>42000</v>
      </c>
      <c r="AC147" s="250">
        <v>42000</v>
      </c>
      <c r="AD147" s="250">
        <v>21000</v>
      </c>
      <c r="AE147" s="250">
        <v>84000</v>
      </c>
      <c r="AF147" s="250">
        <v>21000</v>
      </c>
    </row>
    <row r="148" spans="2:32" x14ac:dyDescent="0.25">
      <c r="B148" s="61" t="s">
        <v>464</v>
      </c>
      <c r="C148" s="14" t="s">
        <v>348</v>
      </c>
      <c r="D148" s="14">
        <v>1991</v>
      </c>
      <c r="E148" s="13">
        <v>1900000</v>
      </c>
      <c r="F148" s="14">
        <v>2</v>
      </c>
      <c r="G148" s="14">
        <v>2.5</v>
      </c>
      <c r="H148" s="14" t="s">
        <v>340</v>
      </c>
      <c r="I148" s="249">
        <f t="shared" si="6"/>
        <v>1</v>
      </c>
      <c r="J148" s="143">
        <v>7000</v>
      </c>
      <c r="K148" s="249" t="s">
        <v>2379</v>
      </c>
      <c r="M148" s="249">
        <f t="shared" si="7"/>
        <v>24</v>
      </c>
      <c r="N148" s="249">
        <f t="shared" si="8"/>
        <v>23</v>
      </c>
      <c r="O148" s="14"/>
      <c r="P148" s="14"/>
      <c r="Q148" s="14" t="s">
        <v>328</v>
      </c>
      <c r="S148" s="14"/>
      <c r="T148" s="14"/>
      <c r="U148" s="14"/>
      <c r="V148" s="14"/>
      <c r="W148" s="14" t="s">
        <v>328</v>
      </c>
      <c r="X148" s="14"/>
      <c r="Z148" s="126">
        <v>0.5</v>
      </c>
      <c r="AA148" s="249">
        <v>6</v>
      </c>
      <c r="AB148" s="250">
        <v>42000</v>
      </c>
      <c r="AC148" s="250">
        <v>42000</v>
      </c>
      <c r="AD148" s="250">
        <v>21000</v>
      </c>
      <c r="AE148" s="250">
        <v>84000</v>
      </c>
      <c r="AF148" s="250">
        <v>21000</v>
      </c>
    </row>
    <row r="149" spans="2:32" x14ac:dyDescent="0.25">
      <c r="B149" s="61" t="s">
        <v>464</v>
      </c>
      <c r="C149" s="14" t="s">
        <v>348</v>
      </c>
      <c r="D149" s="14">
        <v>1991</v>
      </c>
      <c r="E149" s="13">
        <v>1900000</v>
      </c>
      <c r="F149" s="14">
        <v>2</v>
      </c>
      <c r="G149" s="14">
        <v>2.5</v>
      </c>
      <c r="H149" s="14" t="s">
        <v>340</v>
      </c>
      <c r="I149" s="249">
        <f t="shared" si="6"/>
        <v>1</v>
      </c>
      <c r="J149" s="143">
        <v>7000</v>
      </c>
      <c r="K149" s="249" t="s">
        <v>2379</v>
      </c>
      <c r="M149" s="249">
        <f t="shared" si="7"/>
        <v>24</v>
      </c>
      <c r="N149" s="249">
        <f t="shared" si="8"/>
        <v>23</v>
      </c>
      <c r="O149" s="14"/>
      <c r="P149" s="14"/>
      <c r="Q149" s="14" t="s">
        <v>328</v>
      </c>
      <c r="S149" s="14"/>
      <c r="T149" s="14"/>
      <c r="U149" s="14"/>
      <c r="V149" s="14"/>
      <c r="W149" s="14" t="s">
        <v>328</v>
      </c>
      <c r="X149" s="14"/>
      <c r="Z149" s="126">
        <v>0.5</v>
      </c>
      <c r="AA149" s="249">
        <v>6</v>
      </c>
      <c r="AB149" s="250">
        <v>42000</v>
      </c>
      <c r="AC149" s="250">
        <v>42000</v>
      </c>
      <c r="AD149" s="250">
        <v>21000</v>
      </c>
      <c r="AE149" s="250">
        <v>84000</v>
      </c>
      <c r="AF149" s="250">
        <v>21000</v>
      </c>
    </row>
    <row r="150" spans="2:32" x14ac:dyDescent="0.25">
      <c r="B150" s="61" t="s">
        <v>464</v>
      </c>
      <c r="C150" s="14" t="s">
        <v>351</v>
      </c>
      <c r="D150" s="14">
        <v>1980</v>
      </c>
      <c r="E150" s="13">
        <v>1900000</v>
      </c>
      <c r="F150" s="14">
        <v>2</v>
      </c>
      <c r="G150" s="14">
        <v>2.5</v>
      </c>
      <c r="H150" s="14" t="s">
        <v>340</v>
      </c>
      <c r="I150" s="249">
        <f t="shared" si="6"/>
        <v>1</v>
      </c>
      <c r="J150" s="143">
        <v>5000</v>
      </c>
      <c r="K150" s="249" t="s">
        <v>2379</v>
      </c>
      <c r="M150" s="249">
        <f t="shared" si="7"/>
        <v>35</v>
      </c>
      <c r="N150" s="249">
        <f t="shared" si="8"/>
        <v>34</v>
      </c>
      <c r="O150" s="14"/>
      <c r="P150" s="14"/>
      <c r="Q150" s="14" t="s">
        <v>328</v>
      </c>
      <c r="S150" s="14"/>
      <c r="T150" s="14"/>
      <c r="U150" s="14"/>
      <c r="V150" s="14"/>
      <c r="W150" s="14" t="s">
        <v>328</v>
      </c>
      <c r="X150" s="14"/>
      <c r="Z150" s="126">
        <v>0.5</v>
      </c>
      <c r="AA150" s="249">
        <v>6</v>
      </c>
      <c r="AB150" s="250">
        <v>30000</v>
      </c>
      <c r="AC150" s="250">
        <v>30000</v>
      </c>
      <c r="AD150" s="250">
        <v>15000</v>
      </c>
      <c r="AE150" s="250">
        <v>60000</v>
      </c>
      <c r="AF150" s="250">
        <v>15000</v>
      </c>
    </row>
    <row r="151" spans="2:32" x14ac:dyDescent="0.25">
      <c r="B151" s="61" t="s">
        <v>464</v>
      </c>
      <c r="C151" s="14" t="s">
        <v>351</v>
      </c>
      <c r="D151" s="14">
        <v>1980</v>
      </c>
      <c r="E151" s="13">
        <v>1900000</v>
      </c>
      <c r="F151" s="14">
        <v>2</v>
      </c>
      <c r="G151" s="14">
        <v>2.5</v>
      </c>
      <c r="H151" s="14" t="s">
        <v>340</v>
      </c>
      <c r="I151" s="249">
        <f t="shared" si="6"/>
        <v>1</v>
      </c>
      <c r="J151" s="143">
        <v>5000</v>
      </c>
      <c r="K151" s="249" t="s">
        <v>2379</v>
      </c>
      <c r="M151" s="249">
        <f t="shared" si="7"/>
        <v>35</v>
      </c>
      <c r="N151" s="249">
        <f t="shared" si="8"/>
        <v>34</v>
      </c>
      <c r="O151" s="14"/>
      <c r="P151" s="14"/>
      <c r="Q151" s="14" t="s">
        <v>328</v>
      </c>
      <c r="S151" s="14"/>
      <c r="T151" s="14"/>
      <c r="U151" s="14"/>
      <c r="V151" s="14"/>
      <c r="W151" s="14" t="s">
        <v>328</v>
      </c>
      <c r="X151" s="14"/>
      <c r="Z151" s="126">
        <v>0.5</v>
      </c>
      <c r="AA151" s="249">
        <v>6</v>
      </c>
      <c r="AB151" s="250">
        <v>30000</v>
      </c>
      <c r="AC151" s="250">
        <v>30000</v>
      </c>
      <c r="AD151" s="250">
        <v>15000</v>
      </c>
      <c r="AE151" s="250">
        <v>60000</v>
      </c>
      <c r="AF151" s="250">
        <v>15000</v>
      </c>
    </row>
    <row r="152" spans="2:32" x14ac:dyDescent="0.25">
      <c r="B152" s="61" t="s">
        <v>464</v>
      </c>
      <c r="C152" s="14" t="s">
        <v>351</v>
      </c>
      <c r="D152" s="14">
        <v>1980</v>
      </c>
      <c r="E152" s="13">
        <v>1900000</v>
      </c>
      <c r="F152" s="14">
        <v>2</v>
      </c>
      <c r="G152" s="14">
        <v>2.5</v>
      </c>
      <c r="H152" s="14" t="s">
        <v>340</v>
      </c>
      <c r="I152" s="249">
        <f t="shared" si="6"/>
        <v>1</v>
      </c>
      <c r="J152" s="143">
        <v>5000</v>
      </c>
      <c r="K152" s="249" t="s">
        <v>2379</v>
      </c>
      <c r="M152" s="249">
        <f t="shared" si="7"/>
        <v>35</v>
      </c>
      <c r="N152" s="249">
        <f t="shared" si="8"/>
        <v>34</v>
      </c>
      <c r="O152" s="14"/>
      <c r="P152" s="14"/>
      <c r="Q152" s="14" t="s">
        <v>328</v>
      </c>
      <c r="S152" s="14"/>
      <c r="T152" s="14"/>
      <c r="U152" s="14"/>
      <c r="V152" s="14"/>
      <c r="W152" s="14" t="s">
        <v>328</v>
      </c>
      <c r="X152" s="14"/>
      <c r="Z152" s="126">
        <v>0.5</v>
      </c>
      <c r="AA152" s="249">
        <v>6</v>
      </c>
      <c r="AB152" s="250">
        <v>30000</v>
      </c>
      <c r="AC152" s="250">
        <v>30000</v>
      </c>
      <c r="AD152" s="250">
        <v>15000</v>
      </c>
      <c r="AE152" s="250">
        <v>60000</v>
      </c>
      <c r="AF152" s="250">
        <v>15000</v>
      </c>
    </row>
    <row r="153" spans="2:32" x14ac:dyDescent="0.25">
      <c r="B153" s="61" t="s">
        <v>465</v>
      </c>
      <c r="C153" s="14" t="s">
        <v>337</v>
      </c>
      <c r="D153" s="14">
        <v>1994</v>
      </c>
      <c r="E153" s="13" t="s">
        <v>352</v>
      </c>
      <c r="F153" s="14">
        <v>2</v>
      </c>
      <c r="G153" s="14">
        <v>2.5</v>
      </c>
      <c r="H153" s="14" t="s">
        <v>340</v>
      </c>
      <c r="I153" s="249">
        <f t="shared" si="6"/>
        <v>1</v>
      </c>
      <c r="J153" s="143">
        <v>60000</v>
      </c>
      <c r="K153" s="249" t="s">
        <v>2378</v>
      </c>
      <c r="M153" s="249">
        <f t="shared" si="7"/>
        <v>21</v>
      </c>
      <c r="N153" s="249">
        <f t="shared" si="8"/>
        <v>20</v>
      </c>
      <c r="O153" s="14"/>
      <c r="P153" s="14"/>
      <c r="Q153" s="14" t="s">
        <v>328</v>
      </c>
      <c r="S153" s="14"/>
      <c r="T153" s="14" t="s">
        <v>328</v>
      </c>
      <c r="U153" s="14"/>
      <c r="V153" s="14"/>
      <c r="W153" s="14"/>
      <c r="X153" s="14"/>
      <c r="Z153" s="126">
        <v>0.5</v>
      </c>
      <c r="AA153" s="249">
        <v>2</v>
      </c>
      <c r="AB153" s="250">
        <v>25000</v>
      </c>
      <c r="AC153" s="250" t="s">
        <v>480</v>
      </c>
      <c r="AD153" s="250" t="s">
        <v>480</v>
      </c>
      <c r="AE153" s="250" t="s">
        <v>480</v>
      </c>
      <c r="AF153" s="250" t="s">
        <v>480</v>
      </c>
    </row>
    <row r="154" spans="2:32" x14ac:dyDescent="0.25">
      <c r="B154" s="61" t="s">
        <v>465</v>
      </c>
      <c r="C154" s="14" t="s">
        <v>337</v>
      </c>
      <c r="D154" s="14">
        <v>1993</v>
      </c>
      <c r="E154" s="13" t="s">
        <v>352</v>
      </c>
      <c r="F154" s="14">
        <v>2</v>
      </c>
      <c r="G154" s="14">
        <v>2.5</v>
      </c>
      <c r="H154" s="14" t="s">
        <v>340</v>
      </c>
      <c r="I154" s="249">
        <f t="shared" si="6"/>
        <v>1</v>
      </c>
      <c r="J154" s="143">
        <v>60000</v>
      </c>
      <c r="K154" s="249" t="s">
        <v>2378</v>
      </c>
      <c r="M154" s="249">
        <f t="shared" si="7"/>
        <v>22</v>
      </c>
      <c r="N154" s="249">
        <f t="shared" si="8"/>
        <v>21</v>
      </c>
      <c r="O154" s="14"/>
      <c r="P154" s="14"/>
      <c r="Q154" s="14" t="s">
        <v>328</v>
      </c>
      <c r="S154" s="14"/>
      <c r="T154" s="14" t="s">
        <v>328</v>
      </c>
      <c r="U154" s="14"/>
      <c r="V154" s="14"/>
      <c r="W154" s="14"/>
      <c r="X154" s="14"/>
      <c r="Z154" s="126">
        <v>0.5</v>
      </c>
      <c r="AA154" s="249">
        <v>2</v>
      </c>
      <c r="AB154" s="250">
        <v>25000</v>
      </c>
      <c r="AC154" s="250" t="s">
        <v>480</v>
      </c>
      <c r="AD154" s="250" t="s">
        <v>480</v>
      </c>
      <c r="AE154" s="250" t="s">
        <v>480</v>
      </c>
      <c r="AF154" s="250" t="s">
        <v>480</v>
      </c>
    </row>
    <row r="155" spans="2:32" x14ac:dyDescent="0.25">
      <c r="B155" s="61" t="s">
        <v>466</v>
      </c>
      <c r="C155" s="14" t="s">
        <v>348</v>
      </c>
      <c r="D155" s="14">
        <v>2005</v>
      </c>
      <c r="E155" s="13">
        <v>200000</v>
      </c>
      <c r="F155" s="14">
        <v>3.5</v>
      </c>
      <c r="G155" s="14">
        <v>4</v>
      </c>
      <c r="H155" s="14" t="s">
        <v>371</v>
      </c>
      <c r="I155" s="249">
        <f t="shared" si="6"/>
        <v>1</v>
      </c>
      <c r="J155" s="143">
        <v>15000</v>
      </c>
      <c r="K155" s="249" t="s">
        <v>2378</v>
      </c>
      <c r="M155" s="249">
        <f t="shared" si="7"/>
        <v>10</v>
      </c>
      <c r="N155" s="249">
        <f t="shared" si="8"/>
        <v>9</v>
      </c>
      <c r="O155" s="14" t="s">
        <v>328</v>
      </c>
      <c r="P155" s="14"/>
      <c r="Q155" s="14"/>
      <c r="S155" s="14"/>
      <c r="T155" s="14"/>
      <c r="U155" s="14" t="s">
        <v>328</v>
      </c>
      <c r="V155" s="14"/>
      <c r="W155" s="14"/>
      <c r="X155" s="14"/>
      <c r="Z155" s="126">
        <v>0.4</v>
      </c>
      <c r="AA155" s="249">
        <v>2</v>
      </c>
      <c r="AB155" s="250">
        <v>10000</v>
      </c>
      <c r="AC155" s="250">
        <v>40000</v>
      </c>
      <c r="AD155" s="250">
        <v>40000</v>
      </c>
      <c r="AE155" s="250">
        <v>100000</v>
      </c>
      <c r="AF155" s="250" t="s">
        <v>385</v>
      </c>
    </row>
    <row r="156" spans="2:32" x14ac:dyDescent="0.25">
      <c r="B156" s="61" t="s">
        <v>466</v>
      </c>
      <c r="C156" s="14" t="s">
        <v>348</v>
      </c>
      <c r="D156" s="14">
        <v>2008</v>
      </c>
      <c r="E156" s="13">
        <v>140000</v>
      </c>
      <c r="F156" s="14">
        <v>2.5</v>
      </c>
      <c r="G156" s="14">
        <v>3</v>
      </c>
      <c r="H156" s="14" t="s">
        <v>340</v>
      </c>
      <c r="I156" s="249">
        <f t="shared" si="6"/>
        <v>1</v>
      </c>
      <c r="J156" s="143">
        <v>20000</v>
      </c>
      <c r="K156" s="249" t="s">
        <v>2378</v>
      </c>
      <c r="M156" s="249">
        <f t="shared" si="7"/>
        <v>7</v>
      </c>
      <c r="N156" s="249">
        <f t="shared" si="8"/>
        <v>6</v>
      </c>
      <c r="O156" s="14" t="s">
        <v>328</v>
      </c>
      <c r="P156" s="14"/>
      <c r="Q156" s="14"/>
      <c r="S156" s="14"/>
      <c r="T156" s="14"/>
      <c r="U156" s="14" t="s">
        <v>328</v>
      </c>
      <c r="V156" s="14"/>
      <c r="W156" s="14"/>
      <c r="X156" s="14"/>
      <c r="Z156" s="126">
        <v>0.4</v>
      </c>
      <c r="AA156" s="249">
        <v>2</v>
      </c>
      <c r="AB156" s="250">
        <v>20000</v>
      </c>
      <c r="AC156" s="250">
        <v>60000</v>
      </c>
      <c r="AD156" s="250">
        <v>40000</v>
      </c>
      <c r="AE156" s="250">
        <v>100000</v>
      </c>
      <c r="AF156" s="250">
        <v>120000</v>
      </c>
    </row>
    <row r="157" spans="2:32" x14ac:dyDescent="0.25">
      <c r="B157" s="61" t="s">
        <v>467</v>
      </c>
      <c r="C157" s="14" t="s">
        <v>337</v>
      </c>
      <c r="D157" s="14">
        <v>2007</v>
      </c>
      <c r="E157" s="13">
        <v>1440000</v>
      </c>
      <c r="F157" s="14">
        <v>2</v>
      </c>
      <c r="G157" s="14">
        <v>2.1</v>
      </c>
      <c r="H157" s="14" t="s">
        <v>340</v>
      </c>
      <c r="I157" s="249">
        <f t="shared" si="6"/>
        <v>1</v>
      </c>
      <c r="J157" s="143">
        <v>20000</v>
      </c>
      <c r="K157" s="249" t="s">
        <v>2378</v>
      </c>
      <c r="M157" s="249">
        <f t="shared" si="7"/>
        <v>8</v>
      </c>
      <c r="N157" s="249">
        <f t="shared" si="8"/>
        <v>7</v>
      </c>
      <c r="O157" s="14"/>
      <c r="P157" s="14" t="s">
        <v>328</v>
      </c>
      <c r="Q157" s="14"/>
      <c r="S157" s="14"/>
      <c r="T157" s="14"/>
      <c r="U157" s="14"/>
      <c r="V157" s="14"/>
      <c r="W157" s="14" t="s">
        <v>328</v>
      </c>
      <c r="X157" s="14"/>
      <c r="Z157" s="126">
        <v>0.5</v>
      </c>
      <c r="AA157" s="249">
        <v>1</v>
      </c>
      <c r="AB157" s="250">
        <v>25000</v>
      </c>
      <c r="AC157" s="250">
        <v>40000</v>
      </c>
      <c r="AD157" s="250">
        <v>480000</v>
      </c>
      <c r="AE157" s="250">
        <v>480000</v>
      </c>
      <c r="AF157" s="250">
        <v>25000</v>
      </c>
    </row>
    <row r="158" spans="2:32" x14ac:dyDescent="0.25">
      <c r="B158" s="61" t="s">
        <v>468</v>
      </c>
      <c r="C158" s="14" t="s">
        <v>348</v>
      </c>
      <c r="D158" s="14">
        <v>2004</v>
      </c>
      <c r="E158" s="13">
        <v>600000</v>
      </c>
      <c r="F158" s="14">
        <v>2.2000000000000002</v>
      </c>
      <c r="G158" s="14">
        <v>2.6</v>
      </c>
      <c r="H158" s="14" t="s">
        <v>340</v>
      </c>
      <c r="I158" s="249">
        <f t="shared" si="6"/>
        <v>1</v>
      </c>
      <c r="J158" s="143">
        <v>20000</v>
      </c>
      <c r="K158" s="249" t="s">
        <v>2378</v>
      </c>
      <c r="M158" s="249">
        <f t="shared" si="7"/>
        <v>11</v>
      </c>
      <c r="N158" s="249">
        <f t="shared" si="8"/>
        <v>10</v>
      </c>
      <c r="O158" s="14"/>
      <c r="P158" s="14" t="s">
        <v>328</v>
      </c>
      <c r="Q158" s="14"/>
      <c r="S158" s="14"/>
      <c r="T158" s="14"/>
      <c r="U158" s="14"/>
      <c r="V158" s="14"/>
      <c r="W158" s="14" t="s">
        <v>328</v>
      </c>
      <c r="X158" s="14"/>
      <c r="Z158" s="126">
        <v>0.5</v>
      </c>
      <c r="AA158" s="249">
        <v>2</v>
      </c>
      <c r="AB158" s="250">
        <v>5000</v>
      </c>
      <c r="AC158" s="250">
        <v>5000</v>
      </c>
      <c r="AD158" s="250">
        <v>5000</v>
      </c>
      <c r="AE158" s="250">
        <v>120000</v>
      </c>
      <c r="AF158" s="250">
        <v>5000</v>
      </c>
    </row>
    <row r="159" spans="2:32" x14ac:dyDescent="0.25">
      <c r="B159" s="61" t="s">
        <v>468</v>
      </c>
      <c r="C159" s="14" t="s">
        <v>348</v>
      </c>
      <c r="D159" s="14">
        <v>2003</v>
      </c>
      <c r="E159" s="13">
        <v>800000</v>
      </c>
      <c r="F159" s="14">
        <v>2.2000000000000002</v>
      </c>
      <c r="G159" s="14">
        <v>2.6</v>
      </c>
      <c r="H159" s="14" t="s">
        <v>340</v>
      </c>
      <c r="I159" s="249">
        <f t="shared" si="6"/>
        <v>1</v>
      </c>
      <c r="J159" s="143">
        <v>20000</v>
      </c>
      <c r="K159" s="249" t="s">
        <v>2378</v>
      </c>
      <c r="M159" s="249">
        <f t="shared" si="7"/>
        <v>12</v>
      </c>
      <c r="N159" s="249">
        <f t="shared" si="8"/>
        <v>11</v>
      </c>
      <c r="O159" s="14"/>
      <c r="P159" s="14" t="s">
        <v>328</v>
      </c>
      <c r="Q159" s="14"/>
      <c r="S159" s="14"/>
      <c r="T159" s="14"/>
      <c r="U159" s="14"/>
      <c r="V159" s="14"/>
      <c r="W159" s="14" t="s">
        <v>328</v>
      </c>
      <c r="X159" s="14"/>
      <c r="Z159" s="126">
        <v>0.5</v>
      </c>
      <c r="AA159" s="249">
        <v>2</v>
      </c>
      <c r="AB159" s="250">
        <v>5000</v>
      </c>
      <c r="AC159" s="250">
        <v>5000</v>
      </c>
      <c r="AD159" s="250">
        <v>5000</v>
      </c>
      <c r="AE159" s="250">
        <v>120000</v>
      </c>
      <c r="AF159" s="250">
        <v>5000</v>
      </c>
    </row>
    <row r="160" spans="2:32" x14ac:dyDescent="0.25">
      <c r="B160" s="61" t="s">
        <v>469</v>
      </c>
      <c r="C160" s="14" t="s">
        <v>348</v>
      </c>
      <c r="D160" s="14">
        <v>2004</v>
      </c>
      <c r="E160" s="13">
        <v>90000</v>
      </c>
      <c r="F160" s="14">
        <v>2</v>
      </c>
      <c r="G160" s="14">
        <v>2.5</v>
      </c>
      <c r="H160" s="14" t="s">
        <v>340</v>
      </c>
      <c r="I160" s="249">
        <f t="shared" si="6"/>
        <v>1</v>
      </c>
      <c r="J160" s="143">
        <v>6000</v>
      </c>
      <c r="K160" s="249" t="s">
        <v>2378</v>
      </c>
      <c r="M160" s="249">
        <f t="shared" si="7"/>
        <v>11</v>
      </c>
      <c r="N160" s="249">
        <f t="shared" si="8"/>
        <v>10</v>
      </c>
      <c r="O160" s="14" t="s">
        <v>328</v>
      </c>
      <c r="P160" s="14"/>
      <c r="Q160" s="14"/>
      <c r="S160" s="14" t="s">
        <v>328</v>
      </c>
      <c r="T160" s="14"/>
      <c r="U160" s="14"/>
      <c r="V160" s="14"/>
      <c r="W160" s="14"/>
      <c r="X160" s="14"/>
      <c r="Z160" s="126">
        <v>0.5</v>
      </c>
      <c r="AA160" s="249">
        <v>4</v>
      </c>
      <c r="AB160" s="250">
        <v>10000</v>
      </c>
      <c r="AC160" s="250">
        <v>10000</v>
      </c>
      <c r="AD160" s="250">
        <v>5000</v>
      </c>
      <c r="AE160" s="250">
        <v>400000</v>
      </c>
      <c r="AF160" s="250">
        <v>10000</v>
      </c>
    </row>
    <row r="161" spans="2:32" x14ac:dyDescent="0.25">
      <c r="B161" s="61" t="s">
        <v>469</v>
      </c>
      <c r="C161" s="14" t="s">
        <v>348</v>
      </c>
      <c r="D161" s="14">
        <v>2004</v>
      </c>
      <c r="E161" s="13">
        <v>90000</v>
      </c>
      <c r="F161" s="14">
        <v>2</v>
      </c>
      <c r="G161" s="14">
        <v>2.5</v>
      </c>
      <c r="H161" s="14" t="s">
        <v>340</v>
      </c>
      <c r="I161" s="249">
        <f t="shared" si="6"/>
        <v>1</v>
      </c>
      <c r="J161" s="143">
        <v>6000</v>
      </c>
      <c r="K161" s="249" t="s">
        <v>2378</v>
      </c>
      <c r="M161" s="249">
        <f t="shared" si="7"/>
        <v>11</v>
      </c>
      <c r="N161" s="249">
        <f t="shared" si="8"/>
        <v>10</v>
      </c>
      <c r="O161" s="14" t="s">
        <v>328</v>
      </c>
      <c r="P161" s="14"/>
      <c r="Q161" s="14"/>
      <c r="S161" s="14"/>
      <c r="T161" s="14" t="s">
        <v>328</v>
      </c>
      <c r="U161" s="14"/>
      <c r="V161" s="14"/>
      <c r="W161" s="14"/>
      <c r="X161" s="14"/>
      <c r="Z161" s="126">
        <v>0.5</v>
      </c>
      <c r="AA161" s="249">
        <v>4</v>
      </c>
      <c r="AB161" s="250">
        <v>10000</v>
      </c>
      <c r="AC161" s="250">
        <v>10000</v>
      </c>
      <c r="AD161" s="250">
        <v>5000</v>
      </c>
      <c r="AE161" s="250">
        <v>400000</v>
      </c>
      <c r="AF161" s="250">
        <v>10000</v>
      </c>
    </row>
    <row r="162" spans="2:32" x14ac:dyDescent="0.25">
      <c r="B162" s="61" t="s">
        <v>469</v>
      </c>
      <c r="C162" s="14" t="s">
        <v>348</v>
      </c>
      <c r="D162" s="14">
        <v>2003</v>
      </c>
      <c r="E162" s="13">
        <v>100000</v>
      </c>
      <c r="F162" s="14">
        <v>2</v>
      </c>
      <c r="G162" s="14">
        <v>2.5</v>
      </c>
      <c r="H162" s="14" t="s">
        <v>340</v>
      </c>
      <c r="I162" s="249">
        <f t="shared" si="6"/>
        <v>1</v>
      </c>
      <c r="J162" s="143">
        <v>9000</v>
      </c>
      <c r="K162" s="249" t="s">
        <v>2378</v>
      </c>
      <c r="M162" s="249">
        <f t="shared" si="7"/>
        <v>12</v>
      </c>
      <c r="N162" s="249">
        <f t="shared" si="8"/>
        <v>11</v>
      </c>
      <c r="O162" s="14" t="s">
        <v>328</v>
      </c>
      <c r="P162" s="14"/>
      <c r="Q162" s="14"/>
      <c r="S162" s="14"/>
      <c r="T162" s="14" t="s">
        <v>328</v>
      </c>
      <c r="U162" s="14"/>
      <c r="V162" s="14"/>
      <c r="W162" s="14"/>
      <c r="X162" s="14"/>
      <c r="Z162" s="126">
        <v>0.5</v>
      </c>
      <c r="AA162" s="249">
        <v>4</v>
      </c>
      <c r="AB162" s="250">
        <v>10000</v>
      </c>
      <c r="AC162" s="250">
        <v>10000</v>
      </c>
      <c r="AD162" s="250">
        <v>5000</v>
      </c>
      <c r="AE162" s="250">
        <v>400000</v>
      </c>
      <c r="AF162" s="250">
        <v>10000</v>
      </c>
    </row>
    <row r="163" spans="2:32" x14ac:dyDescent="0.25">
      <c r="B163" s="61" t="s">
        <v>469</v>
      </c>
      <c r="C163" s="14" t="s">
        <v>348</v>
      </c>
      <c r="D163" s="14">
        <v>2003</v>
      </c>
      <c r="E163" s="13">
        <v>100000</v>
      </c>
      <c r="F163" s="14">
        <v>2</v>
      </c>
      <c r="G163" s="14">
        <v>2.5</v>
      </c>
      <c r="H163" s="14" t="s">
        <v>340</v>
      </c>
      <c r="I163" s="249">
        <f t="shared" si="6"/>
        <v>1</v>
      </c>
      <c r="J163" s="143">
        <v>6000</v>
      </c>
      <c r="K163" s="249" t="s">
        <v>2378</v>
      </c>
      <c r="M163" s="249">
        <f t="shared" si="7"/>
        <v>12</v>
      </c>
      <c r="N163" s="249">
        <f t="shared" si="8"/>
        <v>11</v>
      </c>
      <c r="O163" s="14" t="s">
        <v>328</v>
      </c>
      <c r="P163" s="14"/>
      <c r="Q163" s="14"/>
      <c r="S163" s="14"/>
      <c r="T163" s="14" t="s">
        <v>328</v>
      </c>
      <c r="U163" s="14"/>
      <c r="V163" s="14"/>
      <c r="W163" s="14"/>
      <c r="X163" s="14"/>
      <c r="Z163" s="126">
        <v>0.5</v>
      </c>
      <c r="AA163" s="249">
        <v>4</v>
      </c>
      <c r="AB163" s="250">
        <v>10000</v>
      </c>
      <c r="AC163" s="250">
        <v>10000</v>
      </c>
      <c r="AD163" s="250">
        <v>5000</v>
      </c>
      <c r="AE163" s="250">
        <v>400000</v>
      </c>
      <c r="AF163" s="250">
        <v>10000</v>
      </c>
    </row>
    <row r="164" spans="2:32" x14ac:dyDescent="0.25">
      <c r="B164" s="61" t="s">
        <v>470</v>
      </c>
      <c r="C164" s="14" t="s">
        <v>348</v>
      </c>
      <c r="D164" s="14">
        <v>2002</v>
      </c>
      <c r="E164" s="13">
        <v>800000</v>
      </c>
      <c r="F164" s="14">
        <v>2.5</v>
      </c>
      <c r="G164" s="14">
        <v>3.8</v>
      </c>
      <c r="H164" s="14" t="s">
        <v>340</v>
      </c>
      <c r="I164" s="249">
        <f t="shared" si="6"/>
        <v>1</v>
      </c>
      <c r="J164" s="143">
        <v>30000</v>
      </c>
      <c r="K164" s="249" t="s">
        <v>2378</v>
      </c>
      <c r="M164" s="249">
        <f t="shared" si="7"/>
        <v>13</v>
      </c>
      <c r="N164" s="249">
        <f t="shared" si="8"/>
        <v>12</v>
      </c>
      <c r="O164" s="14"/>
      <c r="P164" s="14"/>
      <c r="Q164" s="14" t="s">
        <v>328</v>
      </c>
      <c r="S164" s="14"/>
      <c r="T164" s="14"/>
      <c r="U164" s="14"/>
      <c r="V164" s="14"/>
      <c r="W164" s="14"/>
      <c r="X164" s="14" t="s">
        <v>328</v>
      </c>
      <c r="Z164" s="126">
        <v>0.5</v>
      </c>
      <c r="AA164" s="249">
        <v>2</v>
      </c>
      <c r="AB164" s="250">
        <v>10000</v>
      </c>
      <c r="AC164" s="250" t="s">
        <v>480</v>
      </c>
      <c r="AD164" s="250" t="s">
        <v>480</v>
      </c>
      <c r="AE164" s="250">
        <v>720000</v>
      </c>
      <c r="AF164" s="250">
        <v>10000</v>
      </c>
    </row>
    <row r="165" spans="2:32" x14ac:dyDescent="0.25">
      <c r="B165" s="61" t="s">
        <v>470</v>
      </c>
      <c r="C165" s="14" t="s">
        <v>351</v>
      </c>
      <c r="D165" s="14">
        <v>1992</v>
      </c>
      <c r="E165" s="13">
        <v>900000</v>
      </c>
      <c r="F165" s="14">
        <v>2.5</v>
      </c>
      <c r="G165" s="14">
        <v>3.4</v>
      </c>
      <c r="H165" s="14" t="s">
        <v>340</v>
      </c>
      <c r="I165" s="249">
        <f t="shared" si="6"/>
        <v>1</v>
      </c>
      <c r="J165" s="143">
        <v>30000</v>
      </c>
      <c r="K165" s="249" t="s">
        <v>2378</v>
      </c>
      <c r="M165" s="249">
        <f t="shared" si="7"/>
        <v>23</v>
      </c>
      <c r="N165" s="249">
        <f t="shared" si="8"/>
        <v>22</v>
      </c>
      <c r="O165" s="14"/>
      <c r="P165" s="14"/>
      <c r="Q165" s="14" t="s">
        <v>328</v>
      </c>
      <c r="S165" s="14"/>
      <c r="T165" s="14"/>
      <c r="U165" s="14"/>
      <c r="V165" s="14"/>
      <c r="W165" s="14"/>
      <c r="X165" s="14" t="s">
        <v>328</v>
      </c>
      <c r="Z165" s="126">
        <v>0.5</v>
      </c>
      <c r="AA165" s="249">
        <v>2</v>
      </c>
      <c r="AB165" s="250">
        <v>10000</v>
      </c>
      <c r="AC165" s="250" t="s">
        <v>480</v>
      </c>
      <c r="AD165" s="250" t="s">
        <v>480</v>
      </c>
      <c r="AE165" s="250">
        <v>720000</v>
      </c>
      <c r="AF165" s="250">
        <v>10000</v>
      </c>
    </row>
    <row r="166" spans="2:32" x14ac:dyDescent="0.25">
      <c r="B166" s="61" t="s">
        <v>458</v>
      </c>
      <c r="C166" s="14" t="s">
        <v>337</v>
      </c>
      <c r="D166" s="14">
        <v>1994</v>
      </c>
      <c r="E166" s="13">
        <v>1000000</v>
      </c>
      <c r="F166" s="14">
        <v>2.5</v>
      </c>
      <c r="G166" s="14">
        <v>2.5</v>
      </c>
      <c r="H166" s="14" t="s">
        <v>340</v>
      </c>
      <c r="I166" s="249">
        <f t="shared" si="6"/>
        <v>1</v>
      </c>
      <c r="J166" s="143">
        <v>15000</v>
      </c>
      <c r="K166" s="249" t="s">
        <v>2378</v>
      </c>
      <c r="M166" s="249">
        <f t="shared" si="7"/>
        <v>21</v>
      </c>
      <c r="N166" s="249">
        <f t="shared" si="8"/>
        <v>20</v>
      </c>
      <c r="O166" s="14" t="s">
        <v>328</v>
      </c>
      <c r="P166" s="14"/>
      <c r="Q166" s="14"/>
      <c r="S166" s="14"/>
      <c r="T166" s="14" t="s">
        <v>328</v>
      </c>
      <c r="U166" s="14"/>
      <c r="V166" s="14"/>
      <c r="W166" s="14"/>
      <c r="X166" s="14"/>
      <c r="Z166" s="126">
        <v>0.2</v>
      </c>
      <c r="AA166" s="249">
        <v>4</v>
      </c>
      <c r="AB166" s="250">
        <v>30000</v>
      </c>
      <c r="AC166" s="250">
        <v>90000</v>
      </c>
      <c r="AD166" s="250">
        <v>90000</v>
      </c>
      <c r="AE166" s="250">
        <v>180000</v>
      </c>
      <c r="AF166" s="250">
        <v>90000</v>
      </c>
    </row>
    <row r="167" spans="2:32" x14ac:dyDescent="0.25">
      <c r="B167" s="61" t="s">
        <v>458</v>
      </c>
      <c r="C167" s="14" t="s">
        <v>337</v>
      </c>
      <c r="D167" s="14">
        <v>1993</v>
      </c>
      <c r="E167" s="13">
        <v>1000000</v>
      </c>
      <c r="F167" s="14">
        <v>2.5</v>
      </c>
      <c r="G167" s="14">
        <v>2.5</v>
      </c>
      <c r="H167" s="14" t="s">
        <v>340</v>
      </c>
      <c r="I167" s="249">
        <f t="shared" si="6"/>
        <v>1</v>
      </c>
      <c r="J167" s="143">
        <v>15000</v>
      </c>
      <c r="K167" s="249" t="s">
        <v>2378</v>
      </c>
      <c r="M167" s="249">
        <f t="shared" si="7"/>
        <v>22</v>
      </c>
      <c r="N167" s="249">
        <f t="shared" si="8"/>
        <v>21</v>
      </c>
      <c r="O167" s="14" t="s">
        <v>328</v>
      </c>
      <c r="P167" s="14"/>
      <c r="Q167" s="14"/>
      <c r="S167" s="14"/>
      <c r="T167" s="14" t="s">
        <v>328</v>
      </c>
      <c r="U167" s="14"/>
      <c r="V167" s="14"/>
      <c r="W167" s="14"/>
      <c r="X167" s="14"/>
      <c r="Z167" s="126">
        <v>0.2</v>
      </c>
      <c r="AA167" s="249">
        <v>4</v>
      </c>
      <c r="AB167" s="250">
        <v>30000</v>
      </c>
      <c r="AC167" s="250">
        <v>90000</v>
      </c>
      <c r="AD167" s="250">
        <v>90000</v>
      </c>
      <c r="AE167" s="250">
        <v>180000</v>
      </c>
      <c r="AF167" s="250">
        <v>90000</v>
      </c>
    </row>
    <row r="168" spans="2:32" x14ac:dyDescent="0.25">
      <c r="B168" s="61" t="s">
        <v>458</v>
      </c>
      <c r="C168" s="14" t="s">
        <v>337</v>
      </c>
      <c r="D168" s="14">
        <v>2005</v>
      </c>
      <c r="E168" s="13">
        <v>1000000</v>
      </c>
      <c r="F168" s="14">
        <v>2.5</v>
      </c>
      <c r="G168" s="14">
        <v>2.5</v>
      </c>
      <c r="H168" s="14" t="s">
        <v>340</v>
      </c>
      <c r="I168" s="249">
        <f t="shared" si="6"/>
        <v>1</v>
      </c>
      <c r="J168" s="143">
        <v>15000</v>
      </c>
      <c r="K168" s="249" t="s">
        <v>2378</v>
      </c>
      <c r="M168" s="249">
        <f t="shared" si="7"/>
        <v>10</v>
      </c>
      <c r="N168" s="249">
        <f t="shared" si="8"/>
        <v>9</v>
      </c>
      <c r="O168" s="14"/>
      <c r="P168" s="14"/>
      <c r="Q168" s="14" t="s">
        <v>328</v>
      </c>
      <c r="S168" s="14"/>
      <c r="T168" s="14" t="s">
        <v>328</v>
      </c>
      <c r="U168" s="14"/>
      <c r="V168" s="14"/>
      <c r="W168" s="14"/>
      <c r="X168" s="14"/>
      <c r="Z168" s="126">
        <v>0.2</v>
      </c>
      <c r="AA168" s="249">
        <v>4</v>
      </c>
      <c r="AB168" s="250">
        <v>30000</v>
      </c>
      <c r="AC168" s="250">
        <v>90000</v>
      </c>
      <c r="AD168" s="250">
        <v>90000</v>
      </c>
      <c r="AE168" s="250">
        <v>180000</v>
      </c>
      <c r="AF168" s="250">
        <v>90000</v>
      </c>
    </row>
    <row r="169" spans="2:32" x14ac:dyDescent="0.25">
      <c r="B169" s="61" t="s">
        <v>458</v>
      </c>
      <c r="C169" s="14" t="s">
        <v>337</v>
      </c>
      <c r="D169" s="14">
        <v>2005</v>
      </c>
      <c r="E169" s="13">
        <v>1000000</v>
      </c>
      <c r="F169" s="14">
        <v>2.5</v>
      </c>
      <c r="G169" s="14">
        <v>2.5</v>
      </c>
      <c r="H169" s="14" t="s">
        <v>340</v>
      </c>
      <c r="I169" s="249">
        <f t="shared" si="6"/>
        <v>1</v>
      </c>
      <c r="J169" s="143">
        <v>15000</v>
      </c>
      <c r="K169" s="249" t="s">
        <v>2378</v>
      </c>
      <c r="M169" s="249">
        <f t="shared" si="7"/>
        <v>10</v>
      </c>
      <c r="N169" s="249">
        <f t="shared" si="8"/>
        <v>9</v>
      </c>
      <c r="O169" s="14"/>
      <c r="P169" s="14"/>
      <c r="Q169" s="14" t="s">
        <v>328</v>
      </c>
      <c r="S169" s="14"/>
      <c r="T169" s="14" t="s">
        <v>328</v>
      </c>
      <c r="U169" s="14"/>
      <c r="V169" s="14"/>
      <c r="W169" s="14"/>
      <c r="X169" s="14"/>
      <c r="Z169" s="126">
        <v>0.2</v>
      </c>
      <c r="AA169" s="249">
        <v>4</v>
      </c>
      <c r="AB169" s="250">
        <v>30000</v>
      </c>
      <c r="AC169" s="250">
        <v>90000</v>
      </c>
      <c r="AD169" s="250">
        <v>90000</v>
      </c>
      <c r="AE169" s="250">
        <v>180000</v>
      </c>
      <c r="AF169" s="250">
        <v>90000</v>
      </c>
    </row>
    <row r="170" spans="2:32" x14ac:dyDescent="0.25">
      <c r="B170" s="61" t="s">
        <v>471</v>
      </c>
      <c r="C170" s="14" t="s">
        <v>348</v>
      </c>
      <c r="D170" s="14">
        <v>2008</v>
      </c>
      <c r="E170" s="13">
        <v>800000</v>
      </c>
      <c r="F170" s="14">
        <v>2</v>
      </c>
      <c r="G170" s="14">
        <v>2.5</v>
      </c>
      <c r="H170" s="14" t="s">
        <v>340</v>
      </c>
      <c r="I170" s="249">
        <f t="shared" si="6"/>
        <v>1</v>
      </c>
      <c r="J170" s="143">
        <v>1500</v>
      </c>
      <c r="K170" s="249" t="s">
        <v>2378</v>
      </c>
      <c r="M170" s="249">
        <f t="shared" si="7"/>
        <v>7</v>
      </c>
      <c r="N170" s="249">
        <f t="shared" si="8"/>
        <v>6</v>
      </c>
      <c r="O170" s="14" t="s">
        <v>328</v>
      </c>
      <c r="P170" s="14"/>
      <c r="Q170" s="14"/>
      <c r="S170" s="14"/>
      <c r="T170" s="14" t="s">
        <v>328</v>
      </c>
      <c r="U170" s="14"/>
      <c r="V170" s="14"/>
      <c r="W170" s="14"/>
      <c r="X170" s="14"/>
      <c r="Z170" s="126">
        <v>0.5</v>
      </c>
      <c r="AA170" s="249">
        <v>1</v>
      </c>
      <c r="AB170" s="250">
        <v>15000</v>
      </c>
      <c r="AC170" s="250">
        <v>15000</v>
      </c>
      <c r="AD170" s="250">
        <v>9000</v>
      </c>
      <c r="AE170" s="250">
        <v>90000</v>
      </c>
      <c r="AF170" s="250">
        <v>15000</v>
      </c>
    </row>
    <row r="171" spans="2:32" x14ac:dyDescent="0.25">
      <c r="B171" s="61" t="s">
        <v>459</v>
      </c>
      <c r="C171" s="14" t="s">
        <v>351</v>
      </c>
      <c r="D171" s="14">
        <v>1998</v>
      </c>
      <c r="E171" s="13">
        <v>100000</v>
      </c>
      <c r="F171" s="14">
        <v>8</v>
      </c>
      <c r="G171" s="14">
        <v>10</v>
      </c>
      <c r="H171" s="14" t="s">
        <v>340</v>
      </c>
      <c r="I171" s="249">
        <f t="shared" si="6"/>
        <v>1</v>
      </c>
      <c r="J171" s="143">
        <v>3000</v>
      </c>
      <c r="K171" s="249" t="s">
        <v>2378</v>
      </c>
      <c r="M171" s="249">
        <f t="shared" si="7"/>
        <v>17</v>
      </c>
      <c r="N171" s="249">
        <f t="shared" si="8"/>
        <v>16</v>
      </c>
      <c r="O171" s="14"/>
      <c r="P171" s="14"/>
      <c r="Q171" s="14" t="s">
        <v>328</v>
      </c>
      <c r="S171" s="14"/>
      <c r="T171" s="14" t="s">
        <v>328</v>
      </c>
      <c r="U171" s="14"/>
      <c r="V171" s="14"/>
      <c r="W171" s="14"/>
      <c r="X171" s="14"/>
      <c r="Z171" s="126">
        <v>0.5</v>
      </c>
      <c r="AA171" s="249">
        <v>1</v>
      </c>
      <c r="AB171" s="250">
        <v>5000</v>
      </c>
      <c r="AC171" s="250">
        <v>5000</v>
      </c>
      <c r="AD171" s="250">
        <v>12000</v>
      </c>
      <c r="AE171" s="250">
        <v>50000</v>
      </c>
      <c r="AF171" s="250">
        <v>5000</v>
      </c>
    </row>
    <row r="172" spans="2:32" x14ac:dyDescent="0.25">
      <c r="B172" s="61" t="s">
        <v>460</v>
      </c>
      <c r="C172" s="14" t="s">
        <v>337</v>
      </c>
      <c r="D172" s="14">
        <v>1985</v>
      </c>
      <c r="E172" s="13">
        <v>2000000</v>
      </c>
      <c r="F172" s="14">
        <v>1.8</v>
      </c>
      <c r="G172" s="14">
        <v>2</v>
      </c>
      <c r="H172" s="14" t="s">
        <v>340</v>
      </c>
      <c r="I172" s="249">
        <f t="shared" si="6"/>
        <v>1</v>
      </c>
      <c r="J172" s="143">
        <v>6000</v>
      </c>
      <c r="K172" s="249" t="s">
        <v>2379</v>
      </c>
      <c r="M172" s="249">
        <f t="shared" si="7"/>
        <v>30</v>
      </c>
      <c r="N172" s="249">
        <f t="shared" si="8"/>
        <v>29</v>
      </c>
      <c r="O172" s="14"/>
      <c r="P172" s="14"/>
      <c r="Q172" s="14" t="s">
        <v>328</v>
      </c>
      <c r="S172" s="14"/>
      <c r="T172" s="14" t="s">
        <v>328</v>
      </c>
      <c r="U172" s="14"/>
      <c r="V172" s="14"/>
      <c r="W172" s="14"/>
      <c r="X172" s="14"/>
      <c r="Z172" s="126">
        <v>0.5</v>
      </c>
      <c r="AA172" s="249">
        <v>6</v>
      </c>
      <c r="AB172" s="250">
        <v>24000</v>
      </c>
      <c r="AC172" s="250">
        <v>10000</v>
      </c>
      <c r="AD172" s="250">
        <v>5000</v>
      </c>
      <c r="AE172" s="250">
        <v>72000</v>
      </c>
      <c r="AF172" s="250">
        <v>18000</v>
      </c>
    </row>
    <row r="173" spans="2:32" x14ac:dyDescent="0.25">
      <c r="B173" s="61" t="s">
        <v>460</v>
      </c>
      <c r="C173" s="14" t="s">
        <v>337</v>
      </c>
      <c r="D173" s="14">
        <v>1985</v>
      </c>
      <c r="E173" s="13">
        <v>2000000</v>
      </c>
      <c r="F173" s="14">
        <v>1.8</v>
      </c>
      <c r="G173" s="14">
        <v>2</v>
      </c>
      <c r="H173" s="14" t="s">
        <v>340</v>
      </c>
      <c r="I173" s="249">
        <f t="shared" si="6"/>
        <v>1</v>
      </c>
      <c r="J173" s="143">
        <v>6000</v>
      </c>
      <c r="K173" s="249" t="s">
        <v>2379</v>
      </c>
      <c r="M173" s="249">
        <f t="shared" si="7"/>
        <v>30</v>
      </c>
      <c r="N173" s="249">
        <f t="shared" si="8"/>
        <v>29</v>
      </c>
      <c r="O173" s="14"/>
      <c r="P173" s="14"/>
      <c r="Q173" s="14" t="s">
        <v>328</v>
      </c>
      <c r="S173" s="14"/>
      <c r="T173" s="14" t="s">
        <v>328</v>
      </c>
      <c r="U173" s="14"/>
      <c r="V173" s="14"/>
      <c r="W173" s="14"/>
      <c r="X173" s="14"/>
      <c r="Z173" s="126">
        <v>0.5</v>
      </c>
      <c r="AA173" s="249">
        <v>6</v>
      </c>
      <c r="AB173" s="250">
        <v>24000</v>
      </c>
      <c r="AC173" s="250">
        <v>10000</v>
      </c>
      <c r="AD173" s="250">
        <v>5000</v>
      </c>
      <c r="AE173" s="250">
        <v>72000</v>
      </c>
      <c r="AF173" s="250">
        <v>18000</v>
      </c>
    </row>
    <row r="174" spans="2:32" x14ac:dyDescent="0.25">
      <c r="B174" s="61" t="s">
        <v>460</v>
      </c>
      <c r="C174" s="14" t="s">
        <v>337</v>
      </c>
      <c r="D174" s="14">
        <v>1985</v>
      </c>
      <c r="E174" s="13">
        <v>2000000</v>
      </c>
      <c r="F174" s="14">
        <v>1.8</v>
      </c>
      <c r="G174" s="14">
        <v>2</v>
      </c>
      <c r="H174" s="14" t="s">
        <v>340</v>
      </c>
      <c r="I174" s="249">
        <f t="shared" si="6"/>
        <v>1</v>
      </c>
      <c r="J174" s="143">
        <v>6000</v>
      </c>
      <c r="K174" s="249" t="s">
        <v>2379</v>
      </c>
      <c r="M174" s="249">
        <f t="shared" si="7"/>
        <v>30</v>
      </c>
      <c r="N174" s="249">
        <f t="shared" si="8"/>
        <v>29</v>
      </c>
      <c r="O174" s="14"/>
      <c r="P174" s="14"/>
      <c r="Q174" s="14" t="s">
        <v>328</v>
      </c>
      <c r="S174" s="14"/>
      <c r="T174" s="14" t="s">
        <v>328</v>
      </c>
      <c r="U174" s="14"/>
      <c r="V174" s="14"/>
      <c r="W174" s="14"/>
      <c r="X174" s="14"/>
      <c r="Z174" s="126">
        <v>0.5</v>
      </c>
      <c r="AA174" s="249">
        <v>6</v>
      </c>
      <c r="AB174" s="250">
        <v>24000</v>
      </c>
      <c r="AC174" s="250">
        <v>10000</v>
      </c>
      <c r="AD174" s="250">
        <v>5000</v>
      </c>
      <c r="AE174" s="250">
        <v>72000</v>
      </c>
      <c r="AF174" s="250">
        <v>18000</v>
      </c>
    </row>
    <row r="175" spans="2:32" x14ac:dyDescent="0.25">
      <c r="B175" s="61" t="s">
        <v>460</v>
      </c>
      <c r="C175" s="14" t="s">
        <v>337</v>
      </c>
      <c r="D175" s="14">
        <v>1985</v>
      </c>
      <c r="E175" s="13">
        <v>2000000</v>
      </c>
      <c r="F175" s="14">
        <v>1.8</v>
      </c>
      <c r="G175" s="14">
        <v>2</v>
      </c>
      <c r="H175" s="14" t="s">
        <v>340</v>
      </c>
      <c r="I175" s="249">
        <f t="shared" si="6"/>
        <v>1</v>
      </c>
      <c r="J175" s="143">
        <v>6000</v>
      </c>
      <c r="K175" s="249" t="s">
        <v>2379</v>
      </c>
      <c r="M175" s="249">
        <f t="shared" si="7"/>
        <v>30</v>
      </c>
      <c r="N175" s="249">
        <f t="shared" si="8"/>
        <v>29</v>
      </c>
      <c r="O175" s="14"/>
      <c r="P175" s="14"/>
      <c r="Q175" s="14" t="s">
        <v>328</v>
      </c>
      <c r="S175" s="14"/>
      <c r="T175" s="14" t="s">
        <v>328</v>
      </c>
      <c r="U175" s="14"/>
      <c r="V175" s="14"/>
      <c r="W175" s="14"/>
      <c r="X175" s="14"/>
      <c r="Z175" s="126">
        <v>0.5</v>
      </c>
      <c r="AA175" s="249">
        <v>6</v>
      </c>
      <c r="AB175" s="250">
        <v>24000</v>
      </c>
      <c r="AC175" s="250">
        <v>10000</v>
      </c>
      <c r="AD175" s="250">
        <v>5000</v>
      </c>
      <c r="AE175" s="250">
        <v>72000</v>
      </c>
      <c r="AF175" s="250">
        <v>18000</v>
      </c>
    </row>
    <row r="176" spans="2:32" x14ac:dyDescent="0.25">
      <c r="B176" s="61" t="s">
        <v>460</v>
      </c>
      <c r="C176" s="14" t="s">
        <v>337</v>
      </c>
      <c r="D176" s="14">
        <v>1985</v>
      </c>
      <c r="E176" s="13">
        <v>2000000</v>
      </c>
      <c r="F176" s="14">
        <v>1.8</v>
      </c>
      <c r="G176" s="14">
        <v>2</v>
      </c>
      <c r="H176" s="14" t="s">
        <v>340</v>
      </c>
      <c r="I176" s="249">
        <f t="shared" si="6"/>
        <v>1</v>
      </c>
      <c r="J176" s="143">
        <v>6000</v>
      </c>
      <c r="K176" s="249" t="s">
        <v>2379</v>
      </c>
      <c r="M176" s="249">
        <f t="shared" si="7"/>
        <v>30</v>
      </c>
      <c r="N176" s="249">
        <f t="shared" si="8"/>
        <v>29</v>
      </c>
      <c r="O176" s="14"/>
      <c r="P176" s="14"/>
      <c r="Q176" s="14" t="s">
        <v>328</v>
      </c>
      <c r="S176" s="14"/>
      <c r="T176" s="14" t="s">
        <v>328</v>
      </c>
      <c r="U176" s="14"/>
      <c r="V176" s="14"/>
      <c r="W176" s="14"/>
      <c r="X176" s="14"/>
      <c r="Z176" s="126">
        <v>0.5</v>
      </c>
      <c r="AA176" s="249">
        <v>6</v>
      </c>
      <c r="AB176" s="250">
        <v>24000</v>
      </c>
      <c r="AC176" s="250">
        <v>10000</v>
      </c>
      <c r="AD176" s="250">
        <v>5000</v>
      </c>
      <c r="AE176" s="250">
        <v>72000</v>
      </c>
      <c r="AF176" s="250">
        <v>18000</v>
      </c>
    </row>
    <row r="177" spans="2:32" x14ac:dyDescent="0.25">
      <c r="B177" s="61" t="s">
        <v>460</v>
      </c>
      <c r="C177" s="14" t="s">
        <v>337</v>
      </c>
      <c r="D177" s="14">
        <v>2000</v>
      </c>
      <c r="E177" s="13">
        <v>500000</v>
      </c>
      <c r="F177" s="14">
        <v>1.8</v>
      </c>
      <c r="G177" s="14">
        <v>2</v>
      </c>
      <c r="H177" s="14" t="s">
        <v>340</v>
      </c>
      <c r="I177" s="249">
        <f t="shared" si="6"/>
        <v>1</v>
      </c>
      <c r="J177" s="143">
        <v>3200</v>
      </c>
      <c r="K177" s="249" t="s">
        <v>2379</v>
      </c>
      <c r="M177" s="249">
        <f t="shared" si="7"/>
        <v>15</v>
      </c>
      <c r="N177" s="249">
        <f t="shared" si="8"/>
        <v>14</v>
      </c>
      <c r="O177" s="14"/>
      <c r="P177" s="14"/>
      <c r="Q177" s="14" t="s">
        <v>328</v>
      </c>
      <c r="S177" s="14"/>
      <c r="T177" s="14" t="s">
        <v>328</v>
      </c>
      <c r="U177" s="14"/>
      <c r="V177" s="14"/>
      <c r="W177" s="14"/>
      <c r="X177" s="14"/>
      <c r="Z177" s="126">
        <v>0.5</v>
      </c>
      <c r="AA177" s="249">
        <v>6</v>
      </c>
      <c r="AB177" s="250">
        <v>24000</v>
      </c>
      <c r="AC177" s="250">
        <v>10000</v>
      </c>
      <c r="AD177" s="250">
        <v>5000</v>
      </c>
      <c r="AE177" s="250">
        <v>38400</v>
      </c>
      <c r="AF177" s="250">
        <v>9600</v>
      </c>
    </row>
    <row r="178" spans="2:32" x14ac:dyDescent="0.25">
      <c r="B178" s="61" t="s">
        <v>461</v>
      </c>
      <c r="C178" s="14" t="s">
        <v>348</v>
      </c>
      <c r="D178" s="14">
        <v>1992</v>
      </c>
      <c r="E178" s="13">
        <v>500000</v>
      </c>
      <c r="F178" s="14">
        <v>2.8</v>
      </c>
      <c r="G178" s="14">
        <v>3.1</v>
      </c>
      <c r="H178" s="14" t="s">
        <v>340</v>
      </c>
      <c r="I178" s="249">
        <f t="shared" si="6"/>
        <v>1</v>
      </c>
      <c r="J178" s="143">
        <v>2000</v>
      </c>
      <c r="K178" s="249" t="s">
        <v>2378</v>
      </c>
      <c r="M178" s="249">
        <f t="shared" si="7"/>
        <v>23</v>
      </c>
      <c r="N178" s="249">
        <f t="shared" si="8"/>
        <v>22</v>
      </c>
      <c r="O178" s="14"/>
      <c r="P178" s="14"/>
      <c r="Q178" s="14" t="s">
        <v>328</v>
      </c>
      <c r="S178" s="14"/>
      <c r="T178" s="14" t="s">
        <v>328</v>
      </c>
      <c r="U178" s="14"/>
      <c r="V178" s="14"/>
      <c r="W178" s="14"/>
      <c r="X178" s="14"/>
      <c r="Z178" s="126">
        <v>0.5</v>
      </c>
      <c r="AA178" s="249">
        <v>2</v>
      </c>
      <c r="AB178" s="250">
        <v>30000</v>
      </c>
      <c r="AC178" s="250">
        <v>50000</v>
      </c>
      <c r="AD178" s="250">
        <v>20000</v>
      </c>
      <c r="AE178" s="250">
        <v>24000</v>
      </c>
      <c r="AF178" s="250">
        <v>30000</v>
      </c>
    </row>
    <row r="179" spans="2:32" x14ac:dyDescent="0.25">
      <c r="B179" s="61" t="s">
        <v>461</v>
      </c>
      <c r="C179" s="14" t="s">
        <v>348</v>
      </c>
      <c r="D179" s="14">
        <v>1992</v>
      </c>
      <c r="E179" s="13">
        <v>500000</v>
      </c>
      <c r="F179" s="14">
        <v>2.8</v>
      </c>
      <c r="G179" s="14">
        <v>3.1</v>
      </c>
      <c r="H179" s="14" t="s">
        <v>340</v>
      </c>
      <c r="I179" s="249">
        <f t="shared" si="6"/>
        <v>1</v>
      </c>
      <c r="J179" s="143">
        <v>2000</v>
      </c>
      <c r="K179" s="249" t="s">
        <v>2378</v>
      </c>
      <c r="M179" s="249">
        <f t="shared" si="7"/>
        <v>23</v>
      </c>
      <c r="N179" s="249">
        <f t="shared" si="8"/>
        <v>22</v>
      </c>
      <c r="O179" s="14"/>
      <c r="P179" s="14"/>
      <c r="Q179" s="14" t="s">
        <v>328</v>
      </c>
      <c r="S179" s="14"/>
      <c r="T179" s="14" t="s">
        <v>328</v>
      </c>
      <c r="U179" s="14"/>
      <c r="V179" s="14"/>
      <c r="W179" s="14"/>
      <c r="X179" s="14"/>
      <c r="Z179" s="126">
        <v>0.5</v>
      </c>
      <c r="AA179" s="249">
        <v>2</v>
      </c>
      <c r="AB179" s="250">
        <v>30000</v>
      </c>
      <c r="AC179" s="250">
        <v>50000</v>
      </c>
      <c r="AD179" s="250">
        <v>20000</v>
      </c>
      <c r="AE179" s="250">
        <v>24000</v>
      </c>
      <c r="AF179" s="250">
        <v>30000</v>
      </c>
    </row>
    <row r="180" spans="2:32" x14ac:dyDescent="0.25">
      <c r="B180" s="61" t="s">
        <v>462</v>
      </c>
      <c r="C180" s="14" t="s">
        <v>348</v>
      </c>
      <c r="D180" s="14">
        <v>1998</v>
      </c>
      <c r="E180" s="13">
        <v>900000</v>
      </c>
      <c r="F180" s="14">
        <v>2.5</v>
      </c>
      <c r="G180" s="14">
        <v>3</v>
      </c>
      <c r="H180" s="14" t="s">
        <v>340</v>
      </c>
      <c r="I180" s="249">
        <f t="shared" si="6"/>
        <v>1</v>
      </c>
      <c r="J180" s="143">
        <v>2000</v>
      </c>
      <c r="K180" s="249" t="s">
        <v>2378</v>
      </c>
      <c r="M180" s="249">
        <f t="shared" si="7"/>
        <v>17</v>
      </c>
      <c r="N180" s="249">
        <f t="shared" si="8"/>
        <v>16</v>
      </c>
      <c r="O180" s="14"/>
      <c r="P180" s="14"/>
      <c r="Q180" s="14" t="s">
        <v>328</v>
      </c>
      <c r="S180" s="14"/>
      <c r="T180" s="14" t="s">
        <v>328</v>
      </c>
      <c r="U180" s="14"/>
      <c r="V180" s="14"/>
      <c r="W180" s="14"/>
      <c r="X180" s="14"/>
      <c r="Z180" s="126">
        <v>0.5</v>
      </c>
      <c r="AA180" s="249">
        <v>1</v>
      </c>
      <c r="AB180" s="250">
        <v>12000</v>
      </c>
      <c r="AC180" s="250">
        <v>20000</v>
      </c>
      <c r="AD180" s="250">
        <v>30000</v>
      </c>
      <c r="AE180" s="250">
        <v>24000</v>
      </c>
      <c r="AF180" s="250">
        <v>12000</v>
      </c>
    </row>
    <row r="181" spans="2:32" x14ac:dyDescent="0.25">
      <c r="B181" s="61" t="s">
        <v>463</v>
      </c>
      <c r="C181" s="14" t="s">
        <v>337</v>
      </c>
      <c r="D181" s="14">
        <v>1984</v>
      </c>
      <c r="E181" s="13">
        <v>320000</v>
      </c>
      <c r="F181" s="14">
        <v>2</v>
      </c>
      <c r="G181" s="14">
        <v>2.5</v>
      </c>
      <c r="H181" s="14" t="s">
        <v>340</v>
      </c>
      <c r="I181" s="249">
        <f t="shared" si="6"/>
        <v>1</v>
      </c>
      <c r="J181" s="143">
        <v>9000</v>
      </c>
      <c r="K181" s="249" t="s">
        <v>2378</v>
      </c>
      <c r="M181" s="249">
        <f t="shared" si="7"/>
        <v>31</v>
      </c>
      <c r="N181" s="249">
        <f t="shared" si="8"/>
        <v>30</v>
      </c>
      <c r="O181" s="14"/>
      <c r="P181" s="14"/>
      <c r="Q181" s="14" t="s">
        <v>328</v>
      </c>
      <c r="S181" s="14"/>
      <c r="T181" s="14" t="s">
        <v>328</v>
      </c>
      <c r="U181" s="14"/>
      <c r="V181" s="14"/>
      <c r="W181" s="14"/>
      <c r="X181" s="14"/>
      <c r="Z181" s="126">
        <v>0.5</v>
      </c>
      <c r="AA181" s="249">
        <v>3</v>
      </c>
      <c r="AB181" s="250">
        <v>27000</v>
      </c>
      <c r="AC181" s="250">
        <v>108000</v>
      </c>
      <c r="AD181" s="250">
        <v>45000</v>
      </c>
      <c r="AE181" s="250">
        <v>108000</v>
      </c>
      <c r="AF181" s="250">
        <v>27000</v>
      </c>
    </row>
    <row r="182" spans="2:32" x14ac:dyDescent="0.25">
      <c r="B182" s="61" t="s">
        <v>463</v>
      </c>
      <c r="C182" s="14" t="s">
        <v>337</v>
      </c>
      <c r="D182" s="14">
        <v>2000</v>
      </c>
      <c r="E182" s="13">
        <v>140400</v>
      </c>
      <c r="F182" s="14">
        <v>2</v>
      </c>
      <c r="G182" s="14">
        <v>2.5</v>
      </c>
      <c r="H182" s="14" t="s">
        <v>340</v>
      </c>
      <c r="I182" s="249">
        <f t="shared" si="6"/>
        <v>1</v>
      </c>
      <c r="J182" s="143">
        <v>9000</v>
      </c>
      <c r="K182" s="249" t="s">
        <v>2378</v>
      </c>
      <c r="M182" s="249">
        <f t="shared" si="7"/>
        <v>15</v>
      </c>
      <c r="N182" s="249">
        <f t="shared" si="8"/>
        <v>14</v>
      </c>
      <c r="O182" s="14"/>
      <c r="P182" s="14"/>
      <c r="Q182" s="14" t="s">
        <v>328</v>
      </c>
      <c r="S182" s="14"/>
      <c r="T182" s="14" t="s">
        <v>328</v>
      </c>
      <c r="U182" s="14"/>
      <c r="V182" s="14"/>
      <c r="W182" s="14"/>
      <c r="X182" s="14"/>
      <c r="Z182" s="126">
        <v>0.5</v>
      </c>
      <c r="AA182" s="249">
        <v>3</v>
      </c>
      <c r="AB182" s="250">
        <v>27000</v>
      </c>
      <c r="AC182" s="250">
        <v>108000</v>
      </c>
      <c r="AD182" s="250">
        <v>45000</v>
      </c>
      <c r="AE182" s="250">
        <v>108000</v>
      </c>
      <c r="AF182" s="250">
        <v>27000</v>
      </c>
    </row>
    <row r="183" spans="2:32" x14ac:dyDescent="0.25">
      <c r="B183" s="61" t="s">
        <v>463</v>
      </c>
      <c r="C183" s="14" t="s">
        <v>337</v>
      </c>
      <c r="D183" s="14">
        <v>2005</v>
      </c>
      <c r="E183" s="13">
        <v>86500</v>
      </c>
      <c r="F183" s="14">
        <v>2</v>
      </c>
      <c r="G183" s="14">
        <v>2.5</v>
      </c>
      <c r="H183" s="14" t="s">
        <v>340</v>
      </c>
      <c r="I183" s="249">
        <f t="shared" si="6"/>
        <v>1</v>
      </c>
      <c r="J183" s="143">
        <v>9000</v>
      </c>
      <c r="K183" s="249" t="s">
        <v>2378</v>
      </c>
      <c r="M183" s="249">
        <f t="shared" si="7"/>
        <v>10</v>
      </c>
      <c r="N183" s="249">
        <f t="shared" si="8"/>
        <v>9</v>
      </c>
      <c r="O183" s="14"/>
      <c r="P183" s="14"/>
      <c r="Q183" s="14" t="s">
        <v>328</v>
      </c>
      <c r="S183" s="14"/>
      <c r="T183" s="14" t="s">
        <v>328</v>
      </c>
      <c r="U183" s="14"/>
      <c r="V183" s="14"/>
      <c r="W183" s="14"/>
      <c r="X183" s="14"/>
      <c r="Z183" s="126">
        <v>0.5</v>
      </c>
      <c r="AA183" s="249">
        <v>3</v>
      </c>
      <c r="AB183" s="250">
        <v>27000</v>
      </c>
      <c r="AC183" s="250">
        <v>108000</v>
      </c>
      <c r="AD183" s="250">
        <v>45000</v>
      </c>
      <c r="AE183" s="250">
        <v>108000</v>
      </c>
      <c r="AF183" s="250">
        <v>27000</v>
      </c>
    </row>
    <row r="184" spans="2:32" x14ac:dyDescent="0.25">
      <c r="B184" s="61" t="s">
        <v>481</v>
      </c>
      <c r="C184" s="14" t="s">
        <v>348</v>
      </c>
      <c r="D184" s="14">
        <v>2001</v>
      </c>
      <c r="E184" s="13">
        <v>300000</v>
      </c>
      <c r="F184" s="14">
        <v>1.6</v>
      </c>
      <c r="G184" s="14">
        <v>1.6</v>
      </c>
      <c r="H184" s="14" t="s">
        <v>430</v>
      </c>
      <c r="I184" s="249">
        <f t="shared" si="6"/>
        <v>1</v>
      </c>
      <c r="J184" s="143">
        <v>2000</v>
      </c>
      <c r="K184" s="249" t="s">
        <v>2378</v>
      </c>
      <c r="M184" s="249">
        <f t="shared" si="7"/>
        <v>14</v>
      </c>
      <c r="N184" s="249">
        <f t="shared" si="8"/>
        <v>13</v>
      </c>
      <c r="O184" s="14"/>
      <c r="P184" s="14"/>
      <c r="Q184" s="14" t="s">
        <v>328</v>
      </c>
      <c r="S184" s="14"/>
      <c r="T184" s="14"/>
      <c r="U184" s="14"/>
      <c r="V184" s="14"/>
      <c r="W184" s="14"/>
      <c r="X184" s="14" t="s">
        <v>328</v>
      </c>
      <c r="Z184" s="126">
        <v>0.5</v>
      </c>
      <c r="AA184" s="249">
        <v>1</v>
      </c>
      <c r="AB184" s="250">
        <v>5000</v>
      </c>
      <c r="AC184" s="250">
        <v>5000</v>
      </c>
      <c r="AD184" s="250">
        <v>12000</v>
      </c>
      <c r="AE184" s="250">
        <v>12000</v>
      </c>
      <c r="AF184" s="250" t="s">
        <v>385</v>
      </c>
    </row>
    <row r="185" spans="2:32" x14ac:dyDescent="0.25">
      <c r="B185" s="63" t="s">
        <v>482</v>
      </c>
      <c r="C185" s="14" t="s">
        <v>351</v>
      </c>
      <c r="D185" s="15">
        <v>2008</v>
      </c>
      <c r="E185" s="16">
        <v>195000</v>
      </c>
      <c r="F185" s="15">
        <v>3</v>
      </c>
      <c r="G185" s="15">
        <v>4</v>
      </c>
      <c r="H185" s="15" t="s">
        <v>340</v>
      </c>
      <c r="I185" s="249">
        <f t="shared" si="6"/>
        <v>1</v>
      </c>
      <c r="J185" s="143">
        <v>1200</v>
      </c>
      <c r="K185" s="249" t="s">
        <v>2378</v>
      </c>
      <c r="M185" s="249">
        <f t="shared" si="7"/>
        <v>7</v>
      </c>
      <c r="N185" s="249">
        <f t="shared" si="8"/>
        <v>6</v>
      </c>
      <c r="O185" s="15" t="s">
        <v>328</v>
      </c>
      <c r="P185" s="15"/>
      <c r="Q185" s="15"/>
      <c r="S185" s="15"/>
      <c r="T185" s="15" t="s">
        <v>328</v>
      </c>
      <c r="U185" s="15"/>
      <c r="V185" s="15"/>
      <c r="W185" s="15"/>
      <c r="X185" s="15"/>
      <c r="Z185" s="126">
        <v>0.5</v>
      </c>
      <c r="AA185" s="249">
        <v>3</v>
      </c>
      <c r="AB185" s="250">
        <v>21600</v>
      </c>
      <c r="AC185" s="250">
        <v>15000</v>
      </c>
      <c r="AD185" s="250">
        <v>9600</v>
      </c>
      <c r="AE185" s="250">
        <v>9600</v>
      </c>
      <c r="AF185" s="250">
        <v>15000</v>
      </c>
    </row>
    <row r="186" spans="2:32" x14ac:dyDescent="0.25">
      <c r="B186" s="63" t="s">
        <v>482</v>
      </c>
      <c r="C186" s="14" t="s">
        <v>351</v>
      </c>
      <c r="D186" s="15">
        <v>2008</v>
      </c>
      <c r="E186" s="16">
        <v>195000</v>
      </c>
      <c r="F186" s="15">
        <v>3</v>
      </c>
      <c r="G186" s="15">
        <v>4</v>
      </c>
      <c r="H186" s="15" t="s">
        <v>340</v>
      </c>
      <c r="I186" s="249">
        <f t="shared" si="6"/>
        <v>1</v>
      </c>
      <c r="J186" s="143">
        <v>1200</v>
      </c>
      <c r="K186" s="249" t="s">
        <v>2378</v>
      </c>
      <c r="M186" s="249">
        <f t="shared" si="7"/>
        <v>7</v>
      </c>
      <c r="N186" s="249">
        <f t="shared" si="8"/>
        <v>6</v>
      </c>
      <c r="O186" s="15" t="s">
        <v>328</v>
      </c>
      <c r="P186" s="15"/>
      <c r="Q186" s="15"/>
      <c r="S186" s="15"/>
      <c r="T186" s="15" t="s">
        <v>328</v>
      </c>
      <c r="U186" s="15"/>
      <c r="V186" s="15"/>
      <c r="W186" s="15"/>
      <c r="X186" s="15"/>
      <c r="Z186" s="126">
        <v>0.5</v>
      </c>
      <c r="AA186" s="249">
        <v>3</v>
      </c>
      <c r="AB186" s="250">
        <v>21600</v>
      </c>
      <c r="AC186" s="250">
        <v>15000</v>
      </c>
      <c r="AD186" s="250">
        <v>9600</v>
      </c>
      <c r="AE186" s="250">
        <v>9600</v>
      </c>
      <c r="AF186" s="250">
        <v>15000</v>
      </c>
    </row>
    <row r="187" spans="2:32" x14ac:dyDescent="0.25">
      <c r="B187" s="63" t="s">
        <v>482</v>
      </c>
      <c r="C187" s="14" t="s">
        <v>351</v>
      </c>
      <c r="D187" s="15">
        <v>2008</v>
      </c>
      <c r="E187" s="16">
        <v>195000</v>
      </c>
      <c r="F187" s="15">
        <v>3</v>
      </c>
      <c r="G187" s="15">
        <v>4</v>
      </c>
      <c r="H187" s="15" t="s">
        <v>340</v>
      </c>
      <c r="I187" s="249">
        <f t="shared" si="6"/>
        <v>1</v>
      </c>
      <c r="J187" s="143">
        <v>1200</v>
      </c>
      <c r="K187" s="249" t="s">
        <v>2378</v>
      </c>
      <c r="M187" s="249">
        <f t="shared" si="7"/>
        <v>7</v>
      </c>
      <c r="N187" s="249">
        <f t="shared" si="8"/>
        <v>6</v>
      </c>
      <c r="O187" s="15" t="s">
        <v>328</v>
      </c>
      <c r="P187" s="15"/>
      <c r="Q187" s="15"/>
      <c r="S187" s="15"/>
      <c r="T187" s="15" t="s">
        <v>328</v>
      </c>
      <c r="U187" s="15"/>
      <c r="V187" s="15"/>
      <c r="W187" s="15"/>
      <c r="X187" s="15"/>
      <c r="Z187" s="126">
        <v>0.5</v>
      </c>
      <c r="AA187" s="249">
        <v>3</v>
      </c>
      <c r="AB187" s="250">
        <v>21600</v>
      </c>
      <c r="AC187" s="250">
        <v>15000</v>
      </c>
      <c r="AD187" s="250">
        <v>9600</v>
      </c>
      <c r="AE187" s="250">
        <v>9600</v>
      </c>
      <c r="AF187" s="250">
        <v>15000</v>
      </c>
    </row>
    <row r="188" spans="2:32" x14ac:dyDescent="0.25">
      <c r="B188" s="63" t="s">
        <v>484</v>
      </c>
      <c r="C188" s="14" t="s">
        <v>351</v>
      </c>
      <c r="D188" s="15">
        <v>2013</v>
      </c>
      <c r="E188" s="16">
        <v>48000</v>
      </c>
      <c r="F188" s="15">
        <v>2</v>
      </c>
      <c r="G188" s="15">
        <v>2.1</v>
      </c>
      <c r="H188" s="15" t="s">
        <v>340</v>
      </c>
      <c r="I188" s="249">
        <f t="shared" si="6"/>
        <v>1</v>
      </c>
      <c r="J188" s="143">
        <v>4000</v>
      </c>
      <c r="K188" s="249" t="s">
        <v>2378</v>
      </c>
      <c r="M188" s="249">
        <f t="shared" si="7"/>
        <v>2</v>
      </c>
      <c r="N188" s="249">
        <f t="shared" si="8"/>
        <v>1</v>
      </c>
      <c r="O188" s="15" t="s">
        <v>328</v>
      </c>
      <c r="P188" s="15"/>
      <c r="Q188" s="15"/>
      <c r="S188" s="15"/>
      <c r="T188" s="15"/>
      <c r="U188" s="15"/>
      <c r="V188" s="15"/>
      <c r="W188" s="15"/>
      <c r="X188" s="15" t="s">
        <v>328</v>
      </c>
      <c r="Z188" s="126">
        <v>0.5</v>
      </c>
      <c r="AA188" s="249">
        <v>3</v>
      </c>
      <c r="AB188" s="250">
        <v>24000</v>
      </c>
      <c r="AC188" s="250">
        <v>24000</v>
      </c>
      <c r="AD188" s="250">
        <v>48000</v>
      </c>
      <c r="AE188" s="250">
        <v>96000</v>
      </c>
      <c r="AF188" s="250">
        <v>24000</v>
      </c>
    </row>
    <row r="189" spans="2:32" x14ac:dyDescent="0.25">
      <c r="B189" s="63" t="s">
        <v>484</v>
      </c>
      <c r="C189" s="14" t="s">
        <v>351</v>
      </c>
      <c r="D189" s="15">
        <v>2013</v>
      </c>
      <c r="E189" s="16">
        <v>48000</v>
      </c>
      <c r="F189" s="15">
        <v>2</v>
      </c>
      <c r="G189" s="15">
        <v>2.1</v>
      </c>
      <c r="H189" s="15" t="s">
        <v>340</v>
      </c>
      <c r="I189" s="249">
        <f t="shared" si="6"/>
        <v>1</v>
      </c>
      <c r="J189" s="143">
        <v>4000</v>
      </c>
      <c r="K189" s="249" t="s">
        <v>2378</v>
      </c>
      <c r="M189" s="249">
        <f t="shared" si="7"/>
        <v>2</v>
      </c>
      <c r="N189" s="249">
        <f t="shared" si="8"/>
        <v>1</v>
      </c>
      <c r="O189" s="15" t="s">
        <v>328</v>
      </c>
      <c r="P189" s="15"/>
      <c r="Q189" s="15"/>
      <c r="S189" s="15"/>
      <c r="T189" s="15"/>
      <c r="U189" s="15"/>
      <c r="V189" s="15"/>
      <c r="W189" s="15"/>
      <c r="X189" s="15" t="s">
        <v>328</v>
      </c>
      <c r="Z189" s="126">
        <v>0.5</v>
      </c>
      <c r="AA189" s="249">
        <v>3</v>
      </c>
      <c r="AB189" s="250">
        <v>24000</v>
      </c>
      <c r="AC189" s="250">
        <v>24000</v>
      </c>
      <c r="AD189" s="250">
        <v>48000</v>
      </c>
      <c r="AE189" s="250">
        <v>96000</v>
      </c>
      <c r="AF189" s="250">
        <v>24000</v>
      </c>
    </row>
    <row r="190" spans="2:32" x14ac:dyDescent="0.25">
      <c r="B190" s="63" t="s">
        <v>484</v>
      </c>
      <c r="C190" s="14" t="s">
        <v>351</v>
      </c>
      <c r="D190" s="15">
        <v>2013</v>
      </c>
      <c r="E190" s="16">
        <v>48000</v>
      </c>
      <c r="F190" s="15">
        <v>2</v>
      </c>
      <c r="G190" s="15">
        <v>2.1</v>
      </c>
      <c r="H190" s="15" t="s">
        <v>340</v>
      </c>
      <c r="I190" s="249">
        <f t="shared" si="6"/>
        <v>1</v>
      </c>
      <c r="J190" s="143">
        <v>4000</v>
      </c>
      <c r="K190" s="249" t="s">
        <v>2378</v>
      </c>
      <c r="M190" s="249">
        <f t="shared" si="7"/>
        <v>2</v>
      </c>
      <c r="N190" s="249">
        <f t="shared" si="8"/>
        <v>1</v>
      </c>
      <c r="O190" s="15" t="s">
        <v>328</v>
      </c>
      <c r="P190" s="15"/>
      <c r="Q190" s="15"/>
      <c r="S190" s="15"/>
      <c r="T190" s="15"/>
      <c r="U190" s="15"/>
      <c r="V190" s="15"/>
      <c r="W190" s="15"/>
      <c r="X190" s="15" t="s">
        <v>328</v>
      </c>
      <c r="Z190" s="126">
        <v>0.5</v>
      </c>
      <c r="AA190" s="249">
        <v>3</v>
      </c>
      <c r="AB190" s="250">
        <v>24000</v>
      </c>
      <c r="AC190" s="250">
        <v>24000</v>
      </c>
      <c r="AD190" s="250">
        <v>48000</v>
      </c>
      <c r="AE190" s="250">
        <v>96000</v>
      </c>
      <c r="AF190" s="250">
        <v>24000</v>
      </c>
    </row>
    <row r="191" spans="2:32" x14ac:dyDescent="0.25">
      <c r="B191" s="63" t="s">
        <v>487</v>
      </c>
      <c r="C191" s="14" t="s">
        <v>351</v>
      </c>
      <c r="D191" s="15">
        <v>1978</v>
      </c>
      <c r="E191" s="16">
        <v>1300000</v>
      </c>
      <c r="F191" s="15">
        <v>2.1</v>
      </c>
      <c r="G191" s="15">
        <v>2.2999999999999998</v>
      </c>
      <c r="H191" s="15" t="s">
        <v>340</v>
      </c>
      <c r="I191" s="249">
        <f t="shared" si="6"/>
        <v>1</v>
      </c>
      <c r="J191" s="143">
        <v>3000</v>
      </c>
      <c r="K191" s="249" t="s">
        <v>2378</v>
      </c>
      <c r="M191" s="249">
        <f t="shared" si="7"/>
        <v>37</v>
      </c>
      <c r="N191" s="249">
        <f t="shared" si="8"/>
        <v>36</v>
      </c>
      <c r="O191" s="15"/>
      <c r="P191" s="15"/>
      <c r="Q191" s="15" t="s">
        <v>328</v>
      </c>
      <c r="S191" s="15"/>
      <c r="T191" s="15"/>
      <c r="U191" s="15"/>
      <c r="V191" s="15" t="s">
        <v>328</v>
      </c>
      <c r="W191" s="15"/>
      <c r="X191" s="15"/>
      <c r="Z191" s="127">
        <v>0.5</v>
      </c>
      <c r="AA191" s="249">
        <v>1</v>
      </c>
      <c r="AB191" s="250">
        <v>20000</v>
      </c>
      <c r="AC191" s="250">
        <v>20000</v>
      </c>
      <c r="AD191" s="250">
        <v>18000</v>
      </c>
      <c r="AE191" s="250">
        <v>72000</v>
      </c>
      <c r="AF191" s="250">
        <v>18000</v>
      </c>
    </row>
    <row r="192" spans="2:32" x14ac:dyDescent="0.25">
      <c r="B192" s="63" t="s">
        <v>488</v>
      </c>
      <c r="C192" s="15" t="s">
        <v>337</v>
      </c>
      <c r="D192" s="15">
        <v>2010</v>
      </c>
      <c r="E192" s="16">
        <v>520000</v>
      </c>
      <c r="F192" s="15">
        <v>2.8</v>
      </c>
      <c r="G192" s="15">
        <v>3.2</v>
      </c>
      <c r="H192" s="15" t="s">
        <v>340</v>
      </c>
      <c r="I192" s="249">
        <f t="shared" si="6"/>
        <v>1</v>
      </c>
      <c r="J192" s="143">
        <v>4000</v>
      </c>
      <c r="K192" s="249" t="s">
        <v>2378</v>
      </c>
      <c r="M192" s="249">
        <f t="shared" si="7"/>
        <v>5</v>
      </c>
      <c r="N192" s="249">
        <f t="shared" si="8"/>
        <v>4</v>
      </c>
      <c r="O192" s="15" t="s">
        <v>328</v>
      </c>
      <c r="P192" s="15"/>
      <c r="Q192" s="15"/>
      <c r="S192" s="15"/>
      <c r="T192" s="15" t="s">
        <v>328</v>
      </c>
      <c r="U192" s="15"/>
      <c r="V192" s="15"/>
      <c r="W192" s="15"/>
      <c r="X192" s="15"/>
      <c r="Z192" s="127">
        <v>0.5</v>
      </c>
      <c r="AA192" s="249">
        <v>1</v>
      </c>
      <c r="AB192" s="250">
        <v>13000</v>
      </c>
      <c r="AC192" s="250">
        <v>13000</v>
      </c>
      <c r="AD192" s="250">
        <v>24000</v>
      </c>
      <c r="AE192" s="250">
        <v>96000</v>
      </c>
      <c r="AF192" s="250">
        <v>13000</v>
      </c>
    </row>
    <row r="193" spans="2:32" x14ac:dyDescent="0.25">
      <c r="B193" s="63" t="s">
        <v>490</v>
      </c>
      <c r="C193" s="15" t="s">
        <v>348</v>
      </c>
      <c r="D193" s="15">
        <v>2012</v>
      </c>
      <c r="E193" s="16">
        <v>30000</v>
      </c>
      <c r="F193" s="15">
        <v>2</v>
      </c>
      <c r="G193" s="15">
        <v>2.5</v>
      </c>
      <c r="H193" s="15" t="s">
        <v>340</v>
      </c>
      <c r="I193" s="249">
        <f t="shared" si="6"/>
        <v>1</v>
      </c>
      <c r="J193" s="143">
        <v>2000</v>
      </c>
      <c r="K193" s="249" t="s">
        <v>2379</v>
      </c>
      <c r="M193" s="249">
        <f t="shared" si="7"/>
        <v>3</v>
      </c>
      <c r="N193" s="249">
        <f t="shared" si="8"/>
        <v>2</v>
      </c>
      <c r="O193" s="15" t="s">
        <v>328</v>
      </c>
      <c r="P193" s="15"/>
      <c r="Q193" s="15"/>
      <c r="S193" s="15" t="s">
        <v>328</v>
      </c>
      <c r="T193" s="15"/>
      <c r="U193" s="15"/>
      <c r="V193" s="15"/>
      <c r="W193" s="15"/>
      <c r="X193" s="15"/>
      <c r="Z193" s="127">
        <v>0.2</v>
      </c>
      <c r="AA193" s="249">
        <v>6</v>
      </c>
      <c r="AB193" s="250">
        <v>18000</v>
      </c>
      <c r="AC193" s="250">
        <v>12000</v>
      </c>
      <c r="AD193" s="250">
        <v>12000</v>
      </c>
      <c r="AE193" s="250">
        <v>72000</v>
      </c>
      <c r="AF193" s="250">
        <v>12000</v>
      </c>
    </row>
    <row r="194" spans="2:32" x14ac:dyDescent="0.25">
      <c r="B194" s="63" t="s">
        <v>490</v>
      </c>
      <c r="C194" s="15" t="s">
        <v>348</v>
      </c>
      <c r="D194" s="15">
        <v>2012</v>
      </c>
      <c r="E194" s="16">
        <v>30000</v>
      </c>
      <c r="F194" s="15">
        <v>2</v>
      </c>
      <c r="G194" s="15">
        <v>2.5</v>
      </c>
      <c r="H194" s="15" t="s">
        <v>340</v>
      </c>
      <c r="I194" s="249">
        <f t="shared" si="6"/>
        <v>1</v>
      </c>
      <c r="J194" s="143">
        <v>2000</v>
      </c>
      <c r="K194" s="249" t="s">
        <v>2379</v>
      </c>
      <c r="M194" s="249">
        <f t="shared" si="7"/>
        <v>3</v>
      </c>
      <c r="N194" s="249">
        <f t="shared" si="8"/>
        <v>2</v>
      </c>
      <c r="O194" s="15" t="s">
        <v>328</v>
      </c>
      <c r="P194" s="15"/>
      <c r="Q194" s="15"/>
      <c r="S194" s="15" t="s">
        <v>328</v>
      </c>
      <c r="T194" s="15"/>
      <c r="U194" s="15"/>
      <c r="V194" s="15"/>
      <c r="W194" s="15"/>
      <c r="X194" s="15"/>
      <c r="Z194" s="127">
        <v>0.2</v>
      </c>
      <c r="AA194" s="249">
        <v>6</v>
      </c>
      <c r="AB194" s="250">
        <v>24000</v>
      </c>
      <c r="AC194" s="250">
        <v>12000</v>
      </c>
      <c r="AD194" s="250">
        <v>12000</v>
      </c>
      <c r="AE194" s="250">
        <v>72000</v>
      </c>
      <c r="AF194" s="250">
        <v>12000</v>
      </c>
    </row>
    <row r="195" spans="2:32" x14ac:dyDescent="0.25">
      <c r="B195" s="63" t="s">
        <v>490</v>
      </c>
      <c r="C195" s="15" t="s">
        <v>348</v>
      </c>
      <c r="D195" s="15">
        <v>2012</v>
      </c>
      <c r="E195" s="16">
        <v>30000</v>
      </c>
      <c r="F195" s="15">
        <v>2</v>
      </c>
      <c r="G195" s="15">
        <v>2.5</v>
      </c>
      <c r="H195" s="15" t="s">
        <v>340</v>
      </c>
      <c r="I195" s="249">
        <f t="shared" si="6"/>
        <v>1</v>
      </c>
      <c r="J195" s="143">
        <v>2000</v>
      </c>
      <c r="K195" s="249" t="s">
        <v>2379</v>
      </c>
      <c r="M195" s="249">
        <f t="shared" si="7"/>
        <v>3</v>
      </c>
      <c r="N195" s="249">
        <f t="shared" si="8"/>
        <v>2</v>
      </c>
      <c r="O195" s="15" t="s">
        <v>328</v>
      </c>
      <c r="P195" s="15"/>
      <c r="Q195" s="15"/>
      <c r="S195" s="15" t="s">
        <v>328</v>
      </c>
      <c r="T195" s="15"/>
      <c r="U195" s="15"/>
      <c r="V195" s="15"/>
      <c r="W195" s="15"/>
      <c r="X195" s="15"/>
      <c r="Z195" s="127">
        <v>0.2</v>
      </c>
      <c r="AA195" s="249">
        <v>6</v>
      </c>
      <c r="AB195" s="250">
        <v>12000</v>
      </c>
      <c r="AC195" s="250">
        <v>12000</v>
      </c>
      <c r="AD195" s="250">
        <v>12000</v>
      </c>
      <c r="AE195" s="250">
        <v>72000</v>
      </c>
      <c r="AF195" s="250">
        <v>12000</v>
      </c>
    </row>
    <row r="196" spans="2:32" x14ac:dyDescent="0.25">
      <c r="B196" s="63" t="s">
        <v>490</v>
      </c>
      <c r="C196" s="15" t="s">
        <v>348</v>
      </c>
      <c r="D196" s="15">
        <v>2012</v>
      </c>
      <c r="E196" s="16">
        <v>30000</v>
      </c>
      <c r="F196" s="15">
        <v>2</v>
      </c>
      <c r="G196" s="15">
        <v>2.5</v>
      </c>
      <c r="H196" s="15" t="s">
        <v>340</v>
      </c>
      <c r="I196" s="249">
        <f t="shared" si="6"/>
        <v>1</v>
      </c>
      <c r="J196" s="143">
        <v>2000</v>
      </c>
      <c r="K196" s="249" t="s">
        <v>2379</v>
      </c>
      <c r="M196" s="249">
        <f t="shared" si="7"/>
        <v>3</v>
      </c>
      <c r="N196" s="249">
        <f t="shared" si="8"/>
        <v>2</v>
      </c>
      <c r="O196" s="15" t="s">
        <v>328</v>
      </c>
      <c r="P196" s="15"/>
      <c r="Q196" s="15"/>
      <c r="S196" s="15" t="s">
        <v>328</v>
      </c>
      <c r="T196" s="15"/>
      <c r="U196" s="15"/>
      <c r="V196" s="15"/>
      <c r="W196" s="15"/>
      <c r="X196" s="15"/>
      <c r="Z196" s="127">
        <v>0.2</v>
      </c>
      <c r="AA196" s="249">
        <v>6</v>
      </c>
      <c r="AB196" s="250">
        <v>12000</v>
      </c>
      <c r="AC196" s="250">
        <v>12000</v>
      </c>
      <c r="AD196" s="250">
        <v>12000</v>
      </c>
      <c r="AE196" s="250">
        <v>72000</v>
      </c>
      <c r="AF196" s="250">
        <v>12000</v>
      </c>
    </row>
    <row r="197" spans="2:32" x14ac:dyDescent="0.25">
      <c r="B197" s="63" t="s">
        <v>490</v>
      </c>
      <c r="C197" s="15" t="s">
        <v>348</v>
      </c>
      <c r="D197" s="15">
        <v>2012</v>
      </c>
      <c r="E197" s="16">
        <v>30000</v>
      </c>
      <c r="F197" s="15">
        <v>2</v>
      </c>
      <c r="G197" s="15">
        <v>2.5</v>
      </c>
      <c r="H197" s="15" t="s">
        <v>340</v>
      </c>
      <c r="I197" s="249">
        <f t="shared" si="6"/>
        <v>1</v>
      </c>
      <c r="J197" s="143">
        <v>2000</v>
      </c>
      <c r="K197" s="249" t="s">
        <v>2379</v>
      </c>
      <c r="M197" s="249">
        <f t="shared" si="7"/>
        <v>3</v>
      </c>
      <c r="N197" s="249">
        <f t="shared" si="8"/>
        <v>2</v>
      </c>
      <c r="O197" s="15" t="s">
        <v>328</v>
      </c>
      <c r="P197" s="15"/>
      <c r="Q197" s="15"/>
      <c r="S197" s="15" t="s">
        <v>328</v>
      </c>
      <c r="T197" s="15"/>
      <c r="U197" s="15"/>
      <c r="V197" s="15"/>
      <c r="W197" s="15"/>
      <c r="X197" s="15"/>
      <c r="Z197" s="127">
        <v>0.2</v>
      </c>
      <c r="AA197" s="249">
        <v>6</v>
      </c>
      <c r="AB197" s="250">
        <v>12000</v>
      </c>
      <c r="AC197" s="250">
        <v>12000</v>
      </c>
      <c r="AD197" s="250">
        <v>12000</v>
      </c>
      <c r="AE197" s="250">
        <v>72000</v>
      </c>
      <c r="AF197" s="250">
        <v>12000</v>
      </c>
    </row>
    <row r="198" spans="2:32" x14ac:dyDescent="0.25">
      <c r="B198" s="63" t="s">
        <v>490</v>
      </c>
      <c r="C198" s="15" t="s">
        <v>348</v>
      </c>
      <c r="D198" s="15">
        <v>2012</v>
      </c>
      <c r="E198" s="16">
        <v>30000</v>
      </c>
      <c r="F198" s="15">
        <v>2</v>
      </c>
      <c r="G198" s="15">
        <v>2.5</v>
      </c>
      <c r="H198" s="15" t="s">
        <v>340</v>
      </c>
      <c r="I198" s="249">
        <f t="shared" ref="I198:I261" si="9">IF(F198&gt;G198,0,1)</f>
        <v>1</v>
      </c>
      <c r="J198" s="143">
        <v>2000</v>
      </c>
      <c r="K198" s="249" t="s">
        <v>2379</v>
      </c>
      <c r="M198" s="249">
        <f t="shared" ref="M198:M261" si="10">2015-D198</f>
        <v>3</v>
      </c>
      <c r="N198" s="249">
        <f t="shared" ref="N198:N261" si="11">2014-$D198</f>
        <v>2</v>
      </c>
      <c r="O198" s="15" t="s">
        <v>328</v>
      </c>
      <c r="P198" s="15"/>
      <c r="Q198" s="15"/>
      <c r="S198" s="15" t="s">
        <v>328</v>
      </c>
      <c r="T198" s="15"/>
      <c r="U198" s="15"/>
      <c r="V198" s="15"/>
      <c r="W198" s="15"/>
      <c r="X198" s="15"/>
      <c r="Z198" s="127">
        <v>0.2</v>
      </c>
      <c r="AA198" s="249">
        <v>6</v>
      </c>
      <c r="AB198" s="250">
        <v>12000</v>
      </c>
      <c r="AC198" s="250">
        <v>12000</v>
      </c>
      <c r="AD198" s="250">
        <v>12000</v>
      </c>
      <c r="AE198" s="250">
        <v>72000</v>
      </c>
      <c r="AF198" s="250">
        <v>12000</v>
      </c>
    </row>
    <row r="199" spans="2:32" x14ac:dyDescent="0.25">
      <c r="B199" s="63" t="s">
        <v>493</v>
      </c>
      <c r="C199" s="15" t="s">
        <v>337</v>
      </c>
      <c r="D199" s="15">
        <v>2011</v>
      </c>
      <c r="E199" s="16">
        <v>120000</v>
      </c>
      <c r="F199" s="15">
        <v>2</v>
      </c>
      <c r="G199" s="15">
        <v>2.2999999999999998</v>
      </c>
      <c r="H199" s="15" t="s">
        <v>340</v>
      </c>
      <c r="I199" s="249">
        <f t="shared" si="9"/>
        <v>1</v>
      </c>
      <c r="J199" s="143">
        <v>5000</v>
      </c>
      <c r="K199" s="249" t="s">
        <v>2378</v>
      </c>
      <c r="M199" s="249">
        <f t="shared" si="10"/>
        <v>4</v>
      </c>
      <c r="N199" s="249">
        <f t="shared" si="11"/>
        <v>3</v>
      </c>
      <c r="O199" s="15" t="s">
        <v>328</v>
      </c>
      <c r="P199" s="15"/>
      <c r="Q199" s="15"/>
      <c r="S199" s="15"/>
      <c r="T199" s="15" t="s">
        <v>328</v>
      </c>
      <c r="U199" s="15"/>
      <c r="V199" s="15"/>
      <c r="W199" s="15"/>
      <c r="X199" s="15"/>
      <c r="Z199" s="127">
        <v>0.5</v>
      </c>
      <c r="AA199" s="249">
        <v>2</v>
      </c>
      <c r="AB199" s="250">
        <v>12000</v>
      </c>
      <c r="AC199" s="250">
        <v>12000</v>
      </c>
      <c r="AD199" s="250">
        <v>50000</v>
      </c>
      <c r="AE199" s="250">
        <v>120000</v>
      </c>
      <c r="AF199" s="250">
        <v>50000</v>
      </c>
    </row>
    <row r="200" spans="2:32" x14ac:dyDescent="0.25">
      <c r="B200" s="63" t="s">
        <v>493</v>
      </c>
      <c r="C200" s="15" t="s">
        <v>337</v>
      </c>
      <c r="D200" s="15">
        <v>2011</v>
      </c>
      <c r="E200" s="16">
        <v>120000</v>
      </c>
      <c r="F200" s="15">
        <v>2</v>
      </c>
      <c r="G200" s="15">
        <v>2.2999999999999998</v>
      </c>
      <c r="H200" s="15" t="s">
        <v>340</v>
      </c>
      <c r="I200" s="249">
        <f t="shared" si="9"/>
        <v>1</v>
      </c>
      <c r="J200" s="143">
        <v>5000</v>
      </c>
      <c r="K200" s="249" t="s">
        <v>2378</v>
      </c>
      <c r="M200" s="249">
        <f t="shared" si="10"/>
        <v>4</v>
      </c>
      <c r="N200" s="249">
        <f t="shared" si="11"/>
        <v>3</v>
      </c>
      <c r="O200" s="15" t="s">
        <v>328</v>
      </c>
      <c r="P200" s="15"/>
      <c r="Q200" s="15"/>
      <c r="S200" s="15"/>
      <c r="T200" s="15" t="s">
        <v>328</v>
      </c>
      <c r="U200" s="15"/>
      <c r="V200" s="15"/>
      <c r="W200" s="15"/>
      <c r="X200" s="15"/>
      <c r="Z200" s="127">
        <v>0.5</v>
      </c>
      <c r="AA200" s="249">
        <v>2</v>
      </c>
      <c r="AB200" s="250">
        <v>12000</v>
      </c>
      <c r="AC200" s="250">
        <v>12000</v>
      </c>
      <c r="AD200" s="250">
        <v>50000</v>
      </c>
      <c r="AE200" s="250">
        <v>120000</v>
      </c>
      <c r="AF200" s="250">
        <v>50000</v>
      </c>
    </row>
    <row r="201" spans="2:32" x14ac:dyDescent="0.25">
      <c r="B201" s="63" t="s">
        <v>496</v>
      </c>
      <c r="C201" s="15" t="s">
        <v>359</v>
      </c>
      <c r="D201" s="15">
        <v>2005</v>
      </c>
      <c r="E201" s="16">
        <v>300000</v>
      </c>
      <c r="F201" s="15">
        <v>2</v>
      </c>
      <c r="G201" s="15">
        <v>2.2999999999999998</v>
      </c>
      <c r="H201" s="15" t="s">
        <v>340</v>
      </c>
      <c r="I201" s="249">
        <f t="shared" si="9"/>
        <v>1</v>
      </c>
      <c r="J201" s="143">
        <v>3000</v>
      </c>
      <c r="K201" s="249" t="s">
        <v>2378</v>
      </c>
      <c r="M201" s="249">
        <f t="shared" si="10"/>
        <v>10</v>
      </c>
      <c r="N201" s="249">
        <f t="shared" si="11"/>
        <v>9</v>
      </c>
      <c r="O201" s="15" t="s">
        <v>328</v>
      </c>
      <c r="P201" s="15"/>
      <c r="Q201" s="15"/>
      <c r="S201" s="15"/>
      <c r="T201" s="15"/>
      <c r="U201" s="15"/>
      <c r="V201" s="15"/>
      <c r="W201" s="15" t="s">
        <v>328</v>
      </c>
      <c r="X201" s="15"/>
      <c r="Z201" s="127">
        <v>0.5</v>
      </c>
      <c r="AA201" s="249">
        <v>4</v>
      </c>
      <c r="AB201" s="250">
        <v>9000</v>
      </c>
      <c r="AC201" s="250">
        <v>9000</v>
      </c>
      <c r="AD201" s="250">
        <v>18000</v>
      </c>
      <c r="AE201" s="250">
        <v>108000</v>
      </c>
      <c r="AF201" s="250">
        <v>9000</v>
      </c>
    </row>
    <row r="202" spans="2:32" x14ac:dyDescent="0.25">
      <c r="B202" s="63" t="s">
        <v>496</v>
      </c>
      <c r="C202" s="15" t="s">
        <v>359</v>
      </c>
      <c r="D202" s="15">
        <v>2005</v>
      </c>
      <c r="E202" s="16">
        <v>300000</v>
      </c>
      <c r="F202" s="15">
        <v>2</v>
      </c>
      <c r="G202" s="15">
        <v>2.2999999999999998</v>
      </c>
      <c r="H202" s="15" t="s">
        <v>340</v>
      </c>
      <c r="I202" s="249">
        <f t="shared" si="9"/>
        <v>1</v>
      </c>
      <c r="J202" s="143">
        <v>3000</v>
      </c>
      <c r="K202" s="249" t="s">
        <v>2378</v>
      </c>
      <c r="M202" s="249">
        <f t="shared" si="10"/>
        <v>10</v>
      </c>
      <c r="N202" s="249">
        <f t="shared" si="11"/>
        <v>9</v>
      </c>
      <c r="O202" s="15" t="s">
        <v>328</v>
      </c>
      <c r="P202" s="15"/>
      <c r="Q202" s="15"/>
      <c r="S202" s="15"/>
      <c r="T202" s="15"/>
      <c r="U202" s="15"/>
      <c r="V202" s="15"/>
      <c r="W202" s="15" t="s">
        <v>328</v>
      </c>
      <c r="X202" s="15"/>
      <c r="Z202" s="127">
        <v>0.5</v>
      </c>
      <c r="AA202" s="249">
        <v>4</v>
      </c>
      <c r="AB202" s="250">
        <v>9000</v>
      </c>
      <c r="AC202" s="250">
        <v>9000</v>
      </c>
      <c r="AD202" s="250">
        <v>18000</v>
      </c>
      <c r="AE202" s="250">
        <v>72000</v>
      </c>
      <c r="AF202" s="250">
        <v>9000</v>
      </c>
    </row>
    <row r="203" spans="2:32" x14ac:dyDescent="0.25">
      <c r="B203" s="63" t="s">
        <v>496</v>
      </c>
      <c r="C203" s="15" t="s">
        <v>359</v>
      </c>
      <c r="D203" s="15">
        <v>2005</v>
      </c>
      <c r="E203" s="16">
        <v>300000</v>
      </c>
      <c r="F203" s="15">
        <v>2</v>
      </c>
      <c r="G203" s="15">
        <v>2.2999999999999998</v>
      </c>
      <c r="H203" s="15" t="s">
        <v>340</v>
      </c>
      <c r="I203" s="249">
        <f t="shared" si="9"/>
        <v>1</v>
      </c>
      <c r="J203" s="143">
        <v>3000</v>
      </c>
      <c r="K203" s="249" t="s">
        <v>2378</v>
      </c>
      <c r="M203" s="249">
        <f t="shared" si="10"/>
        <v>10</v>
      </c>
      <c r="N203" s="249">
        <f t="shared" si="11"/>
        <v>9</v>
      </c>
      <c r="O203" s="15" t="s">
        <v>328</v>
      </c>
      <c r="P203" s="15"/>
      <c r="Q203" s="15"/>
      <c r="S203" s="15"/>
      <c r="T203" s="15"/>
      <c r="U203" s="15"/>
      <c r="V203" s="15"/>
      <c r="W203" s="15" t="s">
        <v>328</v>
      </c>
      <c r="X203" s="15"/>
      <c r="Z203" s="127">
        <v>0.5</v>
      </c>
      <c r="AA203" s="249">
        <v>4</v>
      </c>
      <c r="AB203" s="250">
        <v>9000</v>
      </c>
      <c r="AC203" s="250">
        <v>9000</v>
      </c>
      <c r="AD203" s="250">
        <v>18000</v>
      </c>
      <c r="AE203" s="250">
        <v>72000</v>
      </c>
      <c r="AF203" s="250">
        <v>9000</v>
      </c>
    </row>
    <row r="204" spans="2:32" x14ac:dyDescent="0.25">
      <c r="B204" s="63" t="s">
        <v>496</v>
      </c>
      <c r="C204" s="15" t="s">
        <v>359</v>
      </c>
      <c r="D204" s="15">
        <v>2005</v>
      </c>
      <c r="E204" s="16">
        <v>300000</v>
      </c>
      <c r="F204" s="15">
        <v>2</v>
      </c>
      <c r="G204" s="15">
        <v>2.2999999999999998</v>
      </c>
      <c r="H204" s="15" t="s">
        <v>340</v>
      </c>
      <c r="I204" s="249">
        <f t="shared" si="9"/>
        <v>1</v>
      </c>
      <c r="J204" s="143">
        <v>3000</v>
      </c>
      <c r="K204" s="249" t="s">
        <v>2378</v>
      </c>
      <c r="M204" s="249">
        <f t="shared" si="10"/>
        <v>10</v>
      </c>
      <c r="N204" s="249">
        <f t="shared" si="11"/>
        <v>9</v>
      </c>
      <c r="O204" s="15" t="s">
        <v>328</v>
      </c>
      <c r="P204" s="15"/>
      <c r="Q204" s="15"/>
      <c r="S204" s="15"/>
      <c r="T204" s="15"/>
      <c r="U204" s="15"/>
      <c r="V204" s="15"/>
      <c r="W204" s="15" t="s">
        <v>328</v>
      </c>
      <c r="X204" s="15"/>
      <c r="Z204" s="127">
        <v>0.5</v>
      </c>
      <c r="AA204" s="249">
        <v>4</v>
      </c>
      <c r="AB204" s="250">
        <v>9000</v>
      </c>
      <c r="AC204" s="250">
        <v>9000</v>
      </c>
      <c r="AD204" s="250">
        <v>18000</v>
      </c>
      <c r="AE204" s="250">
        <v>72000</v>
      </c>
      <c r="AF204" s="250">
        <v>9000</v>
      </c>
    </row>
    <row r="205" spans="2:32" x14ac:dyDescent="0.25">
      <c r="B205" s="65" t="s">
        <v>499</v>
      </c>
      <c r="C205" s="15" t="s">
        <v>348</v>
      </c>
      <c r="D205" s="15">
        <v>1994</v>
      </c>
      <c r="E205" s="16">
        <v>200000</v>
      </c>
      <c r="F205" s="15">
        <v>2</v>
      </c>
      <c r="G205" s="15">
        <v>3.5</v>
      </c>
      <c r="H205" s="15" t="s">
        <v>340</v>
      </c>
      <c r="I205" s="249">
        <f t="shared" si="9"/>
        <v>1</v>
      </c>
      <c r="J205" s="143">
        <v>3200</v>
      </c>
      <c r="K205" s="249" t="s">
        <v>2378</v>
      </c>
      <c r="M205" s="249">
        <f t="shared" si="10"/>
        <v>21</v>
      </c>
      <c r="N205" s="249">
        <f t="shared" si="11"/>
        <v>20</v>
      </c>
      <c r="O205" s="15"/>
      <c r="P205" s="15"/>
      <c r="Q205" s="15" t="s">
        <v>328</v>
      </c>
      <c r="S205" s="15"/>
      <c r="T205" s="15" t="s">
        <v>328</v>
      </c>
      <c r="U205" s="15"/>
      <c r="V205" s="15"/>
      <c r="W205" s="15"/>
      <c r="X205" s="15"/>
      <c r="Z205" s="127">
        <v>0.1</v>
      </c>
      <c r="AA205" s="249">
        <v>1</v>
      </c>
      <c r="AB205" s="250">
        <v>19200</v>
      </c>
      <c r="AC205" s="250">
        <v>19200</v>
      </c>
      <c r="AD205" s="250">
        <v>19200</v>
      </c>
      <c r="AE205" s="250">
        <v>76800</v>
      </c>
      <c r="AF205" s="250">
        <v>19200</v>
      </c>
    </row>
    <row r="206" spans="2:32" x14ac:dyDescent="0.25">
      <c r="B206" s="65" t="s">
        <v>500</v>
      </c>
      <c r="C206" s="15" t="s">
        <v>348</v>
      </c>
      <c r="D206" s="15">
        <v>1989</v>
      </c>
      <c r="E206" s="16" t="s">
        <v>908</v>
      </c>
      <c r="F206" s="15">
        <v>2</v>
      </c>
      <c r="G206" s="15">
        <v>2.8</v>
      </c>
      <c r="H206" s="15" t="s">
        <v>340</v>
      </c>
      <c r="I206" s="249">
        <f t="shared" si="9"/>
        <v>1</v>
      </c>
      <c r="J206" s="143">
        <v>1000</v>
      </c>
      <c r="K206" s="249" t="s">
        <v>2378</v>
      </c>
      <c r="M206" s="249">
        <f t="shared" si="10"/>
        <v>26</v>
      </c>
      <c r="N206" s="249">
        <f t="shared" si="11"/>
        <v>25</v>
      </c>
      <c r="O206" s="15"/>
      <c r="P206" s="15"/>
      <c r="Q206" s="15" t="s">
        <v>328</v>
      </c>
      <c r="S206" s="15"/>
      <c r="T206" s="15" t="s">
        <v>328</v>
      </c>
      <c r="U206" s="15"/>
      <c r="V206" s="15"/>
      <c r="W206" s="15"/>
      <c r="X206" s="15"/>
      <c r="Z206" s="127">
        <v>0</v>
      </c>
      <c r="AA206" s="249">
        <v>1</v>
      </c>
      <c r="AB206" s="250">
        <v>12000</v>
      </c>
      <c r="AC206" s="250">
        <v>24000</v>
      </c>
      <c r="AD206" s="250">
        <v>24000</v>
      </c>
      <c r="AE206" s="250">
        <v>70000</v>
      </c>
      <c r="AF206" s="250">
        <v>12000</v>
      </c>
    </row>
    <row r="207" spans="2:32" x14ac:dyDescent="0.25">
      <c r="B207" s="65" t="s">
        <v>501</v>
      </c>
      <c r="C207" s="15" t="s">
        <v>348</v>
      </c>
      <c r="D207" s="15">
        <v>2005</v>
      </c>
      <c r="E207" s="16">
        <v>760000</v>
      </c>
      <c r="F207" s="15">
        <v>1.8</v>
      </c>
      <c r="G207" s="15">
        <v>2.5</v>
      </c>
      <c r="H207" s="15" t="s">
        <v>340</v>
      </c>
      <c r="I207" s="249">
        <f t="shared" si="9"/>
        <v>1</v>
      </c>
      <c r="J207" s="143">
        <v>3000</v>
      </c>
      <c r="K207" s="249" t="s">
        <v>2378</v>
      </c>
      <c r="M207" s="249">
        <f t="shared" si="10"/>
        <v>10</v>
      </c>
      <c r="N207" s="249">
        <f t="shared" si="11"/>
        <v>9</v>
      </c>
      <c r="O207" s="15"/>
      <c r="P207" s="15"/>
      <c r="Q207" s="15" t="s">
        <v>328</v>
      </c>
      <c r="S207" s="15"/>
      <c r="T207" s="15" t="s">
        <v>328</v>
      </c>
      <c r="U207" s="15"/>
      <c r="V207" s="15"/>
      <c r="W207" s="15"/>
      <c r="X207" s="15"/>
      <c r="Z207" s="127">
        <v>0.02</v>
      </c>
      <c r="AA207" s="249">
        <v>1</v>
      </c>
      <c r="AB207" s="250">
        <v>12000</v>
      </c>
      <c r="AC207" s="250">
        <v>60000</v>
      </c>
      <c r="AD207" s="250">
        <v>60000</v>
      </c>
      <c r="AE207" s="250">
        <v>100000</v>
      </c>
      <c r="AF207" s="250">
        <v>20000</v>
      </c>
    </row>
    <row r="208" spans="2:32" x14ac:dyDescent="0.25">
      <c r="B208" s="65" t="s">
        <v>502</v>
      </c>
      <c r="C208" s="15" t="s">
        <v>348</v>
      </c>
      <c r="D208" s="15">
        <v>2008</v>
      </c>
      <c r="E208" s="16">
        <v>800000</v>
      </c>
      <c r="F208" s="15">
        <v>6</v>
      </c>
      <c r="G208" s="15">
        <v>6.3</v>
      </c>
      <c r="H208" s="15" t="s">
        <v>371</v>
      </c>
      <c r="I208" s="249">
        <f t="shared" si="9"/>
        <v>1</v>
      </c>
      <c r="J208" s="143">
        <v>5000</v>
      </c>
      <c r="K208" s="249" t="s">
        <v>2379</v>
      </c>
      <c r="M208" s="249">
        <f t="shared" si="10"/>
        <v>7</v>
      </c>
      <c r="N208" s="249">
        <f t="shared" si="11"/>
        <v>6</v>
      </c>
      <c r="O208" s="15" t="s">
        <v>328</v>
      </c>
      <c r="P208" s="15"/>
      <c r="Q208" s="15"/>
      <c r="S208" s="15"/>
      <c r="T208" s="15" t="s">
        <v>328</v>
      </c>
      <c r="U208" s="15"/>
      <c r="V208" s="15"/>
      <c r="W208" s="15"/>
      <c r="X208" s="15"/>
      <c r="Z208" s="127">
        <v>0.5</v>
      </c>
      <c r="AA208" s="249">
        <v>9</v>
      </c>
      <c r="AB208" s="250">
        <v>40000</v>
      </c>
      <c r="AC208" s="250">
        <v>12000</v>
      </c>
      <c r="AD208" s="250">
        <v>12000</v>
      </c>
      <c r="AE208" s="250">
        <v>120000</v>
      </c>
      <c r="AF208" s="250" t="s">
        <v>385</v>
      </c>
    </row>
    <row r="209" spans="2:32" x14ac:dyDescent="0.25">
      <c r="B209" s="65" t="s">
        <v>502</v>
      </c>
      <c r="C209" s="15" t="s">
        <v>348</v>
      </c>
      <c r="D209" s="15">
        <v>2008</v>
      </c>
      <c r="E209" s="16">
        <v>800000</v>
      </c>
      <c r="F209" s="15">
        <v>6</v>
      </c>
      <c r="G209" s="15">
        <v>6.3</v>
      </c>
      <c r="H209" s="15" t="s">
        <v>371</v>
      </c>
      <c r="I209" s="249">
        <f t="shared" si="9"/>
        <v>1</v>
      </c>
      <c r="J209" s="143">
        <v>5000</v>
      </c>
      <c r="K209" s="249" t="s">
        <v>2379</v>
      </c>
      <c r="M209" s="249">
        <f t="shared" si="10"/>
        <v>7</v>
      </c>
      <c r="N209" s="249">
        <f t="shared" si="11"/>
        <v>6</v>
      </c>
      <c r="O209" s="15" t="s">
        <v>328</v>
      </c>
      <c r="P209" s="15"/>
      <c r="Q209" s="15"/>
      <c r="S209" s="15"/>
      <c r="T209" s="15" t="s">
        <v>328</v>
      </c>
      <c r="U209" s="15"/>
      <c r="V209" s="15"/>
      <c r="W209" s="15"/>
      <c r="X209" s="15"/>
      <c r="Z209" s="127">
        <v>0.5</v>
      </c>
      <c r="AA209" s="249">
        <v>9</v>
      </c>
      <c r="AB209" s="250">
        <v>40000</v>
      </c>
      <c r="AC209" s="250">
        <v>12000</v>
      </c>
      <c r="AD209" s="250">
        <v>12000</v>
      </c>
      <c r="AE209" s="250">
        <v>120000</v>
      </c>
      <c r="AF209" s="250" t="s">
        <v>385</v>
      </c>
    </row>
    <row r="210" spans="2:32" x14ac:dyDescent="0.25">
      <c r="B210" s="65" t="s">
        <v>502</v>
      </c>
      <c r="C210" s="15" t="s">
        <v>348</v>
      </c>
      <c r="D210" s="15">
        <v>2009</v>
      </c>
      <c r="E210" s="16">
        <v>800000</v>
      </c>
      <c r="F210" s="15">
        <v>6</v>
      </c>
      <c r="G210" s="15">
        <v>6.3</v>
      </c>
      <c r="H210" s="15" t="s">
        <v>371</v>
      </c>
      <c r="I210" s="249">
        <f t="shared" si="9"/>
        <v>1</v>
      </c>
      <c r="J210" s="143">
        <v>5000</v>
      </c>
      <c r="K210" s="249" t="s">
        <v>2379</v>
      </c>
      <c r="M210" s="249">
        <f t="shared" si="10"/>
        <v>6</v>
      </c>
      <c r="N210" s="249">
        <f t="shared" si="11"/>
        <v>5</v>
      </c>
      <c r="O210" s="15" t="s">
        <v>328</v>
      </c>
      <c r="P210" s="15"/>
      <c r="Q210" s="15"/>
      <c r="S210" s="15"/>
      <c r="T210" s="15" t="s">
        <v>328</v>
      </c>
      <c r="U210" s="15"/>
      <c r="V210" s="15"/>
      <c r="W210" s="15"/>
      <c r="X210" s="15"/>
      <c r="Z210" s="127">
        <v>0.5</v>
      </c>
      <c r="AA210" s="249">
        <v>9</v>
      </c>
      <c r="AB210" s="250">
        <v>40000</v>
      </c>
      <c r="AC210" s="250">
        <v>12000</v>
      </c>
      <c r="AD210" s="250">
        <v>12000</v>
      </c>
      <c r="AE210" s="250">
        <v>120000</v>
      </c>
      <c r="AF210" s="250" t="s">
        <v>385</v>
      </c>
    </row>
    <row r="211" spans="2:32" x14ac:dyDescent="0.25">
      <c r="B211" s="65" t="s">
        <v>502</v>
      </c>
      <c r="C211" s="15" t="s">
        <v>348</v>
      </c>
      <c r="D211" s="15">
        <v>2009</v>
      </c>
      <c r="E211" s="16">
        <v>800000</v>
      </c>
      <c r="F211" s="15">
        <v>6</v>
      </c>
      <c r="G211" s="15">
        <v>6.3</v>
      </c>
      <c r="H211" s="15" t="s">
        <v>371</v>
      </c>
      <c r="I211" s="249">
        <f t="shared" si="9"/>
        <v>1</v>
      </c>
      <c r="J211" s="143">
        <v>5000</v>
      </c>
      <c r="K211" s="249" t="s">
        <v>2379</v>
      </c>
      <c r="M211" s="249">
        <f t="shared" si="10"/>
        <v>6</v>
      </c>
      <c r="N211" s="249">
        <f t="shared" si="11"/>
        <v>5</v>
      </c>
      <c r="O211" s="15" t="s">
        <v>328</v>
      </c>
      <c r="P211" s="15"/>
      <c r="Q211" s="15"/>
      <c r="S211" s="15"/>
      <c r="T211" s="15" t="s">
        <v>328</v>
      </c>
      <c r="U211" s="15"/>
      <c r="V211" s="15"/>
      <c r="W211" s="15"/>
      <c r="X211" s="15"/>
      <c r="Z211" s="127">
        <v>0.5</v>
      </c>
      <c r="AA211" s="249">
        <v>9</v>
      </c>
      <c r="AB211" s="250">
        <v>40000</v>
      </c>
      <c r="AC211" s="250">
        <v>12000</v>
      </c>
      <c r="AD211" s="250">
        <v>12000</v>
      </c>
      <c r="AE211" s="250">
        <v>120000</v>
      </c>
      <c r="AF211" s="250" t="s">
        <v>385</v>
      </c>
    </row>
    <row r="212" spans="2:32" x14ac:dyDescent="0.25">
      <c r="B212" s="65" t="s">
        <v>502</v>
      </c>
      <c r="C212" s="15" t="s">
        <v>348</v>
      </c>
      <c r="D212" s="15">
        <v>2010</v>
      </c>
      <c r="E212" s="16">
        <v>800000</v>
      </c>
      <c r="F212" s="15">
        <v>6</v>
      </c>
      <c r="G212" s="15">
        <v>6.3</v>
      </c>
      <c r="H212" s="15" t="s">
        <v>371</v>
      </c>
      <c r="I212" s="249">
        <f t="shared" si="9"/>
        <v>1</v>
      </c>
      <c r="J212" s="143">
        <v>5000</v>
      </c>
      <c r="K212" s="249" t="s">
        <v>2379</v>
      </c>
      <c r="M212" s="249">
        <f t="shared" si="10"/>
        <v>5</v>
      </c>
      <c r="N212" s="249">
        <f t="shared" si="11"/>
        <v>4</v>
      </c>
      <c r="O212" s="15" t="s">
        <v>328</v>
      </c>
      <c r="P212" s="15"/>
      <c r="Q212" s="15"/>
      <c r="S212" s="15"/>
      <c r="T212" s="15" t="s">
        <v>328</v>
      </c>
      <c r="U212" s="15"/>
      <c r="V212" s="15"/>
      <c r="W212" s="15"/>
      <c r="X212" s="15"/>
      <c r="Z212" s="127">
        <v>0.5</v>
      </c>
      <c r="AA212" s="249">
        <v>9</v>
      </c>
      <c r="AB212" s="250">
        <v>40000</v>
      </c>
      <c r="AC212" s="250">
        <v>12000</v>
      </c>
      <c r="AD212" s="250">
        <v>12000</v>
      </c>
      <c r="AE212" s="250">
        <v>120000</v>
      </c>
      <c r="AF212" s="250" t="s">
        <v>385</v>
      </c>
    </row>
    <row r="213" spans="2:32" x14ac:dyDescent="0.25">
      <c r="B213" s="65" t="s">
        <v>502</v>
      </c>
      <c r="C213" s="15" t="s">
        <v>348</v>
      </c>
      <c r="D213" s="15">
        <v>2010</v>
      </c>
      <c r="E213" s="16">
        <v>800000</v>
      </c>
      <c r="F213" s="15">
        <v>6</v>
      </c>
      <c r="G213" s="15">
        <v>6.3</v>
      </c>
      <c r="H213" s="15" t="s">
        <v>371</v>
      </c>
      <c r="I213" s="249">
        <f t="shared" si="9"/>
        <v>1</v>
      </c>
      <c r="J213" s="143">
        <v>5000</v>
      </c>
      <c r="K213" s="249" t="s">
        <v>2379</v>
      </c>
      <c r="M213" s="249">
        <f t="shared" si="10"/>
        <v>5</v>
      </c>
      <c r="N213" s="249">
        <f t="shared" si="11"/>
        <v>4</v>
      </c>
      <c r="O213" s="15" t="s">
        <v>328</v>
      </c>
      <c r="P213" s="15"/>
      <c r="Q213" s="15"/>
      <c r="S213" s="15"/>
      <c r="T213" s="15" t="s">
        <v>328</v>
      </c>
      <c r="U213" s="15"/>
      <c r="V213" s="15"/>
      <c r="W213" s="15"/>
      <c r="X213" s="15"/>
      <c r="Z213" s="127">
        <v>0.5</v>
      </c>
      <c r="AA213" s="249">
        <v>9</v>
      </c>
      <c r="AB213" s="250">
        <v>40000</v>
      </c>
      <c r="AC213" s="250">
        <v>12000</v>
      </c>
      <c r="AD213" s="250">
        <v>12000</v>
      </c>
      <c r="AE213" s="250">
        <v>120000</v>
      </c>
      <c r="AF213" s="250" t="s">
        <v>385</v>
      </c>
    </row>
    <row r="214" spans="2:32" x14ac:dyDescent="0.25">
      <c r="B214" s="65" t="s">
        <v>502</v>
      </c>
      <c r="C214" s="15" t="s">
        <v>348</v>
      </c>
      <c r="D214" s="15">
        <v>2011</v>
      </c>
      <c r="E214" s="16">
        <v>800000</v>
      </c>
      <c r="F214" s="15">
        <v>6</v>
      </c>
      <c r="G214" s="15">
        <v>6.3</v>
      </c>
      <c r="H214" s="15" t="s">
        <v>371</v>
      </c>
      <c r="I214" s="249">
        <f t="shared" si="9"/>
        <v>1</v>
      </c>
      <c r="J214" s="143">
        <v>5000</v>
      </c>
      <c r="K214" s="249" t="s">
        <v>2379</v>
      </c>
      <c r="M214" s="249">
        <f t="shared" si="10"/>
        <v>4</v>
      </c>
      <c r="N214" s="249">
        <f t="shared" si="11"/>
        <v>3</v>
      </c>
      <c r="O214" s="15" t="s">
        <v>328</v>
      </c>
      <c r="P214" s="15"/>
      <c r="Q214" s="15"/>
      <c r="S214" s="15"/>
      <c r="T214" s="15" t="s">
        <v>328</v>
      </c>
      <c r="U214" s="15"/>
      <c r="V214" s="15"/>
      <c r="W214" s="15"/>
      <c r="X214" s="15"/>
      <c r="Z214" s="127">
        <v>0.5</v>
      </c>
      <c r="AA214" s="249">
        <v>9</v>
      </c>
      <c r="AB214" s="250">
        <v>40000</v>
      </c>
      <c r="AC214" s="250">
        <v>12000</v>
      </c>
      <c r="AD214" s="250">
        <v>12000</v>
      </c>
      <c r="AE214" s="250">
        <v>120000</v>
      </c>
      <c r="AF214" s="250" t="s">
        <v>385</v>
      </c>
    </row>
    <row r="215" spans="2:32" x14ac:dyDescent="0.25">
      <c r="B215" s="65" t="s">
        <v>502</v>
      </c>
      <c r="C215" s="15" t="s">
        <v>348</v>
      </c>
      <c r="D215" s="15">
        <v>2012</v>
      </c>
      <c r="E215" s="16">
        <v>800000</v>
      </c>
      <c r="F215" s="15">
        <v>6</v>
      </c>
      <c r="G215" s="15">
        <v>6.3</v>
      </c>
      <c r="H215" s="15" t="s">
        <v>371</v>
      </c>
      <c r="I215" s="249">
        <f t="shared" si="9"/>
        <v>1</v>
      </c>
      <c r="J215" s="143">
        <v>5000</v>
      </c>
      <c r="K215" s="249" t="s">
        <v>2379</v>
      </c>
      <c r="M215" s="249">
        <f t="shared" si="10"/>
        <v>3</v>
      </c>
      <c r="N215" s="249">
        <f t="shared" si="11"/>
        <v>2</v>
      </c>
      <c r="O215" s="15" t="s">
        <v>328</v>
      </c>
      <c r="P215" s="15"/>
      <c r="Q215" s="15"/>
      <c r="S215" s="15"/>
      <c r="T215" s="15" t="s">
        <v>328</v>
      </c>
      <c r="U215" s="15"/>
      <c r="V215" s="15"/>
      <c r="W215" s="15"/>
      <c r="X215" s="15"/>
      <c r="Z215" s="127">
        <v>0.5</v>
      </c>
      <c r="AA215" s="249">
        <v>9</v>
      </c>
      <c r="AB215" s="250">
        <v>40000</v>
      </c>
      <c r="AC215" s="250">
        <v>12000</v>
      </c>
      <c r="AD215" s="250">
        <v>12000</v>
      </c>
      <c r="AE215" s="250">
        <v>120000</v>
      </c>
      <c r="AF215" s="250" t="s">
        <v>385</v>
      </c>
    </row>
    <row r="216" spans="2:32" x14ac:dyDescent="0.25">
      <c r="B216" s="65" t="s">
        <v>502</v>
      </c>
      <c r="C216" s="15" t="s">
        <v>348</v>
      </c>
      <c r="D216" s="15">
        <v>2013</v>
      </c>
      <c r="E216" s="16">
        <v>800000</v>
      </c>
      <c r="F216" s="15">
        <v>6</v>
      </c>
      <c r="G216" s="15">
        <v>6.3</v>
      </c>
      <c r="H216" s="15" t="s">
        <v>371</v>
      </c>
      <c r="I216" s="249">
        <f t="shared" si="9"/>
        <v>1</v>
      </c>
      <c r="J216" s="143">
        <v>5000</v>
      </c>
      <c r="K216" s="249" t="s">
        <v>2379</v>
      </c>
      <c r="M216" s="249">
        <f t="shared" si="10"/>
        <v>2</v>
      </c>
      <c r="N216" s="249">
        <f t="shared" si="11"/>
        <v>1</v>
      </c>
      <c r="O216" s="15" t="s">
        <v>328</v>
      </c>
      <c r="P216" s="15"/>
      <c r="Q216" s="15"/>
      <c r="S216" s="15"/>
      <c r="T216" s="15" t="s">
        <v>328</v>
      </c>
      <c r="U216" s="15"/>
      <c r="V216" s="15"/>
      <c r="W216" s="15"/>
      <c r="X216" s="15"/>
      <c r="Z216" s="127">
        <v>0.5</v>
      </c>
      <c r="AA216" s="249">
        <v>9</v>
      </c>
      <c r="AB216" s="250">
        <v>40000</v>
      </c>
      <c r="AC216" s="250">
        <v>12000</v>
      </c>
      <c r="AD216" s="250">
        <v>12000</v>
      </c>
      <c r="AE216" s="250">
        <v>120000</v>
      </c>
      <c r="AF216" s="250" t="s">
        <v>385</v>
      </c>
    </row>
    <row r="217" spans="2:32" x14ac:dyDescent="0.25">
      <c r="B217" s="63" t="s">
        <v>503</v>
      </c>
      <c r="C217" s="15" t="s">
        <v>337</v>
      </c>
      <c r="D217" s="15">
        <v>2008</v>
      </c>
      <c r="E217" s="16">
        <v>900000</v>
      </c>
      <c r="F217" s="15">
        <v>2</v>
      </c>
      <c r="G217" s="15">
        <v>2.2999999999999998</v>
      </c>
      <c r="H217" s="15" t="s">
        <v>340</v>
      </c>
      <c r="I217" s="249">
        <f t="shared" si="9"/>
        <v>1</v>
      </c>
      <c r="J217" s="143">
        <v>10000</v>
      </c>
      <c r="K217" s="249" t="s">
        <v>2378</v>
      </c>
      <c r="M217" s="249">
        <f t="shared" si="10"/>
        <v>7</v>
      </c>
      <c r="N217" s="249">
        <f t="shared" si="11"/>
        <v>6</v>
      </c>
      <c r="O217" s="15" t="s">
        <v>328</v>
      </c>
      <c r="P217" s="15"/>
      <c r="Q217" s="15"/>
      <c r="S217" s="15"/>
      <c r="T217" s="15" t="s">
        <v>328</v>
      </c>
      <c r="U217" s="15"/>
      <c r="V217" s="15"/>
      <c r="W217" s="15"/>
      <c r="X217" s="15"/>
      <c r="Z217" s="127">
        <v>0.3</v>
      </c>
      <c r="AA217" s="249">
        <v>5</v>
      </c>
      <c r="AB217" s="250">
        <v>12000</v>
      </c>
      <c r="AC217" s="250">
        <v>12000</v>
      </c>
      <c r="AD217" s="250">
        <v>60000</v>
      </c>
      <c r="AE217" s="250">
        <v>120000</v>
      </c>
      <c r="AF217" s="250">
        <v>12000</v>
      </c>
    </row>
    <row r="218" spans="2:32" x14ac:dyDescent="0.25">
      <c r="B218" s="63" t="s">
        <v>503</v>
      </c>
      <c r="C218" s="15" t="s">
        <v>337</v>
      </c>
      <c r="D218" s="15">
        <v>2008</v>
      </c>
      <c r="E218" s="16">
        <v>900000</v>
      </c>
      <c r="F218" s="15">
        <v>2</v>
      </c>
      <c r="G218" s="15">
        <v>2.2999999999999998</v>
      </c>
      <c r="H218" s="15" t="s">
        <v>340</v>
      </c>
      <c r="I218" s="249">
        <f t="shared" si="9"/>
        <v>1</v>
      </c>
      <c r="J218" s="143">
        <v>10000</v>
      </c>
      <c r="K218" s="249" t="s">
        <v>2378</v>
      </c>
      <c r="M218" s="249">
        <f t="shared" si="10"/>
        <v>7</v>
      </c>
      <c r="N218" s="249">
        <f t="shared" si="11"/>
        <v>6</v>
      </c>
      <c r="O218" s="15" t="s">
        <v>328</v>
      </c>
      <c r="P218" s="15"/>
      <c r="Q218" s="15"/>
      <c r="S218" s="15"/>
      <c r="T218" s="15" t="s">
        <v>328</v>
      </c>
      <c r="U218" s="15"/>
      <c r="V218" s="15"/>
      <c r="W218" s="15"/>
      <c r="X218" s="15"/>
      <c r="Z218" s="127">
        <v>0.3</v>
      </c>
      <c r="AA218" s="249">
        <v>5</v>
      </c>
      <c r="AB218" s="250">
        <v>12000</v>
      </c>
      <c r="AC218" s="250">
        <v>12000</v>
      </c>
      <c r="AD218" s="250">
        <v>60000</v>
      </c>
      <c r="AE218" s="250">
        <v>120000</v>
      </c>
      <c r="AF218" s="250">
        <v>12000</v>
      </c>
    </row>
    <row r="219" spans="2:32" x14ac:dyDescent="0.25">
      <c r="B219" s="63" t="s">
        <v>503</v>
      </c>
      <c r="C219" s="15" t="s">
        <v>337</v>
      </c>
      <c r="D219" s="15">
        <v>2009</v>
      </c>
      <c r="E219" s="16">
        <v>900000</v>
      </c>
      <c r="F219" s="15">
        <v>2</v>
      </c>
      <c r="G219" s="15">
        <v>2.2999999999999998</v>
      </c>
      <c r="H219" s="15" t="s">
        <v>340</v>
      </c>
      <c r="I219" s="249">
        <f t="shared" si="9"/>
        <v>1</v>
      </c>
      <c r="J219" s="143">
        <v>10000</v>
      </c>
      <c r="K219" s="249" t="s">
        <v>2378</v>
      </c>
      <c r="M219" s="249">
        <f t="shared" si="10"/>
        <v>6</v>
      </c>
      <c r="N219" s="249">
        <f t="shared" si="11"/>
        <v>5</v>
      </c>
      <c r="O219" s="15" t="s">
        <v>328</v>
      </c>
      <c r="P219" s="15"/>
      <c r="Q219" s="15"/>
      <c r="S219" s="15"/>
      <c r="T219" s="15" t="s">
        <v>328</v>
      </c>
      <c r="U219" s="15"/>
      <c r="V219" s="15"/>
      <c r="W219" s="15"/>
      <c r="X219" s="15"/>
      <c r="Z219" s="127">
        <v>0.3</v>
      </c>
      <c r="AA219" s="249">
        <v>5</v>
      </c>
      <c r="AB219" s="250">
        <v>12000</v>
      </c>
      <c r="AC219" s="250">
        <v>12000</v>
      </c>
      <c r="AD219" s="250">
        <v>60000</v>
      </c>
      <c r="AE219" s="250">
        <v>120000</v>
      </c>
      <c r="AF219" s="250">
        <v>12000</v>
      </c>
    </row>
    <row r="220" spans="2:32" x14ac:dyDescent="0.25">
      <c r="B220" s="63" t="s">
        <v>503</v>
      </c>
      <c r="C220" s="15" t="s">
        <v>337</v>
      </c>
      <c r="D220" s="15">
        <v>2009</v>
      </c>
      <c r="E220" s="16">
        <v>900000</v>
      </c>
      <c r="F220" s="15">
        <v>2</v>
      </c>
      <c r="G220" s="15">
        <v>2.2999999999999998</v>
      </c>
      <c r="H220" s="15" t="s">
        <v>340</v>
      </c>
      <c r="I220" s="249">
        <f t="shared" si="9"/>
        <v>1</v>
      </c>
      <c r="J220" s="143">
        <v>10000</v>
      </c>
      <c r="K220" s="249" t="s">
        <v>2378</v>
      </c>
      <c r="M220" s="249">
        <f t="shared" si="10"/>
        <v>6</v>
      </c>
      <c r="N220" s="249">
        <f t="shared" si="11"/>
        <v>5</v>
      </c>
      <c r="O220" s="15" t="s">
        <v>328</v>
      </c>
      <c r="P220" s="15"/>
      <c r="Q220" s="15"/>
      <c r="S220" s="15"/>
      <c r="T220" s="15" t="s">
        <v>328</v>
      </c>
      <c r="U220" s="15"/>
      <c r="V220" s="15"/>
      <c r="W220" s="15"/>
      <c r="X220" s="15"/>
      <c r="Z220" s="127">
        <v>0.3</v>
      </c>
      <c r="AA220" s="249">
        <v>5</v>
      </c>
      <c r="AB220" s="250">
        <v>12000</v>
      </c>
      <c r="AC220" s="250">
        <v>12000</v>
      </c>
      <c r="AD220" s="250">
        <v>60000</v>
      </c>
      <c r="AE220" s="250">
        <v>120000</v>
      </c>
      <c r="AF220" s="250">
        <v>12000</v>
      </c>
    </row>
    <row r="221" spans="2:32" x14ac:dyDescent="0.25">
      <c r="B221" s="63" t="s">
        <v>503</v>
      </c>
      <c r="C221" s="15" t="s">
        <v>337</v>
      </c>
      <c r="D221" s="15">
        <v>2009</v>
      </c>
      <c r="E221" s="16">
        <v>900000</v>
      </c>
      <c r="F221" s="15">
        <v>2</v>
      </c>
      <c r="G221" s="15">
        <v>2.2999999999999998</v>
      </c>
      <c r="H221" s="15" t="s">
        <v>340</v>
      </c>
      <c r="I221" s="249">
        <f t="shared" si="9"/>
        <v>1</v>
      </c>
      <c r="J221" s="143">
        <v>10000</v>
      </c>
      <c r="K221" s="249" t="s">
        <v>2378</v>
      </c>
      <c r="M221" s="249">
        <f t="shared" si="10"/>
        <v>6</v>
      </c>
      <c r="N221" s="249">
        <f t="shared" si="11"/>
        <v>5</v>
      </c>
      <c r="O221" s="15" t="s">
        <v>328</v>
      </c>
      <c r="P221" s="15"/>
      <c r="Q221" s="15"/>
      <c r="S221" s="15"/>
      <c r="T221" s="15" t="s">
        <v>328</v>
      </c>
      <c r="U221" s="15"/>
      <c r="V221" s="15"/>
      <c r="W221" s="15"/>
      <c r="X221" s="15"/>
      <c r="Z221" s="127">
        <v>0.3</v>
      </c>
      <c r="AA221" s="249">
        <v>5</v>
      </c>
      <c r="AB221" s="250">
        <v>12000</v>
      </c>
      <c r="AC221" s="250">
        <v>12000</v>
      </c>
      <c r="AD221" s="250">
        <v>60000</v>
      </c>
      <c r="AE221" s="250">
        <v>120000</v>
      </c>
      <c r="AF221" s="250">
        <v>12000</v>
      </c>
    </row>
    <row r="222" spans="2:32" x14ac:dyDescent="0.25">
      <c r="B222" s="63" t="s">
        <v>505</v>
      </c>
      <c r="C222" s="14" t="s">
        <v>351</v>
      </c>
      <c r="D222" s="15">
        <v>1980</v>
      </c>
      <c r="E222" s="16">
        <v>1980000</v>
      </c>
      <c r="F222" s="15">
        <v>2</v>
      </c>
      <c r="G222" s="15">
        <v>2.2999999999999998</v>
      </c>
      <c r="H222" s="15" t="s">
        <v>340</v>
      </c>
      <c r="I222" s="249">
        <f t="shared" si="9"/>
        <v>1</v>
      </c>
      <c r="J222" s="143">
        <v>5000</v>
      </c>
      <c r="K222" s="249" t="s">
        <v>2378</v>
      </c>
      <c r="M222" s="249">
        <f t="shared" si="10"/>
        <v>35</v>
      </c>
      <c r="N222" s="249">
        <f t="shared" si="11"/>
        <v>34</v>
      </c>
      <c r="O222" s="15"/>
      <c r="P222" s="15"/>
      <c r="Q222" s="15" t="s">
        <v>328</v>
      </c>
      <c r="S222" s="15"/>
      <c r="T222" s="15" t="s">
        <v>328</v>
      </c>
      <c r="U222" s="15"/>
      <c r="V222" s="15"/>
      <c r="W222" s="15"/>
      <c r="X222" s="15"/>
      <c r="Z222" s="127">
        <v>0.5</v>
      </c>
      <c r="AA222" s="249">
        <v>4</v>
      </c>
      <c r="AB222" s="250">
        <v>12000</v>
      </c>
      <c r="AC222" s="250">
        <v>12000</v>
      </c>
      <c r="AD222" s="250">
        <v>50000</v>
      </c>
      <c r="AE222" s="250">
        <v>50000</v>
      </c>
      <c r="AF222" s="250">
        <v>50000</v>
      </c>
    </row>
    <row r="223" spans="2:32" x14ac:dyDescent="0.25">
      <c r="B223" s="63" t="s">
        <v>505</v>
      </c>
      <c r="C223" s="14" t="s">
        <v>351</v>
      </c>
      <c r="D223" s="15">
        <v>1980</v>
      </c>
      <c r="E223" s="16">
        <v>1980000</v>
      </c>
      <c r="F223" s="15">
        <v>2</v>
      </c>
      <c r="G223" s="15">
        <v>2.2999999999999998</v>
      </c>
      <c r="H223" s="15" t="s">
        <v>340</v>
      </c>
      <c r="I223" s="249">
        <f t="shared" si="9"/>
        <v>1</v>
      </c>
      <c r="J223" s="143">
        <v>5000</v>
      </c>
      <c r="K223" s="249" t="s">
        <v>2378</v>
      </c>
      <c r="M223" s="249">
        <f t="shared" si="10"/>
        <v>35</v>
      </c>
      <c r="N223" s="249">
        <f t="shared" si="11"/>
        <v>34</v>
      </c>
      <c r="O223" s="15"/>
      <c r="P223" s="15"/>
      <c r="Q223" s="15" t="s">
        <v>328</v>
      </c>
      <c r="S223" s="15"/>
      <c r="T223" s="15" t="s">
        <v>328</v>
      </c>
      <c r="U223" s="15"/>
      <c r="V223" s="15"/>
      <c r="W223" s="15"/>
      <c r="X223" s="15"/>
      <c r="Z223" s="127">
        <v>0.5</v>
      </c>
      <c r="AA223" s="249">
        <v>4</v>
      </c>
      <c r="AB223" s="250">
        <v>12000</v>
      </c>
      <c r="AC223" s="250">
        <v>12000</v>
      </c>
      <c r="AD223" s="250">
        <v>50000</v>
      </c>
      <c r="AE223" s="250">
        <v>50000</v>
      </c>
      <c r="AF223" s="250">
        <v>50000</v>
      </c>
    </row>
    <row r="224" spans="2:32" x14ac:dyDescent="0.25">
      <c r="B224" s="63" t="s">
        <v>505</v>
      </c>
      <c r="C224" s="14" t="s">
        <v>351</v>
      </c>
      <c r="D224" s="15">
        <v>1980</v>
      </c>
      <c r="E224" s="16">
        <v>1980000</v>
      </c>
      <c r="F224" s="15">
        <v>2</v>
      </c>
      <c r="G224" s="15">
        <v>2.2999999999999998</v>
      </c>
      <c r="H224" s="15" t="s">
        <v>340</v>
      </c>
      <c r="I224" s="249">
        <f t="shared" si="9"/>
        <v>1</v>
      </c>
      <c r="J224" s="143">
        <v>5000</v>
      </c>
      <c r="K224" s="249" t="s">
        <v>2378</v>
      </c>
      <c r="M224" s="249">
        <f t="shared" si="10"/>
        <v>35</v>
      </c>
      <c r="N224" s="249">
        <f t="shared" si="11"/>
        <v>34</v>
      </c>
      <c r="O224" s="15"/>
      <c r="P224" s="15"/>
      <c r="Q224" s="15" t="s">
        <v>328</v>
      </c>
      <c r="S224" s="15"/>
      <c r="T224" s="15" t="s">
        <v>328</v>
      </c>
      <c r="U224" s="15"/>
      <c r="V224" s="15"/>
      <c r="W224" s="15"/>
      <c r="X224" s="15"/>
      <c r="Z224" s="127">
        <v>0.5</v>
      </c>
      <c r="AA224" s="249">
        <v>4</v>
      </c>
      <c r="AB224" s="250">
        <v>12000</v>
      </c>
      <c r="AC224" s="250">
        <v>12000</v>
      </c>
      <c r="AD224" s="250">
        <v>50000</v>
      </c>
      <c r="AE224" s="250">
        <v>50000</v>
      </c>
      <c r="AF224" s="250">
        <v>50000</v>
      </c>
    </row>
    <row r="225" spans="2:32" x14ac:dyDescent="0.25">
      <c r="B225" s="63" t="s">
        <v>505</v>
      </c>
      <c r="C225" s="14" t="s">
        <v>351</v>
      </c>
      <c r="D225" s="15">
        <v>1980</v>
      </c>
      <c r="E225" s="16">
        <v>1980000</v>
      </c>
      <c r="F225" s="15">
        <v>2</v>
      </c>
      <c r="G225" s="15">
        <v>2.2999999999999998</v>
      </c>
      <c r="H225" s="15" t="s">
        <v>340</v>
      </c>
      <c r="I225" s="249">
        <f t="shared" si="9"/>
        <v>1</v>
      </c>
      <c r="J225" s="143">
        <v>5000</v>
      </c>
      <c r="K225" s="249" t="s">
        <v>2378</v>
      </c>
      <c r="M225" s="249">
        <f t="shared" si="10"/>
        <v>35</v>
      </c>
      <c r="N225" s="249">
        <f t="shared" si="11"/>
        <v>34</v>
      </c>
      <c r="O225" s="15"/>
      <c r="P225" s="15"/>
      <c r="Q225" s="15" t="s">
        <v>328</v>
      </c>
      <c r="S225" s="15"/>
      <c r="T225" s="15" t="s">
        <v>328</v>
      </c>
      <c r="U225" s="15"/>
      <c r="V225" s="15"/>
      <c r="W225" s="15"/>
      <c r="X225" s="15"/>
      <c r="Z225" s="127">
        <v>0.5</v>
      </c>
      <c r="AA225" s="249">
        <v>4</v>
      </c>
      <c r="AB225" s="250">
        <v>12000</v>
      </c>
      <c r="AC225" s="250">
        <v>12000</v>
      </c>
      <c r="AD225" s="250">
        <v>50000</v>
      </c>
      <c r="AE225" s="250">
        <v>50000</v>
      </c>
      <c r="AF225" s="250">
        <v>50000</v>
      </c>
    </row>
    <row r="226" spans="2:32" x14ac:dyDescent="0.25">
      <c r="B226" s="61" t="s">
        <v>506</v>
      </c>
      <c r="C226" s="14" t="s">
        <v>337</v>
      </c>
      <c r="D226" s="14">
        <v>2012</v>
      </c>
      <c r="E226" s="13">
        <v>100500</v>
      </c>
      <c r="F226" s="14">
        <v>2.2999999999999998</v>
      </c>
      <c r="G226" s="14">
        <v>2.5</v>
      </c>
      <c r="H226" s="14" t="s">
        <v>340</v>
      </c>
      <c r="I226" s="249">
        <f t="shared" si="9"/>
        <v>1</v>
      </c>
      <c r="J226" s="143">
        <v>8700</v>
      </c>
      <c r="K226" s="249" t="s">
        <v>2378</v>
      </c>
      <c r="M226" s="249">
        <f t="shared" si="10"/>
        <v>3</v>
      </c>
      <c r="N226" s="249">
        <f t="shared" si="11"/>
        <v>2</v>
      </c>
      <c r="O226" s="14" t="s">
        <v>328</v>
      </c>
      <c r="P226" s="14"/>
      <c r="Q226" s="14"/>
      <c r="S226" s="14"/>
      <c r="T226" s="14" t="s">
        <v>328</v>
      </c>
      <c r="U226" s="14"/>
      <c r="V226" s="14"/>
      <c r="W226" s="14"/>
      <c r="X226" s="14"/>
      <c r="Z226" s="126">
        <v>0.5</v>
      </c>
      <c r="AA226" s="249">
        <v>1</v>
      </c>
      <c r="AB226" s="250">
        <v>10000</v>
      </c>
      <c r="AC226" s="250">
        <v>10000</v>
      </c>
      <c r="AD226" s="250">
        <v>50000</v>
      </c>
      <c r="AE226" s="250">
        <v>104400</v>
      </c>
      <c r="AF226" s="250">
        <v>50000</v>
      </c>
    </row>
    <row r="227" spans="2:32" x14ac:dyDescent="0.25">
      <c r="B227" s="61" t="s">
        <v>507</v>
      </c>
      <c r="C227" s="14" t="s">
        <v>351</v>
      </c>
      <c r="D227" s="14">
        <v>2012</v>
      </c>
      <c r="E227" s="13">
        <v>385000</v>
      </c>
      <c r="F227" s="14">
        <v>3</v>
      </c>
      <c r="G227" s="14">
        <v>3.5</v>
      </c>
      <c r="H227" s="14" t="s">
        <v>340</v>
      </c>
      <c r="I227" s="249">
        <f t="shared" si="9"/>
        <v>1</v>
      </c>
      <c r="J227" s="143">
        <v>15000</v>
      </c>
      <c r="K227" s="249" t="s">
        <v>2378</v>
      </c>
      <c r="M227" s="249">
        <f t="shared" si="10"/>
        <v>3</v>
      </c>
      <c r="N227" s="249">
        <f t="shared" si="11"/>
        <v>2</v>
      </c>
      <c r="O227" s="14" t="s">
        <v>328</v>
      </c>
      <c r="P227" s="14"/>
      <c r="Q227" s="14"/>
      <c r="S227" s="14"/>
      <c r="T227" s="14" t="s">
        <v>328</v>
      </c>
      <c r="U227" s="14"/>
      <c r="V227" s="14"/>
      <c r="W227" s="14"/>
      <c r="X227" s="14"/>
      <c r="Z227" s="126">
        <v>0.1</v>
      </c>
      <c r="AA227" s="249">
        <v>1</v>
      </c>
      <c r="AB227" s="250">
        <v>50000</v>
      </c>
      <c r="AC227" s="250">
        <v>10000</v>
      </c>
      <c r="AD227" s="250">
        <v>90000</v>
      </c>
      <c r="AE227" s="250">
        <v>90000</v>
      </c>
      <c r="AF227" s="250">
        <v>10000</v>
      </c>
    </row>
    <row r="228" spans="2:32" x14ac:dyDescent="0.25">
      <c r="B228" s="61" t="s">
        <v>508</v>
      </c>
      <c r="C228" s="14" t="s">
        <v>351</v>
      </c>
      <c r="D228" s="14">
        <v>2005</v>
      </c>
      <c r="E228" s="13">
        <v>550000</v>
      </c>
      <c r="F228" s="14">
        <v>2.6</v>
      </c>
      <c r="G228" s="14">
        <v>3.5</v>
      </c>
      <c r="H228" s="14" t="s">
        <v>340</v>
      </c>
      <c r="I228" s="249">
        <f t="shared" si="9"/>
        <v>1</v>
      </c>
      <c r="J228" s="143">
        <v>3500</v>
      </c>
      <c r="K228" s="249" t="s">
        <v>2378</v>
      </c>
      <c r="M228" s="249">
        <f t="shared" si="10"/>
        <v>10</v>
      </c>
      <c r="N228" s="249">
        <f t="shared" si="11"/>
        <v>9</v>
      </c>
      <c r="O228" s="14"/>
      <c r="P228" s="14"/>
      <c r="Q228" s="14" t="s">
        <v>328</v>
      </c>
      <c r="S228" s="14"/>
      <c r="T228" s="14" t="s">
        <v>328</v>
      </c>
      <c r="U228" s="14"/>
      <c r="V228" s="14"/>
      <c r="W228" s="14"/>
      <c r="X228" s="14"/>
      <c r="Z228" s="126">
        <v>0.5</v>
      </c>
      <c r="AA228" s="249">
        <v>1</v>
      </c>
      <c r="AB228" s="250">
        <v>16000</v>
      </c>
      <c r="AC228" s="250">
        <v>20000</v>
      </c>
      <c r="AD228" s="250">
        <v>18000</v>
      </c>
      <c r="AE228" s="250">
        <v>42000</v>
      </c>
      <c r="AF228" s="250">
        <v>20000</v>
      </c>
    </row>
    <row r="229" spans="2:32" x14ac:dyDescent="0.25">
      <c r="B229" s="61" t="s">
        <v>509</v>
      </c>
      <c r="C229" s="14" t="s">
        <v>348</v>
      </c>
      <c r="D229" s="14">
        <v>2008</v>
      </c>
      <c r="E229" s="13">
        <v>400000</v>
      </c>
      <c r="F229" s="14">
        <v>2.8</v>
      </c>
      <c r="G229" s="14">
        <v>3</v>
      </c>
      <c r="H229" s="14" t="s">
        <v>340</v>
      </c>
      <c r="I229" s="249">
        <f t="shared" si="9"/>
        <v>1</v>
      </c>
      <c r="J229" s="143">
        <v>4000</v>
      </c>
      <c r="K229" s="249" t="s">
        <v>2378</v>
      </c>
      <c r="M229" s="249">
        <f t="shared" si="10"/>
        <v>7</v>
      </c>
      <c r="N229" s="249">
        <f t="shared" si="11"/>
        <v>6</v>
      </c>
      <c r="O229" s="14"/>
      <c r="P229" s="14" t="s">
        <v>328</v>
      </c>
      <c r="Q229" s="14"/>
      <c r="S229" s="14"/>
      <c r="T229" s="14" t="s">
        <v>328</v>
      </c>
      <c r="U229" s="14"/>
      <c r="V229" s="14"/>
      <c r="W229" s="14"/>
      <c r="X229" s="14"/>
      <c r="Z229" s="126">
        <v>0.5</v>
      </c>
      <c r="AA229" s="249">
        <v>2</v>
      </c>
      <c r="AB229" s="250">
        <v>13000</v>
      </c>
      <c r="AC229" s="250">
        <v>15000</v>
      </c>
      <c r="AD229" s="250">
        <v>17000</v>
      </c>
      <c r="AE229" s="250">
        <v>120000</v>
      </c>
      <c r="AF229" s="250">
        <v>13000</v>
      </c>
    </row>
    <row r="230" spans="2:32" x14ac:dyDescent="0.25">
      <c r="B230" s="61" t="s">
        <v>509</v>
      </c>
      <c r="C230" s="14" t="s">
        <v>348</v>
      </c>
      <c r="D230" s="14">
        <v>2001</v>
      </c>
      <c r="E230" s="13">
        <v>650000</v>
      </c>
      <c r="F230" s="14">
        <v>2.8</v>
      </c>
      <c r="G230" s="14">
        <v>3</v>
      </c>
      <c r="H230" s="14" t="s">
        <v>340</v>
      </c>
      <c r="I230" s="249">
        <f t="shared" si="9"/>
        <v>1</v>
      </c>
      <c r="J230" s="143">
        <v>4000</v>
      </c>
      <c r="K230" s="249" t="s">
        <v>2378</v>
      </c>
      <c r="M230" s="249">
        <f t="shared" si="10"/>
        <v>14</v>
      </c>
      <c r="N230" s="249">
        <f t="shared" si="11"/>
        <v>13</v>
      </c>
      <c r="O230" s="14"/>
      <c r="P230" s="14"/>
      <c r="Q230" s="14" t="s">
        <v>328</v>
      </c>
      <c r="S230" s="14"/>
      <c r="T230" s="14" t="s">
        <v>328</v>
      </c>
      <c r="U230" s="14"/>
      <c r="V230" s="14"/>
      <c r="W230" s="14"/>
      <c r="X230" s="14"/>
      <c r="Z230" s="126">
        <v>0.5</v>
      </c>
      <c r="AA230" s="249">
        <v>2</v>
      </c>
      <c r="AB230" s="250">
        <v>13000</v>
      </c>
      <c r="AC230" s="250">
        <v>15000</v>
      </c>
      <c r="AD230" s="250">
        <v>17000</v>
      </c>
      <c r="AE230" s="250">
        <v>120000</v>
      </c>
      <c r="AF230" s="250">
        <v>13000</v>
      </c>
    </row>
    <row r="231" spans="2:32" x14ac:dyDescent="0.25">
      <c r="B231" s="61" t="s">
        <v>510</v>
      </c>
      <c r="C231" s="14" t="s">
        <v>359</v>
      </c>
      <c r="D231" s="14">
        <v>2010</v>
      </c>
      <c r="E231" s="13">
        <v>180000</v>
      </c>
      <c r="F231" s="14">
        <v>2.8</v>
      </c>
      <c r="G231" s="14">
        <v>3.5</v>
      </c>
      <c r="H231" s="14" t="s">
        <v>340</v>
      </c>
      <c r="I231" s="249">
        <f t="shared" si="9"/>
        <v>1</v>
      </c>
      <c r="J231" s="143">
        <v>5000</v>
      </c>
      <c r="K231" s="249" t="s">
        <v>2378</v>
      </c>
      <c r="M231" s="249">
        <f t="shared" si="10"/>
        <v>5</v>
      </c>
      <c r="N231" s="249">
        <f t="shared" si="11"/>
        <v>4</v>
      </c>
      <c r="O231" s="14" t="s">
        <v>328</v>
      </c>
      <c r="P231" s="14"/>
      <c r="Q231" s="14"/>
      <c r="S231" s="14"/>
      <c r="T231" s="14"/>
      <c r="U231" s="14"/>
      <c r="V231" s="14"/>
      <c r="W231" s="14"/>
      <c r="X231" s="14" t="s">
        <v>328</v>
      </c>
      <c r="Z231" s="126">
        <v>0.5</v>
      </c>
      <c r="AA231" s="249">
        <v>2</v>
      </c>
      <c r="AB231" s="250">
        <v>20000</v>
      </c>
      <c r="AC231" s="250">
        <v>20000</v>
      </c>
      <c r="AD231" s="250">
        <v>60000</v>
      </c>
      <c r="AE231" s="250">
        <v>90000</v>
      </c>
      <c r="AF231" s="250">
        <v>20000</v>
      </c>
    </row>
    <row r="232" spans="2:32" x14ac:dyDescent="0.25">
      <c r="B232" s="61" t="s">
        <v>510</v>
      </c>
      <c r="C232" s="14" t="s">
        <v>359</v>
      </c>
      <c r="D232" s="14">
        <v>2010</v>
      </c>
      <c r="E232" s="13">
        <v>180000</v>
      </c>
      <c r="F232" s="14">
        <v>2.8</v>
      </c>
      <c r="G232" s="14">
        <v>3.5</v>
      </c>
      <c r="H232" s="14" t="s">
        <v>340</v>
      </c>
      <c r="I232" s="249">
        <f t="shared" si="9"/>
        <v>1</v>
      </c>
      <c r="J232" s="143">
        <v>5000</v>
      </c>
      <c r="K232" s="249" t="s">
        <v>2378</v>
      </c>
      <c r="M232" s="249">
        <f t="shared" si="10"/>
        <v>5</v>
      </c>
      <c r="N232" s="249">
        <f t="shared" si="11"/>
        <v>4</v>
      </c>
      <c r="O232" s="14" t="s">
        <v>328</v>
      </c>
      <c r="P232" s="14"/>
      <c r="Q232" s="14"/>
      <c r="S232" s="14"/>
      <c r="T232" s="14"/>
      <c r="U232" s="14"/>
      <c r="V232" s="14"/>
      <c r="W232" s="14"/>
      <c r="X232" s="14" t="s">
        <v>328</v>
      </c>
      <c r="Z232" s="126">
        <v>0.5</v>
      </c>
      <c r="AA232" s="249">
        <v>2</v>
      </c>
      <c r="AB232" s="250">
        <v>20000</v>
      </c>
      <c r="AC232" s="250">
        <v>20000</v>
      </c>
      <c r="AD232" s="250">
        <v>60000</v>
      </c>
      <c r="AE232" s="250">
        <v>90000</v>
      </c>
      <c r="AF232" s="250">
        <v>20000</v>
      </c>
    </row>
    <row r="233" spans="2:32" x14ac:dyDescent="0.25">
      <c r="B233" s="61" t="s">
        <v>511</v>
      </c>
      <c r="C233" s="14" t="s">
        <v>348</v>
      </c>
      <c r="D233" s="14">
        <v>1981</v>
      </c>
      <c r="E233" s="13">
        <v>2500000</v>
      </c>
      <c r="F233" s="14">
        <v>2.5</v>
      </c>
      <c r="G233" s="14">
        <v>3</v>
      </c>
      <c r="H233" s="14" t="s">
        <v>340</v>
      </c>
      <c r="I233" s="249">
        <f t="shared" si="9"/>
        <v>1</v>
      </c>
      <c r="J233" s="143">
        <v>2000</v>
      </c>
      <c r="K233" s="249" t="s">
        <v>2378</v>
      </c>
      <c r="M233" s="249">
        <f t="shared" si="10"/>
        <v>34</v>
      </c>
      <c r="N233" s="249">
        <f t="shared" si="11"/>
        <v>33</v>
      </c>
      <c r="O233" s="14"/>
      <c r="P233" s="14"/>
      <c r="Q233" s="14" t="s">
        <v>328</v>
      </c>
      <c r="S233" s="14"/>
      <c r="T233" s="14" t="s">
        <v>328</v>
      </c>
      <c r="U233" s="14"/>
      <c r="V233" s="14"/>
      <c r="W233" s="14"/>
      <c r="X233" s="14"/>
      <c r="Z233" s="126">
        <v>0.1</v>
      </c>
      <c r="AA233" s="249">
        <v>1</v>
      </c>
      <c r="AB233" s="250">
        <v>20000</v>
      </c>
      <c r="AC233" s="250">
        <v>30000</v>
      </c>
      <c r="AD233" s="250">
        <v>6000</v>
      </c>
      <c r="AE233" s="250">
        <v>50000</v>
      </c>
      <c r="AF233" s="250">
        <v>20000</v>
      </c>
    </row>
    <row r="234" spans="2:32" x14ac:dyDescent="0.25">
      <c r="B234" s="61" t="s">
        <v>512</v>
      </c>
      <c r="C234" s="14" t="s">
        <v>337</v>
      </c>
      <c r="D234" s="14">
        <v>2002</v>
      </c>
      <c r="E234" s="13">
        <v>700000</v>
      </c>
      <c r="F234" s="14">
        <v>2.8</v>
      </c>
      <c r="G234" s="14">
        <v>2.8</v>
      </c>
      <c r="H234" s="14" t="s">
        <v>340</v>
      </c>
      <c r="I234" s="249">
        <f t="shared" si="9"/>
        <v>1</v>
      </c>
      <c r="J234" s="143">
        <v>3000</v>
      </c>
      <c r="K234" s="249" t="s">
        <v>2378</v>
      </c>
      <c r="M234" s="249">
        <f t="shared" si="10"/>
        <v>13</v>
      </c>
      <c r="N234" s="249">
        <f t="shared" si="11"/>
        <v>12</v>
      </c>
      <c r="O234" s="14"/>
      <c r="P234" s="14"/>
      <c r="Q234" s="14" t="s">
        <v>328</v>
      </c>
      <c r="S234" s="14"/>
      <c r="T234" s="14" t="s">
        <v>328</v>
      </c>
      <c r="U234" s="14"/>
      <c r="V234" s="14"/>
      <c r="W234" s="14"/>
      <c r="X234" s="14"/>
      <c r="Z234" s="126">
        <v>0.5</v>
      </c>
      <c r="AA234" s="249">
        <v>1</v>
      </c>
      <c r="AB234" s="250">
        <v>20000</v>
      </c>
      <c r="AC234" s="250">
        <v>25000</v>
      </c>
      <c r="AD234" s="250">
        <v>18000</v>
      </c>
      <c r="AE234" s="250">
        <v>200000</v>
      </c>
      <c r="AF234" s="250">
        <v>20000</v>
      </c>
    </row>
    <row r="235" spans="2:32" x14ac:dyDescent="0.25">
      <c r="B235" s="61" t="s">
        <v>513</v>
      </c>
      <c r="C235" s="14" t="s">
        <v>359</v>
      </c>
      <c r="D235" s="14">
        <v>2009</v>
      </c>
      <c r="E235" s="13">
        <v>500000</v>
      </c>
      <c r="F235" s="14">
        <v>2.5</v>
      </c>
      <c r="G235" s="14">
        <v>3</v>
      </c>
      <c r="H235" s="14" t="s">
        <v>340</v>
      </c>
      <c r="I235" s="249">
        <f t="shared" si="9"/>
        <v>1</v>
      </c>
      <c r="J235" s="143">
        <v>10000</v>
      </c>
      <c r="K235" s="249" t="s">
        <v>2378</v>
      </c>
      <c r="M235" s="249">
        <f t="shared" si="10"/>
        <v>6</v>
      </c>
      <c r="N235" s="249">
        <f t="shared" si="11"/>
        <v>5</v>
      </c>
      <c r="O235" s="14" t="s">
        <v>328</v>
      </c>
      <c r="P235" s="14"/>
      <c r="Q235" s="14"/>
      <c r="S235" s="14"/>
      <c r="T235" s="14"/>
      <c r="U235" s="14"/>
      <c r="V235" s="14"/>
      <c r="W235" s="14" t="s">
        <v>328</v>
      </c>
      <c r="X235" s="14"/>
      <c r="Z235" s="126">
        <v>0.5</v>
      </c>
      <c r="AA235" s="249">
        <v>5</v>
      </c>
      <c r="AB235" s="250">
        <v>50000</v>
      </c>
      <c r="AC235" s="250">
        <v>50000</v>
      </c>
      <c r="AD235" s="250">
        <v>120000</v>
      </c>
      <c r="AE235" s="250">
        <v>250000</v>
      </c>
      <c r="AF235" s="250">
        <v>80000</v>
      </c>
    </row>
    <row r="236" spans="2:32" x14ac:dyDescent="0.25">
      <c r="B236" s="61" t="s">
        <v>513</v>
      </c>
      <c r="C236" s="14" t="s">
        <v>359</v>
      </c>
      <c r="D236" s="14">
        <v>2009</v>
      </c>
      <c r="E236" s="13">
        <v>500000</v>
      </c>
      <c r="F236" s="14">
        <v>2.5</v>
      </c>
      <c r="G236" s="14">
        <v>3</v>
      </c>
      <c r="H236" s="14" t="s">
        <v>340</v>
      </c>
      <c r="I236" s="249">
        <f t="shared" si="9"/>
        <v>1</v>
      </c>
      <c r="J236" s="143">
        <v>10000</v>
      </c>
      <c r="K236" s="249" t="s">
        <v>2378</v>
      </c>
      <c r="M236" s="249">
        <f t="shared" si="10"/>
        <v>6</v>
      </c>
      <c r="N236" s="249">
        <f t="shared" si="11"/>
        <v>5</v>
      </c>
      <c r="O236" s="14" t="s">
        <v>328</v>
      </c>
      <c r="P236" s="14"/>
      <c r="Q236" s="14"/>
      <c r="S236" s="14"/>
      <c r="T236" s="14"/>
      <c r="U236" s="14"/>
      <c r="V236" s="14"/>
      <c r="W236" s="14" t="s">
        <v>328</v>
      </c>
      <c r="X236" s="14"/>
      <c r="Z236" s="126">
        <v>0.5</v>
      </c>
      <c r="AA236" s="249">
        <v>5</v>
      </c>
      <c r="AB236" s="250">
        <v>50000</v>
      </c>
      <c r="AC236" s="250">
        <v>50000</v>
      </c>
      <c r="AD236" s="250">
        <v>120000</v>
      </c>
      <c r="AE236" s="250">
        <v>250000</v>
      </c>
      <c r="AF236" s="250">
        <v>80000</v>
      </c>
    </row>
    <row r="237" spans="2:32" x14ac:dyDescent="0.25">
      <c r="B237" s="61" t="s">
        <v>513</v>
      </c>
      <c r="C237" s="14" t="s">
        <v>359</v>
      </c>
      <c r="D237" s="14">
        <v>2009</v>
      </c>
      <c r="E237" s="13">
        <v>500000</v>
      </c>
      <c r="F237" s="14">
        <v>2.5</v>
      </c>
      <c r="G237" s="14">
        <v>3</v>
      </c>
      <c r="H237" s="14" t="s">
        <v>340</v>
      </c>
      <c r="I237" s="249">
        <f t="shared" si="9"/>
        <v>1</v>
      </c>
      <c r="J237" s="143">
        <v>10000</v>
      </c>
      <c r="K237" s="249" t="s">
        <v>2378</v>
      </c>
      <c r="M237" s="249">
        <f t="shared" si="10"/>
        <v>6</v>
      </c>
      <c r="N237" s="249">
        <f t="shared" si="11"/>
        <v>5</v>
      </c>
      <c r="O237" s="14" t="s">
        <v>328</v>
      </c>
      <c r="P237" s="14"/>
      <c r="Q237" s="14"/>
      <c r="S237" s="14"/>
      <c r="T237" s="14"/>
      <c r="U237" s="14"/>
      <c r="V237" s="14"/>
      <c r="W237" s="14" t="s">
        <v>328</v>
      </c>
      <c r="X237" s="14"/>
      <c r="Z237" s="126">
        <v>0.5</v>
      </c>
      <c r="AA237" s="249">
        <v>5</v>
      </c>
      <c r="AB237" s="250">
        <v>50000</v>
      </c>
      <c r="AC237" s="250">
        <v>50000</v>
      </c>
      <c r="AD237" s="250">
        <v>120000</v>
      </c>
      <c r="AE237" s="250">
        <v>250000</v>
      </c>
      <c r="AF237" s="250">
        <v>80000</v>
      </c>
    </row>
    <row r="238" spans="2:32" x14ac:dyDescent="0.25">
      <c r="B238" s="61" t="s">
        <v>513</v>
      </c>
      <c r="C238" s="14" t="s">
        <v>359</v>
      </c>
      <c r="D238" s="14">
        <v>2009</v>
      </c>
      <c r="E238" s="13">
        <v>500000</v>
      </c>
      <c r="F238" s="14">
        <v>2.5</v>
      </c>
      <c r="G238" s="14">
        <v>3</v>
      </c>
      <c r="H238" s="14" t="s">
        <v>340</v>
      </c>
      <c r="I238" s="249">
        <f t="shared" si="9"/>
        <v>1</v>
      </c>
      <c r="J238" s="143">
        <v>10000</v>
      </c>
      <c r="K238" s="249" t="s">
        <v>2378</v>
      </c>
      <c r="M238" s="249">
        <f t="shared" si="10"/>
        <v>6</v>
      </c>
      <c r="N238" s="249">
        <f t="shared" si="11"/>
        <v>5</v>
      </c>
      <c r="O238" s="14" t="s">
        <v>328</v>
      </c>
      <c r="P238" s="14"/>
      <c r="Q238" s="14"/>
      <c r="S238" s="14"/>
      <c r="T238" s="14"/>
      <c r="U238" s="14"/>
      <c r="V238" s="14"/>
      <c r="W238" s="14" t="s">
        <v>328</v>
      </c>
      <c r="X238" s="14"/>
      <c r="Z238" s="126">
        <v>0.5</v>
      </c>
      <c r="AA238" s="249">
        <v>5</v>
      </c>
      <c r="AB238" s="250">
        <v>50000</v>
      </c>
      <c r="AC238" s="250">
        <v>50000</v>
      </c>
      <c r="AD238" s="250">
        <v>120000</v>
      </c>
      <c r="AE238" s="250">
        <v>250000</v>
      </c>
      <c r="AF238" s="250">
        <v>80000</v>
      </c>
    </row>
    <row r="239" spans="2:32" x14ac:dyDescent="0.25">
      <c r="B239" s="61" t="s">
        <v>513</v>
      </c>
      <c r="C239" s="14" t="s">
        <v>359</v>
      </c>
      <c r="D239" s="14">
        <v>2009</v>
      </c>
      <c r="E239" s="13">
        <v>500000</v>
      </c>
      <c r="F239" s="14">
        <v>2.5</v>
      </c>
      <c r="G239" s="14">
        <v>3</v>
      </c>
      <c r="H239" s="14" t="s">
        <v>340</v>
      </c>
      <c r="I239" s="249">
        <f t="shared" si="9"/>
        <v>1</v>
      </c>
      <c r="J239" s="143">
        <v>10000</v>
      </c>
      <c r="K239" s="249" t="s">
        <v>2378</v>
      </c>
      <c r="M239" s="249">
        <f t="shared" si="10"/>
        <v>6</v>
      </c>
      <c r="N239" s="249">
        <f t="shared" si="11"/>
        <v>5</v>
      </c>
      <c r="O239" s="14" t="s">
        <v>328</v>
      </c>
      <c r="P239" s="14"/>
      <c r="Q239" s="14"/>
      <c r="S239" s="14"/>
      <c r="T239" s="14"/>
      <c r="U239" s="14"/>
      <c r="V239" s="14"/>
      <c r="W239" s="14" t="s">
        <v>328</v>
      </c>
      <c r="X239" s="14"/>
      <c r="Z239" s="126">
        <v>0.5</v>
      </c>
      <c r="AA239" s="249">
        <v>5</v>
      </c>
      <c r="AB239" s="250">
        <v>50000</v>
      </c>
      <c r="AC239" s="250">
        <v>50000</v>
      </c>
      <c r="AD239" s="250">
        <v>120000</v>
      </c>
      <c r="AE239" s="250">
        <v>250000</v>
      </c>
      <c r="AF239" s="250">
        <v>80000</v>
      </c>
    </row>
    <row r="240" spans="2:32" x14ac:dyDescent="0.25">
      <c r="B240" s="61" t="s">
        <v>514</v>
      </c>
      <c r="C240" s="14" t="s">
        <v>348</v>
      </c>
      <c r="D240" s="14">
        <v>1999</v>
      </c>
      <c r="E240" s="13">
        <v>800000</v>
      </c>
      <c r="F240" s="14">
        <v>2.6</v>
      </c>
      <c r="G240" s="14">
        <v>2.6</v>
      </c>
      <c r="H240" s="14" t="s">
        <v>340</v>
      </c>
      <c r="I240" s="249">
        <f t="shared" si="9"/>
        <v>1</v>
      </c>
      <c r="J240" s="143">
        <v>3000</v>
      </c>
      <c r="K240" s="249" t="s">
        <v>2378</v>
      </c>
      <c r="M240" s="249">
        <f t="shared" si="10"/>
        <v>16</v>
      </c>
      <c r="N240" s="249">
        <f t="shared" si="11"/>
        <v>15</v>
      </c>
      <c r="O240" s="14"/>
      <c r="P240" s="14" t="s">
        <v>328</v>
      </c>
      <c r="Q240" s="14"/>
      <c r="S240" s="14" t="s">
        <v>328</v>
      </c>
      <c r="T240" s="14"/>
      <c r="U240" s="14"/>
      <c r="V240" s="14"/>
      <c r="W240" s="14"/>
      <c r="X240" s="14"/>
      <c r="Z240" s="126">
        <v>0.5</v>
      </c>
      <c r="AA240" s="249">
        <v>3</v>
      </c>
      <c r="AB240" s="250">
        <v>13000</v>
      </c>
      <c r="AC240" s="250">
        <v>13000</v>
      </c>
      <c r="AD240" s="250">
        <v>9000</v>
      </c>
      <c r="AE240" s="250">
        <v>36000</v>
      </c>
      <c r="AF240" s="250">
        <v>13000</v>
      </c>
    </row>
    <row r="241" spans="2:32" x14ac:dyDescent="0.25">
      <c r="B241" s="61" t="s">
        <v>514</v>
      </c>
      <c r="C241" s="14" t="s">
        <v>348</v>
      </c>
      <c r="D241" s="14">
        <v>2003</v>
      </c>
      <c r="E241" s="13">
        <v>400000</v>
      </c>
      <c r="F241" s="14">
        <v>2.6</v>
      </c>
      <c r="G241" s="14">
        <v>2.6</v>
      </c>
      <c r="H241" s="14" t="s">
        <v>340</v>
      </c>
      <c r="I241" s="249">
        <f t="shared" si="9"/>
        <v>1</v>
      </c>
      <c r="J241" s="143">
        <v>3000</v>
      </c>
      <c r="K241" s="249" t="s">
        <v>2378</v>
      </c>
      <c r="M241" s="249">
        <f t="shared" si="10"/>
        <v>12</v>
      </c>
      <c r="N241" s="249">
        <f t="shared" si="11"/>
        <v>11</v>
      </c>
      <c r="O241" s="14"/>
      <c r="P241" s="14" t="s">
        <v>328</v>
      </c>
      <c r="Q241" s="14"/>
      <c r="S241" s="14"/>
      <c r="T241" s="14" t="s">
        <v>328</v>
      </c>
      <c r="U241" s="14"/>
      <c r="V241" s="14"/>
      <c r="W241" s="14"/>
      <c r="X241" s="14"/>
      <c r="Z241" s="126">
        <v>0.5</v>
      </c>
      <c r="AA241" s="249">
        <v>3</v>
      </c>
      <c r="AB241" s="250">
        <v>13000</v>
      </c>
      <c r="AC241" s="250">
        <v>13000</v>
      </c>
      <c r="AD241" s="250">
        <v>9000</v>
      </c>
      <c r="AE241" s="250">
        <v>36000</v>
      </c>
      <c r="AF241" s="250">
        <v>13000</v>
      </c>
    </row>
    <row r="242" spans="2:32" x14ac:dyDescent="0.25">
      <c r="B242" s="61" t="s">
        <v>514</v>
      </c>
      <c r="C242" s="14" t="s">
        <v>348</v>
      </c>
      <c r="D242" s="14">
        <v>2006</v>
      </c>
      <c r="E242" s="13">
        <v>300000</v>
      </c>
      <c r="F242" s="14">
        <v>2.6</v>
      </c>
      <c r="G242" s="14">
        <v>2.6</v>
      </c>
      <c r="H242" s="14" t="s">
        <v>340</v>
      </c>
      <c r="I242" s="249">
        <f t="shared" si="9"/>
        <v>1</v>
      </c>
      <c r="J242" s="143">
        <v>3000</v>
      </c>
      <c r="K242" s="249" t="s">
        <v>2378</v>
      </c>
      <c r="M242" s="249">
        <f t="shared" si="10"/>
        <v>9</v>
      </c>
      <c r="N242" s="249">
        <f t="shared" si="11"/>
        <v>8</v>
      </c>
      <c r="O242" s="14"/>
      <c r="P242" s="14" t="s">
        <v>328</v>
      </c>
      <c r="Q242" s="14"/>
      <c r="S242" s="14"/>
      <c r="T242" s="14" t="s">
        <v>328</v>
      </c>
      <c r="U242" s="14"/>
      <c r="V242" s="14"/>
      <c r="W242" s="14"/>
      <c r="X242" s="14"/>
      <c r="Z242" s="126">
        <v>0.5</v>
      </c>
      <c r="AA242" s="249">
        <v>3</v>
      </c>
      <c r="AB242" s="250">
        <v>13000</v>
      </c>
      <c r="AC242" s="250">
        <v>13000</v>
      </c>
      <c r="AD242" s="250">
        <v>9000</v>
      </c>
      <c r="AE242" s="250">
        <v>36000</v>
      </c>
      <c r="AF242" s="250">
        <v>13000</v>
      </c>
    </row>
    <row r="243" spans="2:32" x14ac:dyDescent="0.25">
      <c r="B243" s="61" t="s">
        <v>515</v>
      </c>
      <c r="C243" s="14" t="s">
        <v>337</v>
      </c>
      <c r="D243" s="14">
        <v>2010</v>
      </c>
      <c r="E243" s="13">
        <v>500000</v>
      </c>
      <c r="F243" s="14">
        <v>3</v>
      </c>
      <c r="G243" s="14">
        <v>3.8</v>
      </c>
      <c r="H243" s="14" t="s">
        <v>340</v>
      </c>
      <c r="I243" s="249">
        <f t="shared" si="9"/>
        <v>1</v>
      </c>
      <c r="J243" s="143">
        <v>2000</v>
      </c>
      <c r="K243" s="249" t="s">
        <v>2379</v>
      </c>
      <c r="M243" s="249">
        <f t="shared" si="10"/>
        <v>5</v>
      </c>
      <c r="N243" s="249">
        <f t="shared" si="11"/>
        <v>4</v>
      </c>
      <c r="O243" s="14" t="s">
        <v>328</v>
      </c>
      <c r="P243" s="14"/>
      <c r="Q243" s="14"/>
      <c r="S243" s="14" t="s">
        <v>328</v>
      </c>
      <c r="T243" s="14"/>
      <c r="U243" s="14"/>
      <c r="V243" s="14"/>
      <c r="W243" s="14"/>
      <c r="X243" s="14"/>
      <c r="Z243" s="126">
        <v>0.5</v>
      </c>
      <c r="AA243" s="249">
        <v>8</v>
      </c>
      <c r="AB243" s="250">
        <v>12000</v>
      </c>
      <c r="AC243" s="250">
        <v>20000</v>
      </c>
      <c r="AD243" s="250">
        <v>15000</v>
      </c>
      <c r="AE243" s="250">
        <v>240000</v>
      </c>
      <c r="AF243" s="250">
        <v>20000</v>
      </c>
    </row>
    <row r="244" spans="2:32" x14ac:dyDescent="0.25">
      <c r="B244" s="61" t="s">
        <v>515</v>
      </c>
      <c r="C244" s="14" t="s">
        <v>337</v>
      </c>
      <c r="D244" s="14">
        <v>2010</v>
      </c>
      <c r="E244" s="13">
        <v>500000</v>
      </c>
      <c r="F244" s="14">
        <v>3</v>
      </c>
      <c r="G244" s="14">
        <v>3.8</v>
      </c>
      <c r="H244" s="14" t="s">
        <v>340</v>
      </c>
      <c r="I244" s="249">
        <f t="shared" si="9"/>
        <v>1</v>
      </c>
      <c r="J244" s="143">
        <v>2000</v>
      </c>
      <c r="K244" s="249" t="s">
        <v>2379</v>
      </c>
      <c r="M244" s="249">
        <f t="shared" si="10"/>
        <v>5</v>
      </c>
      <c r="N244" s="249">
        <f t="shared" si="11"/>
        <v>4</v>
      </c>
      <c r="O244" s="14" t="s">
        <v>328</v>
      </c>
      <c r="P244" s="14"/>
      <c r="Q244" s="14"/>
      <c r="S244" s="14" t="s">
        <v>328</v>
      </c>
      <c r="T244" s="14"/>
      <c r="U244" s="14"/>
      <c r="V244" s="14"/>
      <c r="W244" s="14"/>
      <c r="X244" s="14"/>
      <c r="Z244" s="126">
        <v>0.5</v>
      </c>
      <c r="AA244" s="249">
        <v>8</v>
      </c>
      <c r="AB244" s="250">
        <v>12000</v>
      </c>
      <c r="AC244" s="250">
        <v>20000</v>
      </c>
      <c r="AD244" s="250">
        <v>15000</v>
      </c>
      <c r="AE244" s="250">
        <v>240000</v>
      </c>
      <c r="AF244" s="250">
        <v>20000</v>
      </c>
    </row>
    <row r="245" spans="2:32" x14ac:dyDescent="0.25">
      <c r="B245" s="61" t="s">
        <v>515</v>
      </c>
      <c r="C245" s="14" t="s">
        <v>337</v>
      </c>
      <c r="D245" s="14">
        <v>2010</v>
      </c>
      <c r="E245" s="13">
        <v>500000</v>
      </c>
      <c r="F245" s="14">
        <v>3</v>
      </c>
      <c r="G245" s="14">
        <v>3.8</v>
      </c>
      <c r="H245" s="14" t="s">
        <v>340</v>
      </c>
      <c r="I245" s="249">
        <f t="shared" si="9"/>
        <v>1</v>
      </c>
      <c r="J245" s="143">
        <v>2000</v>
      </c>
      <c r="K245" s="249" t="s">
        <v>2379</v>
      </c>
      <c r="M245" s="249">
        <f t="shared" si="10"/>
        <v>5</v>
      </c>
      <c r="N245" s="249">
        <f t="shared" si="11"/>
        <v>4</v>
      </c>
      <c r="O245" s="14" t="s">
        <v>328</v>
      </c>
      <c r="P245" s="14"/>
      <c r="Q245" s="14"/>
      <c r="S245" s="14" t="s">
        <v>328</v>
      </c>
      <c r="T245" s="14"/>
      <c r="U245" s="14"/>
      <c r="V245" s="14"/>
      <c r="W245" s="14"/>
      <c r="X245" s="14"/>
      <c r="Z245" s="126">
        <v>0.5</v>
      </c>
      <c r="AA245" s="249">
        <v>8</v>
      </c>
      <c r="AB245" s="250">
        <v>12000</v>
      </c>
      <c r="AC245" s="250">
        <v>20000</v>
      </c>
      <c r="AD245" s="250">
        <v>15000</v>
      </c>
      <c r="AE245" s="250">
        <v>240000</v>
      </c>
      <c r="AF245" s="250">
        <v>20000</v>
      </c>
    </row>
    <row r="246" spans="2:32" x14ac:dyDescent="0.25">
      <c r="B246" s="61" t="s">
        <v>515</v>
      </c>
      <c r="C246" s="14" t="s">
        <v>337</v>
      </c>
      <c r="D246" s="14">
        <v>2010</v>
      </c>
      <c r="E246" s="13">
        <v>500000</v>
      </c>
      <c r="F246" s="14">
        <v>3</v>
      </c>
      <c r="G246" s="14">
        <v>3.8</v>
      </c>
      <c r="H246" s="14" t="s">
        <v>340</v>
      </c>
      <c r="I246" s="249">
        <f t="shared" si="9"/>
        <v>1</v>
      </c>
      <c r="J246" s="143">
        <v>2000</v>
      </c>
      <c r="K246" s="249" t="s">
        <v>2379</v>
      </c>
      <c r="M246" s="249">
        <f t="shared" si="10"/>
        <v>5</v>
      </c>
      <c r="N246" s="249">
        <f t="shared" si="11"/>
        <v>4</v>
      </c>
      <c r="O246" s="14" t="s">
        <v>328</v>
      </c>
      <c r="P246" s="14"/>
      <c r="Q246" s="14"/>
      <c r="S246" s="14" t="s">
        <v>328</v>
      </c>
      <c r="T246" s="14"/>
      <c r="U246" s="14"/>
      <c r="V246" s="14"/>
      <c r="W246" s="14"/>
      <c r="X246" s="14"/>
      <c r="Z246" s="126">
        <v>0.5</v>
      </c>
      <c r="AA246" s="249">
        <v>8</v>
      </c>
      <c r="AB246" s="250">
        <v>12000</v>
      </c>
      <c r="AC246" s="250">
        <v>20000</v>
      </c>
      <c r="AD246" s="250">
        <v>15000</v>
      </c>
      <c r="AE246" s="250">
        <v>240000</v>
      </c>
      <c r="AF246" s="250">
        <v>20000</v>
      </c>
    </row>
    <row r="247" spans="2:32" x14ac:dyDescent="0.25">
      <c r="B247" s="61" t="s">
        <v>515</v>
      </c>
      <c r="C247" s="14" t="s">
        <v>337</v>
      </c>
      <c r="D247" s="14">
        <v>2010</v>
      </c>
      <c r="E247" s="13">
        <v>500000</v>
      </c>
      <c r="F247" s="14">
        <v>3</v>
      </c>
      <c r="G247" s="14">
        <v>3.8</v>
      </c>
      <c r="H247" s="14" t="s">
        <v>340</v>
      </c>
      <c r="I247" s="249">
        <f t="shared" si="9"/>
        <v>1</v>
      </c>
      <c r="J247" s="143">
        <v>2000</v>
      </c>
      <c r="K247" s="249" t="s">
        <v>2379</v>
      </c>
      <c r="M247" s="249">
        <f t="shared" si="10"/>
        <v>5</v>
      </c>
      <c r="N247" s="249">
        <f t="shared" si="11"/>
        <v>4</v>
      </c>
      <c r="O247" s="14" t="s">
        <v>328</v>
      </c>
      <c r="P247" s="14"/>
      <c r="Q247" s="14"/>
      <c r="S247" s="14" t="s">
        <v>328</v>
      </c>
      <c r="T247" s="14"/>
      <c r="U247" s="14"/>
      <c r="V247" s="14"/>
      <c r="W247" s="14"/>
      <c r="X247" s="14"/>
      <c r="Z247" s="126">
        <v>0.5</v>
      </c>
      <c r="AA247" s="249">
        <v>8</v>
      </c>
      <c r="AB247" s="250">
        <v>12000</v>
      </c>
      <c r="AC247" s="250">
        <v>20000</v>
      </c>
      <c r="AD247" s="250">
        <v>15000</v>
      </c>
      <c r="AE247" s="250">
        <v>240000</v>
      </c>
      <c r="AF247" s="250">
        <v>20000</v>
      </c>
    </row>
    <row r="248" spans="2:32" x14ac:dyDescent="0.25">
      <c r="B248" s="61" t="s">
        <v>515</v>
      </c>
      <c r="C248" s="14" t="s">
        <v>337</v>
      </c>
      <c r="D248" s="14">
        <v>2010</v>
      </c>
      <c r="E248" s="13">
        <v>500000</v>
      </c>
      <c r="F248" s="14">
        <v>3</v>
      </c>
      <c r="G248" s="14">
        <v>3.8</v>
      </c>
      <c r="H248" s="14" t="s">
        <v>340</v>
      </c>
      <c r="I248" s="249">
        <f t="shared" si="9"/>
        <v>1</v>
      </c>
      <c r="J248" s="143">
        <v>2000</v>
      </c>
      <c r="K248" s="249" t="s">
        <v>2379</v>
      </c>
      <c r="M248" s="249">
        <f t="shared" si="10"/>
        <v>5</v>
      </c>
      <c r="N248" s="249">
        <f t="shared" si="11"/>
        <v>4</v>
      </c>
      <c r="O248" s="14" t="s">
        <v>328</v>
      </c>
      <c r="P248" s="14"/>
      <c r="Q248" s="14"/>
      <c r="S248" s="14" t="s">
        <v>328</v>
      </c>
      <c r="T248" s="14"/>
      <c r="U248" s="14"/>
      <c r="V248" s="14"/>
      <c r="W248" s="14"/>
      <c r="X248" s="14"/>
      <c r="Z248" s="126">
        <v>0.5</v>
      </c>
      <c r="AA248" s="249">
        <v>8</v>
      </c>
      <c r="AB248" s="250">
        <v>12000</v>
      </c>
      <c r="AC248" s="250">
        <v>20000</v>
      </c>
      <c r="AD248" s="250">
        <v>15000</v>
      </c>
      <c r="AE248" s="250">
        <v>240000</v>
      </c>
      <c r="AF248" s="250">
        <v>20000</v>
      </c>
    </row>
    <row r="249" spans="2:32" x14ac:dyDescent="0.25">
      <c r="B249" s="61" t="s">
        <v>515</v>
      </c>
      <c r="C249" s="14" t="s">
        <v>337</v>
      </c>
      <c r="D249" s="14">
        <v>2010</v>
      </c>
      <c r="E249" s="13">
        <v>500000</v>
      </c>
      <c r="F249" s="14">
        <v>3</v>
      </c>
      <c r="G249" s="14">
        <v>3.8</v>
      </c>
      <c r="H249" s="14" t="s">
        <v>340</v>
      </c>
      <c r="I249" s="249">
        <f t="shared" si="9"/>
        <v>1</v>
      </c>
      <c r="J249" s="143">
        <v>2000</v>
      </c>
      <c r="K249" s="249" t="s">
        <v>2379</v>
      </c>
      <c r="M249" s="249">
        <f t="shared" si="10"/>
        <v>5</v>
      </c>
      <c r="N249" s="249">
        <f t="shared" si="11"/>
        <v>4</v>
      </c>
      <c r="O249" s="14" t="s">
        <v>328</v>
      </c>
      <c r="P249" s="14"/>
      <c r="Q249" s="14"/>
      <c r="S249" s="14" t="s">
        <v>328</v>
      </c>
      <c r="T249" s="14"/>
      <c r="U249" s="14"/>
      <c r="V249" s="14"/>
      <c r="W249" s="14"/>
      <c r="X249" s="14"/>
      <c r="Z249" s="126">
        <v>0.5</v>
      </c>
      <c r="AA249" s="249">
        <v>8</v>
      </c>
      <c r="AB249" s="250">
        <v>12000</v>
      </c>
      <c r="AC249" s="250">
        <v>20000</v>
      </c>
      <c r="AD249" s="250">
        <v>15000</v>
      </c>
      <c r="AE249" s="250">
        <v>240000</v>
      </c>
      <c r="AF249" s="250">
        <v>20000</v>
      </c>
    </row>
    <row r="250" spans="2:32" x14ac:dyDescent="0.25">
      <c r="B250" s="61" t="s">
        <v>515</v>
      </c>
      <c r="C250" s="14" t="s">
        <v>337</v>
      </c>
      <c r="D250" s="14">
        <v>2010</v>
      </c>
      <c r="E250" s="13">
        <v>500000</v>
      </c>
      <c r="F250" s="14">
        <v>3</v>
      </c>
      <c r="G250" s="14">
        <v>3.8</v>
      </c>
      <c r="H250" s="14" t="s">
        <v>340</v>
      </c>
      <c r="I250" s="249">
        <f t="shared" si="9"/>
        <v>1</v>
      </c>
      <c r="J250" s="143">
        <v>2000</v>
      </c>
      <c r="K250" s="249" t="s">
        <v>2379</v>
      </c>
      <c r="M250" s="249">
        <f t="shared" si="10"/>
        <v>5</v>
      </c>
      <c r="N250" s="249">
        <f t="shared" si="11"/>
        <v>4</v>
      </c>
      <c r="O250" s="14" t="s">
        <v>328</v>
      </c>
      <c r="P250" s="14"/>
      <c r="Q250" s="14"/>
      <c r="S250" s="14" t="s">
        <v>328</v>
      </c>
      <c r="T250" s="14"/>
      <c r="U250" s="14"/>
      <c r="V250" s="14"/>
      <c r="W250" s="14"/>
      <c r="X250" s="14"/>
      <c r="Z250" s="126">
        <v>0.5</v>
      </c>
      <c r="AA250" s="249">
        <v>8</v>
      </c>
      <c r="AB250" s="250">
        <v>12000</v>
      </c>
      <c r="AC250" s="250">
        <v>20000</v>
      </c>
      <c r="AD250" s="250">
        <v>15000</v>
      </c>
      <c r="AE250" s="250">
        <v>240000</v>
      </c>
      <c r="AF250" s="250">
        <v>20000</v>
      </c>
    </row>
    <row r="251" spans="2:32" x14ac:dyDescent="0.25">
      <c r="B251" s="61" t="s">
        <v>517</v>
      </c>
      <c r="C251" s="14" t="s">
        <v>337</v>
      </c>
      <c r="D251" s="14">
        <v>2011</v>
      </c>
      <c r="E251" s="13">
        <v>300000</v>
      </c>
      <c r="F251" s="14">
        <v>2.2999999999999998</v>
      </c>
      <c r="G251" s="14">
        <v>2.2999999999999998</v>
      </c>
      <c r="H251" s="14" t="s">
        <v>340</v>
      </c>
      <c r="I251" s="249">
        <f t="shared" si="9"/>
        <v>1</v>
      </c>
      <c r="J251" s="143">
        <v>4000</v>
      </c>
      <c r="K251" s="249" t="s">
        <v>2378</v>
      </c>
      <c r="M251" s="249">
        <f t="shared" si="10"/>
        <v>4</v>
      </c>
      <c r="N251" s="249">
        <f t="shared" si="11"/>
        <v>3</v>
      </c>
      <c r="O251" s="14" t="s">
        <v>328</v>
      </c>
      <c r="P251" s="14"/>
      <c r="Q251" s="14"/>
      <c r="S251" s="14"/>
      <c r="T251" s="14" t="s">
        <v>328</v>
      </c>
      <c r="U251" s="14"/>
      <c r="V251" s="14"/>
      <c r="W251" s="14"/>
      <c r="X251" s="14"/>
      <c r="Z251" s="126">
        <v>0.5</v>
      </c>
      <c r="AA251" s="249">
        <v>1</v>
      </c>
      <c r="AB251" s="250">
        <v>8000</v>
      </c>
      <c r="AC251" s="250">
        <v>12000</v>
      </c>
      <c r="AD251" s="250">
        <v>9000</v>
      </c>
      <c r="AE251" s="250">
        <v>150000</v>
      </c>
      <c r="AF251" s="250">
        <v>12000</v>
      </c>
    </row>
    <row r="252" spans="2:32" x14ac:dyDescent="0.25">
      <c r="B252" s="61" t="s">
        <v>518</v>
      </c>
      <c r="C252" s="14" t="s">
        <v>337</v>
      </c>
      <c r="D252" s="14">
        <v>1998</v>
      </c>
      <c r="E252" s="13">
        <v>915238</v>
      </c>
      <c r="F252" s="14">
        <v>2.6</v>
      </c>
      <c r="G252" s="14">
        <v>3.2</v>
      </c>
      <c r="H252" s="14" t="s">
        <v>340</v>
      </c>
      <c r="I252" s="249">
        <f t="shared" si="9"/>
        <v>1</v>
      </c>
      <c r="J252" s="143" t="s">
        <v>396</v>
      </c>
      <c r="K252" s="249" t="s">
        <v>2379</v>
      </c>
      <c r="M252" s="249">
        <f t="shared" si="10"/>
        <v>17</v>
      </c>
      <c r="N252" s="249">
        <f t="shared" si="11"/>
        <v>16</v>
      </c>
      <c r="O252" s="14"/>
      <c r="P252" s="14" t="s">
        <v>328</v>
      </c>
      <c r="Q252" s="14"/>
      <c r="S252" s="14"/>
      <c r="T252" s="14" t="s">
        <v>328</v>
      </c>
      <c r="U252" s="14"/>
      <c r="V252" s="14"/>
      <c r="W252" s="14"/>
      <c r="X252" s="14"/>
      <c r="Z252" s="126">
        <v>0.05</v>
      </c>
      <c r="AA252" s="249">
        <v>6</v>
      </c>
      <c r="AB252" s="250">
        <v>18000</v>
      </c>
      <c r="AC252" s="250">
        <v>18000</v>
      </c>
      <c r="AD252" s="250">
        <v>260000</v>
      </c>
      <c r="AE252" s="250">
        <v>150000</v>
      </c>
      <c r="AF252" s="250">
        <v>18000</v>
      </c>
    </row>
    <row r="253" spans="2:32" x14ac:dyDescent="0.25">
      <c r="B253" s="61" t="s">
        <v>518</v>
      </c>
      <c r="C253" s="14" t="s">
        <v>337</v>
      </c>
      <c r="D253" s="14">
        <v>2001</v>
      </c>
      <c r="E253" s="13">
        <v>737212</v>
      </c>
      <c r="F253" s="14">
        <v>2.7</v>
      </c>
      <c r="G253" s="14">
        <v>3.2</v>
      </c>
      <c r="H253" s="14" t="s">
        <v>340</v>
      </c>
      <c r="I253" s="249">
        <f t="shared" si="9"/>
        <v>1</v>
      </c>
      <c r="J253" s="143" t="s">
        <v>396</v>
      </c>
      <c r="K253" s="249" t="s">
        <v>2379</v>
      </c>
      <c r="M253" s="249">
        <f t="shared" si="10"/>
        <v>14</v>
      </c>
      <c r="N253" s="249">
        <f t="shared" si="11"/>
        <v>13</v>
      </c>
      <c r="O253" s="14" t="s">
        <v>328</v>
      </c>
      <c r="P253" s="14"/>
      <c r="Q253" s="14"/>
      <c r="S253" s="14"/>
      <c r="T253" s="14" t="s">
        <v>328</v>
      </c>
      <c r="U253" s="14"/>
      <c r="V253" s="14"/>
      <c r="W253" s="14"/>
      <c r="X253" s="14"/>
      <c r="Z253" s="126">
        <v>0.05</v>
      </c>
      <c r="AA253" s="249">
        <v>6</v>
      </c>
      <c r="AB253" s="250">
        <v>18000</v>
      </c>
      <c r="AC253" s="250">
        <v>18000</v>
      </c>
      <c r="AD253" s="250">
        <v>260000</v>
      </c>
      <c r="AE253" s="250">
        <v>150000</v>
      </c>
      <c r="AF253" s="250">
        <v>18000</v>
      </c>
    </row>
    <row r="254" spans="2:32" x14ac:dyDescent="0.25">
      <c r="B254" s="61" t="s">
        <v>518</v>
      </c>
      <c r="C254" s="14" t="s">
        <v>337</v>
      </c>
      <c r="D254" s="14">
        <v>2002</v>
      </c>
      <c r="E254" s="13">
        <v>822111</v>
      </c>
      <c r="F254" s="14">
        <v>1.65</v>
      </c>
      <c r="G254" s="14">
        <v>2.65</v>
      </c>
      <c r="H254" s="14" t="s">
        <v>340</v>
      </c>
      <c r="I254" s="249">
        <f t="shared" si="9"/>
        <v>1</v>
      </c>
      <c r="J254" s="143" t="s">
        <v>396</v>
      </c>
      <c r="K254" s="249" t="s">
        <v>2379</v>
      </c>
      <c r="M254" s="249">
        <f t="shared" si="10"/>
        <v>13</v>
      </c>
      <c r="N254" s="249">
        <f t="shared" si="11"/>
        <v>12</v>
      </c>
      <c r="O254" s="14"/>
      <c r="P254" s="14" t="s">
        <v>328</v>
      </c>
      <c r="Q254" s="14"/>
      <c r="S254" s="14"/>
      <c r="T254" s="14" t="s">
        <v>328</v>
      </c>
      <c r="U254" s="14"/>
      <c r="V254" s="14"/>
      <c r="W254" s="14"/>
      <c r="X254" s="14"/>
      <c r="Z254" s="126">
        <v>0.05</v>
      </c>
      <c r="AA254" s="249">
        <v>6</v>
      </c>
      <c r="AB254" s="250">
        <v>16000</v>
      </c>
      <c r="AC254" s="250">
        <v>16000</v>
      </c>
      <c r="AD254" s="250">
        <v>260000</v>
      </c>
      <c r="AE254" s="250">
        <v>150000</v>
      </c>
      <c r="AF254" s="250">
        <v>16000</v>
      </c>
    </row>
    <row r="255" spans="2:32" x14ac:dyDescent="0.25">
      <c r="B255" s="61" t="s">
        <v>518</v>
      </c>
      <c r="C255" s="14" t="s">
        <v>337</v>
      </c>
      <c r="D255" s="14">
        <v>2002</v>
      </c>
      <c r="E255" s="13">
        <v>715613</v>
      </c>
      <c r="F255" s="14">
        <v>1.65</v>
      </c>
      <c r="G255" s="14">
        <v>2.65</v>
      </c>
      <c r="H255" s="14" t="s">
        <v>340</v>
      </c>
      <c r="I255" s="249">
        <f t="shared" si="9"/>
        <v>1</v>
      </c>
      <c r="J255" s="143" t="s">
        <v>396</v>
      </c>
      <c r="K255" s="249" t="s">
        <v>2379</v>
      </c>
      <c r="M255" s="249">
        <f t="shared" si="10"/>
        <v>13</v>
      </c>
      <c r="N255" s="249">
        <f t="shared" si="11"/>
        <v>12</v>
      </c>
      <c r="O255" s="14"/>
      <c r="P255" s="14" t="s">
        <v>328</v>
      </c>
      <c r="Q255" s="14"/>
      <c r="S255" s="14"/>
      <c r="T255" s="14" t="s">
        <v>328</v>
      </c>
      <c r="U255" s="14"/>
      <c r="V255" s="14"/>
      <c r="W255" s="14"/>
      <c r="X255" s="14"/>
      <c r="Z255" s="126">
        <v>0.05</v>
      </c>
      <c r="AA255" s="249">
        <v>6</v>
      </c>
      <c r="AB255" s="250">
        <v>16000</v>
      </c>
      <c r="AC255" s="250">
        <v>16000</v>
      </c>
      <c r="AD255" s="250">
        <v>260000</v>
      </c>
      <c r="AE255" s="250">
        <v>150000</v>
      </c>
      <c r="AF255" s="250">
        <v>16000</v>
      </c>
    </row>
    <row r="256" spans="2:32" x14ac:dyDescent="0.25">
      <c r="B256" s="61" t="s">
        <v>518</v>
      </c>
      <c r="C256" s="14" t="s">
        <v>337</v>
      </c>
      <c r="D256" s="14">
        <v>2003</v>
      </c>
      <c r="E256" s="13">
        <v>615239</v>
      </c>
      <c r="F256" s="14">
        <v>2.75</v>
      </c>
      <c r="G256" s="14">
        <v>3.2</v>
      </c>
      <c r="H256" s="14" t="s">
        <v>340</v>
      </c>
      <c r="I256" s="249">
        <f t="shared" si="9"/>
        <v>1</v>
      </c>
      <c r="J256" s="143" t="s">
        <v>396</v>
      </c>
      <c r="K256" s="249" t="s">
        <v>2379</v>
      </c>
      <c r="M256" s="249">
        <f t="shared" si="10"/>
        <v>12</v>
      </c>
      <c r="N256" s="249">
        <f t="shared" si="11"/>
        <v>11</v>
      </c>
      <c r="O256" s="14"/>
      <c r="P256" s="14" t="s">
        <v>328</v>
      </c>
      <c r="Q256" s="14"/>
      <c r="S256" s="14"/>
      <c r="T256" s="14" t="s">
        <v>328</v>
      </c>
      <c r="U256" s="14"/>
      <c r="V256" s="14"/>
      <c r="W256" s="14"/>
      <c r="X256" s="14"/>
      <c r="Z256" s="126">
        <v>0.05</v>
      </c>
      <c r="AA256" s="249">
        <v>6</v>
      </c>
      <c r="AB256" s="250">
        <v>18000</v>
      </c>
      <c r="AC256" s="250">
        <v>18000</v>
      </c>
      <c r="AD256" s="250">
        <v>260000</v>
      </c>
      <c r="AE256" s="250">
        <v>150000</v>
      </c>
      <c r="AF256" s="250">
        <v>18000</v>
      </c>
    </row>
    <row r="257" spans="2:32" x14ac:dyDescent="0.25">
      <c r="B257" s="61" t="s">
        <v>518</v>
      </c>
      <c r="C257" s="14" t="s">
        <v>337</v>
      </c>
      <c r="D257" s="14">
        <v>2003</v>
      </c>
      <c r="E257" s="13">
        <v>596752</v>
      </c>
      <c r="F257" s="14">
        <v>2.75</v>
      </c>
      <c r="G257" s="14">
        <v>3.2</v>
      </c>
      <c r="H257" s="14" t="s">
        <v>340</v>
      </c>
      <c r="I257" s="249">
        <f t="shared" si="9"/>
        <v>1</v>
      </c>
      <c r="J257" s="143" t="s">
        <v>396</v>
      </c>
      <c r="K257" s="249" t="s">
        <v>2379</v>
      </c>
      <c r="M257" s="249">
        <f t="shared" si="10"/>
        <v>12</v>
      </c>
      <c r="N257" s="249">
        <f t="shared" si="11"/>
        <v>11</v>
      </c>
      <c r="O257" s="14"/>
      <c r="P257" s="14" t="s">
        <v>328</v>
      </c>
      <c r="Q257" s="14"/>
      <c r="S257" s="14"/>
      <c r="T257" s="14" t="s">
        <v>328</v>
      </c>
      <c r="U257" s="14"/>
      <c r="V257" s="14"/>
      <c r="W257" s="14"/>
      <c r="X257" s="14"/>
      <c r="Z257" s="126">
        <v>0.05</v>
      </c>
      <c r="AA257" s="249">
        <v>6</v>
      </c>
      <c r="AB257" s="250">
        <v>18000</v>
      </c>
      <c r="AC257" s="250">
        <v>18000</v>
      </c>
      <c r="AD257" s="250">
        <v>260000</v>
      </c>
      <c r="AE257" s="250">
        <v>150000</v>
      </c>
      <c r="AF257" s="250">
        <v>18000</v>
      </c>
    </row>
    <row r="258" spans="2:32" x14ac:dyDescent="0.25">
      <c r="B258" s="61" t="s">
        <v>519</v>
      </c>
      <c r="C258" s="14" t="s">
        <v>337</v>
      </c>
      <c r="D258" s="14">
        <v>2002</v>
      </c>
      <c r="E258" s="13">
        <v>915620</v>
      </c>
      <c r="F258" s="14">
        <v>1.5</v>
      </c>
      <c r="G258" s="14">
        <v>2.4</v>
      </c>
      <c r="H258" s="14" t="s">
        <v>340</v>
      </c>
      <c r="I258" s="249">
        <f t="shared" si="9"/>
        <v>1</v>
      </c>
      <c r="J258" s="143">
        <v>8333.3333333333339</v>
      </c>
      <c r="K258" s="249" t="s">
        <v>2378</v>
      </c>
      <c r="M258" s="249">
        <f t="shared" si="10"/>
        <v>13</v>
      </c>
      <c r="N258" s="249">
        <f t="shared" si="11"/>
        <v>12</v>
      </c>
      <c r="O258" s="14"/>
      <c r="P258" s="14" t="s">
        <v>328</v>
      </c>
      <c r="Q258" s="14"/>
      <c r="S258" s="14"/>
      <c r="T258" s="14" t="s">
        <v>328</v>
      </c>
      <c r="U258" s="14"/>
      <c r="V258" s="14"/>
      <c r="W258" s="14"/>
      <c r="X258" s="14"/>
      <c r="Z258" s="126">
        <v>0.3</v>
      </c>
      <c r="AA258" s="249">
        <v>2</v>
      </c>
      <c r="AB258" s="250">
        <v>20000</v>
      </c>
      <c r="AC258" s="250">
        <v>40000</v>
      </c>
      <c r="AD258" s="250">
        <v>200000</v>
      </c>
      <c r="AE258" s="250">
        <v>100000</v>
      </c>
      <c r="AF258" s="250">
        <v>40000</v>
      </c>
    </row>
    <row r="259" spans="2:32" x14ac:dyDescent="0.25">
      <c r="B259" s="61" t="s">
        <v>519</v>
      </c>
      <c r="C259" s="14" t="s">
        <v>337</v>
      </c>
      <c r="D259" s="14">
        <v>2005</v>
      </c>
      <c r="E259" s="13">
        <v>631031</v>
      </c>
      <c r="F259" s="14">
        <v>1.5</v>
      </c>
      <c r="G259" s="14">
        <v>2.5</v>
      </c>
      <c r="H259" s="14" t="s">
        <v>340</v>
      </c>
      <c r="I259" s="249">
        <f t="shared" si="9"/>
        <v>1</v>
      </c>
      <c r="J259" s="143">
        <v>8333.3333333333339</v>
      </c>
      <c r="K259" s="249" t="s">
        <v>2378</v>
      </c>
      <c r="M259" s="249">
        <f t="shared" si="10"/>
        <v>10</v>
      </c>
      <c r="N259" s="249">
        <f t="shared" si="11"/>
        <v>9</v>
      </c>
      <c r="O259" s="14" t="s">
        <v>328</v>
      </c>
      <c r="P259" s="14"/>
      <c r="Q259" s="14"/>
      <c r="S259" s="14"/>
      <c r="T259" s="14" t="s">
        <v>328</v>
      </c>
      <c r="U259" s="14"/>
      <c r="V259" s="14"/>
      <c r="W259" s="14"/>
      <c r="X259" s="14"/>
      <c r="Z259" s="126">
        <v>0.3</v>
      </c>
      <c r="AA259" s="249">
        <v>2</v>
      </c>
      <c r="AB259" s="250">
        <v>20000</v>
      </c>
      <c r="AC259" s="250">
        <v>40000</v>
      </c>
      <c r="AD259" s="250">
        <v>200000</v>
      </c>
      <c r="AE259" s="250">
        <v>100000</v>
      </c>
      <c r="AF259" s="250">
        <v>40000</v>
      </c>
    </row>
    <row r="260" spans="2:32" x14ac:dyDescent="0.25">
      <c r="B260" s="61" t="s">
        <v>520</v>
      </c>
      <c r="C260" s="14" t="s">
        <v>337</v>
      </c>
      <c r="D260" s="14">
        <v>2001</v>
      </c>
      <c r="E260" s="13">
        <v>1315107</v>
      </c>
      <c r="F260" s="14">
        <v>2.2000000000000002</v>
      </c>
      <c r="G260" s="14">
        <v>2.9</v>
      </c>
      <c r="H260" s="14" t="s">
        <v>340</v>
      </c>
      <c r="I260" s="249">
        <f t="shared" si="9"/>
        <v>1</v>
      </c>
      <c r="J260" s="143">
        <v>9000</v>
      </c>
      <c r="K260" s="249" t="s">
        <v>2379</v>
      </c>
      <c r="M260" s="249">
        <f t="shared" si="10"/>
        <v>14</v>
      </c>
      <c r="N260" s="249">
        <f t="shared" si="11"/>
        <v>13</v>
      </c>
      <c r="O260" s="14" t="s">
        <v>328</v>
      </c>
      <c r="P260" s="14"/>
      <c r="Q260" s="14"/>
      <c r="S260" s="14"/>
      <c r="T260" s="14"/>
      <c r="U260" s="14"/>
      <c r="V260" s="14"/>
      <c r="W260" s="14" t="s">
        <v>328</v>
      </c>
      <c r="X260" s="14"/>
      <c r="Z260" s="126">
        <v>0.5</v>
      </c>
      <c r="AA260" s="249">
        <v>18</v>
      </c>
      <c r="AB260" s="250">
        <v>18000</v>
      </c>
      <c r="AC260" s="250">
        <v>18000</v>
      </c>
      <c r="AD260" s="250">
        <v>250000</v>
      </c>
      <c r="AE260" s="250">
        <v>100000</v>
      </c>
      <c r="AF260" s="250">
        <v>18000</v>
      </c>
    </row>
    <row r="261" spans="2:32" x14ac:dyDescent="0.25">
      <c r="B261" s="61" t="s">
        <v>520</v>
      </c>
      <c r="C261" s="14" t="s">
        <v>337</v>
      </c>
      <c r="D261" s="14">
        <v>2001</v>
      </c>
      <c r="E261" s="13">
        <v>1296600</v>
      </c>
      <c r="F261" s="14">
        <v>2.2000000000000002</v>
      </c>
      <c r="G261" s="14">
        <v>2.9</v>
      </c>
      <c r="H261" s="14" t="s">
        <v>340</v>
      </c>
      <c r="I261" s="249">
        <f t="shared" si="9"/>
        <v>1</v>
      </c>
      <c r="J261" s="143">
        <v>9000</v>
      </c>
      <c r="K261" s="249" t="s">
        <v>2379</v>
      </c>
      <c r="M261" s="249">
        <f t="shared" si="10"/>
        <v>14</v>
      </c>
      <c r="N261" s="249">
        <f t="shared" si="11"/>
        <v>13</v>
      </c>
      <c r="O261" s="14" t="s">
        <v>328</v>
      </c>
      <c r="P261" s="14"/>
      <c r="Q261" s="14"/>
      <c r="S261" s="14"/>
      <c r="T261" s="14"/>
      <c r="U261" s="14"/>
      <c r="V261" s="14"/>
      <c r="W261" s="14" t="s">
        <v>328</v>
      </c>
      <c r="X261" s="14"/>
      <c r="Z261" s="126">
        <v>0.5</v>
      </c>
      <c r="AA261" s="249">
        <v>18</v>
      </c>
      <c r="AB261" s="250">
        <v>18000</v>
      </c>
      <c r="AC261" s="250">
        <v>18000</v>
      </c>
      <c r="AD261" s="250">
        <v>250000</v>
      </c>
      <c r="AE261" s="250">
        <v>100000</v>
      </c>
      <c r="AF261" s="250">
        <v>18000</v>
      </c>
    </row>
    <row r="262" spans="2:32" x14ac:dyDescent="0.25">
      <c r="B262" s="61" t="s">
        <v>520</v>
      </c>
      <c r="C262" s="14" t="s">
        <v>337</v>
      </c>
      <c r="D262" s="14">
        <v>2004</v>
      </c>
      <c r="E262" s="13">
        <v>860115</v>
      </c>
      <c r="F262" s="14">
        <v>2.2000000000000002</v>
      </c>
      <c r="G262" s="14">
        <v>2.9</v>
      </c>
      <c r="H262" s="14" t="s">
        <v>340</v>
      </c>
      <c r="I262" s="249">
        <f t="shared" ref="I262:I325" si="12">IF(F262&gt;G262,0,1)</f>
        <v>1</v>
      </c>
      <c r="J262" s="143">
        <v>9000</v>
      </c>
      <c r="K262" s="249" t="s">
        <v>2379</v>
      </c>
      <c r="M262" s="249">
        <f t="shared" ref="M262:M325" si="13">2015-D262</f>
        <v>11</v>
      </c>
      <c r="N262" s="249">
        <f t="shared" ref="N262:N325" si="14">2014-$D262</f>
        <v>10</v>
      </c>
      <c r="O262" s="14" t="s">
        <v>328</v>
      </c>
      <c r="P262" s="14"/>
      <c r="Q262" s="14"/>
      <c r="S262" s="14"/>
      <c r="T262" s="14"/>
      <c r="U262" s="14"/>
      <c r="V262" s="14"/>
      <c r="W262" s="14" t="s">
        <v>328</v>
      </c>
      <c r="X262" s="14"/>
      <c r="Z262" s="126">
        <v>0.5</v>
      </c>
      <c r="AA262" s="249">
        <v>18</v>
      </c>
      <c r="AB262" s="250">
        <v>18000</v>
      </c>
      <c r="AC262" s="250">
        <v>18000</v>
      </c>
      <c r="AD262" s="250">
        <v>250000</v>
      </c>
      <c r="AE262" s="250">
        <v>100000</v>
      </c>
      <c r="AF262" s="250">
        <v>18000</v>
      </c>
    </row>
    <row r="263" spans="2:32" x14ac:dyDescent="0.25">
      <c r="B263" s="61" t="s">
        <v>520</v>
      </c>
      <c r="C263" s="14" t="s">
        <v>337</v>
      </c>
      <c r="D263" s="14">
        <v>2004</v>
      </c>
      <c r="E263" s="13">
        <v>856712</v>
      </c>
      <c r="F263" s="14">
        <v>2.2000000000000002</v>
      </c>
      <c r="G263" s="14">
        <v>2.9</v>
      </c>
      <c r="H263" s="14" t="s">
        <v>340</v>
      </c>
      <c r="I263" s="249">
        <f t="shared" si="12"/>
        <v>1</v>
      </c>
      <c r="J263" s="143">
        <v>9000</v>
      </c>
      <c r="K263" s="249" t="s">
        <v>2379</v>
      </c>
      <c r="M263" s="249">
        <f t="shared" si="13"/>
        <v>11</v>
      </c>
      <c r="N263" s="249">
        <f t="shared" si="14"/>
        <v>10</v>
      </c>
      <c r="O263" s="14" t="s">
        <v>328</v>
      </c>
      <c r="P263" s="14"/>
      <c r="Q263" s="14"/>
      <c r="S263" s="14"/>
      <c r="T263" s="14"/>
      <c r="U263" s="14"/>
      <c r="V263" s="14"/>
      <c r="W263" s="14" t="s">
        <v>328</v>
      </c>
      <c r="X263" s="14"/>
      <c r="Z263" s="126">
        <v>0.5</v>
      </c>
      <c r="AA263" s="249">
        <v>18</v>
      </c>
      <c r="AB263" s="250">
        <v>18000</v>
      </c>
      <c r="AC263" s="250">
        <v>18000</v>
      </c>
      <c r="AD263" s="250">
        <v>250000</v>
      </c>
      <c r="AE263" s="250">
        <v>100000</v>
      </c>
      <c r="AF263" s="250">
        <v>18000</v>
      </c>
    </row>
    <row r="264" spans="2:32" x14ac:dyDescent="0.25">
      <c r="B264" s="61" t="s">
        <v>520</v>
      </c>
      <c r="C264" s="14" t="s">
        <v>337</v>
      </c>
      <c r="D264" s="14">
        <v>2004</v>
      </c>
      <c r="E264" s="13">
        <v>872124</v>
      </c>
      <c r="F264" s="14">
        <v>2.2000000000000002</v>
      </c>
      <c r="G264" s="14">
        <v>2.9</v>
      </c>
      <c r="H264" s="14" t="s">
        <v>340</v>
      </c>
      <c r="I264" s="249">
        <f t="shared" si="12"/>
        <v>1</v>
      </c>
      <c r="J264" s="143">
        <v>9000</v>
      </c>
      <c r="K264" s="249" t="s">
        <v>2379</v>
      </c>
      <c r="M264" s="249">
        <f t="shared" si="13"/>
        <v>11</v>
      </c>
      <c r="N264" s="249">
        <f t="shared" si="14"/>
        <v>10</v>
      </c>
      <c r="O264" s="14" t="s">
        <v>328</v>
      </c>
      <c r="P264" s="14"/>
      <c r="Q264" s="14"/>
      <c r="S264" s="14"/>
      <c r="T264" s="14"/>
      <c r="U264" s="14"/>
      <c r="V264" s="14"/>
      <c r="W264" s="14" t="s">
        <v>328</v>
      </c>
      <c r="X264" s="14"/>
      <c r="Z264" s="126">
        <v>0.5</v>
      </c>
      <c r="AA264" s="249">
        <v>18</v>
      </c>
      <c r="AB264" s="250">
        <v>18000</v>
      </c>
      <c r="AC264" s="250">
        <v>18000</v>
      </c>
      <c r="AD264" s="250">
        <v>250000</v>
      </c>
      <c r="AE264" s="250">
        <v>100000</v>
      </c>
      <c r="AF264" s="250">
        <v>18000</v>
      </c>
    </row>
    <row r="265" spans="2:32" x14ac:dyDescent="0.25">
      <c r="B265" s="61" t="s">
        <v>520</v>
      </c>
      <c r="C265" s="14" t="s">
        <v>337</v>
      </c>
      <c r="D265" s="14">
        <v>2005</v>
      </c>
      <c r="E265" s="13">
        <v>810096</v>
      </c>
      <c r="F265" s="14">
        <v>2.2000000000000002</v>
      </c>
      <c r="G265" s="14">
        <v>2.9</v>
      </c>
      <c r="H265" s="14" t="s">
        <v>340</v>
      </c>
      <c r="I265" s="249">
        <f t="shared" si="12"/>
        <v>1</v>
      </c>
      <c r="J265" s="143">
        <v>9000</v>
      </c>
      <c r="K265" s="249" t="s">
        <v>2379</v>
      </c>
      <c r="M265" s="249">
        <f t="shared" si="13"/>
        <v>10</v>
      </c>
      <c r="N265" s="249">
        <f t="shared" si="14"/>
        <v>9</v>
      </c>
      <c r="O265" s="14" t="s">
        <v>328</v>
      </c>
      <c r="P265" s="14"/>
      <c r="Q265" s="14"/>
      <c r="S265" s="14"/>
      <c r="T265" s="14"/>
      <c r="U265" s="14"/>
      <c r="V265" s="14"/>
      <c r="W265" s="14" t="s">
        <v>328</v>
      </c>
      <c r="X265" s="14"/>
      <c r="Z265" s="126">
        <v>0.5</v>
      </c>
      <c r="AA265" s="249">
        <v>18</v>
      </c>
      <c r="AB265" s="250">
        <v>18000</v>
      </c>
      <c r="AC265" s="250">
        <v>18000</v>
      </c>
      <c r="AD265" s="250">
        <v>250000</v>
      </c>
      <c r="AE265" s="250">
        <v>100000</v>
      </c>
      <c r="AF265" s="250">
        <v>18000</v>
      </c>
    </row>
    <row r="266" spans="2:32" x14ac:dyDescent="0.25">
      <c r="B266" s="61" t="s">
        <v>520</v>
      </c>
      <c r="C266" s="14" t="s">
        <v>337</v>
      </c>
      <c r="D266" s="14">
        <v>2005</v>
      </c>
      <c r="E266" s="13">
        <v>791110</v>
      </c>
      <c r="F266" s="14">
        <v>2.2000000000000002</v>
      </c>
      <c r="G266" s="14">
        <v>2.9</v>
      </c>
      <c r="H266" s="14" t="s">
        <v>340</v>
      </c>
      <c r="I266" s="249">
        <f t="shared" si="12"/>
        <v>1</v>
      </c>
      <c r="J266" s="143">
        <v>9000</v>
      </c>
      <c r="K266" s="249" t="s">
        <v>2379</v>
      </c>
      <c r="M266" s="249">
        <f t="shared" si="13"/>
        <v>10</v>
      </c>
      <c r="N266" s="249">
        <f t="shared" si="14"/>
        <v>9</v>
      </c>
      <c r="O266" s="14" t="s">
        <v>328</v>
      </c>
      <c r="P266" s="14"/>
      <c r="Q266" s="14"/>
      <c r="S266" s="14"/>
      <c r="T266" s="14"/>
      <c r="U266" s="14"/>
      <c r="V266" s="14"/>
      <c r="W266" s="14" t="s">
        <v>328</v>
      </c>
      <c r="X266" s="14"/>
      <c r="Z266" s="126">
        <v>0.5</v>
      </c>
      <c r="AA266" s="249">
        <v>18</v>
      </c>
      <c r="AB266" s="250">
        <v>18000</v>
      </c>
      <c r="AC266" s="250">
        <v>18000</v>
      </c>
      <c r="AD266" s="250">
        <v>250000</v>
      </c>
      <c r="AE266" s="250">
        <v>100000</v>
      </c>
      <c r="AF266" s="250">
        <v>18000</v>
      </c>
    </row>
    <row r="267" spans="2:32" x14ac:dyDescent="0.25">
      <c r="B267" s="61" t="s">
        <v>520</v>
      </c>
      <c r="C267" s="14" t="s">
        <v>337</v>
      </c>
      <c r="D267" s="14">
        <v>2005</v>
      </c>
      <c r="E267" s="13">
        <v>706430</v>
      </c>
      <c r="F267" s="14">
        <v>2.2000000000000002</v>
      </c>
      <c r="G267" s="14">
        <v>2.9</v>
      </c>
      <c r="H267" s="14" t="s">
        <v>340</v>
      </c>
      <c r="I267" s="249">
        <f t="shared" si="12"/>
        <v>1</v>
      </c>
      <c r="J267" s="143">
        <v>9000</v>
      </c>
      <c r="K267" s="249" t="s">
        <v>2379</v>
      </c>
      <c r="M267" s="249">
        <f t="shared" si="13"/>
        <v>10</v>
      </c>
      <c r="N267" s="249">
        <f t="shared" si="14"/>
        <v>9</v>
      </c>
      <c r="O267" s="14" t="s">
        <v>328</v>
      </c>
      <c r="P267" s="14"/>
      <c r="Q267" s="14"/>
      <c r="S267" s="14"/>
      <c r="T267" s="14"/>
      <c r="U267" s="14"/>
      <c r="V267" s="14"/>
      <c r="W267" s="14" t="s">
        <v>328</v>
      </c>
      <c r="X267" s="14"/>
      <c r="Z267" s="126">
        <v>0.5</v>
      </c>
      <c r="AA267" s="249">
        <v>18</v>
      </c>
      <c r="AB267" s="250">
        <v>18000</v>
      </c>
      <c r="AC267" s="250">
        <v>18000</v>
      </c>
      <c r="AD267" s="250">
        <v>250000</v>
      </c>
      <c r="AE267" s="250">
        <v>100000</v>
      </c>
      <c r="AF267" s="250">
        <v>18000</v>
      </c>
    </row>
    <row r="268" spans="2:32" x14ac:dyDescent="0.25">
      <c r="B268" s="61" t="s">
        <v>520</v>
      </c>
      <c r="C268" s="14" t="s">
        <v>337</v>
      </c>
      <c r="D268" s="14">
        <v>2006</v>
      </c>
      <c r="E268" s="13">
        <v>604172</v>
      </c>
      <c r="F268" s="14">
        <v>2.2000000000000002</v>
      </c>
      <c r="G268" s="14">
        <v>2.9</v>
      </c>
      <c r="H268" s="14" t="s">
        <v>340</v>
      </c>
      <c r="I268" s="249">
        <f t="shared" si="12"/>
        <v>1</v>
      </c>
      <c r="J268" s="143">
        <v>9000</v>
      </c>
      <c r="K268" s="249" t="s">
        <v>2379</v>
      </c>
      <c r="M268" s="249">
        <f t="shared" si="13"/>
        <v>9</v>
      </c>
      <c r="N268" s="249">
        <f t="shared" si="14"/>
        <v>8</v>
      </c>
      <c r="O268" s="14" t="s">
        <v>328</v>
      </c>
      <c r="P268" s="14"/>
      <c r="Q268" s="14"/>
      <c r="S268" s="14"/>
      <c r="T268" s="14"/>
      <c r="U268" s="14"/>
      <c r="V268" s="14"/>
      <c r="W268" s="14" t="s">
        <v>328</v>
      </c>
      <c r="X268" s="14"/>
      <c r="Z268" s="126">
        <v>0.5</v>
      </c>
      <c r="AA268" s="249">
        <v>18</v>
      </c>
      <c r="AB268" s="250">
        <v>18000</v>
      </c>
      <c r="AC268" s="250">
        <v>18000</v>
      </c>
      <c r="AD268" s="250">
        <v>250000</v>
      </c>
      <c r="AE268" s="250">
        <v>100000</v>
      </c>
      <c r="AF268" s="250">
        <v>18000</v>
      </c>
    </row>
    <row r="269" spans="2:32" x14ac:dyDescent="0.25">
      <c r="B269" s="61" t="s">
        <v>520</v>
      </c>
      <c r="C269" s="14" t="s">
        <v>337</v>
      </c>
      <c r="D269" s="14">
        <v>2006</v>
      </c>
      <c r="E269" s="13">
        <v>583600</v>
      </c>
      <c r="F269" s="14">
        <v>2.2000000000000002</v>
      </c>
      <c r="G269" s="14">
        <v>2.9</v>
      </c>
      <c r="H269" s="14" t="s">
        <v>340</v>
      </c>
      <c r="I269" s="249">
        <f t="shared" si="12"/>
        <v>1</v>
      </c>
      <c r="J269" s="143">
        <v>9000</v>
      </c>
      <c r="K269" s="249" t="s">
        <v>2379</v>
      </c>
      <c r="M269" s="249">
        <f t="shared" si="13"/>
        <v>9</v>
      </c>
      <c r="N269" s="249">
        <f t="shared" si="14"/>
        <v>8</v>
      </c>
      <c r="O269" s="14" t="s">
        <v>328</v>
      </c>
      <c r="P269" s="14"/>
      <c r="Q269" s="14"/>
      <c r="S269" s="14"/>
      <c r="T269" s="14"/>
      <c r="U269" s="14"/>
      <c r="V269" s="14"/>
      <c r="W269" s="14" t="s">
        <v>328</v>
      </c>
      <c r="X269" s="14"/>
      <c r="Z269" s="126">
        <v>0.5</v>
      </c>
      <c r="AA269" s="249">
        <v>18</v>
      </c>
      <c r="AB269" s="250">
        <v>18000</v>
      </c>
      <c r="AC269" s="250">
        <v>18000</v>
      </c>
      <c r="AD269" s="250">
        <v>250000</v>
      </c>
      <c r="AE269" s="250">
        <v>100000</v>
      </c>
      <c r="AF269" s="250">
        <v>18000</v>
      </c>
    </row>
    <row r="270" spans="2:32" x14ac:dyDescent="0.25">
      <c r="B270" s="61" t="s">
        <v>520</v>
      </c>
      <c r="C270" s="14" t="s">
        <v>337</v>
      </c>
      <c r="D270" s="14">
        <v>2006</v>
      </c>
      <c r="E270" s="13">
        <v>621338</v>
      </c>
      <c r="F270" s="14">
        <v>2.2000000000000002</v>
      </c>
      <c r="G270" s="14">
        <v>2.9</v>
      </c>
      <c r="H270" s="14" t="s">
        <v>340</v>
      </c>
      <c r="I270" s="249">
        <f t="shared" si="12"/>
        <v>1</v>
      </c>
      <c r="J270" s="143">
        <v>9000</v>
      </c>
      <c r="K270" s="249" t="s">
        <v>2379</v>
      </c>
      <c r="M270" s="249">
        <f t="shared" si="13"/>
        <v>9</v>
      </c>
      <c r="N270" s="249">
        <f t="shared" si="14"/>
        <v>8</v>
      </c>
      <c r="O270" s="14" t="s">
        <v>328</v>
      </c>
      <c r="P270" s="14"/>
      <c r="Q270" s="14"/>
      <c r="S270" s="14"/>
      <c r="T270" s="14"/>
      <c r="U270" s="14"/>
      <c r="V270" s="14"/>
      <c r="W270" s="14" t="s">
        <v>328</v>
      </c>
      <c r="X270" s="14"/>
      <c r="Z270" s="126">
        <v>0.5</v>
      </c>
      <c r="AA270" s="249">
        <v>18</v>
      </c>
      <c r="AB270" s="250">
        <v>18000</v>
      </c>
      <c r="AC270" s="250">
        <v>18000</v>
      </c>
      <c r="AD270" s="250">
        <v>250000</v>
      </c>
      <c r="AE270" s="250">
        <v>100000</v>
      </c>
      <c r="AF270" s="250">
        <v>18000</v>
      </c>
    </row>
    <row r="271" spans="2:32" x14ac:dyDescent="0.25">
      <c r="B271" s="61" t="s">
        <v>520</v>
      </c>
      <c r="C271" s="14" t="s">
        <v>337</v>
      </c>
      <c r="D271" s="14">
        <v>2007</v>
      </c>
      <c r="E271" s="13">
        <v>517720</v>
      </c>
      <c r="F271" s="14">
        <v>2.2000000000000002</v>
      </c>
      <c r="G271" s="14">
        <v>2.9</v>
      </c>
      <c r="H271" s="14" t="s">
        <v>340</v>
      </c>
      <c r="I271" s="249">
        <f t="shared" si="12"/>
        <v>1</v>
      </c>
      <c r="J271" s="143">
        <v>9000</v>
      </c>
      <c r="K271" s="249" t="s">
        <v>2379</v>
      </c>
      <c r="M271" s="249">
        <f t="shared" si="13"/>
        <v>8</v>
      </c>
      <c r="N271" s="249">
        <f t="shared" si="14"/>
        <v>7</v>
      </c>
      <c r="O271" s="14" t="s">
        <v>328</v>
      </c>
      <c r="P271" s="14"/>
      <c r="Q271" s="14"/>
      <c r="S271" s="14"/>
      <c r="T271" s="14"/>
      <c r="U271" s="14"/>
      <c r="V271" s="14"/>
      <c r="W271" s="14" t="s">
        <v>328</v>
      </c>
      <c r="X271" s="14"/>
      <c r="Z271" s="126">
        <v>0.5</v>
      </c>
      <c r="AA271" s="249">
        <v>18</v>
      </c>
      <c r="AB271" s="250">
        <v>18000</v>
      </c>
      <c r="AC271" s="250">
        <v>18000</v>
      </c>
      <c r="AD271" s="250">
        <v>250000</v>
      </c>
      <c r="AE271" s="250">
        <v>100000</v>
      </c>
      <c r="AF271" s="250">
        <v>18000</v>
      </c>
    </row>
    <row r="272" spans="2:32" x14ac:dyDescent="0.25">
      <c r="B272" s="61" t="s">
        <v>520</v>
      </c>
      <c r="C272" s="14" t="s">
        <v>337</v>
      </c>
      <c r="D272" s="14">
        <v>2007</v>
      </c>
      <c r="E272" s="13">
        <v>582011</v>
      </c>
      <c r="F272" s="14">
        <v>2.2000000000000002</v>
      </c>
      <c r="G272" s="14">
        <v>2.9</v>
      </c>
      <c r="H272" s="14" t="s">
        <v>340</v>
      </c>
      <c r="I272" s="249">
        <f t="shared" si="12"/>
        <v>1</v>
      </c>
      <c r="J272" s="143">
        <v>9000</v>
      </c>
      <c r="K272" s="249" t="s">
        <v>2379</v>
      </c>
      <c r="M272" s="249">
        <f t="shared" si="13"/>
        <v>8</v>
      </c>
      <c r="N272" s="249">
        <f t="shared" si="14"/>
        <v>7</v>
      </c>
      <c r="O272" s="14" t="s">
        <v>328</v>
      </c>
      <c r="P272" s="14"/>
      <c r="Q272" s="14"/>
      <c r="S272" s="14"/>
      <c r="T272" s="14"/>
      <c r="U272" s="14"/>
      <c r="V272" s="14"/>
      <c r="W272" s="14" t="s">
        <v>328</v>
      </c>
      <c r="X272" s="14"/>
      <c r="Z272" s="126">
        <v>0.5</v>
      </c>
      <c r="AA272" s="249">
        <v>18</v>
      </c>
      <c r="AB272" s="250">
        <v>18000</v>
      </c>
      <c r="AC272" s="250">
        <v>18000</v>
      </c>
      <c r="AD272" s="250">
        <v>250000</v>
      </c>
      <c r="AE272" s="250">
        <v>100000</v>
      </c>
      <c r="AF272" s="250">
        <v>18000</v>
      </c>
    </row>
    <row r="273" spans="2:32" x14ac:dyDescent="0.25">
      <c r="B273" s="61" t="s">
        <v>520</v>
      </c>
      <c r="C273" s="14" t="s">
        <v>337</v>
      </c>
      <c r="D273" s="14">
        <v>2007</v>
      </c>
      <c r="E273" s="13">
        <v>495715</v>
      </c>
      <c r="F273" s="14">
        <v>2.2000000000000002</v>
      </c>
      <c r="G273" s="14">
        <v>2.9</v>
      </c>
      <c r="H273" s="14" t="s">
        <v>340</v>
      </c>
      <c r="I273" s="249">
        <f t="shared" si="12"/>
        <v>1</v>
      </c>
      <c r="J273" s="143">
        <v>9000</v>
      </c>
      <c r="K273" s="249" t="s">
        <v>2379</v>
      </c>
      <c r="M273" s="249">
        <f t="shared" si="13"/>
        <v>8</v>
      </c>
      <c r="N273" s="249">
        <f t="shared" si="14"/>
        <v>7</v>
      </c>
      <c r="O273" s="14" t="s">
        <v>328</v>
      </c>
      <c r="P273" s="14"/>
      <c r="Q273" s="14"/>
      <c r="S273" s="14"/>
      <c r="T273" s="14"/>
      <c r="U273" s="14"/>
      <c r="V273" s="14"/>
      <c r="W273" s="14" t="s">
        <v>328</v>
      </c>
      <c r="X273" s="14"/>
      <c r="Z273" s="126">
        <v>0.5</v>
      </c>
      <c r="AA273" s="249">
        <v>18</v>
      </c>
      <c r="AB273" s="250">
        <v>18000</v>
      </c>
      <c r="AC273" s="250">
        <v>18000</v>
      </c>
      <c r="AD273" s="250">
        <v>250000</v>
      </c>
      <c r="AE273" s="250">
        <v>100000</v>
      </c>
      <c r="AF273" s="250">
        <v>18000</v>
      </c>
    </row>
    <row r="274" spans="2:32" x14ac:dyDescent="0.25">
      <c r="B274" s="61" t="s">
        <v>520</v>
      </c>
      <c r="C274" s="14" t="s">
        <v>337</v>
      </c>
      <c r="D274" s="14">
        <v>2008</v>
      </c>
      <c r="E274" s="13">
        <v>460273</v>
      </c>
      <c r="F274" s="14">
        <v>2.2000000000000002</v>
      </c>
      <c r="G274" s="14">
        <v>2.9</v>
      </c>
      <c r="H274" s="14" t="s">
        <v>340</v>
      </c>
      <c r="I274" s="249">
        <f t="shared" si="12"/>
        <v>1</v>
      </c>
      <c r="J274" s="143">
        <v>9000</v>
      </c>
      <c r="K274" s="249" t="s">
        <v>2379</v>
      </c>
      <c r="M274" s="249">
        <f t="shared" si="13"/>
        <v>7</v>
      </c>
      <c r="N274" s="249">
        <f t="shared" si="14"/>
        <v>6</v>
      </c>
      <c r="O274" s="14" t="s">
        <v>328</v>
      </c>
      <c r="P274" s="14"/>
      <c r="Q274" s="14"/>
      <c r="S274" s="14"/>
      <c r="T274" s="14"/>
      <c r="U274" s="14"/>
      <c r="V274" s="14"/>
      <c r="W274" s="14"/>
      <c r="X274" s="14" t="s">
        <v>328</v>
      </c>
      <c r="Z274" s="126">
        <v>0.5</v>
      </c>
      <c r="AA274" s="249">
        <v>18</v>
      </c>
      <c r="AB274" s="250">
        <v>18000</v>
      </c>
      <c r="AC274" s="250">
        <v>18000</v>
      </c>
      <c r="AD274" s="250">
        <v>250000</v>
      </c>
      <c r="AE274" s="250">
        <v>100000</v>
      </c>
      <c r="AF274" s="250">
        <v>18000</v>
      </c>
    </row>
    <row r="275" spans="2:32" x14ac:dyDescent="0.25">
      <c r="B275" s="61" t="s">
        <v>520</v>
      </c>
      <c r="C275" s="14" t="s">
        <v>337</v>
      </c>
      <c r="D275" s="14">
        <v>2008</v>
      </c>
      <c r="E275" s="13">
        <v>454492</v>
      </c>
      <c r="F275" s="14">
        <v>2.2000000000000002</v>
      </c>
      <c r="G275" s="14">
        <v>2.9</v>
      </c>
      <c r="H275" s="14" t="s">
        <v>340</v>
      </c>
      <c r="I275" s="249">
        <f t="shared" si="12"/>
        <v>1</v>
      </c>
      <c r="J275" s="143">
        <v>9000</v>
      </c>
      <c r="K275" s="249" t="s">
        <v>2379</v>
      </c>
      <c r="M275" s="249">
        <f t="shared" si="13"/>
        <v>7</v>
      </c>
      <c r="N275" s="249">
        <f t="shared" si="14"/>
        <v>6</v>
      </c>
      <c r="O275" s="14" t="s">
        <v>328</v>
      </c>
      <c r="P275" s="14"/>
      <c r="Q275" s="14"/>
      <c r="S275" s="14"/>
      <c r="T275" s="14"/>
      <c r="U275" s="14"/>
      <c r="V275" s="14"/>
      <c r="W275" s="14"/>
      <c r="X275" s="14" t="s">
        <v>328</v>
      </c>
      <c r="Z275" s="126">
        <v>0.5</v>
      </c>
      <c r="AA275" s="249">
        <v>18</v>
      </c>
      <c r="AB275" s="250">
        <v>18000</v>
      </c>
      <c r="AC275" s="250">
        <v>18000</v>
      </c>
      <c r="AD275" s="250">
        <v>250000</v>
      </c>
      <c r="AE275" s="250">
        <v>100000</v>
      </c>
      <c r="AF275" s="250">
        <v>18000</v>
      </c>
    </row>
    <row r="276" spans="2:32" x14ac:dyDescent="0.25">
      <c r="B276" s="61" t="s">
        <v>520</v>
      </c>
      <c r="C276" s="14" t="s">
        <v>337</v>
      </c>
      <c r="D276" s="14">
        <v>2008</v>
      </c>
      <c r="E276" s="13">
        <v>471965</v>
      </c>
      <c r="F276" s="14">
        <v>2.2000000000000002</v>
      </c>
      <c r="G276" s="14">
        <v>2.9</v>
      </c>
      <c r="H276" s="14" t="s">
        <v>340</v>
      </c>
      <c r="I276" s="249">
        <f t="shared" si="12"/>
        <v>1</v>
      </c>
      <c r="J276" s="143">
        <v>9000</v>
      </c>
      <c r="K276" s="249" t="s">
        <v>2379</v>
      </c>
      <c r="M276" s="249">
        <f t="shared" si="13"/>
        <v>7</v>
      </c>
      <c r="N276" s="249">
        <f t="shared" si="14"/>
        <v>6</v>
      </c>
      <c r="O276" s="14" t="s">
        <v>328</v>
      </c>
      <c r="P276" s="14"/>
      <c r="Q276" s="14"/>
      <c r="S276" s="14"/>
      <c r="T276" s="14"/>
      <c r="U276" s="14"/>
      <c r="V276" s="14"/>
      <c r="W276" s="14"/>
      <c r="X276" s="14" t="s">
        <v>328</v>
      </c>
      <c r="Z276" s="126">
        <v>0.5</v>
      </c>
      <c r="AA276" s="249">
        <v>18</v>
      </c>
      <c r="AB276" s="250">
        <v>18000</v>
      </c>
      <c r="AC276" s="250">
        <v>18000</v>
      </c>
      <c r="AD276" s="250">
        <v>250000</v>
      </c>
      <c r="AE276" s="250">
        <v>100000</v>
      </c>
      <c r="AF276" s="250">
        <v>18000</v>
      </c>
    </row>
    <row r="277" spans="2:32" x14ac:dyDescent="0.25">
      <c r="B277" s="61" t="s">
        <v>520</v>
      </c>
      <c r="C277" s="14" t="s">
        <v>337</v>
      </c>
      <c r="D277" s="14">
        <v>2008</v>
      </c>
      <c r="E277" s="13">
        <v>413587</v>
      </c>
      <c r="F277" s="14">
        <v>2.2000000000000002</v>
      </c>
      <c r="G277" s="14">
        <v>2.9</v>
      </c>
      <c r="H277" s="14" t="s">
        <v>340</v>
      </c>
      <c r="I277" s="249">
        <f t="shared" si="12"/>
        <v>1</v>
      </c>
      <c r="J277" s="143">
        <v>9000</v>
      </c>
      <c r="K277" s="249" t="s">
        <v>2379</v>
      </c>
      <c r="M277" s="249">
        <f t="shared" si="13"/>
        <v>7</v>
      </c>
      <c r="N277" s="249">
        <f t="shared" si="14"/>
        <v>6</v>
      </c>
      <c r="O277" s="14" t="s">
        <v>328</v>
      </c>
      <c r="P277" s="14"/>
      <c r="Q277" s="14"/>
      <c r="S277" s="14"/>
      <c r="T277" s="14"/>
      <c r="U277" s="14"/>
      <c r="V277" s="14"/>
      <c r="W277" s="14"/>
      <c r="X277" s="14" t="s">
        <v>328</v>
      </c>
      <c r="Z277" s="126">
        <v>0.5</v>
      </c>
      <c r="AA277" s="249">
        <v>18</v>
      </c>
      <c r="AB277" s="250">
        <v>18000</v>
      </c>
      <c r="AC277" s="250">
        <v>18000</v>
      </c>
      <c r="AD277" s="250">
        <v>250000</v>
      </c>
      <c r="AE277" s="250">
        <v>100000</v>
      </c>
      <c r="AF277" s="250">
        <v>18000</v>
      </c>
    </row>
    <row r="278" spans="2:32" x14ac:dyDescent="0.25">
      <c r="B278" s="61" t="s">
        <v>521</v>
      </c>
      <c r="C278" s="14" t="s">
        <v>337</v>
      </c>
      <c r="D278" s="14">
        <v>1999</v>
      </c>
      <c r="E278" s="13">
        <v>735214</v>
      </c>
      <c r="F278" s="14">
        <v>2.1</v>
      </c>
      <c r="G278" s="14">
        <v>3</v>
      </c>
      <c r="H278" s="14" t="s">
        <v>340</v>
      </c>
      <c r="I278" s="249">
        <f t="shared" si="12"/>
        <v>1</v>
      </c>
      <c r="J278" s="143">
        <v>8333.3333333333339</v>
      </c>
      <c r="K278" s="249" t="s">
        <v>2378</v>
      </c>
      <c r="M278" s="249">
        <f t="shared" si="13"/>
        <v>16</v>
      </c>
      <c r="N278" s="249">
        <f t="shared" si="14"/>
        <v>15</v>
      </c>
      <c r="O278" s="14"/>
      <c r="P278" s="14"/>
      <c r="Q278" s="14" t="s">
        <v>328</v>
      </c>
      <c r="S278" s="14"/>
      <c r="T278" s="14" t="s">
        <v>328</v>
      </c>
      <c r="U278" s="14"/>
      <c r="V278" s="14"/>
      <c r="W278" s="14"/>
      <c r="X278" s="14"/>
      <c r="Z278" s="126">
        <v>0.2</v>
      </c>
      <c r="AA278" s="249">
        <v>2</v>
      </c>
      <c r="AB278" s="250">
        <v>30000</v>
      </c>
      <c r="AC278" s="250">
        <v>30000</v>
      </c>
      <c r="AD278" s="250">
        <v>150000</v>
      </c>
      <c r="AE278" s="250">
        <v>150000</v>
      </c>
      <c r="AF278" s="250">
        <v>18000</v>
      </c>
    </row>
    <row r="279" spans="2:32" x14ac:dyDescent="0.25">
      <c r="B279" s="61" t="s">
        <v>521</v>
      </c>
      <c r="C279" s="14" t="s">
        <v>337</v>
      </c>
      <c r="D279" s="14">
        <v>2000</v>
      </c>
      <c r="E279" s="13">
        <v>816612</v>
      </c>
      <c r="F279" s="14">
        <v>2.1</v>
      </c>
      <c r="G279" s="14">
        <v>3</v>
      </c>
      <c r="H279" s="14" t="s">
        <v>340</v>
      </c>
      <c r="I279" s="249">
        <f t="shared" si="12"/>
        <v>1</v>
      </c>
      <c r="J279" s="143">
        <v>8333.3333333333339</v>
      </c>
      <c r="K279" s="249" t="s">
        <v>2378</v>
      </c>
      <c r="M279" s="249">
        <f t="shared" si="13"/>
        <v>15</v>
      </c>
      <c r="N279" s="249">
        <f t="shared" si="14"/>
        <v>14</v>
      </c>
      <c r="O279" s="14"/>
      <c r="P279" s="14"/>
      <c r="Q279" s="14" t="s">
        <v>328</v>
      </c>
      <c r="S279" s="14"/>
      <c r="T279" s="14" t="s">
        <v>328</v>
      </c>
      <c r="U279" s="14"/>
      <c r="V279" s="14"/>
      <c r="W279" s="14"/>
      <c r="X279" s="14"/>
      <c r="Z279" s="126">
        <v>0.2</v>
      </c>
      <c r="AA279" s="249">
        <v>2</v>
      </c>
      <c r="AB279" s="250">
        <v>30000</v>
      </c>
      <c r="AC279" s="250">
        <v>30000</v>
      </c>
      <c r="AD279" s="250">
        <v>150000</v>
      </c>
      <c r="AE279" s="250">
        <v>150000</v>
      </c>
      <c r="AF279" s="250">
        <v>30000</v>
      </c>
    </row>
    <row r="280" spans="2:32" x14ac:dyDescent="0.25">
      <c r="B280" s="61" t="s">
        <v>522</v>
      </c>
      <c r="C280" s="14" t="s">
        <v>337</v>
      </c>
      <c r="D280" s="14">
        <v>2000</v>
      </c>
      <c r="E280" s="13">
        <v>731627</v>
      </c>
      <c r="F280" s="14">
        <v>2.75</v>
      </c>
      <c r="G280" s="14">
        <v>2.9</v>
      </c>
      <c r="H280" s="14" t="s">
        <v>340</v>
      </c>
      <c r="I280" s="249">
        <f t="shared" si="12"/>
        <v>1</v>
      </c>
      <c r="J280" s="143">
        <v>8333.3333333333339</v>
      </c>
      <c r="K280" s="249" t="s">
        <v>2378</v>
      </c>
      <c r="M280" s="249">
        <f t="shared" si="13"/>
        <v>15</v>
      </c>
      <c r="N280" s="249">
        <f t="shared" si="14"/>
        <v>14</v>
      </c>
      <c r="O280" s="14"/>
      <c r="P280" s="14" t="s">
        <v>328</v>
      </c>
      <c r="Q280" s="14"/>
      <c r="S280" s="14"/>
      <c r="T280" s="14"/>
      <c r="U280" s="14"/>
      <c r="V280" s="14" t="s">
        <v>328</v>
      </c>
      <c r="W280" s="14"/>
      <c r="X280" s="14"/>
      <c r="Z280" s="126">
        <v>0.3</v>
      </c>
      <c r="AA280" s="249">
        <v>3</v>
      </c>
      <c r="AB280" s="250">
        <v>30000</v>
      </c>
      <c r="AC280" s="250">
        <v>30000</v>
      </c>
      <c r="AD280" s="250">
        <v>100000</v>
      </c>
      <c r="AE280" s="250">
        <v>100000</v>
      </c>
      <c r="AF280" s="250">
        <v>30000</v>
      </c>
    </row>
    <row r="281" spans="2:32" x14ac:dyDescent="0.25">
      <c r="B281" s="61" t="s">
        <v>522</v>
      </c>
      <c r="C281" s="14" t="s">
        <v>337</v>
      </c>
      <c r="D281" s="14">
        <v>2001</v>
      </c>
      <c r="E281" s="13">
        <v>1010514</v>
      </c>
      <c r="F281" s="14">
        <v>2.75</v>
      </c>
      <c r="G281" s="14">
        <v>2.9</v>
      </c>
      <c r="H281" s="14" t="s">
        <v>340</v>
      </c>
      <c r="I281" s="249">
        <f t="shared" si="12"/>
        <v>1</v>
      </c>
      <c r="J281" s="143">
        <v>8333.3333333333339</v>
      </c>
      <c r="K281" s="249" t="s">
        <v>2378</v>
      </c>
      <c r="M281" s="249">
        <f t="shared" si="13"/>
        <v>14</v>
      </c>
      <c r="N281" s="249">
        <f t="shared" si="14"/>
        <v>13</v>
      </c>
      <c r="O281" s="14" t="s">
        <v>328</v>
      </c>
      <c r="P281" s="14"/>
      <c r="Q281" s="14"/>
      <c r="S281" s="14"/>
      <c r="T281" s="14" t="s">
        <v>328</v>
      </c>
      <c r="U281" s="14"/>
      <c r="V281" s="14"/>
      <c r="W281" s="14"/>
      <c r="X281" s="14"/>
      <c r="Z281" s="126">
        <v>0.3</v>
      </c>
      <c r="AA281" s="249">
        <v>3</v>
      </c>
      <c r="AB281" s="250">
        <v>30000</v>
      </c>
      <c r="AC281" s="250">
        <v>30000</v>
      </c>
      <c r="AD281" s="250">
        <v>100000</v>
      </c>
      <c r="AE281" s="250">
        <v>100000</v>
      </c>
      <c r="AF281" s="250">
        <v>30000</v>
      </c>
    </row>
    <row r="282" spans="2:32" x14ac:dyDescent="0.25">
      <c r="B282" s="61" t="s">
        <v>522</v>
      </c>
      <c r="C282" s="14" t="s">
        <v>351</v>
      </c>
      <c r="D282" s="14">
        <v>1997</v>
      </c>
      <c r="E282" s="13">
        <v>1215606</v>
      </c>
      <c r="F282" s="14">
        <v>4.0999999999999996</v>
      </c>
      <c r="G282" s="14">
        <v>4.4000000000000004</v>
      </c>
      <c r="H282" s="14" t="s">
        <v>340</v>
      </c>
      <c r="I282" s="249">
        <f t="shared" si="12"/>
        <v>1</v>
      </c>
      <c r="J282" s="143">
        <v>8333.3333333333339</v>
      </c>
      <c r="K282" s="249" t="s">
        <v>2378</v>
      </c>
      <c r="M282" s="249">
        <f t="shared" si="13"/>
        <v>18</v>
      </c>
      <c r="N282" s="249">
        <f t="shared" si="14"/>
        <v>17</v>
      </c>
      <c r="O282" s="14"/>
      <c r="P282" s="14"/>
      <c r="Q282" s="14" t="s">
        <v>328</v>
      </c>
      <c r="S282" s="14"/>
      <c r="T282" s="14"/>
      <c r="U282" s="14"/>
      <c r="V282" s="14" t="s">
        <v>328</v>
      </c>
      <c r="W282" s="14"/>
      <c r="X282" s="14"/>
      <c r="Z282" s="126">
        <v>0.3</v>
      </c>
      <c r="AA282" s="249">
        <v>3</v>
      </c>
      <c r="AB282" s="250">
        <v>30000</v>
      </c>
      <c r="AC282" s="250">
        <v>30000</v>
      </c>
      <c r="AD282" s="250">
        <v>100000</v>
      </c>
      <c r="AE282" s="250">
        <v>100000</v>
      </c>
      <c r="AF282" s="250">
        <v>30000</v>
      </c>
    </row>
    <row r="283" spans="2:32" x14ac:dyDescent="0.25">
      <c r="B283" s="61" t="s">
        <v>523</v>
      </c>
      <c r="C283" s="14" t="s">
        <v>337</v>
      </c>
      <c r="D283" s="14">
        <v>1997</v>
      </c>
      <c r="E283" s="13">
        <v>925213</v>
      </c>
      <c r="F283" s="14">
        <v>2.1</v>
      </c>
      <c r="G283" s="14">
        <v>2.6</v>
      </c>
      <c r="H283" s="14" t="s">
        <v>340</v>
      </c>
      <c r="I283" s="249">
        <f t="shared" si="12"/>
        <v>1</v>
      </c>
      <c r="J283" s="143">
        <v>6000</v>
      </c>
      <c r="K283" s="249" t="s">
        <v>2378</v>
      </c>
      <c r="M283" s="249">
        <f t="shared" si="13"/>
        <v>18</v>
      </c>
      <c r="N283" s="249">
        <f t="shared" si="14"/>
        <v>17</v>
      </c>
      <c r="O283" s="14"/>
      <c r="P283" s="14" t="s">
        <v>328</v>
      </c>
      <c r="Q283" s="14"/>
      <c r="S283" s="14"/>
      <c r="T283" s="14"/>
      <c r="U283" s="14"/>
      <c r="V283" s="14"/>
      <c r="W283" s="14" t="s">
        <v>328</v>
      </c>
      <c r="X283" s="14"/>
      <c r="Z283" s="126">
        <v>0.2</v>
      </c>
      <c r="AA283" s="249">
        <v>5</v>
      </c>
      <c r="AB283" s="250">
        <v>25000</v>
      </c>
      <c r="AC283" s="250">
        <v>25000</v>
      </c>
      <c r="AD283" s="250">
        <v>100000</v>
      </c>
      <c r="AE283" s="250">
        <v>100000</v>
      </c>
      <c r="AF283" s="250">
        <v>25000</v>
      </c>
    </row>
    <row r="284" spans="2:32" x14ac:dyDescent="0.25">
      <c r="B284" s="61" t="s">
        <v>523</v>
      </c>
      <c r="C284" s="14" t="s">
        <v>337</v>
      </c>
      <c r="D284" s="14">
        <v>1998</v>
      </c>
      <c r="E284" s="13">
        <v>973115</v>
      </c>
      <c r="F284" s="14">
        <v>2.1</v>
      </c>
      <c r="G284" s="14">
        <v>2.6</v>
      </c>
      <c r="H284" s="14" t="s">
        <v>340</v>
      </c>
      <c r="I284" s="249">
        <f t="shared" si="12"/>
        <v>1</v>
      </c>
      <c r="J284" s="143">
        <v>6000</v>
      </c>
      <c r="K284" s="249" t="s">
        <v>2378</v>
      </c>
      <c r="M284" s="249">
        <f t="shared" si="13"/>
        <v>17</v>
      </c>
      <c r="N284" s="249">
        <f t="shared" si="14"/>
        <v>16</v>
      </c>
      <c r="O284" s="14"/>
      <c r="P284" s="14" t="s">
        <v>328</v>
      </c>
      <c r="Q284" s="14"/>
      <c r="S284" s="14"/>
      <c r="T284" s="14"/>
      <c r="U284" s="14"/>
      <c r="V284" s="14"/>
      <c r="W284" s="14" t="s">
        <v>328</v>
      </c>
      <c r="X284" s="14"/>
      <c r="Z284" s="126">
        <v>0.2</v>
      </c>
      <c r="AA284" s="249">
        <v>5</v>
      </c>
      <c r="AB284" s="250">
        <v>25000</v>
      </c>
      <c r="AC284" s="250">
        <v>25000</v>
      </c>
      <c r="AD284" s="250">
        <v>100000</v>
      </c>
      <c r="AE284" s="250">
        <v>100000</v>
      </c>
      <c r="AF284" s="250">
        <v>25000</v>
      </c>
    </row>
    <row r="285" spans="2:32" x14ac:dyDescent="0.25">
      <c r="B285" s="61" t="s">
        <v>523</v>
      </c>
      <c r="C285" s="14" t="s">
        <v>337</v>
      </c>
      <c r="D285" s="14">
        <v>1998</v>
      </c>
      <c r="E285" s="13">
        <v>988716</v>
      </c>
      <c r="F285" s="14">
        <v>2.1</v>
      </c>
      <c r="G285" s="14">
        <v>2.6</v>
      </c>
      <c r="H285" s="14" t="s">
        <v>340</v>
      </c>
      <c r="I285" s="249">
        <f t="shared" si="12"/>
        <v>1</v>
      </c>
      <c r="J285" s="143">
        <v>6000</v>
      </c>
      <c r="K285" s="249" t="s">
        <v>2378</v>
      </c>
      <c r="M285" s="249">
        <f t="shared" si="13"/>
        <v>17</v>
      </c>
      <c r="N285" s="249">
        <f t="shared" si="14"/>
        <v>16</v>
      </c>
      <c r="O285" s="14"/>
      <c r="P285" s="14" t="s">
        <v>328</v>
      </c>
      <c r="Q285" s="14"/>
      <c r="S285" s="14"/>
      <c r="T285" s="14"/>
      <c r="U285" s="14"/>
      <c r="V285" s="14"/>
      <c r="W285" s="14" t="s">
        <v>328</v>
      </c>
      <c r="X285" s="14"/>
      <c r="Z285" s="126">
        <v>0.2</v>
      </c>
      <c r="AA285" s="249">
        <v>5</v>
      </c>
      <c r="AB285" s="250">
        <v>25000</v>
      </c>
      <c r="AC285" s="250">
        <v>25000</v>
      </c>
      <c r="AD285" s="250">
        <v>100000</v>
      </c>
      <c r="AE285" s="250">
        <v>100000</v>
      </c>
      <c r="AF285" s="250">
        <v>25000</v>
      </c>
    </row>
    <row r="286" spans="2:32" x14ac:dyDescent="0.25">
      <c r="B286" s="61" t="s">
        <v>523</v>
      </c>
      <c r="C286" s="14" t="s">
        <v>337</v>
      </c>
      <c r="D286" s="14">
        <v>2000</v>
      </c>
      <c r="E286" s="13">
        <v>796653</v>
      </c>
      <c r="F286" s="14">
        <v>2.4</v>
      </c>
      <c r="G286" s="14">
        <v>2.8</v>
      </c>
      <c r="H286" s="14" t="s">
        <v>340</v>
      </c>
      <c r="I286" s="249">
        <f t="shared" si="12"/>
        <v>1</v>
      </c>
      <c r="J286" s="143">
        <v>8000</v>
      </c>
      <c r="K286" s="249" t="s">
        <v>2378</v>
      </c>
      <c r="M286" s="249">
        <f t="shared" si="13"/>
        <v>15</v>
      </c>
      <c r="N286" s="249">
        <f t="shared" si="14"/>
        <v>14</v>
      </c>
      <c r="O286" s="14"/>
      <c r="P286" s="14" t="s">
        <v>328</v>
      </c>
      <c r="Q286" s="14"/>
      <c r="S286" s="14"/>
      <c r="T286" s="14"/>
      <c r="U286" s="14"/>
      <c r="V286" s="14"/>
      <c r="W286" s="14" t="s">
        <v>328</v>
      </c>
      <c r="X286" s="14"/>
      <c r="Z286" s="126">
        <v>0.2</v>
      </c>
      <c r="AA286" s="249">
        <v>5</v>
      </c>
      <c r="AB286" s="250">
        <v>25000</v>
      </c>
      <c r="AC286" s="250">
        <v>25000</v>
      </c>
      <c r="AD286" s="250">
        <v>100000</v>
      </c>
      <c r="AE286" s="250">
        <v>100000</v>
      </c>
      <c r="AF286" s="250">
        <v>25000</v>
      </c>
    </row>
    <row r="287" spans="2:32" x14ac:dyDescent="0.25">
      <c r="B287" s="61" t="s">
        <v>523</v>
      </c>
      <c r="C287" s="14" t="s">
        <v>337</v>
      </c>
      <c r="D287" s="14">
        <v>2000</v>
      </c>
      <c r="E287" s="13">
        <v>815620</v>
      </c>
      <c r="F287" s="14">
        <v>2.4</v>
      </c>
      <c r="G287" s="14">
        <v>2.8</v>
      </c>
      <c r="H287" s="14" t="s">
        <v>340</v>
      </c>
      <c r="I287" s="249">
        <f t="shared" si="12"/>
        <v>1</v>
      </c>
      <c r="J287" s="143">
        <v>8000</v>
      </c>
      <c r="K287" s="249" t="s">
        <v>2378</v>
      </c>
      <c r="M287" s="249">
        <f t="shared" si="13"/>
        <v>15</v>
      </c>
      <c r="N287" s="249">
        <f t="shared" si="14"/>
        <v>14</v>
      </c>
      <c r="O287" s="14"/>
      <c r="P287" s="14" t="s">
        <v>328</v>
      </c>
      <c r="Q287" s="14"/>
      <c r="S287" s="14"/>
      <c r="T287" s="14"/>
      <c r="U287" s="14"/>
      <c r="V287" s="14"/>
      <c r="W287" s="14" t="s">
        <v>328</v>
      </c>
      <c r="X287" s="14"/>
      <c r="Z287" s="126">
        <v>0.2</v>
      </c>
      <c r="AA287" s="249">
        <v>5</v>
      </c>
      <c r="AB287" s="250">
        <v>25000</v>
      </c>
      <c r="AC287" s="250">
        <v>25000</v>
      </c>
      <c r="AD287" s="250">
        <v>100000</v>
      </c>
      <c r="AE287" s="250">
        <v>100000</v>
      </c>
      <c r="AF287" s="250">
        <v>25000</v>
      </c>
    </row>
    <row r="288" spans="2:32" x14ac:dyDescent="0.25">
      <c r="B288" s="61" t="s">
        <v>524</v>
      </c>
      <c r="C288" s="14" t="s">
        <v>351</v>
      </c>
      <c r="D288" s="14">
        <v>2007</v>
      </c>
      <c r="E288" s="13">
        <v>417523</v>
      </c>
      <c r="F288" s="14">
        <v>4</v>
      </c>
      <c r="G288" s="14">
        <v>4.3</v>
      </c>
      <c r="H288" s="14" t="s">
        <v>340</v>
      </c>
      <c r="I288" s="249">
        <f t="shared" si="12"/>
        <v>1</v>
      </c>
      <c r="J288" s="143">
        <v>6000</v>
      </c>
      <c r="K288" s="249" t="s">
        <v>2378</v>
      </c>
      <c r="M288" s="249">
        <f t="shared" si="13"/>
        <v>8</v>
      </c>
      <c r="N288" s="249">
        <f t="shared" si="14"/>
        <v>7</v>
      </c>
      <c r="O288" s="14" t="s">
        <v>328</v>
      </c>
      <c r="P288" s="14"/>
      <c r="Q288" s="14"/>
      <c r="S288" s="14"/>
      <c r="T288" s="14"/>
      <c r="U288" s="14"/>
      <c r="V288" s="14"/>
      <c r="W288" s="14" t="s">
        <v>328</v>
      </c>
      <c r="X288" s="14"/>
      <c r="Z288" s="126">
        <v>0</v>
      </c>
      <c r="AA288" s="249">
        <v>3</v>
      </c>
      <c r="AB288" s="250">
        <v>20000</v>
      </c>
      <c r="AC288" s="250">
        <v>20000</v>
      </c>
      <c r="AD288" s="250">
        <v>200000</v>
      </c>
      <c r="AE288" s="250">
        <v>200000</v>
      </c>
      <c r="AF288" s="250">
        <v>20000</v>
      </c>
    </row>
    <row r="289" spans="2:32" x14ac:dyDescent="0.25">
      <c r="B289" s="61" t="s">
        <v>524</v>
      </c>
      <c r="C289" s="14" t="s">
        <v>351</v>
      </c>
      <c r="D289" s="14">
        <v>2007</v>
      </c>
      <c r="E289" s="13">
        <v>429962</v>
      </c>
      <c r="F289" s="14">
        <v>4</v>
      </c>
      <c r="G289" s="14">
        <v>4.3</v>
      </c>
      <c r="H289" s="14" t="s">
        <v>340</v>
      </c>
      <c r="I289" s="249">
        <f t="shared" si="12"/>
        <v>1</v>
      </c>
      <c r="J289" s="143">
        <v>6000</v>
      </c>
      <c r="K289" s="249" t="s">
        <v>2378</v>
      </c>
      <c r="M289" s="249">
        <f t="shared" si="13"/>
        <v>8</v>
      </c>
      <c r="N289" s="249">
        <f t="shared" si="14"/>
        <v>7</v>
      </c>
      <c r="O289" s="14" t="s">
        <v>328</v>
      </c>
      <c r="P289" s="14"/>
      <c r="Q289" s="14"/>
      <c r="S289" s="14"/>
      <c r="T289" s="14"/>
      <c r="U289" s="14"/>
      <c r="V289" s="14"/>
      <c r="W289" s="14" t="s">
        <v>328</v>
      </c>
      <c r="X289" s="14"/>
      <c r="Z289" s="126">
        <v>0</v>
      </c>
      <c r="AA289" s="249">
        <v>3</v>
      </c>
      <c r="AB289" s="250">
        <v>20000</v>
      </c>
      <c r="AC289" s="250">
        <v>20000</v>
      </c>
      <c r="AD289" s="250">
        <v>200000</v>
      </c>
      <c r="AE289" s="250">
        <v>200000</v>
      </c>
      <c r="AF289" s="250">
        <v>20000</v>
      </c>
    </row>
    <row r="290" spans="2:32" x14ac:dyDescent="0.25">
      <c r="B290" s="61" t="s">
        <v>524</v>
      </c>
      <c r="C290" s="14" t="s">
        <v>351</v>
      </c>
      <c r="D290" s="14">
        <v>2008</v>
      </c>
      <c r="E290" s="13">
        <v>356717</v>
      </c>
      <c r="F290" s="14">
        <v>4</v>
      </c>
      <c r="G290" s="14">
        <v>4.3</v>
      </c>
      <c r="H290" s="14" t="s">
        <v>340</v>
      </c>
      <c r="I290" s="249">
        <f t="shared" si="12"/>
        <v>1</v>
      </c>
      <c r="J290" s="143">
        <v>6000</v>
      </c>
      <c r="K290" s="249" t="s">
        <v>2378</v>
      </c>
      <c r="M290" s="249">
        <f t="shared" si="13"/>
        <v>7</v>
      </c>
      <c r="N290" s="249">
        <f t="shared" si="14"/>
        <v>6</v>
      </c>
      <c r="O290" s="14" t="s">
        <v>328</v>
      </c>
      <c r="P290" s="14"/>
      <c r="Q290" s="14"/>
      <c r="S290" s="14"/>
      <c r="T290" s="14"/>
      <c r="U290" s="14"/>
      <c r="V290" s="14"/>
      <c r="W290" s="14" t="s">
        <v>328</v>
      </c>
      <c r="X290" s="14"/>
      <c r="Z290" s="126">
        <v>0</v>
      </c>
      <c r="AA290" s="249">
        <v>3</v>
      </c>
      <c r="AB290" s="250">
        <v>20000</v>
      </c>
      <c r="AC290" s="250">
        <v>20000</v>
      </c>
      <c r="AD290" s="250">
        <v>200000</v>
      </c>
      <c r="AE290" s="250">
        <v>200000</v>
      </c>
      <c r="AF290" s="250">
        <v>20000</v>
      </c>
    </row>
    <row r="291" spans="2:32" x14ac:dyDescent="0.25">
      <c r="B291" s="61" t="s">
        <v>525</v>
      </c>
      <c r="C291" s="14" t="s">
        <v>351</v>
      </c>
      <c r="D291" s="14">
        <v>1997</v>
      </c>
      <c r="E291" s="13">
        <v>1250000</v>
      </c>
      <c r="F291" s="14">
        <v>4</v>
      </c>
      <c r="G291" s="14">
        <v>4.5</v>
      </c>
      <c r="H291" s="14" t="s">
        <v>340</v>
      </c>
      <c r="I291" s="249">
        <f t="shared" si="12"/>
        <v>1</v>
      </c>
      <c r="J291" s="143">
        <v>3200</v>
      </c>
      <c r="K291" s="249" t="s">
        <v>2378</v>
      </c>
      <c r="M291" s="249">
        <f t="shared" si="13"/>
        <v>18</v>
      </c>
      <c r="N291" s="249">
        <f t="shared" si="14"/>
        <v>17</v>
      </c>
      <c r="O291" s="14"/>
      <c r="P291" s="14"/>
      <c r="Q291" s="14" t="s">
        <v>328</v>
      </c>
      <c r="S291" s="14"/>
      <c r="T291" s="14" t="s">
        <v>328</v>
      </c>
      <c r="U291" s="14"/>
      <c r="V291" s="14"/>
      <c r="W291" s="14"/>
      <c r="X291" s="14"/>
      <c r="Z291" s="126">
        <v>0</v>
      </c>
      <c r="AA291" s="249">
        <v>1</v>
      </c>
      <c r="AB291" s="250">
        <v>30000</v>
      </c>
      <c r="AC291" s="250">
        <v>30000</v>
      </c>
      <c r="AD291" s="250">
        <v>240000</v>
      </c>
      <c r="AE291" s="250">
        <v>200000</v>
      </c>
      <c r="AF291" s="250">
        <v>30000</v>
      </c>
    </row>
    <row r="292" spans="2:32" x14ac:dyDescent="0.25">
      <c r="B292" s="61" t="s">
        <v>526</v>
      </c>
      <c r="C292" s="14" t="s">
        <v>348</v>
      </c>
      <c r="D292" s="14">
        <v>1980</v>
      </c>
      <c r="E292" s="13">
        <v>136758</v>
      </c>
      <c r="F292" s="14">
        <v>4</v>
      </c>
      <c r="G292" s="14">
        <v>6</v>
      </c>
      <c r="H292" s="14" t="s">
        <v>371</v>
      </c>
      <c r="I292" s="249">
        <f t="shared" si="12"/>
        <v>1</v>
      </c>
      <c r="J292" s="143">
        <v>4000</v>
      </c>
      <c r="K292" s="249" t="s">
        <v>2378</v>
      </c>
      <c r="M292" s="249">
        <f t="shared" si="13"/>
        <v>35</v>
      </c>
      <c r="N292" s="249">
        <f t="shared" si="14"/>
        <v>34</v>
      </c>
      <c r="O292" s="14" t="s">
        <v>328</v>
      </c>
      <c r="P292" s="14"/>
      <c r="Q292" s="14"/>
      <c r="S292" s="14"/>
      <c r="T292" s="14" t="s">
        <v>328</v>
      </c>
      <c r="U292" s="14"/>
      <c r="V292" s="14"/>
      <c r="W292" s="14"/>
      <c r="X292" s="14"/>
      <c r="Z292" s="126">
        <v>0.5</v>
      </c>
      <c r="AA292" s="249">
        <v>1</v>
      </c>
      <c r="AB292" s="250">
        <v>20000</v>
      </c>
      <c r="AC292" s="250">
        <v>40000</v>
      </c>
      <c r="AD292" s="250">
        <v>80000</v>
      </c>
      <c r="AE292" s="250">
        <v>100000</v>
      </c>
      <c r="AF292" s="250" t="s">
        <v>385</v>
      </c>
    </row>
    <row r="293" spans="2:32" x14ac:dyDescent="0.25">
      <c r="B293" s="61" t="s">
        <v>527</v>
      </c>
      <c r="C293" s="14" t="s">
        <v>337</v>
      </c>
      <c r="D293" s="14">
        <v>2003</v>
      </c>
      <c r="E293" s="13">
        <v>914730</v>
      </c>
      <c r="F293" s="14">
        <v>2.2000000000000002</v>
      </c>
      <c r="G293" s="14">
        <v>4</v>
      </c>
      <c r="H293" s="14" t="s">
        <v>340</v>
      </c>
      <c r="I293" s="249">
        <f t="shared" si="12"/>
        <v>1</v>
      </c>
      <c r="J293" s="143">
        <v>10000</v>
      </c>
      <c r="K293" s="249" t="s">
        <v>2378</v>
      </c>
      <c r="M293" s="249">
        <f t="shared" si="13"/>
        <v>12</v>
      </c>
      <c r="N293" s="249">
        <f t="shared" si="14"/>
        <v>11</v>
      </c>
      <c r="O293" s="14"/>
      <c r="P293" s="14" t="s">
        <v>328</v>
      </c>
      <c r="Q293" s="14"/>
      <c r="S293" s="14"/>
      <c r="T293" s="14"/>
      <c r="U293" s="14"/>
      <c r="V293" s="14"/>
      <c r="W293" s="14" t="s">
        <v>328</v>
      </c>
      <c r="X293" s="14"/>
      <c r="Z293" s="126">
        <v>0</v>
      </c>
      <c r="AA293" s="249">
        <v>1</v>
      </c>
      <c r="AB293" s="250">
        <v>22500</v>
      </c>
      <c r="AC293" s="250">
        <v>22500</v>
      </c>
      <c r="AD293" s="250">
        <v>270000</v>
      </c>
      <c r="AE293" s="250">
        <v>140000</v>
      </c>
      <c r="AF293" s="250">
        <v>22500</v>
      </c>
    </row>
    <row r="294" spans="2:32" x14ac:dyDescent="0.25">
      <c r="B294" s="61" t="s">
        <v>528</v>
      </c>
      <c r="C294" s="14" t="s">
        <v>337</v>
      </c>
      <c r="D294" s="14">
        <v>2004</v>
      </c>
      <c r="E294" s="13">
        <v>1215604</v>
      </c>
      <c r="F294" s="14">
        <v>2.5</v>
      </c>
      <c r="G294" s="14">
        <v>3</v>
      </c>
      <c r="H294" s="14" t="s">
        <v>340</v>
      </c>
      <c r="I294" s="249">
        <f t="shared" si="12"/>
        <v>1</v>
      </c>
      <c r="J294" s="143">
        <v>10800</v>
      </c>
      <c r="K294" s="249" t="s">
        <v>2378</v>
      </c>
      <c r="M294" s="249">
        <f t="shared" si="13"/>
        <v>11</v>
      </c>
      <c r="N294" s="249">
        <f t="shared" si="14"/>
        <v>10</v>
      </c>
      <c r="O294" s="14" t="s">
        <v>328</v>
      </c>
      <c r="P294" s="14"/>
      <c r="Q294" s="14"/>
      <c r="S294" s="14"/>
      <c r="T294" s="14"/>
      <c r="U294" s="14"/>
      <c r="V294" s="14"/>
      <c r="W294" s="14" t="s">
        <v>328</v>
      </c>
      <c r="X294" s="14"/>
      <c r="Z294" s="126">
        <v>0</v>
      </c>
      <c r="AA294" s="249">
        <v>3</v>
      </c>
      <c r="AB294" s="250">
        <v>21600</v>
      </c>
      <c r="AC294" s="250">
        <v>21600</v>
      </c>
      <c r="AD294" s="250">
        <v>259200</v>
      </c>
      <c r="AE294" s="250">
        <v>129600</v>
      </c>
      <c r="AF294" s="250">
        <v>21600</v>
      </c>
    </row>
    <row r="295" spans="2:32" x14ac:dyDescent="0.25">
      <c r="B295" s="61" t="s">
        <v>528</v>
      </c>
      <c r="C295" s="14" t="s">
        <v>337</v>
      </c>
      <c r="D295" s="14">
        <v>2005</v>
      </c>
      <c r="E295" s="13">
        <v>992501</v>
      </c>
      <c r="F295" s="14">
        <v>2.5</v>
      </c>
      <c r="G295" s="14">
        <v>3</v>
      </c>
      <c r="H295" s="14" t="s">
        <v>340</v>
      </c>
      <c r="I295" s="249">
        <f t="shared" si="12"/>
        <v>1</v>
      </c>
      <c r="J295" s="143">
        <v>10800</v>
      </c>
      <c r="K295" s="249" t="s">
        <v>2378</v>
      </c>
      <c r="M295" s="249">
        <f t="shared" si="13"/>
        <v>10</v>
      </c>
      <c r="N295" s="249">
        <f t="shared" si="14"/>
        <v>9</v>
      </c>
      <c r="O295" s="14" t="s">
        <v>328</v>
      </c>
      <c r="P295" s="14"/>
      <c r="Q295" s="14"/>
      <c r="S295" s="14"/>
      <c r="T295" s="14"/>
      <c r="U295" s="14"/>
      <c r="V295" s="14"/>
      <c r="W295" s="14" t="s">
        <v>328</v>
      </c>
      <c r="X295" s="14"/>
      <c r="Z295" s="126">
        <v>0</v>
      </c>
      <c r="AA295" s="249">
        <v>3</v>
      </c>
      <c r="AB295" s="250">
        <v>21600</v>
      </c>
      <c r="AC295" s="250">
        <v>21600</v>
      </c>
      <c r="AD295" s="250">
        <v>259200</v>
      </c>
      <c r="AE295" s="250">
        <v>129600</v>
      </c>
      <c r="AF295" s="250">
        <v>21600</v>
      </c>
    </row>
    <row r="296" spans="2:32" x14ac:dyDescent="0.25">
      <c r="B296" s="61" t="s">
        <v>528</v>
      </c>
      <c r="C296" s="14" t="s">
        <v>337</v>
      </c>
      <c r="D296" s="14">
        <v>2007</v>
      </c>
      <c r="E296" s="13">
        <v>734422</v>
      </c>
      <c r="F296" s="14">
        <v>2.5</v>
      </c>
      <c r="G296" s="14">
        <v>3</v>
      </c>
      <c r="H296" s="14" t="s">
        <v>340</v>
      </c>
      <c r="I296" s="249">
        <f t="shared" si="12"/>
        <v>1</v>
      </c>
      <c r="J296" s="143">
        <v>10800</v>
      </c>
      <c r="K296" s="249" t="s">
        <v>2378</v>
      </c>
      <c r="M296" s="249">
        <f t="shared" si="13"/>
        <v>8</v>
      </c>
      <c r="N296" s="249">
        <f t="shared" si="14"/>
        <v>7</v>
      </c>
      <c r="O296" s="14" t="s">
        <v>328</v>
      </c>
      <c r="P296" s="14"/>
      <c r="Q296" s="14"/>
      <c r="S296" s="14"/>
      <c r="T296" s="14"/>
      <c r="U296" s="14"/>
      <c r="V296" s="14"/>
      <c r="W296" s="14"/>
      <c r="X296" s="14" t="s">
        <v>328</v>
      </c>
      <c r="Z296" s="126">
        <v>0</v>
      </c>
      <c r="AA296" s="249">
        <v>3</v>
      </c>
      <c r="AB296" s="250">
        <v>21600</v>
      </c>
      <c r="AC296" s="250">
        <v>21600</v>
      </c>
      <c r="AD296" s="250">
        <v>259200</v>
      </c>
      <c r="AE296" s="250">
        <v>129600</v>
      </c>
      <c r="AF296" s="250">
        <v>21600</v>
      </c>
    </row>
    <row r="297" spans="2:32" x14ac:dyDescent="0.25">
      <c r="B297" s="61" t="s">
        <v>529</v>
      </c>
      <c r="C297" s="14" t="s">
        <v>337</v>
      </c>
      <c r="D297" s="14">
        <v>2005</v>
      </c>
      <c r="E297" s="14" t="s">
        <v>908</v>
      </c>
      <c r="F297" s="14">
        <v>2.4500000000000002</v>
      </c>
      <c r="G297" s="14">
        <v>2.8</v>
      </c>
      <c r="H297" s="14" t="s">
        <v>340</v>
      </c>
      <c r="I297" s="249">
        <f t="shared" si="12"/>
        <v>1</v>
      </c>
      <c r="J297" s="143">
        <v>10500</v>
      </c>
      <c r="K297" s="249" t="s">
        <v>2378</v>
      </c>
      <c r="M297" s="249">
        <f t="shared" si="13"/>
        <v>10</v>
      </c>
      <c r="N297" s="249">
        <f t="shared" si="14"/>
        <v>9</v>
      </c>
      <c r="O297" s="14" t="s">
        <v>328</v>
      </c>
      <c r="P297" s="14"/>
      <c r="Q297" s="14"/>
      <c r="S297" s="14"/>
      <c r="T297" s="14"/>
      <c r="U297" s="14"/>
      <c r="V297" s="14"/>
      <c r="W297" s="14" t="s">
        <v>328</v>
      </c>
      <c r="X297" s="14"/>
      <c r="Z297" s="126">
        <v>0</v>
      </c>
      <c r="AA297" s="249">
        <v>2</v>
      </c>
      <c r="AB297" s="250">
        <v>21000</v>
      </c>
      <c r="AC297" s="250">
        <v>21000</v>
      </c>
      <c r="AD297" s="250">
        <v>120000</v>
      </c>
      <c r="AE297" s="250">
        <v>120000</v>
      </c>
      <c r="AF297" s="250">
        <v>21000</v>
      </c>
    </row>
    <row r="298" spans="2:32" x14ac:dyDescent="0.25">
      <c r="B298" s="61" t="s">
        <v>529</v>
      </c>
      <c r="C298" s="14" t="s">
        <v>337</v>
      </c>
      <c r="D298" s="14">
        <v>2005</v>
      </c>
      <c r="E298" s="14" t="s">
        <v>908</v>
      </c>
      <c r="F298" s="14">
        <v>2.4500000000000002</v>
      </c>
      <c r="G298" s="14">
        <v>2.8</v>
      </c>
      <c r="H298" s="14" t="s">
        <v>340</v>
      </c>
      <c r="I298" s="249">
        <f t="shared" si="12"/>
        <v>1</v>
      </c>
      <c r="J298" s="143">
        <v>10500</v>
      </c>
      <c r="K298" s="249" t="s">
        <v>2378</v>
      </c>
      <c r="M298" s="249">
        <f t="shared" si="13"/>
        <v>10</v>
      </c>
      <c r="N298" s="249">
        <f t="shared" si="14"/>
        <v>9</v>
      </c>
      <c r="O298" s="14" t="s">
        <v>328</v>
      </c>
      <c r="P298" s="14"/>
      <c r="Q298" s="14"/>
      <c r="S298" s="14"/>
      <c r="T298" s="14"/>
      <c r="U298" s="14"/>
      <c r="V298" s="14"/>
      <c r="W298" s="14" t="s">
        <v>328</v>
      </c>
      <c r="X298" s="14"/>
      <c r="Z298" s="126">
        <v>0</v>
      </c>
      <c r="AA298" s="249">
        <v>2</v>
      </c>
      <c r="AB298" s="250">
        <v>21000</v>
      </c>
      <c r="AC298" s="250">
        <v>21000</v>
      </c>
      <c r="AD298" s="250">
        <v>120000</v>
      </c>
      <c r="AE298" s="250">
        <v>120000</v>
      </c>
      <c r="AF298" s="250">
        <v>21000</v>
      </c>
    </row>
    <row r="299" spans="2:32" x14ac:dyDescent="0.25">
      <c r="B299" s="61" t="s">
        <v>530</v>
      </c>
      <c r="C299" s="14" t="s">
        <v>351</v>
      </c>
      <c r="D299" s="14">
        <v>1987</v>
      </c>
      <c r="E299" s="13">
        <v>1532972</v>
      </c>
      <c r="F299" s="14">
        <v>3</v>
      </c>
      <c r="G299" s="14">
        <v>4</v>
      </c>
      <c r="H299" s="14" t="s">
        <v>340</v>
      </c>
      <c r="I299" s="249">
        <f t="shared" si="12"/>
        <v>1</v>
      </c>
      <c r="J299" s="143">
        <v>5000</v>
      </c>
      <c r="K299" s="249" t="s">
        <v>2378</v>
      </c>
      <c r="M299" s="249">
        <f t="shared" si="13"/>
        <v>28</v>
      </c>
      <c r="N299" s="249">
        <f t="shared" si="14"/>
        <v>27</v>
      </c>
      <c r="O299" s="14"/>
      <c r="P299" s="14"/>
      <c r="Q299" s="14" t="s">
        <v>328</v>
      </c>
      <c r="S299" s="14"/>
      <c r="T299" s="14"/>
      <c r="U299" s="14"/>
      <c r="V299" s="14" t="s">
        <v>328</v>
      </c>
      <c r="W299" s="14"/>
      <c r="X299" s="14"/>
      <c r="Z299" s="126">
        <v>0.2</v>
      </c>
      <c r="AA299" s="249">
        <v>1</v>
      </c>
      <c r="AB299" s="250">
        <v>30000</v>
      </c>
      <c r="AC299" s="250">
        <v>30000</v>
      </c>
      <c r="AD299" s="250">
        <v>150000</v>
      </c>
      <c r="AE299" s="250">
        <v>150000</v>
      </c>
      <c r="AF299" s="250">
        <v>30000</v>
      </c>
    </row>
    <row r="300" spans="2:32" x14ac:dyDescent="0.25">
      <c r="B300" s="61" t="s">
        <v>531</v>
      </c>
      <c r="C300" s="14" t="s">
        <v>348</v>
      </c>
      <c r="D300" s="14">
        <v>2002</v>
      </c>
      <c r="E300" s="13">
        <v>607351</v>
      </c>
      <c r="F300" s="14">
        <v>4</v>
      </c>
      <c r="G300" s="14">
        <v>5</v>
      </c>
      <c r="H300" s="14" t="s">
        <v>371</v>
      </c>
      <c r="I300" s="249">
        <f t="shared" si="12"/>
        <v>1</v>
      </c>
      <c r="J300" s="143">
        <v>3200</v>
      </c>
      <c r="K300" s="249" t="s">
        <v>2378</v>
      </c>
      <c r="M300" s="249">
        <f t="shared" si="13"/>
        <v>13</v>
      </c>
      <c r="N300" s="249">
        <f t="shared" si="14"/>
        <v>12</v>
      </c>
      <c r="O300" s="14" t="s">
        <v>328</v>
      </c>
      <c r="P300" s="14"/>
      <c r="Q300" s="14"/>
      <c r="S300" s="14"/>
      <c r="T300" s="14"/>
      <c r="U300" s="14"/>
      <c r="V300" s="14"/>
      <c r="W300" s="14" t="s">
        <v>328</v>
      </c>
      <c r="X300" s="14"/>
      <c r="Z300" s="126">
        <v>0</v>
      </c>
      <c r="AA300" s="249">
        <v>1</v>
      </c>
      <c r="AB300" s="250">
        <v>20000</v>
      </c>
      <c r="AC300" s="250">
        <v>20000</v>
      </c>
      <c r="AD300" s="250">
        <v>160000</v>
      </c>
      <c r="AE300" s="250">
        <v>120000</v>
      </c>
      <c r="AF300" s="250" t="s">
        <v>385</v>
      </c>
    </row>
    <row r="301" spans="2:32" x14ac:dyDescent="0.25">
      <c r="B301" s="61" t="s">
        <v>532</v>
      </c>
      <c r="C301" s="14" t="s">
        <v>337</v>
      </c>
      <c r="D301" s="14">
        <v>2000</v>
      </c>
      <c r="E301" s="13">
        <v>868700</v>
      </c>
      <c r="F301" s="14">
        <v>2.4500000000000002</v>
      </c>
      <c r="G301" s="14">
        <v>2.9</v>
      </c>
      <c r="H301" s="14" t="s">
        <v>340</v>
      </c>
      <c r="I301" s="249">
        <f t="shared" si="12"/>
        <v>1</v>
      </c>
      <c r="J301" s="143">
        <v>8333.3333333333339</v>
      </c>
      <c r="K301" s="249" t="s">
        <v>2378</v>
      </c>
      <c r="M301" s="249">
        <f t="shared" si="13"/>
        <v>15</v>
      </c>
      <c r="N301" s="249">
        <f t="shared" si="14"/>
        <v>14</v>
      </c>
      <c r="O301" s="14"/>
      <c r="P301" s="14" t="s">
        <v>328</v>
      </c>
      <c r="Q301" s="14"/>
      <c r="S301" s="14"/>
      <c r="T301" s="14"/>
      <c r="U301" s="14"/>
      <c r="V301" s="14"/>
      <c r="W301" s="14" t="s">
        <v>328</v>
      </c>
      <c r="X301" s="14"/>
      <c r="Z301" s="126">
        <v>0</v>
      </c>
      <c r="AA301" s="249">
        <v>2</v>
      </c>
      <c r="AB301" s="250">
        <v>16000</v>
      </c>
      <c r="AC301" s="250">
        <v>25000</v>
      </c>
      <c r="AD301" s="250">
        <v>200000</v>
      </c>
      <c r="AE301" s="250">
        <v>200000</v>
      </c>
      <c r="AF301" s="250">
        <v>16000</v>
      </c>
    </row>
    <row r="302" spans="2:32" x14ac:dyDescent="0.25">
      <c r="B302" s="61" t="s">
        <v>532</v>
      </c>
      <c r="C302" s="14" t="s">
        <v>337</v>
      </c>
      <c r="D302" s="14">
        <v>2004</v>
      </c>
      <c r="E302" s="13">
        <v>653215</v>
      </c>
      <c r="F302" s="14">
        <v>2.4500000000000002</v>
      </c>
      <c r="G302" s="14">
        <v>2.9</v>
      </c>
      <c r="H302" s="14" t="s">
        <v>340</v>
      </c>
      <c r="I302" s="249">
        <f t="shared" si="12"/>
        <v>1</v>
      </c>
      <c r="J302" s="143">
        <v>8333.3333333333339</v>
      </c>
      <c r="K302" s="249" t="s">
        <v>2378</v>
      </c>
      <c r="M302" s="249">
        <f t="shared" si="13"/>
        <v>11</v>
      </c>
      <c r="N302" s="249">
        <f t="shared" si="14"/>
        <v>10</v>
      </c>
      <c r="O302" s="14"/>
      <c r="P302" s="14" t="s">
        <v>328</v>
      </c>
      <c r="Q302" s="14"/>
      <c r="S302" s="14"/>
      <c r="T302" s="14"/>
      <c r="U302" s="14"/>
      <c r="V302" s="14"/>
      <c r="W302" s="14"/>
      <c r="X302" s="14" t="s">
        <v>328</v>
      </c>
      <c r="Z302" s="126">
        <v>0</v>
      </c>
      <c r="AA302" s="249">
        <v>2</v>
      </c>
      <c r="AB302" s="250">
        <v>16000</v>
      </c>
      <c r="AC302" s="250">
        <v>25000</v>
      </c>
      <c r="AD302" s="250">
        <v>200000</v>
      </c>
      <c r="AE302" s="250">
        <v>200000</v>
      </c>
      <c r="AF302" s="250">
        <v>16000</v>
      </c>
    </row>
    <row r="303" spans="2:32" x14ac:dyDescent="0.25">
      <c r="B303" s="61" t="s">
        <v>533</v>
      </c>
      <c r="C303" s="14" t="s">
        <v>337</v>
      </c>
      <c r="D303" s="14">
        <v>2000</v>
      </c>
      <c r="E303" s="13">
        <v>746988</v>
      </c>
      <c r="F303" s="14">
        <v>2.5</v>
      </c>
      <c r="G303" s="14">
        <v>3.1</v>
      </c>
      <c r="H303" s="14" t="s">
        <v>340</v>
      </c>
      <c r="I303" s="249">
        <f t="shared" si="12"/>
        <v>1</v>
      </c>
      <c r="J303" s="143">
        <v>8000</v>
      </c>
      <c r="K303" s="249" t="s">
        <v>2378</v>
      </c>
      <c r="M303" s="249">
        <f t="shared" si="13"/>
        <v>15</v>
      </c>
      <c r="N303" s="249">
        <f t="shared" si="14"/>
        <v>14</v>
      </c>
      <c r="O303" s="14"/>
      <c r="P303" s="14" t="s">
        <v>328</v>
      </c>
      <c r="Q303" s="14"/>
      <c r="S303" s="14"/>
      <c r="T303" s="14" t="s">
        <v>328</v>
      </c>
      <c r="U303" s="14"/>
      <c r="V303" s="14"/>
      <c r="W303" s="14"/>
      <c r="X303" s="14"/>
      <c r="Z303" s="126">
        <v>0.3</v>
      </c>
      <c r="AA303" s="249">
        <v>4</v>
      </c>
      <c r="AB303" s="250">
        <v>18000</v>
      </c>
      <c r="AC303" s="250">
        <v>18000</v>
      </c>
      <c r="AD303" s="250">
        <v>180000</v>
      </c>
      <c r="AE303" s="250">
        <v>180000</v>
      </c>
      <c r="AF303" s="250">
        <v>18000</v>
      </c>
    </row>
    <row r="304" spans="2:32" x14ac:dyDescent="0.25">
      <c r="B304" s="61" t="s">
        <v>533</v>
      </c>
      <c r="C304" s="14" t="s">
        <v>337</v>
      </c>
      <c r="D304" s="14">
        <v>2002</v>
      </c>
      <c r="E304" s="13">
        <v>691123</v>
      </c>
      <c r="F304" s="14">
        <v>2.5</v>
      </c>
      <c r="G304" s="14">
        <v>3.1</v>
      </c>
      <c r="H304" s="14" t="s">
        <v>340</v>
      </c>
      <c r="I304" s="249">
        <f t="shared" si="12"/>
        <v>1</v>
      </c>
      <c r="J304" s="143">
        <v>8000</v>
      </c>
      <c r="K304" s="249" t="s">
        <v>2378</v>
      </c>
      <c r="M304" s="249">
        <f t="shared" si="13"/>
        <v>13</v>
      </c>
      <c r="N304" s="249">
        <f t="shared" si="14"/>
        <v>12</v>
      </c>
      <c r="O304" s="14" t="s">
        <v>328</v>
      </c>
      <c r="P304" s="14"/>
      <c r="Q304" s="14"/>
      <c r="S304" s="14"/>
      <c r="T304" s="14"/>
      <c r="U304" s="14"/>
      <c r="V304" s="14"/>
      <c r="W304" s="14" t="s">
        <v>328</v>
      </c>
      <c r="X304" s="14"/>
      <c r="Z304" s="126">
        <v>0.3</v>
      </c>
      <c r="AA304" s="249">
        <v>4</v>
      </c>
      <c r="AB304" s="250">
        <v>18000</v>
      </c>
      <c r="AC304" s="250">
        <v>18000</v>
      </c>
      <c r="AD304" s="250">
        <v>180000</v>
      </c>
      <c r="AE304" s="250">
        <v>180000</v>
      </c>
      <c r="AF304" s="250">
        <v>18000</v>
      </c>
    </row>
    <row r="305" spans="2:32" x14ac:dyDescent="0.25">
      <c r="B305" s="61" t="s">
        <v>533</v>
      </c>
      <c r="C305" s="14" t="s">
        <v>337</v>
      </c>
      <c r="D305" s="14">
        <v>2002</v>
      </c>
      <c r="E305" s="13">
        <v>657813</v>
      </c>
      <c r="F305" s="14">
        <v>2.5</v>
      </c>
      <c r="G305" s="14">
        <v>3.1</v>
      </c>
      <c r="H305" s="14" t="s">
        <v>340</v>
      </c>
      <c r="I305" s="249">
        <f t="shared" si="12"/>
        <v>1</v>
      </c>
      <c r="J305" s="143">
        <v>8000</v>
      </c>
      <c r="K305" s="249" t="s">
        <v>2378</v>
      </c>
      <c r="M305" s="249">
        <f t="shared" si="13"/>
        <v>13</v>
      </c>
      <c r="N305" s="249">
        <f t="shared" si="14"/>
        <v>12</v>
      </c>
      <c r="O305" s="14" t="s">
        <v>328</v>
      </c>
      <c r="P305" s="14"/>
      <c r="Q305" s="14"/>
      <c r="S305" s="14"/>
      <c r="T305" s="14"/>
      <c r="U305" s="14"/>
      <c r="V305" s="14"/>
      <c r="W305" s="14" t="s">
        <v>328</v>
      </c>
      <c r="X305" s="14"/>
      <c r="Z305" s="126">
        <v>0.3</v>
      </c>
      <c r="AA305" s="249">
        <v>4</v>
      </c>
      <c r="AB305" s="250">
        <v>18000</v>
      </c>
      <c r="AC305" s="250">
        <v>18000</v>
      </c>
      <c r="AD305" s="250">
        <v>180000</v>
      </c>
      <c r="AE305" s="250">
        <v>180000</v>
      </c>
      <c r="AF305" s="250">
        <v>18000</v>
      </c>
    </row>
    <row r="306" spans="2:32" x14ac:dyDescent="0.25">
      <c r="B306" s="61" t="s">
        <v>533</v>
      </c>
      <c r="C306" s="14" t="s">
        <v>337</v>
      </c>
      <c r="D306" s="14">
        <v>2009</v>
      </c>
      <c r="E306" s="13">
        <v>391215</v>
      </c>
      <c r="F306" s="14">
        <v>2.5</v>
      </c>
      <c r="G306" s="14">
        <v>3.1</v>
      </c>
      <c r="H306" s="14" t="s">
        <v>340</v>
      </c>
      <c r="I306" s="249">
        <f t="shared" si="12"/>
        <v>1</v>
      </c>
      <c r="J306" s="143">
        <v>8000</v>
      </c>
      <c r="K306" s="249" t="s">
        <v>2378</v>
      </c>
      <c r="M306" s="249">
        <f t="shared" si="13"/>
        <v>6</v>
      </c>
      <c r="N306" s="249">
        <f t="shared" si="14"/>
        <v>5</v>
      </c>
      <c r="O306" s="14"/>
      <c r="P306" s="14" t="s">
        <v>328</v>
      </c>
      <c r="Q306" s="14"/>
      <c r="S306" s="14"/>
      <c r="T306" s="14"/>
      <c r="U306" s="14"/>
      <c r="V306" s="14"/>
      <c r="W306" s="14"/>
      <c r="X306" s="14" t="s">
        <v>328</v>
      </c>
      <c r="Z306" s="126">
        <v>0.3</v>
      </c>
      <c r="AA306" s="249">
        <v>4</v>
      </c>
      <c r="AB306" s="250">
        <v>18000</v>
      </c>
      <c r="AC306" s="250">
        <v>18000</v>
      </c>
      <c r="AD306" s="250">
        <v>180000</v>
      </c>
      <c r="AE306" s="250">
        <v>180000</v>
      </c>
      <c r="AF306" s="250">
        <v>18000</v>
      </c>
    </row>
    <row r="307" spans="2:32" x14ac:dyDescent="0.25">
      <c r="B307" s="61" t="s">
        <v>534</v>
      </c>
      <c r="C307" s="14" t="s">
        <v>337</v>
      </c>
      <c r="D307" s="14">
        <v>2005</v>
      </c>
      <c r="E307" s="13">
        <v>681234</v>
      </c>
      <c r="F307" s="14">
        <v>2.1</v>
      </c>
      <c r="G307" s="14">
        <v>2.7</v>
      </c>
      <c r="H307" s="14" t="s">
        <v>340</v>
      </c>
      <c r="I307" s="249">
        <f t="shared" si="12"/>
        <v>1</v>
      </c>
      <c r="J307" s="143">
        <v>7083.333333333333</v>
      </c>
      <c r="K307" s="249" t="s">
        <v>2379</v>
      </c>
      <c r="M307" s="249">
        <f t="shared" si="13"/>
        <v>10</v>
      </c>
      <c r="N307" s="249">
        <f t="shared" si="14"/>
        <v>9</v>
      </c>
      <c r="O307" s="14" t="s">
        <v>328</v>
      </c>
      <c r="P307" s="14"/>
      <c r="Q307" s="14"/>
      <c r="S307" s="14"/>
      <c r="T307" s="14"/>
      <c r="U307" s="14"/>
      <c r="V307" s="14"/>
      <c r="W307" s="14" t="s">
        <v>328</v>
      </c>
      <c r="X307" s="14"/>
      <c r="Z307" s="126">
        <v>0.5</v>
      </c>
      <c r="AA307" s="249">
        <v>7</v>
      </c>
      <c r="AB307" s="250">
        <v>16000</v>
      </c>
      <c r="AC307" s="250">
        <v>16000</v>
      </c>
      <c r="AD307" s="250">
        <v>300000</v>
      </c>
      <c r="AE307" s="250">
        <v>160000</v>
      </c>
      <c r="AF307" s="250">
        <v>16000</v>
      </c>
    </row>
    <row r="308" spans="2:32" x14ac:dyDescent="0.25">
      <c r="B308" s="61" t="s">
        <v>534</v>
      </c>
      <c r="C308" s="14" t="s">
        <v>337</v>
      </c>
      <c r="D308" s="14">
        <v>2005</v>
      </c>
      <c r="E308" s="13">
        <v>715462</v>
      </c>
      <c r="F308" s="14">
        <v>2.1</v>
      </c>
      <c r="G308" s="14">
        <v>2.7</v>
      </c>
      <c r="H308" s="14" t="s">
        <v>340</v>
      </c>
      <c r="I308" s="249">
        <f t="shared" si="12"/>
        <v>1</v>
      </c>
      <c r="J308" s="143">
        <v>7083.333333333333</v>
      </c>
      <c r="K308" s="249" t="s">
        <v>2379</v>
      </c>
      <c r="M308" s="249">
        <f t="shared" si="13"/>
        <v>10</v>
      </c>
      <c r="N308" s="249">
        <f t="shared" si="14"/>
        <v>9</v>
      </c>
      <c r="O308" s="14" t="s">
        <v>328</v>
      </c>
      <c r="P308" s="14"/>
      <c r="Q308" s="14"/>
      <c r="S308" s="14"/>
      <c r="T308" s="14"/>
      <c r="U308" s="14"/>
      <c r="V308" s="14"/>
      <c r="W308" s="14" t="s">
        <v>328</v>
      </c>
      <c r="X308" s="14"/>
      <c r="Z308" s="126">
        <v>0.5</v>
      </c>
      <c r="AA308" s="249">
        <v>7</v>
      </c>
      <c r="AB308" s="250">
        <v>16000</v>
      </c>
      <c r="AC308" s="250">
        <v>16000</v>
      </c>
      <c r="AD308" s="250">
        <v>300000</v>
      </c>
      <c r="AE308" s="250">
        <v>160000</v>
      </c>
      <c r="AF308" s="250">
        <v>16000</v>
      </c>
    </row>
    <row r="309" spans="2:32" x14ac:dyDescent="0.25">
      <c r="B309" s="61" t="s">
        <v>534</v>
      </c>
      <c r="C309" s="14" t="s">
        <v>337</v>
      </c>
      <c r="D309" s="14">
        <v>2005</v>
      </c>
      <c r="E309" s="13">
        <v>702618</v>
      </c>
      <c r="F309" s="14">
        <v>2.1</v>
      </c>
      <c r="G309" s="14">
        <v>2.7</v>
      </c>
      <c r="H309" s="14" t="s">
        <v>340</v>
      </c>
      <c r="I309" s="249">
        <f t="shared" si="12"/>
        <v>1</v>
      </c>
      <c r="J309" s="143">
        <v>7083.333333333333</v>
      </c>
      <c r="K309" s="249" t="s">
        <v>2379</v>
      </c>
      <c r="M309" s="249">
        <f t="shared" si="13"/>
        <v>10</v>
      </c>
      <c r="N309" s="249">
        <f t="shared" si="14"/>
        <v>9</v>
      </c>
      <c r="O309" s="14" t="s">
        <v>328</v>
      </c>
      <c r="P309" s="14"/>
      <c r="Q309" s="14"/>
      <c r="S309" s="14"/>
      <c r="T309" s="14"/>
      <c r="U309" s="14"/>
      <c r="V309" s="14"/>
      <c r="W309" s="14" t="s">
        <v>328</v>
      </c>
      <c r="X309" s="14"/>
      <c r="Z309" s="126">
        <v>0.5</v>
      </c>
      <c r="AA309" s="249">
        <v>7</v>
      </c>
      <c r="AB309" s="250">
        <v>16000</v>
      </c>
      <c r="AC309" s="250">
        <v>16000</v>
      </c>
      <c r="AD309" s="250">
        <v>300000</v>
      </c>
      <c r="AE309" s="250">
        <v>160000</v>
      </c>
      <c r="AF309" s="250">
        <v>16000</v>
      </c>
    </row>
    <row r="310" spans="2:32" x14ac:dyDescent="0.25">
      <c r="B310" s="61" t="s">
        <v>534</v>
      </c>
      <c r="C310" s="14" t="s">
        <v>337</v>
      </c>
      <c r="D310" s="14">
        <v>2007</v>
      </c>
      <c r="E310" s="13">
        <v>485113</v>
      </c>
      <c r="F310" s="14">
        <v>2.1</v>
      </c>
      <c r="G310" s="14">
        <v>2.7</v>
      </c>
      <c r="H310" s="14" t="s">
        <v>340</v>
      </c>
      <c r="I310" s="249">
        <f t="shared" si="12"/>
        <v>1</v>
      </c>
      <c r="J310" s="143">
        <v>7083.333333333333</v>
      </c>
      <c r="K310" s="249" t="s">
        <v>2379</v>
      </c>
      <c r="M310" s="249">
        <f t="shared" si="13"/>
        <v>8</v>
      </c>
      <c r="N310" s="249">
        <f t="shared" si="14"/>
        <v>7</v>
      </c>
      <c r="O310" s="14" t="s">
        <v>328</v>
      </c>
      <c r="P310" s="14"/>
      <c r="Q310" s="14"/>
      <c r="S310" s="14"/>
      <c r="T310" s="14"/>
      <c r="U310" s="14"/>
      <c r="V310" s="14"/>
      <c r="W310" s="14" t="s">
        <v>328</v>
      </c>
      <c r="X310" s="14"/>
      <c r="Z310" s="126">
        <v>0.5</v>
      </c>
      <c r="AA310" s="249">
        <v>7</v>
      </c>
      <c r="AB310" s="250">
        <v>16000</v>
      </c>
      <c r="AC310" s="250">
        <v>16000</v>
      </c>
      <c r="AD310" s="250">
        <v>300000</v>
      </c>
      <c r="AE310" s="250">
        <v>160000</v>
      </c>
      <c r="AF310" s="250">
        <v>16000</v>
      </c>
    </row>
    <row r="311" spans="2:32" x14ac:dyDescent="0.25">
      <c r="B311" s="61" t="s">
        <v>534</v>
      </c>
      <c r="C311" s="14" t="s">
        <v>337</v>
      </c>
      <c r="D311" s="14">
        <v>2007</v>
      </c>
      <c r="E311" s="13">
        <v>499671</v>
      </c>
      <c r="F311" s="14">
        <v>2.1</v>
      </c>
      <c r="G311" s="14">
        <v>2.7</v>
      </c>
      <c r="H311" s="14" t="s">
        <v>340</v>
      </c>
      <c r="I311" s="249">
        <f t="shared" si="12"/>
        <v>1</v>
      </c>
      <c r="J311" s="143">
        <v>7083.333333333333</v>
      </c>
      <c r="K311" s="249" t="s">
        <v>2379</v>
      </c>
      <c r="M311" s="249">
        <f t="shared" si="13"/>
        <v>8</v>
      </c>
      <c r="N311" s="249">
        <f t="shared" si="14"/>
        <v>7</v>
      </c>
      <c r="O311" s="14" t="s">
        <v>328</v>
      </c>
      <c r="P311" s="14"/>
      <c r="Q311" s="14"/>
      <c r="S311" s="14"/>
      <c r="T311" s="14"/>
      <c r="U311" s="14"/>
      <c r="V311" s="14"/>
      <c r="W311" s="14" t="s">
        <v>328</v>
      </c>
      <c r="X311" s="14"/>
      <c r="Z311" s="126">
        <v>0.5</v>
      </c>
      <c r="AA311" s="249">
        <v>7</v>
      </c>
      <c r="AB311" s="250">
        <v>16000</v>
      </c>
      <c r="AC311" s="250">
        <v>16000</v>
      </c>
      <c r="AD311" s="250">
        <v>300000</v>
      </c>
      <c r="AE311" s="250">
        <v>160000</v>
      </c>
      <c r="AF311" s="250">
        <v>16000</v>
      </c>
    </row>
    <row r="312" spans="2:32" x14ac:dyDescent="0.25">
      <c r="B312" s="61" t="s">
        <v>534</v>
      </c>
      <c r="C312" s="14" t="s">
        <v>337</v>
      </c>
      <c r="D312" s="14">
        <v>2009</v>
      </c>
      <c r="E312" s="13">
        <v>338274</v>
      </c>
      <c r="F312" s="14">
        <v>2.1</v>
      </c>
      <c r="G312" s="14">
        <v>2.7</v>
      </c>
      <c r="H312" s="14" t="s">
        <v>340</v>
      </c>
      <c r="I312" s="249">
        <f t="shared" si="12"/>
        <v>1</v>
      </c>
      <c r="J312" s="143">
        <v>7083.333333333333</v>
      </c>
      <c r="K312" s="249" t="s">
        <v>2379</v>
      </c>
      <c r="M312" s="249">
        <f t="shared" si="13"/>
        <v>6</v>
      </c>
      <c r="N312" s="249">
        <f t="shared" si="14"/>
        <v>5</v>
      </c>
      <c r="O312" s="14" t="s">
        <v>328</v>
      </c>
      <c r="P312" s="14"/>
      <c r="Q312" s="14"/>
      <c r="S312" s="14"/>
      <c r="T312" s="14"/>
      <c r="U312" s="14"/>
      <c r="V312" s="14"/>
      <c r="W312" s="14" t="s">
        <v>328</v>
      </c>
      <c r="X312" s="14"/>
      <c r="Z312" s="126">
        <v>0.5</v>
      </c>
      <c r="AA312" s="249">
        <v>7</v>
      </c>
      <c r="AB312" s="250">
        <v>16000</v>
      </c>
      <c r="AC312" s="250">
        <v>16000</v>
      </c>
      <c r="AD312" s="250">
        <v>300000</v>
      </c>
      <c r="AE312" s="250">
        <v>160000</v>
      </c>
      <c r="AF312" s="250">
        <v>16000</v>
      </c>
    </row>
    <row r="313" spans="2:32" x14ac:dyDescent="0.25">
      <c r="B313" s="61" t="s">
        <v>534</v>
      </c>
      <c r="C313" s="14" t="s">
        <v>337</v>
      </c>
      <c r="D313" s="14">
        <v>2009</v>
      </c>
      <c r="E313" s="13">
        <v>327615</v>
      </c>
      <c r="F313" s="14">
        <v>2.1</v>
      </c>
      <c r="G313" s="14">
        <v>2.7</v>
      </c>
      <c r="H313" s="14" t="s">
        <v>340</v>
      </c>
      <c r="I313" s="249">
        <f t="shared" si="12"/>
        <v>1</v>
      </c>
      <c r="J313" s="143">
        <v>7083.333333333333</v>
      </c>
      <c r="K313" s="249" t="s">
        <v>2379</v>
      </c>
      <c r="M313" s="249">
        <f t="shared" si="13"/>
        <v>6</v>
      </c>
      <c r="N313" s="249">
        <f t="shared" si="14"/>
        <v>5</v>
      </c>
      <c r="O313" s="14" t="s">
        <v>328</v>
      </c>
      <c r="P313" s="14"/>
      <c r="Q313" s="14"/>
      <c r="S313" s="14"/>
      <c r="T313" s="14"/>
      <c r="U313" s="14"/>
      <c r="V313" s="14"/>
      <c r="W313" s="14" t="s">
        <v>328</v>
      </c>
      <c r="X313" s="14"/>
      <c r="Z313" s="126">
        <v>0.5</v>
      </c>
      <c r="AA313" s="249">
        <v>7</v>
      </c>
      <c r="AB313" s="250">
        <v>16000</v>
      </c>
      <c r="AC313" s="250">
        <v>16000</v>
      </c>
      <c r="AD313" s="250">
        <v>300000</v>
      </c>
      <c r="AE313" s="250">
        <v>160000</v>
      </c>
      <c r="AF313" s="250">
        <v>16000</v>
      </c>
    </row>
    <row r="314" spans="2:32" x14ac:dyDescent="0.25">
      <c r="B314" s="61" t="s">
        <v>535</v>
      </c>
      <c r="C314" s="14" t="s">
        <v>351</v>
      </c>
      <c r="D314" s="14">
        <v>2007</v>
      </c>
      <c r="E314" s="13">
        <v>573179</v>
      </c>
      <c r="F314" s="14">
        <v>3.4</v>
      </c>
      <c r="G314" s="14">
        <v>4</v>
      </c>
      <c r="H314" s="14" t="s">
        <v>340</v>
      </c>
      <c r="I314" s="249">
        <f t="shared" si="12"/>
        <v>1</v>
      </c>
      <c r="J314" s="143">
        <v>3600</v>
      </c>
      <c r="K314" s="249" t="s">
        <v>2378</v>
      </c>
      <c r="M314" s="249">
        <f t="shared" si="13"/>
        <v>8</v>
      </c>
      <c r="N314" s="249">
        <f t="shared" si="14"/>
        <v>7</v>
      </c>
      <c r="O314" s="14"/>
      <c r="P314" s="14" t="s">
        <v>328</v>
      </c>
      <c r="Q314" s="14"/>
      <c r="S314" s="14"/>
      <c r="T314" s="14"/>
      <c r="U314" s="14"/>
      <c r="V314" s="14"/>
      <c r="W314" s="14" t="s">
        <v>328</v>
      </c>
      <c r="X314" s="14"/>
      <c r="Z314" s="126">
        <v>0.1</v>
      </c>
      <c r="AA314" s="249">
        <v>1</v>
      </c>
      <c r="AB314" s="250">
        <v>24000</v>
      </c>
      <c r="AC314" s="250">
        <v>240000</v>
      </c>
      <c r="AD314" s="250">
        <v>180000</v>
      </c>
      <c r="AE314" s="250">
        <v>180000</v>
      </c>
      <c r="AF314" s="250">
        <v>24000</v>
      </c>
    </row>
    <row r="315" spans="2:32" x14ac:dyDescent="0.25">
      <c r="B315" s="61" t="s">
        <v>536</v>
      </c>
      <c r="C315" s="14" t="s">
        <v>348</v>
      </c>
      <c r="D315" s="14">
        <v>2007</v>
      </c>
      <c r="E315" s="13">
        <v>451617</v>
      </c>
      <c r="F315" s="14">
        <v>4.8</v>
      </c>
      <c r="G315" s="14">
        <v>5.2</v>
      </c>
      <c r="H315" s="14" t="s">
        <v>340</v>
      </c>
      <c r="I315" s="249">
        <f t="shared" si="12"/>
        <v>1</v>
      </c>
      <c r="J315" s="143">
        <v>6250</v>
      </c>
      <c r="K315" s="249" t="s">
        <v>2378</v>
      </c>
      <c r="M315" s="249">
        <f t="shared" si="13"/>
        <v>8</v>
      </c>
      <c r="N315" s="249">
        <f t="shared" si="14"/>
        <v>7</v>
      </c>
      <c r="O315" s="14" t="s">
        <v>328</v>
      </c>
      <c r="P315" s="14"/>
      <c r="Q315" s="14"/>
      <c r="S315" s="14"/>
      <c r="T315" s="14"/>
      <c r="U315" s="14"/>
      <c r="V315" s="14"/>
      <c r="W315" s="14" t="s">
        <v>328</v>
      </c>
      <c r="X315" s="14"/>
      <c r="Z315" s="126">
        <v>0</v>
      </c>
      <c r="AA315" s="249">
        <v>2</v>
      </c>
      <c r="AB315" s="250">
        <v>20000</v>
      </c>
      <c r="AC315" s="250">
        <v>20000</v>
      </c>
      <c r="AD315" s="250">
        <v>120000</v>
      </c>
      <c r="AE315" s="250">
        <v>100000</v>
      </c>
      <c r="AF315" s="250">
        <v>20000</v>
      </c>
    </row>
    <row r="316" spans="2:32" x14ac:dyDescent="0.25">
      <c r="B316" s="61" t="s">
        <v>536</v>
      </c>
      <c r="C316" s="14" t="s">
        <v>348</v>
      </c>
      <c r="D316" s="14">
        <v>2008</v>
      </c>
      <c r="E316" s="13">
        <v>406224</v>
      </c>
      <c r="F316" s="14">
        <v>4.8</v>
      </c>
      <c r="G316" s="14">
        <v>5.2</v>
      </c>
      <c r="H316" s="14" t="s">
        <v>340</v>
      </c>
      <c r="I316" s="249">
        <f t="shared" si="12"/>
        <v>1</v>
      </c>
      <c r="J316" s="143">
        <v>6250</v>
      </c>
      <c r="K316" s="249" t="s">
        <v>2378</v>
      </c>
      <c r="M316" s="249">
        <f t="shared" si="13"/>
        <v>7</v>
      </c>
      <c r="N316" s="249">
        <f t="shared" si="14"/>
        <v>6</v>
      </c>
      <c r="O316" s="14" t="s">
        <v>328</v>
      </c>
      <c r="P316" s="14"/>
      <c r="Q316" s="14"/>
      <c r="S316" s="14"/>
      <c r="T316" s="14"/>
      <c r="U316" s="14"/>
      <c r="V316" s="14"/>
      <c r="W316" s="14" t="s">
        <v>328</v>
      </c>
      <c r="X316" s="14"/>
      <c r="Z316" s="126">
        <v>0</v>
      </c>
      <c r="AA316" s="249">
        <v>2</v>
      </c>
      <c r="AB316" s="250">
        <v>20000</v>
      </c>
      <c r="AC316" s="250">
        <v>20000</v>
      </c>
      <c r="AD316" s="250">
        <v>120000</v>
      </c>
      <c r="AE316" s="250">
        <v>100000</v>
      </c>
      <c r="AF316" s="250">
        <v>20000</v>
      </c>
    </row>
    <row r="317" spans="2:32" x14ac:dyDescent="0.25">
      <c r="B317" s="61" t="s">
        <v>537</v>
      </c>
      <c r="C317" s="14" t="s">
        <v>348</v>
      </c>
      <c r="D317" s="14">
        <v>2008</v>
      </c>
      <c r="E317" s="13">
        <v>431188</v>
      </c>
      <c r="F317" s="14">
        <v>5</v>
      </c>
      <c r="G317" s="14">
        <v>5.5</v>
      </c>
      <c r="H317" s="14" t="s">
        <v>340</v>
      </c>
      <c r="I317" s="249">
        <f t="shared" si="12"/>
        <v>1</v>
      </c>
      <c r="J317" s="143">
        <v>7800</v>
      </c>
      <c r="K317" s="249" t="s">
        <v>2378</v>
      </c>
      <c r="M317" s="249">
        <f t="shared" si="13"/>
        <v>7</v>
      </c>
      <c r="N317" s="249">
        <f t="shared" si="14"/>
        <v>6</v>
      </c>
      <c r="O317" s="14" t="s">
        <v>328</v>
      </c>
      <c r="P317" s="14"/>
      <c r="Q317" s="14"/>
      <c r="S317" s="14"/>
      <c r="T317" s="14"/>
      <c r="U317" s="14"/>
      <c r="V317" s="14"/>
      <c r="W317" s="14" t="s">
        <v>328</v>
      </c>
      <c r="X317" s="14"/>
      <c r="Z317" s="126">
        <v>0.05</v>
      </c>
      <c r="AA317" s="249">
        <v>1</v>
      </c>
      <c r="AB317" s="250">
        <v>15000</v>
      </c>
      <c r="AC317" s="250">
        <v>25000</v>
      </c>
      <c r="AD317" s="250">
        <v>100000</v>
      </c>
      <c r="AE317" s="250">
        <v>100000</v>
      </c>
      <c r="AF317" s="250">
        <v>25000</v>
      </c>
    </row>
    <row r="318" spans="2:32" x14ac:dyDescent="0.25">
      <c r="B318" s="61" t="s">
        <v>538</v>
      </c>
      <c r="C318" s="14" t="s">
        <v>337</v>
      </c>
      <c r="D318" s="14">
        <v>2007</v>
      </c>
      <c r="E318" s="13">
        <v>443617</v>
      </c>
      <c r="F318" s="14">
        <v>2.4</v>
      </c>
      <c r="G318" s="14">
        <v>2.8</v>
      </c>
      <c r="H318" s="14" t="s">
        <v>340</v>
      </c>
      <c r="I318" s="249">
        <f t="shared" si="12"/>
        <v>1</v>
      </c>
      <c r="J318" s="143">
        <v>6250</v>
      </c>
      <c r="K318" s="249" t="s">
        <v>2378</v>
      </c>
      <c r="M318" s="249">
        <f t="shared" si="13"/>
        <v>8</v>
      </c>
      <c r="N318" s="249">
        <f t="shared" si="14"/>
        <v>7</v>
      </c>
      <c r="O318" s="14" t="s">
        <v>328</v>
      </c>
      <c r="P318" s="14"/>
      <c r="Q318" s="14"/>
      <c r="S318" s="14"/>
      <c r="T318" s="14"/>
      <c r="U318" s="14"/>
      <c r="V318" s="14"/>
      <c r="W318" s="14" t="s">
        <v>328</v>
      </c>
      <c r="X318" s="14"/>
      <c r="Z318" s="126">
        <v>0.5</v>
      </c>
      <c r="AA318" s="249">
        <v>1</v>
      </c>
      <c r="AB318" s="250">
        <v>20000</v>
      </c>
      <c r="AC318" s="250">
        <v>20000</v>
      </c>
      <c r="AD318" s="250">
        <v>150000</v>
      </c>
      <c r="AE318" s="250">
        <v>100000</v>
      </c>
      <c r="AF318" s="250">
        <v>20000</v>
      </c>
    </row>
    <row r="319" spans="2:32" x14ac:dyDescent="0.25">
      <c r="B319" s="61" t="s">
        <v>539</v>
      </c>
      <c r="C319" s="14" t="s">
        <v>351</v>
      </c>
      <c r="D319" s="14">
        <v>2008</v>
      </c>
      <c r="E319" s="13">
        <v>361475</v>
      </c>
      <c r="F319" s="14">
        <v>3.4</v>
      </c>
      <c r="G319" s="14">
        <v>4.0999999999999996</v>
      </c>
      <c r="H319" s="14" t="s">
        <v>340</v>
      </c>
      <c r="I319" s="249">
        <f t="shared" si="12"/>
        <v>1</v>
      </c>
      <c r="J319" s="143">
        <v>7000</v>
      </c>
      <c r="K319" s="249" t="s">
        <v>2378</v>
      </c>
      <c r="M319" s="249">
        <f t="shared" si="13"/>
        <v>7</v>
      </c>
      <c r="N319" s="249">
        <f t="shared" si="14"/>
        <v>6</v>
      </c>
      <c r="O319" s="14" t="s">
        <v>328</v>
      </c>
      <c r="P319" s="14"/>
      <c r="Q319" s="14"/>
      <c r="S319" s="14"/>
      <c r="T319" s="14"/>
      <c r="U319" s="14"/>
      <c r="V319" s="14"/>
      <c r="W319" s="14" t="s">
        <v>328</v>
      </c>
      <c r="X319" s="14"/>
      <c r="Z319" s="126">
        <v>0.5</v>
      </c>
      <c r="AA319" s="249">
        <v>2</v>
      </c>
      <c r="AB319" s="250">
        <v>25000</v>
      </c>
      <c r="AC319" s="250">
        <v>25000</v>
      </c>
      <c r="AD319" s="250">
        <v>100000</v>
      </c>
      <c r="AE319" s="250">
        <v>100000</v>
      </c>
      <c r="AF319" s="250">
        <v>25000</v>
      </c>
    </row>
    <row r="320" spans="2:32" x14ac:dyDescent="0.25">
      <c r="B320" s="61" t="s">
        <v>539</v>
      </c>
      <c r="C320" s="14" t="s">
        <v>351</v>
      </c>
      <c r="D320" s="14">
        <v>2009</v>
      </c>
      <c r="E320" s="13">
        <v>291613</v>
      </c>
      <c r="F320" s="14">
        <v>3.5</v>
      </c>
      <c r="G320" s="14">
        <v>4.0999999999999996</v>
      </c>
      <c r="H320" s="14" t="s">
        <v>340</v>
      </c>
      <c r="I320" s="249">
        <f t="shared" si="12"/>
        <v>1</v>
      </c>
      <c r="J320" s="143">
        <v>7000</v>
      </c>
      <c r="K320" s="249" t="s">
        <v>2378</v>
      </c>
      <c r="M320" s="249">
        <f t="shared" si="13"/>
        <v>6</v>
      </c>
      <c r="N320" s="249">
        <f t="shared" si="14"/>
        <v>5</v>
      </c>
      <c r="O320" s="14" t="s">
        <v>328</v>
      </c>
      <c r="P320" s="14"/>
      <c r="Q320" s="14"/>
      <c r="S320" s="14"/>
      <c r="T320" s="14"/>
      <c r="U320" s="14"/>
      <c r="V320" s="14"/>
      <c r="W320" s="14"/>
      <c r="X320" s="14" t="s">
        <v>328</v>
      </c>
      <c r="Z320" s="126">
        <v>0.5</v>
      </c>
      <c r="AA320" s="249">
        <v>2</v>
      </c>
      <c r="AB320" s="250">
        <v>25000</v>
      </c>
      <c r="AC320" s="250">
        <v>25000</v>
      </c>
      <c r="AD320" s="250">
        <v>100000</v>
      </c>
      <c r="AE320" s="250">
        <v>100000</v>
      </c>
      <c r="AF320" s="250">
        <v>25000</v>
      </c>
    </row>
    <row r="321" spans="2:32" x14ac:dyDescent="0.25">
      <c r="B321" s="61" t="s">
        <v>540</v>
      </c>
      <c r="C321" s="14" t="s">
        <v>337</v>
      </c>
      <c r="D321" s="14">
        <v>2010</v>
      </c>
      <c r="E321" s="13">
        <v>288438</v>
      </c>
      <c r="F321" s="14">
        <v>2.2999999999999998</v>
      </c>
      <c r="G321" s="14">
        <v>2.7</v>
      </c>
      <c r="H321" s="14" t="s">
        <v>340</v>
      </c>
      <c r="I321" s="249">
        <f t="shared" si="12"/>
        <v>1</v>
      </c>
      <c r="J321" s="143">
        <v>8333.3333333333339</v>
      </c>
      <c r="K321" s="249" t="s">
        <v>2378</v>
      </c>
      <c r="M321" s="249">
        <f t="shared" si="13"/>
        <v>5</v>
      </c>
      <c r="N321" s="249">
        <f t="shared" si="14"/>
        <v>4</v>
      </c>
      <c r="O321" s="14" t="s">
        <v>328</v>
      </c>
      <c r="P321" s="14"/>
      <c r="Q321" s="14"/>
      <c r="S321" s="14"/>
      <c r="T321" s="14"/>
      <c r="U321" s="14"/>
      <c r="V321" s="14"/>
      <c r="W321" s="14"/>
      <c r="X321" s="14" t="s">
        <v>328</v>
      </c>
      <c r="Z321" s="126">
        <v>0.5</v>
      </c>
      <c r="AA321" s="249">
        <v>1</v>
      </c>
      <c r="AB321" s="250">
        <v>18000</v>
      </c>
      <c r="AC321" s="250">
        <v>24000</v>
      </c>
      <c r="AD321" s="250">
        <v>200000</v>
      </c>
      <c r="AE321" s="250">
        <v>100000</v>
      </c>
      <c r="AF321" s="250">
        <v>24000</v>
      </c>
    </row>
    <row r="322" spans="2:32" x14ac:dyDescent="0.25">
      <c r="B322" s="61" t="s">
        <v>541</v>
      </c>
      <c r="C322" s="14" t="s">
        <v>337</v>
      </c>
      <c r="D322" s="14">
        <v>2007</v>
      </c>
      <c r="E322" s="13">
        <v>400768</v>
      </c>
      <c r="F322" s="14">
        <v>2.15</v>
      </c>
      <c r="G322" s="14">
        <v>2.75</v>
      </c>
      <c r="H322" s="14" t="s">
        <v>340</v>
      </c>
      <c r="I322" s="249">
        <f t="shared" si="12"/>
        <v>1</v>
      </c>
      <c r="J322" s="143">
        <v>6000</v>
      </c>
      <c r="K322" s="249" t="s">
        <v>2378</v>
      </c>
      <c r="M322" s="249">
        <f t="shared" si="13"/>
        <v>8</v>
      </c>
      <c r="N322" s="249">
        <f t="shared" si="14"/>
        <v>7</v>
      </c>
      <c r="O322" s="14"/>
      <c r="P322" s="14" t="s">
        <v>328</v>
      </c>
      <c r="Q322" s="14"/>
      <c r="S322" s="14"/>
      <c r="T322" s="14"/>
      <c r="U322" s="14"/>
      <c r="V322" s="14"/>
      <c r="W322" s="14" t="s">
        <v>328</v>
      </c>
      <c r="X322" s="14"/>
      <c r="Z322" s="126">
        <v>0.6</v>
      </c>
      <c r="AA322" s="249">
        <v>3</v>
      </c>
      <c r="AB322" s="250">
        <v>20000</v>
      </c>
      <c r="AC322" s="250">
        <v>20000</v>
      </c>
      <c r="AD322" s="250">
        <v>180000</v>
      </c>
      <c r="AE322" s="250">
        <v>140000</v>
      </c>
      <c r="AF322" s="250">
        <v>20000</v>
      </c>
    </row>
    <row r="323" spans="2:32" x14ac:dyDescent="0.25">
      <c r="B323" s="61" t="s">
        <v>541</v>
      </c>
      <c r="C323" s="14" t="s">
        <v>337</v>
      </c>
      <c r="D323" s="14">
        <v>2008</v>
      </c>
      <c r="E323" s="13">
        <v>392421</v>
      </c>
      <c r="F323" s="14">
        <v>2.15</v>
      </c>
      <c r="G323" s="14">
        <v>2.75</v>
      </c>
      <c r="H323" s="14" t="s">
        <v>340</v>
      </c>
      <c r="I323" s="249">
        <f t="shared" si="12"/>
        <v>1</v>
      </c>
      <c r="J323" s="143">
        <v>6000</v>
      </c>
      <c r="K323" s="249" t="s">
        <v>2378</v>
      </c>
      <c r="M323" s="249">
        <f t="shared" si="13"/>
        <v>7</v>
      </c>
      <c r="N323" s="249">
        <f t="shared" si="14"/>
        <v>6</v>
      </c>
      <c r="O323" s="14"/>
      <c r="P323" s="14" t="s">
        <v>328</v>
      </c>
      <c r="Q323" s="14"/>
      <c r="S323" s="14"/>
      <c r="T323" s="14"/>
      <c r="U323" s="14"/>
      <c r="V323" s="14"/>
      <c r="W323" s="14"/>
      <c r="X323" s="14" t="s">
        <v>328</v>
      </c>
      <c r="Z323" s="126">
        <v>0.6</v>
      </c>
      <c r="AA323" s="249">
        <v>3</v>
      </c>
      <c r="AB323" s="250">
        <v>20000</v>
      </c>
      <c r="AC323" s="250">
        <v>20000</v>
      </c>
      <c r="AD323" s="250">
        <v>180000</v>
      </c>
      <c r="AE323" s="250">
        <v>140000</v>
      </c>
      <c r="AF323" s="250">
        <v>20000</v>
      </c>
    </row>
    <row r="324" spans="2:32" x14ac:dyDescent="0.25">
      <c r="B324" s="61" t="s">
        <v>541</v>
      </c>
      <c r="C324" s="14" t="s">
        <v>337</v>
      </c>
      <c r="D324" s="14">
        <v>2008</v>
      </c>
      <c r="E324" s="13">
        <v>350615</v>
      </c>
      <c r="F324" s="14">
        <v>2.15</v>
      </c>
      <c r="G324" s="14">
        <v>2.75</v>
      </c>
      <c r="H324" s="14" t="s">
        <v>340</v>
      </c>
      <c r="I324" s="249">
        <f t="shared" si="12"/>
        <v>1</v>
      </c>
      <c r="J324" s="143">
        <v>6000</v>
      </c>
      <c r="K324" s="249" t="s">
        <v>2378</v>
      </c>
      <c r="M324" s="249">
        <f t="shared" si="13"/>
        <v>7</v>
      </c>
      <c r="N324" s="249">
        <f t="shared" si="14"/>
        <v>6</v>
      </c>
      <c r="O324" s="14"/>
      <c r="P324" s="14" t="s">
        <v>328</v>
      </c>
      <c r="Q324" s="14"/>
      <c r="S324" s="14"/>
      <c r="T324" s="14"/>
      <c r="U324" s="14"/>
      <c r="V324" s="14"/>
      <c r="W324" s="14"/>
      <c r="X324" s="14" t="s">
        <v>328</v>
      </c>
      <c r="Z324" s="126">
        <v>0.6</v>
      </c>
      <c r="AA324" s="249">
        <v>3</v>
      </c>
      <c r="AB324" s="250">
        <v>20000</v>
      </c>
      <c r="AC324" s="250">
        <v>20000</v>
      </c>
      <c r="AD324" s="250">
        <v>180000</v>
      </c>
      <c r="AE324" s="250">
        <v>140000</v>
      </c>
      <c r="AF324" s="250">
        <v>20000</v>
      </c>
    </row>
    <row r="325" spans="2:32" x14ac:dyDescent="0.25">
      <c r="B325" s="61" t="s">
        <v>542</v>
      </c>
      <c r="C325" s="14" t="s">
        <v>337</v>
      </c>
      <c r="D325" s="14">
        <v>1999</v>
      </c>
      <c r="E325" s="13">
        <v>1074600</v>
      </c>
      <c r="F325" s="14">
        <v>2</v>
      </c>
      <c r="G325" s="14">
        <v>2.6</v>
      </c>
      <c r="H325" s="14" t="s">
        <v>340</v>
      </c>
      <c r="I325" s="249">
        <f t="shared" si="12"/>
        <v>1</v>
      </c>
      <c r="J325" s="143">
        <v>6000</v>
      </c>
      <c r="K325" s="249" t="s">
        <v>2378</v>
      </c>
      <c r="M325" s="249">
        <f t="shared" si="13"/>
        <v>16</v>
      </c>
      <c r="N325" s="249">
        <f t="shared" si="14"/>
        <v>15</v>
      </c>
      <c r="O325" s="14"/>
      <c r="P325" s="14"/>
      <c r="Q325" s="14" t="s">
        <v>328</v>
      </c>
      <c r="S325" s="14"/>
      <c r="T325" s="14"/>
      <c r="U325" s="14"/>
      <c r="V325" s="14"/>
      <c r="W325" s="14" t="s">
        <v>328</v>
      </c>
      <c r="X325" s="14"/>
      <c r="Z325" s="126">
        <v>0.5</v>
      </c>
      <c r="AA325" s="249">
        <v>1</v>
      </c>
      <c r="AB325" s="250">
        <v>30000</v>
      </c>
      <c r="AC325" s="250">
        <v>30000</v>
      </c>
      <c r="AD325" s="250">
        <v>240000</v>
      </c>
      <c r="AE325" s="250">
        <v>120000</v>
      </c>
      <c r="AF325" s="250">
        <v>30000</v>
      </c>
    </row>
    <row r="326" spans="2:32" x14ac:dyDescent="0.25">
      <c r="B326" s="61" t="s">
        <v>543</v>
      </c>
      <c r="C326" s="14" t="s">
        <v>348</v>
      </c>
      <c r="D326" s="14">
        <v>2000</v>
      </c>
      <c r="E326" s="13">
        <v>873410</v>
      </c>
      <c r="F326" s="14">
        <v>4.7</v>
      </c>
      <c r="G326" s="14">
        <v>5.0999999999999996</v>
      </c>
      <c r="H326" s="14" t="s">
        <v>340</v>
      </c>
      <c r="I326" s="249">
        <f t="shared" ref="I326:I389" si="15">IF(F326&gt;G326,0,1)</f>
        <v>1</v>
      </c>
      <c r="J326" s="143">
        <v>5000</v>
      </c>
      <c r="K326" s="249" t="s">
        <v>2378</v>
      </c>
      <c r="M326" s="249">
        <f t="shared" ref="M326:M389" si="16">2015-D326</f>
        <v>15</v>
      </c>
      <c r="N326" s="249">
        <f t="shared" ref="N326:N389" si="17">2014-$D326</f>
        <v>14</v>
      </c>
      <c r="O326" s="14"/>
      <c r="P326" s="14" t="s">
        <v>328</v>
      </c>
      <c r="Q326" s="14"/>
      <c r="S326" s="14"/>
      <c r="T326" s="14"/>
      <c r="U326" s="14"/>
      <c r="V326" s="14"/>
      <c r="W326" s="14" t="s">
        <v>328</v>
      </c>
      <c r="X326" s="14"/>
      <c r="Z326" s="126">
        <v>0.5</v>
      </c>
      <c r="AA326" s="249">
        <v>1</v>
      </c>
      <c r="AB326" s="250">
        <v>25000</v>
      </c>
      <c r="AC326" s="250">
        <v>25000</v>
      </c>
      <c r="AD326" s="250">
        <v>125000</v>
      </c>
      <c r="AE326" s="250">
        <v>125000</v>
      </c>
      <c r="AF326" s="250">
        <v>25000</v>
      </c>
    </row>
    <row r="327" spans="2:32" x14ac:dyDescent="0.25">
      <c r="B327" s="61" t="s">
        <v>544</v>
      </c>
      <c r="C327" s="14" t="s">
        <v>337</v>
      </c>
      <c r="D327" s="14">
        <v>2001</v>
      </c>
      <c r="E327" s="13">
        <v>761848</v>
      </c>
      <c r="F327" s="14">
        <v>2.4</v>
      </c>
      <c r="G327" s="14">
        <v>2.7</v>
      </c>
      <c r="H327" s="14" t="s">
        <v>340</v>
      </c>
      <c r="I327" s="249">
        <f t="shared" si="15"/>
        <v>1</v>
      </c>
      <c r="J327" s="143">
        <v>6000</v>
      </c>
      <c r="K327" s="249" t="s">
        <v>2378</v>
      </c>
      <c r="M327" s="249">
        <f t="shared" si="16"/>
        <v>14</v>
      </c>
      <c r="N327" s="249">
        <f t="shared" si="17"/>
        <v>13</v>
      </c>
      <c r="O327" s="14" t="s">
        <v>328</v>
      </c>
      <c r="P327" s="14"/>
      <c r="Q327" s="14"/>
      <c r="S327" s="14"/>
      <c r="T327" s="14"/>
      <c r="U327" s="14"/>
      <c r="V327" s="14"/>
      <c r="W327" s="14" t="s">
        <v>328</v>
      </c>
      <c r="X327" s="14"/>
      <c r="Z327" s="126">
        <v>0.5</v>
      </c>
      <c r="AA327" s="249">
        <v>1</v>
      </c>
      <c r="AB327" s="250">
        <v>18000</v>
      </c>
      <c r="AC327" s="250">
        <v>24000</v>
      </c>
      <c r="AD327" s="250">
        <v>160000</v>
      </c>
      <c r="AE327" s="250">
        <v>80000</v>
      </c>
      <c r="AF327" s="250">
        <v>24000</v>
      </c>
    </row>
    <row r="328" spans="2:32" x14ac:dyDescent="0.25">
      <c r="B328" s="61" t="s">
        <v>545</v>
      </c>
      <c r="C328" s="14" t="s">
        <v>337</v>
      </c>
      <c r="D328" s="14">
        <v>1997</v>
      </c>
      <c r="E328" s="13">
        <v>897613</v>
      </c>
      <c r="F328" s="14">
        <v>2</v>
      </c>
      <c r="G328" s="14">
        <v>2.5</v>
      </c>
      <c r="H328" s="14" t="s">
        <v>340</v>
      </c>
      <c r="I328" s="249">
        <f t="shared" si="15"/>
        <v>1</v>
      </c>
      <c r="J328" s="143">
        <v>4000</v>
      </c>
      <c r="K328" s="249" t="s">
        <v>2378</v>
      </c>
      <c r="M328" s="249">
        <f t="shared" si="16"/>
        <v>18</v>
      </c>
      <c r="N328" s="249">
        <f t="shared" si="17"/>
        <v>17</v>
      </c>
      <c r="O328" s="14"/>
      <c r="P328" s="14"/>
      <c r="Q328" s="14" t="s">
        <v>328</v>
      </c>
      <c r="S328" s="14"/>
      <c r="T328" s="14"/>
      <c r="U328" s="14"/>
      <c r="V328" s="14" t="s">
        <v>328</v>
      </c>
      <c r="W328" s="14"/>
      <c r="X328" s="14"/>
      <c r="Z328" s="126">
        <v>0.5</v>
      </c>
      <c r="AA328" s="249">
        <v>1</v>
      </c>
      <c r="AB328" s="250">
        <v>25000</v>
      </c>
      <c r="AC328" s="250">
        <v>25000</v>
      </c>
      <c r="AD328" s="250">
        <v>100000</v>
      </c>
      <c r="AE328" s="250">
        <v>100000</v>
      </c>
      <c r="AF328" s="250">
        <v>25000</v>
      </c>
    </row>
    <row r="329" spans="2:32" x14ac:dyDescent="0.25">
      <c r="B329" s="61" t="s">
        <v>546</v>
      </c>
      <c r="C329" s="14" t="s">
        <v>351</v>
      </c>
      <c r="D329" s="14">
        <v>2008</v>
      </c>
      <c r="E329" s="13">
        <v>856120</v>
      </c>
      <c r="F329" s="14">
        <v>5</v>
      </c>
      <c r="G329" s="14">
        <v>5.6</v>
      </c>
      <c r="H329" s="14" t="s">
        <v>340</v>
      </c>
      <c r="I329" s="249">
        <f t="shared" si="15"/>
        <v>1</v>
      </c>
      <c r="J329" s="143">
        <v>15000</v>
      </c>
      <c r="K329" s="249" t="s">
        <v>2378</v>
      </c>
      <c r="M329" s="249">
        <f t="shared" si="16"/>
        <v>7</v>
      </c>
      <c r="N329" s="249">
        <f t="shared" si="17"/>
        <v>6</v>
      </c>
      <c r="O329" s="14" t="s">
        <v>328</v>
      </c>
      <c r="P329" s="14"/>
      <c r="Q329" s="14"/>
      <c r="S329" s="14"/>
      <c r="T329" s="14"/>
      <c r="U329" s="14"/>
      <c r="V329" s="14"/>
      <c r="W329" s="14" t="s">
        <v>328</v>
      </c>
      <c r="X329" s="14"/>
      <c r="Z329" s="126">
        <v>0.1</v>
      </c>
      <c r="AA329" s="249">
        <v>2</v>
      </c>
      <c r="AB329" s="250">
        <v>30000</v>
      </c>
      <c r="AC329" s="250">
        <v>30000</v>
      </c>
      <c r="AD329" s="250">
        <v>100000</v>
      </c>
      <c r="AE329" s="250">
        <v>100000</v>
      </c>
      <c r="AF329" s="250">
        <v>30000</v>
      </c>
    </row>
    <row r="330" spans="2:32" x14ac:dyDescent="0.25">
      <c r="B330" s="61" t="s">
        <v>546</v>
      </c>
      <c r="C330" s="14" t="s">
        <v>351</v>
      </c>
      <c r="D330" s="14">
        <v>2008</v>
      </c>
      <c r="E330" s="13">
        <v>762582</v>
      </c>
      <c r="F330" s="14">
        <v>5</v>
      </c>
      <c r="G330" s="14">
        <v>5.6</v>
      </c>
      <c r="H330" s="14" t="s">
        <v>340</v>
      </c>
      <c r="I330" s="249">
        <f t="shared" si="15"/>
        <v>1</v>
      </c>
      <c r="J330" s="143">
        <v>15000</v>
      </c>
      <c r="K330" s="249" t="s">
        <v>2378</v>
      </c>
      <c r="M330" s="249">
        <f t="shared" si="16"/>
        <v>7</v>
      </c>
      <c r="N330" s="249">
        <f t="shared" si="17"/>
        <v>6</v>
      </c>
      <c r="O330" s="14" t="s">
        <v>328</v>
      </c>
      <c r="P330" s="14"/>
      <c r="Q330" s="14"/>
      <c r="S330" s="14"/>
      <c r="T330" s="14"/>
      <c r="U330" s="14"/>
      <c r="V330" s="14"/>
      <c r="W330" s="14" t="s">
        <v>328</v>
      </c>
      <c r="X330" s="14"/>
      <c r="Z330" s="126">
        <v>0.1</v>
      </c>
      <c r="AA330" s="249">
        <v>2</v>
      </c>
      <c r="AB330" s="250">
        <v>30000</v>
      </c>
      <c r="AC330" s="250">
        <v>30000</v>
      </c>
      <c r="AD330" s="250">
        <v>100000</v>
      </c>
      <c r="AE330" s="250">
        <v>100000</v>
      </c>
      <c r="AF330" s="250">
        <v>30000</v>
      </c>
    </row>
    <row r="331" spans="2:32" x14ac:dyDescent="0.25">
      <c r="B331" s="61" t="s">
        <v>547</v>
      </c>
      <c r="C331" s="14" t="s">
        <v>337</v>
      </c>
      <c r="D331" s="14">
        <v>2003</v>
      </c>
      <c r="E331" s="13">
        <v>1015306</v>
      </c>
      <c r="F331" s="14">
        <v>2.2999999999999998</v>
      </c>
      <c r="G331" s="14">
        <v>2.7</v>
      </c>
      <c r="H331" s="14" t="s">
        <v>340</v>
      </c>
      <c r="I331" s="249">
        <f t="shared" si="15"/>
        <v>1</v>
      </c>
      <c r="J331" s="143">
        <v>9000</v>
      </c>
      <c r="K331" s="249" t="s">
        <v>2378</v>
      </c>
      <c r="M331" s="249">
        <f t="shared" si="16"/>
        <v>12</v>
      </c>
      <c r="N331" s="249">
        <f t="shared" si="17"/>
        <v>11</v>
      </c>
      <c r="O331" s="14"/>
      <c r="P331" s="14" t="s">
        <v>328</v>
      </c>
      <c r="Q331" s="14"/>
      <c r="S331" s="14"/>
      <c r="T331" s="14"/>
      <c r="U331" s="14"/>
      <c r="V331" s="14"/>
      <c r="W331" s="14" t="s">
        <v>328</v>
      </c>
      <c r="X331" s="14"/>
      <c r="Z331" s="126">
        <v>0.3</v>
      </c>
      <c r="AA331" s="249">
        <v>1</v>
      </c>
      <c r="AB331" s="250">
        <v>18000</v>
      </c>
      <c r="AC331" s="250">
        <v>18000</v>
      </c>
      <c r="AD331" s="250">
        <v>180000</v>
      </c>
      <c r="AE331" s="250">
        <v>100000</v>
      </c>
      <c r="AF331" s="250">
        <v>18000</v>
      </c>
    </row>
    <row r="332" spans="2:32" x14ac:dyDescent="0.25">
      <c r="B332" s="61" t="s">
        <v>548</v>
      </c>
      <c r="C332" s="14" t="s">
        <v>351</v>
      </c>
      <c r="D332" s="14">
        <v>1987</v>
      </c>
      <c r="E332" s="13">
        <v>1436112</v>
      </c>
      <c r="F332" s="14">
        <v>3.9</v>
      </c>
      <c r="G332" s="14">
        <v>4.3</v>
      </c>
      <c r="H332" s="14" t="s">
        <v>340</v>
      </c>
      <c r="I332" s="249">
        <f t="shared" si="15"/>
        <v>1</v>
      </c>
      <c r="J332" s="143">
        <v>8000</v>
      </c>
      <c r="K332" s="249" t="s">
        <v>2378</v>
      </c>
      <c r="M332" s="249">
        <f t="shared" si="16"/>
        <v>28</v>
      </c>
      <c r="N332" s="249">
        <f t="shared" si="17"/>
        <v>27</v>
      </c>
      <c r="O332" s="14"/>
      <c r="P332" s="14"/>
      <c r="Q332" s="14" t="s">
        <v>328</v>
      </c>
      <c r="S332" s="14"/>
      <c r="T332" s="14" t="s">
        <v>328</v>
      </c>
      <c r="U332" s="14"/>
      <c r="V332" s="14"/>
      <c r="W332" s="14"/>
      <c r="X332" s="14"/>
      <c r="Z332" s="126">
        <v>0.2</v>
      </c>
      <c r="AA332" s="249">
        <v>1</v>
      </c>
      <c r="AB332" s="250">
        <v>30000</v>
      </c>
      <c r="AC332" s="250">
        <v>30000</v>
      </c>
      <c r="AD332" s="250">
        <v>160000</v>
      </c>
      <c r="AE332" s="250">
        <v>120000</v>
      </c>
      <c r="AF332" s="250">
        <v>30000</v>
      </c>
    </row>
    <row r="333" spans="2:32" x14ac:dyDescent="0.25">
      <c r="B333" s="61" t="s">
        <v>549</v>
      </c>
      <c r="C333" s="14" t="s">
        <v>351</v>
      </c>
      <c r="D333" s="14">
        <v>2002</v>
      </c>
      <c r="E333" s="13">
        <v>861402</v>
      </c>
      <c r="F333" s="14">
        <v>4.3</v>
      </c>
      <c r="G333" s="14">
        <v>4.9000000000000004</v>
      </c>
      <c r="H333" s="14" t="s">
        <v>340</v>
      </c>
      <c r="I333" s="249">
        <f t="shared" si="15"/>
        <v>1</v>
      </c>
      <c r="J333" s="143">
        <v>10000</v>
      </c>
      <c r="K333" s="249" t="s">
        <v>2378</v>
      </c>
      <c r="M333" s="249">
        <f t="shared" si="16"/>
        <v>13</v>
      </c>
      <c r="N333" s="249">
        <f t="shared" si="17"/>
        <v>12</v>
      </c>
      <c r="O333" s="14"/>
      <c r="P333" s="14" t="s">
        <v>328</v>
      </c>
      <c r="Q333" s="14"/>
      <c r="S333" s="14"/>
      <c r="T333" s="14"/>
      <c r="U333" s="14"/>
      <c r="V333" s="14"/>
      <c r="W333" s="14" t="s">
        <v>328</v>
      </c>
      <c r="X333" s="14"/>
      <c r="Z333" s="126">
        <v>0.1</v>
      </c>
      <c r="AA333" s="249">
        <v>1</v>
      </c>
      <c r="AB333" s="250">
        <v>16000</v>
      </c>
      <c r="AC333" s="250">
        <v>32000</v>
      </c>
      <c r="AD333" s="250">
        <v>256000</v>
      </c>
      <c r="AE333" s="250">
        <v>128000</v>
      </c>
      <c r="AF333" s="250">
        <v>16000</v>
      </c>
    </row>
    <row r="334" spans="2:32" x14ac:dyDescent="0.25">
      <c r="B334" s="61" t="s">
        <v>550</v>
      </c>
      <c r="C334" s="14" t="s">
        <v>337</v>
      </c>
      <c r="D334" s="14">
        <v>2004</v>
      </c>
      <c r="E334" s="13">
        <v>882739</v>
      </c>
      <c r="F334" s="14">
        <v>2.4</v>
      </c>
      <c r="G334" s="14">
        <v>2.7</v>
      </c>
      <c r="H334" s="14" t="s">
        <v>340</v>
      </c>
      <c r="I334" s="249">
        <f t="shared" si="15"/>
        <v>1</v>
      </c>
      <c r="J334" s="143">
        <v>8333.3333333333339</v>
      </c>
      <c r="K334" s="249" t="s">
        <v>2378</v>
      </c>
      <c r="M334" s="249">
        <f t="shared" si="16"/>
        <v>11</v>
      </c>
      <c r="N334" s="249">
        <f t="shared" si="17"/>
        <v>10</v>
      </c>
      <c r="O334" s="14"/>
      <c r="P334" s="14" t="s">
        <v>328</v>
      </c>
      <c r="Q334" s="14"/>
      <c r="S334" s="14"/>
      <c r="T334" s="14"/>
      <c r="U334" s="14"/>
      <c r="V334" s="14"/>
      <c r="W334" s="14" t="s">
        <v>328</v>
      </c>
      <c r="X334" s="14"/>
      <c r="Z334" s="126">
        <v>0.05</v>
      </c>
      <c r="AA334" s="249">
        <v>2</v>
      </c>
      <c r="AB334" s="250">
        <v>18000</v>
      </c>
      <c r="AC334" s="250">
        <v>18000</v>
      </c>
      <c r="AD334" s="250">
        <v>100000</v>
      </c>
      <c r="AE334" s="250">
        <v>100000</v>
      </c>
      <c r="AF334" s="250">
        <v>18000</v>
      </c>
    </row>
    <row r="335" spans="2:32" x14ac:dyDescent="0.25">
      <c r="B335" s="61" t="s">
        <v>550</v>
      </c>
      <c r="C335" s="14" t="s">
        <v>337</v>
      </c>
      <c r="D335" s="14">
        <v>2007</v>
      </c>
      <c r="E335" s="13">
        <v>623438</v>
      </c>
      <c r="F335" s="14">
        <v>2.5</v>
      </c>
      <c r="G335" s="14">
        <v>2.9</v>
      </c>
      <c r="H335" s="14" t="s">
        <v>340</v>
      </c>
      <c r="I335" s="249">
        <f t="shared" si="15"/>
        <v>1</v>
      </c>
      <c r="J335" s="143">
        <v>8333.3333333333339</v>
      </c>
      <c r="K335" s="249" t="s">
        <v>2378</v>
      </c>
      <c r="M335" s="249">
        <f t="shared" si="16"/>
        <v>8</v>
      </c>
      <c r="N335" s="249">
        <f t="shared" si="17"/>
        <v>7</v>
      </c>
      <c r="O335" s="14"/>
      <c r="P335" s="14" t="s">
        <v>328</v>
      </c>
      <c r="Q335" s="14"/>
      <c r="S335" s="14"/>
      <c r="T335" s="14"/>
      <c r="U335" s="14"/>
      <c r="V335" s="14"/>
      <c r="W335" s="14"/>
      <c r="X335" s="14" t="s">
        <v>328</v>
      </c>
      <c r="Z335" s="126">
        <v>0.05</v>
      </c>
      <c r="AA335" s="249">
        <v>2</v>
      </c>
      <c r="AB335" s="250">
        <v>18000</v>
      </c>
      <c r="AC335" s="250">
        <v>18000</v>
      </c>
      <c r="AD335" s="250">
        <v>100000</v>
      </c>
      <c r="AE335" s="250">
        <v>100000</v>
      </c>
      <c r="AF335" s="250">
        <v>18000</v>
      </c>
    </row>
    <row r="336" spans="2:32" x14ac:dyDescent="0.25">
      <c r="B336" s="61" t="s">
        <v>551</v>
      </c>
      <c r="C336" s="14" t="s">
        <v>351</v>
      </c>
      <c r="D336" s="14">
        <v>1997</v>
      </c>
      <c r="E336" s="13">
        <v>314506</v>
      </c>
      <c r="F336" s="14">
        <v>2.5</v>
      </c>
      <c r="G336" s="14">
        <v>2.9</v>
      </c>
      <c r="H336" s="14" t="s">
        <v>340</v>
      </c>
      <c r="I336" s="249">
        <f t="shared" si="15"/>
        <v>1</v>
      </c>
      <c r="J336" s="143">
        <v>7000</v>
      </c>
      <c r="K336" s="249" t="s">
        <v>2378</v>
      </c>
      <c r="M336" s="249">
        <f t="shared" si="16"/>
        <v>18</v>
      </c>
      <c r="N336" s="249">
        <f t="shared" si="17"/>
        <v>17</v>
      </c>
      <c r="O336" s="14"/>
      <c r="P336" s="14" t="s">
        <v>328</v>
      </c>
      <c r="Q336" s="14"/>
      <c r="S336" s="14" t="s">
        <v>328</v>
      </c>
      <c r="T336" s="14"/>
      <c r="U336" s="14"/>
      <c r="V336" s="14"/>
      <c r="W336" s="14"/>
      <c r="X336" s="14"/>
      <c r="Z336" s="126">
        <v>0.2</v>
      </c>
      <c r="AA336" s="249">
        <v>1</v>
      </c>
      <c r="AB336" s="250">
        <v>30000</v>
      </c>
      <c r="AC336" s="250">
        <v>30000</v>
      </c>
      <c r="AD336" s="250">
        <v>200000</v>
      </c>
      <c r="AE336" s="250">
        <v>150000</v>
      </c>
      <c r="AF336" s="250">
        <v>30000</v>
      </c>
    </row>
    <row r="337" spans="2:32" x14ac:dyDescent="0.25">
      <c r="B337" s="61" t="s">
        <v>552</v>
      </c>
      <c r="C337" s="14" t="s">
        <v>337</v>
      </c>
      <c r="D337" s="14">
        <v>2005</v>
      </c>
      <c r="E337" s="13">
        <v>746812</v>
      </c>
      <c r="F337" s="14">
        <v>2.5</v>
      </c>
      <c r="G337" s="14">
        <v>2.8</v>
      </c>
      <c r="H337" s="14" t="s">
        <v>340</v>
      </c>
      <c r="I337" s="249">
        <f t="shared" si="15"/>
        <v>1</v>
      </c>
      <c r="J337" s="143">
        <v>7916.666666666667</v>
      </c>
      <c r="K337" s="249" t="s">
        <v>2378</v>
      </c>
      <c r="M337" s="249">
        <f t="shared" si="16"/>
        <v>10</v>
      </c>
      <c r="N337" s="249">
        <f t="shared" si="17"/>
        <v>9</v>
      </c>
      <c r="O337" s="14"/>
      <c r="P337" s="14" t="s">
        <v>328</v>
      </c>
      <c r="Q337" s="14"/>
      <c r="S337" s="14"/>
      <c r="T337" s="14" t="s">
        <v>328</v>
      </c>
      <c r="U337" s="14"/>
      <c r="V337" s="14"/>
      <c r="W337" s="14"/>
      <c r="X337" s="14"/>
      <c r="Z337" s="126">
        <v>0.1</v>
      </c>
      <c r="AA337" s="249">
        <v>1</v>
      </c>
      <c r="AB337" s="250">
        <v>20000</v>
      </c>
      <c r="AC337" s="250">
        <v>20000</v>
      </c>
      <c r="AD337" s="250">
        <v>100000</v>
      </c>
      <c r="AE337" s="250">
        <v>100000</v>
      </c>
      <c r="AF337" s="250">
        <v>20000</v>
      </c>
    </row>
    <row r="338" spans="2:32" x14ac:dyDescent="0.25">
      <c r="B338" s="61" t="s">
        <v>553</v>
      </c>
      <c r="C338" s="14" t="s">
        <v>351</v>
      </c>
      <c r="D338" s="14">
        <v>2000</v>
      </c>
      <c r="E338" s="13">
        <v>725811</v>
      </c>
      <c r="F338" s="14">
        <v>3.1</v>
      </c>
      <c r="G338" s="14">
        <v>3.9</v>
      </c>
      <c r="H338" s="14" t="s">
        <v>340</v>
      </c>
      <c r="I338" s="249">
        <f t="shared" si="15"/>
        <v>1</v>
      </c>
      <c r="J338" s="143">
        <v>4000</v>
      </c>
      <c r="K338" s="249" t="s">
        <v>2378</v>
      </c>
      <c r="M338" s="249">
        <f t="shared" si="16"/>
        <v>15</v>
      </c>
      <c r="N338" s="249">
        <f t="shared" si="17"/>
        <v>14</v>
      </c>
      <c r="O338" s="14"/>
      <c r="P338" s="14"/>
      <c r="Q338" s="14" t="s">
        <v>328</v>
      </c>
      <c r="S338" s="14"/>
      <c r="T338" s="14"/>
      <c r="U338" s="14"/>
      <c r="V338" s="14"/>
      <c r="W338" s="14" t="s">
        <v>328</v>
      </c>
      <c r="X338" s="14"/>
      <c r="Z338" s="126">
        <v>0.5</v>
      </c>
      <c r="AA338" s="249">
        <v>1</v>
      </c>
      <c r="AB338" s="250">
        <v>24000</v>
      </c>
      <c r="AC338" s="250">
        <v>24000</v>
      </c>
      <c r="AD338" s="250">
        <v>240000</v>
      </c>
      <c r="AE338" s="250">
        <v>120000</v>
      </c>
      <c r="AF338" s="250">
        <v>24000</v>
      </c>
    </row>
    <row r="339" spans="2:32" x14ac:dyDescent="0.25">
      <c r="B339" s="61" t="s">
        <v>554</v>
      </c>
      <c r="C339" s="14" t="s">
        <v>337</v>
      </c>
      <c r="D339" s="14">
        <v>2001</v>
      </c>
      <c r="E339" s="13">
        <v>764812</v>
      </c>
      <c r="F339" s="14">
        <v>2</v>
      </c>
      <c r="G339" s="14">
        <v>2.6</v>
      </c>
      <c r="H339" s="14" t="s">
        <v>340</v>
      </c>
      <c r="I339" s="249">
        <f t="shared" si="15"/>
        <v>1</v>
      </c>
      <c r="J339" s="143">
        <v>3200</v>
      </c>
      <c r="K339" s="249" t="s">
        <v>2378</v>
      </c>
      <c r="M339" s="249">
        <f t="shared" si="16"/>
        <v>14</v>
      </c>
      <c r="N339" s="249">
        <f t="shared" si="17"/>
        <v>13</v>
      </c>
      <c r="O339" s="14"/>
      <c r="P339" s="14" t="s">
        <v>328</v>
      </c>
      <c r="Q339" s="14"/>
      <c r="S339" s="14"/>
      <c r="T339" s="14"/>
      <c r="U339" s="14"/>
      <c r="V339" s="14"/>
      <c r="W339" s="14" t="s">
        <v>328</v>
      </c>
      <c r="X339" s="14"/>
      <c r="Z339" s="126">
        <v>0.5</v>
      </c>
      <c r="AA339" s="249">
        <v>1</v>
      </c>
      <c r="AB339" s="250">
        <v>18000</v>
      </c>
      <c r="AC339" s="250">
        <v>18000</v>
      </c>
      <c r="AD339" s="250">
        <v>80000</v>
      </c>
      <c r="AE339" s="250">
        <v>80000</v>
      </c>
      <c r="AF339" s="250">
        <v>18000</v>
      </c>
    </row>
    <row r="340" spans="2:32" x14ac:dyDescent="0.25">
      <c r="B340" s="61" t="s">
        <v>555</v>
      </c>
      <c r="C340" s="14" t="s">
        <v>351</v>
      </c>
      <c r="D340" s="14">
        <v>2002</v>
      </c>
      <c r="E340" s="13">
        <v>1045689</v>
      </c>
      <c r="F340" s="14">
        <v>3.2</v>
      </c>
      <c r="G340" s="14">
        <v>3.8</v>
      </c>
      <c r="H340" s="14" t="s">
        <v>340</v>
      </c>
      <c r="I340" s="249">
        <f t="shared" si="15"/>
        <v>1</v>
      </c>
      <c r="J340" s="143">
        <v>11000</v>
      </c>
      <c r="K340" s="249" t="s">
        <v>2378</v>
      </c>
      <c r="M340" s="249">
        <f t="shared" si="16"/>
        <v>13</v>
      </c>
      <c r="N340" s="249">
        <f t="shared" si="17"/>
        <v>12</v>
      </c>
      <c r="O340" s="14"/>
      <c r="P340" s="14"/>
      <c r="Q340" s="14" t="s">
        <v>328</v>
      </c>
      <c r="S340" s="14"/>
      <c r="T340" s="14"/>
      <c r="U340" s="14"/>
      <c r="V340" s="14"/>
      <c r="W340" s="14" t="s">
        <v>328</v>
      </c>
      <c r="X340" s="14"/>
      <c r="Z340" s="126">
        <v>0.25</v>
      </c>
      <c r="AA340" s="249">
        <v>1</v>
      </c>
      <c r="AB340" s="250">
        <v>22000</v>
      </c>
      <c r="AC340" s="250">
        <v>22000</v>
      </c>
      <c r="AD340" s="250">
        <v>180000</v>
      </c>
      <c r="AE340" s="250">
        <v>100000</v>
      </c>
      <c r="AF340" s="250">
        <v>22000</v>
      </c>
    </row>
    <row r="341" spans="2:32" x14ac:dyDescent="0.25">
      <c r="B341" s="61" t="s">
        <v>556</v>
      </c>
      <c r="C341" s="14" t="s">
        <v>337</v>
      </c>
      <c r="D341" s="14">
        <v>2005</v>
      </c>
      <c r="E341" s="13">
        <v>600000</v>
      </c>
      <c r="F341" s="14">
        <v>2.7</v>
      </c>
      <c r="G341" s="14">
        <v>3</v>
      </c>
      <c r="H341" s="14" t="s">
        <v>340</v>
      </c>
      <c r="I341" s="249">
        <f t="shared" si="15"/>
        <v>1</v>
      </c>
      <c r="J341" s="143">
        <v>6000</v>
      </c>
      <c r="K341" s="249" t="s">
        <v>2378</v>
      </c>
      <c r="M341" s="249">
        <f t="shared" si="16"/>
        <v>10</v>
      </c>
      <c r="N341" s="249">
        <f t="shared" si="17"/>
        <v>9</v>
      </c>
      <c r="O341" s="14"/>
      <c r="P341" s="14" t="s">
        <v>328</v>
      </c>
      <c r="Q341" s="14"/>
      <c r="S341" s="14" t="s">
        <v>328</v>
      </c>
      <c r="T341" s="14"/>
      <c r="U341" s="14"/>
      <c r="V341" s="14"/>
      <c r="W341" s="14"/>
      <c r="X341" s="14"/>
      <c r="Z341" s="126">
        <v>0.3</v>
      </c>
      <c r="AA341" s="249">
        <v>1</v>
      </c>
      <c r="AB341" s="250">
        <v>9000</v>
      </c>
      <c r="AC341" s="250">
        <v>10000</v>
      </c>
      <c r="AD341" s="250">
        <v>6000</v>
      </c>
      <c r="AE341" s="250">
        <v>100000</v>
      </c>
      <c r="AF341" s="250">
        <v>10000</v>
      </c>
    </row>
    <row r="342" spans="2:32" x14ac:dyDescent="0.25">
      <c r="B342" s="61" t="s">
        <v>557</v>
      </c>
      <c r="C342" s="14" t="s">
        <v>348</v>
      </c>
      <c r="D342" s="14">
        <v>2009</v>
      </c>
      <c r="E342" s="13">
        <v>95000</v>
      </c>
      <c r="F342" s="14">
        <v>2</v>
      </c>
      <c r="G342" s="14">
        <v>2.5</v>
      </c>
      <c r="H342" s="14" t="s">
        <v>340</v>
      </c>
      <c r="I342" s="249">
        <f t="shared" si="15"/>
        <v>1</v>
      </c>
      <c r="J342" s="143">
        <v>2000</v>
      </c>
      <c r="K342" s="249" t="s">
        <v>2379</v>
      </c>
      <c r="M342" s="249">
        <f t="shared" si="16"/>
        <v>6</v>
      </c>
      <c r="N342" s="249">
        <f t="shared" si="17"/>
        <v>5</v>
      </c>
      <c r="O342" s="14" t="s">
        <v>328</v>
      </c>
      <c r="P342" s="14"/>
      <c r="Q342" s="14"/>
      <c r="S342" s="14" t="s">
        <v>328</v>
      </c>
      <c r="T342" s="14"/>
      <c r="U342" s="14"/>
      <c r="V342" s="14"/>
      <c r="W342" s="14"/>
      <c r="X342" s="14"/>
      <c r="Z342" s="126">
        <v>0.5</v>
      </c>
      <c r="AA342" s="249">
        <v>9</v>
      </c>
      <c r="AB342" s="250">
        <v>10000</v>
      </c>
      <c r="AC342" s="250">
        <v>20000</v>
      </c>
      <c r="AD342" s="250">
        <v>10000</v>
      </c>
      <c r="AE342" s="250">
        <v>24000</v>
      </c>
      <c r="AF342" s="250">
        <v>20000</v>
      </c>
    </row>
    <row r="343" spans="2:32" x14ac:dyDescent="0.25">
      <c r="B343" s="61" t="s">
        <v>557</v>
      </c>
      <c r="C343" s="14" t="s">
        <v>348</v>
      </c>
      <c r="D343" s="14">
        <v>2009</v>
      </c>
      <c r="E343" s="13">
        <v>95000</v>
      </c>
      <c r="F343" s="14">
        <v>2</v>
      </c>
      <c r="G343" s="14">
        <v>2.5</v>
      </c>
      <c r="H343" s="14" t="s">
        <v>340</v>
      </c>
      <c r="I343" s="249">
        <f t="shared" si="15"/>
        <v>1</v>
      </c>
      <c r="J343" s="143">
        <v>2000</v>
      </c>
      <c r="K343" s="249" t="s">
        <v>2379</v>
      </c>
      <c r="M343" s="249">
        <f t="shared" si="16"/>
        <v>6</v>
      </c>
      <c r="N343" s="249">
        <f t="shared" si="17"/>
        <v>5</v>
      </c>
      <c r="O343" s="14" t="s">
        <v>328</v>
      </c>
      <c r="P343" s="14"/>
      <c r="Q343" s="14"/>
      <c r="S343" s="14" t="s">
        <v>328</v>
      </c>
      <c r="T343" s="14"/>
      <c r="U343" s="14"/>
      <c r="V343" s="14"/>
      <c r="W343" s="14"/>
      <c r="X343" s="14"/>
      <c r="Z343" s="126">
        <v>0.5</v>
      </c>
      <c r="AA343" s="249">
        <v>9</v>
      </c>
      <c r="AB343" s="250">
        <v>10000</v>
      </c>
      <c r="AC343" s="250">
        <v>20000</v>
      </c>
      <c r="AD343" s="250">
        <v>10000</v>
      </c>
      <c r="AE343" s="250">
        <v>24000</v>
      </c>
      <c r="AF343" s="250">
        <v>20000</v>
      </c>
    </row>
    <row r="344" spans="2:32" x14ac:dyDescent="0.25">
      <c r="B344" s="61" t="s">
        <v>557</v>
      </c>
      <c r="C344" s="14" t="s">
        <v>348</v>
      </c>
      <c r="D344" s="14">
        <v>2005</v>
      </c>
      <c r="E344" s="13">
        <v>95000</v>
      </c>
      <c r="F344" s="14">
        <v>2</v>
      </c>
      <c r="G344" s="14">
        <v>2.5</v>
      </c>
      <c r="H344" s="14" t="s">
        <v>340</v>
      </c>
      <c r="I344" s="249">
        <f t="shared" si="15"/>
        <v>1</v>
      </c>
      <c r="J344" s="143">
        <v>2000</v>
      </c>
      <c r="K344" s="249" t="s">
        <v>2379</v>
      </c>
      <c r="M344" s="249">
        <f t="shared" si="16"/>
        <v>10</v>
      </c>
      <c r="N344" s="249">
        <f t="shared" si="17"/>
        <v>9</v>
      </c>
      <c r="O344" s="14" t="s">
        <v>328</v>
      </c>
      <c r="P344" s="14"/>
      <c r="Q344" s="14"/>
      <c r="S344" s="14" t="s">
        <v>328</v>
      </c>
      <c r="T344" s="14"/>
      <c r="U344" s="14"/>
      <c r="V344" s="14"/>
      <c r="W344" s="14"/>
      <c r="X344" s="14"/>
      <c r="Z344" s="126">
        <v>0.5</v>
      </c>
      <c r="AA344" s="249">
        <v>9</v>
      </c>
      <c r="AB344" s="250">
        <v>10000</v>
      </c>
      <c r="AC344" s="250">
        <v>20000</v>
      </c>
      <c r="AD344" s="250">
        <v>10000</v>
      </c>
      <c r="AE344" s="250">
        <v>24000</v>
      </c>
      <c r="AF344" s="250">
        <v>20000</v>
      </c>
    </row>
    <row r="345" spans="2:32" x14ac:dyDescent="0.25">
      <c r="B345" s="61" t="s">
        <v>557</v>
      </c>
      <c r="C345" s="14" t="s">
        <v>348</v>
      </c>
      <c r="D345" s="14">
        <v>2005</v>
      </c>
      <c r="E345" s="13">
        <v>95000</v>
      </c>
      <c r="F345" s="14">
        <v>2</v>
      </c>
      <c r="G345" s="14">
        <v>2.5</v>
      </c>
      <c r="H345" s="14" t="s">
        <v>340</v>
      </c>
      <c r="I345" s="249">
        <f t="shared" si="15"/>
        <v>1</v>
      </c>
      <c r="J345" s="143">
        <v>2000</v>
      </c>
      <c r="K345" s="249" t="s">
        <v>2379</v>
      </c>
      <c r="M345" s="249">
        <f t="shared" si="16"/>
        <v>10</v>
      </c>
      <c r="N345" s="249">
        <f t="shared" si="17"/>
        <v>9</v>
      </c>
      <c r="O345" s="14" t="s">
        <v>328</v>
      </c>
      <c r="P345" s="14"/>
      <c r="Q345" s="14"/>
      <c r="S345" s="14" t="s">
        <v>328</v>
      </c>
      <c r="T345" s="14"/>
      <c r="U345" s="14"/>
      <c r="V345" s="14"/>
      <c r="W345" s="14"/>
      <c r="X345" s="14"/>
      <c r="Z345" s="126">
        <v>0.5</v>
      </c>
      <c r="AA345" s="249">
        <v>9</v>
      </c>
      <c r="AB345" s="250">
        <v>10000</v>
      </c>
      <c r="AC345" s="250">
        <v>20000</v>
      </c>
      <c r="AD345" s="250">
        <v>10000</v>
      </c>
      <c r="AE345" s="250">
        <v>24000</v>
      </c>
      <c r="AF345" s="250">
        <v>20000</v>
      </c>
    </row>
    <row r="346" spans="2:32" x14ac:dyDescent="0.25">
      <c r="B346" s="61" t="s">
        <v>557</v>
      </c>
      <c r="C346" s="14" t="s">
        <v>337</v>
      </c>
      <c r="D346" s="14">
        <v>2010</v>
      </c>
      <c r="E346" s="13">
        <v>200000</v>
      </c>
      <c r="F346" s="14">
        <v>2.2000000000000002</v>
      </c>
      <c r="G346" s="14">
        <v>2.8</v>
      </c>
      <c r="H346" s="14" t="s">
        <v>340</v>
      </c>
      <c r="I346" s="249">
        <f t="shared" si="15"/>
        <v>1</v>
      </c>
      <c r="J346" s="143">
        <v>6000</v>
      </c>
      <c r="K346" s="249" t="s">
        <v>2379</v>
      </c>
      <c r="M346" s="249">
        <f t="shared" si="16"/>
        <v>5</v>
      </c>
      <c r="N346" s="249">
        <f t="shared" si="17"/>
        <v>4</v>
      </c>
      <c r="O346" s="14" t="s">
        <v>328</v>
      </c>
      <c r="P346" s="14"/>
      <c r="Q346" s="14"/>
      <c r="S346" s="14"/>
      <c r="T346" s="14" t="s">
        <v>328</v>
      </c>
      <c r="U346" s="14"/>
      <c r="V346" s="14"/>
      <c r="W346" s="14"/>
      <c r="X346" s="14"/>
      <c r="Z346" s="126">
        <v>0.1</v>
      </c>
      <c r="AA346" s="249">
        <v>9</v>
      </c>
      <c r="AB346" s="250">
        <v>8500</v>
      </c>
      <c r="AC346" s="250">
        <v>17000</v>
      </c>
      <c r="AD346" s="250">
        <v>8000</v>
      </c>
      <c r="AE346" s="250">
        <v>110000</v>
      </c>
      <c r="AF346" s="250">
        <v>17000</v>
      </c>
    </row>
    <row r="347" spans="2:32" x14ac:dyDescent="0.25">
      <c r="B347" s="61" t="s">
        <v>557</v>
      </c>
      <c r="C347" s="14" t="s">
        <v>337</v>
      </c>
      <c r="D347" s="14">
        <v>2010</v>
      </c>
      <c r="E347" s="13">
        <v>200000</v>
      </c>
      <c r="F347" s="14">
        <v>2.2000000000000002</v>
      </c>
      <c r="G347" s="14">
        <v>2.8</v>
      </c>
      <c r="H347" s="14" t="s">
        <v>340</v>
      </c>
      <c r="I347" s="249">
        <f t="shared" si="15"/>
        <v>1</v>
      </c>
      <c r="J347" s="143">
        <v>6000</v>
      </c>
      <c r="K347" s="249" t="s">
        <v>2379</v>
      </c>
      <c r="M347" s="249">
        <f t="shared" si="16"/>
        <v>5</v>
      </c>
      <c r="N347" s="249">
        <f t="shared" si="17"/>
        <v>4</v>
      </c>
      <c r="O347" s="14" t="s">
        <v>328</v>
      </c>
      <c r="P347" s="14"/>
      <c r="Q347" s="14"/>
      <c r="S347" s="14"/>
      <c r="T347" s="14" t="s">
        <v>328</v>
      </c>
      <c r="U347" s="14"/>
      <c r="V347" s="14"/>
      <c r="W347" s="14"/>
      <c r="X347" s="14"/>
      <c r="Z347" s="126">
        <v>0.1</v>
      </c>
      <c r="AA347" s="249">
        <v>9</v>
      </c>
      <c r="AB347" s="250">
        <v>8500</v>
      </c>
      <c r="AC347" s="250">
        <v>17000</v>
      </c>
      <c r="AD347" s="250">
        <v>8000</v>
      </c>
      <c r="AE347" s="250">
        <v>110000</v>
      </c>
      <c r="AF347" s="250">
        <v>17000</v>
      </c>
    </row>
    <row r="348" spans="2:32" x14ac:dyDescent="0.25">
      <c r="B348" s="61" t="s">
        <v>557</v>
      </c>
      <c r="C348" s="14" t="s">
        <v>337</v>
      </c>
      <c r="D348" s="14">
        <v>2010</v>
      </c>
      <c r="E348" s="13">
        <v>200000</v>
      </c>
      <c r="F348" s="14">
        <v>2.2000000000000002</v>
      </c>
      <c r="G348" s="14">
        <v>2.8</v>
      </c>
      <c r="H348" s="14" t="s">
        <v>340</v>
      </c>
      <c r="I348" s="249">
        <f t="shared" si="15"/>
        <v>1</v>
      </c>
      <c r="J348" s="143">
        <v>6000</v>
      </c>
      <c r="K348" s="249" t="s">
        <v>2379</v>
      </c>
      <c r="M348" s="249">
        <f t="shared" si="16"/>
        <v>5</v>
      </c>
      <c r="N348" s="249">
        <f t="shared" si="17"/>
        <v>4</v>
      </c>
      <c r="O348" s="14" t="s">
        <v>328</v>
      </c>
      <c r="P348" s="14"/>
      <c r="Q348" s="14"/>
      <c r="S348" s="14"/>
      <c r="T348" s="14" t="s">
        <v>328</v>
      </c>
      <c r="U348" s="14"/>
      <c r="V348" s="14"/>
      <c r="W348" s="14"/>
      <c r="X348" s="14"/>
      <c r="Z348" s="126">
        <v>0.1</v>
      </c>
      <c r="AA348" s="249">
        <v>9</v>
      </c>
      <c r="AB348" s="250">
        <v>8500</v>
      </c>
      <c r="AC348" s="250">
        <v>17000</v>
      </c>
      <c r="AD348" s="250">
        <v>8000</v>
      </c>
      <c r="AE348" s="250">
        <v>110000</v>
      </c>
      <c r="AF348" s="250">
        <v>17000</v>
      </c>
    </row>
    <row r="349" spans="2:32" x14ac:dyDescent="0.25">
      <c r="B349" s="61" t="s">
        <v>557</v>
      </c>
      <c r="C349" s="14" t="s">
        <v>337</v>
      </c>
      <c r="D349" s="14">
        <v>2013</v>
      </c>
      <c r="E349" s="13">
        <v>100000</v>
      </c>
      <c r="F349" s="14">
        <v>2.2000000000000002</v>
      </c>
      <c r="G349" s="14">
        <v>2.8</v>
      </c>
      <c r="H349" s="14" t="s">
        <v>340</v>
      </c>
      <c r="I349" s="249">
        <f t="shared" si="15"/>
        <v>1</v>
      </c>
      <c r="J349" s="143">
        <v>8500</v>
      </c>
      <c r="K349" s="249" t="s">
        <v>2379</v>
      </c>
      <c r="M349" s="249">
        <f t="shared" si="16"/>
        <v>2</v>
      </c>
      <c r="N349" s="249">
        <f t="shared" si="17"/>
        <v>1</v>
      </c>
      <c r="O349" s="14" t="s">
        <v>328</v>
      </c>
      <c r="P349" s="14"/>
      <c r="Q349" s="14"/>
      <c r="S349" s="14"/>
      <c r="T349" s="14"/>
      <c r="U349" s="14"/>
      <c r="V349" s="14"/>
      <c r="W349" s="14"/>
      <c r="X349" s="14" t="s">
        <v>328</v>
      </c>
      <c r="Z349" s="126">
        <v>0.1</v>
      </c>
      <c r="AA349" s="249">
        <v>9</v>
      </c>
      <c r="AB349" s="250">
        <v>7500</v>
      </c>
      <c r="AC349" s="250">
        <v>20000</v>
      </c>
      <c r="AD349" s="250">
        <v>10000</v>
      </c>
      <c r="AE349" s="250">
        <v>200000</v>
      </c>
      <c r="AF349" s="250">
        <v>20000</v>
      </c>
    </row>
    <row r="350" spans="2:32" x14ac:dyDescent="0.25">
      <c r="B350" s="61" t="s">
        <v>557</v>
      </c>
      <c r="C350" s="14" t="s">
        <v>337</v>
      </c>
      <c r="D350" s="14">
        <v>2013</v>
      </c>
      <c r="E350" s="13">
        <v>100000</v>
      </c>
      <c r="F350" s="14">
        <v>2.2000000000000002</v>
      </c>
      <c r="G350" s="14">
        <v>2.8</v>
      </c>
      <c r="H350" s="14" t="s">
        <v>340</v>
      </c>
      <c r="I350" s="249">
        <f t="shared" si="15"/>
        <v>1</v>
      </c>
      <c r="J350" s="143">
        <v>8500</v>
      </c>
      <c r="K350" s="249" t="s">
        <v>2379</v>
      </c>
      <c r="M350" s="249">
        <f t="shared" si="16"/>
        <v>2</v>
      </c>
      <c r="N350" s="249">
        <f t="shared" si="17"/>
        <v>1</v>
      </c>
      <c r="O350" s="14" t="s">
        <v>328</v>
      </c>
      <c r="P350" s="14"/>
      <c r="Q350" s="14"/>
      <c r="S350" s="14"/>
      <c r="T350" s="14"/>
      <c r="U350" s="14"/>
      <c r="V350" s="14"/>
      <c r="W350" s="14"/>
      <c r="X350" s="14" t="s">
        <v>328</v>
      </c>
      <c r="Z350" s="126">
        <v>0.1</v>
      </c>
      <c r="AA350" s="249">
        <v>9</v>
      </c>
      <c r="AB350" s="250">
        <v>7500</v>
      </c>
      <c r="AC350" s="250">
        <v>20000</v>
      </c>
      <c r="AD350" s="250">
        <v>10000</v>
      </c>
      <c r="AE350" s="250">
        <v>200000</v>
      </c>
      <c r="AF350" s="250">
        <v>20000</v>
      </c>
    </row>
    <row r="351" spans="2:32" x14ac:dyDescent="0.25">
      <c r="B351" s="61" t="s">
        <v>588</v>
      </c>
      <c r="C351" s="14" t="s">
        <v>348</v>
      </c>
      <c r="D351" s="14">
        <v>2002</v>
      </c>
      <c r="E351" s="13">
        <v>550000</v>
      </c>
      <c r="F351" s="14">
        <v>2.8</v>
      </c>
      <c r="G351" s="14">
        <v>2.8</v>
      </c>
      <c r="H351" s="14" t="s">
        <v>340</v>
      </c>
      <c r="I351" s="249">
        <f t="shared" si="15"/>
        <v>1</v>
      </c>
      <c r="J351" s="143">
        <v>2500</v>
      </c>
      <c r="K351" s="249" t="s">
        <v>2378</v>
      </c>
      <c r="M351" s="249">
        <f t="shared" si="16"/>
        <v>13</v>
      </c>
      <c r="N351" s="249">
        <f t="shared" si="17"/>
        <v>12</v>
      </c>
      <c r="O351" s="14"/>
      <c r="P351" s="14"/>
      <c r="Q351" s="14" t="s">
        <v>328</v>
      </c>
      <c r="S351" s="14"/>
      <c r="T351" s="14" t="s">
        <v>328</v>
      </c>
      <c r="U351" s="14"/>
      <c r="V351" s="14"/>
      <c r="W351" s="14"/>
      <c r="X351" s="14"/>
      <c r="Z351" s="126">
        <v>0.5</v>
      </c>
      <c r="AA351" s="249">
        <v>1</v>
      </c>
      <c r="AB351" s="250">
        <v>7000</v>
      </c>
      <c r="AC351" s="250">
        <v>12000</v>
      </c>
      <c r="AD351" s="250">
        <v>10000</v>
      </c>
      <c r="AE351" s="250">
        <v>180000</v>
      </c>
      <c r="AF351" s="250">
        <v>12000</v>
      </c>
    </row>
    <row r="352" spans="2:32" x14ac:dyDescent="0.25">
      <c r="B352" s="61" t="s">
        <v>589</v>
      </c>
      <c r="C352" s="14" t="s">
        <v>359</v>
      </c>
      <c r="D352" s="14">
        <v>2010</v>
      </c>
      <c r="E352" s="16">
        <v>100800</v>
      </c>
      <c r="F352" s="14">
        <v>2</v>
      </c>
      <c r="G352" s="14">
        <v>2.2000000000000002</v>
      </c>
      <c r="H352" s="14" t="s">
        <v>340</v>
      </c>
      <c r="I352" s="249">
        <f t="shared" si="15"/>
        <v>1</v>
      </c>
      <c r="J352" s="143">
        <v>2800</v>
      </c>
      <c r="K352" s="249" t="s">
        <v>2378</v>
      </c>
      <c r="M352" s="249">
        <f t="shared" si="16"/>
        <v>5</v>
      </c>
      <c r="N352" s="249">
        <f t="shared" si="17"/>
        <v>4</v>
      </c>
      <c r="O352" s="14" t="s">
        <v>328</v>
      </c>
      <c r="P352" s="14"/>
      <c r="Q352" s="14"/>
      <c r="S352" s="14"/>
      <c r="T352" s="14" t="s">
        <v>328</v>
      </c>
      <c r="U352" s="14"/>
      <c r="V352" s="14"/>
      <c r="W352" s="14"/>
      <c r="X352" s="14"/>
      <c r="Z352" s="126">
        <v>0.5</v>
      </c>
      <c r="AA352" s="249">
        <v>5</v>
      </c>
      <c r="AB352" s="250">
        <v>12000</v>
      </c>
      <c r="AC352" s="250">
        <v>22000</v>
      </c>
      <c r="AD352" s="250">
        <v>12000</v>
      </c>
      <c r="AE352" s="250">
        <v>90000</v>
      </c>
      <c r="AF352" s="250">
        <v>22000</v>
      </c>
    </row>
    <row r="353" spans="2:32" x14ac:dyDescent="0.25">
      <c r="B353" s="61" t="s">
        <v>589</v>
      </c>
      <c r="C353" s="14" t="s">
        <v>359</v>
      </c>
      <c r="D353" s="14">
        <v>2010</v>
      </c>
      <c r="E353" s="16">
        <v>100800</v>
      </c>
      <c r="F353" s="14">
        <v>2</v>
      </c>
      <c r="G353" s="14">
        <v>2.2000000000000002</v>
      </c>
      <c r="H353" s="14" t="s">
        <v>340</v>
      </c>
      <c r="I353" s="249">
        <f t="shared" si="15"/>
        <v>1</v>
      </c>
      <c r="J353" s="143">
        <v>2800</v>
      </c>
      <c r="K353" s="249" t="s">
        <v>2378</v>
      </c>
      <c r="M353" s="249">
        <f t="shared" si="16"/>
        <v>5</v>
      </c>
      <c r="N353" s="249">
        <f t="shared" si="17"/>
        <v>4</v>
      </c>
      <c r="O353" s="14" t="s">
        <v>328</v>
      </c>
      <c r="P353" s="14"/>
      <c r="Q353" s="14"/>
      <c r="S353" s="14"/>
      <c r="T353" s="14" t="s">
        <v>328</v>
      </c>
      <c r="U353" s="14"/>
      <c r="V353" s="14"/>
      <c r="W353" s="14"/>
      <c r="X353" s="14"/>
      <c r="Z353" s="126">
        <v>0.5</v>
      </c>
      <c r="AA353" s="249">
        <v>5</v>
      </c>
      <c r="AB353" s="250">
        <v>12000</v>
      </c>
      <c r="AC353" s="250">
        <v>22000</v>
      </c>
      <c r="AD353" s="250">
        <v>12000</v>
      </c>
      <c r="AE353" s="250">
        <v>90000</v>
      </c>
      <c r="AF353" s="250">
        <v>22000</v>
      </c>
    </row>
    <row r="354" spans="2:32" x14ac:dyDescent="0.25">
      <c r="B354" s="61" t="s">
        <v>589</v>
      </c>
      <c r="C354" s="14" t="s">
        <v>337</v>
      </c>
      <c r="D354" s="14">
        <v>2012</v>
      </c>
      <c r="E354" s="13">
        <v>50000</v>
      </c>
      <c r="F354" s="14">
        <v>2</v>
      </c>
      <c r="G354" s="14">
        <v>2.2000000000000002</v>
      </c>
      <c r="H354" s="14" t="s">
        <v>340</v>
      </c>
      <c r="I354" s="249">
        <f t="shared" si="15"/>
        <v>1</v>
      </c>
      <c r="J354" s="143">
        <v>2000</v>
      </c>
      <c r="K354" s="249" t="s">
        <v>2378</v>
      </c>
      <c r="M354" s="249">
        <f t="shared" si="16"/>
        <v>3</v>
      </c>
      <c r="N354" s="249">
        <f t="shared" si="17"/>
        <v>2</v>
      </c>
      <c r="O354" s="14" t="s">
        <v>328</v>
      </c>
      <c r="P354" s="14"/>
      <c r="Q354" s="14"/>
      <c r="S354" s="14"/>
      <c r="T354" s="14" t="s">
        <v>328</v>
      </c>
      <c r="U354" s="14"/>
      <c r="V354" s="14"/>
      <c r="W354" s="14"/>
      <c r="X354" s="14"/>
      <c r="Z354" s="126">
        <v>0.5</v>
      </c>
      <c r="AA354" s="249">
        <v>5</v>
      </c>
      <c r="AB354" s="250">
        <v>12000</v>
      </c>
      <c r="AC354" s="250">
        <v>22000</v>
      </c>
      <c r="AD354" s="250">
        <v>12000</v>
      </c>
      <c r="AE354" s="250">
        <v>90000</v>
      </c>
      <c r="AF354" s="250">
        <v>22000</v>
      </c>
    </row>
    <row r="355" spans="2:32" x14ac:dyDescent="0.25">
      <c r="B355" s="61" t="s">
        <v>589</v>
      </c>
      <c r="C355" s="14" t="s">
        <v>337</v>
      </c>
      <c r="D355" s="14">
        <v>2012</v>
      </c>
      <c r="E355" s="13">
        <v>50000</v>
      </c>
      <c r="F355" s="14">
        <v>2</v>
      </c>
      <c r="G355" s="14">
        <v>2.2000000000000002</v>
      </c>
      <c r="H355" s="14" t="s">
        <v>340</v>
      </c>
      <c r="I355" s="249">
        <f t="shared" si="15"/>
        <v>1</v>
      </c>
      <c r="J355" s="143">
        <v>2000</v>
      </c>
      <c r="K355" s="249" t="s">
        <v>2378</v>
      </c>
      <c r="M355" s="249">
        <f t="shared" si="16"/>
        <v>3</v>
      </c>
      <c r="N355" s="249">
        <f t="shared" si="17"/>
        <v>2</v>
      </c>
      <c r="O355" s="14" t="s">
        <v>328</v>
      </c>
      <c r="P355" s="14"/>
      <c r="Q355" s="14"/>
      <c r="S355" s="14"/>
      <c r="T355" s="14" t="s">
        <v>328</v>
      </c>
      <c r="U355" s="14"/>
      <c r="V355" s="14"/>
      <c r="W355" s="14"/>
      <c r="X355" s="14"/>
      <c r="Z355" s="126">
        <v>0.5</v>
      </c>
      <c r="AA355" s="249">
        <v>5</v>
      </c>
      <c r="AB355" s="250">
        <v>12000</v>
      </c>
      <c r="AC355" s="250">
        <v>22000</v>
      </c>
      <c r="AD355" s="250">
        <v>12000</v>
      </c>
      <c r="AE355" s="250">
        <v>90000</v>
      </c>
      <c r="AF355" s="250">
        <v>22000</v>
      </c>
    </row>
    <row r="356" spans="2:32" x14ac:dyDescent="0.25">
      <c r="B356" s="61" t="s">
        <v>589</v>
      </c>
      <c r="C356" s="14" t="s">
        <v>337</v>
      </c>
      <c r="D356" s="14">
        <v>2012</v>
      </c>
      <c r="E356" s="13">
        <v>50000</v>
      </c>
      <c r="F356" s="14">
        <v>2</v>
      </c>
      <c r="G356" s="14">
        <v>2.2000000000000002</v>
      </c>
      <c r="H356" s="14" t="s">
        <v>340</v>
      </c>
      <c r="I356" s="249">
        <f t="shared" si="15"/>
        <v>1</v>
      </c>
      <c r="J356" s="143">
        <v>2000</v>
      </c>
      <c r="K356" s="249" t="s">
        <v>2378</v>
      </c>
      <c r="M356" s="249">
        <f t="shared" si="16"/>
        <v>3</v>
      </c>
      <c r="N356" s="249">
        <f t="shared" si="17"/>
        <v>2</v>
      </c>
      <c r="O356" s="14" t="s">
        <v>328</v>
      </c>
      <c r="P356" s="14"/>
      <c r="Q356" s="14"/>
      <c r="S356" s="14"/>
      <c r="T356" s="14" t="s">
        <v>328</v>
      </c>
      <c r="U356" s="14"/>
      <c r="V356" s="14"/>
      <c r="W356" s="14"/>
      <c r="X356" s="14"/>
      <c r="Z356" s="126">
        <v>0.5</v>
      </c>
      <c r="AA356" s="249">
        <v>5</v>
      </c>
      <c r="AB356" s="250">
        <v>12000</v>
      </c>
      <c r="AC356" s="250">
        <v>22000</v>
      </c>
      <c r="AD356" s="250">
        <v>12000</v>
      </c>
      <c r="AE356" s="250">
        <v>90000</v>
      </c>
      <c r="AF356" s="250">
        <v>22000</v>
      </c>
    </row>
    <row r="357" spans="2:32" x14ac:dyDescent="0.25">
      <c r="B357" s="61" t="s">
        <v>591</v>
      </c>
      <c r="C357" s="14" t="s">
        <v>337</v>
      </c>
      <c r="D357" s="14">
        <v>1990</v>
      </c>
      <c r="E357" s="13">
        <v>700000</v>
      </c>
      <c r="F357" s="14">
        <v>2</v>
      </c>
      <c r="G357" s="14">
        <v>2.2000000000000002</v>
      </c>
      <c r="H357" s="14" t="s">
        <v>340</v>
      </c>
      <c r="I357" s="249">
        <f t="shared" si="15"/>
        <v>1</v>
      </c>
      <c r="J357" s="143">
        <v>2800</v>
      </c>
      <c r="K357" s="249" t="s">
        <v>2378</v>
      </c>
      <c r="M357" s="249">
        <f t="shared" si="16"/>
        <v>25</v>
      </c>
      <c r="N357" s="249">
        <f t="shared" si="17"/>
        <v>24</v>
      </c>
      <c r="O357" s="14"/>
      <c r="P357" s="14" t="s">
        <v>328</v>
      </c>
      <c r="Q357" s="14"/>
      <c r="S357" s="14" t="s">
        <v>328</v>
      </c>
      <c r="T357" s="14"/>
      <c r="U357" s="14"/>
      <c r="V357" s="14"/>
      <c r="W357" s="14"/>
      <c r="X357" s="14"/>
      <c r="Z357" s="126">
        <v>0.1</v>
      </c>
      <c r="AA357" s="249">
        <v>3</v>
      </c>
      <c r="AB357" s="250">
        <v>10000</v>
      </c>
      <c r="AC357" s="250">
        <v>20000</v>
      </c>
      <c r="AD357" s="250">
        <v>8000</v>
      </c>
      <c r="AE357" s="250">
        <v>45000</v>
      </c>
      <c r="AF357" s="250">
        <v>20000</v>
      </c>
    </row>
    <row r="358" spans="2:32" x14ac:dyDescent="0.25">
      <c r="B358" s="61" t="s">
        <v>591</v>
      </c>
      <c r="C358" s="14" t="s">
        <v>337</v>
      </c>
      <c r="D358" s="14">
        <v>2005</v>
      </c>
      <c r="E358" s="13">
        <v>300000</v>
      </c>
      <c r="F358" s="14">
        <v>2.2999999999999998</v>
      </c>
      <c r="G358" s="14">
        <v>2.5</v>
      </c>
      <c r="H358" s="14" t="s">
        <v>340</v>
      </c>
      <c r="I358" s="249">
        <f t="shared" si="15"/>
        <v>1</v>
      </c>
      <c r="J358" s="143">
        <v>3000</v>
      </c>
      <c r="K358" s="249" t="s">
        <v>2378</v>
      </c>
      <c r="M358" s="249">
        <f t="shared" si="16"/>
        <v>10</v>
      </c>
      <c r="N358" s="249">
        <f t="shared" si="17"/>
        <v>9</v>
      </c>
      <c r="O358" s="14" t="s">
        <v>328</v>
      </c>
      <c r="P358" s="14"/>
      <c r="Q358" s="14"/>
      <c r="S358" s="14"/>
      <c r="T358" s="14"/>
      <c r="U358" s="14"/>
      <c r="V358" s="14"/>
      <c r="W358" s="14" t="s">
        <v>328</v>
      </c>
      <c r="X358" s="14"/>
      <c r="Z358" s="126">
        <v>0.4</v>
      </c>
      <c r="AA358" s="249">
        <v>3</v>
      </c>
      <c r="AB358" s="250">
        <v>8000</v>
      </c>
      <c r="AC358" s="250">
        <v>20000</v>
      </c>
      <c r="AD358" s="250">
        <v>8000</v>
      </c>
      <c r="AE358" s="250">
        <v>36000</v>
      </c>
      <c r="AF358" s="250">
        <v>20000</v>
      </c>
    </row>
    <row r="359" spans="2:32" x14ac:dyDescent="0.25">
      <c r="B359" s="61" t="s">
        <v>591</v>
      </c>
      <c r="C359" s="14" t="s">
        <v>337</v>
      </c>
      <c r="D359" s="14">
        <v>2008</v>
      </c>
      <c r="E359" s="13">
        <v>300000</v>
      </c>
      <c r="F359" s="14">
        <v>2.2999999999999998</v>
      </c>
      <c r="G359" s="14">
        <v>2.5</v>
      </c>
      <c r="H359" s="14" t="s">
        <v>340</v>
      </c>
      <c r="I359" s="249">
        <f t="shared" si="15"/>
        <v>1</v>
      </c>
      <c r="J359" s="143">
        <v>5000</v>
      </c>
      <c r="K359" s="249" t="s">
        <v>2378</v>
      </c>
      <c r="M359" s="249">
        <f t="shared" si="16"/>
        <v>7</v>
      </c>
      <c r="N359" s="249">
        <f t="shared" si="17"/>
        <v>6</v>
      </c>
      <c r="O359" s="14" t="s">
        <v>328</v>
      </c>
      <c r="P359" s="14"/>
      <c r="Q359" s="14"/>
      <c r="S359" s="14"/>
      <c r="T359" s="14"/>
      <c r="U359" s="14"/>
      <c r="V359" s="14"/>
      <c r="W359" s="14"/>
      <c r="X359" s="14" t="s">
        <v>328</v>
      </c>
      <c r="Z359" s="126">
        <v>0.5</v>
      </c>
      <c r="AA359" s="249">
        <v>3</v>
      </c>
      <c r="AB359" s="250">
        <v>8000</v>
      </c>
      <c r="AC359" s="250">
        <v>20000</v>
      </c>
      <c r="AD359" s="250">
        <v>8000</v>
      </c>
      <c r="AE359" s="250">
        <v>60000</v>
      </c>
      <c r="AF359" s="250">
        <v>20000</v>
      </c>
    </row>
    <row r="360" spans="2:32" x14ac:dyDescent="0.25">
      <c r="B360" s="61" t="s">
        <v>594</v>
      </c>
      <c r="C360" s="14" t="s">
        <v>359</v>
      </c>
      <c r="D360" s="14">
        <v>2012</v>
      </c>
      <c r="E360" s="13">
        <v>500000</v>
      </c>
      <c r="F360" s="14">
        <v>2</v>
      </c>
      <c r="G360" s="14">
        <v>2.2999999999999998</v>
      </c>
      <c r="H360" s="14" t="s">
        <v>340</v>
      </c>
      <c r="I360" s="249">
        <f t="shared" si="15"/>
        <v>1</v>
      </c>
      <c r="J360" s="143">
        <v>2500</v>
      </c>
      <c r="K360" s="249" t="s">
        <v>2378</v>
      </c>
      <c r="M360" s="249">
        <f t="shared" si="16"/>
        <v>3</v>
      </c>
      <c r="N360" s="249">
        <f t="shared" si="17"/>
        <v>2</v>
      </c>
      <c r="O360" s="14" t="s">
        <v>328</v>
      </c>
      <c r="P360" s="14"/>
      <c r="Q360" s="14"/>
      <c r="S360" s="14"/>
      <c r="T360" s="14" t="s">
        <v>328</v>
      </c>
      <c r="U360" s="14"/>
      <c r="V360" s="14"/>
      <c r="W360" s="14"/>
      <c r="X360" s="14"/>
      <c r="Z360" s="126">
        <v>0.3</v>
      </c>
      <c r="AA360" s="249">
        <v>1</v>
      </c>
      <c r="AB360" s="250">
        <v>10000</v>
      </c>
      <c r="AC360" s="250">
        <v>20000</v>
      </c>
      <c r="AD360" s="250">
        <v>10000</v>
      </c>
      <c r="AE360" s="250">
        <v>60000</v>
      </c>
      <c r="AF360" s="250">
        <v>20000</v>
      </c>
    </row>
    <row r="361" spans="2:32" x14ac:dyDescent="0.25">
      <c r="B361" s="61" t="s">
        <v>595</v>
      </c>
      <c r="C361" s="14" t="s">
        <v>348</v>
      </c>
      <c r="D361" s="14">
        <v>2010</v>
      </c>
      <c r="E361" s="13">
        <v>500000</v>
      </c>
      <c r="F361" s="14">
        <v>2</v>
      </c>
      <c r="G361" s="14">
        <v>2.2999999999999998</v>
      </c>
      <c r="H361" s="14" t="s">
        <v>340</v>
      </c>
      <c r="I361" s="249">
        <f t="shared" si="15"/>
        <v>1</v>
      </c>
      <c r="J361" s="143">
        <v>3000</v>
      </c>
      <c r="K361" s="249" t="s">
        <v>2378</v>
      </c>
      <c r="M361" s="249">
        <f t="shared" si="16"/>
        <v>5</v>
      </c>
      <c r="N361" s="249">
        <f t="shared" si="17"/>
        <v>4</v>
      </c>
      <c r="O361" s="14"/>
      <c r="P361" s="14" t="s">
        <v>328</v>
      </c>
      <c r="Q361" s="14"/>
      <c r="S361" s="14"/>
      <c r="T361" s="14"/>
      <c r="U361" s="14"/>
      <c r="V361" s="14" t="s">
        <v>328</v>
      </c>
      <c r="W361" s="14"/>
      <c r="X361" s="14"/>
      <c r="Z361" s="126">
        <v>0.3</v>
      </c>
      <c r="AA361" s="249">
        <v>3</v>
      </c>
      <c r="AB361" s="250">
        <v>16000</v>
      </c>
      <c r="AC361" s="250">
        <v>16000</v>
      </c>
      <c r="AD361" s="250">
        <v>7000</v>
      </c>
      <c r="AE361" s="250">
        <v>150000</v>
      </c>
      <c r="AF361" s="250">
        <v>16000</v>
      </c>
    </row>
    <row r="362" spans="2:32" x14ac:dyDescent="0.25">
      <c r="B362" s="61" t="s">
        <v>595</v>
      </c>
      <c r="C362" s="14" t="s">
        <v>348</v>
      </c>
      <c r="D362" s="14">
        <v>2010</v>
      </c>
      <c r="E362" s="13">
        <v>500000</v>
      </c>
      <c r="F362" s="14">
        <v>2</v>
      </c>
      <c r="G362" s="14">
        <v>2.2999999999999998</v>
      </c>
      <c r="H362" s="14" t="s">
        <v>340</v>
      </c>
      <c r="I362" s="249">
        <f t="shared" si="15"/>
        <v>1</v>
      </c>
      <c r="J362" s="143">
        <v>3000</v>
      </c>
      <c r="K362" s="249" t="s">
        <v>2378</v>
      </c>
      <c r="M362" s="249">
        <f t="shared" si="16"/>
        <v>5</v>
      </c>
      <c r="N362" s="249">
        <f t="shared" si="17"/>
        <v>4</v>
      </c>
      <c r="O362" s="14"/>
      <c r="P362" s="14" t="s">
        <v>328</v>
      </c>
      <c r="Q362" s="14"/>
      <c r="S362" s="14"/>
      <c r="T362" s="14" t="s">
        <v>328</v>
      </c>
      <c r="U362" s="14"/>
      <c r="V362" s="14"/>
      <c r="W362" s="14"/>
      <c r="X362" s="14"/>
      <c r="Z362" s="126">
        <v>0.3</v>
      </c>
      <c r="AA362" s="249">
        <v>3</v>
      </c>
      <c r="AB362" s="250">
        <v>16000</v>
      </c>
      <c r="AC362" s="250">
        <v>16000</v>
      </c>
      <c r="AD362" s="250">
        <v>7000</v>
      </c>
      <c r="AE362" s="250">
        <v>150000</v>
      </c>
      <c r="AF362" s="250">
        <v>16000</v>
      </c>
    </row>
    <row r="363" spans="2:32" x14ac:dyDescent="0.25">
      <c r="B363" s="61" t="s">
        <v>595</v>
      </c>
      <c r="C363" s="14" t="s">
        <v>348</v>
      </c>
      <c r="D363" s="14">
        <v>2010</v>
      </c>
      <c r="E363" s="13">
        <v>500000</v>
      </c>
      <c r="F363" s="14">
        <v>2</v>
      </c>
      <c r="G363" s="14">
        <v>2.2999999999999998</v>
      </c>
      <c r="H363" s="14" t="s">
        <v>340</v>
      </c>
      <c r="I363" s="249">
        <f t="shared" si="15"/>
        <v>1</v>
      </c>
      <c r="J363" s="143">
        <v>3000</v>
      </c>
      <c r="K363" s="249" t="s">
        <v>2378</v>
      </c>
      <c r="M363" s="249">
        <f t="shared" si="16"/>
        <v>5</v>
      </c>
      <c r="N363" s="249">
        <f t="shared" si="17"/>
        <v>4</v>
      </c>
      <c r="O363" s="14"/>
      <c r="P363" s="14" t="s">
        <v>328</v>
      </c>
      <c r="Q363" s="14"/>
      <c r="S363" s="14" t="s">
        <v>328</v>
      </c>
      <c r="T363" s="14"/>
      <c r="U363" s="14"/>
      <c r="V363" s="14"/>
      <c r="W363" s="14"/>
      <c r="X363" s="14"/>
      <c r="Z363" s="126">
        <v>0.3</v>
      </c>
      <c r="AA363" s="249">
        <v>3</v>
      </c>
      <c r="AB363" s="250">
        <v>16000</v>
      </c>
      <c r="AC363" s="250">
        <v>16000</v>
      </c>
      <c r="AD363" s="250">
        <v>7000</v>
      </c>
      <c r="AE363" s="250">
        <v>150000</v>
      </c>
      <c r="AF363" s="250">
        <v>16000</v>
      </c>
    </row>
    <row r="364" spans="2:32" x14ac:dyDescent="0.25">
      <c r="B364" s="61" t="s">
        <v>596</v>
      </c>
      <c r="C364" s="14" t="s">
        <v>348</v>
      </c>
      <c r="D364" s="14">
        <v>2009</v>
      </c>
      <c r="E364" s="13">
        <v>168000</v>
      </c>
      <c r="F364" s="14">
        <v>2.4</v>
      </c>
      <c r="G364" s="14">
        <v>2.8</v>
      </c>
      <c r="H364" s="14" t="s">
        <v>340</v>
      </c>
      <c r="I364" s="249">
        <f t="shared" si="15"/>
        <v>1</v>
      </c>
      <c r="J364" s="143">
        <v>3500</v>
      </c>
      <c r="K364" s="249" t="s">
        <v>2378</v>
      </c>
      <c r="M364" s="249">
        <f t="shared" si="16"/>
        <v>6</v>
      </c>
      <c r="N364" s="249">
        <f t="shared" si="17"/>
        <v>5</v>
      </c>
      <c r="O364" s="14" t="s">
        <v>328</v>
      </c>
      <c r="P364" s="14"/>
      <c r="Q364" s="14"/>
      <c r="S364" s="14" t="s">
        <v>328</v>
      </c>
      <c r="T364" s="14"/>
      <c r="U364" s="14"/>
      <c r="V364" s="14"/>
      <c r="W364" s="14"/>
      <c r="X364" s="14"/>
      <c r="Z364" s="126">
        <v>0.1</v>
      </c>
      <c r="AA364" s="249">
        <v>2</v>
      </c>
      <c r="AB364" s="250">
        <v>8000</v>
      </c>
      <c r="AC364" s="250">
        <v>15000</v>
      </c>
      <c r="AD364" s="250">
        <v>10000</v>
      </c>
      <c r="AE364" s="250">
        <v>42000</v>
      </c>
      <c r="AF364" s="250">
        <v>15000</v>
      </c>
    </row>
    <row r="365" spans="2:32" x14ac:dyDescent="0.25">
      <c r="B365" s="61" t="s">
        <v>596</v>
      </c>
      <c r="C365" s="14" t="s">
        <v>348</v>
      </c>
      <c r="D365" s="14">
        <v>2009</v>
      </c>
      <c r="E365" s="13">
        <v>168000</v>
      </c>
      <c r="F365" s="14">
        <v>2.4</v>
      </c>
      <c r="G365" s="14">
        <v>2.8</v>
      </c>
      <c r="H365" s="14" t="s">
        <v>340</v>
      </c>
      <c r="I365" s="249">
        <f t="shared" si="15"/>
        <v>1</v>
      </c>
      <c r="J365" s="143">
        <v>3500</v>
      </c>
      <c r="K365" s="249" t="s">
        <v>2378</v>
      </c>
      <c r="M365" s="249">
        <f t="shared" si="16"/>
        <v>6</v>
      </c>
      <c r="N365" s="249">
        <f t="shared" si="17"/>
        <v>5</v>
      </c>
      <c r="O365" s="14" t="s">
        <v>328</v>
      </c>
      <c r="P365" s="14"/>
      <c r="Q365" s="14"/>
      <c r="S365" s="14" t="s">
        <v>328</v>
      </c>
      <c r="T365" s="14"/>
      <c r="U365" s="14"/>
      <c r="V365" s="14"/>
      <c r="W365" s="14"/>
      <c r="X365" s="14"/>
      <c r="Z365" s="126">
        <v>0.1</v>
      </c>
      <c r="AA365" s="249">
        <v>2</v>
      </c>
      <c r="AB365" s="250">
        <v>8000</v>
      </c>
      <c r="AC365" s="250">
        <v>15000</v>
      </c>
      <c r="AD365" s="250">
        <v>10000</v>
      </c>
      <c r="AE365" s="250">
        <v>42000</v>
      </c>
      <c r="AF365" s="250">
        <v>15000</v>
      </c>
    </row>
    <row r="366" spans="2:32" x14ac:dyDescent="0.25">
      <c r="B366" s="61" t="s">
        <v>597</v>
      </c>
      <c r="C366" s="14" t="s">
        <v>351</v>
      </c>
      <c r="D366" s="14">
        <v>2009</v>
      </c>
      <c r="E366" s="13">
        <v>350000</v>
      </c>
      <c r="F366" s="14">
        <v>2.6</v>
      </c>
      <c r="G366" s="14">
        <v>2.8</v>
      </c>
      <c r="H366" s="14" t="s">
        <v>340</v>
      </c>
      <c r="I366" s="249">
        <f t="shared" si="15"/>
        <v>1</v>
      </c>
      <c r="J366" s="143">
        <v>2000</v>
      </c>
      <c r="K366" s="249" t="s">
        <v>2378</v>
      </c>
      <c r="M366" s="249">
        <f t="shared" si="16"/>
        <v>6</v>
      </c>
      <c r="N366" s="249">
        <f t="shared" si="17"/>
        <v>5</v>
      </c>
      <c r="O366" s="14" t="s">
        <v>328</v>
      </c>
      <c r="P366" s="14"/>
      <c r="Q366" s="14"/>
      <c r="S366" s="14"/>
      <c r="T366" s="14" t="s">
        <v>328</v>
      </c>
      <c r="U366" s="14"/>
      <c r="V366" s="14"/>
      <c r="W366" s="14"/>
      <c r="X366" s="14"/>
      <c r="Z366" s="126">
        <v>0.3</v>
      </c>
      <c r="AA366" s="249">
        <v>1</v>
      </c>
      <c r="AB366" s="250">
        <v>6000</v>
      </c>
      <c r="AC366" s="250">
        <v>8000</v>
      </c>
      <c r="AD366" s="250">
        <v>4000</v>
      </c>
      <c r="AE366" s="250">
        <v>100000</v>
      </c>
      <c r="AF366" s="250">
        <v>8000</v>
      </c>
    </row>
    <row r="367" spans="2:32" x14ac:dyDescent="0.25">
      <c r="B367" s="61" t="s">
        <v>599</v>
      </c>
      <c r="C367" s="14" t="s">
        <v>348</v>
      </c>
      <c r="D367" s="14">
        <v>2012</v>
      </c>
      <c r="E367" s="13">
        <v>150000</v>
      </c>
      <c r="F367" s="14">
        <v>2.5</v>
      </c>
      <c r="G367" s="14">
        <v>2.8</v>
      </c>
      <c r="H367" s="14" t="s">
        <v>340</v>
      </c>
      <c r="I367" s="249">
        <f t="shared" si="15"/>
        <v>1</v>
      </c>
      <c r="J367" s="143">
        <v>5000</v>
      </c>
      <c r="K367" s="249" t="s">
        <v>2378</v>
      </c>
      <c r="M367" s="249">
        <f t="shared" si="16"/>
        <v>3</v>
      </c>
      <c r="N367" s="249">
        <f t="shared" si="17"/>
        <v>2</v>
      </c>
      <c r="O367" s="14" t="s">
        <v>328</v>
      </c>
      <c r="P367" s="14"/>
      <c r="Q367" s="14"/>
      <c r="S367" s="14" t="s">
        <v>328</v>
      </c>
      <c r="T367" s="14"/>
      <c r="U367" s="14"/>
      <c r="V367" s="14"/>
      <c r="W367" s="14"/>
      <c r="X367" s="14"/>
      <c r="Z367" s="126">
        <v>0.3</v>
      </c>
      <c r="AA367" s="249">
        <v>1</v>
      </c>
      <c r="AB367" s="250">
        <v>8000</v>
      </c>
      <c r="AC367" s="250">
        <v>10000</v>
      </c>
      <c r="AD367" s="250">
        <v>6000</v>
      </c>
      <c r="AE367" s="250">
        <v>65000</v>
      </c>
      <c r="AF367" s="250">
        <v>10000</v>
      </c>
    </row>
    <row r="368" spans="2:32" x14ac:dyDescent="0.25">
      <c r="B368" s="61" t="s">
        <v>601</v>
      </c>
      <c r="C368" s="14" t="s">
        <v>337</v>
      </c>
      <c r="D368" s="14">
        <v>2007</v>
      </c>
      <c r="E368" s="13">
        <v>720000</v>
      </c>
      <c r="F368" s="14">
        <v>2.2000000000000002</v>
      </c>
      <c r="G368" s="14">
        <v>2.5</v>
      </c>
      <c r="H368" s="14" t="s">
        <v>340</v>
      </c>
      <c r="I368" s="249">
        <f t="shared" si="15"/>
        <v>1</v>
      </c>
      <c r="J368" s="143">
        <v>10000</v>
      </c>
      <c r="K368" s="249" t="s">
        <v>2378</v>
      </c>
      <c r="M368" s="249">
        <f t="shared" si="16"/>
        <v>8</v>
      </c>
      <c r="N368" s="249">
        <f t="shared" si="17"/>
        <v>7</v>
      </c>
      <c r="O368" s="14" t="s">
        <v>328</v>
      </c>
      <c r="P368" s="14"/>
      <c r="Q368" s="14"/>
      <c r="S368" s="14"/>
      <c r="T368" s="14" t="s">
        <v>328</v>
      </c>
      <c r="U368" s="14"/>
      <c r="V368" s="14"/>
      <c r="W368" s="14"/>
      <c r="X368" s="14"/>
      <c r="Z368" s="126">
        <v>0.1</v>
      </c>
      <c r="AA368" s="249">
        <v>5</v>
      </c>
      <c r="AB368" s="250">
        <v>10000</v>
      </c>
      <c r="AC368" s="250">
        <v>20000</v>
      </c>
      <c r="AD368" s="250">
        <v>10000</v>
      </c>
      <c r="AE368" s="250">
        <v>120000</v>
      </c>
      <c r="AF368" s="250">
        <v>20000</v>
      </c>
    </row>
    <row r="369" spans="2:32" x14ac:dyDescent="0.25">
      <c r="B369" s="61" t="s">
        <v>601</v>
      </c>
      <c r="C369" s="14" t="s">
        <v>337</v>
      </c>
      <c r="D369" s="14">
        <v>2007</v>
      </c>
      <c r="E369" s="13">
        <v>720000</v>
      </c>
      <c r="F369" s="14">
        <v>2.2000000000000002</v>
      </c>
      <c r="G369" s="14">
        <v>2.5</v>
      </c>
      <c r="H369" s="14" t="s">
        <v>340</v>
      </c>
      <c r="I369" s="249">
        <f t="shared" si="15"/>
        <v>1</v>
      </c>
      <c r="J369" s="143">
        <v>10000</v>
      </c>
      <c r="K369" s="249" t="s">
        <v>2378</v>
      </c>
      <c r="M369" s="249">
        <f t="shared" si="16"/>
        <v>8</v>
      </c>
      <c r="N369" s="249">
        <f t="shared" si="17"/>
        <v>7</v>
      </c>
      <c r="O369" s="14" t="s">
        <v>328</v>
      </c>
      <c r="P369" s="14"/>
      <c r="Q369" s="14"/>
      <c r="S369" s="14"/>
      <c r="T369" s="14" t="s">
        <v>328</v>
      </c>
      <c r="U369" s="14"/>
      <c r="V369" s="14"/>
      <c r="W369" s="14"/>
      <c r="X369" s="14"/>
      <c r="Z369" s="126">
        <v>0.1</v>
      </c>
      <c r="AA369" s="249">
        <v>5</v>
      </c>
      <c r="AB369" s="250">
        <v>10000</v>
      </c>
      <c r="AC369" s="250">
        <v>20000</v>
      </c>
      <c r="AD369" s="250">
        <v>10000</v>
      </c>
      <c r="AE369" s="250">
        <v>120000</v>
      </c>
      <c r="AF369" s="250">
        <v>20000</v>
      </c>
    </row>
    <row r="370" spans="2:32" x14ac:dyDescent="0.25">
      <c r="B370" s="61" t="s">
        <v>601</v>
      </c>
      <c r="C370" s="14" t="s">
        <v>337</v>
      </c>
      <c r="D370" s="14">
        <v>2007</v>
      </c>
      <c r="E370" s="13">
        <v>720000</v>
      </c>
      <c r="F370" s="14">
        <v>2.2000000000000002</v>
      </c>
      <c r="G370" s="14">
        <v>2.5</v>
      </c>
      <c r="H370" s="14" t="s">
        <v>340</v>
      </c>
      <c r="I370" s="249">
        <f t="shared" si="15"/>
        <v>1</v>
      </c>
      <c r="J370" s="143">
        <v>10000</v>
      </c>
      <c r="K370" s="249" t="s">
        <v>2378</v>
      </c>
      <c r="M370" s="249">
        <f t="shared" si="16"/>
        <v>8</v>
      </c>
      <c r="N370" s="249">
        <f t="shared" si="17"/>
        <v>7</v>
      </c>
      <c r="O370" s="14" t="s">
        <v>328</v>
      </c>
      <c r="P370" s="14"/>
      <c r="Q370" s="14"/>
      <c r="S370" s="14"/>
      <c r="T370" s="14" t="s">
        <v>328</v>
      </c>
      <c r="U370" s="14"/>
      <c r="V370" s="14"/>
      <c r="W370" s="14"/>
      <c r="X370" s="14"/>
      <c r="Z370" s="126">
        <v>0.1</v>
      </c>
      <c r="AA370" s="249">
        <v>5</v>
      </c>
      <c r="AB370" s="250">
        <v>10000</v>
      </c>
      <c r="AC370" s="250">
        <v>20000</v>
      </c>
      <c r="AD370" s="250">
        <v>10000</v>
      </c>
      <c r="AE370" s="250">
        <v>120000</v>
      </c>
      <c r="AF370" s="250">
        <v>20000</v>
      </c>
    </row>
    <row r="371" spans="2:32" x14ac:dyDescent="0.25">
      <c r="B371" s="61" t="s">
        <v>601</v>
      </c>
      <c r="C371" s="14" t="s">
        <v>337</v>
      </c>
      <c r="D371" s="14">
        <v>2012</v>
      </c>
      <c r="E371" s="13">
        <v>120000</v>
      </c>
      <c r="F371" s="14">
        <v>2.1</v>
      </c>
      <c r="G371" s="14">
        <v>3</v>
      </c>
      <c r="H371" s="14" t="s">
        <v>340</v>
      </c>
      <c r="I371" s="249">
        <f t="shared" si="15"/>
        <v>1</v>
      </c>
      <c r="J371" s="143">
        <v>5000</v>
      </c>
      <c r="K371" s="249" t="s">
        <v>2378</v>
      </c>
      <c r="M371" s="249">
        <f t="shared" si="16"/>
        <v>3</v>
      </c>
      <c r="N371" s="249">
        <f t="shared" si="17"/>
        <v>2</v>
      </c>
      <c r="O371" s="14" t="s">
        <v>328</v>
      </c>
      <c r="P371" s="14"/>
      <c r="Q371" s="14"/>
      <c r="S371" s="14"/>
      <c r="T371" s="14"/>
      <c r="U371" s="14"/>
      <c r="V371" s="14"/>
      <c r="W371" s="14"/>
      <c r="X371" s="14" t="s">
        <v>328</v>
      </c>
      <c r="Z371" s="126">
        <v>0.5</v>
      </c>
      <c r="AA371" s="249">
        <v>5</v>
      </c>
      <c r="AB371" s="250">
        <v>7000</v>
      </c>
      <c r="AC371" s="250">
        <v>16000</v>
      </c>
      <c r="AD371" s="250">
        <v>5000</v>
      </c>
      <c r="AE371" s="250">
        <v>240000</v>
      </c>
      <c r="AF371" s="250">
        <v>16000</v>
      </c>
    </row>
    <row r="372" spans="2:32" x14ac:dyDescent="0.25">
      <c r="B372" s="61" t="s">
        <v>601</v>
      </c>
      <c r="C372" s="14" t="s">
        <v>337</v>
      </c>
      <c r="D372" s="14">
        <v>2012</v>
      </c>
      <c r="E372" s="13">
        <v>120000</v>
      </c>
      <c r="F372" s="14">
        <v>2.1</v>
      </c>
      <c r="G372" s="14">
        <v>3</v>
      </c>
      <c r="H372" s="14" t="s">
        <v>340</v>
      </c>
      <c r="I372" s="249">
        <f t="shared" si="15"/>
        <v>1</v>
      </c>
      <c r="J372" s="143">
        <v>5000</v>
      </c>
      <c r="K372" s="249" t="s">
        <v>2378</v>
      </c>
      <c r="M372" s="249">
        <f t="shared" si="16"/>
        <v>3</v>
      </c>
      <c r="N372" s="249">
        <f t="shared" si="17"/>
        <v>2</v>
      </c>
      <c r="O372" s="14" t="s">
        <v>328</v>
      </c>
      <c r="P372" s="14"/>
      <c r="Q372" s="14"/>
      <c r="S372" s="14"/>
      <c r="T372" s="14"/>
      <c r="U372" s="14"/>
      <c r="V372" s="14"/>
      <c r="W372" s="14"/>
      <c r="X372" s="14" t="s">
        <v>328</v>
      </c>
      <c r="Z372" s="126">
        <v>0.5</v>
      </c>
      <c r="AA372" s="249">
        <v>5</v>
      </c>
      <c r="AB372" s="250">
        <v>7000</v>
      </c>
      <c r="AC372" s="250">
        <v>16000</v>
      </c>
      <c r="AD372" s="250">
        <v>5000</v>
      </c>
      <c r="AE372" s="250">
        <v>240000</v>
      </c>
      <c r="AF372" s="250">
        <v>16000</v>
      </c>
    </row>
    <row r="373" spans="2:32" x14ac:dyDescent="0.25">
      <c r="B373" s="61" t="s">
        <v>603</v>
      </c>
      <c r="C373" s="14" t="s">
        <v>348</v>
      </c>
      <c r="D373" s="14">
        <v>2010</v>
      </c>
      <c r="E373" s="16">
        <v>144000</v>
      </c>
      <c r="F373" s="14">
        <v>6</v>
      </c>
      <c r="G373" s="14">
        <v>7.5</v>
      </c>
      <c r="H373" s="14" t="s">
        <v>371</v>
      </c>
      <c r="I373" s="249">
        <f t="shared" si="15"/>
        <v>1</v>
      </c>
      <c r="J373" s="143">
        <v>4000</v>
      </c>
      <c r="K373" s="249" t="s">
        <v>2378</v>
      </c>
      <c r="M373" s="249">
        <f t="shared" si="16"/>
        <v>5</v>
      </c>
      <c r="N373" s="249">
        <f t="shared" si="17"/>
        <v>4</v>
      </c>
      <c r="O373" s="14" t="s">
        <v>328</v>
      </c>
      <c r="P373" s="14"/>
      <c r="Q373" s="14"/>
      <c r="S373" s="14"/>
      <c r="T373" s="14" t="s">
        <v>328</v>
      </c>
      <c r="U373" s="14"/>
      <c r="V373" s="14"/>
      <c r="W373" s="14"/>
      <c r="X373" s="14"/>
      <c r="Z373" s="126">
        <v>0.5</v>
      </c>
      <c r="AA373" s="249">
        <v>2</v>
      </c>
      <c r="AB373" s="250">
        <v>5000</v>
      </c>
      <c r="AC373" s="250">
        <v>7000</v>
      </c>
      <c r="AD373" s="250">
        <v>7000</v>
      </c>
      <c r="AE373" s="250">
        <v>90000</v>
      </c>
      <c r="AF373" s="250">
        <v>7000</v>
      </c>
    </row>
    <row r="374" spans="2:32" x14ac:dyDescent="0.25">
      <c r="B374" s="61" t="s">
        <v>603</v>
      </c>
      <c r="C374" s="14" t="s">
        <v>351</v>
      </c>
      <c r="D374" s="14">
        <v>2011</v>
      </c>
      <c r="E374" s="16">
        <v>96000</v>
      </c>
      <c r="F374" s="14">
        <v>6</v>
      </c>
      <c r="G374" s="14">
        <v>7.5</v>
      </c>
      <c r="H374" s="14" t="s">
        <v>371</v>
      </c>
      <c r="I374" s="249">
        <f t="shared" si="15"/>
        <v>1</v>
      </c>
      <c r="J374" s="143">
        <v>4000</v>
      </c>
      <c r="K374" s="249" t="s">
        <v>2378</v>
      </c>
      <c r="M374" s="249">
        <f t="shared" si="16"/>
        <v>4</v>
      </c>
      <c r="N374" s="249">
        <f t="shared" si="17"/>
        <v>3</v>
      </c>
      <c r="O374" s="14" t="s">
        <v>328</v>
      </c>
      <c r="P374" s="14"/>
      <c r="Q374" s="14"/>
      <c r="S374" s="14"/>
      <c r="T374" s="14" t="s">
        <v>328</v>
      </c>
      <c r="U374" s="14"/>
      <c r="V374" s="14"/>
      <c r="W374" s="14"/>
      <c r="X374" s="14"/>
      <c r="Z374" s="126">
        <v>0.5</v>
      </c>
      <c r="AA374" s="249">
        <v>2</v>
      </c>
      <c r="AB374" s="250">
        <v>5000</v>
      </c>
      <c r="AC374" s="250">
        <v>7000</v>
      </c>
      <c r="AD374" s="250">
        <v>7000</v>
      </c>
      <c r="AE374" s="250">
        <v>90000</v>
      </c>
      <c r="AF374" s="250" t="s">
        <v>385</v>
      </c>
    </row>
    <row r="375" spans="2:32" x14ac:dyDescent="0.25">
      <c r="B375" s="61" t="s">
        <v>606</v>
      </c>
      <c r="C375" s="14" t="s">
        <v>359</v>
      </c>
      <c r="D375" s="14">
        <v>2009</v>
      </c>
      <c r="E375" s="13">
        <v>120000</v>
      </c>
      <c r="F375" s="14">
        <v>2</v>
      </c>
      <c r="G375" s="14">
        <v>2.8</v>
      </c>
      <c r="H375" s="14" t="s">
        <v>340</v>
      </c>
      <c r="I375" s="249">
        <f t="shared" si="15"/>
        <v>1</v>
      </c>
      <c r="J375" s="143">
        <v>2500</v>
      </c>
      <c r="K375" s="249" t="s">
        <v>2378</v>
      </c>
      <c r="M375" s="249">
        <f t="shared" si="16"/>
        <v>6</v>
      </c>
      <c r="N375" s="249">
        <f t="shared" si="17"/>
        <v>5</v>
      </c>
      <c r="O375" s="14" t="s">
        <v>328</v>
      </c>
      <c r="P375" s="14"/>
      <c r="Q375" s="14"/>
      <c r="S375" s="14"/>
      <c r="T375" s="14" t="s">
        <v>328</v>
      </c>
      <c r="U375" s="14"/>
      <c r="V375" s="14"/>
      <c r="W375" s="14"/>
      <c r="X375" s="14"/>
      <c r="Z375" s="126">
        <v>0.5</v>
      </c>
      <c r="AA375" s="249">
        <v>3</v>
      </c>
      <c r="AB375" s="250">
        <v>10000</v>
      </c>
      <c r="AC375" s="250">
        <v>20000</v>
      </c>
      <c r="AD375" s="250">
        <v>10000</v>
      </c>
      <c r="AE375" s="250">
        <v>100000</v>
      </c>
      <c r="AF375" s="250">
        <v>20000</v>
      </c>
    </row>
    <row r="376" spans="2:32" x14ac:dyDescent="0.25">
      <c r="B376" s="61" t="s">
        <v>606</v>
      </c>
      <c r="C376" s="14" t="s">
        <v>359</v>
      </c>
      <c r="D376" s="14">
        <v>2009</v>
      </c>
      <c r="E376" s="13">
        <v>120000</v>
      </c>
      <c r="F376" s="14">
        <v>2</v>
      </c>
      <c r="G376" s="14">
        <v>2.8</v>
      </c>
      <c r="H376" s="14" t="s">
        <v>340</v>
      </c>
      <c r="I376" s="249">
        <f t="shared" si="15"/>
        <v>1</v>
      </c>
      <c r="J376" s="143">
        <v>2500</v>
      </c>
      <c r="K376" s="249" t="s">
        <v>2378</v>
      </c>
      <c r="M376" s="249">
        <f t="shared" si="16"/>
        <v>6</v>
      </c>
      <c r="N376" s="249">
        <f t="shared" si="17"/>
        <v>5</v>
      </c>
      <c r="O376" s="14" t="s">
        <v>328</v>
      </c>
      <c r="P376" s="14"/>
      <c r="Q376" s="14"/>
      <c r="S376" s="14"/>
      <c r="T376" s="14" t="s">
        <v>328</v>
      </c>
      <c r="U376" s="14"/>
      <c r="V376" s="14"/>
      <c r="W376" s="14"/>
      <c r="X376" s="14"/>
      <c r="Z376" s="126">
        <v>0.5</v>
      </c>
      <c r="AA376" s="249">
        <v>3</v>
      </c>
      <c r="AB376" s="250">
        <v>10000</v>
      </c>
      <c r="AC376" s="250">
        <v>20000</v>
      </c>
      <c r="AD376" s="250">
        <v>10000</v>
      </c>
      <c r="AE376" s="250">
        <v>100000</v>
      </c>
      <c r="AF376" s="250">
        <v>20000</v>
      </c>
    </row>
    <row r="377" spans="2:32" x14ac:dyDescent="0.25">
      <c r="B377" s="61" t="s">
        <v>606</v>
      </c>
      <c r="C377" s="14" t="s">
        <v>359</v>
      </c>
      <c r="D377" s="14">
        <v>2010</v>
      </c>
      <c r="E377" s="13">
        <v>90000</v>
      </c>
      <c r="F377" s="14">
        <v>2</v>
      </c>
      <c r="G377" s="14">
        <v>2.8</v>
      </c>
      <c r="H377" s="14" t="s">
        <v>340</v>
      </c>
      <c r="I377" s="249">
        <f t="shared" si="15"/>
        <v>1</v>
      </c>
      <c r="J377" s="143">
        <v>2500</v>
      </c>
      <c r="K377" s="249" t="s">
        <v>2378</v>
      </c>
      <c r="M377" s="249">
        <f t="shared" si="16"/>
        <v>5</v>
      </c>
      <c r="N377" s="249">
        <f t="shared" si="17"/>
        <v>4</v>
      </c>
      <c r="O377" s="14" t="s">
        <v>328</v>
      </c>
      <c r="P377" s="14"/>
      <c r="Q377" s="14"/>
      <c r="S377" s="14"/>
      <c r="T377" s="14" t="s">
        <v>328</v>
      </c>
      <c r="U377" s="14"/>
      <c r="V377" s="14"/>
      <c r="W377" s="14"/>
      <c r="X377" s="14"/>
      <c r="Z377" s="126">
        <v>0.5</v>
      </c>
      <c r="AA377" s="249">
        <v>3</v>
      </c>
      <c r="AB377" s="250">
        <v>10000</v>
      </c>
      <c r="AC377" s="250">
        <v>20000</v>
      </c>
      <c r="AD377" s="250">
        <v>10000</v>
      </c>
      <c r="AE377" s="250">
        <v>100000</v>
      </c>
      <c r="AF377" s="250">
        <v>20000</v>
      </c>
    </row>
    <row r="378" spans="2:32" x14ac:dyDescent="0.25">
      <c r="B378" s="61" t="s">
        <v>609</v>
      </c>
      <c r="C378" s="14" t="s">
        <v>351</v>
      </c>
      <c r="D378" s="14">
        <v>2007</v>
      </c>
      <c r="E378" s="13">
        <v>360000</v>
      </c>
      <c r="F378" s="14">
        <v>2.5</v>
      </c>
      <c r="G378" s="14">
        <v>3</v>
      </c>
      <c r="H378" s="14" t="s">
        <v>340</v>
      </c>
      <c r="I378" s="249">
        <f t="shared" si="15"/>
        <v>1</v>
      </c>
      <c r="J378" s="143">
        <v>5000</v>
      </c>
      <c r="K378" s="249" t="s">
        <v>2378</v>
      </c>
      <c r="M378" s="249">
        <f t="shared" si="16"/>
        <v>8</v>
      </c>
      <c r="N378" s="249">
        <f t="shared" si="17"/>
        <v>7</v>
      </c>
      <c r="O378" s="14" t="s">
        <v>328</v>
      </c>
      <c r="P378" s="14"/>
      <c r="Q378" s="14"/>
      <c r="S378" s="14" t="s">
        <v>328</v>
      </c>
      <c r="T378" s="14"/>
      <c r="U378" s="14"/>
      <c r="V378" s="14"/>
      <c r="W378" s="14"/>
      <c r="X378" s="14"/>
      <c r="Z378" s="126">
        <v>0.5</v>
      </c>
      <c r="AA378" s="249">
        <v>4</v>
      </c>
      <c r="AB378" s="250">
        <v>9000</v>
      </c>
      <c r="AC378" s="250">
        <v>20000</v>
      </c>
      <c r="AD378" s="250">
        <v>10000</v>
      </c>
      <c r="AE378" s="250">
        <v>60000</v>
      </c>
      <c r="AF378" s="250">
        <v>20000</v>
      </c>
    </row>
    <row r="379" spans="2:32" x14ac:dyDescent="0.25">
      <c r="B379" s="61" t="s">
        <v>609</v>
      </c>
      <c r="C379" s="14" t="s">
        <v>351</v>
      </c>
      <c r="D379" s="14">
        <v>2007</v>
      </c>
      <c r="E379" s="13">
        <v>360000</v>
      </c>
      <c r="F379" s="14">
        <v>2.5</v>
      </c>
      <c r="G379" s="14">
        <v>3</v>
      </c>
      <c r="H379" s="14" t="s">
        <v>340</v>
      </c>
      <c r="I379" s="249">
        <f t="shared" si="15"/>
        <v>1</v>
      </c>
      <c r="J379" s="143">
        <v>5000</v>
      </c>
      <c r="K379" s="249" t="s">
        <v>2378</v>
      </c>
      <c r="M379" s="249">
        <f t="shared" si="16"/>
        <v>8</v>
      </c>
      <c r="N379" s="249">
        <f t="shared" si="17"/>
        <v>7</v>
      </c>
      <c r="O379" s="14" t="s">
        <v>328</v>
      </c>
      <c r="P379" s="14"/>
      <c r="Q379" s="14"/>
      <c r="S379" s="14" t="s">
        <v>328</v>
      </c>
      <c r="T379" s="14"/>
      <c r="U379" s="14"/>
      <c r="V379" s="14"/>
      <c r="W379" s="14"/>
      <c r="X379" s="14"/>
      <c r="Z379" s="126">
        <v>0.5</v>
      </c>
      <c r="AA379" s="249">
        <v>4</v>
      </c>
      <c r="AB379" s="250">
        <v>9000</v>
      </c>
      <c r="AC379" s="250">
        <v>20000</v>
      </c>
      <c r="AD379" s="250">
        <v>10000</v>
      </c>
      <c r="AE379" s="250">
        <v>60000</v>
      </c>
      <c r="AF379" s="250">
        <v>20000</v>
      </c>
    </row>
    <row r="380" spans="2:32" x14ac:dyDescent="0.25">
      <c r="B380" s="61" t="s">
        <v>609</v>
      </c>
      <c r="C380" s="14" t="s">
        <v>351</v>
      </c>
      <c r="D380" s="14">
        <v>2008</v>
      </c>
      <c r="E380" s="13">
        <v>300000</v>
      </c>
      <c r="F380" s="14">
        <v>2.5</v>
      </c>
      <c r="G380" s="14">
        <v>3</v>
      </c>
      <c r="H380" s="14" t="s">
        <v>340</v>
      </c>
      <c r="I380" s="249">
        <f t="shared" si="15"/>
        <v>1</v>
      </c>
      <c r="J380" s="143">
        <v>5000</v>
      </c>
      <c r="K380" s="249" t="s">
        <v>2378</v>
      </c>
      <c r="M380" s="249">
        <f t="shared" si="16"/>
        <v>7</v>
      </c>
      <c r="N380" s="249">
        <f t="shared" si="17"/>
        <v>6</v>
      </c>
      <c r="O380" s="14" t="s">
        <v>328</v>
      </c>
      <c r="P380" s="14"/>
      <c r="Q380" s="14"/>
      <c r="S380" s="14"/>
      <c r="T380" s="14" t="s">
        <v>328</v>
      </c>
      <c r="U380" s="14"/>
      <c r="V380" s="14"/>
      <c r="W380" s="14"/>
      <c r="X380" s="14"/>
      <c r="Z380" s="126">
        <v>0.5</v>
      </c>
      <c r="AA380" s="249">
        <v>4</v>
      </c>
      <c r="AB380" s="250">
        <v>9000</v>
      </c>
      <c r="AC380" s="250">
        <v>20000</v>
      </c>
      <c r="AD380" s="250">
        <v>10000</v>
      </c>
      <c r="AE380" s="250">
        <v>60000</v>
      </c>
      <c r="AF380" s="250">
        <v>20000</v>
      </c>
    </row>
    <row r="381" spans="2:32" x14ac:dyDescent="0.25">
      <c r="B381" s="61" t="s">
        <v>609</v>
      </c>
      <c r="C381" s="14" t="s">
        <v>351</v>
      </c>
      <c r="D381" s="14">
        <v>2008</v>
      </c>
      <c r="E381" s="13">
        <v>300000</v>
      </c>
      <c r="F381" s="14">
        <v>2.5</v>
      </c>
      <c r="G381" s="14">
        <v>3</v>
      </c>
      <c r="H381" s="14" t="s">
        <v>340</v>
      </c>
      <c r="I381" s="249">
        <f t="shared" si="15"/>
        <v>1</v>
      </c>
      <c r="J381" s="143">
        <v>5000</v>
      </c>
      <c r="K381" s="249" t="s">
        <v>2378</v>
      </c>
      <c r="M381" s="249">
        <f t="shared" si="16"/>
        <v>7</v>
      </c>
      <c r="N381" s="249">
        <f t="shared" si="17"/>
        <v>6</v>
      </c>
      <c r="O381" s="14" t="s">
        <v>328</v>
      </c>
      <c r="P381" s="14"/>
      <c r="Q381" s="14"/>
      <c r="S381" s="14"/>
      <c r="T381" s="14" t="s">
        <v>328</v>
      </c>
      <c r="U381" s="14"/>
      <c r="V381" s="14"/>
      <c r="W381" s="14"/>
      <c r="X381" s="14"/>
      <c r="Z381" s="126">
        <v>0.5</v>
      </c>
      <c r="AA381" s="249">
        <v>4</v>
      </c>
      <c r="AB381" s="250">
        <v>9000</v>
      </c>
      <c r="AC381" s="250">
        <v>20000</v>
      </c>
      <c r="AD381" s="250">
        <v>10000</v>
      </c>
      <c r="AE381" s="250">
        <v>60000</v>
      </c>
      <c r="AF381" s="250">
        <v>20000</v>
      </c>
    </row>
    <row r="382" spans="2:32" x14ac:dyDescent="0.25">
      <c r="B382" s="63" t="s">
        <v>614</v>
      </c>
      <c r="C382" s="14" t="s">
        <v>359</v>
      </c>
      <c r="D382" s="15">
        <v>2013</v>
      </c>
      <c r="E382" s="16">
        <v>60000</v>
      </c>
      <c r="F382" s="15">
        <v>2.8</v>
      </c>
      <c r="G382" s="15">
        <v>3</v>
      </c>
      <c r="H382" s="14" t="s">
        <v>340</v>
      </c>
      <c r="I382" s="249">
        <f t="shared" si="15"/>
        <v>1</v>
      </c>
      <c r="J382" s="143">
        <v>5000</v>
      </c>
      <c r="K382" s="249" t="s">
        <v>2378</v>
      </c>
      <c r="M382" s="249">
        <f t="shared" si="16"/>
        <v>2</v>
      </c>
      <c r="N382" s="249">
        <f t="shared" si="17"/>
        <v>1</v>
      </c>
      <c r="O382" s="15" t="s">
        <v>328</v>
      </c>
      <c r="P382" s="15"/>
      <c r="Q382" s="15"/>
      <c r="S382" s="15"/>
      <c r="T382" s="15"/>
      <c r="U382" s="15"/>
      <c r="V382" s="15"/>
      <c r="W382" s="15"/>
      <c r="X382" s="15" t="s">
        <v>328</v>
      </c>
      <c r="Z382" s="126">
        <v>0.5</v>
      </c>
      <c r="AA382" s="249">
        <v>4</v>
      </c>
      <c r="AB382" s="250">
        <v>8000</v>
      </c>
      <c r="AC382" s="250">
        <v>12000</v>
      </c>
      <c r="AD382" s="250">
        <v>60000</v>
      </c>
      <c r="AE382" s="250">
        <v>120000</v>
      </c>
      <c r="AF382" s="250">
        <v>12000</v>
      </c>
    </row>
    <row r="383" spans="2:32" x14ac:dyDescent="0.25">
      <c r="B383" s="63" t="s">
        <v>614</v>
      </c>
      <c r="C383" s="14" t="s">
        <v>359</v>
      </c>
      <c r="D383" s="15">
        <v>2013</v>
      </c>
      <c r="E383" s="16">
        <v>60000</v>
      </c>
      <c r="F383" s="15">
        <v>2.8</v>
      </c>
      <c r="G383" s="15">
        <v>3</v>
      </c>
      <c r="H383" s="14" t="s">
        <v>340</v>
      </c>
      <c r="I383" s="249">
        <f t="shared" si="15"/>
        <v>1</v>
      </c>
      <c r="J383" s="143">
        <v>5000</v>
      </c>
      <c r="K383" s="249" t="s">
        <v>2378</v>
      </c>
      <c r="M383" s="249">
        <f t="shared" si="16"/>
        <v>2</v>
      </c>
      <c r="N383" s="249">
        <f t="shared" si="17"/>
        <v>1</v>
      </c>
      <c r="O383" s="15" t="s">
        <v>328</v>
      </c>
      <c r="P383" s="15"/>
      <c r="Q383" s="15"/>
      <c r="S383" s="15"/>
      <c r="T383" s="15"/>
      <c r="U383" s="15"/>
      <c r="V383" s="15"/>
      <c r="W383" s="15"/>
      <c r="X383" s="15" t="s">
        <v>328</v>
      </c>
      <c r="Z383" s="126">
        <v>0.5</v>
      </c>
      <c r="AA383" s="249">
        <v>4</v>
      </c>
      <c r="AB383" s="250">
        <v>8000</v>
      </c>
      <c r="AC383" s="250">
        <v>12000</v>
      </c>
      <c r="AD383" s="250">
        <v>60000</v>
      </c>
      <c r="AE383" s="250">
        <v>120000</v>
      </c>
      <c r="AF383" s="250">
        <v>12000</v>
      </c>
    </row>
    <row r="384" spans="2:32" x14ac:dyDescent="0.25">
      <c r="B384" s="63" t="s">
        <v>614</v>
      </c>
      <c r="C384" s="14" t="s">
        <v>351</v>
      </c>
      <c r="D384" s="15">
        <v>2000</v>
      </c>
      <c r="E384" s="16">
        <v>312000</v>
      </c>
      <c r="F384" s="15">
        <v>3</v>
      </c>
      <c r="G384" s="15">
        <v>3.5</v>
      </c>
      <c r="H384" s="14" t="s">
        <v>340</v>
      </c>
      <c r="I384" s="249">
        <f t="shared" si="15"/>
        <v>1</v>
      </c>
      <c r="J384" s="143">
        <v>2000</v>
      </c>
      <c r="K384" s="249" t="s">
        <v>2378</v>
      </c>
      <c r="M384" s="249">
        <f t="shared" si="16"/>
        <v>15</v>
      </c>
      <c r="N384" s="249">
        <f t="shared" si="17"/>
        <v>14</v>
      </c>
      <c r="O384" s="15"/>
      <c r="P384" s="15" t="s">
        <v>328</v>
      </c>
      <c r="Q384" s="15"/>
      <c r="S384" s="15" t="s">
        <v>328</v>
      </c>
      <c r="T384" s="15"/>
      <c r="U384" s="15"/>
      <c r="V384" s="15"/>
      <c r="W384" s="15"/>
      <c r="X384" s="15"/>
      <c r="Z384" s="126">
        <v>0.5</v>
      </c>
      <c r="AA384" s="249">
        <v>4</v>
      </c>
      <c r="AB384" s="250">
        <v>10000</v>
      </c>
      <c r="AC384" s="250">
        <v>15000</v>
      </c>
      <c r="AD384" s="250">
        <v>60000</v>
      </c>
      <c r="AE384" s="250">
        <v>36000</v>
      </c>
      <c r="AF384" s="250">
        <v>15000</v>
      </c>
    </row>
    <row r="385" spans="2:32" x14ac:dyDescent="0.25">
      <c r="B385" s="63" t="s">
        <v>614</v>
      </c>
      <c r="C385" s="14" t="s">
        <v>351</v>
      </c>
      <c r="D385" s="15">
        <v>2000</v>
      </c>
      <c r="E385" s="16">
        <v>312000</v>
      </c>
      <c r="F385" s="15">
        <v>3</v>
      </c>
      <c r="G385" s="15">
        <v>3.5</v>
      </c>
      <c r="H385" s="14" t="s">
        <v>340</v>
      </c>
      <c r="I385" s="249">
        <f t="shared" si="15"/>
        <v>1</v>
      </c>
      <c r="J385" s="143">
        <v>2000</v>
      </c>
      <c r="K385" s="249" t="s">
        <v>2378</v>
      </c>
      <c r="M385" s="249">
        <f t="shared" si="16"/>
        <v>15</v>
      </c>
      <c r="N385" s="249">
        <f t="shared" si="17"/>
        <v>14</v>
      </c>
      <c r="O385" s="15"/>
      <c r="P385" s="15" t="s">
        <v>328</v>
      </c>
      <c r="Q385" s="15"/>
      <c r="S385" s="15" t="s">
        <v>328</v>
      </c>
      <c r="T385" s="15"/>
      <c r="U385" s="15"/>
      <c r="V385" s="15"/>
      <c r="W385" s="15"/>
      <c r="X385" s="15"/>
      <c r="Z385" s="126">
        <v>0.5</v>
      </c>
      <c r="AA385" s="249">
        <v>4</v>
      </c>
      <c r="AB385" s="250">
        <v>10000</v>
      </c>
      <c r="AC385" s="250">
        <v>15000</v>
      </c>
      <c r="AD385" s="250">
        <v>60000</v>
      </c>
      <c r="AE385" s="250">
        <v>36000</v>
      </c>
      <c r="AF385" s="250">
        <v>15000</v>
      </c>
    </row>
    <row r="386" spans="2:32" x14ac:dyDescent="0.25">
      <c r="B386" s="65" t="s">
        <v>615</v>
      </c>
      <c r="C386" s="15" t="s">
        <v>337</v>
      </c>
      <c r="D386" s="15">
        <v>2013</v>
      </c>
      <c r="E386" s="16">
        <v>40000</v>
      </c>
      <c r="F386" s="15">
        <v>2.5</v>
      </c>
      <c r="G386" s="15">
        <v>3</v>
      </c>
      <c r="H386" s="14" t="s">
        <v>340</v>
      </c>
      <c r="I386" s="249">
        <f t="shared" si="15"/>
        <v>1</v>
      </c>
      <c r="J386" s="143">
        <v>3300</v>
      </c>
      <c r="K386" s="249" t="s">
        <v>2378</v>
      </c>
      <c r="M386" s="249">
        <f t="shared" si="16"/>
        <v>2</v>
      </c>
      <c r="N386" s="249">
        <f t="shared" si="17"/>
        <v>1</v>
      </c>
      <c r="O386" s="15" t="s">
        <v>328</v>
      </c>
      <c r="P386" s="15"/>
      <c r="Q386" s="15"/>
      <c r="S386" s="15"/>
      <c r="T386" s="15" t="s">
        <v>328</v>
      </c>
      <c r="U386" s="15"/>
      <c r="V386" s="15"/>
      <c r="W386" s="15"/>
      <c r="X386" s="15"/>
      <c r="Z386" s="127">
        <v>0.1</v>
      </c>
      <c r="AA386" s="249">
        <v>1</v>
      </c>
      <c r="AB386" s="250">
        <v>10000</v>
      </c>
      <c r="AC386" s="250">
        <v>12000</v>
      </c>
      <c r="AD386" s="250">
        <v>52000</v>
      </c>
      <c r="AE386" s="250">
        <v>79200</v>
      </c>
      <c r="AF386" s="250">
        <v>12000</v>
      </c>
    </row>
    <row r="387" spans="2:32" x14ac:dyDescent="0.25">
      <c r="B387" s="63" t="s">
        <v>617</v>
      </c>
      <c r="C387" s="14" t="s">
        <v>359</v>
      </c>
      <c r="D387" s="15">
        <v>2010</v>
      </c>
      <c r="E387" s="16">
        <v>216000</v>
      </c>
      <c r="F387" s="15">
        <v>2.8</v>
      </c>
      <c r="G387" s="15">
        <v>3.2</v>
      </c>
      <c r="H387" s="14" t="s">
        <v>340</v>
      </c>
      <c r="I387" s="249">
        <f t="shared" si="15"/>
        <v>1</v>
      </c>
      <c r="J387" s="143">
        <v>6000</v>
      </c>
      <c r="K387" s="249" t="s">
        <v>2378</v>
      </c>
      <c r="M387" s="249">
        <f t="shared" si="16"/>
        <v>5</v>
      </c>
      <c r="N387" s="249">
        <f t="shared" si="17"/>
        <v>4</v>
      </c>
      <c r="O387" s="15" t="s">
        <v>328</v>
      </c>
      <c r="P387" s="15"/>
      <c r="Q387" s="15"/>
      <c r="S387" s="15"/>
      <c r="T387" s="15" t="s">
        <v>328</v>
      </c>
      <c r="U387" s="15"/>
      <c r="V387" s="15"/>
      <c r="W387" s="15"/>
      <c r="X387" s="15"/>
      <c r="Z387" s="127">
        <v>0.2</v>
      </c>
      <c r="AA387" s="249">
        <v>2</v>
      </c>
      <c r="AB387" s="250">
        <v>15000</v>
      </c>
      <c r="AC387" s="250">
        <v>10000</v>
      </c>
      <c r="AD387" s="250">
        <v>20000</v>
      </c>
      <c r="AE387" s="250">
        <v>72000</v>
      </c>
      <c r="AF387" s="250">
        <v>10000</v>
      </c>
    </row>
    <row r="388" spans="2:32" x14ac:dyDescent="0.25">
      <c r="B388" s="63" t="s">
        <v>617</v>
      </c>
      <c r="C388" s="14" t="s">
        <v>359</v>
      </c>
      <c r="D388" s="15">
        <v>2010</v>
      </c>
      <c r="E388" s="16">
        <v>216000</v>
      </c>
      <c r="F388" s="15">
        <v>2.8</v>
      </c>
      <c r="G388" s="15">
        <v>3.2</v>
      </c>
      <c r="H388" s="14" t="s">
        <v>340</v>
      </c>
      <c r="I388" s="249">
        <f t="shared" si="15"/>
        <v>1</v>
      </c>
      <c r="J388" s="143">
        <v>6000</v>
      </c>
      <c r="K388" s="249" t="s">
        <v>2378</v>
      </c>
      <c r="M388" s="249">
        <f t="shared" si="16"/>
        <v>5</v>
      </c>
      <c r="N388" s="249">
        <f t="shared" si="17"/>
        <v>4</v>
      </c>
      <c r="O388" s="15" t="s">
        <v>328</v>
      </c>
      <c r="P388" s="15"/>
      <c r="Q388" s="15"/>
      <c r="S388" s="15"/>
      <c r="T388" s="15" t="s">
        <v>328</v>
      </c>
      <c r="U388" s="15"/>
      <c r="V388" s="15"/>
      <c r="W388" s="15"/>
      <c r="X388" s="15"/>
      <c r="Z388" s="127">
        <v>0.2</v>
      </c>
      <c r="AA388" s="249">
        <v>2</v>
      </c>
      <c r="AB388" s="250">
        <v>15000</v>
      </c>
      <c r="AC388" s="250">
        <v>10000</v>
      </c>
      <c r="AD388" s="250">
        <v>20000</v>
      </c>
      <c r="AE388" s="250">
        <v>72000</v>
      </c>
      <c r="AF388" s="250">
        <v>10000</v>
      </c>
    </row>
    <row r="389" spans="2:32" x14ac:dyDescent="0.25">
      <c r="B389" s="63" t="s">
        <v>622</v>
      </c>
      <c r="C389" s="14" t="s">
        <v>359</v>
      </c>
      <c r="D389" s="15">
        <v>2010</v>
      </c>
      <c r="E389" s="16">
        <v>198000</v>
      </c>
      <c r="F389" s="15">
        <v>2.2000000000000002</v>
      </c>
      <c r="G389" s="15">
        <v>3</v>
      </c>
      <c r="H389" s="14" t="s">
        <v>340</v>
      </c>
      <c r="I389" s="249">
        <f t="shared" si="15"/>
        <v>1</v>
      </c>
      <c r="J389" s="143">
        <v>5500</v>
      </c>
      <c r="K389" s="249" t="s">
        <v>2378</v>
      </c>
      <c r="M389" s="249">
        <f t="shared" si="16"/>
        <v>5</v>
      </c>
      <c r="N389" s="249">
        <f t="shared" si="17"/>
        <v>4</v>
      </c>
      <c r="O389" s="15"/>
      <c r="P389" s="15" t="s">
        <v>328</v>
      </c>
      <c r="Q389" s="15"/>
      <c r="S389" s="15"/>
      <c r="T389" s="15" t="s">
        <v>328</v>
      </c>
      <c r="U389" s="15"/>
      <c r="V389" s="15"/>
      <c r="W389" s="15"/>
      <c r="X389" s="15"/>
      <c r="Z389" s="127">
        <v>0.5</v>
      </c>
      <c r="AA389" s="249">
        <v>5</v>
      </c>
      <c r="AB389" s="250">
        <v>12000</v>
      </c>
      <c r="AC389" s="250">
        <v>10000</v>
      </c>
      <c r="AD389" s="250">
        <v>60000</v>
      </c>
      <c r="AE389" s="250">
        <v>132000</v>
      </c>
      <c r="AF389" s="250">
        <v>12000</v>
      </c>
    </row>
    <row r="390" spans="2:32" x14ac:dyDescent="0.25">
      <c r="B390" s="63" t="s">
        <v>622</v>
      </c>
      <c r="C390" s="14" t="s">
        <v>359</v>
      </c>
      <c r="D390" s="15">
        <v>2010</v>
      </c>
      <c r="E390" s="16">
        <v>198000</v>
      </c>
      <c r="F390" s="15">
        <v>2.2000000000000002</v>
      </c>
      <c r="G390" s="15">
        <v>3</v>
      </c>
      <c r="H390" s="14" t="s">
        <v>340</v>
      </c>
      <c r="I390" s="249">
        <f t="shared" ref="I390:I453" si="18">IF(F390&gt;G390,0,1)</f>
        <v>1</v>
      </c>
      <c r="J390" s="143">
        <v>5500</v>
      </c>
      <c r="K390" s="249" t="s">
        <v>2378</v>
      </c>
      <c r="M390" s="249">
        <f t="shared" ref="M390:M453" si="19">2015-D390</f>
        <v>5</v>
      </c>
      <c r="N390" s="249">
        <f t="shared" ref="N390:N453" si="20">2014-$D390</f>
        <v>4</v>
      </c>
      <c r="O390" s="15"/>
      <c r="P390" s="15" t="s">
        <v>328</v>
      </c>
      <c r="Q390" s="15"/>
      <c r="S390" s="15"/>
      <c r="T390" s="15" t="s">
        <v>328</v>
      </c>
      <c r="U390" s="15"/>
      <c r="V390" s="15"/>
      <c r="W390" s="15"/>
      <c r="X390" s="15"/>
      <c r="Z390" s="127">
        <v>0.5</v>
      </c>
      <c r="AA390" s="249">
        <v>5</v>
      </c>
      <c r="AB390" s="250">
        <v>12000</v>
      </c>
      <c r="AC390" s="250">
        <v>10000</v>
      </c>
      <c r="AD390" s="250">
        <v>60000</v>
      </c>
      <c r="AE390" s="250">
        <v>132000</v>
      </c>
      <c r="AF390" s="250">
        <v>12000</v>
      </c>
    </row>
    <row r="391" spans="2:32" x14ac:dyDescent="0.25">
      <c r="B391" s="63" t="s">
        <v>622</v>
      </c>
      <c r="C391" s="14" t="s">
        <v>359</v>
      </c>
      <c r="D391" s="15">
        <v>2010</v>
      </c>
      <c r="E391" s="16">
        <v>198000</v>
      </c>
      <c r="F391" s="15">
        <v>2.2000000000000002</v>
      </c>
      <c r="G391" s="15">
        <v>3</v>
      </c>
      <c r="H391" s="14" t="s">
        <v>340</v>
      </c>
      <c r="I391" s="249">
        <f t="shared" si="18"/>
        <v>1</v>
      </c>
      <c r="J391" s="143">
        <v>5500</v>
      </c>
      <c r="K391" s="249" t="s">
        <v>2378</v>
      </c>
      <c r="M391" s="249">
        <f t="shared" si="19"/>
        <v>5</v>
      </c>
      <c r="N391" s="249">
        <f t="shared" si="20"/>
        <v>4</v>
      </c>
      <c r="O391" s="15"/>
      <c r="P391" s="15" t="s">
        <v>328</v>
      </c>
      <c r="Q391" s="15"/>
      <c r="S391" s="15"/>
      <c r="T391" s="15" t="s">
        <v>328</v>
      </c>
      <c r="U391" s="15"/>
      <c r="V391" s="15"/>
      <c r="W391" s="15"/>
      <c r="X391" s="15"/>
      <c r="Z391" s="127">
        <v>0.5</v>
      </c>
      <c r="AA391" s="249">
        <v>5</v>
      </c>
      <c r="AB391" s="250">
        <v>12000</v>
      </c>
      <c r="AC391" s="250">
        <v>10000</v>
      </c>
      <c r="AD391" s="250">
        <v>60000</v>
      </c>
      <c r="AE391" s="250">
        <v>132000</v>
      </c>
      <c r="AF391" s="250">
        <v>12000</v>
      </c>
    </row>
    <row r="392" spans="2:32" x14ac:dyDescent="0.25">
      <c r="B392" s="63" t="s">
        <v>622</v>
      </c>
      <c r="C392" s="14" t="s">
        <v>359</v>
      </c>
      <c r="D392" s="15">
        <v>2010</v>
      </c>
      <c r="E392" s="16">
        <v>198000</v>
      </c>
      <c r="F392" s="15">
        <v>2.2000000000000002</v>
      </c>
      <c r="G392" s="15">
        <v>3</v>
      </c>
      <c r="H392" s="14" t="s">
        <v>340</v>
      </c>
      <c r="I392" s="249">
        <f t="shared" si="18"/>
        <v>1</v>
      </c>
      <c r="J392" s="143">
        <v>5500</v>
      </c>
      <c r="K392" s="249" t="s">
        <v>2378</v>
      </c>
      <c r="M392" s="249">
        <f t="shared" si="19"/>
        <v>5</v>
      </c>
      <c r="N392" s="249">
        <f t="shared" si="20"/>
        <v>4</v>
      </c>
      <c r="O392" s="15"/>
      <c r="P392" s="15" t="s">
        <v>328</v>
      </c>
      <c r="Q392" s="15"/>
      <c r="S392" s="15"/>
      <c r="T392" s="15" t="s">
        <v>328</v>
      </c>
      <c r="U392" s="15"/>
      <c r="V392" s="15"/>
      <c r="W392" s="15"/>
      <c r="X392" s="15"/>
      <c r="Z392" s="127">
        <v>0.5</v>
      </c>
      <c r="AA392" s="249">
        <v>5</v>
      </c>
      <c r="AB392" s="250">
        <v>12000</v>
      </c>
      <c r="AC392" s="250">
        <v>10000</v>
      </c>
      <c r="AD392" s="250">
        <v>60000</v>
      </c>
      <c r="AE392" s="250">
        <v>132000</v>
      </c>
      <c r="AF392" s="250">
        <v>12000</v>
      </c>
    </row>
    <row r="393" spans="2:32" x14ac:dyDescent="0.25">
      <c r="B393" s="63" t="s">
        <v>622</v>
      </c>
      <c r="C393" s="14" t="s">
        <v>359</v>
      </c>
      <c r="D393" s="15">
        <v>2010</v>
      </c>
      <c r="E393" s="16">
        <v>198000</v>
      </c>
      <c r="F393" s="15">
        <v>2.2000000000000002</v>
      </c>
      <c r="G393" s="15">
        <v>3</v>
      </c>
      <c r="H393" s="14" t="s">
        <v>340</v>
      </c>
      <c r="I393" s="249">
        <f t="shared" si="18"/>
        <v>1</v>
      </c>
      <c r="J393" s="143">
        <v>5500</v>
      </c>
      <c r="K393" s="249" t="s">
        <v>2378</v>
      </c>
      <c r="M393" s="249">
        <f t="shared" si="19"/>
        <v>5</v>
      </c>
      <c r="N393" s="249">
        <f t="shared" si="20"/>
        <v>4</v>
      </c>
      <c r="O393" s="15"/>
      <c r="P393" s="15" t="s">
        <v>328</v>
      </c>
      <c r="Q393" s="15"/>
      <c r="S393" s="15"/>
      <c r="T393" s="15" t="s">
        <v>328</v>
      </c>
      <c r="U393" s="15"/>
      <c r="V393" s="15"/>
      <c r="W393" s="15"/>
      <c r="X393" s="15"/>
      <c r="Z393" s="127">
        <v>0.5</v>
      </c>
      <c r="AA393" s="249">
        <v>5</v>
      </c>
      <c r="AB393" s="250">
        <v>12000</v>
      </c>
      <c r="AC393" s="250">
        <v>10000</v>
      </c>
      <c r="AD393" s="250">
        <v>60000</v>
      </c>
      <c r="AE393" s="250">
        <v>132000</v>
      </c>
      <c r="AF393" s="250">
        <v>12000</v>
      </c>
    </row>
    <row r="394" spans="2:32" x14ac:dyDescent="0.25">
      <c r="B394" s="63" t="s">
        <v>623</v>
      </c>
      <c r="C394" s="14" t="s">
        <v>359</v>
      </c>
      <c r="D394" s="15">
        <v>2010</v>
      </c>
      <c r="E394" s="16">
        <v>144000</v>
      </c>
      <c r="F394" s="15">
        <v>2.5</v>
      </c>
      <c r="G394" s="15">
        <v>3</v>
      </c>
      <c r="H394" s="14" t="s">
        <v>340</v>
      </c>
      <c r="I394" s="249">
        <f t="shared" si="18"/>
        <v>1</v>
      </c>
      <c r="J394" s="143">
        <v>4000</v>
      </c>
      <c r="K394" s="249" t="s">
        <v>2378</v>
      </c>
      <c r="M394" s="249">
        <f t="shared" si="19"/>
        <v>5</v>
      </c>
      <c r="N394" s="249">
        <f t="shared" si="20"/>
        <v>4</v>
      </c>
      <c r="O394" s="15" t="s">
        <v>328</v>
      </c>
      <c r="P394" s="15"/>
      <c r="Q394" s="15"/>
      <c r="S394" s="15"/>
      <c r="T394" s="15" t="s">
        <v>328</v>
      </c>
      <c r="U394" s="15"/>
      <c r="V394" s="15"/>
      <c r="W394" s="15"/>
      <c r="X394" s="15"/>
      <c r="Z394" s="127">
        <v>0.1</v>
      </c>
      <c r="AA394" s="249">
        <v>1</v>
      </c>
      <c r="AB394" s="250">
        <v>12000</v>
      </c>
      <c r="AC394" s="250">
        <v>12000</v>
      </c>
      <c r="AD394" s="250">
        <v>50000</v>
      </c>
      <c r="AE394" s="250">
        <v>48000</v>
      </c>
      <c r="AF394" s="250">
        <v>12000</v>
      </c>
    </row>
    <row r="395" spans="2:32" x14ac:dyDescent="0.25">
      <c r="B395" s="63" t="s">
        <v>627</v>
      </c>
      <c r="C395" s="15" t="s">
        <v>337</v>
      </c>
      <c r="D395" s="15">
        <v>2012</v>
      </c>
      <c r="E395" s="16">
        <v>145000</v>
      </c>
      <c r="F395" s="15">
        <v>2.2000000000000002</v>
      </c>
      <c r="G395" s="15">
        <v>2.8</v>
      </c>
      <c r="H395" s="14" t="s">
        <v>340</v>
      </c>
      <c r="I395" s="249">
        <f t="shared" si="18"/>
        <v>1</v>
      </c>
      <c r="J395" s="143">
        <v>6041</v>
      </c>
      <c r="K395" s="249" t="s">
        <v>2378</v>
      </c>
      <c r="M395" s="249">
        <f t="shared" si="19"/>
        <v>3</v>
      </c>
      <c r="N395" s="249">
        <f t="shared" si="20"/>
        <v>2</v>
      </c>
      <c r="O395" s="15" t="s">
        <v>328</v>
      </c>
      <c r="P395" s="15"/>
      <c r="Q395" s="15"/>
      <c r="S395" s="15"/>
      <c r="T395" s="15" t="s">
        <v>328</v>
      </c>
      <c r="U395" s="15"/>
      <c r="V395" s="15"/>
      <c r="W395" s="15"/>
      <c r="X395" s="15"/>
      <c r="Z395" s="127">
        <v>0.5</v>
      </c>
      <c r="AA395" s="249">
        <v>3</v>
      </c>
      <c r="AB395" s="250">
        <v>12000</v>
      </c>
      <c r="AC395" s="250">
        <v>12000</v>
      </c>
      <c r="AD395" s="250">
        <v>100000</v>
      </c>
      <c r="AE395" s="250">
        <v>144984</v>
      </c>
      <c r="AF395" s="250">
        <v>12000</v>
      </c>
    </row>
    <row r="396" spans="2:32" x14ac:dyDescent="0.25">
      <c r="B396" s="63" t="s">
        <v>627</v>
      </c>
      <c r="C396" s="15" t="s">
        <v>337</v>
      </c>
      <c r="D396" s="15">
        <v>2012</v>
      </c>
      <c r="E396" s="16">
        <v>145000</v>
      </c>
      <c r="F396" s="15">
        <v>2.2000000000000002</v>
      </c>
      <c r="G396" s="15">
        <v>2.8</v>
      </c>
      <c r="H396" s="14" t="s">
        <v>340</v>
      </c>
      <c r="I396" s="249">
        <f t="shared" si="18"/>
        <v>1</v>
      </c>
      <c r="J396" s="143">
        <v>6041</v>
      </c>
      <c r="K396" s="249" t="s">
        <v>2378</v>
      </c>
      <c r="M396" s="249">
        <f t="shared" si="19"/>
        <v>3</v>
      </c>
      <c r="N396" s="249">
        <f t="shared" si="20"/>
        <v>2</v>
      </c>
      <c r="O396" s="15" t="s">
        <v>328</v>
      </c>
      <c r="P396" s="15"/>
      <c r="Q396" s="15"/>
      <c r="S396" s="15"/>
      <c r="T396" s="15" t="s">
        <v>328</v>
      </c>
      <c r="U396" s="15"/>
      <c r="V396" s="15"/>
      <c r="W396" s="15"/>
      <c r="X396" s="15"/>
      <c r="Z396" s="127">
        <v>0.5</v>
      </c>
      <c r="AA396" s="249">
        <v>3</v>
      </c>
      <c r="AB396" s="250">
        <v>12000</v>
      </c>
      <c r="AC396" s="250">
        <v>12000</v>
      </c>
      <c r="AD396" s="250">
        <v>100000</v>
      </c>
      <c r="AE396" s="250">
        <v>144984</v>
      </c>
      <c r="AF396" s="250">
        <v>12000</v>
      </c>
    </row>
    <row r="397" spans="2:32" x14ac:dyDescent="0.25">
      <c r="B397" s="63" t="s">
        <v>627</v>
      </c>
      <c r="C397" s="15" t="s">
        <v>337</v>
      </c>
      <c r="D397" s="15">
        <v>2012</v>
      </c>
      <c r="E397" s="16">
        <v>145000</v>
      </c>
      <c r="F397" s="15">
        <v>2.2000000000000002</v>
      </c>
      <c r="G397" s="15">
        <v>2.8</v>
      </c>
      <c r="H397" s="14" t="s">
        <v>340</v>
      </c>
      <c r="I397" s="249">
        <f t="shared" si="18"/>
        <v>1</v>
      </c>
      <c r="J397" s="143">
        <v>6041</v>
      </c>
      <c r="K397" s="249" t="s">
        <v>2378</v>
      </c>
      <c r="M397" s="249">
        <f t="shared" si="19"/>
        <v>3</v>
      </c>
      <c r="N397" s="249">
        <f t="shared" si="20"/>
        <v>2</v>
      </c>
      <c r="O397" s="15" t="s">
        <v>328</v>
      </c>
      <c r="P397" s="15"/>
      <c r="Q397" s="15"/>
      <c r="S397" s="15"/>
      <c r="T397" s="15" t="s">
        <v>328</v>
      </c>
      <c r="U397" s="15"/>
      <c r="V397" s="15"/>
      <c r="W397" s="15"/>
      <c r="X397" s="15"/>
      <c r="Z397" s="127">
        <v>0.5</v>
      </c>
      <c r="AA397" s="249">
        <v>3</v>
      </c>
      <c r="AB397" s="250">
        <v>12000</v>
      </c>
      <c r="AC397" s="250">
        <v>12000</v>
      </c>
      <c r="AD397" s="250">
        <v>100000</v>
      </c>
      <c r="AE397" s="250">
        <v>144984</v>
      </c>
      <c r="AF397" s="250">
        <v>12000</v>
      </c>
    </row>
    <row r="398" spans="2:32" x14ac:dyDescent="0.25">
      <c r="B398" s="63" t="s">
        <v>630</v>
      </c>
      <c r="C398" s="15" t="s">
        <v>337</v>
      </c>
      <c r="D398" s="15">
        <v>2000</v>
      </c>
      <c r="E398" s="16">
        <v>917708</v>
      </c>
      <c r="F398" s="15">
        <v>2.1</v>
      </c>
      <c r="G398" s="15">
        <v>2.6</v>
      </c>
      <c r="H398" s="15" t="s">
        <v>340</v>
      </c>
      <c r="I398" s="249">
        <f t="shared" si="18"/>
        <v>1</v>
      </c>
      <c r="J398" s="143">
        <v>8333.3333333333339</v>
      </c>
      <c r="K398" s="249" t="s">
        <v>2378</v>
      </c>
      <c r="M398" s="249">
        <f t="shared" si="19"/>
        <v>15</v>
      </c>
      <c r="N398" s="249">
        <f t="shared" si="20"/>
        <v>14</v>
      </c>
      <c r="O398" s="15"/>
      <c r="P398" s="15"/>
      <c r="Q398" s="15" t="s">
        <v>328</v>
      </c>
      <c r="S398" s="15"/>
      <c r="T398" s="15"/>
      <c r="U398" s="15"/>
      <c r="V398" s="15"/>
      <c r="W398" s="15" t="s">
        <v>328</v>
      </c>
      <c r="X398" s="15"/>
      <c r="Z398" s="127">
        <v>0.3</v>
      </c>
      <c r="AA398" s="249">
        <v>3</v>
      </c>
      <c r="AB398" s="250">
        <v>24000</v>
      </c>
      <c r="AC398" s="250">
        <v>24000</v>
      </c>
      <c r="AD398" s="250">
        <v>190000</v>
      </c>
      <c r="AE398" s="250">
        <v>150000</v>
      </c>
      <c r="AF398" s="250">
        <v>24000</v>
      </c>
    </row>
    <row r="399" spans="2:32" x14ac:dyDescent="0.25">
      <c r="B399" s="63" t="s">
        <v>630</v>
      </c>
      <c r="C399" s="15" t="s">
        <v>337</v>
      </c>
      <c r="D399" s="15">
        <v>2000</v>
      </c>
      <c r="E399" s="16">
        <v>995641</v>
      </c>
      <c r="F399" s="15">
        <v>2.2000000000000002</v>
      </c>
      <c r="G399" s="15">
        <v>2.6</v>
      </c>
      <c r="H399" s="15" t="s">
        <v>340</v>
      </c>
      <c r="I399" s="249">
        <f t="shared" si="18"/>
        <v>1</v>
      </c>
      <c r="J399" s="143">
        <v>8333.3333333333339</v>
      </c>
      <c r="K399" s="249" t="s">
        <v>2378</v>
      </c>
      <c r="M399" s="249">
        <f t="shared" si="19"/>
        <v>15</v>
      </c>
      <c r="N399" s="249">
        <f t="shared" si="20"/>
        <v>14</v>
      </c>
      <c r="O399" s="15"/>
      <c r="P399" s="15"/>
      <c r="Q399" s="15" t="s">
        <v>328</v>
      </c>
      <c r="S399" s="15"/>
      <c r="T399" s="15"/>
      <c r="U399" s="15"/>
      <c r="V399" s="15"/>
      <c r="W399" s="15" t="s">
        <v>328</v>
      </c>
      <c r="X399" s="15"/>
      <c r="Z399" s="127">
        <v>0.3</v>
      </c>
      <c r="AA399" s="249">
        <v>3</v>
      </c>
      <c r="AB399" s="250">
        <v>24000</v>
      </c>
      <c r="AC399" s="250">
        <v>24000</v>
      </c>
      <c r="AD399" s="250">
        <v>190000</v>
      </c>
      <c r="AE399" s="250">
        <v>150000</v>
      </c>
      <c r="AF399" s="250">
        <v>24000</v>
      </c>
    </row>
    <row r="400" spans="2:32" x14ac:dyDescent="0.25">
      <c r="B400" s="63" t="s">
        <v>630</v>
      </c>
      <c r="C400" s="15" t="s">
        <v>337</v>
      </c>
      <c r="D400" s="15">
        <v>2009</v>
      </c>
      <c r="E400" s="16">
        <v>417332</v>
      </c>
      <c r="F400" s="15">
        <v>2.5</v>
      </c>
      <c r="G400" s="15">
        <v>2.8</v>
      </c>
      <c r="H400" s="15" t="s">
        <v>340</v>
      </c>
      <c r="I400" s="249">
        <f t="shared" si="18"/>
        <v>1</v>
      </c>
      <c r="J400" s="143">
        <v>8333.3333333333339</v>
      </c>
      <c r="K400" s="249" t="s">
        <v>2378</v>
      </c>
      <c r="M400" s="249">
        <f t="shared" si="19"/>
        <v>6</v>
      </c>
      <c r="N400" s="249">
        <f t="shared" si="20"/>
        <v>5</v>
      </c>
      <c r="O400" s="15"/>
      <c r="P400" s="15" t="s">
        <v>328</v>
      </c>
      <c r="Q400" s="15"/>
      <c r="S400" s="15"/>
      <c r="T400" s="15"/>
      <c r="U400" s="15"/>
      <c r="V400" s="15"/>
      <c r="W400" s="15"/>
      <c r="X400" s="15" t="s">
        <v>328</v>
      </c>
      <c r="Z400" s="127">
        <v>0.3</v>
      </c>
      <c r="AA400" s="249">
        <v>3</v>
      </c>
      <c r="AB400" s="250">
        <v>20000</v>
      </c>
      <c r="AC400" s="250">
        <v>20000</v>
      </c>
      <c r="AD400" s="250">
        <v>200000</v>
      </c>
      <c r="AE400" s="250">
        <v>150000</v>
      </c>
      <c r="AF400" s="250">
        <v>20000</v>
      </c>
    </row>
    <row r="401" spans="2:32" x14ac:dyDescent="0.25">
      <c r="B401" s="63" t="s">
        <v>631</v>
      </c>
      <c r="C401" s="15" t="s">
        <v>348</v>
      </c>
      <c r="D401" s="15">
        <v>2001</v>
      </c>
      <c r="E401" s="16">
        <v>724813</v>
      </c>
      <c r="F401" s="15">
        <v>5</v>
      </c>
      <c r="G401" s="15">
        <v>6</v>
      </c>
      <c r="H401" s="15" t="s">
        <v>371</v>
      </c>
      <c r="I401" s="249">
        <f t="shared" si="18"/>
        <v>1</v>
      </c>
      <c r="J401" s="143">
        <v>4000</v>
      </c>
      <c r="K401" s="249" t="s">
        <v>2378</v>
      </c>
      <c r="M401" s="249">
        <f t="shared" si="19"/>
        <v>14</v>
      </c>
      <c r="N401" s="249">
        <f t="shared" si="20"/>
        <v>13</v>
      </c>
      <c r="O401" s="15" t="s">
        <v>328</v>
      </c>
      <c r="P401" s="15"/>
      <c r="Q401" s="15"/>
      <c r="S401" s="15" t="s">
        <v>328</v>
      </c>
      <c r="T401" s="15"/>
      <c r="U401" s="15"/>
      <c r="V401" s="15"/>
      <c r="W401" s="15"/>
      <c r="X401" s="15"/>
      <c r="Z401" s="127">
        <v>0.2</v>
      </c>
      <c r="AA401" s="249">
        <v>1</v>
      </c>
      <c r="AB401" s="250">
        <v>30000</v>
      </c>
      <c r="AC401" s="250">
        <v>30000</v>
      </c>
      <c r="AD401" s="250">
        <v>100000</v>
      </c>
      <c r="AE401" s="250">
        <v>100000</v>
      </c>
      <c r="AF401" s="250" t="s">
        <v>385</v>
      </c>
    </row>
    <row r="402" spans="2:32" x14ac:dyDescent="0.25">
      <c r="B402" s="63" t="s">
        <v>632</v>
      </c>
      <c r="C402" s="15" t="s">
        <v>337</v>
      </c>
      <c r="D402" s="15">
        <v>2007</v>
      </c>
      <c r="E402" s="16">
        <v>701003</v>
      </c>
      <c r="F402" s="15">
        <v>2.4</v>
      </c>
      <c r="G402" s="15">
        <v>2.7</v>
      </c>
      <c r="H402" s="15" t="s">
        <v>340</v>
      </c>
      <c r="I402" s="249">
        <f t="shared" si="18"/>
        <v>1</v>
      </c>
      <c r="J402" s="143">
        <v>10000</v>
      </c>
      <c r="K402" s="249" t="s">
        <v>2378</v>
      </c>
      <c r="M402" s="249">
        <f t="shared" si="19"/>
        <v>8</v>
      </c>
      <c r="N402" s="249">
        <f t="shared" si="20"/>
        <v>7</v>
      </c>
      <c r="O402" s="15"/>
      <c r="P402" s="15" t="s">
        <v>328</v>
      </c>
      <c r="Q402" s="15"/>
      <c r="S402" s="15"/>
      <c r="T402" s="15"/>
      <c r="U402" s="15"/>
      <c r="V402" s="15"/>
      <c r="W402" s="15" t="s">
        <v>328</v>
      </c>
      <c r="X402" s="15"/>
      <c r="Z402" s="127">
        <v>0.5</v>
      </c>
      <c r="AA402" s="249">
        <v>2</v>
      </c>
      <c r="AB402" s="250">
        <v>20000</v>
      </c>
      <c r="AC402" s="250">
        <v>20000</v>
      </c>
      <c r="AD402" s="250">
        <v>200000</v>
      </c>
      <c r="AE402" s="250">
        <v>120000</v>
      </c>
      <c r="AF402" s="250">
        <v>20000</v>
      </c>
    </row>
    <row r="403" spans="2:32" x14ac:dyDescent="0.25">
      <c r="B403" s="63" t="s">
        <v>632</v>
      </c>
      <c r="C403" s="15" t="s">
        <v>337</v>
      </c>
      <c r="D403" s="15">
        <v>2008</v>
      </c>
      <c r="E403" s="16">
        <v>578614</v>
      </c>
      <c r="F403" s="15">
        <v>2.4</v>
      </c>
      <c r="G403" s="15">
        <v>2.7</v>
      </c>
      <c r="H403" s="15" t="s">
        <v>340</v>
      </c>
      <c r="I403" s="249">
        <f t="shared" si="18"/>
        <v>1</v>
      </c>
      <c r="J403" s="143">
        <v>10000</v>
      </c>
      <c r="K403" s="249" t="s">
        <v>2378</v>
      </c>
      <c r="M403" s="249">
        <f t="shared" si="19"/>
        <v>7</v>
      </c>
      <c r="N403" s="249">
        <f t="shared" si="20"/>
        <v>6</v>
      </c>
      <c r="O403" s="15" t="s">
        <v>328</v>
      </c>
      <c r="P403" s="15"/>
      <c r="Q403" s="15"/>
      <c r="S403" s="15"/>
      <c r="T403" s="15"/>
      <c r="U403" s="15"/>
      <c r="V403" s="15"/>
      <c r="W403" s="15"/>
      <c r="X403" s="15" t="s">
        <v>328</v>
      </c>
      <c r="Z403" s="127">
        <v>0.5</v>
      </c>
      <c r="AA403" s="249">
        <v>2</v>
      </c>
      <c r="AB403" s="250">
        <v>20000</v>
      </c>
      <c r="AC403" s="250">
        <v>20000</v>
      </c>
      <c r="AD403" s="250">
        <v>200000</v>
      </c>
      <c r="AE403" s="250">
        <v>120000</v>
      </c>
      <c r="AF403" s="250">
        <v>20000</v>
      </c>
    </row>
    <row r="404" spans="2:32" x14ac:dyDescent="0.25">
      <c r="B404" s="63" t="s">
        <v>633</v>
      </c>
      <c r="C404" s="15" t="s">
        <v>337</v>
      </c>
      <c r="D404" s="15">
        <v>2003</v>
      </c>
      <c r="E404" s="16">
        <v>1084617</v>
      </c>
      <c r="F404" s="15">
        <v>2.1</v>
      </c>
      <c r="G404" s="15">
        <v>2.6</v>
      </c>
      <c r="H404" s="15" t="s">
        <v>340</v>
      </c>
      <c r="I404" s="249">
        <f t="shared" si="18"/>
        <v>1</v>
      </c>
      <c r="J404" s="143">
        <v>1500</v>
      </c>
      <c r="K404" s="249" t="s">
        <v>2378</v>
      </c>
      <c r="M404" s="249">
        <f t="shared" si="19"/>
        <v>12</v>
      </c>
      <c r="N404" s="249">
        <f t="shared" si="20"/>
        <v>11</v>
      </c>
      <c r="O404" s="15"/>
      <c r="P404" s="15" t="s">
        <v>328</v>
      </c>
      <c r="Q404" s="15"/>
      <c r="S404" s="15"/>
      <c r="T404" s="15"/>
      <c r="U404" s="15"/>
      <c r="V404" s="15"/>
      <c r="W404" s="15" t="s">
        <v>328</v>
      </c>
      <c r="X404" s="15"/>
      <c r="Z404" s="127">
        <v>0.5</v>
      </c>
      <c r="AA404" s="249">
        <v>3</v>
      </c>
      <c r="AB404" s="250">
        <v>25000</v>
      </c>
      <c r="AC404" s="250">
        <v>25000</v>
      </c>
      <c r="AD404" s="250">
        <v>150000</v>
      </c>
      <c r="AE404" s="250">
        <v>150000</v>
      </c>
      <c r="AF404" s="250">
        <v>25000</v>
      </c>
    </row>
    <row r="405" spans="2:32" x14ac:dyDescent="0.25">
      <c r="B405" s="63" t="s">
        <v>633</v>
      </c>
      <c r="C405" s="15" t="s">
        <v>337</v>
      </c>
      <c r="D405" s="15">
        <v>2003</v>
      </c>
      <c r="E405" s="16">
        <v>1177923</v>
      </c>
      <c r="F405" s="15">
        <v>2.1</v>
      </c>
      <c r="G405" s="15">
        <v>2.6</v>
      </c>
      <c r="H405" s="15" t="s">
        <v>340</v>
      </c>
      <c r="I405" s="249">
        <f t="shared" si="18"/>
        <v>1</v>
      </c>
      <c r="J405" s="143">
        <v>1500</v>
      </c>
      <c r="K405" s="249" t="s">
        <v>2378</v>
      </c>
      <c r="M405" s="249">
        <f t="shared" si="19"/>
        <v>12</v>
      </c>
      <c r="N405" s="249">
        <f t="shared" si="20"/>
        <v>11</v>
      </c>
      <c r="O405" s="15"/>
      <c r="P405" s="15" t="s">
        <v>328</v>
      </c>
      <c r="Q405" s="15"/>
      <c r="S405" s="15"/>
      <c r="T405" s="15"/>
      <c r="U405" s="15"/>
      <c r="V405" s="15"/>
      <c r="W405" s="15" t="s">
        <v>328</v>
      </c>
      <c r="X405" s="15"/>
      <c r="Z405" s="127">
        <v>0.5</v>
      </c>
      <c r="AA405" s="249">
        <v>3</v>
      </c>
      <c r="AB405" s="250">
        <v>25000</v>
      </c>
      <c r="AC405" s="250">
        <v>25000</v>
      </c>
      <c r="AD405" s="250">
        <v>150000</v>
      </c>
      <c r="AE405" s="250">
        <v>150000</v>
      </c>
      <c r="AF405" s="250">
        <v>25000</v>
      </c>
    </row>
    <row r="406" spans="2:32" x14ac:dyDescent="0.25">
      <c r="B406" s="63" t="s">
        <v>633</v>
      </c>
      <c r="C406" s="15" t="s">
        <v>337</v>
      </c>
      <c r="D406" s="15">
        <v>2007</v>
      </c>
      <c r="E406" s="16">
        <v>793821</v>
      </c>
      <c r="F406" s="15">
        <v>2.2000000000000002</v>
      </c>
      <c r="G406" s="15">
        <v>2.6</v>
      </c>
      <c r="H406" s="15" t="s">
        <v>340</v>
      </c>
      <c r="I406" s="249">
        <f t="shared" si="18"/>
        <v>1</v>
      </c>
      <c r="J406" s="143">
        <v>1500</v>
      </c>
      <c r="K406" s="249" t="s">
        <v>2378</v>
      </c>
      <c r="M406" s="249">
        <f t="shared" si="19"/>
        <v>8</v>
      </c>
      <c r="N406" s="249">
        <f t="shared" si="20"/>
        <v>7</v>
      </c>
      <c r="O406" s="15"/>
      <c r="P406" s="15" t="s">
        <v>328</v>
      </c>
      <c r="Q406" s="15"/>
      <c r="S406" s="15"/>
      <c r="T406" s="15"/>
      <c r="U406" s="15"/>
      <c r="V406" s="15"/>
      <c r="W406" s="15"/>
      <c r="X406" s="15" t="s">
        <v>328</v>
      </c>
      <c r="Z406" s="127">
        <v>0.5</v>
      </c>
      <c r="AA406" s="249">
        <v>3</v>
      </c>
      <c r="AB406" s="250">
        <v>25000</v>
      </c>
      <c r="AC406" s="250">
        <v>25000</v>
      </c>
      <c r="AD406" s="250">
        <v>150000</v>
      </c>
      <c r="AE406" s="250">
        <v>150000</v>
      </c>
      <c r="AF406" s="250">
        <v>25000</v>
      </c>
    </row>
    <row r="407" spans="2:32" x14ac:dyDescent="0.25">
      <c r="B407" s="63" t="s">
        <v>634</v>
      </c>
      <c r="C407" s="15" t="s">
        <v>337</v>
      </c>
      <c r="D407" s="15">
        <v>2001</v>
      </c>
      <c r="E407" s="16">
        <v>846717</v>
      </c>
      <c r="F407" s="15">
        <v>2.1</v>
      </c>
      <c r="G407" s="15">
        <v>2.7</v>
      </c>
      <c r="H407" s="15" t="s">
        <v>340</v>
      </c>
      <c r="I407" s="249">
        <f t="shared" si="18"/>
        <v>1</v>
      </c>
      <c r="J407" s="143">
        <v>7000</v>
      </c>
      <c r="K407" s="249" t="s">
        <v>2378</v>
      </c>
      <c r="M407" s="249">
        <f t="shared" si="19"/>
        <v>14</v>
      </c>
      <c r="N407" s="249">
        <f t="shared" si="20"/>
        <v>13</v>
      </c>
      <c r="O407" s="15"/>
      <c r="P407" s="15" t="s">
        <v>328</v>
      </c>
      <c r="Q407" s="15"/>
      <c r="S407" s="15"/>
      <c r="T407" s="15"/>
      <c r="U407" s="15"/>
      <c r="V407" s="15"/>
      <c r="W407" s="15" t="s">
        <v>328</v>
      </c>
      <c r="X407" s="15"/>
      <c r="Z407" s="127">
        <v>0.2</v>
      </c>
      <c r="AA407" s="249">
        <v>1</v>
      </c>
      <c r="AB407" s="250">
        <v>28000</v>
      </c>
      <c r="AC407" s="250">
        <v>28000</v>
      </c>
      <c r="AD407" s="250">
        <v>220000</v>
      </c>
      <c r="AE407" s="250">
        <v>180000</v>
      </c>
      <c r="AF407" s="250">
        <v>28000</v>
      </c>
    </row>
    <row r="408" spans="2:32" x14ac:dyDescent="0.25">
      <c r="B408" s="63" t="s">
        <v>635</v>
      </c>
      <c r="C408" s="15" t="s">
        <v>337</v>
      </c>
      <c r="D408" s="15">
        <v>1997</v>
      </c>
      <c r="E408" s="16">
        <v>1213634</v>
      </c>
      <c r="F408" s="15">
        <v>2.4</v>
      </c>
      <c r="G408" s="15">
        <v>2.9</v>
      </c>
      <c r="H408" s="15" t="s">
        <v>340</v>
      </c>
      <c r="I408" s="249">
        <f t="shared" si="18"/>
        <v>1</v>
      </c>
      <c r="J408" s="143">
        <v>8000</v>
      </c>
      <c r="K408" s="249" t="s">
        <v>2378</v>
      </c>
      <c r="M408" s="249">
        <f t="shared" si="19"/>
        <v>18</v>
      </c>
      <c r="N408" s="249">
        <f t="shared" si="20"/>
        <v>17</v>
      </c>
      <c r="O408" s="15"/>
      <c r="P408" s="15" t="s">
        <v>328</v>
      </c>
      <c r="Q408" s="15"/>
      <c r="S408" s="15"/>
      <c r="T408" s="15"/>
      <c r="U408" s="15"/>
      <c r="V408" s="15"/>
      <c r="W408" s="15" t="s">
        <v>328</v>
      </c>
      <c r="X408" s="15"/>
      <c r="Z408" s="127">
        <v>0.3</v>
      </c>
      <c r="AA408" s="249">
        <v>1</v>
      </c>
      <c r="AB408" s="250">
        <v>25000</v>
      </c>
      <c r="AC408" s="250">
        <v>25000</v>
      </c>
      <c r="AD408" s="250">
        <v>150000</v>
      </c>
      <c r="AE408" s="250">
        <v>150000</v>
      </c>
      <c r="AF408" s="250">
        <v>25000</v>
      </c>
    </row>
    <row r="409" spans="2:32" x14ac:dyDescent="0.25">
      <c r="B409" s="63" t="s">
        <v>636</v>
      </c>
      <c r="C409" s="14" t="s">
        <v>351</v>
      </c>
      <c r="D409" s="15">
        <v>2001</v>
      </c>
      <c r="E409" s="16">
        <v>781235</v>
      </c>
      <c r="F409" s="15">
        <v>3.2</v>
      </c>
      <c r="G409" s="15">
        <v>3.8</v>
      </c>
      <c r="H409" s="15" t="s">
        <v>340</v>
      </c>
      <c r="I409" s="249">
        <f t="shared" si="18"/>
        <v>1</v>
      </c>
      <c r="J409" s="143">
        <v>4000</v>
      </c>
      <c r="K409" s="249" t="s">
        <v>2378</v>
      </c>
      <c r="M409" s="249">
        <f t="shared" si="19"/>
        <v>14</v>
      </c>
      <c r="N409" s="249">
        <f t="shared" si="20"/>
        <v>13</v>
      </c>
      <c r="O409" s="15"/>
      <c r="P409" s="15" t="s">
        <v>328</v>
      </c>
      <c r="Q409" s="15"/>
      <c r="S409" s="15"/>
      <c r="T409" s="15"/>
      <c r="U409" s="15"/>
      <c r="V409" s="15"/>
      <c r="W409" s="15" t="s">
        <v>328</v>
      </c>
      <c r="X409" s="15"/>
      <c r="Z409" s="127">
        <v>0.5</v>
      </c>
      <c r="AA409" s="249">
        <v>4</v>
      </c>
      <c r="AB409" s="250">
        <v>20000</v>
      </c>
      <c r="AC409" s="250">
        <v>40000</v>
      </c>
      <c r="AD409" s="250">
        <v>120000</v>
      </c>
      <c r="AE409" s="250">
        <v>120000</v>
      </c>
      <c r="AF409" s="250">
        <v>40000</v>
      </c>
    </row>
    <row r="410" spans="2:32" x14ac:dyDescent="0.25">
      <c r="B410" s="63" t="s">
        <v>636</v>
      </c>
      <c r="C410" s="14" t="s">
        <v>351</v>
      </c>
      <c r="D410" s="15">
        <v>2002</v>
      </c>
      <c r="E410" s="16">
        <v>815954</v>
      </c>
      <c r="F410" s="15">
        <v>3.3</v>
      </c>
      <c r="G410" s="15">
        <v>3.8</v>
      </c>
      <c r="H410" s="15" t="s">
        <v>340</v>
      </c>
      <c r="I410" s="249">
        <f t="shared" si="18"/>
        <v>1</v>
      </c>
      <c r="J410" s="143">
        <v>4800</v>
      </c>
      <c r="K410" s="249" t="s">
        <v>2378</v>
      </c>
      <c r="M410" s="249">
        <f t="shared" si="19"/>
        <v>13</v>
      </c>
      <c r="N410" s="249">
        <f t="shared" si="20"/>
        <v>12</v>
      </c>
      <c r="O410" s="15"/>
      <c r="P410" s="15" t="s">
        <v>328</v>
      </c>
      <c r="Q410" s="15"/>
      <c r="S410" s="15"/>
      <c r="T410" s="15"/>
      <c r="U410" s="15"/>
      <c r="V410" s="15"/>
      <c r="W410" s="15" t="s">
        <v>328</v>
      </c>
      <c r="X410" s="15"/>
      <c r="Z410" s="127">
        <v>0.5</v>
      </c>
      <c r="AA410" s="249">
        <v>4</v>
      </c>
      <c r="AB410" s="250">
        <v>19000</v>
      </c>
      <c r="AC410" s="250">
        <v>38000</v>
      </c>
      <c r="AD410" s="250">
        <v>120000</v>
      </c>
      <c r="AE410" s="250">
        <v>120000</v>
      </c>
      <c r="AF410" s="250">
        <v>38000</v>
      </c>
    </row>
    <row r="411" spans="2:32" x14ac:dyDescent="0.25">
      <c r="B411" s="63" t="s">
        <v>636</v>
      </c>
      <c r="C411" s="14" t="s">
        <v>351</v>
      </c>
      <c r="D411" s="15">
        <v>2002</v>
      </c>
      <c r="E411" s="16">
        <v>679213</v>
      </c>
      <c r="F411" s="15">
        <v>3.3</v>
      </c>
      <c r="G411" s="15">
        <v>3.9</v>
      </c>
      <c r="H411" s="15" t="s">
        <v>340</v>
      </c>
      <c r="I411" s="249">
        <f t="shared" si="18"/>
        <v>1</v>
      </c>
      <c r="J411" s="143">
        <v>4800</v>
      </c>
      <c r="K411" s="249" t="s">
        <v>2378</v>
      </c>
      <c r="M411" s="249">
        <f t="shared" si="19"/>
        <v>13</v>
      </c>
      <c r="N411" s="249">
        <f t="shared" si="20"/>
        <v>12</v>
      </c>
      <c r="O411" s="15"/>
      <c r="P411" s="15" t="s">
        <v>328</v>
      </c>
      <c r="Q411" s="15"/>
      <c r="S411" s="15"/>
      <c r="T411" s="15"/>
      <c r="U411" s="15"/>
      <c r="V411" s="15"/>
      <c r="W411" s="15" t="s">
        <v>328</v>
      </c>
      <c r="X411" s="15"/>
      <c r="Z411" s="127">
        <v>0.5</v>
      </c>
      <c r="AA411" s="249">
        <v>4</v>
      </c>
      <c r="AB411" s="250">
        <v>19000</v>
      </c>
      <c r="AC411" s="250">
        <v>38000</v>
      </c>
      <c r="AD411" s="250">
        <v>120000</v>
      </c>
      <c r="AE411" s="250">
        <v>120000</v>
      </c>
      <c r="AF411" s="250">
        <v>38000</v>
      </c>
    </row>
    <row r="412" spans="2:32" x14ac:dyDescent="0.25">
      <c r="B412" s="63" t="s">
        <v>636</v>
      </c>
      <c r="C412" s="14" t="s">
        <v>351</v>
      </c>
      <c r="D412" s="15">
        <v>2006</v>
      </c>
      <c r="E412" s="16">
        <v>633702</v>
      </c>
      <c r="F412" s="15">
        <v>3.3</v>
      </c>
      <c r="G412" s="15">
        <v>3.9</v>
      </c>
      <c r="H412" s="15" t="s">
        <v>340</v>
      </c>
      <c r="I412" s="249">
        <f t="shared" si="18"/>
        <v>1</v>
      </c>
      <c r="J412" s="143">
        <v>4800</v>
      </c>
      <c r="K412" s="249" t="s">
        <v>2378</v>
      </c>
      <c r="M412" s="249">
        <f t="shared" si="19"/>
        <v>9</v>
      </c>
      <c r="N412" s="249">
        <f t="shared" si="20"/>
        <v>8</v>
      </c>
      <c r="O412" s="15"/>
      <c r="P412" s="15" t="s">
        <v>328</v>
      </c>
      <c r="Q412" s="15"/>
      <c r="S412" s="15"/>
      <c r="T412" s="15"/>
      <c r="U412" s="15"/>
      <c r="V412" s="15"/>
      <c r="W412" s="15"/>
      <c r="X412" s="15" t="s">
        <v>328</v>
      </c>
      <c r="Z412" s="127">
        <v>0.5</v>
      </c>
      <c r="AA412" s="249">
        <v>4</v>
      </c>
      <c r="AB412" s="250">
        <v>19000</v>
      </c>
      <c r="AC412" s="250">
        <v>38000</v>
      </c>
      <c r="AD412" s="250">
        <v>120000</v>
      </c>
      <c r="AE412" s="250">
        <v>120000</v>
      </c>
      <c r="AF412" s="250">
        <v>38000</v>
      </c>
    </row>
    <row r="413" spans="2:32" x14ac:dyDescent="0.25">
      <c r="B413" s="63" t="s">
        <v>637</v>
      </c>
      <c r="C413" s="14" t="s">
        <v>351</v>
      </c>
      <c r="D413" s="15">
        <v>1997</v>
      </c>
      <c r="E413" s="16">
        <v>1152000</v>
      </c>
      <c r="F413" s="15">
        <v>4.0999999999999996</v>
      </c>
      <c r="G413" s="15">
        <v>4.5999999999999996</v>
      </c>
      <c r="H413" s="15" t="s">
        <v>340</v>
      </c>
      <c r="I413" s="249">
        <f t="shared" si="18"/>
        <v>1</v>
      </c>
      <c r="J413" s="143">
        <v>6000</v>
      </c>
      <c r="K413" s="249" t="s">
        <v>2378</v>
      </c>
      <c r="M413" s="249">
        <f t="shared" si="19"/>
        <v>18</v>
      </c>
      <c r="N413" s="249">
        <f t="shared" si="20"/>
        <v>17</v>
      </c>
      <c r="O413" s="15"/>
      <c r="P413" s="15"/>
      <c r="Q413" s="15" t="s">
        <v>328</v>
      </c>
      <c r="S413" s="15"/>
      <c r="T413" s="15"/>
      <c r="U413" s="15" t="s">
        <v>328</v>
      </c>
      <c r="V413" s="15"/>
      <c r="W413" s="15"/>
      <c r="X413" s="15"/>
      <c r="Z413" s="127">
        <v>0.2</v>
      </c>
      <c r="AA413" s="249">
        <v>1</v>
      </c>
      <c r="AB413" s="250">
        <v>30000</v>
      </c>
      <c r="AC413" s="250">
        <v>30000</v>
      </c>
    </row>
    <row r="414" spans="2:32" x14ac:dyDescent="0.25">
      <c r="B414" s="63" t="s">
        <v>638</v>
      </c>
      <c r="C414" s="14" t="s">
        <v>351</v>
      </c>
      <c r="D414" s="15">
        <v>1988</v>
      </c>
      <c r="E414" s="16">
        <v>1800000</v>
      </c>
      <c r="F414" s="15">
        <v>4.3</v>
      </c>
      <c r="G414" s="15">
        <v>4.7</v>
      </c>
      <c r="H414" s="15" t="s">
        <v>340</v>
      </c>
      <c r="I414" s="249">
        <f t="shared" si="18"/>
        <v>1</v>
      </c>
      <c r="J414" s="143">
        <v>6000</v>
      </c>
      <c r="K414" s="249" t="s">
        <v>2378</v>
      </c>
      <c r="M414" s="249">
        <f t="shared" si="19"/>
        <v>27</v>
      </c>
      <c r="N414" s="249">
        <f t="shared" si="20"/>
        <v>26</v>
      </c>
      <c r="O414" s="15"/>
      <c r="P414" s="15"/>
      <c r="Q414" s="15" t="s">
        <v>328</v>
      </c>
      <c r="S414" s="15"/>
      <c r="T414" s="15"/>
      <c r="U414" s="15"/>
      <c r="V414" s="15"/>
      <c r="W414" s="15" t="s">
        <v>328</v>
      </c>
      <c r="X414" s="15"/>
      <c r="Z414" s="127">
        <v>0.1</v>
      </c>
      <c r="AA414" s="249">
        <v>1</v>
      </c>
      <c r="AB414" s="250">
        <v>24500</v>
      </c>
      <c r="AC414" s="250">
        <v>24500</v>
      </c>
      <c r="AD414" s="250">
        <v>100000</v>
      </c>
      <c r="AE414" s="250">
        <v>100000</v>
      </c>
      <c r="AF414" s="250">
        <v>24500</v>
      </c>
    </row>
    <row r="415" spans="2:32" x14ac:dyDescent="0.25">
      <c r="B415" s="63" t="s">
        <v>639</v>
      </c>
      <c r="C415" s="15" t="s">
        <v>337</v>
      </c>
      <c r="D415" s="15">
        <v>2001</v>
      </c>
      <c r="E415" s="16">
        <v>993814</v>
      </c>
      <c r="F415" s="15">
        <v>2.4</v>
      </c>
      <c r="G415" s="15">
        <v>2.7</v>
      </c>
      <c r="H415" s="15" t="s">
        <v>340</v>
      </c>
      <c r="I415" s="249">
        <f t="shared" si="18"/>
        <v>1</v>
      </c>
      <c r="J415" s="143">
        <v>2000</v>
      </c>
      <c r="K415" s="249" t="s">
        <v>2378</v>
      </c>
      <c r="M415" s="249">
        <f t="shared" si="19"/>
        <v>14</v>
      </c>
      <c r="N415" s="249">
        <f t="shared" si="20"/>
        <v>13</v>
      </c>
      <c r="O415" s="15"/>
      <c r="P415" s="15" t="s">
        <v>328</v>
      </c>
      <c r="Q415" s="15"/>
      <c r="S415" s="15"/>
      <c r="T415" s="15"/>
      <c r="U415" s="15"/>
      <c r="V415" s="15"/>
      <c r="W415" s="15" t="s">
        <v>328</v>
      </c>
      <c r="X415" s="15"/>
      <c r="Z415" s="127">
        <v>0.1</v>
      </c>
      <c r="AA415" s="249">
        <v>1</v>
      </c>
      <c r="AB415" s="250">
        <v>24000</v>
      </c>
      <c r="AC415" s="250">
        <v>24000</v>
      </c>
      <c r="AD415" s="250">
        <v>150000</v>
      </c>
      <c r="AE415" s="250">
        <v>120000</v>
      </c>
    </row>
    <row r="416" spans="2:32" x14ac:dyDescent="0.25">
      <c r="B416" s="63" t="s">
        <v>640</v>
      </c>
      <c r="C416" s="15" t="s">
        <v>337</v>
      </c>
      <c r="D416" s="15">
        <v>2004</v>
      </c>
      <c r="E416" s="16">
        <v>1080000</v>
      </c>
      <c r="F416" s="15">
        <v>2.6</v>
      </c>
      <c r="G416" s="15">
        <v>2.9</v>
      </c>
      <c r="H416" s="15" t="s">
        <v>340</v>
      </c>
      <c r="I416" s="249">
        <f t="shared" si="18"/>
        <v>1</v>
      </c>
      <c r="J416" s="143">
        <v>10000</v>
      </c>
      <c r="K416" s="249" t="s">
        <v>2378</v>
      </c>
      <c r="M416" s="249">
        <f t="shared" si="19"/>
        <v>11</v>
      </c>
      <c r="N416" s="249">
        <f t="shared" si="20"/>
        <v>10</v>
      </c>
      <c r="O416" s="15"/>
      <c r="P416" s="15" t="s">
        <v>328</v>
      </c>
      <c r="Q416" s="15"/>
      <c r="S416" s="15"/>
      <c r="T416" s="15"/>
      <c r="U416" s="15"/>
      <c r="V416" s="15"/>
      <c r="W416" s="15" t="s">
        <v>328</v>
      </c>
      <c r="X416" s="15"/>
      <c r="Z416" s="127">
        <v>0.05</v>
      </c>
      <c r="AA416" s="249">
        <v>2</v>
      </c>
      <c r="AB416" s="250">
        <v>25000</v>
      </c>
      <c r="AC416" s="250">
        <v>25000</v>
      </c>
      <c r="AD416" s="250">
        <v>120000</v>
      </c>
      <c r="AE416" s="250">
        <v>120000</v>
      </c>
      <c r="AF416" s="250">
        <v>25000</v>
      </c>
    </row>
    <row r="417" spans="2:32" x14ac:dyDescent="0.25">
      <c r="B417" s="63" t="s">
        <v>640</v>
      </c>
      <c r="C417" s="15" t="s">
        <v>337</v>
      </c>
      <c r="D417" s="15">
        <v>2007</v>
      </c>
      <c r="E417" s="16">
        <v>720000</v>
      </c>
      <c r="F417" s="15">
        <v>2.6</v>
      </c>
      <c r="G417" s="15">
        <v>2.9</v>
      </c>
      <c r="H417" s="15" t="s">
        <v>340</v>
      </c>
      <c r="I417" s="249">
        <f t="shared" si="18"/>
        <v>1</v>
      </c>
      <c r="J417" s="143">
        <v>10000</v>
      </c>
      <c r="K417" s="249" t="s">
        <v>2378</v>
      </c>
      <c r="M417" s="249">
        <f t="shared" si="19"/>
        <v>8</v>
      </c>
      <c r="N417" s="249">
        <f t="shared" si="20"/>
        <v>7</v>
      </c>
      <c r="O417" s="15"/>
      <c r="P417" s="15" t="s">
        <v>328</v>
      </c>
      <c r="Q417" s="15"/>
      <c r="S417" s="15"/>
      <c r="T417" s="15"/>
      <c r="U417" s="15"/>
      <c r="V417" s="15"/>
      <c r="W417" s="15" t="s">
        <v>328</v>
      </c>
      <c r="X417" s="15"/>
      <c r="Z417" s="127">
        <v>0.05</v>
      </c>
      <c r="AA417" s="249">
        <v>2</v>
      </c>
      <c r="AB417" s="250">
        <v>25000</v>
      </c>
      <c r="AC417" s="250">
        <v>25000</v>
      </c>
      <c r="AD417" s="250">
        <v>120000</v>
      </c>
      <c r="AE417" s="250">
        <v>120000</v>
      </c>
      <c r="AF417" s="250">
        <v>25000</v>
      </c>
    </row>
    <row r="418" spans="2:32" x14ac:dyDescent="0.25">
      <c r="B418" s="63" t="s">
        <v>641</v>
      </c>
      <c r="C418" s="15" t="s">
        <v>337</v>
      </c>
      <c r="D418" s="15">
        <v>2007</v>
      </c>
      <c r="E418" s="16">
        <v>648000</v>
      </c>
      <c r="F418" s="15">
        <v>2.7</v>
      </c>
      <c r="G418" s="15">
        <v>2.9</v>
      </c>
      <c r="H418" s="15" t="s">
        <v>340</v>
      </c>
      <c r="I418" s="249">
        <f t="shared" si="18"/>
        <v>1</v>
      </c>
      <c r="J418" s="143">
        <v>9000</v>
      </c>
      <c r="K418" s="249" t="s">
        <v>2378</v>
      </c>
      <c r="M418" s="249">
        <f t="shared" si="19"/>
        <v>8</v>
      </c>
      <c r="N418" s="249">
        <f t="shared" si="20"/>
        <v>7</v>
      </c>
      <c r="O418" s="15"/>
      <c r="P418" s="15" t="s">
        <v>328</v>
      </c>
      <c r="Q418" s="15"/>
      <c r="S418" s="15"/>
      <c r="T418" s="15" t="s">
        <v>328</v>
      </c>
      <c r="U418" s="15"/>
      <c r="V418" s="15"/>
      <c r="W418" s="15"/>
      <c r="X418" s="15"/>
      <c r="Z418" s="127">
        <v>0.5</v>
      </c>
      <c r="AA418" s="249">
        <v>3</v>
      </c>
      <c r="AB418" s="250">
        <v>27000</v>
      </c>
      <c r="AC418" s="250">
        <v>27000</v>
      </c>
      <c r="AD418" s="250">
        <v>120000</v>
      </c>
      <c r="AE418" s="250">
        <v>120000</v>
      </c>
      <c r="AF418" s="250">
        <v>27000</v>
      </c>
    </row>
    <row r="419" spans="2:32" x14ac:dyDescent="0.25">
      <c r="B419" s="63" t="s">
        <v>641</v>
      </c>
      <c r="C419" s="15" t="s">
        <v>337</v>
      </c>
      <c r="D419" s="15">
        <v>2008</v>
      </c>
      <c r="E419" s="16">
        <v>540000</v>
      </c>
      <c r="F419" s="15">
        <v>2.7</v>
      </c>
      <c r="G419" s="15">
        <v>2.9</v>
      </c>
      <c r="H419" s="15" t="s">
        <v>340</v>
      </c>
      <c r="I419" s="249">
        <f t="shared" si="18"/>
        <v>1</v>
      </c>
      <c r="J419" s="143">
        <v>9000</v>
      </c>
      <c r="K419" s="249" t="s">
        <v>2378</v>
      </c>
      <c r="M419" s="249">
        <f t="shared" si="19"/>
        <v>7</v>
      </c>
      <c r="N419" s="249">
        <f t="shared" si="20"/>
        <v>6</v>
      </c>
      <c r="O419" s="15" t="s">
        <v>328</v>
      </c>
      <c r="P419" s="15"/>
      <c r="Q419" s="15"/>
      <c r="S419" s="15"/>
      <c r="T419" s="15" t="s">
        <v>328</v>
      </c>
      <c r="U419" s="15"/>
      <c r="V419" s="15"/>
      <c r="W419" s="15"/>
      <c r="X419" s="15"/>
      <c r="Z419" s="127">
        <v>0.5</v>
      </c>
      <c r="AA419" s="249">
        <v>3</v>
      </c>
      <c r="AB419" s="250">
        <v>27000</v>
      </c>
      <c r="AC419" s="250">
        <v>27000</v>
      </c>
      <c r="AD419" s="250">
        <v>120000</v>
      </c>
      <c r="AE419" s="250">
        <v>120000</v>
      </c>
      <c r="AF419" s="250">
        <v>27000</v>
      </c>
    </row>
    <row r="420" spans="2:32" x14ac:dyDescent="0.25">
      <c r="B420" s="63" t="s">
        <v>641</v>
      </c>
      <c r="C420" s="15" t="s">
        <v>337</v>
      </c>
      <c r="D420" s="15">
        <v>2008</v>
      </c>
      <c r="E420" s="16">
        <v>540000</v>
      </c>
      <c r="F420" s="15">
        <v>2.7</v>
      </c>
      <c r="G420" s="15">
        <v>2.9</v>
      </c>
      <c r="H420" s="15" t="s">
        <v>340</v>
      </c>
      <c r="I420" s="249">
        <f t="shared" si="18"/>
        <v>1</v>
      </c>
      <c r="J420" s="143">
        <v>9000</v>
      </c>
      <c r="K420" s="249" t="s">
        <v>2378</v>
      </c>
      <c r="M420" s="249">
        <f t="shared" si="19"/>
        <v>7</v>
      </c>
      <c r="N420" s="249">
        <f t="shared" si="20"/>
        <v>6</v>
      </c>
      <c r="O420" s="15" t="s">
        <v>328</v>
      </c>
      <c r="P420" s="15"/>
      <c r="Q420" s="15"/>
      <c r="S420" s="15"/>
      <c r="T420" s="15" t="s">
        <v>328</v>
      </c>
      <c r="U420" s="15"/>
      <c r="V420" s="15"/>
      <c r="W420" s="15"/>
      <c r="X420" s="15"/>
      <c r="Z420" s="127">
        <v>0.5</v>
      </c>
      <c r="AA420" s="249">
        <v>3</v>
      </c>
      <c r="AB420" s="250">
        <v>27000</v>
      </c>
      <c r="AC420" s="250">
        <v>27000</v>
      </c>
      <c r="AD420" s="250">
        <v>120000</v>
      </c>
      <c r="AE420" s="250">
        <v>120000</v>
      </c>
      <c r="AF420" s="250">
        <v>27000</v>
      </c>
    </row>
    <row r="421" spans="2:32" x14ac:dyDescent="0.25">
      <c r="B421" s="63" t="s">
        <v>642</v>
      </c>
      <c r="C421" s="15" t="s">
        <v>337</v>
      </c>
      <c r="D421" s="15">
        <v>2004</v>
      </c>
      <c r="E421" s="16">
        <v>742613</v>
      </c>
      <c r="F421" s="15">
        <v>2.5</v>
      </c>
      <c r="G421" s="15">
        <v>2.8</v>
      </c>
      <c r="H421" s="15" t="s">
        <v>340</v>
      </c>
      <c r="I421" s="249">
        <f t="shared" si="18"/>
        <v>1</v>
      </c>
      <c r="J421" s="143">
        <v>1500</v>
      </c>
      <c r="K421" s="249" t="s">
        <v>2378</v>
      </c>
      <c r="M421" s="249">
        <f t="shared" si="19"/>
        <v>11</v>
      </c>
      <c r="N421" s="249">
        <f t="shared" si="20"/>
        <v>10</v>
      </c>
      <c r="O421" s="15"/>
      <c r="P421" s="15" t="s">
        <v>328</v>
      </c>
      <c r="Q421" s="15"/>
      <c r="S421" s="15"/>
      <c r="T421" s="15"/>
      <c r="U421" s="15"/>
      <c r="V421" s="15"/>
      <c r="W421" s="15" t="s">
        <v>328</v>
      </c>
      <c r="X421" s="15"/>
      <c r="Z421" s="127" t="s">
        <v>352</v>
      </c>
      <c r="AA421" s="249">
        <v>1</v>
      </c>
      <c r="AB421" s="250">
        <v>24000</v>
      </c>
      <c r="AC421" s="250">
        <v>24000</v>
      </c>
      <c r="AD421" s="250">
        <v>200000</v>
      </c>
      <c r="AE421" s="250">
        <v>120000</v>
      </c>
      <c r="AF421" s="250">
        <v>24000</v>
      </c>
    </row>
    <row r="422" spans="2:32" x14ac:dyDescent="0.25">
      <c r="B422" s="63" t="s">
        <v>643</v>
      </c>
      <c r="C422" s="15" t="s">
        <v>337</v>
      </c>
      <c r="D422" s="15">
        <v>2006</v>
      </c>
      <c r="E422" s="16">
        <v>802613</v>
      </c>
      <c r="F422" s="15">
        <v>2.5</v>
      </c>
      <c r="G422" s="15">
        <v>2.7</v>
      </c>
      <c r="H422" s="15" t="s">
        <v>340</v>
      </c>
      <c r="I422" s="249">
        <f t="shared" si="18"/>
        <v>1</v>
      </c>
      <c r="J422" s="143">
        <v>10000</v>
      </c>
      <c r="K422" s="249" t="s">
        <v>2378</v>
      </c>
      <c r="M422" s="249">
        <f t="shared" si="19"/>
        <v>9</v>
      </c>
      <c r="N422" s="249">
        <f t="shared" si="20"/>
        <v>8</v>
      </c>
      <c r="O422" s="15"/>
      <c r="P422" s="15" t="s">
        <v>328</v>
      </c>
      <c r="Q422" s="15"/>
      <c r="S422" s="15"/>
      <c r="T422" s="15"/>
      <c r="U422" s="15"/>
      <c r="V422" s="15"/>
      <c r="W422" s="15" t="s">
        <v>328</v>
      </c>
      <c r="X422" s="15"/>
      <c r="Z422" s="127">
        <v>0.05</v>
      </c>
      <c r="AA422" s="249">
        <v>2</v>
      </c>
      <c r="AB422" s="250">
        <v>28000</v>
      </c>
      <c r="AC422" s="250">
        <v>28000</v>
      </c>
      <c r="AD422" s="250">
        <v>180000</v>
      </c>
      <c r="AE422" s="250">
        <v>120000</v>
      </c>
      <c r="AF422" s="250">
        <v>28000</v>
      </c>
    </row>
    <row r="423" spans="2:32" x14ac:dyDescent="0.25">
      <c r="B423" s="63" t="s">
        <v>643</v>
      </c>
      <c r="C423" s="15" t="s">
        <v>337</v>
      </c>
      <c r="D423" s="15">
        <v>2006</v>
      </c>
      <c r="E423" s="16">
        <v>797004</v>
      </c>
      <c r="F423" s="15">
        <v>2.5</v>
      </c>
      <c r="G423" s="15">
        <v>2.7</v>
      </c>
      <c r="H423" s="15" t="s">
        <v>340</v>
      </c>
      <c r="I423" s="249">
        <f t="shared" si="18"/>
        <v>1</v>
      </c>
      <c r="J423" s="143">
        <v>10000</v>
      </c>
      <c r="K423" s="249" t="s">
        <v>2378</v>
      </c>
      <c r="M423" s="249">
        <f t="shared" si="19"/>
        <v>9</v>
      </c>
      <c r="N423" s="249">
        <f t="shared" si="20"/>
        <v>8</v>
      </c>
      <c r="O423" s="15"/>
      <c r="P423" s="15" t="s">
        <v>328</v>
      </c>
      <c r="Q423" s="15"/>
      <c r="S423" s="15"/>
      <c r="T423" s="15"/>
      <c r="U423" s="15"/>
      <c r="V423" s="15"/>
      <c r="W423" s="15" t="s">
        <v>328</v>
      </c>
      <c r="X423" s="15"/>
      <c r="Z423" s="127">
        <v>0.05</v>
      </c>
      <c r="AA423" s="249">
        <v>2</v>
      </c>
      <c r="AB423" s="250">
        <v>28000</v>
      </c>
      <c r="AC423" s="250">
        <v>28000</v>
      </c>
      <c r="AD423" s="250">
        <v>180000</v>
      </c>
      <c r="AE423" s="250">
        <v>120000</v>
      </c>
      <c r="AF423" s="250">
        <v>28000</v>
      </c>
    </row>
    <row r="424" spans="2:32" x14ac:dyDescent="0.25">
      <c r="B424" s="63" t="s">
        <v>644</v>
      </c>
      <c r="C424" s="15" t="s">
        <v>337</v>
      </c>
      <c r="D424" s="15">
        <v>2007</v>
      </c>
      <c r="E424" s="16">
        <v>563415</v>
      </c>
      <c r="F424" s="15">
        <v>1.6</v>
      </c>
      <c r="G424" s="15">
        <v>1.7</v>
      </c>
      <c r="H424" s="15" t="s">
        <v>340</v>
      </c>
      <c r="I424" s="249">
        <f t="shared" si="18"/>
        <v>1</v>
      </c>
      <c r="J424" s="143">
        <v>10000</v>
      </c>
      <c r="K424" s="249" t="s">
        <v>2378</v>
      </c>
      <c r="M424" s="249">
        <f t="shared" si="19"/>
        <v>8</v>
      </c>
      <c r="N424" s="249">
        <f t="shared" si="20"/>
        <v>7</v>
      </c>
      <c r="O424" s="15" t="s">
        <v>328</v>
      </c>
      <c r="P424" s="15"/>
      <c r="Q424" s="15"/>
      <c r="S424" s="15"/>
      <c r="T424" s="15"/>
      <c r="U424" s="15"/>
      <c r="V424" s="15"/>
      <c r="W424" s="15" t="s">
        <v>328</v>
      </c>
      <c r="X424" s="15"/>
      <c r="Z424" s="127">
        <v>0.1</v>
      </c>
      <c r="AA424" s="249">
        <v>3</v>
      </c>
      <c r="AB424" s="250">
        <v>20000</v>
      </c>
      <c r="AC424" s="250">
        <v>20000</v>
      </c>
      <c r="AD424" s="250">
        <v>120000</v>
      </c>
      <c r="AE424" s="250">
        <v>120000</v>
      </c>
      <c r="AF424" s="250">
        <v>20000</v>
      </c>
    </row>
    <row r="425" spans="2:32" x14ac:dyDescent="0.25">
      <c r="B425" s="63" t="s">
        <v>644</v>
      </c>
      <c r="C425" s="15" t="s">
        <v>337</v>
      </c>
      <c r="D425" s="15">
        <v>2008</v>
      </c>
      <c r="E425" s="16">
        <v>499602</v>
      </c>
      <c r="F425" s="15">
        <v>1.6</v>
      </c>
      <c r="G425" s="15">
        <v>1.7</v>
      </c>
      <c r="H425" s="15" t="s">
        <v>340</v>
      </c>
      <c r="I425" s="249">
        <f t="shared" si="18"/>
        <v>1</v>
      </c>
      <c r="J425" s="143">
        <v>10000</v>
      </c>
      <c r="K425" s="249" t="s">
        <v>2378</v>
      </c>
      <c r="M425" s="249">
        <f t="shared" si="19"/>
        <v>7</v>
      </c>
      <c r="N425" s="249">
        <f t="shared" si="20"/>
        <v>6</v>
      </c>
      <c r="O425" s="15" t="s">
        <v>328</v>
      </c>
      <c r="P425" s="15"/>
      <c r="Q425" s="15"/>
      <c r="S425" s="15"/>
      <c r="T425" s="15"/>
      <c r="U425" s="15"/>
      <c r="V425" s="15"/>
      <c r="W425" s="15" t="s">
        <v>328</v>
      </c>
      <c r="X425" s="15"/>
      <c r="Z425" s="127">
        <v>0.1</v>
      </c>
      <c r="AA425" s="249">
        <v>3</v>
      </c>
      <c r="AB425" s="250">
        <v>20000</v>
      </c>
      <c r="AC425" s="250">
        <v>20000</v>
      </c>
      <c r="AD425" s="250">
        <v>120000</v>
      </c>
      <c r="AE425" s="250">
        <v>120000</v>
      </c>
      <c r="AF425" s="250">
        <v>20000</v>
      </c>
    </row>
    <row r="426" spans="2:32" x14ac:dyDescent="0.25">
      <c r="B426" s="63" t="s">
        <v>644</v>
      </c>
      <c r="C426" s="15" t="s">
        <v>337</v>
      </c>
      <c r="D426" s="15">
        <v>2009</v>
      </c>
      <c r="E426" s="16">
        <v>405893</v>
      </c>
      <c r="F426" s="15">
        <v>1.6</v>
      </c>
      <c r="G426" s="15">
        <v>1.7</v>
      </c>
      <c r="H426" s="15" t="s">
        <v>340</v>
      </c>
      <c r="I426" s="249">
        <f t="shared" si="18"/>
        <v>1</v>
      </c>
      <c r="J426" s="143">
        <v>10000</v>
      </c>
      <c r="K426" s="249" t="s">
        <v>2378</v>
      </c>
      <c r="M426" s="249">
        <f t="shared" si="19"/>
        <v>6</v>
      </c>
      <c r="N426" s="249">
        <f t="shared" si="20"/>
        <v>5</v>
      </c>
      <c r="O426" s="15" t="s">
        <v>328</v>
      </c>
      <c r="P426" s="15"/>
      <c r="Q426" s="15"/>
      <c r="S426" s="15"/>
      <c r="T426" s="15"/>
      <c r="U426" s="15"/>
      <c r="V426" s="15"/>
      <c r="W426" s="15" t="s">
        <v>328</v>
      </c>
      <c r="X426" s="15"/>
      <c r="Z426" s="127">
        <v>0.1</v>
      </c>
      <c r="AA426" s="249">
        <v>3</v>
      </c>
      <c r="AB426" s="250">
        <v>20000</v>
      </c>
      <c r="AC426" s="250">
        <v>20000</v>
      </c>
      <c r="AD426" s="250">
        <v>120000</v>
      </c>
      <c r="AE426" s="250">
        <v>120000</v>
      </c>
      <c r="AF426" s="250">
        <v>20000</v>
      </c>
    </row>
    <row r="427" spans="2:32" x14ac:dyDescent="0.25">
      <c r="B427" s="63" t="s">
        <v>645</v>
      </c>
      <c r="C427" s="15" t="s">
        <v>337</v>
      </c>
      <c r="D427" s="15">
        <v>2002</v>
      </c>
      <c r="E427" s="16">
        <v>876214</v>
      </c>
      <c r="F427" s="15">
        <v>2.4</v>
      </c>
      <c r="G427" s="15">
        <v>2.7</v>
      </c>
      <c r="H427" s="15" t="s">
        <v>340</v>
      </c>
      <c r="I427" s="249">
        <f t="shared" si="18"/>
        <v>1</v>
      </c>
      <c r="J427" s="143">
        <v>8333.3333333333339</v>
      </c>
      <c r="K427" s="249" t="s">
        <v>2378</v>
      </c>
      <c r="M427" s="249">
        <f t="shared" si="19"/>
        <v>13</v>
      </c>
      <c r="N427" s="249">
        <f t="shared" si="20"/>
        <v>12</v>
      </c>
      <c r="O427" s="15"/>
      <c r="P427" s="15" t="s">
        <v>328</v>
      </c>
      <c r="Q427" s="15"/>
      <c r="S427" s="15"/>
      <c r="T427" s="15"/>
      <c r="U427" s="15"/>
      <c r="V427" s="15"/>
      <c r="W427" s="15" t="s">
        <v>328</v>
      </c>
      <c r="X427" s="15"/>
      <c r="Z427" s="127">
        <v>0.05</v>
      </c>
      <c r="AA427" s="249">
        <v>1</v>
      </c>
      <c r="AB427" s="250">
        <v>25000</v>
      </c>
      <c r="AC427" s="250">
        <v>25000</v>
      </c>
      <c r="AD427" s="250">
        <v>100000</v>
      </c>
      <c r="AE427" s="250">
        <v>100000</v>
      </c>
      <c r="AF427" s="250">
        <v>25000</v>
      </c>
    </row>
    <row r="428" spans="2:32" x14ac:dyDescent="0.25">
      <c r="B428" s="63" t="s">
        <v>646</v>
      </c>
      <c r="C428" s="15" t="s">
        <v>337</v>
      </c>
      <c r="D428" s="15">
        <v>2001</v>
      </c>
      <c r="E428" s="16">
        <v>629113</v>
      </c>
      <c r="F428" s="15">
        <v>1.9</v>
      </c>
      <c r="G428" s="15">
        <v>2.5</v>
      </c>
      <c r="H428" s="15" t="s">
        <v>340</v>
      </c>
      <c r="I428" s="249">
        <f t="shared" si="18"/>
        <v>1</v>
      </c>
      <c r="J428" s="143">
        <v>5000</v>
      </c>
      <c r="K428" s="249" t="s">
        <v>2378</v>
      </c>
      <c r="M428" s="249">
        <f t="shared" si="19"/>
        <v>14</v>
      </c>
      <c r="N428" s="249">
        <f t="shared" si="20"/>
        <v>13</v>
      </c>
      <c r="O428" s="15"/>
      <c r="P428" s="15" t="s">
        <v>328</v>
      </c>
      <c r="Q428" s="15"/>
      <c r="S428" s="15"/>
      <c r="T428" s="15"/>
      <c r="U428" s="15"/>
      <c r="V428" s="15"/>
      <c r="W428" s="15" t="s">
        <v>328</v>
      </c>
      <c r="X428" s="15"/>
      <c r="Z428" s="127">
        <v>0.5</v>
      </c>
      <c r="AA428" s="249">
        <v>1</v>
      </c>
      <c r="AB428" s="250">
        <v>18000</v>
      </c>
      <c r="AC428" s="250">
        <v>18000</v>
      </c>
      <c r="AD428" s="250">
        <v>80000</v>
      </c>
      <c r="AE428" s="250">
        <v>80000</v>
      </c>
      <c r="AF428" s="250">
        <v>18000</v>
      </c>
    </row>
    <row r="429" spans="2:32" x14ac:dyDescent="0.25">
      <c r="B429" s="63" t="s">
        <v>647</v>
      </c>
      <c r="C429" s="15" t="s">
        <v>337</v>
      </c>
      <c r="D429" s="15">
        <v>2005</v>
      </c>
      <c r="E429" s="16">
        <v>656701</v>
      </c>
      <c r="F429" s="15">
        <v>2.5</v>
      </c>
      <c r="G429" s="15">
        <v>2.8</v>
      </c>
      <c r="H429" s="15" t="s">
        <v>340</v>
      </c>
      <c r="I429" s="249">
        <f t="shared" si="18"/>
        <v>1</v>
      </c>
      <c r="J429" s="143">
        <v>6666.666666666667</v>
      </c>
      <c r="K429" s="249" t="s">
        <v>2378</v>
      </c>
      <c r="M429" s="249">
        <f t="shared" si="19"/>
        <v>10</v>
      </c>
      <c r="N429" s="249">
        <f t="shared" si="20"/>
        <v>9</v>
      </c>
      <c r="O429" s="15"/>
      <c r="P429" s="15" t="s">
        <v>328</v>
      </c>
      <c r="Q429" s="15"/>
      <c r="S429" s="15"/>
      <c r="T429" s="15"/>
      <c r="U429" s="15"/>
      <c r="V429" s="15"/>
      <c r="W429" s="15" t="s">
        <v>328</v>
      </c>
      <c r="X429" s="15"/>
      <c r="Z429" s="127">
        <v>0.1</v>
      </c>
      <c r="AA429" s="249">
        <v>1</v>
      </c>
      <c r="AB429" s="250">
        <v>20000</v>
      </c>
      <c r="AC429" s="250">
        <v>20000</v>
      </c>
      <c r="AD429" s="250">
        <v>180000</v>
      </c>
      <c r="AE429" s="250">
        <v>100000</v>
      </c>
      <c r="AF429" s="250">
        <v>20000</v>
      </c>
    </row>
    <row r="430" spans="2:32" x14ac:dyDescent="0.25">
      <c r="B430" s="63" t="s">
        <v>648</v>
      </c>
      <c r="C430" s="15" t="s">
        <v>337</v>
      </c>
      <c r="D430" s="15">
        <v>2005</v>
      </c>
      <c r="E430" s="16">
        <v>703960</v>
      </c>
      <c r="F430" s="15">
        <v>2.4</v>
      </c>
      <c r="G430" s="15">
        <v>2.7</v>
      </c>
      <c r="H430" s="15" t="s">
        <v>340</v>
      </c>
      <c r="I430" s="249">
        <f t="shared" si="18"/>
        <v>1</v>
      </c>
      <c r="J430" s="143">
        <v>8333.3333333333339</v>
      </c>
      <c r="K430" s="249" t="s">
        <v>2378</v>
      </c>
      <c r="M430" s="249">
        <f t="shared" si="19"/>
        <v>10</v>
      </c>
      <c r="N430" s="249">
        <f t="shared" si="20"/>
        <v>9</v>
      </c>
      <c r="O430" s="15"/>
      <c r="P430" s="15" t="s">
        <v>328</v>
      </c>
      <c r="Q430" s="15"/>
      <c r="S430" s="15"/>
      <c r="T430" s="15"/>
      <c r="U430" s="15"/>
      <c r="V430" s="15"/>
      <c r="W430" s="15" t="s">
        <v>328</v>
      </c>
      <c r="X430" s="15"/>
      <c r="Z430" s="127">
        <v>0.1</v>
      </c>
      <c r="AA430" s="249">
        <v>2</v>
      </c>
      <c r="AB430" s="250">
        <v>17000</v>
      </c>
      <c r="AC430" s="250">
        <v>25000</v>
      </c>
      <c r="AD430" s="250">
        <v>175000</v>
      </c>
      <c r="AE430" s="250">
        <v>125000</v>
      </c>
      <c r="AF430" s="250">
        <v>17000</v>
      </c>
    </row>
    <row r="431" spans="2:32" x14ac:dyDescent="0.25">
      <c r="B431" s="63" t="s">
        <v>648</v>
      </c>
      <c r="C431" s="15" t="s">
        <v>337</v>
      </c>
      <c r="D431" s="15">
        <v>2007</v>
      </c>
      <c r="E431" s="16">
        <v>588917</v>
      </c>
      <c r="F431" s="15">
        <v>2.4</v>
      </c>
      <c r="G431" s="15">
        <v>2.7</v>
      </c>
      <c r="H431" s="15" t="s">
        <v>340</v>
      </c>
      <c r="I431" s="249">
        <f t="shared" si="18"/>
        <v>1</v>
      </c>
      <c r="J431" s="143">
        <v>8333.3333333333339</v>
      </c>
      <c r="K431" s="249" t="s">
        <v>2378</v>
      </c>
      <c r="M431" s="249">
        <f t="shared" si="19"/>
        <v>8</v>
      </c>
      <c r="N431" s="249">
        <f t="shared" si="20"/>
        <v>7</v>
      </c>
      <c r="O431" s="15"/>
      <c r="P431" s="15" t="s">
        <v>328</v>
      </c>
      <c r="Q431" s="15"/>
      <c r="S431" s="15"/>
      <c r="T431" s="15"/>
      <c r="U431" s="15"/>
      <c r="V431" s="15"/>
      <c r="W431" s="15"/>
      <c r="X431" s="15" t="s">
        <v>328</v>
      </c>
      <c r="Z431" s="127">
        <v>0.1</v>
      </c>
      <c r="AA431" s="249">
        <v>2</v>
      </c>
      <c r="AB431" s="250">
        <v>17000</v>
      </c>
      <c r="AC431" s="250">
        <v>25000</v>
      </c>
      <c r="AD431" s="250">
        <v>175000</v>
      </c>
      <c r="AE431" s="250">
        <v>125000</v>
      </c>
      <c r="AF431" s="250">
        <v>17000</v>
      </c>
    </row>
    <row r="432" spans="2:32" x14ac:dyDescent="0.25">
      <c r="B432" s="63" t="s">
        <v>649</v>
      </c>
      <c r="C432" s="15" t="s">
        <v>337</v>
      </c>
      <c r="D432" s="15">
        <v>2002</v>
      </c>
      <c r="E432" s="16">
        <v>880044</v>
      </c>
      <c r="F432" s="15">
        <v>2.5</v>
      </c>
      <c r="G432" s="15">
        <v>2.8</v>
      </c>
      <c r="H432" s="15" t="s">
        <v>340</v>
      </c>
      <c r="I432" s="249">
        <f t="shared" si="18"/>
        <v>1</v>
      </c>
      <c r="J432" s="143">
        <v>6666.666666666667</v>
      </c>
      <c r="K432" s="249" t="s">
        <v>2378</v>
      </c>
      <c r="M432" s="249">
        <f t="shared" si="19"/>
        <v>13</v>
      </c>
      <c r="N432" s="249">
        <f t="shared" si="20"/>
        <v>12</v>
      </c>
      <c r="O432" s="15"/>
      <c r="P432" s="15" t="s">
        <v>328</v>
      </c>
      <c r="Q432" s="15"/>
      <c r="S432" s="15"/>
      <c r="T432" s="15"/>
      <c r="U432" s="15"/>
      <c r="V432" s="15"/>
      <c r="W432" s="15" t="s">
        <v>328</v>
      </c>
      <c r="X432" s="15"/>
      <c r="Z432" s="127">
        <v>0.3</v>
      </c>
      <c r="AA432" s="249">
        <v>1</v>
      </c>
      <c r="AB432" s="250">
        <v>18000</v>
      </c>
      <c r="AC432" s="250">
        <v>24000</v>
      </c>
      <c r="AD432" s="250">
        <v>220000</v>
      </c>
      <c r="AE432" s="250">
        <v>120000</v>
      </c>
      <c r="AF432" s="250">
        <v>18000</v>
      </c>
    </row>
    <row r="433" spans="2:32" x14ac:dyDescent="0.25">
      <c r="B433" s="63" t="s">
        <v>650</v>
      </c>
      <c r="C433" s="15" t="s">
        <v>337</v>
      </c>
      <c r="D433" s="15">
        <v>2001</v>
      </c>
      <c r="E433" s="16">
        <v>1037408</v>
      </c>
      <c r="F433" s="15">
        <v>2.5</v>
      </c>
      <c r="G433" s="15">
        <v>2.8</v>
      </c>
      <c r="H433" s="15" t="s">
        <v>340</v>
      </c>
      <c r="I433" s="249">
        <f t="shared" si="18"/>
        <v>1</v>
      </c>
      <c r="J433" s="143">
        <v>8333.3333333333339</v>
      </c>
      <c r="K433" s="249" t="s">
        <v>2378</v>
      </c>
      <c r="M433" s="249">
        <f t="shared" si="19"/>
        <v>14</v>
      </c>
      <c r="N433" s="249">
        <f t="shared" si="20"/>
        <v>13</v>
      </c>
      <c r="O433" s="15"/>
      <c r="P433" s="15" t="s">
        <v>328</v>
      </c>
      <c r="Q433" s="15"/>
      <c r="S433" s="15"/>
      <c r="T433" s="15"/>
      <c r="U433" s="15"/>
      <c r="V433" s="15"/>
      <c r="W433" s="15" t="s">
        <v>328</v>
      </c>
      <c r="X433" s="15"/>
      <c r="Z433" s="127">
        <v>0.4</v>
      </c>
      <c r="AA433" s="249">
        <v>1</v>
      </c>
      <c r="AB433" s="250">
        <v>18000</v>
      </c>
      <c r="AC433" s="250">
        <v>18000</v>
      </c>
      <c r="AD433" s="250">
        <v>150000</v>
      </c>
      <c r="AE433" s="250">
        <v>150000</v>
      </c>
      <c r="AF433" s="250">
        <v>18000</v>
      </c>
    </row>
    <row r="434" spans="2:32" x14ac:dyDescent="0.25">
      <c r="B434" s="63" t="s">
        <v>651</v>
      </c>
      <c r="C434" s="15" t="s">
        <v>337</v>
      </c>
      <c r="D434" s="15">
        <v>1999</v>
      </c>
      <c r="E434" s="16">
        <v>537600</v>
      </c>
      <c r="F434" s="15">
        <v>2</v>
      </c>
      <c r="G434" s="15">
        <v>2.2999999999999998</v>
      </c>
      <c r="H434" s="15" t="s">
        <v>340</v>
      </c>
      <c r="I434" s="249">
        <f t="shared" si="18"/>
        <v>1</v>
      </c>
      <c r="J434" s="143">
        <v>3200</v>
      </c>
      <c r="K434" s="249" t="s">
        <v>2378</v>
      </c>
      <c r="M434" s="249">
        <f t="shared" si="19"/>
        <v>16</v>
      </c>
      <c r="N434" s="249">
        <f t="shared" si="20"/>
        <v>15</v>
      </c>
      <c r="O434" s="15"/>
      <c r="P434" s="15"/>
      <c r="Q434" s="15" t="s">
        <v>328</v>
      </c>
      <c r="S434" s="15"/>
      <c r="T434" s="15"/>
      <c r="U434" s="15"/>
      <c r="V434" s="15"/>
      <c r="W434" s="15" t="s">
        <v>328</v>
      </c>
      <c r="X434" s="15"/>
      <c r="Z434" s="127">
        <v>0.5</v>
      </c>
      <c r="AA434" s="249">
        <v>1</v>
      </c>
      <c r="AB434" s="250">
        <v>25000</v>
      </c>
      <c r="AC434" s="250">
        <v>25000</v>
      </c>
      <c r="AD434" s="250">
        <v>100000</v>
      </c>
      <c r="AE434" s="250">
        <v>80000</v>
      </c>
      <c r="AF434" s="250">
        <v>25000</v>
      </c>
    </row>
    <row r="435" spans="2:32" x14ac:dyDescent="0.25">
      <c r="B435" s="63" t="s">
        <v>652</v>
      </c>
      <c r="C435" s="15" t="s">
        <v>337</v>
      </c>
      <c r="D435" s="15">
        <v>2007</v>
      </c>
      <c r="E435" s="16">
        <v>596715</v>
      </c>
      <c r="F435" s="15">
        <v>2.2000000000000002</v>
      </c>
      <c r="G435" s="15">
        <v>2.6</v>
      </c>
      <c r="H435" s="15" t="s">
        <v>340</v>
      </c>
      <c r="I435" s="249">
        <f t="shared" si="18"/>
        <v>1</v>
      </c>
      <c r="J435" s="143">
        <v>8333.3333333333339</v>
      </c>
      <c r="K435" s="249" t="s">
        <v>2378</v>
      </c>
      <c r="M435" s="249">
        <f t="shared" si="19"/>
        <v>8</v>
      </c>
      <c r="N435" s="249">
        <f t="shared" si="20"/>
        <v>7</v>
      </c>
      <c r="O435" s="15" t="s">
        <v>328</v>
      </c>
      <c r="P435" s="15"/>
      <c r="Q435" s="15"/>
      <c r="S435" s="15"/>
      <c r="T435" s="15"/>
      <c r="U435" s="15"/>
      <c r="V435" s="15"/>
      <c r="W435" s="15" t="s">
        <v>328</v>
      </c>
      <c r="X435" s="15"/>
      <c r="Z435" s="127">
        <v>0.5</v>
      </c>
      <c r="AA435" s="249">
        <v>3</v>
      </c>
      <c r="AB435" s="250">
        <v>18000</v>
      </c>
      <c r="AC435" s="250">
        <v>24000</v>
      </c>
      <c r="AD435" s="250">
        <v>200000</v>
      </c>
      <c r="AE435" s="250">
        <v>100000</v>
      </c>
      <c r="AF435" s="250">
        <v>18000</v>
      </c>
    </row>
    <row r="436" spans="2:32" x14ac:dyDescent="0.25">
      <c r="B436" s="63" t="s">
        <v>652</v>
      </c>
      <c r="C436" s="15" t="s">
        <v>337</v>
      </c>
      <c r="D436" s="15">
        <v>2007</v>
      </c>
      <c r="E436" s="16">
        <v>601214</v>
      </c>
      <c r="F436" s="15">
        <v>2.2000000000000002</v>
      </c>
      <c r="G436" s="15">
        <v>2.6</v>
      </c>
      <c r="H436" s="15" t="s">
        <v>340</v>
      </c>
      <c r="I436" s="249">
        <f t="shared" si="18"/>
        <v>1</v>
      </c>
      <c r="J436" s="143">
        <v>8333.3333333333339</v>
      </c>
      <c r="K436" s="249" t="s">
        <v>2378</v>
      </c>
      <c r="M436" s="249">
        <f t="shared" si="19"/>
        <v>8</v>
      </c>
      <c r="N436" s="249">
        <f t="shared" si="20"/>
        <v>7</v>
      </c>
      <c r="O436" s="15" t="s">
        <v>328</v>
      </c>
      <c r="P436" s="15"/>
      <c r="Q436" s="15"/>
      <c r="S436" s="15"/>
      <c r="T436" s="15"/>
      <c r="U436" s="15"/>
      <c r="V436" s="15"/>
      <c r="W436" s="15" t="s">
        <v>328</v>
      </c>
      <c r="X436" s="15"/>
      <c r="Z436" s="127">
        <v>0.5</v>
      </c>
      <c r="AA436" s="249">
        <v>3</v>
      </c>
      <c r="AB436" s="250">
        <v>18000</v>
      </c>
      <c r="AC436" s="250">
        <v>24000</v>
      </c>
      <c r="AD436" s="250">
        <v>200000</v>
      </c>
      <c r="AE436" s="250">
        <v>100000</v>
      </c>
      <c r="AF436" s="250">
        <v>18000</v>
      </c>
    </row>
    <row r="437" spans="2:32" x14ac:dyDescent="0.25">
      <c r="B437" s="63" t="s">
        <v>652</v>
      </c>
      <c r="C437" s="15" t="s">
        <v>337</v>
      </c>
      <c r="D437" s="15">
        <v>2007</v>
      </c>
      <c r="E437" s="16">
        <v>600997</v>
      </c>
      <c r="F437" s="15">
        <v>2.2000000000000002</v>
      </c>
      <c r="G437" s="15">
        <v>2.6</v>
      </c>
      <c r="H437" s="15" t="s">
        <v>340</v>
      </c>
      <c r="I437" s="249">
        <f t="shared" si="18"/>
        <v>1</v>
      </c>
      <c r="J437" s="143">
        <v>8333.3333333333339</v>
      </c>
      <c r="K437" s="249" t="s">
        <v>2378</v>
      </c>
      <c r="M437" s="249">
        <f t="shared" si="19"/>
        <v>8</v>
      </c>
      <c r="N437" s="249">
        <f t="shared" si="20"/>
        <v>7</v>
      </c>
      <c r="O437" s="15" t="s">
        <v>328</v>
      </c>
      <c r="P437" s="15"/>
      <c r="Q437" s="15"/>
      <c r="S437" s="15"/>
      <c r="T437" s="15"/>
      <c r="U437" s="15"/>
      <c r="V437" s="15"/>
      <c r="W437" s="15" t="s">
        <v>328</v>
      </c>
      <c r="X437" s="15"/>
      <c r="Z437" s="127">
        <v>0.5</v>
      </c>
      <c r="AA437" s="249">
        <v>3</v>
      </c>
      <c r="AB437" s="250">
        <v>18000</v>
      </c>
      <c r="AC437" s="250">
        <v>24000</v>
      </c>
      <c r="AD437" s="250">
        <v>200000</v>
      </c>
      <c r="AE437" s="250">
        <v>100000</v>
      </c>
      <c r="AF437" s="250">
        <v>18000</v>
      </c>
    </row>
    <row r="438" spans="2:32" x14ac:dyDescent="0.25">
      <c r="B438" s="63" t="s">
        <v>653</v>
      </c>
      <c r="C438" s="15" t="s">
        <v>337</v>
      </c>
      <c r="D438" s="15">
        <v>1999</v>
      </c>
      <c r="E438" s="16">
        <v>976215</v>
      </c>
      <c r="F438" s="15">
        <v>2.2000000000000002</v>
      </c>
      <c r="G438" s="15">
        <v>2.4</v>
      </c>
      <c r="H438" s="15" t="s">
        <v>340</v>
      </c>
      <c r="I438" s="249">
        <f t="shared" si="18"/>
        <v>1</v>
      </c>
      <c r="J438" s="143">
        <v>6000</v>
      </c>
      <c r="K438" s="249" t="s">
        <v>2378</v>
      </c>
      <c r="M438" s="249">
        <f t="shared" si="19"/>
        <v>16</v>
      </c>
      <c r="N438" s="249">
        <f t="shared" si="20"/>
        <v>15</v>
      </c>
      <c r="O438" s="15"/>
      <c r="P438" s="15" t="s">
        <v>328</v>
      </c>
      <c r="Q438" s="15"/>
      <c r="S438" s="15"/>
      <c r="T438" s="15"/>
      <c r="U438" s="15"/>
      <c r="V438" s="15"/>
      <c r="W438" s="15" t="s">
        <v>328</v>
      </c>
      <c r="X438" s="15"/>
      <c r="Z438" s="127" t="s">
        <v>352</v>
      </c>
      <c r="AA438" s="249">
        <v>1</v>
      </c>
      <c r="AB438" s="250">
        <v>22000</v>
      </c>
      <c r="AC438" s="250">
        <v>22000</v>
      </c>
      <c r="AD438" s="250">
        <v>200000</v>
      </c>
      <c r="AE438" s="250">
        <v>100000</v>
      </c>
      <c r="AF438" s="250">
        <v>22000</v>
      </c>
    </row>
    <row r="439" spans="2:32" x14ac:dyDescent="0.25">
      <c r="B439" s="63" t="s">
        <v>654</v>
      </c>
      <c r="C439" s="15" t="s">
        <v>337</v>
      </c>
      <c r="D439" s="15">
        <v>2000</v>
      </c>
      <c r="E439" s="16">
        <v>936000</v>
      </c>
      <c r="F439" s="15">
        <v>2.1</v>
      </c>
      <c r="G439" s="15">
        <v>2.7</v>
      </c>
      <c r="H439" s="15" t="s">
        <v>340</v>
      </c>
      <c r="I439" s="249">
        <f t="shared" si="18"/>
        <v>1</v>
      </c>
      <c r="J439" s="143">
        <v>6000</v>
      </c>
      <c r="K439" s="249" t="s">
        <v>2378</v>
      </c>
      <c r="M439" s="249">
        <f t="shared" si="19"/>
        <v>15</v>
      </c>
      <c r="N439" s="249">
        <f t="shared" si="20"/>
        <v>14</v>
      </c>
      <c r="O439" s="15"/>
      <c r="P439" s="15"/>
      <c r="Q439" s="15" t="s">
        <v>328</v>
      </c>
      <c r="S439" s="15"/>
      <c r="T439" s="15"/>
      <c r="U439" s="15"/>
      <c r="V439" s="15" t="s">
        <v>328</v>
      </c>
      <c r="W439" s="15"/>
      <c r="X439" s="15"/>
      <c r="Z439" s="127" t="s">
        <v>352</v>
      </c>
      <c r="AA439" s="249">
        <v>1</v>
      </c>
      <c r="AB439" s="250">
        <v>25000</v>
      </c>
      <c r="AC439" s="250">
        <v>25000</v>
      </c>
      <c r="AD439" s="250">
        <v>250000</v>
      </c>
      <c r="AE439" s="250">
        <v>150000</v>
      </c>
      <c r="AF439" s="250">
        <v>25000</v>
      </c>
    </row>
    <row r="440" spans="2:32" x14ac:dyDescent="0.25">
      <c r="B440" s="63" t="s">
        <v>655</v>
      </c>
      <c r="C440" s="15" t="s">
        <v>337</v>
      </c>
      <c r="D440" s="15">
        <v>2008</v>
      </c>
      <c r="E440" s="16">
        <v>423214</v>
      </c>
      <c r="F440" s="15">
        <v>2.2000000000000002</v>
      </c>
      <c r="G440" s="15">
        <v>2.6</v>
      </c>
      <c r="H440" s="15" t="s">
        <v>340</v>
      </c>
      <c r="I440" s="249">
        <f t="shared" si="18"/>
        <v>1</v>
      </c>
      <c r="J440" s="143">
        <v>6000</v>
      </c>
      <c r="K440" s="249" t="s">
        <v>2378</v>
      </c>
      <c r="M440" s="249">
        <f t="shared" si="19"/>
        <v>7</v>
      </c>
      <c r="N440" s="249">
        <f t="shared" si="20"/>
        <v>6</v>
      </c>
      <c r="O440" s="15" t="s">
        <v>328</v>
      </c>
      <c r="P440" s="15"/>
      <c r="Q440" s="15"/>
      <c r="S440" s="15"/>
      <c r="T440" s="15" t="s">
        <v>328</v>
      </c>
      <c r="U440" s="15"/>
      <c r="V440" s="15"/>
      <c r="W440" s="15"/>
      <c r="X440" s="15"/>
      <c r="Z440" s="127">
        <v>0.5</v>
      </c>
      <c r="AA440" s="249">
        <v>1</v>
      </c>
      <c r="AB440" s="250">
        <v>20000</v>
      </c>
      <c r="AC440" s="250">
        <v>30000</v>
      </c>
      <c r="AD440" s="250">
        <v>180000</v>
      </c>
      <c r="AE440" s="250">
        <v>120000</v>
      </c>
      <c r="AF440" s="250">
        <v>20000</v>
      </c>
    </row>
    <row r="441" spans="2:32" x14ac:dyDescent="0.25">
      <c r="B441" s="63" t="s">
        <v>656</v>
      </c>
      <c r="C441" s="15" t="s">
        <v>337</v>
      </c>
      <c r="D441" s="15">
        <v>2000</v>
      </c>
      <c r="E441" s="16">
        <v>1050411</v>
      </c>
      <c r="F441" s="15">
        <v>2</v>
      </c>
      <c r="G441" s="15">
        <v>2.5</v>
      </c>
      <c r="H441" s="15" t="s">
        <v>340</v>
      </c>
      <c r="I441" s="249">
        <f t="shared" si="18"/>
        <v>1</v>
      </c>
      <c r="J441" s="143">
        <v>7000</v>
      </c>
      <c r="K441" s="249" t="s">
        <v>2378</v>
      </c>
      <c r="M441" s="249">
        <f t="shared" si="19"/>
        <v>15</v>
      </c>
      <c r="N441" s="249">
        <f t="shared" si="20"/>
        <v>14</v>
      </c>
      <c r="O441" s="15"/>
      <c r="P441" s="15"/>
      <c r="Q441" s="15" t="s">
        <v>328</v>
      </c>
      <c r="S441" s="15"/>
      <c r="T441" s="15" t="s">
        <v>328</v>
      </c>
      <c r="U441" s="15"/>
      <c r="V441" s="15"/>
      <c r="W441" s="15"/>
      <c r="X441" s="15"/>
      <c r="Z441" s="127">
        <v>0.2</v>
      </c>
      <c r="AA441" s="249">
        <v>1</v>
      </c>
      <c r="AB441" s="250">
        <v>25000</v>
      </c>
      <c r="AC441" s="250">
        <v>25000</v>
      </c>
      <c r="AD441" s="250">
        <v>90000</v>
      </c>
      <c r="AE441" s="250">
        <v>100000</v>
      </c>
      <c r="AF441" s="250">
        <v>25000</v>
      </c>
    </row>
    <row r="442" spans="2:32" x14ac:dyDescent="0.25">
      <c r="B442" s="63" t="s">
        <v>657</v>
      </c>
      <c r="C442" s="14" t="s">
        <v>351</v>
      </c>
      <c r="D442" s="15">
        <v>1995</v>
      </c>
      <c r="E442" s="16">
        <v>864000</v>
      </c>
      <c r="F442" s="15">
        <v>3.2</v>
      </c>
      <c r="G442" s="15">
        <v>3.8</v>
      </c>
      <c r="H442" s="15" t="s">
        <v>340</v>
      </c>
      <c r="I442" s="249">
        <f t="shared" si="18"/>
        <v>1</v>
      </c>
      <c r="J442" s="143">
        <v>4000</v>
      </c>
      <c r="K442" s="249" t="s">
        <v>2378</v>
      </c>
      <c r="M442" s="249">
        <f t="shared" si="19"/>
        <v>20</v>
      </c>
      <c r="N442" s="249">
        <f t="shared" si="20"/>
        <v>19</v>
      </c>
      <c r="O442" s="15"/>
      <c r="P442" s="15"/>
      <c r="Q442" s="15" t="s">
        <v>328</v>
      </c>
      <c r="S442" s="15"/>
      <c r="T442" s="15" t="s">
        <v>328</v>
      </c>
      <c r="U442" s="15"/>
      <c r="V442" s="15"/>
      <c r="W442" s="15"/>
      <c r="X442" s="15"/>
      <c r="Z442" s="127">
        <v>0.2</v>
      </c>
      <c r="AA442" s="249">
        <v>1</v>
      </c>
      <c r="AB442" s="250">
        <v>15000</v>
      </c>
      <c r="AC442" s="250">
        <v>30000</v>
      </c>
      <c r="AD442" s="250">
        <v>180000</v>
      </c>
      <c r="AE442" s="250">
        <v>140000</v>
      </c>
      <c r="AF442" s="250">
        <v>15000</v>
      </c>
    </row>
    <row r="443" spans="2:32" x14ac:dyDescent="0.25">
      <c r="B443" s="63" t="s">
        <v>658</v>
      </c>
      <c r="C443" s="15" t="s">
        <v>348</v>
      </c>
      <c r="D443" s="15">
        <v>1995</v>
      </c>
      <c r="E443" s="16">
        <v>350217</v>
      </c>
      <c r="F443" s="15">
        <v>4.8</v>
      </c>
      <c r="G443" s="15">
        <v>5</v>
      </c>
      <c r="H443" s="15" t="s">
        <v>340</v>
      </c>
      <c r="I443" s="249">
        <f t="shared" si="18"/>
        <v>1</v>
      </c>
      <c r="J443" s="143">
        <v>3333.3333333333335</v>
      </c>
      <c r="K443" s="249" t="s">
        <v>2378</v>
      </c>
      <c r="M443" s="249">
        <f t="shared" si="19"/>
        <v>20</v>
      </c>
      <c r="N443" s="249">
        <f t="shared" si="20"/>
        <v>19</v>
      </c>
      <c r="O443" s="15"/>
      <c r="P443" s="15"/>
      <c r="Q443" s="15" t="s">
        <v>328</v>
      </c>
      <c r="S443" s="15" t="s">
        <v>328</v>
      </c>
      <c r="T443" s="15"/>
      <c r="U443" s="15"/>
      <c r="V443" s="15"/>
      <c r="W443" s="15"/>
      <c r="X443" s="15"/>
      <c r="Z443" s="127">
        <v>0.1</v>
      </c>
      <c r="AA443" s="249">
        <v>5</v>
      </c>
      <c r="AB443" s="250">
        <v>20000</v>
      </c>
      <c r="AC443" s="250">
        <v>20000</v>
      </c>
      <c r="AD443" s="250">
        <v>100000</v>
      </c>
      <c r="AE443" s="250">
        <v>100000</v>
      </c>
      <c r="AF443" s="250">
        <v>20000</v>
      </c>
    </row>
    <row r="444" spans="2:32" x14ac:dyDescent="0.25">
      <c r="B444" s="63" t="s">
        <v>658</v>
      </c>
      <c r="C444" s="15" t="s">
        <v>348</v>
      </c>
      <c r="D444" s="15">
        <v>1995</v>
      </c>
      <c r="E444" s="16">
        <v>367880</v>
      </c>
      <c r="F444" s="15">
        <v>4.8</v>
      </c>
      <c r="G444" s="15">
        <v>5</v>
      </c>
      <c r="H444" s="15" t="s">
        <v>340</v>
      </c>
      <c r="I444" s="249">
        <f t="shared" si="18"/>
        <v>1</v>
      </c>
      <c r="J444" s="143">
        <v>3333.3333333333335</v>
      </c>
      <c r="K444" s="249" t="s">
        <v>2378</v>
      </c>
      <c r="M444" s="249">
        <f t="shared" si="19"/>
        <v>20</v>
      </c>
      <c r="N444" s="249">
        <f t="shared" si="20"/>
        <v>19</v>
      </c>
      <c r="O444" s="15"/>
      <c r="P444" s="15"/>
      <c r="Q444" s="15" t="s">
        <v>328</v>
      </c>
      <c r="S444" s="15" t="s">
        <v>328</v>
      </c>
      <c r="T444" s="15"/>
      <c r="U444" s="15"/>
      <c r="V444" s="15"/>
      <c r="W444" s="15"/>
      <c r="X444" s="15"/>
      <c r="Z444" s="127">
        <v>0.1</v>
      </c>
      <c r="AA444" s="249">
        <v>5</v>
      </c>
      <c r="AB444" s="250">
        <v>20000</v>
      </c>
      <c r="AC444" s="250">
        <v>20000</v>
      </c>
      <c r="AD444" s="250">
        <v>100000</v>
      </c>
      <c r="AE444" s="250">
        <v>100000</v>
      </c>
      <c r="AF444" s="250">
        <v>20000</v>
      </c>
    </row>
    <row r="445" spans="2:32" x14ac:dyDescent="0.25">
      <c r="B445" s="63" t="s">
        <v>658</v>
      </c>
      <c r="C445" s="15" t="s">
        <v>348</v>
      </c>
      <c r="D445" s="15">
        <v>2005</v>
      </c>
      <c r="E445" s="16">
        <v>185322</v>
      </c>
      <c r="F445" s="15">
        <v>5</v>
      </c>
      <c r="G445" s="15">
        <v>5.5</v>
      </c>
      <c r="H445" s="15" t="s">
        <v>340</v>
      </c>
      <c r="I445" s="249">
        <f t="shared" si="18"/>
        <v>1</v>
      </c>
      <c r="J445" s="143">
        <v>3333.3333333333335</v>
      </c>
      <c r="K445" s="249" t="s">
        <v>2378</v>
      </c>
      <c r="M445" s="249">
        <f t="shared" si="19"/>
        <v>10</v>
      </c>
      <c r="N445" s="249">
        <f t="shared" si="20"/>
        <v>9</v>
      </c>
      <c r="O445" s="15" t="s">
        <v>328</v>
      </c>
      <c r="P445" s="15"/>
      <c r="Q445" s="15"/>
      <c r="S445" s="15" t="s">
        <v>328</v>
      </c>
      <c r="T445" s="15"/>
      <c r="U445" s="15"/>
      <c r="V445" s="15"/>
      <c r="W445" s="15"/>
      <c r="X445" s="15"/>
      <c r="Z445" s="127">
        <v>0.1</v>
      </c>
      <c r="AA445" s="249">
        <v>5</v>
      </c>
      <c r="AB445" s="250">
        <v>20000</v>
      </c>
      <c r="AC445" s="250">
        <v>20000</v>
      </c>
      <c r="AD445" s="250">
        <v>100000</v>
      </c>
      <c r="AE445" s="250">
        <v>100000</v>
      </c>
      <c r="AF445" s="250">
        <v>20000</v>
      </c>
    </row>
    <row r="446" spans="2:32" x14ac:dyDescent="0.25">
      <c r="B446" s="63" t="s">
        <v>658</v>
      </c>
      <c r="C446" s="15" t="s">
        <v>348</v>
      </c>
      <c r="D446" s="15">
        <v>2005</v>
      </c>
      <c r="E446" s="16">
        <v>203647</v>
      </c>
      <c r="F446" s="15">
        <v>5</v>
      </c>
      <c r="G446" s="15">
        <v>5.5</v>
      </c>
      <c r="H446" s="15" t="s">
        <v>340</v>
      </c>
      <c r="I446" s="249">
        <f t="shared" si="18"/>
        <v>1</v>
      </c>
      <c r="J446" s="143">
        <v>3333.3333333333335</v>
      </c>
      <c r="K446" s="249" t="s">
        <v>2378</v>
      </c>
      <c r="M446" s="249">
        <f t="shared" si="19"/>
        <v>10</v>
      </c>
      <c r="N446" s="249">
        <f t="shared" si="20"/>
        <v>9</v>
      </c>
      <c r="O446" s="15" t="s">
        <v>328</v>
      </c>
      <c r="P446" s="15"/>
      <c r="Q446" s="15"/>
      <c r="S446" s="15" t="s">
        <v>328</v>
      </c>
      <c r="T446" s="15"/>
      <c r="U446" s="15"/>
      <c r="V446" s="15"/>
      <c r="W446" s="15"/>
      <c r="X446" s="15"/>
      <c r="Z446" s="127">
        <v>0.1</v>
      </c>
      <c r="AA446" s="249">
        <v>5</v>
      </c>
      <c r="AB446" s="250">
        <v>20000</v>
      </c>
      <c r="AC446" s="250">
        <v>20000</v>
      </c>
      <c r="AD446" s="250">
        <v>100000</v>
      </c>
      <c r="AE446" s="250">
        <v>100000</v>
      </c>
      <c r="AF446" s="250">
        <v>20000</v>
      </c>
    </row>
    <row r="447" spans="2:32" x14ac:dyDescent="0.25">
      <c r="B447" s="63" t="s">
        <v>658</v>
      </c>
      <c r="C447" s="15" t="s">
        <v>348</v>
      </c>
      <c r="D447" s="15">
        <v>2005</v>
      </c>
      <c r="E447" s="16">
        <v>210815</v>
      </c>
      <c r="F447" s="15">
        <v>5</v>
      </c>
      <c r="G447" s="15">
        <v>5.5</v>
      </c>
      <c r="H447" s="15" t="s">
        <v>340</v>
      </c>
      <c r="I447" s="249">
        <f t="shared" si="18"/>
        <v>1</v>
      </c>
      <c r="J447" s="143">
        <v>3333.3333333333335</v>
      </c>
      <c r="K447" s="249" t="s">
        <v>2378</v>
      </c>
      <c r="M447" s="249">
        <f t="shared" si="19"/>
        <v>10</v>
      </c>
      <c r="N447" s="249">
        <f t="shared" si="20"/>
        <v>9</v>
      </c>
      <c r="O447" s="15" t="s">
        <v>328</v>
      </c>
      <c r="P447" s="15"/>
      <c r="Q447" s="15"/>
      <c r="S447" s="15" t="s">
        <v>328</v>
      </c>
      <c r="T447" s="15"/>
      <c r="U447" s="15"/>
      <c r="V447" s="15"/>
      <c r="W447" s="15"/>
      <c r="X447" s="15"/>
      <c r="Z447" s="127">
        <v>0.1</v>
      </c>
      <c r="AA447" s="249">
        <v>5</v>
      </c>
      <c r="AB447" s="250">
        <v>20000</v>
      </c>
      <c r="AC447" s="250">
        <v>20000</v>
      </c>
      <c r="AD447" s="250">
        <v>100000</v>
      </c>
      <c r="AE447" s="250">
        <v>100000</v>
      </c>
      <c r="AF447" s="250">
        <v>20000</v>
      </c>
    </row>
    <row r="448" spans="2:32" x14ac:dyDescent="0.25">
      <c r="B448" s="63" t="s">
        <v>659</v>
      </c>
      <c r="C448" s="14" t="s">
        <v>351</v>
      </c>
      <c r="D448" s="15">
        <v>1996</v>
      </c>
      <c r="E448" s="16">
        <v>1358270</v>
      </c>
      <c r="F448" s="15">
        <v>3.2</v>
      </c>
      <c r="G448" s="15">
        <v>3.8</v>
      </c>
      <c r="H448" s="15" t="s">
        <v>340</v>
      </c>
      <c r="I448" s="249">
        <f t="shared" si="18"/>
        <v>1</v>
      </c>
      <c r="J448" s="143">
        <v>5000</v>
      </c>
      <c r="K448" s="249" t="s">
        <v>2378</v>
      </c>
      <c r="M448" s="249">
        <f t="shared" si="19"/>
        <v>19</v>
      </c>
      <c r="N448" s="249">
        <f t="shared" si="20"/>
        <v>18</v>
      </c>
      <c r="O448" s="15"/>
      <c r="P448" s="15" t="s">
        <v>328</v>
      </c>
      <c r="Q448" s="15"/>
      <c r="S448" s="15"/>
      <c r="T448" s="15" t="s">
        <v>328</v>
      </c>
      <c r="U448" s="15"/>
      <c r="V448" s="15"/>
      <c r="W448" s="15"/>
      <c r="X448" s="15"/>
      <c r="Z448" s="127">
        <v>0.3</v>
      </c>
      <c r="AA448" s="249">
        <v>1</v>
      </c>
      <c r="AB448" s="250">
        <v>25000</v>
      </c>
      <c r="AC448" s="250">
        <v>25000</v>
      </c>
      <c r="AD448" s="250">
        <v>150000</v>
      </c>
      <c r="AE448" s="250">
        <v>150000</v>
      </c>
      <c r="AF448" s="250">
        <v>25000</v>
      </c>
    </row>
    <row r="449" spans="2:32" x14ac:dyDescent="0.25">
      <c r="B449" s="63" t="s">
        <v>660</v>
      </c>
      <c r="C449" s="15" t="s">
        <v>337</v>
      </c>
      <c r="D449" s="15">
        <v>2003</v>
      </c>
      <c r="E449" s="16">
        <v>627846</v>
      </c>
      <c r="F449" s="15">
        <v>2.1</v>
      </c>
      <c r="G449" s="15">
        <v>2.7</v>
      </c>
      <c r="H449" s="15" t="s">
        <v>340</v>
      </c>
      <c r="I449" s="249">
        <f t="shared" si="18"/>
        <v>1</v>
      </c>
      <c r="J449" s="143">
        <v>5000</v>
      </c>
      <c r="K449" s="249" t="s">
        <v>2378</v>
      </c>
      <c r="M449" s="249">
        <f t="shared" si="19"/>
        <v>12</v>
      </c>
      <c r="N449" s="249">
        <f t="shared" si="20"/>
        <v>11</v>
      </c>
      <c r="O449" s="15"/>
      <c r="P449" s="15" t="s">
        <v>328</v>
      </c>
      <c r="Q449" s="15"/>
      <c r="S449" s="15"/>
      <c r="T449" s="15"/>
      <c r="U449" s="15"/>
      <c r="V449" s="15"/>
      <c r="W449" s="15" t="s">
        <v>328</v>
      </c>
      <c r="X449" s="15"/>
      <c r="Z449" s="127">
        <v>0.1</v>
      </c>
      <c r="AA449" s="249">
        <v>1</v>
      </c>
      <c r="AB449" s="250">
        <v>30000</v>
      </c>
      <c r="AC449" s="250">
        <v>30000</v>
      </c>
      <c r="AD449" s="250">
        <v>180000</v>
      </c>
      <c r="AE449" s="250">
        <v>160000</v>
      </c>
      <c r="AF449" s="250">
        <v>25000</v>
      </c>
    </row>
    <row r="450" spans="2:32" x14ac:dyDescent="0.25">
      <c r="B450" s="63" t="s">
        <v>661</v>
      </c>
      <c r="C450" s="14" t="s">
        <v>351</v>
      </c>
      <c r="D450" s="15">
        <v>2005</v>
      </c>
      <c r="E450" s="16">
        <v>553172</v>
      </c>
      <c r="F450" s="15">
        <v>3.2</v>
      </c>
      <c r="G450" s="15">
        <v>3.6</v>
      </c>
      <c r="H450" s="15" t="s">
        <v>340</v>
      </c>
      <c r="I450" s="249">
        <f t="shared" si="18"/>
        <v>1</v>
      </c>
      <c r="J450" s="143">
        <v>5833.333333333333</v>
      </c>
      <c r="K450" s="249" t="s">
        <v>2378</v>
      </c>
      <c r="M450" s="249">
        <f t="shared" si="19"/>
        <v>10</v>
      </c>
      <c r="N450" s="249">
        <f t="shared" si="20"/>
        <v>9</v>
      </c>
      <c r="O450" s="15" t="s">
        <v>328</v>
      </c>
      <c r="P450" s="15"/>
      <c r="Q450" s="15"/>
      <c r="S450" s="15"/>
      <c r="T450" s="15"/>
      <c r="U450" s="15"/>
      <c r="V450" s="15"/>
      <c r="W450" s="15" t="s">
        <v>328</v>
      </c>
      <c r="X450" s="15"/>
      <c r="Z450" s="127">
        <v>0</v>
      </c>
      <c r="AA450" s="249">
        <v>1</v>
      </c>
      <c r="AB450" s="250">
        <v>25000</v>
      </c>
      <c r="AC450" s="250">
        <v>25000</v>
      </c>
      <c r="AD450" s="250">
        <v>150000</v>
      </c>
      <c r="AE450" s="250">
        <v>150000</v>
      </c>
      <c r="AF450" s="250">
        <v>25000</v>
      </c>
    </row>
    <row r="451" spans="2:32" x14ac:dyDescent="0.25">
      <c r="B451" s="63" t="s">
        <v>662</v>
      </c>
      <c r="C451" s="14" t="s">
        <v>351</v>
      </c>
      <c r="D451" s="15">
        <v>2008</v>
      </c>
      <c r="E451" s="16">
        <v>390456</v>
      </c>
      <c r="F451" s="15">
        <v>3.3</v>
      </c>
      <c r="G451" s="15">
        <v>3.8</v>
      </c>
      <c r="H451" s="15" t="s">
        <v>340</v>
      </c>
      <c r="I451" s="249">
        <f t="shared" si="18"/>
        <v>1</v>
      </c>
      <c r="J451" s="143">
        <v>6000</v>
      </c>
      <c r="K451" s="249" t="s">
        <v>2378</v>
      </c>
      <c r="M451" s="249">
        <f t="shared" si="19"/>
        <v>7</v>
      </c>
      <c r="N451" s="249">
        <f t="shared" si="20"/>
        <v>6</v>
      </c>
      <c r="O451" s="15" t="s">
        <v>328</v>
      </c>
      <c r="P451" s="15"/>
      <c r="Q451" s="15"/>
      <c r="S451" s="15"/>
      <c r="T451" s="15"/>
      <c r="U451" s="15"/>
      <c r="V451" s="15"/>
      <c r="W451" s="15" t="s">
        <v>328</v>
      </c>
      <c r="X451" s="15"/>
      <c r="Z451" s="127">
        <v>0.2</v>
      </c>
      <c r="AA451" s="249">
        <v>1</v>
      </c>
      <c r="AB451" s="250">
        <v>24000</v>
      </c>
      <c r="AC451" s="250">
        <v>24000</v>
      </c>
      <c r="AD451" s="250">
        <v>140000</v>
      </c>
      <c r="AE451" s="250">
        <v>140000</v>
      </c>
      <c r="AF451" s="250">
        <v>24000</v>
      </c>
    </row>
    <row r="452" spans="2:32" x14ac:dyDescent="0.25">
      <c r="B452" s="63" t="s">
        <v>663</v>
      </c>
      <c r="C452" s="14" t="s">
        <v>351</v>
      </c>
      <c r="D452" s="15">
        <v>1998</v>
      </c>
      <c r="E452" s="16">
        <v>836211</v>
      </c>
      <c r="F452" s="15">
        <v>3.2</v>
      </c>
      <c r="G452" s="15">
        <v>3.7</v>
      </c>
      <c r="H452" s="15" t="s">
        <v>340</v>
      </c>
      <c r="I452" s="249">
        <f t="shared" si="18"/>
        <v>1</v>
      </c>
      <c r="J452" s="143">
        <v>4000</v>
      </c>
      <c r="K452" s="249" t="s">
        <v>2378</v>
      </c>
      <c r="M452" s="249">
        <f t="shared" si="19"/>
        <v>17</v>
      </c>
      <c r="N452" s="249">
        <f t="shared" si="20"/>
        <v>16</v>
      </c>
      <c r="O452" s="15"/>
      <c r="P452" s="15" t="s">
        <v>328</v>
      </c>
      <c r="Q452" s="15"/>
      <c r="S452" s="15"/>
      <c r="T452" s="15"/>
      <c r="U452" s="15"/>
      <c r="V452" s="15"/>
      <c r="W452" s="15" t="s">
        <v>328</v>
      </c>
      <c r="X452" s="15"/>
      <c r="Z452" s="127">
        <v>0.05</v>
      </c>
      <c r="AA452" s="249">
        <v>1</v>
      </c>
      <c r="AB452" s="250">
        <v>25000</v>
      </c>
      <c r="AC452" s="250">
        <v>25000</v>
      </c>
      <c r="AD452" s="250">
        <v>200000</v>
      </c>
      <c r="AE452" s="250">
        <v>100000</v>
      </c>
      <c r="AF452" s="250">
        <v>25000</v>
      </c>
    </row>
    <row r="453" spans="2:32" x14ac:dyDescent="0.25">
      <c r="B453" s="63" t="s">
        <v>664</v>
      </c>
      <c r="C453" s="14" t="s">
        <v>351</v>
      </c>
      <c r="D453" s="15">
        <v>2000</v>
      </c>
      <c r="E453" s="16">
        <v>728619</v>
      </c>
      <c r="F453" s="15">
        <v>3.2</v>
      </c>
      <c r="G453" s="15">
        <v>3.7</v>
      </c>
      <c r="H453" s="15" t="s">
        <v>340</v>
      </c>
      <c r="I453" s="249">
        <f t="shared" si="18"/>
        <v>1</v>
      </c>
      <c r="J453" s="143">
        <v>5000</v>
      </c>
      <c r="K453" s="249" t="s">
        <v>2378</v>
      </c>
      <c r="M453" s="249">
        <f t="shared" si="19"/>
        <v>15</v>
      </c>
      <c r="N453" s="249">
        <f t="shared" si="20"/>
        <v>14</v>
      </c>
      <c r="O453" s="15"/>
      <c r="P453" s="15" t="s">
        <v>328</v>
      </c>
      <c r="Q453" s="15"/>
      <c r="S453" s="15"/>
      <c r="T453" s="15" t="s">
        <v>328</v>
      </c>
      <c r="U453" s="15"/>
      <c r="V453" s="15"/>
      <c r="W453" s="15"/>
      <c r="X453" s="15"/>
      <c r="Z453" s="127">
        <v>0.2</v>
      </c>
      <c r="AA453" s="249">
        <v>1</v>
      </c>
      <c r="AB453" s="250">
        <v>30000</v>
      </c>
      <c r="AC453" s="250">
        <v>30000</v>
      </c>
      <c r="AD453" s="250">
        <v>65000</v>
      </c>
      <c r="AE453" s="250">
        <v>95000</v>
      </c>
      <c r="AF453" s="250">
        <v>30000</v>
      </c>
    </row>
    <row r="454" spans="2:32" x14ac:dyDescent="0.25">
      <c r="B454" s="63" t="s">
        <v>665</v>
      </c>
      <c r="C454" s="15" t="s">
        <v>348</v>
      </c>
      <c r="D454" s="15">
        <v>2005</v>
      </c>
      <c r="E454" s="16">
        <v>515800</v>
      </c>
      <c r="F454" s="15">
        <v>4.9000000000000004</v>
      </c>
      <c r="G454" s="15">
        <v>5.3</v>
      </c>
      <c r="H454" s="15" t="s">
        <v>340</v>
      </c>
      <c r="I454" s="249">
        <f t="shared" ref="I454:I517" si="21">IF(F454&gt;G454,0,1)</f>
        <v>1</v>
      </c>
      <c r="J454" s="143">
        <v>6000</v>
      </c>
      <c r="K454" s="249" t="s">
        <v>2378</v>
      </c>
      <c r="M454" s="249">
        <f t="shared" ref="M454:M517" si="22">2015-D454</f>
        <v>10</v>
      </c>
      <c r="N454" s="249">
        <f t="shared" ref="N454:N517" si="23">2014-$D454</f>
        <v>9</v>
      </c>
      <c r="O454" s="15"/>
      <c r="P454" s="15" t="s">
        <v>328</v>
      </c>
      <c r="Q454" s="15"/>
      <c r="S454" s="15"/>
      <c r="T454" s="15" t="s">
        <v>328</v>
      </c>
      <c r="U454" s="15"/>
      <c r="V454" s="15"/>
      <c r="W454" s="15"/>
      <c r="X454" s="15"/>
      <c r="Z454" s="127">
        <v>0.5</v>
      </c>
      <c r="AA454" s="249">
        <v>1</v>
      </c>
      <c r="AB454" s="250">
        <v>24000</v>
      </c>
      <c r="AC454" s="250">
        <v>24000</v>
      </c>
      <c r="AD454" s="250">
        <v>130000</v>
      </c>
      <c r="AE454" s="250">
        <v>130000</v>
      </c>
      <c r="AF454" s="250">
        <v>24000</v>
      </c>
    </row>
    <row r="455" spans="2:32" x14ac:dyDescent="0.25">
      <c r="B455" s="63" t="s">
        <v>666</v>
      </c>
      <c r="C455" s="15" t="s">
        <v>348</v>
      </c>
      <c r="D455" s="15">
        <v>1997</v>
      </c>
      <c r="E455" s="16">
        <v>701968</v>
      </c>
      <c r="F455" s="15">
        <v>5</v>
      </c>
      <c r="G455" s="15">
        <v>5.8</v>
      </c>
      <c r="H455" s="15" t="s">
        <v>371</v>
      </c>
      <c r="I455" s="249">
        <f t="shared" si="21"/>
        <v>1</v>
      </c>
      <c r="J455" s="143">
        <v>3400</v>
      </c>
      <c r="K455" s="249" t="s">
        <v>2378</v>
      </c>
      <c r="M455" s="249">
        <f t="shared" si="22"/>
        <v>18</v>
      </c>
      <c r="N455" s="249">
        <f t="shared" si="23"/>
        <v>17</v>
      </c>
      <c r="O455" s="15"/>
      <c r="P455" s="15"/>
      <c r="Q455" s="15" t="s">
        <v>328</v>
      </c>
      <c r="S455" s="15"/>
      <c r="T455" s="15"/>
      <c r="U455" s="15"/>
      <c r="V455" s="15"/>
      <c r="W455" s="15" t="s">
        <v>328</v>
      </c>
      <c r="X455" s="15"/>
      <c r="Z455" s="127">
        <v>0</v>
      </c>
      <c r="AA455" s="249">
        <v>2</v>
      </c>
      <c r="AB455" s="250">
        <v>20000</v>
      </c>
      <c r="AC455" s="250">
        <v>20000</v>
      </c>
      <c r="AD455" s="250">
        <v>100000</v>
      </c>
      <c r="AE455" s="250">
        <v>100000</v>
      </c>
      <c r="AF455" s="250" t="s">
        <v>385</v>
      </c>
    </row>
    <row r="456" spans="2:32" x14ac:dyDescent="0.25">
      <c r="B456" s="63" t="s">
        <v>666</v>
      </c>
      <c r="C456" s="15" t="s">
        <v>348</v>
      </c>
      <c r="D456" s="15">
        <v>2001</v>
      </c>
      <c r="E456" s="16">
        <v>592344</v>
      </c>
      <c r="F456" s="15">
        <v>5.0999999999999996</v>
      </c>
      <c r="G456" s="15">
        <v>5.7</v>
      </c>
      <c r="H456" s="15" t="s">
        <v>371</v>
      </c>
      <c r="I456" s="249">
        <f t="shared" si="21"/>
        <v>1</v>
      </c>
      <c r="J456" s="143">
        <v>4000</v>
      </c>
      <c r="K456" s="249" t="s">
        <v>2378</v>
      </c>
      <c r="M456" s="249">
        <f t="shared" si="22"/>
        <v>14</v>
      </c>
      <c r="N456" s="249">
        <f t="shared" si="23"/>
        <v>13</v>
      </c>
      <c r="O456" s="15"/>
      <c r="P456" s="15"/>
      <c r="Q456" s="15" t="s">
        <v>328</v>
      </c>
      <c r="S456" s="15"/>
      <c r="T456" s="15"/>
      <c r="U456" s="15"/>
      <c r="V456" s="15"/>
      <c r="W456" s="15" t="s">
        <v>328</v>
      </c>
      <c r="X456" s="15"/>
      <c r="Z456" s="127">
        <v>0</v>
      </c>
      <c r="AA456" s="249">
        <v>2</v>
      </c>
      <c r="AB456" s="250">
        <v>20000</v>
      </c>
      <c r="AC456" s="250">
        <v>20000</v>
      </c>
      <c r="AD456" s="250">
        <v>100000</v>
      </c>
      <c r="AE456" s="250">
        <v>100000</v>
      </c>
      <c r="AF456" s="250" t="s">
        <v>385</v>
      </c>
    </row>
    <row r="457" spans="2:32" x14ac:dyDescent="0.25">
      <c r="B457" s="63" t="s">
        <v>667</v>
      </c>
      <c r="C457" s="14" t="s">
        <v>351</v>
      </c>
      <c r="D457" s="15">
        <v>2004</v>
      </c>
      <c r="E457" s="16">
        <v>473610</v>
      </c>
      <c r="F457" s="15">
        <v>3.2</v>
      </c>
      <c r="G457" s="15">
        <v>3.7</v>
      </c>
      <c r="H457" s="15" t="s">
        <v>340</v>
      </c>
      <c r="I457" s="249">
        <f t="shared" si="21"/>
        <v>1</v>
      </c>
      <c r="J457" s="143">
        <v>4000</v>
      </c>
      <c r="K457" s="249" t="s">
        <v>2378</v>
      </c>
      <c r="M457" s="249">
        <f t="shared" si="22"/>
        <v>11</v>
      </c>
      <c r="N457" s="249">
        <f t="shared" si="23"/>
        <v>10</v>
      </c>
      <c r="O457" s="15"/>
      <c r="P457" s="15" t="s">
        <v>328</v>
      </c>
      <c r="Q457" s="15"/>
      <c r="S457" s="15"/>
      <c r="T457" s="15"/>
      <c r="U457" s="15"/>
      <c r="V457" s="15"/>
      <c r="W457" s="15" t="s">
        <v>328</v>
      </c>
      <c r="X457" s="15"/>
      <c r="Z457" s="127">
        <v>0.05</v>
      </c>
      <c r="AA457" s="249">
        <v>1</v>
      </c>
      <c r="AB457" s="250">
        <v>28000</v>
      </c>
      <c r="AC457" s="250">
        <v>28000</v>
      </c>
      <c r="AD457" s="250">
        <v>250000</v>
      </c>
      <c r="AE457" s="250">
        <v>120000</v>
      </c>
      <c r="AF457" s="250">
        <v>28000</v>
      </c>
    </row>
    <row r="458" spans="2:32" x14ac:dyDescent="0.25">
      <c r="B458" s="63" t="s">
        <v>668</v>
      </c>
      <c r="C458" s="15" t="s">
        <v>337</v>
      </c>
      <c r="D458" s="15">
        <v>2008</v>
      </c>
      <c r="E458" s="16">
        <v>323817</v>
      </c>
      <c r="F458" s="15">
        <v>2.5</v>
      </c>
      <c r="G458" s="15">
        <v>2.7</v>
      </c>
      <c r="H458" s="15" t="s">
        <v>340</v>
      </c>
      <c r="I458" s="249">
        <f t="shared" si="21"/>
        <v>1</v>
      </c>
      <c r="J458" s="143">
        <v>4000</v>
      </c>
      <c r="K458" s="249" t="s">
        <v>2378</v>
      </c>
      <c r="M458" s="249">
        <f t="shared" si="22"/>
        <v>7</v>
      </c>
      <c r="N458" s="249">
        <f t="shared" si="23"/>
        <v>6</v>
      </c>
      <c r="O458" s="15" t="s">
        <v>328</v>
      </c>
      <c r="P458" s="15"/>
      <c r="Q458" s="15"/>
      <c r="S458" s="15"/>
      <c r="T458" s="15"/>
      <c r="U458" s="15"/>
      <c r="V458" s="15"/>
      <c r="W458" s="15" t="s">
        <v>328</v>
      </c>
      <c r="X458" s="15"/>
      <c r="Z458" s="127">
        <v>0.5</v>
      </c>
      <c r="AA458" s="249">
        <v>2</v>
      </c>
      <c r="AB458" s="250">
        <v>25000</v>
      </c>
      <c r="AC458" s="250">
        <v>25000</v>
      </c>
      <c r="AD458" s="250">
        <v>250000</v>
      </c>
      <c r="AE458" s="250">
        <v>100000</v>
      </c>
      <c r="AF458" s="250">
        <v>25000</v>
      </c>
    </row>
    <row r="459" spans="2:32" x14ac:dyDescent="0.25">
      <c r="B459" s="63" t="s">
        <v>668</v>
      </c>
      <c r="C459" s="15" t="s">
        <v>337</v>
      </c>
      <c r="D459" s="15">
        <v>2008</v>
      </c>
      <c r="E459" s="16">
        <v>315902</v>
      </c>
      <c r="F459" s="15">
        <v>2.5</v>
      </c>
      <c r="G459" s="15">
        <v>2.7</v>
      </c>
      <c r="H459" s="15" t="s">
        <v>340</v>
      </c>
      <c r="I459" s="249">
        <f t="shared" si="21"/>
        <v>1</v>
      </c>
      <c r="J459" s="143">
        <v>4000</v>
      </c>
      <c r="K459" s="249" t="s">
        <v>2378</v>
      </c>
      <c r="M459" s="249">
        <f t="shared" si="22"/>
        <v>7</v>
      </c>
      <c r="N459" s="249">
        <f t="shared" si="23"/>
        <v>6</v>
      </c>
      <c r="O459" s="15" t="s">
        <v>328</v>
      </c>
      <c r="P459" s="15"/>
      <c r="Q459" s="15"/>
      <c r="S459" s="15"/>
      <c r="T459" s="15"/>
      <c r="U459" s="15"/>
      <c r="V459" s="15"/>
      <c r="W459" s="15" t="s">
        <v>328</v>
      </c>
      <c r="X459" s="15"/>
      <c r="Z459" s="127">
        <v>0.5</v>
      </c>
      <c r="AA459" s="249">
        <v>2</v>
      </c>
      <c r="AB459" s="250">
        <v>25000</v>
      </c>
      <c r="AC459" s="250">
        <v>25000</v>
      </c>
      <c r="AD459" s="250">
        <v>250000</v>
      </c>
      <c r="AE459" s="250">
        <v>100000</v>
      </c>
      <c r="AF459" s="250">
        <v>25000</v>
      </c>
    </row>
    <row r="460" spans="2:32" x14ac:dyDescent="0.25">
      <c r="B460" s="63" t="s">
        <v>669</v>
      </c>
      <c r="C460" s="15" t="s">
        <v>337</v>
      </c>
      <c r="D460" s="15">
        <v>2007</v>
      </c>
      <c r="E460" s="16">
        <v>731685</v>
      </c>
      <c r="F460" s="15">
        <v>2.5</v>
      </c>
      <c r="G460" s="15">
        <v>2.8</v>
      </c>
      <c r="H460" s="15" t="s">
        <v>340</v>
      </c>
      <c r="I460" s="249">
        <f t="shared" si="21"/>
        <v>1</v>
      </c>
      <c r="J460" s="143">
        <v>10000</v>
      </c>
      <c r="K460" s="249" t="s">
        <v>2379</v>
      </c>
      <c r="M460" s="249">
        <f t="shared" si="22"/>
        <v>8</v>
      </c>
      <c r="N460" s="249">
        <f t="shared" si="23"/>
        <v>7</v>
      </c>
      <c r="O460" s="15"/>
      <c r="P460" s="15" t="s">
        <v>328</v>
      </c>
      <c r="Q460" s="15"/>
      <c r="S460" s="15"/>
      <c r="T460" s="15"/>
      <c r="U460" s="15"/>
      <c r="V460" s="15"/>
      <c r="W460" s="15" t="s">
        <v>328</v>
      </c>
      <c r="X460" s="15"/>
      <c r="Z460" s="127">
        <v>0</v>
      </c>
      <c r="AA460" s="249">
        <v>8</v>
      </c>
      <c r="AB460" s="250">
        <v>20000</v>
      </c>
      <c r="AC460" s="250">
        <v>20000</v>
      </c>
      <c r="AD460" s="250">
        <v>240000</v>
      </c>
      <c r="AE460" s="250">
        <v>120000</v>
      </c>
      <c r="AF460" s="250">
        <v>20000</v>
      </c>
    </row>
    <row r="461" spans="2:32" x14ac:dyDescent="0.25">
      <c r="B461" s="63" t="s">
        <v>669</v>
      </c>
      <c r="C461" s="15" t="s">
        <v>337</v>
      </c>
      <c r="D461" s="15">
        <v>2007</v>
      </c>
      <c r="E461" s="16">
        <v>750217</v>
      </c>
      <c r="F461" s="15">
        <v>2.5</v>
      </c>
      <c r="G461" s="15">
        <v>2.8</v>
      </c>
      <c r="H461" s="15" t="s">
        <v>340</v>
      </c>
      <c r="I461" s="249">
        <f t="shared" si="21"/>
        <v>1</v>
      </c>
      <c r="J461" s="143">
        <v>10000</v>
      </c>
      <c r="K461" s="249" t="s">
        <v>2379</v>
      </c>
      <c r="M461" s="249">
        <f t="shared" si="22"/>
        <v>8</v>
      </c>
      <c r="N461" s="249">
        <f t="shared" si="23"/>
        <v>7</v>
      </c>
      <c r="O461" s="15"/>
      <c r="P461" s="15" t="s">
        <v>328</v>
      </c>
      <c r="Q461" s="15"/>
      <c r="S461" s="15"/>
      <c r="T461" s="15"/>
      <c r="U461" s="15"/>
      <c r="V461" s="15"/>
      <c r="W461" s="15" t="s">
        <v>328</v>
      </c>
      <c r="X461" s="15"/>
      <c r="Z461" s="127">
        <v>0</v>
      </c>
      <c r="AA461" s="249">
        <v>8</v>
      </c>
      <c r="AB461" s="250">
        <v>20000</v>
      </c>
      <c r="AC461" s="250">
        <v>20000</v>
      </c>
      <c r="AD461" s="250">
        <v>240000</v>
      </c>
      <c r="AE461" s="250">
        <v>120000</v>
      </c>
      <c r="AF461" s="250">
        <v>20000</v>
      </c>
    </row>
    <row r="462" spans="2:32" x14ac:dyDescent="0.25">
      <c r="B462" s="63" t="s">
        <v>669</v>
      </c>
      <c r="C462" s="15" t="s">
        <v>337</v>
      </c>
      <c r="D462" s="15">
        <v>2007</v>
      </c>
      <c r="E462" s="16">
        <v>706990</v>
      </c>
      <c r="F462" s="15">
        <v>2.5</v>
      </c>
      <c r="G462" s="15">
        <v>2.8</v>
      </c>
      <c r="H462" s="15" t="s">
        <v>340</v>
      </c>
      <c r="I462" s="249">
        <f t="shared" si="21"/>
        <v>1</v>
      </c>
      <c r="J462" s="143">
        <v>10000</v>
      </c>
      <c r="K462" s="249" t="s">
        <v>2379</v>
      </c>
      <c r="M462" s="249">
        <f t="shared" si="22"/>
        <v>8</v>
      </c>
      <c r="N462" s="249">
        <f t="shared" si="23"/>
        <v>7</v>
      </c>
      <c r="O462" s="15"/>
      <c r="P462" s="15" t="s">
        <v>328</v>
      </c>
      <c r="Q462" s="15"/>
      <c r="S462" s="15"/>
      <c r="T462" s="15"/>
      <c r="U462" s="15"/>
      <c r="V462" s="15"/>
      <c r="W462" s="15" t="s">
        <v>328</v>
      </c>
      <c r="X462" s="15"/>
      <c r="Z462" s="127">
        <v>0</v>
      </c>
      <c r="AA462" s="249">
        <v>8</v>
      </c>
      <c r="AB462" s="250">
        <v>20000</v>
      </c>
      <c r="AC462" s="250">
        <v>20000</v>
      </c>
      <c r="AD462" s="250">
        <v>240000</v>
      </c>
      <c r="AE462" s="250">
        <v>120000</v>
      </c>
      <c r="AF462" s="250">
        <v>20000</v>
      </c>
    </row>
    <row r="463" spans="2:32" x14ac:dyDescent="0.25">
      <c r="B463" s="63" t="s">
        <v>669</v>
      </c>
      <c r="C463" s="15" t="s">
        <v>337</v>
      </c>
      <c r="D463" s="15">
        <v>2008</v>
      </c>
      <c r="E463" s="16">
        <v>622849</v>
      </c>
      <c r="F463" s="15">
        <v>2.5</v>
      </c>
      <c r="G463" s="15">
        <v>2.8</v>
      </c>
      <c r="H463" s="15" t="s">
        <v>340</v>
      </c>
      <c r="I463" s="249">
        <f t="shared" si="21"/>
        <v>1</v>
      </c>
      <c r="J463" s="143">
        <v>10000</v>
      </c>
      <c r="K463" s="249" t="s">
        <v>2379</v>
      </c>
      <c r="M463" s="249">
        <f t="shared" si="22"/>
        <v>7</v>
      </c>
      <c r="N463" s="249">
        <f t="shared" si="23"/>
        <v>6</v>
      </c>
      <c r="O463" s="15"/>
      <c r="P463" s="15" t="s">
        <v>328</v>
      </c>
      <c r="Q463" s="15"/>
      <c r="S463" s="15"/>
      <c r="T463" s="15"/>
      <c r="U463" s="15"/>
      <c r="V463" s="15"/>
      <c r="W463" s="15" t="s">
        <v>328</v>
      </c>
      <c r="X463" s="15"/>
      <c r="Z463" s="127">
        <v>0</v>
      </c>
      <c r="AA463" s="249">
        <v>8</v>
      </c>
      <c r="AB463" s="250">
        <v>20000</v>
      </c>
      <c r="AC463" s="250">
        <v>20000</v>
      </c>
      <c r="AD463" s="250">
        <v>240000</v>
      </c>
      <c r="AE463" s="250">
        <v>120000</v>
      </c>
      <c r="AF463" s="250">
        <v>20000</v>
      </c>
    </row>
    <row r="464" spans="2:32" x14ac:dyDescent="0.25">
      <c r="B464" s="63" t="s">
        <v>669</v>
      </c>
      <c r="C464" s="15" t="s">
        <v>337</v>
      </c>
      <c r="D464" s="15">
        <v>2008</v>
      </c>
      <c r="E464" s="16">
        <v>627231</v>
      </c>
      <c r="F464" s="15">
        <v>2.5</v>
      </c>
      <c r="G464" s="15">
        <v>2.8</v>
      </c>
      <c r="H464" s="15" t="s">
        <v>340</v>
      </c>
      <c r="I464" s="249">
        <f t="shared" si="21"/>
        <v>1</v>
      </c>
      <c r="J464" s="143">
        <v>10000</v>
      </c>
      <c r="K464" s="249" t="s">
        <v>2379</v>
      </c>
      <c r="M464" s="249">
        <f t="shared" si="22"/>
        <v>7</v>
      </c>
      <c r="N464" s="249">
        <f t="shared" si="23"/>
        <v>6</v>
      </c>
      <c r="O464" s="15"/>
      <c r="P464" s="15" t="s">
        <v>328</v>
      </c>
      <c r="Q464" s="15"/>
      <c r="S464" s="15"/>
      <c r="T464" s="15"/>
      <c r="U464" s="15"/>
      <c r="V464" s="15"/>
      <c r="W464" s="15" t="s">
        <v>328</v>
      </c>
      <c r="X464" s="15"/>
      <c r="Z464" s="127">
        <v>0</v>
      </c>
      <c r="AA464" s="249">
        <v>8</v>
      </c>
      <c r="AB464" s="250">
        <v>20000</v>
      </c>
      <c r="AC464" s="250">
        <v>20000</v>
      </c>
      <c r="AD464" s="250">
        <v>240000</v>
      </c>
      <c r="AE464" s="250">
        <v>120000</v>
      </c>
      <c r="AF464" s="250">
        <v>20000</v>
      </c>
    </row>
    <row r="465" spans="2:32" x14ac:dyDescent="0.25">
      <c r="B465" s="63" t="s">
        <v>669</v>
      </c>
      <c r="C465" s="15" t="s">
        <v>337</v>
      </c>
      <c r="D465" s="15">
        <v>2009</v>
      </c>
      <c r="E465" s="16">
        <v>596805</v>
      </c>
      <c r="F465" s="15">
        <v>2.5</v>
      </c>
      <c r="G465" s="15">
        <v>2.8</v>
      </c>
      <c r="H465" s="15" t="s">
        <v>340</v>
      </c>
      <c r="I465" s="249">
        <f t="shared" si="21"/>
        <v>1</v>
      </c>
      <c r="J465" s="143">
        <v>10000</v>
      </c>
      <c r="K465" s="249" t="s">
        <v>2379</v>
      </c>
      <c r="M465" s="249">
        <f t="shared" si="22"/>
        <v>6</v>
      </c>
      <c r="N465" s="249">
        <f t="shared" si="23"/>
        <v>5</v>
      </c>
      <c r="O465" s="15" t="s">
        <v>328</v>
      </c>
      <c r="P465" s="15"/>
      <c r="Q465" s="15"/>
      <c r="S465" s="15"/>
      <c r="T465" s="15"/>
      <c r="U465" s="15"/>
      <c r="V465" s="15"/>
      <c r="W465" s="15"/>
      <c r="X465" s="15" t="s">
        <v>328</v>
      </c>
      <c r="Z465" s="127">
        <v>0</v>
      </c>
      <c r="AA465" s="249">
        <v>8</v>
      </c>
      <c r="AB465" s="250">
        <v>20000</v>
      </c>
      <c r="AC465" s="250">
        <v>20000</v>
      </c>
      <c r="AD465" s="250">
        <v>240000</v>
      </c>
      <c r="AE465" s="250">
        <v>120000</v>
      </c>
      <c r="AF465" s="250">
        <v>20000</v>
      </c>
    </row>
    <row r="466" spans="2:32" x14ac:dyDescent="0.25">
      <c r="B466" s="63" t="s">
        <v>669</v>
      </c>
      <c r="C466" s="15" t="s">
        <v>337</v>
      </c>
      <c r="D466" s="15">
        <v>2010</v>
      </c>
      <c r="E466" s="16">
        <v>371652</v>
      </c>
      <c r="F466" s="15">
        <v>2.5</v>
      </c>
      <c r="G466" s="15">
        <v>2.8</v>
      </c>
      <c r="H466" s="15" t="s">
        <v>340</v>
      </c>
      <c r="I466" s="249">
        <f t="shared" si="21"/>
        <v>1</v>
      </c>
      <c r="J466" s="143">
        <v>10000</v>
      </c>
      <c r="K466" s="249" t="s">
        <v>2379</v>
      </c>
      <c r="M466" s="249">
        <f t="shared" si="22"/>
        <v>5</v>
      </c>
      <c r="N466" s="249">
        <f t="shared" si="23"/>
        <v>4</v>
      </c>
      <c r="O466" s="15" t="s">
        <v>328</v>
      </c>
      <c r="P466" s="15"/>
      <c r="Q466" s="15"/>
      <c r="S466" s="15"/>
      <c r="T466" s="15"/>
      <c r="U466" s="15"/>
      <c r="V466" s="15"/>
      <c r="W466" s="15"/>
      <c r="X466" s="15" t="s">
        <v>328</v>
      </c>
      <c r="Z466" s="127">
        <v>0</v>
      </c>
      <c r="AA466" s="249">
        <v>8</v>
      </c>
      <c r="AB466" s="250">
        <v>20000</v>
      </c>
      <c r="AC466" s="250">
        <v>20000</v>
      </c>
      <c r="AD466" s="250">
        <v>240000</v>
      </c>
      <c r="AE466" s="250">
        <v>120000</v>
      </c>
      <c r="AF466" s="250">
        <v>20000</v>
      </c>
    </row>
    <row r="467" spans="2:32" x14ac:dyDescent="0.25">
      <c r="B467" s="63" t="s">
        <v>669</v>
      </c>
      <c r="C467" s="15" t="s">
        <v>337</v>
      </c>
      <c r="D467" s="15">
        <v>2010</v>
      </c>
      <c r="E467" s="16">
        <v>358923</v>
      </c>
      <c r="F467" s="15">
        <v>2.5</v>
      </c>
      <c r="G467" s="15">
        <v>2.8</v>
      </c>
      <c r="H467" s="15" t="s">
        <v>340</v>
      </c>
      <c r="I467" s="249">
        <f t="shared" si="21"/>
        <v>1</v>
      </c>
      <c r="J467" s="143">
        <v>10000</v>
      </c>
      <c r="K467" s="249" t="s">
        <v>2379</v>
      </c>
      <c r="M467" s="249">
        <f t="shared" si="22"/>
        <v>5</v>
      </c>
      <c r="N467" s="249">
        <f t="shared" si="23"/>
        <v>4</v>
      </c>
      <c r="O467" s="15" t="s">
        <v>328</v>
      </c>
      <c r="P467" s="15"/>
      <c r="Q467" s="15"/>
      <c r="S467" s="15"/>
      <c r="T467" s="15"/>
      <c r="U467" s="15"/>
      <c r="V467" s="15"/>
      <c r="W467" s="15"/>
      <c r="X467" s="15" t="s">
        <v>328</v>
      </c>
      <c r="Z467" s="127">
        <v>0</v>
      </c>
      <c r="AA467" s="249">
        <v>8</v>
      </c>
      <c r="AB467" s="250">
        <v>20000</v>
      </c>
      <c r="AC467" s="250">
        <v>20000</v>
      </c>
      <c r="AD467" s="250">
        <v>240000</v>
      </c>
      <c r="AE467" s="250">
        <v>120000</v>
      </c>
      <c r="AF467" s="250">
        <v>20000</v>
      </c>
    </row>
    <row r="468" spans="2:32" x14ac:dyDescent="0.25">
      <c r="B468" s="63" t="s">
        <v>670</v>
      </c>
      <c r="C468" s="15" t="s">
        <v>337</v>
      </c>
      <c r="D468" s="15">
        <v>2003</v>
      </c>
      <c r="E468" s="16">
        <v>899123</v>
      </c>
      <c r="F468" s="15">
        <v>1.5</v>
      </c>
      <c r="G468" s="15">
        <v>1.9</v>
      </c>
      <c r="H468" s="15" t="s">
        <v>340</v>
      </c>
      <c r="I468" s="249">
        <f t="shared" si="21"/>
        <v>1</v>
      </c>
      <c r="J468" s="143">
        <v>8000</v>
      </c>
      <c r="K468" s="249" t="s">
        <v>2378</v>
      </c>
      <c r="M468" s="249">
        <f t="shared" si="22"/>
        <v>12</v>
      </c>
      <c r="N468" s="249">
        <f t="shared" si="23"/>
        <v>11</v>
      </c>
      <c r="O468" s="15"/>
      <c r="P468" s="15" t="s">
        <v>328</v>
      </c>
      <c r="Q468" s="15"/>
      <c r="S468" s="15"/>
      <c r="T468" s="15"/>
      <c r="U468" s="15"/>
      <c r="V468" s="15"/>
      <c r="W468" s="15" t="s">
        <v>328</v>
      </c>
      <c r="X468" s="15"/>
      <c r="Z468" s="127">
        <v>0.5</v>
      </c>
      <c r="AA468" s="249">
        <v>3</v>
      </c>
      <c r="AB468" s="250">
        <v>24000</v>
      </c>
      <c r="AC468" s="250">
        <v>24000</v>
      </c>
      <c r="AD468" s="250">
        <v>240000</v>
      </c>
      <c r="AE468" s="250">
        <v>100000</v>
      </c>
      <c r="AF468" s="250">
        <v>24000</v>
      </c>
    </row>
    <row r="469" spans="2:32" x14ac:dyDescent="0.25">
      <c r="B469" s="63" t="s">
        <v>670</v>
      </c>
      <c r="C469" s="15" t="s">
        <v>337</v>
      </c>
      <c r="D469" s="15">
        <v>2003</v>
      </c>
      <c r="E469" s="16">
        <v>876785</v>
      </c>
      <c r="F469" s="15">
        <v>1.5</v>
      </c>
      <c r="G469" s="15">
        <v>1.9</v>
      </c>
      <c r="H469" s="15" t="s">
        <v>340</v>
      </c>
      <c r="I469" s="249">
        <f t="shared" si="21"/>
        <v>1</v>
      </c>
      <c r="J469" s="143">
        <v>8000</v>
      </c>
      <c r="K469" s="249" t="s">
        <v>2378</v>
      </c>
      <c r="M469" s="249">
        <f t="shared" si="22"/>
        <v>12</v>
      </c>
      <c r="N469" s="249">
        <f t="shared" si="23"/>
        <v>11</v>
      </c>
      <c r="O469" s="15"/>
      <c r="P469" s="15" t="s">
        <v>328</v>
      </c>
      <c r="Q469" s="15"/>
      <c r="S469" s="15"/>
      <c r="T469" s="15"/>
      <c r="U469" s="15"/>
      <c r="V469" s="15"/>
      <c r="W469" s="15" t="s">
        <v>328</v>
      </c>
      <c r="X469" s="15"/>
      <c r="Z469" s="127">
        <v>0.5</v>
      </c>
      <c r="AA469" s="249">
        <v>3</v>
      </c>
      <c r="AB469" s="250">
        <v>24000</v>
      </c>
      <c r="AC469" s="250">
        <v>24000</v>
      </c>
      <c r="AD469" s="250">
        <v>240000</v>
      </c>
      <c r="AE469" s="250">
        <v>100000</v>
      </c>
      <c r="AF469" s="250">
        <v>24000</v>
      </c>
    </row>
    <row r="470" spans="2:32" x14ac:dyDescent="0.25">
      <c r="B470" s="63" t="s">
        <v>670</v>
      </c>
      <c r="C470" s="15" t="s">
        <v>337</v>
      </c>
      <c r="D470" s="15">
        <v>2009</v>
      </c>
      <c r="E470" s="16">
        <v>395201</v>
      </c>
      <c r="F470" s="15">
        <v>1.6</v>
      </c>
      <c r="G470" s="15">
        <v>1.9</v>
      </c>
      <c r="H470" s="15" t="s">
        <v>340</v>
      </c>
      <c r="I470" s="249">
        <f t="shared" si="21"/>
        <v>1</v>
      </c>
      <c r="J470" s="143">
        <v>8000</v>
      </c>
      <c r="K470" s="249" t="s">
        <v>2378</v>
      </c>
      <c r="M470" s="249">
        <f t="shared" si="22"/>
        <v>6</v>
      </c>
      <c r="N470" s="249">
        <f t="shared" si="23"/>
        <v>5</v>
      </c>
      <c r="O470" s="15"/>
      <c r="P470" s="15" t="s">
        <v>328</v>
      </c>
      <c r="Q470" s="15"/>
      <c r="S470" s="15"/>
      <c r="T470" s="15"/>
      <c r="U470" s="15"/>
      <c r="V470" s="15"/>
      <c r="W470" s="15"/>
      <c r="X470" s="15" t="s">
        <v>328</v>
      </c>
      <c r="Z470" s="127">
        <v>0.5</v>
      </c>
      <c r="AA470" s="249">
        <v>3</v>
      </c>
      <c r="AB470" s="250">
        <v>24000</v>
      </c>
      <c r="AC470" s="250">
        <v>24000</v>
      </c>
      <c r="AD470" s="250">
        <v>240000</v>
      </c>
      <c r="AE470" s="250">
        <v>100000</v>
      </c>
      <c r="AF470" s="250">
        <v>24000</v>
      </c>
    </row>
    <row r="471" spans="2:32" x14ac:dyDescent="0.25">
      <c r="B471" s="63" t="s">
        <v>671</v>
      </c>
      <c r="C471" s="15" t="s">
        <v>337</v>
      </c>
      <c r="D471" s="15">
        <v>1998</v>
      </c>
      <c r="E471" s="16">
        <v>1056371</v>
      </c>
      <c r="F471" s="15">
        <v>2.4</v>
      </c>
      <c r="G471" s="15">
        <v>2.7</v>
      </c>
      <c r="H471" s="15" t="s">
        <v>340</v>
      </c>
      <c r="I471" s="249">
        <f t="shared" si="21"/>
        <v>1</v>
      </c>
      <c r="J471" s="143">
        <v>6000</v>
      </c>
      <c r="K471" s="249" t="s">
        <v>2378</v>
      </c>
      <c r="M471" s="249">
        <f t="shared" si="22"/>
        <v>17</v>
      </c>
      <c r="N471" s="249">
        <f t="shared" si="23"/>
        <v>16</v>
      </c>
      <c r="O471" s="15"/>
      <c r="P471" s="15"/>
      <c r="Q471" s="15" t="s">
        <v>328</v>
      </c>
      <c r="S471" s="15"/>
      <c r="T471" s="15" t="s">
        <v>328</v>
      </c>
      <c r="U471" s="15"/>
      <c r="V471" s="15"/>
      <c r="W471" s="15"/>
      <c r="X471" s="15"/>
      <c r="Z471" s="127">
        <v>0.2</v>
      </c>
      <c r="AA471" s="249">
        <v>1</v>
      </c>
      <c r="AB471" s="250">
        <v>18000</v>
      </c>
      <c r="AC471" s="250">
        <v>36000</v>
      </c>
      <c r="AD471" s="250">
        <v>90000</v>
      </c>
      <c r="AE471" s="250">
        <v>130000</v>
      </c>
      <c r="AF471" s="250">
        <v>18000</v>
      </c>
    </row>
    <row r="472" spans="2:32" x14ac:dyDescent="0.25">
      <c r="B472" s="63" t="s">
        <v>672</v>
      </c>
      <c r="C472" s="15" t="s">
        <v>348</v>
      </c>
      <c r="D472" s="15">
        <v>2003</v>
      </c>
      <c r="E472" s="16">
        <v>613702</v>
      </c>
      <c r="F472" s="15">
        <v>3.9</v>
      </c>
      <c r="G472" s="15">
        <v>4.3</v>
      </c>
      <c r="H472" s="15" t="s">
        <v>340</v>
      </c>
      <c r="I472" s="249">
        <f t="shared" si="21"/>
        <v>1</v>
      </c>
      <c r="J472" s="143">
        <v>5000</v>
      </c>
      <c r="K472" s="249" t="s">
        <v>2378</v>
      </c>
      <c r="M472" s="249">
        <f t="shared" si="22"/>
        <v>12</v>
      </c>
      <c r="N472" s="249">
        <f t="shared" si="23"/>
        <v>11</v>
      </c>
      <c r="O472" s="15"/>
      <c r="P472" s="15"/>
      <c r="Q472" s="15" t="s">
        <v>328</v>
      </c>
      <c r="S472" s="15"/>
      <c r="T472" s="15" t="s">
        <v>328</v>
      </c>
      <c r="U472" s="15"/>
      <c r="V472" s="15"/>
      <c r="W472" s="15"/>
      <c r="X472" s="15"/>
      <c r="Z472" s="127">
        <v>0.3</v>
      </c>
      <c r="AA472" s="249">
        <v>2</v>
      </c>
      <c r="AB472" s="250">
        <v>20000</v>
      </c>
      <c r="AC472" s="250">
        <v>20000</v>
      </c>
      <c r="AD472" s="250">
        <v>60000</v>
      </c>
      <c r="AE472" s="250">
        <v>90000</v>
      </c>
      <c r="AF472" s="250">
        <v>20000</v>
      </c>
    </row>
    <row r="473" spans="2:32" x14ac:dyDescent="0.25">
      <c r="B473" s="63" t="s">
        <v>672</v>
      </c>
      <c r="C473" s="15" t="s">
        <v>348</v>
      </c>
      <c r="D473" s="15">
        <v>2003</v>
      </c>
      <c r="E473" s="16">
        <v>590875</v>
      </c>
      <c r="F473" s="15">
        <v>3.9</v>
      </c>
      <c r="G473" s="15">
        <v>4.3</v>
      </c>
      <c r="H473" s="15" t="s">
        <v>340</v>
      </c>
      <c r="I473" s="249">
        <f t="shared" si="21"/>
        <v>1</v>
      </c>
      <c r="J473" s="143">
        <v>4000</v>
      </c>
      <c r="K473" s="249" t="s">
        <v>2378</v>
      </c>
      <c r="M473" s="249">
        <f t="shared" si="22"/>
        <v>12</v>
      </c>
      <c r="N473" s="249">
        <f t="shared" si="23"/>
        <v>11</v>
      </c>
      <c r="O473" s="15"/>
      <c r="P473" s="15"/>
      <c r="Q473" s="15" t="s">
        <v>328</v>
      </c>
      <c r="S473" s="15"/>
      <c r="T473" s="15"/>
      <c r="U473" s="15"/>
      <c r="V473" s="15"/>
      <c r="W473" s="15" t="s">
        <v>328</v>
      </c>
      <c r="X473" s="15"/>
      <c r="Z473" s="127">
        <v>0.3</v>
      </c>
      <c r="AA473" s="249">
        <v>2</v>
      </c>
      <c r="AB473" s="250">
        <v>20000</v>
      </c>
      <c r="AC473" s="250">
        <v>20000</v>
      </c>
      <c r="AD473" s="250">
        <v>60000</v>
      </c>
      <c r="AE473" s="250">
        <v>90000</v>
      </c>
      <c r="AF473" s="250">
        <v>20000</v>
      </c>
    </row>
    <row r="474" spans="2:32" x14ac:dyDescent="0.25">
      <c r="B474" s="63" t="s">
        <v>673</v>
      </c>
      <c r="C474" s="15" t="s">
        <v>348</v>
      </c>
      <c r="D474" s="15">
        <v>2007</v>
      </c>
      <c r="E474" s="16">
        <v>276214</v>
      </c>
      <c r="F474" s="15">
        <v>8</v>
      </c>
      <c r="G474" s="15">
        <v>9</v>
      </c>
      <c r="H474" s="15" t="s">
        <v>430</v>
      </c>
      <c r="I474" s="249">
        <f t="shared" si="21"/>
        <v>1</v>
      </c>
      <c r="J474" s="143">
        <v>3333.3333333333335</v>
      </c>
      <c r="K474" s="249" t="s">
        <v>2378</v>
      </c>
      <c r="M474" s="249">
        <f t="shared" si="22"/>
        <v>8</v>
      </c>
      <c r="N474" s="249">
        <f t="shared" si="23"/>
        <v>7</v>
      </c>
      <c r="O474" s="15"/>
      <c r="P474" s="15" t="s">
        <v>328</v>
      </c>
      <c r="Q474" s="15"/>
      <c r="S474" s="15"/>
      <c r="T474" s="15" t="s">
        <v>328</v>
      </c>
      <c r="U474" s="15"/>
      <c r="V474" s="15"/>
      <c r="W474" s="15"/>
      <c r="X474" s="15"/>
      <c r="Z474" s="127">
        <v>0.5</v>
      </c>
      <c r="AA474" s="249">
        <v>1</v>
      </c>
      <c r="AB474" s="250">
        <v>15000</v>
      </c>
      <c r="AC474" s="250">
        <v>15000</v>
      </c>
      <c r="AD474" s="250">
        <v>80000</v>
      </c>
      <c r="AE474" s="250">
        <v>80000</v>
      </c>
      <c r="AF474" s="250" t="s">
        <v>385</v>
      </c>
    </row>
    <row r="475" spans="2:32" x14ac:dyDescent="0.25">
      <c r="B475" s="63" t="s">
        <v>674</v>
      </c>
      <c r="C475" s="15" t="s">
        <v>337</v>
      </c>
      <c r="D475" s="15">
        <v>2007</v>
      </c>
      <c r="E475" s="16">
        <v>563400</v>
      </c>
      <c r="F475" s="15">
        <v>2.6</v>
      </c>
      <c r="G475" s="15">
        <v>2.9</v>
      </c>
      <c r="H475" s="15" t="s">
        <v>340</v>
      </c>
      <c r="I475" s="249">
        <f t="shared" si="21"/>
        <v>1</v>
      </c>
      <c r="J475" s="143">
        <v>5000</v>
      </c>
      <c r="K475" s="249" t="s">
        <v>2378</v>
      </c>
      <c r="M475" s="249">
        <f t="shared" si="22"/>
        <v>8</v>
      </c>
      <c r="N475" s="249">
        <f t="shared" si="23"/>
        <v>7</v>
      </c>
      <c r="O475" s="15"/>
      <c r="P475" s="15" t="s">
        <v>328</v>
      </c>
      <c r="Q475" s="15"/>
      <c r="S475" s="15"/>
      <c r="T475" s="15"/>
      <c r="U475" s="15"/>
      <c r="V475" s="15"/>
      <c r="W475" s="15" t="s">
        <v>328</v>
      </c>
      <c r="X475" s="15"/>
      <c r="Z475" s="127">
        <v>0</v>
      </c>
      <c r="AA475" s="249">
        <v>3</v>
      </c>
      <c r="AB475" s="250">
        <v>20000</v>
      </c>
      <c r="AC475" s="250">
        <v>20000</v>
      </c>
      <c r="AD475" s="250">
        <v>240000</v>
      </c>
      <c r="AE475" s="250">
        <v>240000</v>
      </c>
      <c r="AF475" s="250">
        <v>20000</v>
      </c>
    </row>
    <row r="476" spans="2:32" x14ac:dyDescent="0.25">
      <c r="B476" s="63" t="s">
        <v>674</v>
      </c>
      <c r="C476" s="15" t="s">
        <v>337</v>
      </c>
      <c r="D476" s="15">
        <v>2007</v>
      </c>
      <c r="E476" s="16">
        <v>551713</v>
      </c>
      <c r="F476" s="15">
        <v>2.6</v>
      </c>
      <c r="G476" s="15">
        <v>2.9</v>
      </c>
      <c r="H476" s="15" t="s">
        <v>340</v>
      </c>
      <c r="I476" s="249">
        <f t="shared" si="21"/>
        <v>1</v>
      </c>
      <c r="J476" s="143">
        <v>5000</v>
      </c>
      <c r="K476" s="249" t="s">
        <v>2378</v>
      </c>
      <c r="M476" s="249">
        <f t="shared" si="22"/>
        <v>8</v>
      </c>
      <c r="N476" s="249">
        <f t="shared" si="23"/>
        <v>7</v>
      </c>
      <c r="O476" s="15"/>
      <c r="P476" s="15" t="s">
        <v>328</v>
      </c>
      <c r="Q476" s="15"/>
      <c r="S476" s="15"/>
      <c r="T476" s="15"/>
      <c r="U476" s="15"/>
      <c r="V476" s="15"/>
      <c r="W476" s="15" t="s">
        <v>328</v>
      </c>
      <c r="X476" s="15"/>
      <c r="Z476" s="127">
        <v>0</v>
      </c>
      <c r="AA476" s="249">
        <v>3</v>
      </c>
      <c r="AB476" s="250">
        <v>20000</v>
      </c>
      <c r="AC476" s="250">
        <v>20000</v>
      </c>
      <c r="AD476" s="250">
        <v>240000</v>
      </c>
      <c r="AE476" s="250">
        <v>240000</v>
      </c>
      <c r="AF476" s="250">
        <v>20000</v>
      </c>
    </row>
    <row r="477" spans="2:32" x14ac:dyDescent="0.25">
      <c r="B477" s="63" t="s">
        <v>674</v>
      </c>
      <c r="C477" s="15" t="s">
        <v>337</v>
      </c>
      <c r="D477" s="15">
        <v>2007</v>
      </c>
      <c r="E477" s="16">
        <v>508979</v>
      </c>
      <c r="F477" s="15">
        <v>2.6</v>
      </c>
      <c r="G477" s="15">
        <v>2.9</v>
      </c>
      <c r="H477" s="15" t="s">
        <v>340</v>
      </c>
      <c r="I477" s="249">
        <f t="shared" si="21"/>
        <v>1</v>
      </c>
      <c r="J477" s="143">
        <v>5000</v>
      </c>
      <c r="K477" s="249" t="s">
        <v>2378</v>
      </c>
      <c r="M477" s="249">
        <f t="shared" si="22"/>
        <v>8</v>
      </c>
      <c r="N477" s="249">
        <f t="shared" si="23"/>
        <v>7</v>
      </c>
      <c r="O477" s="15"/>
      <c r="P477" s="15" t="s">
        <v>328</v>
      </c>
      <c r="Q477" s="15"/>
      <c r="S477" s="15"/>
      <c r="T477" s="15"/>
      <c r="U477" s="15"/>
      <c r="V477" s="15"/>
      <c r="W477" s="15" t="s">
        <v>328</v>
      </c>
      <c r="X477" s="15"/>
      <c r="Z477" s="127">
        <v>0</v>
      </c>
      <c r="AA477" s="249">
        <v>3</v>
      </c>
      <c r="AB477" s="250">
        <v>20000</v>
      </c>
      <c r="AC477" s="250">
        <v>20000</v>
      </c>
      <c r="AD477" s="250">
        <v>240000</v>
      </c>
      <c r="AE477" s="250">
        <v>240000</v>
      </c>
      <c r="AF477" s="250">
        <v>20000</v>
      </c>
    </row>
    <row r="478" spans="2:32" x14ac:dyDescent="0.25">
      <c r="B478" s="63" t="s">
        <v>675</v>
      </c>
      <c r="C478" s="14" t="s">
        <v>351</v>
      </c>
      <c r="D478" s="15">
        <v>2001</v>
      </c>
      <c r="E478" s="16">
        <v>619832</v>
      </c>
      <c r="F478" s="15">
        <v>3.1</v>
      </c>
      <c r="G478" s="15">
        <v>3.7</v>
      </c>
      <c r="H478" s="15" t="s">
        <v>340</v>
      </c>
      <c r="I478" s="249">
        <f t="shared" si="21"/>
        <v>1</v>
      </c>
      <c r="J478" s="143">
        <v>4083.3333333333335</v>
      </c>
      <c r="K478" s="249" t="s">
        <v>2378</v>
      </c>
      <c r="M478" s="249">
        <f t="shared" si="22"/>
        <v>14</v>
      </c>
      <c r="N478" s="249">
        <f t="shared" si="23"/>
        <v>13</v>
      </c>
      <c r="O478" s="15"/>
      <c r="P478" s="15" t="s">
        <v>328</v>
      </c>
      <c r="Q478" s="15"/>
      <c r="S478" s="15"/>
      <c r="T478" s="15" t="s">
        <v>328</v>
      </c>
      <c r="U478" s="15"/>
      <c r="V478" s="15"/>
      <c r="W478" s="15"/>
      <c r="X478" s="15"/>
      <c r="Z478" s="127">
        <v>0.5</v>
      </c>
      <c r="AA478" s="249">
        <v>2</v>
      </c>
      <c r="AB478" s="250">
        <v>25000</v>
      </c>
      <c r="AC478" s="250">
        <v>25000</v>
      </c>
      <c r="AD478" s="250">
        <v>100000</v>
      </c>
      <c r="AE478" s="250">
        <v>100000</v>
      </c>
      <c r="AF478" s="250">
        <v>25000</v>
      </c>
    </row>
    <row r="479" spans="2:32" x14ac:dyDescent="0.25">
      <c r="B479" s="63" t="s">
        <v>675</v>
      </c>
      <c r="C479" s="14" t="s">
        <v>351</v>
      </c>
      <c r="D479" s="15">
        <v>2001</v>
      </c>
      <c r="E479" s="16">
        <v>675215</v>
      </c>
      <c r="F479" s="15">
        <v>3.1</v>
      </c>
      <c r="G479" s="15">
        <v>3.7</v>
      </c>
      <c r="H479" s="15" t="s">
        <v>340</v>
      </c>
      <c r="I479" s="249">
        <f t="shared" si="21"/>
        <v>1</v>
      </c>
      <c r="J479" s="143">
        <v>4083.3333333333335</v>
      </c>
      <c r="K479" s="249" t="s">
        <v>2378</v>
      </c>
      <c r="M479" s="249">
        <f t="shared" si="22"/>
        <v>14</v>
      </c>
      <c r="N479" s="249">
        <f t="shared" si="23"/>
        <v>13</v>
      </c>
      <c r="O479" s="15"/>
      <c r="P479" s="15" t="s">
        <v>328</v>
      </c>
      <c r="Q479" s="15"/>
      <c r="S479" s="15"/>
      <c r="T479" s="15" t="s">
        <v>328</v>
      </c>
      <c r="U479" s="15"/>
      <c r="V479" s="15"/>
      <c r="W479" s="15"/>
      <c r="X479" s="15"/>
      <c r="Z479" s="127">
        <v>0.5</v>
      </c>
      <c r="AA479" s="249">
        <v>2</v>
      </c>
      <c r="AB479" s="250">
        <v>25000</v>
      </c>
      <c r="AC479" s="250">
        <v>25000</v>
      </c>
      <c r="AD479" s="250">
        <v>100000</v>
      </c>
      <c r="AE479" s="250">
        <v>100000</v>
      </c>
      <c r="AF479" s="250">
        <v>25000</v>
      </c>
    </row>
    <row r="480" spans="2:32" x14ac:dyDescent="0.25">
      <c r="B480" s="63" t="s">
        <v>676</v>
      </c>
      <c r="C480" s="15" t="s">
        <v>337</v>
      </c>
      <c r="D480" s="15">
        <v>1995</v>
      </c>
      <c r="E480" s="16">
        <v>1728000</v>
      </c>
      <c r="F480" s="15">
        <v>3</v>
      </c>
      <c r="G480" s="15">
        <v>3.5</v>
      </c>
      <c r="H480" s="15" t="s">
        <v>340</v>
      </c>
      <c r="I480" s="249">
        <f t="shared" si="21"/>
        <v>1</v>
      </c>
      <c r="J480" s="143">
        <v>8000</v>
      </c>
      <c r="K480" s="249" t="s">
        <v>2378</v>
      </c>
      <c r="M480" s="249">
        <f t="shared" si="22"/>
        <v>20</v>
      </c>
      <c r="N480" s="249">
        <f t="shared" si="23"/>
        <v>19</v>
      </c>
      <c r="O480" s="15"/>
      <c r="P480" s="15"/>
      <c r="Q480" s="15" t="s">
        <v>328</v>
      </c>
      <c r="S480" s="15"/>
      <c r="T480" s="15" t="s">
        <v>328</v>
      </c>
      <c r="U480" s="15"/>
      <c r="V480" s="15"/>
      <c r="W480" s="15"/>
      <c r="X480" s="15"/>
      <c r="Z480" s="127">
        <v>0.5</v>
      </c>
      <c r="AA480" s="249">
        <v>1</v>
      </c>
      <c r="AB480" s="250">
        <v>25000</v>
      </c>
      <c r="AC480" s="250">
        <v>25000</v>
      </c>
      <c r="AD480" s="250">
        <v>100000</v>
      </c>
      <c r="AE480" s="250">
        <v>120000</v>
      </c>
      <c r="AF480" s="250">
        <v>25000</v>
      </c>
    </row>
    <row r="481" spans="2:32" x14ac:dyDescent="0.25">
      <c r="B481" s="63" t="s">
        <v>677</v>
      </c>
      <c r="C481" s="14" t="s">
        <v>351</v>
      </c>
      <c r="D481" s="15">
        <v>1990</v>
      </c>
      <c r="E481" s="16">
        <v>883200</v>
      </c>
      <c r="F481" s="15">
        <v>3.1</v>
      </c>
      <c r="G481" s="15">
        <v>4</v>
      </c>
      <c r="H481" s="15" t="s">
        <v>340</v>
      </c>
      <c r="I481" s="249">
        <f t="shared" si="21"/>
        <v>1</v>
      </c>
      <c r="J481" s="143">
        <v>3200</v>
      </c>
      <c r="K481" s="249" t="s">
        <v>2378</v>
      </c>
      <c r="M481" s="249">
        <f t="shared" si="22"/>
        <v>25</v>
      </c>
      <c r="N481" s="249">
        <f t="shared" si="23"/>
        <v>24</v>
      </c>
      <c r="O481" s="15"/>
      <c r="P481" s="15"/>
      <c r="Q481" s="15" t="s">
        <v>328</v>
      </c>
      <c r="S481" s="15"/>
      <c r="T481" s="15"/>
      <c r="U481" s="15"/>
      <c r="V481" s="15" t="s">
        <v>328</v>
      </c>
      <c r="W481" s="15"/>
      <c r="X481" s="15"/>
      <c r="Z481" s="127">
        <v>0</v>
      </c>
      <c r="AA481" s="249">
        <v>1</v>
      </c>
      <c r="AB481" s="250">
        <v>20000</v>
      </c>
      <c r="AC481" s="250">
        <v>20000</v>
      </c>
      <c r="AD481" s="250">
        <v>70000</v>
      </c>
      <c r="AE481" s="250">
        <v>135000</v>
      </c>
      <c r="AF481" s="250">
        <v>20000</v>
      </c>
    </row>
    <row r="482" spans="2:32" x14ac:dyDescent="0.25">
      <c r="B482" s="63" t="s">
        <v>678</v>
      </c>
      <c r="C482" s="15" t="s">
        <v>348</v>
      </c>
      <c r="D482" s="15">
        <v>1996</v>
      </c>
      <c r="E482" s="16">
        <v>1083215</v>
      </c>
      <c r="F482" s="15">
        <v>3.9</v>
      </c>
      <c r="G482" s="15">
        <v>4.5</v>
      </c>
      <c r="H482" s="15" t="s">
        <v>340</v>
      </c>
      <c r="I482" s="249">
        <f t="shared" si="21"/>
        <v>1</v>
      </c>
      <c r="J482" s="143">
        <v>5000</v>
      </c>
      <c r="K482" s="249" t="s">
        <v>2378</v>
      </c>
      <c r="M482" s="249">
        <f t="shared" si="22"/>
        <v>19</v>
      </c>
      <c r="N482" s="249">
        <f t="shared" si="23"/>
        <v>18</v>
      </c>
      <c r="O482" s="15"/>
      <c r="P482" s="15"/>
      <c r="Q482" s="15" t="s">
        <v>328</v>
      </c>
      <c r="S482" s="15"/>
      <c r="T482" s="15"/>
      <c r="U482" s="15"/>
      <c r="V482" s="15"/>
      <c r="W482" s="15" t="s">
        <v>328</v>
      </c>
      <c r="X482" s="15"/>
      <c r="Z482" s="127">
        <v>0</v>
      </c>
      <c r="AA482" s="249">
        <v>1</v>
      </c>
      <c r="AB482" s="250">
        <v>30000</v>
      </c>
      <c r="AC482" s="250">
        <v>30000</v>
      </c>
      <c r="AD482" s="250">
        <v>120000</v>
      </c>
      <c r="AE482" s="250">
        <v>120000</v>
      </c>
      <c r="AF482" s="250">
        <v>30000</v>
      </c>
    </row>
    <row r="483" spans="2:32" x14ac:dyDescent="0.25">
      <c r="B483" s="63" t="s">
        <v>679</v>
      </c>
      <c r="C483" s="14" t="s">
        <v>351</v>
      </c>
      <c r="D483" s="15">
        <v>1990</v>
      </c>
      <c r="E483" s="16">
        <v>873215</v>
      </c>
      <c r="F483" s="15">
        <v>3.2</v>
      </c>
      <c r="G483" s="15">
        <v>3.8</v>
      </c>
      <c r="H483" s="15" t="s">
        <v>340</v>
      </c>
      <c r="I483" s="249">
        <f t="shared" si="21"/>
        <v>1</v>
      </c>
      <c r="J483" s="143">
        <v>3000</v>
      </c>
      <c r="K483" s="249" t="s">
        <v>2378</v>
      </c>
      <c r="M483" s="249">
        <f t="shared" si="22"/>
        <v>25</v>
      </c>
      <c r="N483" s="249">
        <f t="shared" si="23"/>
        <v>24</v>
      </c>
      <c r="O483" s="15"/>
      <c r="P483" s="15"/>
      <c r="Q483" s="15" t="s">
        <v>328</v>
      </c>
      <c r="S483" s="15"/>
      <c r="T483" s="15" t="s">
        <v>328</v>
      </c>
      <c r="U483" s="15"/>
      <c r="V483" s="15"/>
      <c r="W483" s="15"/>
      <c r="X483" s="15"/>
      <c r="Z483" s="127">
        <v>0.3</v>
      </c>
      <c r="AA483" s="249">
        <v>1</v>
      </c>
      <c r="AB483" s="250">
        <v>30000</v>
      </c>
      <c r="AC483" s="250">
        <v>30000</v>
      </c>
      <c r="AD483" s="250">
        <v>80000</v>
      </c>
      <c r="AE483" s="250">
        <v>80000</v>
      </c>
      <c r="AF483" s="250">
        <v>30000</v>
      </c>
    </row>
    <row r="484" spans="2:32" x14ac:dyDescent="0.25">
      <c r="B484" s="63" t="s">
        <v>699</v>
      </c>
      <c r="C484" s="15" t="s">
        <v>348</v>
      </c>
      <c r="D484" s="15">
        <v>1989</v>
      </c>
      <c r="E484" s="16">
        <v>921600</v>
      </c>
      <c r="F484" s="15">
        <v>3.2</v>
      </c>
      <c r="G484" s="15">
        <v>3.7</v>
      </c>
      <c r="H484" s="15" t="s">
        <v>340</v>
      </c>
      <c r="I484" s="249">
        <f t="shared" si="21"/>
        <v>1</v>
      </c>
      <c r="J484" s="143">
        <v>3200</v>
      </c>
      <c r="K484" s="249" t="s">
        <v>2378</v>
      </c>
      <c r="M484" s="249">
        <f t="shared" si="22"/>
        <v>26</v>
      </c>
      <c r="N484" s="249">
        <f t="shared" si="23"/>
        <v>25</v>
      </c>
      <c r="O484" s="15"/>
      <c r="P484" s="15"/>
      <c r="Q484" s="15" t="s">
        <v>328</v>
      </c>
      <c r="S484" s="15" t="s">
        <v>328</v>
      </c>
      <c r="T484" s="15"/>
      <c r="U484" s="15"/>
      <c r="V484" s="15"/>
      <c r="W484" s="15"/>
      <c r="X484" s="15"/>
      <c r="Z484" s="127">
        <v>0.2</v>
      </c>
      <c r="AA484" s="249">
        <v>1</v>
      </c>
      <c r="AB484" s="250">
        <v>20000</v>
      </c>
      <c r="AC484" s="250">
        <v>20000</v>
      </c>
      <c r="AD484" s="250">
        <v>100000</v>
      </c>
      <c r="AE484" s="250">
        <v>95000</v>
      </c>
      <c r="AF484" s="250">
        <v>20000</v>
      </c>
    </row>
    <row r="485" spans="2:32" x14ac:dyDescent="0.25">
      <c r="B485" s="63" t="s">
        <v>1030</v>
      </c>
      <c r="C485" s="14" t="s">
        <v>351</v>
      </c>
      <c r="D485" s="15">
        <v>1985</v>
      </c>
      <c r="E485" s="16">
        <v>1008000</v>
      </c>
      <c r="F485" s="15">
        <v>2.2999999999999998</v>
      </c>
      <c r="G485" s="15">
        <v>2.8</v>
      </c>
      <c r="H485" s="15" t="s">
        <v>340</v>
      </c>
      <c r="I485" s="249">
        <f t="shared" si="21"/>
        <v>1</v>
      </c>
      <c r="J485" s="143">
        <v>3000</v>
      </c>
      <c r="K485" s="249" t="s">
        <v>2378</v>
      </c>
      <c r="M485" s="249">
        <f t="shared" si="22"/>
        <v>30</v>
      </c>
      <c r="N485" s="249">
        <f t="shared" si="23"/>
        <v>29</v>
      </c>
      <c r="O485" s="15"/>
      <c r="P485" s="15" t="s">
        <v>328</v>
      </c>
      <c r="Q485" s="15"/>
      <c r="S485" s="15"/>
      <c r="T485" s="15" t="s">
        <v>328</v>
      </c>
      <c r="U485" s="15"/>
      <c r="V485" s="15"/>
      <c r="W485" s="15"/>
      <c r="X485" s="15"/>
      <c r="Z485" s="127">
        <v>0.5</v>
      </c>
      <c r="AA485" s="249">
        <v>1</v>
      </c>
      <c r="AB485" s="250">
        <v>7000</v>
      </c>
      <c r="AC485" s="250">
        <v>7000</v>
      </c>
      <c r="AD485" s="250">
        <v>22000</v>
      </c>
      <c r="AE485" s="250">
        <v>36000</v>
      </c>
      <c r="AF485" s="250">
        <v>7000</v>
      </c>
    </row>
    <row r="486" spans="2:32" x14ac:dyDescent="0.25">
      <c r="B486" s="63" t="s">
        <v>1032</v>
      </c>
      <c r="C486" s="15" t="s">
        <v>348</v>
      </c>
      <c r="D486" s="15">
        <v>1993</v>
      </c>
      <c r="E486" s="16">
        <v>840000</v>
      </c>
      <c r="F486" s="15">
        <v>2.8</v>
      </c>
      <c r="G486" s="15">
        <v>3</v>
      </c>
      <c r="H486" s="15" t="s">
        <v>340</v>
      </c>
      <c r="I486" s="249">
        <f t="shared" si="21"/>
        <v>1</v>
      </c>
      <c r="J486" s="143">
        <v>3500</v>
      </c>
      <c r="K486" s="249" t="s">
        <v>2378</v>
      </c>
      <c r="M486" s="249">
        <f t="shared" si="22"/>
        <v>22</v>
      </c>
      <c r="N486" s="249">
        <f t="shared" si="23"/>
        <v>21</v>
      </c>
      <c r="O486" s="15"/>
      <c r="P486" s="15" t="s">
        <v>328</v>
      </c>
      <c r="Q486" s="15"/>
      <c r="S486" s="15"/>
      <c r="T486" s="15" t="s">
        <v>328</v>
      </c>
      <c r="U486" s="15"/>
      <c r="V486" s="15"/>
      <c r="W486" s="15"/>
      <c r="X486" s="15"/>
      <c r="Z486" s="127">
        <v>0.3</v>
      </c>
      <c r="AA486" s="249">
        <v>1</v>
      </c>
      <c r="AB486" s="250">
        <v>8000</v>
      </c>
      <c r="AC486" s="250">
        <v>6000</v>
      </c>
      <c r="AD486" s="250">
        <v>6000</v>
      </c>
      <c r="AE486" s="250">
        <v>42000</v>
      </c>
      <c r="AF486" s="250">
        <v>8000</v>
      </c>
    </row>
    <row r="487" spans="2:32" x14ac:dyDescent="0.25">
      <c r="B487" s="63" t="s">
        <v>1033</v>
      </c>
      <c r="C487" s="15" t="s">
        <v>348</v>
      </c>
      <c r="D487" s="15">
        <v>1996</v>
      </c>
      <c r="E487" s="16">
        <v>830000</v>
      </c>
      <c r="F487" s="15">
        <v>2.4</v>
      </c>
      <c r="G487" s="15">
        <v>2.8</v>
      </c>
      <c r="H487" s="15" t="s">
        <v>340</v>
      </c>
      <c r="I487" s="249">
        <f t="shared" si="21"/>
        <v>1</v>
      </c>
      <c r="J487" s="143">
        <v>5000</v>
      </c>
      <c r="K487" s="249" t="s">
        <v>2378</v>
      </c>
      <c r="M487" s="249">
        <f t="shared" si="22"/>
        <v>19</v>
      </c>
      <c r="N487" s="249">
        <f t="shared" si="23"/>
        <v>18</v>
      </c>
      <c r="O487" s="15" t="s">
        <v>328</v>
      </c>
      <c r="P487" s="15"/>
      <c r="Q487" s="15"/>
      <c r="S487" s="15"/>
      <c r="T487" s="15" t="s">
        <v>328</v>
      </c>
      <c r="U487" s="15"/>
      <c r="V487" s="15"/>
      <c r="W487" s="15"/>
      <c r="X487" s="15"/>
      <c r="Z487" s="127">
        <v>0.5</v>
      </c>
      <c r="AA487" s="249">
        <v>1</v>
      </c>
      <c r="AB487" s="250">
        <v>12000</v>
      </c>
      <c r="AC487" s="250">
        <v>30000</v>
      </c>
      <c r="AD487" s="250">
        <v>15000</v>
      </c>
      <c r="AE487" s="250">
        <v>120000</v>
      </c>
      <c r="AF487" s="250">
        <v>30000</v>
      </c>
    </row>
    <row r="488" spans="2:32" x14ac:dyDescent="0.25">
      <c r="B488" s="63" t="s">
        <v>1035</v>
      </c>
      <c r="C488" s="14" t="s">
        <v>351</v>
      </c>
      <c r="D488" s="15">
        <v>1980</v>
      </c>
      <c r="E488" s="16">
        <v>1782000</v>
      </c>
      <c r="F488" s="15">
        <v>2.5</v>
      </c>
      <c r="G488" s="15">
        <v>3</v>
      </c>
      <c r="H488" s="15" t="s">
        <v>340</v>
      </c>
      <c r="I488" s="249">
        <f t="shared" si="21"/>
        <v>1</v>
      </c>
      <c r="J488" s="143">
        <v>4500</v>
      </c>
      <c r="K488" s="249" t="s">
        <v>2378</v>
      </c>
      <c r="M488" s="249">
        <f t="shared" si="22"/>
        <v>35</v>
      </c>
      <c r="N488" s="249">
        <f t="shared" si="23"/>
        <v>34</v>
      </c>
      <c r="O488" s="15"/>
      <c r="P488" s="15" t="s">
        <v>328</v>
      </c>
      <c r="Q488" s="15"/>
      <c r="S488" s="15"/>
      <c r="T488" s="15" t="s">
        <v>328</v>
      </c>
      <c r="U488" s="15"/>
      <c r="V488" s="15"/>
      <c r="W488" s="15"/>
      <c r="X488" s="15"/>
      <c r="Z488" s="127">
        <v>0.5</v>
      </c>
      <c r="AA488" s="249">
        <v>3</v>
      </c>
      <c r="AB488" s="250">
        <v>6000</v>
      </c>
      <c r="AC488" s="250">
        <v>6000</v>
      </c>
      <c r="AD488" s="250">
        <v>20000</v>
      </c>
      <c r="AE488" s="250">
        <v>108000</v>
      </c>
      <c r="AF488" s="250">
        <v>6000</v>
      </c>
    </row>
    <row r="489" spans="2:32" x14ac:dyDescent="0.25">
      <c r="B489" s="63" t="s">
        <v>1035</v>
      </c>
      <c r="C489" s="14" t="s">
        <v>351</v>
      </c>
      <c r="D489" s="15">
        <v>1982</v>
      </c>
      <c r="E489" s="16">
        <v>1860000</v>
      </c>
      <c r="F489" s="15">
        <v>2.2000000000000002</v>
      </c>
      <c r="G489" s="15">
        <v>2.8</v>
      </c>
      <c r="H489" s="15" t="s">
        <v>340</v>
      </c>
      <c r="I489" s="249">
        <f t="shared" si="21"/>
        <v>1</v>
      </c>
      <c r="J489" s="143">
        <v>5000</v>
      </c>
      <c r="K489" s="249" t="s">
        <v>2378</v>
      </c>
      <c r="M489" s="249">
        <f t="shared" si="22"/>
        <v>33</v>
      </c>
      <c r="N489" s="249">
        <f t="shared" si="23"/>
        <v>32</v>
      </c>
      <c r="O489" s="15"/>
      <c r="P489" s="15" t="s">
        <v>328</v>
      </c>
      <c r="Q489" s="15"/>
      <c r="S489" s="15"/>
      <c r="T489" s="15" t="s">
        <v>328</v>
      </c>
      <c r="U489" s="15"/>
      <c r="V489" s="15"/>
      <c r="W489" s="15"/>
      <c r="X489" s="15"/>
      <c r="Z489" s="127">
        <v>0.5</v>
      </c>
      <c r="AA489" s="249">
        <v>3</v>
      </c>
      <c r="AB489" s="250">
        <v>6500</v>
      </c>
      <c r="AC489" s="250">
        <v>6500</v>
      </c>
      <c r="AD489" s="250">
        <v>20000</v>
      </c>
      <c r="AE489" s="250">
        <v>120000</v>
      </c>
      <c r="AF489" s="250">
        <v>6500</v>
      </c>
    </row>
    <row r="490" spans="2:32" x14ac:dyDescent="0.25">
      <c r="B490" s="63" t="s">
        <v>1035</v>
      </c>
      <c r="C490" s="14" t="s">
        <v>351</v>
      </c>
      <c r="D490" s="15">
        <v>1982</v>
      </c>
      <c r="E490" s="16">
        <v>1860000</v>
      </c>
      <c r="F490" s="15">
        <v>2.2000000000000002</v>
      </c>
      <c r="G490" s="15">
        <v>2.8</v>
      </c>
      <c r="H490" s="15" t="s">
        <v>340</v>
      </c>
      <c r="I490" s="249">
        <f t="shared" si="21"/>
        <v>1</v>
      </c>
      <c r="J490" s="143">
        <v>5000</v>
      </c>
      <c r="K490" s="249" t="s">
        <v>2378</v>
      </c>
      <c r="M490" s="249">
        <f t="shared" si="22"/>
        <v>33</v>
      </c>
      <c r="N490" s="249">
        <f t="shared" si="23"/>
        <v>32</v>
      </c>
      <c r="O490" s="15"/>
      <c r="P490" s="15" t="s">
        <v>328</v>
      </c>
      <c r="Q490" s="15"/>
      <c r="S490" s="15"/>
      <c r="T490" s="15" t="s">
        <v>328</v>
      </c>
      <c r="U490" s="15"/>
      <c r="V490" s="15"/>
      <c r="W490" s="15"/>
      <c r="X490" s="15"/>
      <c r="Z490" s="127">
        <v>0.5</v>
      </c>
      <c r="AA490" s="249">
        <v>3</v>
      </c>
      <c r="AB490" s="250">
        <v>6500</v>
      </c>
      <c r="AC490" s="250">
        <v>6500</v>
      </c>
      <c r="AD490" s="250">
        <v>20000</v>
      </c>
      <c r="AE490" s="250">
        <v>120000</v>
      </c>
      <c r="AF490" s="250">
        <v>6500</v>
      </c>
    </row>
    <row r="491" spans="2:32" x14ac:dyDescent="0.25">
      <c r="B491" s="63" t="s">
        <v>1037</v>
      </c>
      <c r="C491" s="15" t="s">
        <v>337</v>
      </c>
      <c r="D491" s="15">
        <v>1997</v>
      </c>
      <c r="E491" s="16">
        <v>729600</v>
      </c>
      <c r="F491" s="15">
        <v>2.2000000000000002</v>
      </c>
      <c r="G491" s="15">
        <v>2.8</v>
      </c>
      <c r="H491" s="15" t="s">
        <v>340</v>
      </c>
      <c r="I491" s="249">
        <f t="shared" si="21"/>
        <v>1</v>
      </c>
      <c r="J491" s="143">
        <v>3800</v>
      </c>
      <c r="K491" s="249" t="s">
        <v>2378</v>
      </c>
      <c r="M491" s="249">
        <f t="shared" si="22"/>
        <v>18</v>
      </c>
      <c r="N491" s="249">
        <f t="shared" si="23"/>
        <v>17</v>
      </c>
      <c r="O491" s="15"/>
      <c r="P491" s="15" t="s">
        <v>328</v>
      </c>
      <c r="Q491" s="15"/>
      <c r="S491" s="15"/>
      <c r="T491" s="15" t="s">
        <v>328</v>
      </c>
      <c r="U491" s="15"/>
      <c r="V491" s="15"/>
      <c r="W491" s="15"/>
      <c r="X491" s="15"/>
      <c r="Z491" s="127">
        <v>0.5</v>
      </c>
      <c r="AA491" s="249">
        <v>2</v>
      </c>
      <c r="AB491" s="250">
        <v>10000</v>
      </c>
      <c r="AC491" s="250">
        <v>10000</v>
      </c>
      <c r="AD491" s="250">
        <v>22000</v>
      </c>
      <c r="AE491" s="250">
        <v>45600</v>
      </c>
      <c r="AF491" s="250">
        <v>10000</v>
      </c>
    </row>
    <row r="492" spans="2:32" x14ac:dyDescent="0.25">
      <c r="B492" s="63" t="s">
        <v>1037</v>
      </c>
      <c r="C492" s="15" t="s">
        <v>337</v>
      </c>
      <c r="D492" s="15">
        <v>1997</v>
      </c>
      <c r="E492" s="16">
        <v>768000</v>
      </c>
      <c r="F492" s="15">
        <v>2.2000000000000002</v>
      </c>
      <c r="G492" s="15">
        <v>2.8</v>
      </c>
      <c r="H492" s="15" t="s">
        <v>340</v>
      </c>
      <c r="I492" s="249">
        <f t="shared" si="21"/>
        <v>1</v>
      </c>
      <c r="J492" s="143">
        <v>4000</v>
      </c>
      <c r="K492" s="249" t="s">
        <v>2378</v>
      </c>
      <c r="M492" s="249">
        <f t="shared" si="22"/>
        <v>18</v>
      </c>
      <c r="N492" s="249">
        <f t="shared" si="23"/>
        <v>17</v>
      </c>
      <c r="O492" s="15"/>
      <c r="P492" s="15" t="s">
        <v>328</v>
      </c>
      <c r="Q492" s="15"/>
      <c r="S492" s="15"/>
      <c r="T492" s="15" t="s">
        <v>328</v>
      </c>
      <c r="U492" s="15"/>
      <c r="V492" s="15"/>
      <c r="W492" s="15"/>
      <c r="X492" s="15"/>
      <c r="Z492" s="127">
        <v>0.5</v>
      </c>
      <c r="AA492" s="249">
        <v>2</v>
      </c>
      <c r="AB492" s="250">
        <v>10000</v>
      </c>
      <c r="AC492" s="250">
        <v>10000</v>
      </c>
      <c r="AD492" s="250">
        <v>22000</v>
      </c>
      <c r="AE492" s="250">
        <v>48000</v>
      </c>
      <c r="AF492" s="250">
        <v>10000</v>
      </c>
    </row>
    <row r="493" spans="2:32" x14ac:dyDescent="0.25">
      <c r="B493" s="63" t="s">
        <v>1038</v>
      </c>
      <c r="C493" s="15" t="s">
        <v>348</v>
      </c>
      <c r="D493" s="15">
        <v>2002</v>
      </c>
      <c r="E493" s="16">
        <v>350000</v>
      </c>
      <c r="F493" s="15">
        <v>4.5</v>
      </c>
      <c r="G493" s="15">
        <v>6</v>
      </c>
      <c r="H493" s="15" t="s">
        <v>430</v>
      </c>
      <c r="I493" s="249">
        <f t="shared" si="21"/>
        <v>1</v>
      </c>
      <c r="J493" s="143">
        <v>2500</v>
      </c>
      <c r="K493" s="249" t="s">
        <v>2378</v>
      </c>
      <c r="M493" s="249">
        <f t="shared" si="22"/>
        <v>13</v>
      </c>
      <c r="N493" s="249">
        <f t="shared" si="23"/>
        <v>12</v>
      </c>
      <c r="O493" s="15"/>
      <c r="P493" s="15" t="s">
        <v>328</v>
      </c>
      <c r="Q493" s="15"/>
      <c r="S493" s="15"/>
      <c r="T493" s="15" t="s">
        <v>328</v>
      </c>
      <c r="U493" s="15"/>
      <c r="V493" s="15"/>
      <c r="W493" s="15"/>
      <c r="X493" s="15"/>
      <c r="Z493" s="127">
        <v>0.5</v>
      </c>
      <c r="AA493" s="249">
        <v>1</v>
      </c>
      <c r="AB493" s="250">
        <v>15000</v>
      </c>
      <c r="AC493" s="250">
        <v>30000</v>
      </c>
      <c r="AD493" s="250">
        <v>15000</v>
      </c>
      <c r="AE493" s="250">
        <v>60000</v>
      </c>
      <c r="AF493" s="250" t="s">
        <v>385</v>
      </c>
    </row>
    <row r="494" spans="2:32" x14ac:dyDescent="0.25">
      <c r="B494" s="63" t="s">
        <v>1039</v>
      </c>
      <c r="C494" s="14" t="s">
        <v>351</v>
      </c>
      <c r="D494" s="15">
        <v>1983</v>
      </c>
      <c r="E494" s="16">
        <v>1800000</v>
      </c>
      <c r="F494" s="15">
        <v>2.5</v>
      </c>
      <c r="G494" s="15">
        <v>2.8</v>
      </c>
      <c r="H494" s="15" t="s">
        <v>340</v>
      </c>
      <c r="I494" s="249">
        <f t="shared" si="21"/>
        <v>1</v>
      </c>
      <c r="J494" s="143">
        <v>5000</v>
      </c>
      <c r="K494" s="249" t="s">
        <v>2378</v>
      </c>
      <c r="M494" s="249">
        <f t="shared" si="22"/>
        <v>32</v>
      </c>
      <c r="N494" s="249">
        <f t="shared" si="23"/>
        <v>31</v>
      </c>
      <c r="O494" s="15"/>
      <c r="P494" s="15" t="s">
        <v>328</v>
      </c>
      <c r="Q494" s="15"/>
      <c r="S494" s="15"/>
      <c r="T494" s="15" t="s">
        <v>328</v>
      </c>
      <c r="U494" s="15"/>
      <c r="V494" s="15"/>
      <c r="W494" s="15"/>
      <c r="X494" s="15"/>
      <c r="Z494" s="127">
        <v>0.5</v>
      </c>
      <c r="AA494" s="249">
        <v>2</v>
      </c>
      <c r="AB494" s="250">
        <v>12000</v>
      </c>
      <c r="AC494" s="250">
        <v>12000</v>
      </c>
      <c r="AD494" s="250">
        <v>24000</v>
      </c>
      <c r="AE494" s="250">
        <v>120000</v>
      </c>
      <c r="AF494" s="250">
        <v>12000</v>
      </c>
    </row>
    <row r="495" spans="2:32" x14ac:dyDescent="0.25">
      <c r="B495" s="63" t="s">
        <v>1039</v>
      </c>
      <c r="C495" s="14" t="s">
        <v>351</v>
      </c>
      <c r="D495" s="15">
        <v>1983</v>
      </c>
      <c r="E495" s="16">
        <v>1800000</v>
      </c>
      <c r="F495" s="15">
        <v>2.5</v>
      </c>
      <c r="G495" s="15">
        <v>2.8</v>
      </c>
      <c r="H495" s="15" t="s">
        <v>340</v>
      </c>
      <c r="I495" s="249">
        <f t="shared" si="21"/>
        <v>1</v>
      </c>
      <c r="J495" s="143">
        <v>5000</v>
      </c>
      <c r="K495" s="249" t="s">
        <v>2378</v>
      </c>
      <c r="M495" s="249">
        <f t="shared" si="22"/>
        <v>32</v>
      </c>
      <c r="N495" s="249">
        <f t="shared" si="23"/>
        <v>31</v>
      </c>
      <c r="O495" s="15"/>
      <c r="P495" s="15" t="s">
        <v>328</v>
      </c>
      <c r="Q495" s="15"/>
      <c r="S495" s="15"/>
      <c r="T495" s="15" t="s">
        <v>328</v>
      </c>
      <c r="U495" s="15"/>
      <c r="V495" s="15"/>
      <c r="W495" s="15"/>
      <c r="X495" s="15"/>
      <c r="Z495" s="127">
        <v>0.5</v>
      </c>
      <c r="AA495" s="249">
        <v>2</v>
      </c>
      <c r="AB495" s="250">
        <v>12000</v>
      </c>
      <c r="AC495" s="250">
        <v>12000</v>
      </c>
      <c r="AD495" s="250">
        <v>24000</v>
      </c>
      <c r="AE495" s="250">
        <v>120000</v>
      </c>
      <c r="AF495" s="250">
        <v>12000</v>
      </c>
    </row>
    <row r="496" spans="2:32" x14ac:dyDescent="0.25">
      <c r="B496" s="63" t="s">
        <v>1041</v>
      </c>
      <c r="C496" s="15" t="s">
        <v>337</v>
      </c>
      <c r="D496" s="15">
        <v>1990</v>
      </c>
      <c r="E496" s="16">
        <v>1021200</v>
      </c>
      <c r="F496" s="15">
        <v>2.8</v>
      </c>
      <c r="G496" s="15">
        <v>3</v>
      </c>
      <c r="H496" s="15" t="s">
        <v>340</v>
      </c>
      <c r="I496" s="249">
        <f t="shared" si="21"/>
        <v>1</v>
      </c>
      <c r="J496" s="143">
        <v>3700</v>
      </c>
      <c r="K496" s="249" t="s">
        <v>2378</v>
      </c>
      <c r="M496" s="249">
        <f t="shared" si="22"/>
        <v>25</v>
      </c>
      <c r="N496" s="249">
        <f t="shared" si="23"/>
        <v>24</v>
      </c>
      <c r="O496" s="15" t="s">
        <v>328</v>
      </c>
      <c r="P496" s="15"/>
      <c r="Q496" s="15"/>
      <c r="S496" s="15"/>
      <c r="T496" s="15" t="s">
        <v>328</v>
      </c>
      <c r="U496" s="15"/>
      <c r="V496" s="15"/>
      <c r="W496" s="15"/>
      <c r="X496" s="15"/>
      <c r="Z496" s="127">
        <v>0.5</v>
      </c>
      <c r="AA496" s="249">
        <v>3</v>
      </c>
      <c r="AB496" s="250">
        <v>8000</v>
      </c>
      <c r="AC496" s="250">
        <v>16000</v>
      </c>
      <c r="AD496" s="250">
        <v>32000</v>
      </c>
      <c r="AE496" s="250">
        <v>44400</v>
      </c>
      <c r="AF496" s="250">
        <v>8000</v>
      </c>
    </row>
    <row r="497" spans="2:32" x14ac:dyDescent="0.25">
      <c r="B497" s="63" t="s">
        <v>1041</v>
      </c>
      <c r="C497" s="15" t="s">
        <v>337</v>
      </c>
      <c r="D497" s="15">
        <v>1993</v>
      </c>
      <c r="E497" s="16">
        <v>960000</v>
      </c>
      <c r="F497" s="15">
        <v>2.8</v>
      </c>
      <c r="G497" s="15">
        <v>3</v>
      </c>
      <c r="H497" s="15" t="s">
        <v>340</v>
      </c>
      <c r="I497" s="249">
        <f t="shared" si="21"/>
        <v>1</v>
      </c>
      <c r="J497" s="143">
        <v>4000</v>
      </c>
      <c r="K497" s="249" t="s">
        <v>2378</v>
      </c>
      <c r="M497" s="249">
        <f t="shared" si="22"/>
        <v>22</v>
      </c>
      <c r="N497" s="249">
        <f t="shared" si="23"/>
        <v>21</v>
      </c>
      <c r="O497" s="15" t="s">
        <v>328</v>
      </c>
      <c r="P497" s="15"/>
      <c r="Q497" s="15"/>
      <c r="S497" s="15"/>
      <c r="T497" s="15" t="s">
        <v>328</v>
      </c>
      <c r="U497" s="15"/>
      <c r="V497" s="15"/>
      <c r="W497" s="15"/>
      <c r="X497" s="15"/>
      <c r="Z497" s="127">
        <v>0.5</v>
      </c>
      <c r="AA497" s="249">
        <v>3</v>
      </c>
      <c r="AB497" s="250">
        <v>8000</v>
      </c>
      <c r="AC497" s="250">
        <v>16000</v>
      </c>
      <c r="AD497" s="250">
        <v>32000</v>
      </c>
      <c r="AE497" s="250">
        <v>48000</v>
      </c>
      <c r="AF497" s="250">
        <v>8000</v>
      </c>
    </row>
    <row r="498" spans="2:32" x14ac:dyDescent="0.25">
      <c r="B498" s="63" t="s">
        <v>1041</v>
      </c>
      <c r="C498" s="15" t="s">
        <v>337</v>
      </c>
      <c r="D498" s="15">
        <v>1996</v>
      </c>
      <c r="E498" s="16">
        <v>1020000</v>
      </c>
      <c r="F498" s="15">
        <v>2.8</v>
      </c>
      <c r="G498" s="15">
        <v>3</v>
      </c>
      <c r="H498" s="15" t="s">
        <v>340</v>
      </c>
      <c r="I498" s="249">
        <f t="shared" si="21"/>
        <v>1</v>
      </c>
      <c r="J498" s="143">
        <v>5000</v>
      </c>
      <c r="K498" s="249" t="s">
        <v>2378</v>
      </c>
      <c r="M498" s="249">
        <f t="shared" si="22"/>
        <v>19</v>
      </c>
      <c r="N498" s="249">
        <f t="shared" si="23"/>
        <v>18</v>
      </c>
      <c r="O498" s="15" t="s">
        <v>328</v>
      </c>
      <c r="P498" s="15"/>
      <c r="Q498" s="15"/>
      <c r="S498" s="15"/>
      <c r="T498" s="15" t="s">
        <v>328</v>
      </c>
      <c r="U498" s="15"/>
      <c r="V498" s="15"/>
      <c r="W498" s="15"/>
      <c r="X498" s="15"/>
      <c r="Z498" s="127">
        <v>0.5</v>
      </c>
      <c r="AA498" s="249">
        <v>3</v>
      </c>
      <c r="AB498" s="250">
        <v>8000</v>
      </c>
      <c r="AC498" s="250">
        <v>16000</v>
      </c>
      <c r="AD498" s="250">
        <v>32000</v>
      </c>
      <c r="AE498" s="250">
        <v>60000</v>
      </c>
      <c r="AF498" s="250">
        <v>8000</v>
      </c>
    </row>
    <row r="499" spans="2:32" x14ac:dyDescent="0.25">
      <c r="B499" s="63" t="s">
        <v>1043</v>
      </c>
      <c r="C499" s="14" t="s">
        <v>351</v>
      </c>
      <c r="D499" s="15">
        <v>1983</v>
      </c>
      <c r="E499" s="16">
        <v>2520000</v>
      </c>
      <c r="F499" s="15">
        <v>2.2999999999999998</v>
      </c>
      <c r="G499" s="15">
        <v>2.8</v>
      </c>
      <c r="H499" s="15" t="s">
        <v>340</v>
      </c>
      <c r="I499" s="249">
        <f t="shared" si="21"/>
        <v>1</v>
      </c>
      <c r="J499" s="143">
        <v>7000</v>
      </c>
      <c r="K499" s="249" t="s">
        <v>2378</v>
      </c>
      <c r="M499" s="249">
        <f t="shared" si="22"/>
        <v>32</v>
      </c>
      <c r="N499" s="249">
        <f t="shared" si="23"/>
        <v>31</v>
      </c>
      <c r="O499" s="15" t="s">
        <v>328</v>
      </c>
      <c r="P499" s="15"/>
      <c r="Q499" s="15"/>
      <c r="S499" s="15"/>
      <c r="T499" s="15" t="s">
        <v>328</v>
      </c>
      <c r="U499" s="15"/>
      <c r="V499" s="15"/>
      <c r="W499" s="15"/>
      <c r="X499" s="15"/>
      <c r="Z499" s="127">
        <v>0.5</v>
      </c>
      <c r="AA499" s="249">
        <v>2</v>
      </c>
      <c r="AB499" s="250">
        <v>15000</v>
      </c>
      <c r="AC499" s="250">
        <v>15000</v>
      </c>
      <c r="AD499" s="250">
        <v>30000</v>
      </c>
      <c r="AE499" s="250">
        <v>168000</v>
      </c>
      <c r="AF499" s="250">
        <v>15000</v>
      </c>
    </row>
    <row r="500" spans="2:32" x14ac:dyDescent="0.25">
      <c r="B500" s="63" t="s">
        <v>1043</v>
      </c>
      <c r="C500" s="14" t="s">
        <v>351</v>
      </c>
      <c r="D500" s="15">
        <v>1983</v>
      </c>
      <c r="E500" s="16">
        <v>2520000</v>
      </c>
      <c r="F500" s="15">
        <v>2.2999999999999998</v>
      </c>
      <c r="G500" s="15">
        <v>2.8</v>
      </c>
      <c r="H500" s="15" t="s">
        <v>340</v>
      </c>
      <c r="I500" s="249">
        <f t="shared" si="21"/>
        <v>1</v>
      </c>
      <c r="J500" s="143">
        <v>7000</v>
      </c>
      <c r="K500" s="249" t="s">
        <v>2378</v>
      </c>
      <c r="M500" s="249">
        <f t="shared" si="22"/>
        <v>32</v>
      </c>
      <c r="N500" s="249">
        <f t="shared" si="23"/>
        <v>31</v>
      </c>
      <c r="O500" s="15" t="s">
        <v>328</v>
      </c>
      <c r="P500" s="15"/>
      <c r="Q500" s="15"/>
      <c r="S500" s="15"/>
      <c r="T500" s="15" t="s">
        <v>328</v>
      </c>
      <c r="U500" s="15"/>
      <c r="V500" s="15"/>
      <c r="W500" s="15"/>
      <c r="X500" s="15"/>
      <c r="Z500" s="127">
        <v>0.5</v>
      </c>
      <c r="AA500" s="249">
        <v>2</v>
      </c>
      <c r="AB500" s="250">
        <v>15000</v>
      </c>
      <c r="AC500" s="250">
        <v>15000</v>
      </c>
      <c r="AD500" s="250">
        <v>30000</v>
      </c>
      <c r="AE500" s="250">
        <v>168000</v>
      </c>
      <c r="AF500" s="250">
        <v>15000</v>
      </c>
    </row>
    <row r="501" spans="2:32" x14ac:dyDescent="0.25">
      <c r="B501" s="63" t="s">
        <v>1044</v>
      </c>
      <c r="C501" s="14" t="s">
        <v>351</v>
      </c>
      <c r="D501" s="15">
        <v>1995</v>
      </c>
      <c r="E501" s="16">
        <v>1512000</v>
      </c>
      <c r="F501" s="15">
        <v>3.2</v>
      </c>
      <c r="G501" s="15">
        <v>3.7</v>
      </c>
      <c r="H501" s="15" t="s">
        <v>340</v>
      </c>
      <c r="I501" s="249">
        <f t="shared" si="21"/>
        <v>1</v>
      </c>
      <c r="J501" s="143">
        <v>7000</v>
      </c>
      <c r="K501" s="249" t="s">
        <v>2378</v>
      </c>
      <c r="M501" s="249">
        <f t="shared" si="22"/>
        <v>20</v>
      </c>
      <c r="N501" s="249">
        <f t="shared" si="23"/>
        <v>19</v>
      </c>
      <c r="O501" s="15"/>
      <c r="P501" s="15"/>
      <c r="Q501" s="15" t="s">
        <v>328</v>
      </c>
      <c r="S501" s="15"/>
      <c r="T501" s="15" t="s">
        <v>328</v>
      </c>
      <c r="U501" s="15"/>
      <c r="V501" s="15"/>
      <c r="W501" s="15"/>
      <c r="X501" s="15"/>
      <c r="Z501" s="127">
        <v>0.1</v>
      </c>
      <c r="AA501" s="249">
        <v>1</v>
      </c>
      <c r="AB501" s="250">
        <v>21000</v>
      </c>
      <c r="AC501" s="250">
        <v>21000</v>
      </c>
      <c r="AD501" s="250">
        <v>80000</v>
      </c>
      <c r="AE501" s="250">
        <v>140000</v>
      </c>
      <c r="AF501" s="250">
        <v>21000</v>
      </c>
    </row>
    <row r="502" spans="2:32" x14ac:dyDescent="0.25">
      <c r="B502" s="63" t="s">
        <v>1046</v>
      </c>
      <c r="C502" s="14" t="s">
        <v>351</v>
      </c>
      <c r="D502" s="15">
        <v>2004</v>
      </c>
      <c r="E502" s="16">
        <v>582717</v>
      </c>
      <c r="F502" s="15">
        <v>3.2</v>
      </c>
      <c r="G502" s="15">
        <v>3.9</v>
      </c>
      <c r="H502" s="15" t="s">
        <v>340</v>
      </c>
      <c r="I502" s="249">
        <f t="shared" si="21"/>
        <v>1</v>
      </c>
      <c r="J502" s="143">
        <v>4000</v>
      </c>
      <c r="K502" s="249" t="s">
        <v>2378</v>
      </c>
      <c r="M502" s="249">
        <f t="shared" si="22"/>
        <v>11</v>
      </c>
      <c r="N502" s="249">
        <f t="shared" si="23"/>
        <v>10</v>
      </c>
      <c r="O502" s="15"/>
      <c r="P502" s="15" t="s">
        <v>328</v>
      </c>
      <c r="Q502" s="15"/>
      <c r="S502" s="15"/>
      <c r="T502" s="15"/>
      <c r="U502" s="15"/>
      <c r="V502" s="15"/>
      <c r="W502" s="15" t="s">
        <v>328</v>
      </c>
      <c r="X502" s="15"/>
      <c r="Z502" s="127">
        <v>0.2</v>
      </c>
      <c r="AA502" s="249">
        <v>1</v>
      </c>
      <c r="AB502" s="250">
        <v>24000</v>
      </c>
      <c r="AC502" s="250">
        <v>24000</v>
      </c>
      <c r="AD502" s="250">
        <v>200000</v>
      </c>
      <c r="AE502" s="250">
        <v>120000</v>
      </c>
      <c r="AF502" s="250">
        <v>24000</v>
      </c>
    </row>
    <row r="503" spans="2:32" x14ac:dyDescent="0.25">
      <c r="B503" s="63" t="s">
        <v>1048</v>
      </c>
      <c r="C503" s="15" t="s">
        <v>348</v>
      </c>
      <c r="D503" s="15">
        <v>1990</v>
      </c>
      <c r="E503" s="16">
        <v>883200</v>
      </c>
      <c r="F503" s="15">
        <v>4.4000000000000004</v>
      </c>
      <c r="G503" s="15">
        <v>4.5999999999999996</v>
      </c>
      <c r="H503" s="15" t="s">
        <v>371</v>
      </c>
      <c r="I503" s="249">
        <f t="shared" si="21"/>
        <v>1</v>
      </c>
      <c r="J503" s="143">
        <v>3200</v>
      </c>
      <c r="K503" s="249" t="s">
        <v>2378</v>
      </c>
      <c r="M503" s="249">
        <f t="shared" si="22"/>
        <v>25</v>
      </c>
      <c r="N503" s="249">
        <f t="shared" si="23"/>
        <v>24</v>
      </c>
      <c r="O503" s="15"/>
      <c r="P503" s="15"/>
      <c r="Q503" s="15" t="s">
        <v>328</v>
      </c>
      <c r="S503" s="15"/>
      <c r="T503" s="15" t="s">
        <v>328</v>
      </c>
      <c r="U503" s="15"/>
      <c r="V503" s="15"/>
      <c r="W503" s="15"/>
      <c r="X503" s="15"/>
      <c r="Z503" s="127">
        <v>0.2</v>
      </c>
      <c r="AA503" s="249">
        <v>2</v>
      </c>
      <c r="AB503" s="250">
        <v>25000</v>
      </c>
      <c r="AC503" s="250">
        <v>25000</v>
      </c>
      <c r="AD503" s="250">
        <v>120000</v>
      </c>
      <c r="AE503" s="250">
        <v>140000</v>
      </c>
      <c r="AF503" s="250" t="s">
        <v>385</v>
      </c>
    </row>
    <row r="504" spans="2:32" x14ac:dyDescent="0.25">
      <c r="B504" s="63" t="s">
        <v>1048</v>
      </c>
      <c r="C504" s="15" t="s">
        <v>348</v>
      </c>
      <c r="D504" s="15">
        <v>1997</v>
      </c>
      <c r="E504" s="16">
        <v>697235</v>
      </c>
      <c r="F504" s="15">
        <v>3.9</v>
      </c>
      <c r="G504" s="15">
        <v>4.0999999999999996</v>
      </c>
      <c r="H504" s="15" t="s">
        <v>340</v>
      </c>
      <c r="I504" s="249">
        <f t="shared" si="21"/>
        <v>1</v>
      </c>
      <c r="J504" s="143">
        <v>3200</v>
      </c>
      <c r="K504" s="249" t="s">
        <v>2378</v>
      </c>
      <c r="M504" s="249">
        <f t="shared" si="22"/>
        <v>18</v>
      </c>
      <c r="N504" s="249">
        <f t="shared" si="23"/>
        <v>17</v>
      </c>
      <c r="O504" s="15"/>
      <c r="P504" s="15"/>
      <c r="Q504" s="15" t="s">
        <v>328</v>
      </c>
      <c r="S504" s="15"/>
      <c r="T504" s="15" t="s">
        <v>328</v>
      </c>
      <c r="U504" s="15"/>
      <c r="V504" s="15"/>
      <c r="W504" s="15"/>
      <c r="X504" s="15"/>
      <c r="Z504" s="127">
        <v>0.2</v>
      </c>
      <c r="AA504" s="249">
        <v>2</v>
      </c>
      <c r="AB504" s="250">
        <v>30000</v>
      </c>
      <c r="AC504" s="250">
        <v>30000</v>
      </c>
      <c r="AD504" s="250">
        <v>70000</v>
      </c>
      <c r="AE504" s="250">
        <v>100000</v>
      </c>
      <c r="AF504" s="250">
        <v>30000</v>
      </c>
    </row>
    <row r="505" spans="2:32" x14ac:dyDescent="0.25">
      <c r="B505" s="63" t="s">
        <v>1050</v>
      </c>
      <c r="C505" s="14" t="s">
        <v>351</v>
      </c>
      <c r="D505" s="15">
        <v>1980</v>
      </c>
      <c r="E505" s="16">
        <v>712800</v>
      </c>
      <c r="F505" s="15">
        <v>3.1</v>
      </c>
      <c r="G505" s="15">
        <v>3.6</v>
      </c>
      <c r="H505" s="15" t="s">
        <v>340</v>
      </c>
      <c r="I505" s="249">
        <f t="shared" si="21"/>
        <v>1</v>
      </c>
      <c r="J505" s="143">
        <v>1800</v>
      </c>
      <c r="K505" s="249" t="s">
        <v>2378</v>
      </c>
      <c r="M505" s="249">
        <f t="shared" si="22"/>
        <v>35</v>
      </c>
      <c r="N505" s="249">
        <f t="shared" si="23"/>
        <v>34</v>
      </c>
      <c r="O505" s="15"/>
      <c r="P505" s="15"/>
      <c r="Q505" s="15" t="s">
        <v>328</v>
      </c>
      <c r="S505" s="15"/>
      <c r="T505" s="15" t="s">
        <v>328</v>
      </c>
      <c r="U505" s="15"/>
      <c r="V505" s="15"/>
      <c r="W505" s="15"/>
      <c r="X505" s="15"/>
      <c r="Z505" s="127">
        <v>0.2</v>
      </c>
      <c r="AA505" s="249">
        <v>1</v>
      </c>
      <c r="AB505" s="250">
        <v>20000</v>
      </c>
      <c r="AC505" s="250">
        <v>20000</v>
      </c>
      <c r="AD505" s="250">
        <v>80000</v>
      </c>
      <c r="AE505" s="250">
        <v>95000</v>
      </c>
      <c r="AF505" s="250">
        <v>20000</v>
      </c>
    </row>
    <row r="506" spans="2:32" x14ac:dyDescent="0.25">
      <c r="B506" s="63" t="s">
        <v>1052</v>
      </c>
      <c r="C506" s="15" t="s">
        <v>348</v>
      </c>
      <c r="D506" s="15">
        <v>2004</v>
      </c>
      <c r="E506" s="16">
        <v>917867</v>
      </c>
      <c r="F506" s="15">
        <v>3.1</v>
      </c>
      <c r="G506" s="15">
        <v>3.7</v>
      </c>
      <c r="H506" s="15" t="s">
        <v>340</v>
      </c>
      <c r="I506" s="249">
        <f t="shared" si="21"/>
        <v>1</v>
      </c>
      <c r="J506" s="143">
        <v>9200</v>
      </c>
      <c r="K506" s="249" t="s">
        <v>2378</v>
      </c>
      <c r="M506" s="249">
        <f t="shared" si="22"/>
        <v>11</v>
      </c>
      <c r="N506" s="249">
        <f t="shared" si="23"/>
        <v>10</v>
      </c>
      <c r="O506" s="15"/>
      <c r="P506" s="15" t="s">
        <v>328</v>
      </c>
      <c r="Q506" s="15"/>
      <c r="S506" s="15"/>
      <c r="T506" s="15"/>
      <c r="U506" s="15"/>
      <c r="V506" s="15"/>
      <c r="W506" s="15" t="s">
        <v>328</v>
      </c>
      <c r="X506" s="15"/>
      <c r="Z506" s="127">
        <v>0</v>
      </c>
      <c r="AA506" s="249">
        <v>1</v>
      </c>
      <c r="AB506" s="250">
        <v>27000</v>
      </c>
      <c r="AC506" s="250">
        <v>27000</v>
      </c>
      <c r="AD506" s="250">
        <v>110000</v>
      </c>
      <c r="AE506" s="250">
        <v>110000</v>
      </c>
      <c r="AF506" s="250">
        <v>27000</v>
      </c>
    </row>
    <row r="507" spans="2:32" x14ac:dyDescent="0.25">
      <c r="B507" s="63" t="s">
        <v>1054</v>
      </c>
      <c r="C507" s="15" t="s">
        <v>348</v>
      </c>
      <c r="D507" s="15">
        <v>1998</v>
      </c>
      <c r="E507" s="16">
        <v>719323</v>
      </c>
      <c r="F507" s="15">
        <v>3.8</v>
      </c>
      <c r="G507" s="15">
        <v>4.0999999999999996</v>
      </c>
      <c r="H507" s="15" t="s">
        <v>340</v>
      </c>
      <c r="I507" s="249">
        <f t="shared" si="21"/>
        <v>1</v>
      </c>
      <c r="J507" s="143">
        <v>4000</v>
      </c>
      <c r="K507" s="249" t="s">
        <v>2378</v>
      </c>
      <c r="M507" s="249">
        <f t="shared" si="22"/>
        <v>17</v>
      </c>
      <c r="N507" s="249">
        <f t="shared" si="23"/>
        <v>16</v>
      </c>
      <c r="O507" s="15"/>
      <c r="P507" s="15"/>
      <c r="Q507" s="15" t="s">
        <v>328</v>
      </c>
      <c r="S507" s="15"/>
      <c r="T507" s="15"/>
      <c r="U507" s="15"/>
      <c r="V507" s="15"/>
      <c r="W507" s="15" t="s">
        <v>328</v>
      </c>
      <c r="X507" s="15"/>
      <c r="Z507" s="127">
        <v>0.2</v>
      </c>
      <c r="AA507" s="249">
        <v>1</v>
      </c>
      <c r="AB507" s="250">
        <v>24000</v>
      </c>
      <c r="AC507" s="250">
        <v>24000</v>
      </c>
      <c r="AD507" s="250">
        <v>120000</v>
      </c>
      <c r="AE507" s="250">
        <v>120000</v>
      </c>
      <c r="AF507" s="250">
        <v>24000</v>
      </c>
    </row>
    <row r="508" spans="2:32" x14ac:dyDescent="0.25">
      <c r="B508" s="63" t="s">
        <v>1055</v>
      </c>
      <c r="C508" s="14" t="s">
        <v>351</v>
      </c>
      <c r="D508" s="15">
        <v>1995</v>
      </c>
      <c r="E508" s="16">
        <v>975102</v>
      </c>
      <c r="F508" s="15">
        <v>3.1</v>
      </c>
      <c r="G508" s="15">
        <v>3.7</v>
      </c>
      <c r="H508" s="15" t="s">
        <v>340</v>
      </c>
      <c r="I508" s="249">
        <f t="shared" si="21"/>
        <v>1</v>
      </c>
      <c r="J508" s="143">
        <v>5000</v>
      </c>
      <c r="K508" s="249" t="s">
        <v>2378</v>
      </c>
      <c r="M508" s="249">
        <f t="shared" si="22"/>
        <v>20</v>
      </c>
      <c r="N508" s="249">
        <f t="shared" si="23"/>
        <v>19</v>
      </c>
      <c r="O508" s="15"/>
      <c r="P508" s="15"/>
      <c r="Q508" s="15" t="s">
        <v>328</v>
      </c>
      <c r="S508" s="15"/>
      <c r="T508" s="15"/>
      <c r="U508" s="15"/>
      <c r="V508" s="15"/>
      <c r="W508" s="15" t="s">
        <v>328</v>
      </c>
      <c r="X508" s="15"/>
      <c r="Z508" s="127">
        <v>0</v>
      </c>
      <c r="AA508" s="249">
        <v>2</v>
      </c>
      <c r="AB508" s="250">
        <v>25000</v>
      </c>
      <c r="AC508" s="250">
        <v>25000</v>
      </c>
      <c r="AD508" s="250">
        <v>150000</v>
      </c>
      <c r="AE508" s="250">
        <v>130000</v>
      </c>
      <c r="AF508" s="250">
        <v>25000</v>
      </c>
    </row>
    <row r="509" spans="2:32" x14ac:dyDescent="0.25">
      <c r="B509" s="63" t="s">
        <v>1055</v>
      </c>
      <c r="C509" s="14" t="s">
        <v>351</v>
      </c>
      <c r="D509" s="15">
        <v>2000</v>
      </c>
      <c r="E509" s="16">
        <v>753301</v>
      </c>
      <c r="F509" s="15">
        <v>3.1</v>
      </c>
      <c r="G509" s="15">
        <v>3.7</v>
      </c>
      <c r="H509" s="15" t="s">
        <v>340</v>
      </c>
      <c r="I509" s="249">
        <f t="shared" si="21"/>
        <v>1</v>
      </c>
      <c r="J509" s="143">
        <v>5000</v>
      </c>
      <c r="K509" s="249" t="s">
        <v>2378</v>
      </c>
      <c r="M509" s="249">
        <f t="shared" si="22"/>
        <v>15</v>
      </c>
      <c r="N509" s="249">
        <f t="shared" si="23"/>
        <v>14</v>
      </c>
      <c r="O509" s="15"/>
      <c r="P509" s="15" t="s">
        <v>328</v>
      </c>
      <c r="Q509" s="15"/>
      <c r="S509" s="15"/>
      <c r="T509" s="15"/>
      <c r="U509" s="15"/>
      <c r="V509" s="15"/>
      <c r="W509" s="15" t="s">
        <v>328</v>
      </c>
      <c r="X509" s="15"/>
      <c r="Z509" s="127">
        <v>0</v>
      </c>
      <c r="AA509" s="249">
        <v>2</v>
      </c>
      <c r="AB509" s="250">
        <v>25000</v>
      </c>
      <c r="AC509" s="250">
        <v>25000</v>
      </c>
      <c r="AD509" s="250">
        <v>150000</v>
      </c>
      <c r="AE509" s="250">
        <v>130000</v>
      </c>
      <c r="AF509" s="250">
        <v>25000</v>
      </c>
    </row>
    <row r="510" spans="2:32" x14ac:dyDescent="0.25">
      <c r="B510" s="63" t="s">
        <v>1057</v>
      </c>
      <c r="C510" s="14" t="s">
        <v>351</v>
      </c>
      <c r="D510" s="15">
        <v>1997</v>
      </c>
      <c r="E510" s="16">
        <v>683915</v>
      </c>
      <c r="F510" s="15">
        <v>3</v>
      </c>
      <c r="G510" s="15">
        <v>3.5</v>
      </c>
      <c r="H510" s="15" t="s">
        <v>340</v>
      </c>
      <c r="I510" s="249">
        <f t="shared" si="21"/>
        <v>1</v>
      </c>
      <c r="J510" s="143">
        <v>3600</v>
      </c>
      <c r="K510" s="249" t="s">
        <v>2378</v>
      </c>
      <c r="M510" s="249">
        <f t="shared" si="22"/>
        <v>18</v>
      </c>
      <c r="N510" s="249">
        <f t="shared" si="23"/>
        <v>17</v>
      </c>
      <c r="O510" s="15"/>
      <c r="P510" s="15"/>
      <c r="Q510" s="15" t="s">
        <v>328</v>
      </c>
      <c r="S510" s="15"/>
      <c r="T510" s="15"/>
      <c r="U510" s="15"/>
      <c r="V510" s="15"/>
      <c r="W510" s="15" t="s">
        <v>328</v>
      </c>
      <c r="X510" s="15"/>
      <c r="Z510" s="127">
        <v>0.1</v>
      </c>
      <c r="AA510" s="249">
        <v>1</v>
      </c>
      <c r="AB510" s="250">
        <v>21500</v>
      </c>
      <c r="AC510" s="250">
        <v>21500</v>
      </c>
      <c r="AD510" s="250">
        <v>160000</v>
      </c>
      <c r="AE510" s="250">
        <v>80000</v>
      </c>
      <c r="AF510" s="250">
        <v>21500</v>
      </c>
    </row>
    <row r="511" spans="2:32" x14ac:dyDescent="0.25">
      <c r="B511" s="63" t="s">
        <v>1059</v>
      </c>
      <c r="C511" s="14" t="s">
        <v>351</v>
      </c>
      <c r="D511" s="15">
        <v>2006</v>
      </c>
      <c r="E511" s="16">
        <v>491567</v>
      </c>
      <c r="F511" s="15">
        <v>3.2</v>
      </c>
      <c r="G511" s="15">
        <v>3.7</v>
      </c>
      <c r="H511" s="15" t="s">
        <v>340</v>
      </c>
      <c r="I511" s="249">
        <f t="shared" si="21"/>
        <v>1</v>
      </c>
      <c r="J511" s="143">
        <v>8000</v>
      </c>
      <c r="K511" s="249" t="s">
        <v>2378</v>
      </c>
      <c r="M511" s="249">
        <f t="shared" si="22"/>
        <v>9</v>
      </c>
      <c r="N511" s="249">
        <f t="shared" si="23"/>
        <v>8</v>
      </c>
      <c r="O511" s="15"/>
      <c r="P511" s="15" t="s">
        <v>328</v>
      </c>
      <c r="Q511" s="15"/>
      <c r="S511" s="15"/>
      <c r="T511" s="15"/>
      <c r="U511" s="15"/>
      <c r="V511" s="15"/>
      <c r="W511" s="15" t="s">
        <v>328</v>
      </c>
      <c r="X511" s="15"/>
      <c r="Z511" s="127">
        <v>0.05</v>
      </c>
      <c r="AA511" s="249">
        <v>1</v>
      </c>
      <c r="AB511" s="250">
        <v>24000</v>
      </c>
      <c r="AC511" s="250">
        <v>24000</v>
      </c>
      <c r="AD511" s="250">
        <v>200000</v>
      </c>
      <c r="AE511" s="250">
        <v>120000</v>
      </c>
      <c r="AF511" s="250">
        <v>24000</v>
      </c>
    </row>
    <row r="512" spans="2:32" x14ac:dyDescent="0.25">
      <c r="B512" s="63" t="s">
        <v>1063</v>
      </c>
      <c r="C512" s="14" t="s">
        <v>351</v>
      </c>
      <c r="D512" s="15">
        <v>2008</v>
      </c>
      <c r="E512" s="16">
        <v>402795</v>
      </c>
      <c r="F512" s="15">
        <v>3.1</v>
      </c>
      <c r="G512" s="15">
        <v>3.7</v>
      </c>
      <c r="H512" s="15" t="s">
        <v>340</v>
      </c>
      <c r="I512" s="249">
        <f t="shared" si="21"/>
        <v>1</v>
      </c>
      <c r="J512" s="143">
        <v>6000</v>
      </c>
      <c r="K512" s="249" t="s">
        <v>2378</v>
      </c>
      <c r="M512" s="249">
        <f t="shared" si="22"/>
        <v>7</v>
      </c>
      <c r="N512" s="249">
        <f t="shared" si="23"/>
        <v>6</v>
      </c>
      <c r="O512" s="15"/>
      <c r="P512" s="15" t="s">
        <v>328</v>
      </c>
      <c r="Q512" s="15"/>
      <c r="S512" s="15"/>
      <c r="T512" s="15"/>
      <c r="U512" s="15"/>
      <c r="V512" s="15"/>
      <c r="W512" s="15"/>
      <c r="X512" s="15" t="s">
        <v>328</v>
      </c>
      <c r="Z512" s="127">
        <v>0.1</v>
      </c>
      <c r="AA512" s="249">
        <v>1</v>
      </c>
      <c r="AB512" s="250">
        <v>18000</v>
      </c>
      <c r="AC512" s="250">
        <v>36000</v>
      </c>
      <c r="AD512" s="250">
        <v>240000</v>
      </c>
      <c r="AE512" s="250">
        <v>140000</v>
      </c>
      <c r="AF512" s="250">
        <v>36000</v>
      </c>
    </row>
    <row r="513" spans="2:32" x14ac:dyDescent="0.25">
      <c r="B513" s="63" t="s">
        <v>1065</v>
      </c>
      <c r="C513" s="15" t="s">
        <v>337</v>
      </c>
      <c r="D513" s="15">
        <v>2001</v>
      </c>
      <c r="E513" s="16">
        <v>816766</v>
      </c>
      <c r="F513" s="15">
        <v>2.4</v>
      </c>
      <c r="G513" s="15">
        <v>2.7</v>
      </c>
      <c r="H513" s="15" t="s">
        <v>340</v>
      </c>
      <c r="I513" s="249">
        <f t="shared" si="21"/>
        <v>1</v>
      </c>
      <c r="J513" s="143">
        <v>7000</v>
      </c>
      <c r="K513" s="249" t="s">
        <v>2378</v>
      </c>
      <c r="M513" s="249">
        <f t="shared" si="22"/>
        <v>14</v>
      </c>
      <c r="N513" s="249">
        <f t="shared" si="23"/>
        <v>13</v>
      </c>
      <c r="O513" s="15"/>
      <c r="P513" s="15" t="s">
        <v>328</v>
      </c>
      <c r="Q513" s="15"/>
      <c r="S513" s="15"/>
      <c r="T513" s="15"/>
      <c r="U513" s="15"/>
      <c r="V513" s="15"/>
      <c r="W513" s="15" t="s">
        <v>328</v>
      </c>
      <c r="X513" s="15"/>
      <c r="Z513" s="127">
        <v>0.2</v>
      </c>
      <c r="AA513" s="249">
        <v>1</v>
      </c>
      <c r="AB513" s="250">
        <v>21000</v>
      </c>
      <c r="AC513" s="250">
        <v>28000</v>
      </c>
      <c r="AD513" s="250">
        <v>210000</v>
      </c>
      <c r="AE513" s="250">
        <v>140000</v>
      </c>
      <c r="AF513" s="250">
        <v>28000</v>
      </c>
    </row>
    <row r="514" spans="2:32" x14ac:dyDescent="0.25">
      <c r="B514" s="63" t="s">
        <v>1067</v>
      </c>
      <c r="C514" s="15" t="s">
        <v>348</v>
      </c>
      <c r="D514" s="15">
        <v>2005</v>
      </c>
      <c r="E514" s="16">
        <v>347620</v>
      </c>
      <c r="F514" s="15">
        <v>4</v>
      </c>
      <c r="G514" s="15">
        <v>4.5</v>
      </c>
      <c r="H514" s="15" t="s">
        <v>340</v>
      </c>
      <c r="I514" s="249">
        <f t="shared" si="21"/>
        <v>1</v>
      </c>
      <c r="J514" s="143">
        <v>8000</v>
      </c>
      <c r="K514" s="249" t="s">
        <v>2378</v>
      </c>
      <c r="M514" s="249">
        <f t="shared" si="22"/>
        <v>10</v>
      </c>
      <c r="N514" s="249">
        <f t="shared" si="23"/>
        <v>9</v>
      </c>
      <c r="O514" s="15" t="s">
        <v>328</v>
      </c>
      <c r="P514" s="15"/>
      <c r="Q514" s="15"/>
      <c r="S514" s="15"/>
      <c r="T514" s="15"/>
      <c r="U514" s="15"/>
      <c r="V514" s="15"/>
      <c r="W514" s="15" t="s">
        <v>328</v>
      </c>
      <c r="X514" s="15"/>
      <c r="Z514" s="127">
        <v>0.5</v>
      </c>
      <c r="AA514" s="249">
        <v>3</v>
      </c>
      <c r="AB514" s="250">
        <v>24000</v>
      </c>
      <c r="AC514" s="250">
        <v>32000</v>
      </c>
      <c r="AD514" s="250">
        <v>100000</v>
      </c>
      <c r="AE514" s="250">
        <v>150000</v>
      </c>
      <c r="AF514" s="250">
        <v>24000</v>
      </c>
    </row>
    <row r="515" spans="2:32" x14ac:dyDescent="0.25">
      <c r="B515" s="63" t="s">
        <v>1067</v>
      </c>
      <c r="C515" s="15" t="s">
        <v>348</v>
      </c>
      <c r="D515" s="15">
        <v>2005</v>
      </c>
      <c r="E515" s="16">
        <v>376515</v>
      </c>
      <c r="F515" s="15">
        <v>4</v>
      </c>
      <c r="G515" s="15">
        <v>4.5</v>
      </c>
      <c r="H515" s="15" t="s">
        <v>340</v>
      </c>
      <c r="I515" s="249">
        <f t="shared" si="21"/>
        <v>1</v>
      </c>
      <c r="J515" s="143">
        <v>8000</v>
      </c>
      <c r="K515" s="249" t="s">
        <v>2378</v>
      </c>
      <c r="M515" s="249">
        <f t="shared" si="22"/>
        <v>10</v>
      </c>
      <c r="N515" s="249">
        <f t="shared" si="23"/>
        <v>9</v>
      </c>
      <c r="O515" s="15" t="s">
        <v>328</v>
      </c>
      <c r="P515" s="15"/>
      <c r="Q515" s="15"/>
      <c r="S515" s="15"/>
      <c r="T515" s="15"/>
      <c r="U515" s="15"/>
      <c r="V515" s="15"/>
      <c r="W515" s="15" t="s">
        <v>328</v>
      </c>
      <c r="X515" s="15"/>
      <c r="Z515" s="127">
        <v>0.5</v>
      </c>
      <c r="AA515" s="249">
        <v>3</v>
      </c>
      <c r="AB515" s="250">
        <v>24000</v>
      </c>
      <c r="AC515" s="250">
        <v>32000</v>
      </c>
      <c r="AD515" s="250">
        <v>100000</v>
      </c>
      <c r="AE515" s="250">
        <v>150000</v>
      </c>
      <c r="AF515" s="250">
        <v>24000</v>
      </c>
    </row>
    <row r="516" spans="2:32" x14ac:dyDescent="0.25">
      <c r="B516" s="63" t="s">
        <v>1067</v>
      </c>
      <c r="C516" s="15" t="s">
        <v>348</v>
      </c>
      <c r="D516" s="15">
        <v>2009</v>
      </c>
      <c r="E516" s="16">
        <v>193796</v>
      </c>
      <c r="F516" s="15">
        <v>3.9</v>
      </c>
      <c r="G516" s="15">
        <v>4.2</v>
      </c>
      <c r="H516" s="15" t="s">
        <v>340</v>
      </c>
      <c r="I516" s="249">
        <f t="shared" si="21"/>
        <v>1</v>
      </c>
      <c r="J516" s="143">
        <v>8000</v>
      </c>
      <c r="K516" s="249" t="s">
        <v>2378</v>
      </c>
      <c r="M516" s="249">
        <f t="shared" si="22"/>
        <v>6</v>
      </c>
      <c r="N516" s="249">
        <f t="shared" si="23"/>
        <v>5</v>
      </c>
      <c r="O516" s="15" t="s">
        <v>328</v>
      </c>
      <c r="P516" s="15"/>
      <c r="Q516" s="15"/>
      <c r="S516" s="15"/>
      <c r="T516" s="15"/>
      <c r="U516" s="15"/>
      <c r="V516" s="15"/>
      <c r="W516" s="15" t="s">
        <v>328</v>
      </c>
      <c r="X516" s="15"/>
      <c r="Z516" s="127">
        <v>0.5</v>
      </c>
      <c r="AA516" s="249">
        <v>3</v>
      </c>
      <c r="AB516" s="250">
        <v>24000</v>
      </c>
      <c r="AC516" s="250">
        <v>32000</v>
      </c>
      <c r="AD516" s="250">
        <v>100000</v>
      </c>
      <c r="AE516" s="250">
        <v>150000</v>
      </c>
      <c r="AF516" s="250">
        <v>24000</v>
      </c>
    </row>
    <row r="517" spans="2:32" x14ac:dyDescent="0.25">
      <c r="B517" s="63" t="s">
        <v>1069</v>
      </c>
      <c r="C517" s="14" t="s">
        <v>351</v>
      </c>
      <c r="D517" s="15">
        <v>1983</v>
      </c>
      <c r="E517" s="16">
        <v>864000</v>
      </c>
      <c r="F517" s="15">
        <v>2.9</v>
      </c>
      <c r="G517" s="15">
        <v>3.4</v>
      </c>
      <c r="H517" s="15" t="s">
        <v>340</v>
      </c>
      <c r="I517" s="249">
        <f t="shared" si="21"/>
        <v>1</v>
      </c>
      <c r="J517" s="143">
        <v>2400</v>
      </c>
      <c r="K517" s="249" t="s">
        <v>2378</v>
      </c>
      <c r="M517" s="249">
        <f t="shared" si="22"/>
        <v>32</v>
      </c>
      <c r="N517" s="249">
        <f t="shared" si="23"/>
        <v>31</v>
      </c>
      <c r="O517" s="15"/>
      <c r="P517" s="15"/>
      <c r="Q517" s="15" t="s">
        <v>328</v>
      </c>
      <c r="S517" s="15"/>
      <c r="T517" s="15" t="s">
        <v>328</v>
      </c>
      <c r="U517" s="15"/>
      <c r="V517" s="15"/>
      <c r="W517" s="15"/>
      <c r="X517" s="15"/>
      <c r="Z517" s="127">
        <v>0.2</v>
      </c>
      <c r="AA517" s="249">
        <v>1</v>
      </c>
      <c r="AB517" s="250">
        <v>19000</v>
      </c>
      <c r="AC517" s="250">
        <v>28000</v>
      </c>
      <c r="AD517" s="250">
        <v>65000</v>
      </c>
      <c r="AE517" s="250">
        <v>120000</v>
      </c>
      <c r="AF517" s="250">
        <v>28000</v>
      </c>
    </row>
    <row r="518" spans="2:32" x14ac:dyDescent="0.25">
      <c r="B518" s="63" t="s">
        <v>1071</v>
      </c>
      <c r="C518" s="15" t="s">
        <v>337</v>
      </c>
      <c r="D518" s="15">
        <v>2004</v>
      </c>
      <c r="E518" s="16">
        <v>973801</v>
      </c>
      <c r="F518" s="15">
        <v>2.5</v>
      </c>
      <c r="G518" s="15">
        <v>2.8</v>
      </c>
      <c r="H518" s="15" t="s">
        <v>340</v>
      </c>
      <c r="I518" s="249">
        <f t="shared" ref="I518:I581" si="24">IF(F518&gt;G518,0,1)</f>
        <v>1</v>
      </c>
      <c r="J518" s="143">
        <v>10000</v>
      </c>
      <c r="K518" s="249" t="s">
        <v>2378</v>
      </c>
      <c r="M518" s="249">
        <f t="shared" ref="M518:M581" si="25">2015-D518</f>
        <v>11</v>
      </c>
      <c r="N518" s="249">
        <f t="shared" ref="N518:N581" si="26">2014-$D518</f>
        <v>10</v>
      </c>
      <c r="O518" s="15"/>
      <c r="P518" s="15" t="s">
        <v>328</v>
      </c>
      <c r="Q518" s="15"/>
      <c r="S518" s="15"/>
      <c r="T518" s="15" t="s">
        <v>328</v>
      </c>
      <c r="U518" s="15"/>
      <c r="V518" s="15"/>
      <c r="W518" s="15"/>
      <c r="X518" s="15"/>
      <c r="Z518" s="127">
        <v>0.1</v>
      </c>
      <c r="AA518" s="249">
        <v>1</v>
      </c>
      <c r="AB518" s="250">
        <v>18000</v>
      </c>
      <c r="AC518" s="250">
        <v>36000</v>
      </c>
      <c r="AD518" s="250">
        <v>150000</v>
      </c>
      <c r="AE518" s="250">
        <v>150000</v>
      </c>
      <c r="AF518" s="250">
        <v>36000</v>
      </c>
    </row>
    <row r="519" spans="2:32" x14ac:dyDescent="0.25">
      <c r="B519" s="63" t="s">
        <v>1073</v>
      </c>
      <c r="C519" s="14" t="s">
        <v>351</v>
      </c>
      <c r="D519" s="15">
        <v>1999</v>
      </c>
      <c r="E519" s="16">
        <v>771054</v>
      </c>
      <c r="F519" s="15">
        <v>3.1</v>
      </c>
      <c r="G519" s="15">
        <v>3.7</v>
      </c>
      <c r="H519" s="15" t="s">
        <v>340</v>
      </c>
      <c r="I519" s="249">
        <f t="shared" si="24"/>
        <v>1</v>
      </c>
      <c r="J519" s="143">
        <v>8000</v>
      </c>
      <c r="K519" s="249" t="s">
        <v>2378</v>
      </c>
      <c r="M519" s="249">
        <f t="shared" si="25"/>
        <v>16</v>
      </c>
      <c r="N519" s="249">
        <f t="shared" si="26"/>
        <v>15</v>
      </c>
      <c r="O519" s="15"/>
      <c r="P519" s="15" t="s">
        <v>328</v>
      </c>
      <c r="Q519" s="15"/>
      <c r="S519" s="15"/>
      <c r="T519" s="15" t="s">
        <v>328</v>
      </c>
      <c r="U519" s="15"/>
      <c r="V519" s="15"/>
      <c r="W519" s="15"/>
      <c r="X519" s="15"/>
      <c r="Z519" s="127">
        <v>0.1</v>
      </c>
      <c r="AA519" s="249">
        <v>1</v>
      </c>
      <c r="AB519" s="250">
        <v>24000</v>
      </c>
      <c r="AC519" s="250">
        <v>48000</v>
      </c>
      <c r="AD519" s="250">
        <v>200000</v>
      </c>
      <c r="AE519" s="250">
        <v>140000</v>
      </c>
      <c r="AF519" s="250">
        <v>48000</v>
      </c>
    </row>
    <row r="520" spans="2:32" x14ac:dyDescent="0.25">
      <c r="B520" s="63" t="s">
        <v>1076</v>
      </c>
      <c r="C520" s="15" t="s">
        <v>348</v>
      </c>
      <c r="D520" s="15">
        <v>2006</v>
      </c>
      <c r="E520" s="16">
        <v>453165</v>
      </c>
      <c r="F520" s="15">
        <v>4</v>
      </c>
      <c r="G520" s="15">
        <v>4.5</v>
      </c>
      <c r="H520" s="15" t="s">
        <v>340</v>
      </c>
      <c r="I520" s="249">
        <f t="shared" si="24"/>
        <v>1</v>
      </c>
      <c r="J520" s="143">
        <v>5000</v>
      </c>
      <c r="K520" s="249" t="s">
        <v>2378</v>
      </c>
      <c r="M520" s="249">
        <f t="shared" si="25"/>
        <v>9</v>
      </c>
      <c r="N520" s="249">
        <f t="shared" si="26"/>
        <v>8</v>
      </c>
      <c r="O520" s="15"/>
      <c r="P520" s="15" t="s">
        <v>328</v>
      </c>
      <c r="Q520" s="15"/>
      <c r="S520" s="15"/>
      <c r="T520" s="15"/>
      <c r="U520" s="15"/>
      <c r="V520" s="15" t="s">
        <v>328</v>
      </c>
      <c r="W520" s="15"/>
      <c r="X520" s="15"/>
      <c r="Z520" s="127">
        <v>0</v>
      </c>
      <c r="AA520" s="249">
        <v>1</v>
      </c>
      <c r="AB520" s="250">
        <v>20000</v>
      </c>
      <c r="AC520" s="250">
        <v>40000</v>
      </c>
      <c r="AD520" s="250">
        <v>120000</v>
      </c>
      <c r="AE520" s="250">
        <v>100000</v>
      </c>
      <c r="AF520" s="250">
        <v>40000</v>
      </c>
    </row>
    <row r="521" spans="2:32" x14ac:dyDescent="0.25">
      <c r="B521" s="63" t="s">
        <v>1078</v>
      </c>
      <c r="C521" s="14" t="s">
        <v>351</v>
      </c>
      <c r="D521" s="15">
        <v>1998</v>
      </c>
      <c r="E521" s="16">
        <v>1315976</v>
      </c>
      <c r="F521" s="15">
        <v>3.1</v>
      </c>
      <c r="G521" s="15">
        <v>3.6</v>
      </c>
      <c r="H521" s="15" t="s">
        <v>340</v>
      </c>
      <c r="I521" s="249">
        <f t="shared" si="24"/>
        <v>1</v>
      </c>
      <c r="J521" s="143">
        <v>7000</v>
      </c>
      <c r="K521" s="249" t="s">
        <v>2378</v>
      </c>
      <c r="M521" s="249">
        <f t="shared" si="25"/>
        <v>17</v>
      </c>
      <c r="N521" s="249">
        <f t="shared" si="26"/>
        <v>16</v>
      </c>
      <c r="O521" s="15"/>
      <c r="P521" s="15"/>
      <c r="Q521" s="15" t="s">
        <v>328</v>
      </c>
      <c r="S521" s="15"/>
      <c r="T521" s="15"/>
      <c r="U521" s="15"/>
      <c r="V521" s="15"/>
      <c r="W521" s="15" t="s">
        <v>328</v>
      </c>
      <c r="X521" s="15"/>
      <c r="Z521" s="127">
        <v>0.1</v>
      </c>
      <c r="AA521" s="249">
        <v>1</v>
      </c>
      <c r="AB521" s="250">
        <v>21000</v>
      </c>
      <c r="AC521" s="250">
        <v>40000</v>
      </c>
      <c r="AD521" s="250">
        <v>200000</v>
      </c>
      <c r="AE521" s="250">
        <v>100000</v>
      </c>
      <c r="AF521" s="250">
        <v>40000</v>
      </c>
    </row>
    <row r="522" spans="2:32" x14ac:dyDescent="0.25">
      <c r="B522" s="63" t="s">
        <v>1079</v>
      </c>
      <c r="C522" s="14" t="s">
        <v>351</v>
      </c>
      <c r="D522" s="15">
        <v>1997</v>
      </c>
      <c r="E522" s="16">
        <v>768000</v>
      </c>
      <c r="F522" s="15">
        <v>3.1</v>
      </c>
      <c r="G522" s="15">
        <v>3.6</v>
      </c>
      <c r="H522" s="15" t="s">
        <v>340</v>
      </c>
      <c r="I522" s="249">
        <f t="shared" si="24"/>
        <v>1</v>
      </c>
      <c r="J522" s="143">
        <v>4000</v>
      </c>
      <c r="K522" s="249" t="s">
        <v>2378</v>
      </c>
      <c r="M522" s="249">
        <f t="shared" si="25"/>
        <v>18</v>
      </c>
      <c r="N522" s="249">
        <f t="shared" si="26"/>
        <v>17</v>
      </c>
      <c r="O522" s="15"/>
      <c r="P522" s="15"/>
      <c r="Q522" s="15" t="s">
        <v>328</v>
      </c>
      <c r="S522" s="15"/>
      <c r="T522" s="15"/>
      <c r="U522" s="15"/>
      <c r="V522" s="15"/>
      <c r="W522" s="15" t="s">
        <v>328</v>
      </c>
      <c r="X522" s="15"/>
      <c r="Z522" s="127">
        <v>0.1</v>
      </c>
      <c r="AA522" s="249">
        <v>2</v>
      </c>
      <c r="AB522" s="250">
        <v>20000</v>
      </c>
      <c r="AC522" s="250">
        <v>20000</v>
      </c>
      <c r="AD522" s="250">
        <v>200000</v>
      </c>
      <c r="AE522" s="250">
        <v>100000</v>
      </c>
      <c r="AF522" s="250">
        <v>20000</v>
      </c>
    </row>
    <row r="523" spans="2:32" x14ac:dyDescent="0.25">
      <c r="B523" s="63" t="s">
        <v>1079</v>
      </c>
      <c r="C523" s="14" t="s">
        <v>351</v>
      </c>
      <c r="D523" s="15">
        <v>2002</v>
      </c>
      <c r="E523" s="16">
        <v>637001</v>
      </c>
      <c r="F523" s="15">
        <v>3.2</v>
      </c>
      <c r="G523" s="15">
        <v>3.7</v>
      </c>
      <c r="H523" s="15" t="s">
        <v>340</v>
      </c>
      <c r="I523" s="249">
        <f t="shared" si="24"/>
        <v>1</v>
      </c>
      <c r="J523" s="143">
        <v>5000</v>
      </c>
      <c r="K523" s="249" t="s">
        <v>2378</v>
      </c>
      <c r="M523" s="249">
        <f t="shared" si="25"/>
        <v>13</v>
      </c>
      <c r="N523" s="249">
        <f t="shared" si="26"/>
        <v>12</v>
      </c>
      <c r="O523" s="15"/>
      <c r="P523" s="15"/>
      <c r="Q523" s="15" t="s">
        <v>328</v>
      </c>
      <c r="S523" s="15"/>
      <c r="T523" s="15"/>
      <c r="U523" s="15"/>
      <c r="V523" s="15"/>
      <c r="W523" s="15" t="s">
        <v>328</v>
      </c>
      <c r="X523" s="15"/>
      <c r="Z523" s="127">
        <v>0.1</v>
      </c>
      <c r="AA523" s="249">
        <v>2</v>
      </c>
      <c r="AB523" s="250">
        <v>20000</v>
      </c>
      <c r="AC523" s="250">
        <v>20000</v>
      </c>
      <c r="AD523" s="250">
        <v>200000</v>
      </c>
      <c r="AE523" s="250">
        <v>100000</v>
      </c>
      <c r="AF523" s="250">
        <v>20000</v>
      </c>
    </row>
    <row r="524" spans="2:32" x14ac:dyDescent="0.25">
      <c r="B524" s="63" t="s">
        <v>1081</v>
      </c>
      <c r="C524" s="15" t="s">
        <v>348</v>
      </c>
      <c r="D524" s="15">
        <v>1998</v>
      </c>
      <c r="E524" s="16">
        <v>1340611</v>
      </c>
      <c r="F524" s="15">
        <v>3</v>
      </c>
      <c r="G524" s="15">
        <v>3.6</v>
      </c>
      <c r="H524" s="15" t="s">
        <v>340</v>
      </c>
      <c r="I524" s="249">
        <f t="shared" si="24"/>
        <v>1</v>
      </c>
      <c r="J524" s="143">
        <v>7500</v>
      </c>
      <c r="K524" s="249" t="s">
        <v>2378</v>
      </c>
      <c r="M524" s="249">
        <f t="shared" si="25"/>
        <v>17</v>
      </c>
      <c r="N524" s="249">
        <f t="shared" si="26"/>
        <v>16</v>
      </c>
      <c r="O524" s="15"/>
      <c r="P524" s="15"/>
      <c r="Q524" s="15" t="s">
        <v>328</v>
      </c>
      <c r="S524" s="15"/>
      <c r="T524" s="15"/>
      <c r="U524" s="15"/>
      <c r="V524" s="15"/>
      <c r="W524" s="15" t="s">
        <v>328</v>
      </c>
      <c r="X524" s="15"/>
      <c r="Z524" s="127">
        <v>0.1</v>
      </c>
      <c r="AA524" s="249">
        <v>2</v>
      </c>
      <c r="AB524" s="250">
        <v>15000</v>
      </c>
      <c r="AC524" s="250">
        <v>30000</v>
      </c>
      <c r="AD524" s="250">
        <v>110000</v>
      </c>
      <c r="AE524" s="250">
        <v>130000</v>
      </c>
      <c r="AF524" s="250">
        <v>15000</v>
      </c>
    </row>
    <row r="525" spans="2:32" x14ac:dyDescent="0.25">
      <c r="B525" s="63" t="s">
        <v>1081</v>
      </c>
      <c r="C525" s="14" t="s">
        <v>351</v>
      </c>
      <c r="D525" s="15">
        <v>2000</v>
      </c>
      <c r="E525" s="16">
        <v>1094501</v>
      </c>
      <c r="F525" s="15">
        <v>3</v>
      </c>
      <c r="G525" s="15">
        <v>3.6</v>
      </c>
      <c r="H525" s="15" t="s">
        <v>340</v>
      </c>
      <c r="I525" s="249">
        <f t="shared" si="24"/>
        <v>1</v>
      </c>
      <c r="J525" s="143">
        <v>7500</v>
      </c>
      <c r="K525" s="249" t="s">
        <v>2378</v>
      </c>
      <c r="M525" s="249">
        <f t="shared" si="25"/>
        <v>15</v>
      </c>
      <c r="N525" s="249">
        <f t="shared" si="26"/>
        <v>14</v>
      </c>
      <c r="O525" s="15"/>
      <c r="P525" s="15"/>
      <c r="Q525" s="15" t="s">
        <v>328</v>
      </c>
      <c r="S525" s="15"/>
      <c r="T525" s="15"/>
      <c r="U525" s="15"/>
      <c r="V525" s="15"/>
      <c r="W525" s="15" t="s">
        <v>328</v>
      </c>
      <c r="X525" s="15"/>
      <c r="Z525" s="127">
        <v>0.1</v>
      </c>
      <c r="AA525" s="249">
        <v>2</v>
      </c>
      <c r="AB525" s="250">
        <v>15000</v>
      </c>
      <c r="AC525" s="250">
        <v>30000</v>
      </c>
      <c r="AD525" s="250">
        <v>110000</v>
      </c>
      <c r="AE525" s="250">
        <v>130000</v>
      </c>
      <c r="AF525" s="250">
        <v>15000</v>
      </c>
    </row>
    <row r="526" spans="2:32" x14ac:dyDescent="0.25">
      <c r="B526" s="63" t="s">
        <v>1083</v>
      </c>
      <c r="C526" s="15" t="s">
        <v>348</v>
      </c>
      <c r="D526" s="15">
        <v>2003</v>
      </c>
      <c r="E526" s="16">
        <v>600374</v>
      </c>
      <c r="F526" s="15">
        <v>4</v>
      </c>
      <c r="G526" s="15">
        <v>4.9000000000000004</v>
      </c>
      <c r="H526" s="15" t="s">
        <v>371</v>
      </c>
      <c r="I526" s="249">
        <f t="shared" si="24"/>
        <v>1</v>
      </c>
      <c r="J526" s="143">
        <v>4000</v>
      </c>
      <c r="K526" s="249" t="s">
        <v>2378</v>
      </c>
      <c r="M526" s="249">
        <f t="shared" si="25"/>
        <v>12</v>
      </c>
      <c r="N526" s="249">
        <f t="shared" si="26"/>
        <v>11</v>
      </c>
      <c r="O526" s="15"/>
      <c r="P526" s="15" t="s">
        <v>328</v>
      </c>
      <c r="Q526" s="15"/>
      <c r="S526" s="15"/>
      <c r="T526" s="15"/>
      <c r="U526" s="15"/>
      <c r="V526" s="15"/>
      <c r="W526" s="15" t="s">
        <v>328</v>
      </c>
      <c r="X526" s="15"/>
      <c r="Z526" s="127">
        <v>0.5</v>
      </c>
      <c r="AA526" s="249">
        <v>3</v>
      </c>
      <c r="AB526" s="250">
        <v>15000</v>
      </c>
      <c r="AC526" s="250">
        <v>15000</v>
      </c>
      <c r="AD526" s="250">
        <v>80000</v>
      </c>
      <c r="AE526" s="250">
        <v>120000</v>
      </c>
      <c r="AF526" s="250" t="s">
        <v>385</v>
      </c>
    </row>
    <row r="527" spans="2:32" x14ac:dyDescent="0.25">
      <c r="B527" s="63" t="s">
        <v>1083</v>
      </c>
      <c r="C527" s="15" t="s">
        <v>348</v>
      </c>
      <c r="D527" s="15">
        <v>2004</v>
      </c>
      <c r="E527" s="16">
        <v>478650</v>
      </c>
      <c r="F527" s="15">
        <v>4</v>
      </c>
      <c r="G527" s="15">
        <v>4.9000000000000004</v>
      </c>
      <c r="H527" s="15" t="s">
        <v>371</v>
      </c>
      <c r="I527" s="249">
        <f t="shared" si="24"/>
        <v>1</v>
      </c>
      <c r="J527" s="143">
        <v>4000</v>
      </c>
      <c r="K527" s="249" t="s">
        <v>2378</v>
      </c>
      <c r="M527" s="249">
        <f t="shared" si="25"/>
        <v>11</v>
      </c>
      <c r="N527" s="249">
        <f t="shared" si="26"/>
        <v>10</v>
      </c>
      <c r="O527" s="15" t="s">
        <v>328</v>
      </c>
      <c r="P527" s="15"/>
      <c r="Q527" s="15"/>
      <c r="S527" s="15"/>
      <c r="T527" s="15"/>
      <c r="U527" s="15"/>
      <c r="V527" s="15"/>
      <c r="W527" s="15" t="s">
        <v>328</v>
      </c>
      <c r="X527" s="15"/>
      <c r="Z527" s="127">
        <v>0.5</v>
      </c>
      <c r="AA527" s="249">
        <v>3</v>
      </c>
      <c r="AB527" s="250">
        <v>15000</v>
      </c>
      <c r="AC527" s="250">
        <v>15000</v>
      </c>
      <c r="AD527" s="250">
        <v>80000</v>
      </c>
      <c r="AE527" s="250">
        <v>120000</v>
      </c>
      <c r="AF527" s="250" t="s">
        <v>385</v>
      </c>
    </row>
    <row r="528" spans="2:32" x14ac:dyDescent="0.25">
      <c r="B528" s="63" t="s">
        <v>1083</v>
      </c>
      <c r="C528" s="15" t="s">
        <v>348</v>
      </c>
      <c r="D528" s="15">
        <v>2007</v>
      </c>
      <c r="E528" s="16">
        <v>337402</v>
      </c>
      <c r="F528" s="15">
        <v>4</v>
      </c>
      <c r="G528" s="15">
        <v>4.9000000000000004</v>
      </c>
      <c r="H528" s="15" t="s">
        <v>371</v>
      </c>
      <c r="I528" s="249">
        <f t="shared" si="24"/>
        <v>1</v>
      </c>
      <c r="J528" s="143">
        <v>4000</v>
      </c>
      <c r="K528" s="249" t="s">
        <v>2378</v>
      </c>
      <c r="M528" s="249">
        <f t="shared" si="25"/>
        <v>8</v>
      </c>
      <c r="N528" s="249">
        <f t="shared" si="26"/>
        <v>7</v>
      </c>
      <c r="O528" s="15" t="s">
        <v>328</v>
      </c>
      <c r="P528" s="15"/>
      <c r="Q528" s="15"/>
      <c r="S528" s="15"/>
      <c r="T528" s="15"/>
      <c r="U528" s="15"/>
      <c r="V528" s="15"/>
      <c r="W528" s="15" t="s">
        <v>328</v>
      </c>
      <c r="X528" s="15"/>
      <c r="Z528" s="127">
        <v>0.5</v>
      </c>
      <c r="AA528" s="249">
        <v>3</v>
      </c>
      <c r="AB528" s="250">
        <v>15000</v>
      </c>
      <c r="AC528" s="250">
        <v>15000</v>
      </c>
      <c r="AD528" s="250">
        <v>80000</v>
      </c>
      <c r="AE528" s="250">
        <v>120000</v>
      </c>
      <c r="AF528" s="250" t="s">
        <v>385</v>
      </c>
    </row>
    <row r="529" spans="2:32" x14ac:dyDescent="0.25">
      <c r="B529" s="63" t="s">
        <v>1084</v>
      </c>
      <c r="C529" s="15" t="s">
        <v>337</v>
      </c>
      <c r="D529" s="15">
        <v>2001</v>
      </c>
      <c r="E529" s="16">
        <v>873678</v>
      </c>
      <c r="F529" s="15">
        <v>2.5</v>
      </c>
      <c r="G529" s="15">
        <v>2.7</v>
      </c>
      <c r="H529" s="15" t="s">
        <v>340</v>
      </c>
      <c r="I529" s="249">
        <f t="shared" si="24"/>
        <v>1</v>
      </c>
      <c r="J529" s="143">
        <v>9000</v>
      </c>
      <c r="K529" s="249" t="s">
        <v>2378</v>
      </c>
      <c r="M529" s="249">
        <f t="shared" si="25"/>
        <v>14</v>
      </c>
      <c r="N529" s="249">
        <f t="shared" si="26"/>
        <v>13</v>
      </c>
      <c r="O529" s="15"/>
      <c r="P529" s="15" t="s">
        <v>328</v>
      </c>
      <c r="Q529" s="15"/>
      <c r="S529" s="15"/>
      <c r="T529" s="15" t="s">
        <v>328</v>
      </c>
      <c r="U529" s="15"/>
      <c r="V529" s="15"/>
      <c r="W529" s="15"/>
      <c r="X529" s="15"/>
      <c r="Z529" s="127">
        <v>0.1</v>
      </c>
      <c r="AA529" s="249">
        <v>1</v>
      </c>
      <c r="AB529" s="250">
        <v>18000</v>
      </c>
      <c r="AC529" s="250">
        <v>36000</v>
      </c>
      <c r="AD529" s="250">
        <v>150000</v>
      </c>
      <c r="AE529" s="250">
        <v>120000</v>
      </c>
      <c r="AF529" s="250">
        <v>36000</v>
      </c>
    </row>
    <row r="530" spans="2:32" x14ac:dyDescent="0.25">
      <c r="B530" s="63" t="s">
        <v>1086</v>
      </c>
      <c r="C530" s="14" t="s">
        <v>351</v>
      </c>
      <c r="D530" s="15">
        <v>1992</v>
      </c>
      <c r="E530" s="16">
        <v>856800</v>
      </c>
      <c r="F530" s="15">
        <v>3.1</v>
      </c>
      <c r="G530" s="15">
        <v>3.7</v>
      </c>
      <c r="H530" s="15" t="s">
        <v>340</v>
      </c>
      <c r="I530" s="249">
        <f t="shared" si="24"/>
        <v>1</v>
      </c>
      <c r="J530" s="143">
        <v>3400</v>
      </c>
      <c r="K530" s="249" t="s">
        <v>2378</v>
      </c>
      <c r="M530" s="249">
        <f t="shared" si="25"/>
        <v>23</v>
      </c>
      <c r="N530" s="249">
        <f t="shared" si="26"/>
        <v>22</v>
      </c>
      <c r="O530" s="15"/>
      <c r="P530" s="15"/>
      <c r="Q530" s="15" t="s">
        <v>328</v>
      </c>
      <c r="S530" s="15"/>
      <c r="T530" s="15"/>
      <c r="U530" s="15"/>
      <c r="V530" s="15"/>
      <c r="W530" s="15" t="s">
        <v>328</v>
      </c>
      <c r="X530" s="15"/>
      <c r="Z530" s="127">
        <v>0.2</v>
      </c>
      <c r="AA530" s="249">
        <v>1</v>
      </c>
      <c r="AB530" s="250">
        <v>20000</v>
      </c>
      <c r="AC530" s="250">
        <v>20000</v>
      </c>
      <c r="AD530" s="250">
        <v>80000</v>
      </c>
      <c r="AE530" s="250">
        <v>10000</v>
      </c>
      <c r="AF530" s="250">
        <v>20000</v>
      </c>
    </row>
    <row r="531" spans="2:32" x14ac:dyDescent="0.25">
      <c r="B531" s="63" t="s">
        <v>1088</v>
      </c>
      <c r="C531" s="14" t="s">
        <v>351</v>
      </c>
      <c r="D531" s="15">
        <v>1995</v>
      </c>
      <c r="E531" s="16">
        <v>777600</v>
      </c>
      <c r="F531" s="15">
        <v>3.1</v>
      </c>
      <c r="G531" s="15">
        <v>3.8</v>
      </c>
      <c r="H531" s="15" t="s">
        <v>340</v>
      </c>
      <c r="I531" s="249">
        <f t="shared" si="24"/>
        <v>1</v>
      </c>
      <c r="J531" s="143">
        <v>3600</v>
      </c>
      <c r="K531" s="249" t="s">
        <v>2378</v>
      </c>
      <c r="M531" s="249">
        <f t="shared" si="25"/>
        <v>20</v>
      </c>
      <c r="N531" s="249">
        <f t="shared" si="26"/>
        <v>19</v>
      </c>
      <c r="O531" s="15"/>
      <c r="P531" s="15"/>
      <c r="Q531" s="15" t="s">
        <v>328</v>
      </c>
      <c r="S531" s="15" t="s">
        <v>328</v>
      </c>
      <c r="T531" s="15"/>
      <c r="U531" s="15"/>
      <c r="V531" s="15"/>
      <c r="W531" s="15"/>
      <c r="X531" s="15"/>
      <c r="Z531" s="127">
        <v>0.1</v>
      </c>
      <c r="AA531" s="249">
        <v>1</v>
      </c>
      <c r="AB531" s="250">
        <v>36000</v>
      </c>
      <c r="AC531" s="250">
        <v>36000</v>
      </c>
      <c r="AD531" s="250">
        <v>110000</v>
      </c>
      <c r="AE531" s="250">
        <v>140000</v>
      </c>
      <c r="AF531" s="250">
        <v>36000</v>
      </c>
    </row>
    <row r="532" spans="2:32" x14ac:dyDescent="0.25">
      <c r="B532" s="63" t="s">
        <v>1089</v>
      </c>
      <c r="C532" s="15" t="s">
        <v>348</v>
      </c>
      <c r="D532" s="15">
        <v>1980</v>
      </c>
      <c r="E532" s="16">
        <v>1267200</v>
      </c>
      <c r="F532" s="15">
        <v>4.2</v>
      </c>
      <c r="G532" s="15">
        <v>4.8</v>
      </c>
      <c r="H532" s="15" t="s">
        <v>371</v>
      </c>
      <c r="I532" s="249">
        <f t="shared" si="24"/>
        <v>1</v>
      </c>
      <c r="J532" s="143">
        <v>3200</v>
      </c>
      <c r="K532" s="249" t="s">
        <v>2378</v>
      </c>
      <c r="M532" s="249">
        <f t="shared" si="25"/>
        <v>35</v>
      </c>
      <c r="N532" s="249">
        <f t="shared" si="26"/>
        <v>34</v>
      </c>
      <c r="O532" s="15"/>
      <c r="P532" s="15"/>
      <c r="Q532" s="15" t="s">
        <v>328</v>
      </c>
      <c r="S532" s="15"/>
      <c r="T532" s="15"/>
      <c r="U532" s="15"/>
      <c r="V532" s="15" t="s">
        <v>328</v>
      </c>
      <c r="W532" s="15"/>
      <c r="X532" s="15"/>
      <c r="Z532" s="127">
        <v>0.05</v>
      </c>
      <c r="AA532" s="249">
        <v>1</v>
      </c>
      <c r="AB532" s="250">
        <v>25000</v>
      </c>
      <c r="AC532" s="250">
        <v>25000</v>
      </c>
      <c r="AD532" s="250">
        <v>100000</v>
      </c>
      <c r="AE532" s="250">
        <v>100000</v>
      </c>
      <c r="AF532" s="250" t="s">
        <v>385</v>
      </c>
    </row>
    <row r="533" spans="2:32" x14ac:dyDescent="0.25">
      <c r="B533" s="63" t="s">
        <v>1090</v>
      </c>
      <c r="C533" s="14" t="s">
        <v>351</v>
      </c>
      <c r="D533" s="15">
        <v>2001</v>
      </c>
      <c r="E533" s="16">
        <v>1123108</v>
      </c>
      <c r="F533" s="15">
        <v>3.1</v>
      </c>
      <c r="G533" s="15">
        <v>3.7</v>
      </c>
      <c r="H533" s="15" t="s">
        <v>340</v>
      </c>
      <c r="I533" s="249">
        <f t="shared" si="24"/>
        <v>1</v>
      </c>
      <c r="J533" s="143">
        <v>8000</v>
      </c>
      <c r="K533" s="249" t="s">
        <v>2378</v>
      </c>
      <c r="M533" s="249">
        <f t="shared" si="25"/>
        <v>14</v>
      </c>
      <c r="N533" s="249">
        <f t="shared" si="26"/>
        <v>13</v>
      </c>
      <c r="O533" s="15"/>
      <c r="P533" s="15" t="s">
        <v>328</v>
      </c>
      <c r="Q533" s="15"/>
      <c r="S533" s="15"/>
      <c r="T533" s="15"/>
      <c r="U533" s="15"/>
      <c r="V533" s="15"/>
      <c r="W533" s="15" t="s">
        <v>328</v>
      </c>
      <c r="X533" s="15"/>
      <c r="Z533" s="127">
        <v>0.1</v>
      </c>
      <c r="AA533" s="249">
        <v>1</v>
      </c>
      <c r="AB533" s="250">
        <v>18000</v>
      </c>
      <c r="AC533" s="250">
        <v>36000</v>
      </c>
      <c r="AD533" s="250">
        <v>200000</v>
      </c>
      <c r="AE533" s="250">
        <v>120000</v>
      </c>
      <c r="AF533" s="250">
        <v>36000</v>
      </c>
    </row>
    <row r="534" spans="2:32" x14ac:dyDescent="0.25">
      <c r="B534" s="63" t="s">
        <v>1092</v>
      </c>
      <c r="C534" s="15" t="s">
        <v>337</v>
      </c>
      <c r="D534" s="15">
        <v>2002</v>
      </c>
      <c r="E534" s="16">
        <v>1200972</v>
      </c>
      <c r="F534" s="15">
        <v>2.4</v>
      </c>
      <c r="G534" s="15">
        <v>2.8</v>
      </c>
      <c r="H534" s="15" t="s">
        <v>340</v>
      </c>
      <c r="I534" s="249">
        <f t="shared" si="24"/>
        <v>1</v>
      </c>
      <c r="J534" s="143">
        <v>8333.3333333333339</v>
      </c>
      <c r="K534" s="249" t="s">
        <v>2378</v>
      </c>
      <c r="M534" s="249">
        <f t="shared" si="25"/>
        <v>13</v>
      </c>
      <c r="N534" s="249">
        <f t="shared" si="26"/>
        <v>12</v>
      </c>
      <c r="O534" s="15"/>
      <c r="P534" s="15" t="s">
        <v>328</v>
      </c>
      <c r="Q534" s="15"/>
      <c r="S534" s="15"/>
      <c r="T534" s="15"/>
      <c r="U534" s="15"/>
      <c r="V534" s="15"/>
      <c r="W534" s="15" t="s">
        <v>328</v>
      </c>
      <c r="X534" s="15"/>
      <c r="Z534" s="127">
        <v>0</v>
      </c>
      <c r="AA534" s="249">
        <v>1</v>
      </c>
      <c r="AB534" s="250">
        <v>20000</v>
      </c>
      <c r="AC534" s="250">
        <v>20000</v>
      </c>
      <c r="AD534" s="250">
        <v>200000</v>
      </c>
      <c r="AE534" s="250">
        <v>120000</v>
      </c>
      <c r="AF534" s="250">
        <v>20000</v>
      </c>
    </row>
    <row r="535" spans="2:32" x14ac:dyDescent="0.25">
      <c r="B535" s="63" t="s">
        <v>1094</v>
      </c>
      <c r="C535" s="15" t="s">
        <v>348</v>
      </c>
      <c r="D535" s="15">
        <v>1999</v>
      </c>
      <c r="E535" s="16">
        <v>201600</v>
      </c>
      <c r="F535" s="15">
        <v>4.0999999999999996</v>
      </c>
      <c r="G535" s="15">
        <v>4.7</v>
      </c>
      <c r="H535" s="15" t="s">
        <v>371</v>
      </c>
      <c r="I535" s="249">
        <f t="shared" si="24"/>
        <v>1</v>
      </c>
      <c r="J535" s="143">
        <v>1200</v>
      </c>
      <c r="K535" s="249" t="s">
        <v>2378</v>
      </c>
      <c r="M535" s="249">
        <f t="shared" si="25"/>
        <v>16</v>
      </c>
      <c r="N535" s="249">
        <f t="shared" si="26"/>
        <v>15</v>
      </c>
      <c r="O535" s="15"/>
      <c r="P535" s="15" t="s">
        <v>328</v>
      </c>
      <c r="Q535" s="15"/>
      <c r="S535" s="15"/>
      <c r="T535" s="15"/>
      <c r="U535" s="15"/>
      <c r="V535" s="15"/>
      <c r="W535" s="15" t="s">
        <v>328</v>
      </c>
      <c r="X535" s="15"/>
      <c r="Z535" s="127">
        <v>0.2</v>
      </c>
      <c r="AA535" s="249">
        <v>2</v>
      </c>
      <c r="AB535" s="250">
        <v>24000</v>
      </c>
      <c r="AC535" s="250">
        <v>24000</v>
      </c>
      <c r="AD535" s="250">
        <v>120000</v>
      </c>
      <c r="AE535" s="250">
        <v>130000</v>
      </c>
      <c r="AF535" s="250" t="s">
        <v>385</v>
      </c>
    </row>
    <row r="536" spans="2:32" x14ac:dyDescent="0.25">
      <c r="B536" s="63" t="s">
        <v>1094</v>
      </c>
      <c r="C536" s="15" t="s">
        <v>348</v>
      </c>
      <c r="D536" s="15">
        <v>2004</v>
      </c>
      <c r="E536" s="16">
        <v>619757</v>
      </c>
      <c r="F536" s="15">
        <v>4.5</v>
      </c>
      <c r="G536" s="15">
        <v>5</v>
      </c>
      <c r="H536" s="15" t="s">
        <v>371</v>
      </c>
      <c r="I536" s="249">
        <f t="shared" si="24"/>
        <v>1</v>
      </c>
      <c r="J536" s="143">
        <v>1500</v>
      </c>
      <c r="K536" s="249" t="s">
        <v>2378</v>
      </c>
      <c r="M536" s="249">
        <f t="shared" si="25"/>
        <v>11</v>
      </c>
      <c r="N536" s="249">
        <f t="shared" si="26"/>
        <v>10</v>
      </c>
      <c r="O536" s="15"/>
      <c r="P536" s="15" t="s">
        <v>328</v>
      </c>
      <c r="Q536" s="15"/>
      <c r="S536" s="15"/>
      <c r="T536" s="15"/>
      <c r="U536" s="15"/>
      <c r="V536" s="15"/>
      <c r="W536" s="15"/>
      <c r="X536" s="15" t="s">
        <v>328</v>
      </c>
      <c r="Z536" s="127">
        <v>0.2</v>
      </c>
      <c r="AA536" s="249">
        <v>2</v>
      </c>
      <c r="AB536" s="250">
        <v>24000</v>
      </c>
      <c r="AC536" s="250">
        <v>24000</v>
      </c>
      <c r="AD536" s="250">
        <v>120000</v>
      </c>
      <c r="AE536" s="250">
        <v>130000</v>
      </c>
      <c r="AF536" s="250" t="s">
        <v>385</v>
      </c>
    </row>
    <row r="537" spans="2:32" x14ac:dyDescent="0.25">
      <c r="B537" s="63" t="s">
        <v>1096</v>
      </c>
      <c r="C537" s="14" t="s">
        <v>351</v>
      </c>
      <c r="D537" s="15">
        <v>1997</v>
      </c>
      <c r="E537" s="16">
        <v>768000</v>
      </c>
      <c r="F537" s="15">
        <v>3.1</v>
      </c>
      <c r="G537" s="15">
        <v>3.7</v>
      </c>
      <c r="H537" s="15" t="s">
        <v>340</v>
      </c>
      <c r="I537" s="249">
        <f t="shared" si="24"/>
        <v>1</v>
      </c>
      <c r="J537" s="143">
        <v>4000</v>
      </c>
      <c r="K537" s="249" t="s">
        <v>2378</v>
      </c>
      <c r="M537" s="249">
        <f t="shared" si="25"/>
        <v>18</v>
      </c>
      <c r="N537" s="249">
        <f t="shared" si="26"/>
        <v>17</v>
      </c>
      <c r="O537" s="15"/>
      <c r="P537" s="15"/>
      <c r="Q537" s="15" t="s">
        <v>328</v>
      </c>
      <c r="S537" s="15"/>
      <c r="T537" s="15" t="s">
        <v>328</v>
      </c>
      <c r="U537" s="15"/>
      <c r="V537" s="15"/>
      <c r="W537" s="15"/>
      <c r="X537" s="15"/>
      <c r="Z537" s="127">
        <v>0</v>
      </c>
      <c r="AA537" s="249">
        <v>1</v>
      </c>
      <c r="AB537" s="250">
        <v>24000</v>
      </c>
      <c r="AC537" s="250">
        <v>24000</v>
      </c>
      <c r="AD537" s="250">
        <v>60000</v>
      </c>
      <c r="AE537" s="250">
        <v>100000</v>
      </c>
      <c r="AF537" s="250">
        <v>24000</v>
      </c>
    </row>
    <row r="538" spans="2:32" x14ac:dyDescent="0.25">
      <c r="B538" s="63" t="s">
        <v>1098</v>
      </c>
      <c r="C538" s="14" t="s">
        <v>351</v>
      </c>
      <c r="D538" s="15">
        <v>2000</v>
      </c>
      <c r="E538" s="16">
        <v>976214</v>
      </c>
      <c r="F538" s="15">
        <v>3</v>
      </c>
      <c r="G538" s="15">
        <v>3.7</v>
      </c>
      <c r="H538" s="15" t="s">
        <v>340</v>
      </c>
      <c r="I538" s="249">
        <f t="shared" si="24"/>
        <v>1</v>
      </c>
      <c r="J538" s="143">
        <v>4800</v>
      </c>
      <c r="K538" s="249" t="s">
        <v>2378</v>
      </c>
      <c r="M538" s="249">
        <f t="shared" si="25"/>
        <v>15</v>
      </c>
      <c r="N538" s="249">
        <f t="shared" si="26"/>
        <v>14</v>
      </c>
      <c r="O538" s="15"/>
      <c r="P538" s="15"/>
      <c r="Q538" s="15" t="s">
        <v>328</v>
      </c>
      <c r="S538" s="15"/>
      <c r="T538" s="15"/>
      <c r="U538" s="15"/>
      <c r="V538" s="15"/>
      <c r="W538" s="15" t="s">
        <v>328</v>
      </c>
      <c r="X538" s="15"/>
      <c r="Z538" s="127">
        <v>0</v>
      </c>
      <c r="AA538" s="249">
        <v>1</v>
      </c>
      <c r="AB538" s="250">
        <v>20000</v>
      </c>
      <c r="AC538" s="250">
        <v>40000</v>
      </c>
      <c r="AD538" s="250">
        <v>80000</v>
      </c>
      <c r="AE538" s="250">
        <v>140000</v>
      </c>
      <c r="AF538" s="250">
        <v>40000</v>
      </c>
    </row>
    <row r="539" spans="2:32" x14ac:dyDescent="0.25">
      <c r="B539" s="63" t="s">
        <v>1100</v>
      </c>
      <c r="C539" s="14" t="s">
        <v>351</v>
      </c>
      <c r="D539" s="15">
        <v>1985</v>
      </c>
      <c r="E539" s="16">
        <v>1344000</v>
      </c>
      <c r="F539" s="15">
        <v>3.1</v>
      </c>
      <c r="G539" s="15">
        <v>3.6</v>
      </c>
      <c r="H539" s="15" t="s">
        <v>340</v>
      </c>
      <c r="I539" s="249">
        <f t="shared" si="24"/>
        <v>1</v>
      </c>
      <c r="J539" s="143">
        <v>4000</v>
      </c>
      <c r="K539" s="249" t="s">
        <v>2378</v>
      </c>
      <c r="M539" s="249">
        <f t="shared" si="25"/>
        <v>30</v>
      </c>
      <c r="N539" s="249">
        <f t="shared" si="26"/>
        <v>29</v>
      </c>
      <c r="O539" s="15"/>
      <c r="P539" s="15"/>
      <c r="Q539" s="15" t="s">
        <v>328</v>
      </c>
      <c r="S539" s="15"/>
      <c r="T539" s="15" t="s">
        <v>328</v>
      </c>
      <c r="U539" s="15"/>
      <c r="V539" s="15"/>
      <c r="W539" s="15"/>
      <c r="X539" s="15"/>
      <c r="Z539" s="127">
        <v>0</v>
      </c>
      <c r="AA539" s="249">
        <v>1</v>
      </c>
      <c r="AB539" s="250">
        <v>24000</v>
      </c>
      <c r="AC539" s="250">
        <v>24000</v>
      </c>
      <c r="AD539" s="250">
        <v>180000</v>
      </c>
      <c r="AE539" s="250">
        <v>120000</v>
      </c>
      <c r="AF539" s="250">
        <v>24000</v>
      </c>
    </row>
    <row r="540" spans="2:32" x14ac:dyDescent="0.25">
      <c r="B540" s="63" t="s">
        <v>1101</v>
      </c>
      <c r="C540" s="14" t="s">
        <v>351</v>
      </c>
      <c r="D540" s="15">
        <v>2001</v>
      </c>
      <c r="E540" s="16">
        <v>990108</v>
      </c>
      <c r="F540" s="15">
        <v>3</v>
      </c>
      <c r="G540" s="15">
        <v>3.6</v>
      </c>
      <c r="H540" s="15" t="s">
        <v>340</v>
      </c>
      <c r="I540" s="249">
        <f t="shared" si="24"/>
        <v>1</v>
      </c>
      <c r="J540" s="143">
        <v>6000</v>
      </c>
      <c r="K540" s="249" t="s">
        <v>2378</v>
      </c>
      <c r="M540" s="249">
        <f t="shared" si="25"/>
        <v>14</v>
      </c>
      <c r="N540" s="249">
        <f t="shared" si="26"/>
        <v>13</v>
      </c>
      <c r="O540" s="15"/>
      <c r="P540" s="15" t="s">
        <v>328</v>
      </c>
      <c r="Q540" s="15"/>
      <c r="S540" s="15"/>
      <c r="T540" s="15"/>
      <c r="U540" s="15"/>
      <c r="V540" s="15"/>
      <c r="W540" s="15" t="s">
        <v>328</v>
      </c>
      <c r="X540" s="15"/>
      <c r="Z540" s="127">
        <v>0.1</v>
      </c>
      <c r="AA540" s="249">
        <v>1</v>
      </c>
      <c r="AB540" s="250">
        <v>18000</v>
      </c>
      <c r="AC540" s="250">
        <v>36000</v>
      </c>
      <c r="AD540" s="250">
        <v>120000</v>
      </c>
      <c r="AE540" s="250">
        <v>140000</v>
      </c>
      <c r="AF540" s="250">
        <v>36000</v>
      </c>
    </row>
    <row r="541" spans="2:32" x14ac:dyDescent="0.25">
      <c r="B541" s="63" t="s">
        <v>1103</v>
      </c>
      <c r="C541" s="14" t="s">
        <v>351</v>
      </c>
      <c r="D541" s="15">
        <v>1998</v>
      </c>
      <c r="E541" s="16">
        <v>899655</v>
      </c>
      <c r="F541" s="15">
        <v>3</v>
      </c>
      <c r="G541" s="15">
        <v>3.5</v>
      </c>
      <c r="H541" s="15" t="s">
        <v>340</v>
      </c>
      <c r="I541" s="249">
        <f t="shared" si="24"/>
        <v>1</v>
      </c>
      <c r="J541" s="143">
        <v>3200</v>
      </c>
      <c r="K541" s="249" t="s">
        <v>2378</v>
      </c>
      <c r="M541" s="249">
        <f t="shared" si="25"/>
        <v>17</v>
      </c>
      <c r="N541" s="249">
        <f t="shared" si="26"/>
        <v>16</v>
      </c>
      <c r="O541" s="15"/>
      <c r="P541" s="15"/>
      <c r="Q541" s="15" t="s">
        <v>328</v>
      </c>
      <c r="S541" s="15"/>
      <c r="T541" s="15"/>
      <c r="U541" s="15"/>
      <c r="V541" s="15"/>
      <c r="W541" s="15" t="s">
        <v>328</v>
      </c>
      <c r="X541" s="15"/>
      <c r="Z541" s="127">
        <v>0</v>
      </c>
      <c r="AA541" s="249">
        <v>2</v>
      </c>
      <c r="AB541" s="250">
        <v>19000</v>
      </c>
      <c r="AC541" s="250">
        <v>19000</v>
      </c>
      <c r="AD541" s="250">
        <v>80000</v>
      </c>
      <c r="AE541" s="250">
        <v>130000</v>
      </c>
      <c r="AF541" s="250">
        <v>19000</v>
      </c>
    </row>
    <row r="542" spans="2:32" x14ac:dyDescent="0.25">
      <c r="B542" s="63" t="s">
        <v>1103</v>
      </c>
      <c r="C542" s="14" t="s">
        <v>351</v>
      </c>
      <c r="D542" s="15">
        <v>2001</v>
      </c>
      <c r="E542" s="16">
        <v>721871</v>
      </c>
      <c r="F542" s="15">
        <v>3</v>
      </c>
      <c r="G542" s="15">
        <v>3.5</v>
      </c>
      <c r="H542" s="15" t="s">
        <v>340</v>
      </c>
      <c r="I542" s="249">
        <f t="shared" si="24"/>
        <v>1</v>
      </c>
      <c r="J542" s="143">
        <v>3200</v>
      </c>
      <c r="K542" s="249" t="s">
        <v>2378</v>
      </c>
      <c r="M542" s="249">
        <f t="shared" si="25"/>
        <v>14</v>
      </c>
      <c r="N542" s="249">
        <f t="shared" si="26"/>
        <v>13</v>
      </c>
      <c r="O542" s="15"/>
      <c r="P542" s="15" t="s">
        <v>328</v>
      </c>
      <c r="Q542" s="15"/>
      <c r="S542" s="15"/>
      <c r="T542" s="15"/>
      <c r="U542" s="15"/>
      <c r="V542" s="15"/>
      <c r="W542" s="15" t="s">
        <v>328</v>
      </c>
      <c r="X542" s="15"/>
      <c r="Z542" s="127">
        <v>0</v>
      </c>
      <c r="AA542" s="249">
        <v>2</v>
      </c>
      <c r="AB542" s="250">
        <v>19000</v>
      </c>
      <c r="AC542" s="250">
        <v>19000</v>
      </c>
      <c r="AD542" s="250">
        <v>80000</v>
      </c>
      <c r="AE542" s="250">
        <v>130000</v>
      </c>
      <c r="AF542" s="250">
        <v>19000</v>
      </c>
    </row>
    <row r="543" spans="2:32" x14ac:dyDescent="0.25">
      <c r="B543" s="63" t="s">
        <v>1104</v>
      </c>
      <c r="C543" s="15" t="s">
        <v>337</v>
      </c>
      <c r="D543" s="15">
        <v>2001</v>
      </c>
      <c r="E543" s="16">
        <v>873119</v>
      </c>
      <c r="F543" s="15">
        <v>2.4</v>
      </c>
      <c r="G543" s="15">
        <v>2.7</v>
      </c>
      <c r="H543" s="15" t="s">
        <v>340</v>
      </c>
      <c r="I543" s="249">
        <f t="shared" si="24"/>
        <v>1</v>
      </c>
      <c r="J543" s="143">
        <v>4800</v>
      </c>
      <c r="K543" s="249" t="s">
        <v>2378</v>
      </c>
      <c r="M543" s="249">
        <f t="shared" si="25"/>
        <v>14</v>
      </c>
      <c r="N543" s="249">
        <f t="shared" si="26"/>
        <v>13</v>
      </c>
      <c r="O543" s="15"/>
      <c r="P543" s="15"/>
      <c r="Q543" s="15" t="s">
        <v>328</v>
      </c>
      <c r="S543" s="15"/>
      <c r="T543" s="15"/>
      <c r="U543" s="15"/>
      <c r="V543" s="15"/>
      <c r="W543" s="15" t="s">
        <v>328</v>
      </c>
      <c r="X543" s="15"/>
      <c r="Z543" s="127">
        <v>0.2</v>
      </c>
      <c r="AA543" s="249">
        <v>1</v>
      </c>
      <c r="AB543" s="250">
        <v>25000</v>
      </c>
      <c r="AC543" s="250">
        <v>25000</v>
      </c>
      <c r="AD543" s="250">
        <v>150000</v>
      </c>
      <c r="AE543" s="250">
        <v>100000</v>
      </c>
      <c r="AF543" s="250">
        <v>25000</v>
      </c>
    </row>
    <row r="544" spans="2:32" x14ac:dyDescent="0.25">
      <c r="B544" s="63" t="s">
        <v>1106</v>
      </c>
      <c r="C544" s="14" t="s">
        <v>351</v>
      </c>
      <c r="D544" s="15">
        <v>2004</v>
      </c>
      <c r="E544" s="16">
        <v>763401</v>
      </c>
      <c r="F544" s="15">
        <v>3.2</v>
      </c>
      <c r="G544" s="15">
        <v>3.7</v>
      </c>
      <c r="H544" s="15" t="s">
        <v>340</v>
      </c>
      <c r="I544" s="249">
        <f t="shared" si="24"/>
        <v>1</v>
      </c>
      <c r="J544" s="143">
        <v>6400</v>
      </c>
      <c r="K544" s="249" t="s">
        <v>2378</v>
      </c>
      <c r="M544" s="249">
        <f t="shared" si="25"/>
        <v>11</v>
      </c>
      <c r="N544" s="249">
        <f t="shared" si="26"/>
        <v>10</v>
      </c>
      <c r="O544" s="15"/>
      <c r="P544" s="15" t="s">
        <v>328</v>
      </c>
      <c r="Q544" s="15"/>
      <c r="S544" s="15"/>
      <c r="T544" s="15"/>
      <c r="U544" s="15"/>
      <c r="V544" s="15"/>
      <c r="W544" s="15" t="s">
        <v>328</v>
      </c>
      <c r="X544" s="15"/>
      <c r="Z544" s="127">
        <v>0.3</v>
      </c>
      <c r="AA544" s="249">
        <v>1</v>
      </c>
      <c r="AB544" s="250">
        <v>20000</v>
      </c>
      <c r="AC544" s="250">
        <v>20000</v>
      </c>
      <c r="AD544" s="250">
        <v>200000</v>
      </c>
      <c r="AE544" s="250">
        <v>120000</v>
      </c>
      <c r="AF544" s="250">
        <v>20000</v>
      </c>
    </row>
    <row r="545" spans="2:32" x14ac:dyDescent="0.25">
      <c r="B545" s="63" t="s">
        <v>1108</v>
      </c>
      <c r="C545" s="15" t="s">
        <v>337</v>
      </c>
      <c r="D545" s="15">
        <v>2004</v>
      </c>
      <c r="E545" s="16">
        <v>602910</v>
      </c>
      <c r="F545" s="15">
        <v>2.5</v>
      </c>
      <c r="G545" s="15">
        <v>2.7</v>
      </c>
      <c r="H545" s="15" t="s">
        <v>340</v>
      </c>
      <c r="I545" s="249">
        <f t="shared" si="24"/>
        <v>1</v>
      </c>
      <c r="J545" s="143">
        <v>4000</v>
      </c>
      <c r="K545" s="249" t="s">
        <v>2378</v>
      </c>
      <c r="M545" s="249">
        <f t="shared" si="25"/>
        <v>11</v>
      </c>
      <c r="N545" s="249">
        <f t="shared" si="26"/>
        <v>10</v>
      </c>
      <c r="O545" s="15"/>
      <c r="P545" s="15" t="s">
        <v>328</v>
      </c>
      <c r="Q545" s="15"/>
      <c r="S545" s="15"/>
      <c r="T545" s="15"/>
      <c r="U545" s="15"/>
      <c r="V545" s="15"/>
      <c r="W545" s="15"/>
      <c r="X545" s="15" t="s">
        <v>328</v>
      </c>
      <c r="Z545" s="127">
        <v>0.1</v>
      </c>
      <c r="AA545" s="249">
        <v>1</v>
      </c>
      <c r="AB545" s="250">
        <v>24000</v>
      </c>
      <c r="AC545" s="250">
        <v>24000</v>
      </c>
      <c r="AD545" s="250">
        <v>130000</v>
      </c>
      <c r="AE545" s="250">
        <v>150000</v>
      </c>
      <c r="AF545" s="250">
        <v>24000</v>
      </c>
    </row>
    <row r="546" spans="2:32" x14ac:dyDescent="0.25">
      <c r="B546" s="63" t="s">
        <v>1109</v>
      </c>
      <c r="C546" s="15" t="s">
        <v>348</v>
      </c>
      <c r="D546" s="15">
        <v>1999</v>
      </c>
      <c r="E546" s="16">
        <v>739200</v>
      </c>
      <c r="F546" s="15">
        <v>4.2</v>
      </c>
      <c r="G546" s="15">
        <v>4.7</v>
      </c>
      <c r="H546" s="15" t="s">
        <v>340</v>
      </c>
      <c r="I546" s="249">
        <f t="shared" si="24"/>
        <v>1</v>
      </c>
      <c r="J546" s="143">
        <v>4400</v>
      </c>
      <c r="K546" s="249" t="s">
        <v>2378</v>
      </c>
      <c r="M546" s="249">
        <f t="shared" si="25"/>
        <v>16</v>
      </c>
      <c r="N546" s="249">
        <f t="shared" si="26"/>
        <v>15</v>
      </c>
      <c r="O546" s="15"/>
      <c r="P546" s="15"/>
      <c r="Q546" s="15" t="s">
        <v>328</v>
      </c>
      <c r="S546" s="15"/>
      <c r="T546" s="15"/>
      <c r="U546" s="15" t="s">
        <v>328</v>
      </c>
      <c r="V546" s="15"/>
      <c r="W546" s="15"/>
      <c r="X546" s="15"/>
      <c r="Z546" s="127">
        <v>0.1</v>
      </c>
      <c r="AA546" s="249">
        <v>1</v>
      </c>
      <c r="AB546" s="250">
        <v>25000</v>
      </c>
      <c r="AC546" s="250">
        <v>25000</v>
      </c>
      <c r="AD546" s="250">
        <v>90000</v>
      </c>
      <c r="AE546" s="250">
        <v>120000</v>
      </c>
      <c r="AF546" s="250">
        <v>25000</v>
      </c>
    </row>
    <row r="547" spans="2:32" x14ac:dyDescent="0.25">
      <c r="B547" s="63" t="s">
        <v>1111</v>
      </c>
      <c r="C547" s="14" t="s">
        <v>351</v>
      </c>
      <c r="D547" s="15">
        <v>1987</v>
      </c>
      <c r="E547" s="16">
        <v>1248000</v>
      </c>
      <c r="F547" s="15">
        <v>3.2</v>
      </c>
      <c r="G547" s="15">
        <v>3.6</v>
      </c>
      <c r="H547" s="15" t="s">
        <v>340</v>
      </c>
      <c r="I547" s="249">
        <f t="shared" si="24"/>
        <v>1</v>
      </c>
      <c r="J547" s="143">
        <v>4000</v>
      </c>
      <c r="K547" s="249" t="s">
        <v>2378</v>
      </c>
      <c r="M547" s="249">
        <f t="shared" si="25"/>
        <v>28</v>
      </c>
      <c r="N547" s="249">
        <f t="shared" si="26"/>
        <v>27</v>
      </c>
      <c r="O547" s="15"/>
      <c r="P547" s="15"/>
      <c r="Q547" s="15" t="s">
        <v>328</v>
      </c>
      <c r="S547" s="15"/>
      <c r="T547" s="15"/>
      <c r="U547" s="15"/>
      <c r="V547" s="15"/>
      <c r="W547" s="15" t="s">
        <v>328</v>
      </c>
      <c r="X547" s="15"/>
      <c r="Z547" s="127">
        <v>0.1</v>
      </c>
      <c r="AA547" s="249">
        <v>1</v>
      </c>
      <c r="AB547" s="250">
        <v>26000</v>
      </c>
      <c r="AC547" s="250">
        <v>26000</v>
      </c>
      <c r="AD547" s="250">
        <v>120000</v>
      </c>
      <c r="AE547" s="250">
        <v>125000</v>
      </c>
      <c r="AF547" s="250">
        <v>26000</v>
      </c>
    </row>
    <row r="548" spans="2:32" x14ac:dyDescent="0.25">
      <c r="B548" s="63" t="s">
        <v>1113</v>
      </c>
      <c r="C548" s="15" t="s">
        <v>348</v>
      </c>
      <c r="D548" s="15">
        <v>2000</v>
      </c>
      <c r="E548" s="16">
        <v>836573</v>
      </c>
      <c r="F548" s="15">
        <v>4.0999999999999996</v>
      </c>
      <c r="G548" s="15">
        <v>4.7</v>
      </c>
      <c r="H548" s="15" t="s">
        <v>340</v>
      </c>
      <c r="I548" s="249">
        <f t="shared" si="24"/>
        <v>1</v>
      </c>
      <c r="J548" s="143">
        <v>5000</v>
      </c>
      <c r="K548" s="249" t="s">
        <v>2378</v>
      </c>
      <c r="M548" s="249">
        <f t="shared" si="25"/>
        <v>15</v>
      </c>
      <c r="N548" s="249">
        <f t="shared" si="26"/>
        <v>14</v>
      </c>
      <c r="O548" s="15"/>
      <c r="P548" s="15"/>
      <c r="Q548" s="15" t="s">
        <v>328</v>
      </c>
      <c r="S548" s="15"/>
      <c r="T548" s="15"/>
      <c r="U548" s="15"/>
      <c r="V548" s="15"/>
      <c r="W548" s="15" t="s">
        <v>328</v>
      </c>
      <c r="X548" s="15"/>
      <c r="Z548" s="127">
        <v>0.2</v>
      </c>
      <c r="AA548" s="249">
        <v>2</v>
      </c>
      <c r="AB548" s="250">
        <v>25000</v>
      </c>
      <c r="AC548" s="250">
        <v>25000</v>
      </c>
      <c r="AD548" s="250">
        <v>125000</v>
      </c>
      <c r="AE548" s="250">
        <v>130000</v>
      </c>
      <c r="AF548" s="250">
        <v>25000</v>
      </c>
    </row>
    <row r="549" spans="2:32" x14ac:dyDescent="0.25">
      <c r="B549" s="63" t="s">
        <v>1113</v>
      </c>
      <c r="C549" s="15" t="s">
        <v>348</v>
      </c>
      <c r="D549" s="15">
        <v>2008</v>
      </c>
      <c r="E549" s="16">
        <v>419705</v>
      </c>
      <c r="F549" s="15">
        <v>4.2</v>
      </c>
      <c r="G549" s="15">
        <v>4.7</v>
      </c>
      <c r="H549" s="15" t="s">
        <v>340</v>
      </c>
      <c r="I549" s="249">
        <f t="shared" si="24"/>
        <v>1</v>
      </c>
      <c r="J549" s="143">
        <v>5000</v>
      </c>
      <c r="K549" s="249" t="s">
        <v>2378</v>
      </c>
      <c r="M549" s="249">
        <f t="shared" si="25"/>
        <v>7</v>
      </c>
      <c r="N549" s="249">
        <f t="shared" si="26"/>
        <v>6</v>
      </c>
      <c r="O549" s="15"/>
      <c r="P549" s="15" t="s">
        <v>328</v>
      </c>
      <c r="Q549" s="15"/>
      <c r="S549" s="15"/>
      <c r="T549" s="15"/>
      <c r="U549" s="15"/>
      <c r="V549" s="15"/>
      <c r="W549" s="15"/>
      <c r="X549" s="15" t="s">
        <v>328</v>
      </c>
      <c r="Z549" s="127">
        <v>0.2</v>
      </c>
      <c r="AA549" s="249">
        <v>2</v>
      </c>
      <c r="AB549" s="250">
        <v>25000</v>
      </c>
      <c r="AC549" s="250">
        <v>25000</v>
      </c>
      <c r="AD549" s="250">
        <v>125000</v>
      </c>
      <c r="AE549" s="250">
        <v>130000</v>
      </c>
      <c r="AF549" s="250">
        <v>25000</v>
      </c>
    </row>
    <row r="550" spans="2:32" x14ac:dyDescent="0.25">
      <c r="B550" s="63" t="s">
        <v>1118</v>
      </c>
      <c r="C550" s="15" t="s">
        <v>337</v>
      </c>
      <c r="D550" s="15">
        <v>1998</v>
      </c>
      <c r="E550" s="16">
        <v>1273618</v>
      </c>
      <c r="F550" s="15">
        <v>2.4</v>
      </c>
      <c r="G550" s="15">
        <v>2.7</v>
      </c>
      <c r="H550" s="15" t="s">
        <v>340</v>
      </c>
      <c r="I550" s="249">
        <f t="shared" si="24"/>
        <v>1</v>
      </c>
      <c r="J550" s="143">
        <v>8000</v>
      </c>
      <c r="K550" s="249" t="s">
        <v>2378</v>
      </c>
      <c r="M550" s="249">
        <f t="shared" si="25"/>
        <v>17</v>
      </c>
      <c r="N550" s="249">
        <f t="shared" si="26"/>
        <v>16</v>
      </c>
      <c r="O550" s="15"/>
      <c r="P550" s="15"/>
      <c r="Q550" s="15" t="s">
        <v>328</v>
      </c>
      <c r="S550" s="15"/>
      <c r="T550" s="15"/>
      <c r="U550" s="15"/>
      <c r="V550" s="15"/>
      <c r="W550" s="15" t="s">
        <v>328</v>
      </c>
      <c r="X550" s="15"/>
      <c r="Z550" s="127">
        <v>0</v>
      </c>
      <c r="AA550" s="249">
        <v>1</v>
      </c>
      <c r="AB550" s="250">
        <v>24000</v>
      </c>
      <c r="AC550" s="250">
        <v>24000</v>
      </c>
      <c r="AD550" s="250">
        <v>200000</v>
      </c>
      <c r="AE550" s="250">
        <v>120000</v>
      </c>
      <c r="AF550" s="250">
        <v>24000</v>
      </c>
    </row>
    <row r="551" spans="2:32" x14ac:dyDescent="0.25">
      <c r="B551" s="63" t="s">
        <v>1120</v>
      </c>
      <c r="C551" s="14" t="s">
        <v>351</v>
      </c>
      <c r="D551" s="15">
        <v>2000</v>
      </c>
      <c r="E551" s="16">
        <v>1368215</v>
      </c>
      <c r="F551" s="15">
        <v>3.2</v>
      </c>
      <c r="G551" s="15">
        <v>3.7</v>
      </c>
      <c r="H551" s="15" t="s">
        <v>340</v>
      </c>
      <c r="I551" s="249">
        <f t="shared" si="24"/>
        <v>1</v>
      </c>
      <c r="J551" s="143">
        <v>7200</v>
      </c>
      <c r="K551" s="249" t="s">
        <v>2378</v>
      </c>
      <c r="M551" s="249">
        <f t="shared" si="25"/>
        <v>15</v>
      </c>
      <c r="N551" s="249">
        <f t="shared" si="26"/>
        <v>14</v>
      </c>
      <c r="O551" s="15"/>
      <c r="P551" s="15" t="s">
        <v>328</v>
      </c>
      <c r="Q551" s="15"/>
      <c r="S551" s="15"/>
      <c r="T551" s="15"/>
      <c r="U551" s="15"/>
      <c r="V551" s="15"/>
      <c r="W551" s="15" t="s">
        <v>328</v>
      </c>
      <c r="X551" s="15"/>
      <c r="Z551" s="127">
        <v>0.1</v>
      </c>
      <c r="AA551" s="249">
        <v>1</v>
      </c>
      <c r="AB551" s="250">
        <v>28000</v>
      </c>
      <c r="AC551" s="250">
        <v>28000</v>
      </c>
      <c r="AD551" s="250">
        <v>120000</v>
      </c>
      <c r="AE551" s="250">
        <v>140000</v>
      </c>
      <c r="AF551" s="250">
        <v>28000</v>
      </c>
    </row>
    <row r="552" spans="2:32" x14ac:dyDescent="0.25">
      <c r="B552" s="63" t="s">
        <v>1121</v>
      </c>
      <c r="C552" s="14" t="s">
        <v>351</v>
      </c>
      <c r="D552" s="15">
        <v>1995</v>
      </c>
      <c r="E552" s="16">
        <v>1296000</v>
      </c>
      <c r="F552" s="15">
        <v>3.3</v>
      </c>
      <c r="G552" s="15">
        <v>3.7</v>
      </c>
      <c r="H552" s="15" t="s">
        <v>340</v>
      </c>
      <c r="I552" s="249">
        <f t="shared" si="24"/>
        <v>1</v>
      </c>
      <c r="J552" s="143">
        <v>6000</v>
      </c>
      <c r="K552" s="249" t="s">
        <v>2378</v>
      </c>
      <c r="M552" s="249">
        <f t="shared" si="25"/>
        <v>20</v>
      </c>
      <c r="N552" s="249">
        <f t="shared" si="26"/>
        <v>19</v>
      </c>
      <c r="O552" s="15"/>
      <c r="P552" s="15"/>
      <c r="Q552" s="15" t="s">
        <v>328</v>
      </c>
      <c r="S552" s="15"/>
      <c r="T552" s="15"/>
      <c r="U552" s="15"/>
      <c r="V552" s="15"/>
      <c r="W552" s="15" t="s">
        <v>328</v>
      </c>
      <c r="X552" s="15"/>
      <c r="Z552" s="127">
        <v>0</v>
      </c>
      <c r="AA552" s="249">
        <v>1</v>
      </c>
      <c r="AB552" s="250">
        <v>18000</v>
      </c>
      <c r="AC552" s="250">
        <v>36000</v>
      </c>
      <c r="AD552" s="250">
        <v>180000</v>
      </c>
      <c r="AE552" s="250">
        <v>120000</v>
      </c>
      <c r="AF552" s="250">
        <v>36000</v>
      </c>
    </row>
    <row r="553" spans="2:32" x14ac:dyDescent="0.25">
      <c r="B553" s="63" t="s">
        <v>1123</v>
      </c>
      <c r="C553" s="14" t="s">
        <v>351</v>
      </c>
      <c r="D553" s="15">
        <v>2001</v>
      </c>
      <c r="E553" s="16">
        <v>1138850</v>
      </c>
      <c r="F553" s="15">
        <v>3.3</v>
      </c>
      <c r="G553" s="15">
        <v>3.8</v>
      </c>
      <c r="H553" s="15" t="s">
        <v>340</v>
      </c>
      <c r="I553" s="249">
        <f t="shared" si="24"/>
        <v>1</v>
      </c>
      <c r="J553" s="143">
        <v>9000</v>
      </c>
      <c r="K553" s="249" t="s">
        <v>2378</v>
      </c>
      <c r="M553" s="249">
        <f t="shared" si="25"/>
        <v>14</v>
      </c>
      <c r="N553" s="249">
        <f t="shared" si="26"/>
        <v>13</v>
      </c>
      <c r="O553" s="15"/>
      <c r="P553" s="15" t="s">
        <v>328</v>
      </c>
      <c r="Q553" s="15"/>
      <c r="S553" s="15"/>
      <c r="T553" s="15"/>
      <c r="U553" s="15"/>
      <c r="V553" s="15"/>
      <c r="W553" s="15" t="s">
        <v>328</v>
      </c>
      <c r="X553" s="15"/>
      <c r="Z553" s="127">
        <v>0.1</v>
      </c>
      <c r="AA553" s="249">
        <v>1</v>
      </c>
      <c r="AB553" s="250">
        <v>27000</v>
      </c>
      <c r="AC553" s="250">
        <v>27000</v>
      </c>
      <c r="AD553" s="250">
        <v>240000</v>
      </c>
      <c r="AE553" s="250">
        <v>108000</v>
      </c>
      <c r="AF553" s="250">
        <v>27000</v>
      </c>
    </row>
    <row r="554" spans="2:32" x14ac:dyDescent="0.25">
      <c r="B554" s="63" t="s">
        <v>1125</v>
      </c>
      <c r="C554" s="14" t="s">
        <v>351</v>
      </c>
      <c r="D554" s="15">
        <v>1997</v>
      </c>
      <c r="E554" s="16">
        <v>1152000</v>
      </c>
      <c r="F554" s="15">
        <v>3.2</v>
      </c>
      <c r="G554" s="15">
        <v>3.6</v>
      </c>
      <c r="H554" s="15" t="s">
        <v>340</v>
      </c>
      <c r="I554" s="249">
        <f t="shared" si="24"/>
        <v>1</v>
      </c>
      <c r="J554" s="143">
        <v>6000</v>
      </c>
      <c r="K554" s="249" t="s">
        <v>2378</v>
      </c>
      <c r="M554" s="249">
        <f t="shared" si="25"/>
        <v>18</v>
      </c>
      <c r="N554" s="249">
        <f t="shared" si="26"/>
        <v>17</v>
      </c>
      <c r="O554" s="15"/>
      <c r="P554" s="15"/>
      <c r="Q554" s="15" t="s">
        <v>328</v>
      </c>
      <c r="S554" s="15"/>
      <c r="T554" s="15"/>
      <c r="U554" s="15"/>
      <c r="V554" s="15"/>
      <c r="W554" s="15" t="s">
        <v>328</v>
      </c>
      <c r="X554" s="15"/>
      <c r="Z554" s="127">
        <v>0</v>
      </c>
      <c r="AA554" s="249">
        <v>1</v>
      </c>
      <c r="AB554" s="250">
        <v>18000</v>
      </c>
      <c r="AC554" s="250">
        <v>36000</v>
      </c>
      <c r="AD554" s="250">
        <v>180000</v>
      </c>
      <c r="AE554" s="250">
        <v>100000</v>
      </c>
      <c r="AF554" s="250">
        <v>36000</v>
      </c>
    </row>
    <row r="555" spans="2:32" x14ac:dyDescent="0.25">
      <c r="B555" s="63" t="s">
        <v>1127</v>
      </c>
      <c r="C555" s="14" t="s">
        <v>351</v>
      </c>
      <c r="D555" s="15">
        <v>2003</v>
      </c>
      <c r="E555" s="16">
        <v>799601</v>
      </c>
      <c r="F555" s="15">
        <v>3.3</v>
      </c>
      <c r="G555" s="15">
        <v>3.7</v>
      </c>
      <c r="H555" s="15" t="s">
        <v>340</v>
      </c>
      <c r="I555" s="249">
        <f t="shared" si="24"/>
        <v>1</v>
      </c>
      <c r="J555" s="143">
        <v>8000</v>
      </c>
      <c r="K555" s="249" t="s">
        <v>2378</v>
      </c>
      <c r="M555" s="249">
        <f t="shared" si="25"/>
        <v>12</v>
      </c>
      <c r="N555" s="249">
        <f t="shared" si="26"/>
        <v>11</v>
      </c>
      <c r="O555" s="15"/>
      <c r="P555" s="15" t="s">
        <v>328</v>
      </c>
      <c r="Q555" s="15"/>
      <c r="S555" s="15"/>
      <c r="T555" s="15"/>
      <c r="U555" s="15"/>
      <c r="V555" s="15"/>
      <c r="W555" s="15" t="s">
        <v>328</v>
      </c>
      <c r="X555" s="15"/>
      <c r="Z555" s="127">
        <v>0</v>
      </c>
      <c r="AA555" s="249">
        <v>1</v>
      </c>
      <c r="AB555" s="250">
        <v>24000</v>
      </c>
      <c r="AC555" s="250">
        <v>24000</v>
      </c>
      <c r="AD555" s="250">
        <v>240000</v>
      </c>
      <c r="AE555" s="250">
        <v>120000</v>
      </c>
      <c r="AF555" s="250">
        <v>24000</v>
      </c>
    </row>
    <row r="556" spans="2:32" x14ac:dyDescent="0.25">
      <c r="B556" s="63" t="s">
        <v>1128</v>
      </c>
      <c r="C556" s="14" t="s">
        <v>351</v>
      </c>
      <c r="D556" s="15">
        <v>2004</v>
      </c>
      <c r="E556" s="16">
        <v>629107</v>
      </c>
      <c r="F556" s="15">
        <v>3.3</v>
      </c>
      <c r="G556" s="15">
        <v>3.8</v>
      </c>
      <c r="H556" s="15" t="s">
        <v>340</v>
      </c>
      <c r="I556" s="249">
        <f t="shared" si="24"/>
        <v>1</v>
      </c>
      <c r="J556" s="143">
        <v>6000</v>
      </c>
      <c r="K556" s="249" t="s">
        <v>2378</v>
      </c>
      <c r="M556" s="249">
        <f t="shared" si="25"/>
        <v>11</v>
      </c>
      <c r="N556" s="249">
        <f t="shared" si="26"/>
        <v>10</v>
      </c>
      <c r="O556" s="15"/>
      <c r="P556" s="15" t="s">
        <v>328</v>
      </c>
      <c r="Q556" s="15"/>
      <c r="S556" s="15"/>
      <c r="T556" s="15"/>
      <c r="U556" s="15"/>
      <c r="V556" s="15"/>
      <c r="W556" s="15" t="s">
        <v>328</v>
      </c>
      <c r="X556" s="15"/>
      <c r="Z556" s="127">
        <v>0.5</v>
      </c>
      <c r="AA556" s="249">
        <v>2</v>
      </c>
      <c r="AB556" s="250">
        <v>18000</v>
      </c>
      <c r="AC556" s="250">
        <v>36000</v>
      </c>
      <c r="AD556" s="250">
        <v>200000</v>
      </c>
      <c r="AE556" s="250">
        <v>140000</v>
      </c>
      <c r="AF556" s="250">
        <v>36000</v>
      </c>
    </row>
    <row r="557" spans="2:32" x14ac:dyDescent="0.25">
      <c r="B557" s="63" t="s">
        <v>1128</v>
      </c>
      <c r="C557" s="14" t="s">
        <v>351</v>
      </c>
      <c r="D557" s="15">
        <v>2006</v>
      </c>
      <c r="E557" s="16">
        <v>561238</v>
      </c>
      <c r="F557" s="15">
        <v>3.3</v>
      </c>
      <c r="G557" s="15">
        <v>3.8</v>
      </c>
      <c r="H557" s="15" t="s">
        <v>340</v>
      </c>
      <c r="I557" s="249">
        <f t="shared" si="24"/>
        <v>1</v>
      </c>
      <c r="J557" s="143">
        <v>6000</v>
      </c>
      <c r="K557" s="249" t="s">
        <v>2378</v>
      </c>
      <c r="M557" s="249">
        <f t="shared" si="25"/>
        <v>9</v>
      </c>
      <c r="N557" s="249">
        <f t="shared" si="26"/>
        <v>8</v>
      </c>
      <c r="O557" s="15"/>
      <c r="P557" s="15" t="s">
        <v>328</v>
      </c>
      <c r="Q557" s="15"/>
      <c r="S557" s="15"/>
      <c r="T557" s="15"/>
      <c r="U557" s="15"/>
      <c r="V557" s="15"/>
      <c r="W557" s="15"/>
      <c r="X557" s="15" t="s">
        <v>328</v>
      </c>
      <c r="Z557" s="127">
        <v>0.5</v>
      </c>
      <c r="AA557" s="249">
        <v>2</v>
      </c>
      <c r="AB557" s="250">
        <v>18000</v>
      </c>
      <c r="AC557" s="250">
        <v>36000</v>
      </c>
      <c r="AD557" s="250">
        <v>200000</v>
      </c>
      <c r="AE557" s="250">
        <v>140000</v>
      </c>
      <c r="AF557" s="250">
        <v>36000</v>
      </c>
    </row>
    <row r="558" spans="2:32" x14ac:dyDescent="0.25">
      <c r="B558" s="63" t="s">
        <v>1137</v>
      </c>
      <c r="C558" s="14" t="s">
        <v>351</v>
      </c>
      <c r="D558" s="15">
        <v>1986</v>
      </c>
      <c r="E558" s="16">
        <v>1783251</v>
      </c>
      <c r="F558" s="15">
        <v>2</v>
      </c>
      <c r="G558" s="15">
        <v>2.2999999999999998</v>
      </c>
      <c r="H558" s="15" t="s">
        <v>340</v>
      </c>
      <c r="I558" s="249">
        <f t="shared" si="24"/>
        <v>1</v>
      </c>
      <c r="J558" s="143">
        <v>6000</v>
      </c>
      <c r="K558" s="249" t="s">
        <v>2378</v>
      </c>
      <c r="M558" s="249">
        <f t="shared" si="25"/>
        <v>29</v>
      </c>
      <c r="N558" s="249">
        <f t="shared" si="26"/>
        <v>28</v>
      </c>
      <c r="O558" s="15"/>
      <c r="P558" s="15"/>
      <c r="Q558" s="15" t="s">
        <v>328</v>
      </c>
      <c r="S558" s="15"/>
      <c r="T558" s="15" t="s">
        <v>328</v>
      </c>
      <c r="U558" s="15"/>
      <c r="V558" s="15"/>
      <c r="W558" s="15"/>
      <c r="X558" s="15"/>
      <c r="Z558" s="127">
        <v>0.5</v>
      </c>
      <c r="AA558" s="249">
        <v>1</v>
      </c>
      <c r="AB558" s="250">
        <v>10000</v>
      </c>
      <c r="AC558" s="250">
        <v>30000</v>
      </c>
      <c r="AD558" s="250">
        <v>8000</v>
      </c>
      <c r="AE558" s="250">
        <v>144000</v>
      </c>
      <c r="AF558" s="250">
        <v>30000</v>
      </c>
    </row>
    <row r="559" spans="2:32" x14ac:dyDescent="0.25">
      <c r="B559" s="63" t="s">
        <v>1138</v>
      </c>
      <c r="C559" s="14" t="s">
        <v>351</v>
      </c>
      <c r="D559" s="15">
        <v>1980</v>
      </c>
      <c r="E559" s="16">
        <v>2376000</v>
      </c>
      <c r="F559" s="15">
        <v>2.2000000000000002</v>
      </c>
      <c r="G559" s="15">
        <v>2.5</v>
      </c>
      <c r="H559" s="15" t="s">
        <v>340</v>
      </c>
      <c r="I559" s="249">
        <f t="shared" si="24"/>
        <v>1</v>
      </c>
      <c r="J559" s="143">
        <v>6000</v>
      </c>
      <c r="K559" s="249" t="s">
        <v>2378</v>
      </c>
      <c r="M559" s="249">
        <f t="shared" si="25"/>
        <v>35</v>
      </c>
      <c r="N559" s="249">
        <f t="shared" si="26"/>
        <v>34</v>
      </c>
      <c r="O559" s="15" t="s">
        <v>328</v>
      </c>
      <c r="P559" s="15"/>
      <c r="Q559" s="15"/>
      <c r="S559" s="15"/>
      <c r="T559" s="15" t="s">
        <v>328</v>
      </c>
      <c r="U559" s="15"/>
      <c r="V559" s="15"/>
      <c r="W559" s="15"/>
      <c r="X559" s="15"/>
      <c r="Z559" s="127">
        <v>0.2</v>
      </c>
      <c r="AA559" s="249">
        <v>2</v>
      </c>
      <c r="AB559" s="250">
        <v>12000</v>
      </c>
      <c r="AC559" s="250">
        <v>12000</v>
      </c>
      <c r="AD559" s="250">
        <v>30000</v>
      </c>
      <c r="AE559" s="250">
        <v>144000</v>
      </c>
      <c r="AF559" s="250">
        <v>12000</v>
      </c>
    </row>
    <row r="560" spans="2:32" x14ac:dyDescent="0.25">
      <c r="B560" s="63" t="s">
        <v>1138</v>
      </c>
      <c r="C560" s="14" t="s">
        <v>351</v>
      </c>
      <c r="D560" s="15">
        <v>1980</v>
      </c>
      <c r="E560" s="16">
        <v>2376000</v>
      </c>
      <c r="F560" s="15">
        <v>2.2000000000000002</v>
      </c>
      <c r="G560" s="15">
        <v>2.5</v>
      </c>
      <c r="H560" s="15" t="s">
        <v>340</v>
      </c>
      <c r="I560" s="249">
        <f t="shared" si="24"/>
        <v>1</v>
      </c>
      <c r="J560" s="143">
        <v>6000</v>
      </c>
      <c r="K560" s="249" t="s">
        <v>2378</v>
      </c>
      <c r="M560" s="249">
        <f t="shared" si="25"/>
        <v>35</v>
      </c>
      <c r="N560" s="249">
        <f t="shared" si="26"/>
        <v>34</v>
      </c>
      <c r="O560" s="15" t="s">
        <v>328</v>
      </c>
      <c r="P560" s="15"/>
      <c r="Q560" s="15"/>
      <c r="S560" s="15"/>
      <c r="T560" s="15" t="s">
        <v>328</v>
      </c>
      <c r="U560" s="15"/>
      <c r="V560" s="15"/>
      <c r="W560" s="15"/>
      <c r="X560" s="15"/>
      <c r="Z560" s="127">
        <v>0.2</v>
      </c>
      <c r="AA560" s="249">
        <v>2</v>
      </c>
      <c r="AB560" s="250">
        <v>12000</v>
      </c>
      <c r="AC560" s="250">
        <v>12000</v>
      </c>
      <c r="AD560" s="250">
        <v>30000</v>
      </c>
      <c r="AE560" s="250">
        <v>144000</v>
      </c>
      <c r="AF560" s="250">
        <v>12000</v>
      </c>
    </row>
    <row r="561" spans="2:32" x14ac:dyDescent="0.25">
      <c r="B561" s="63" t="s">
        <v>1139</v>
      </c>
      <c r="C561" s="15" t="s">
        <v>337</v>
      </c>
      <c r="D561" s="15">
        <v>1998</v>
      </c>
      <c r="E561" s="16">
        <v>1250000</v>
      </c>
      <c r="F561" s="15">
        <v>1.8</v>
      </c>
      <c r="G561" s="15">
        <v>2.2999999999999998</v>
      </c>
      <c r="H561" s="15" t="s">
        <v>340</v>
      </c>
      <c r="I561" s="249">
        <f t="shared" si="24"/>
        <v>1</v>
      </c>
      <c r="J561" s="143">
        <v>7000</v>
      </c>
      <c r="K561" s="249" t="s">
        <v>2378</v>
      </c>
      <c r="M561" s="249">
        <f t="shared" si="25"/>
        <v>17</v>
      </c>
      <c r="N561" s="249">
        <f t="shared" si="26"/>
        <v>16</v>
      </c>
      <c r="O561" s="15" t="s">
        <v>328</v>
      </c>
      <c r="P561" s="15"/>
      <c r="Q561" s="15"/>
      <c r="S561" s="15"/>
      <c r="T561" s="15" t="s">
        <v>328</v>
      </c>
      <c r="U561" s="15"/>
      <c r="V561" s="15"/>
      <c r="W561" s="15"/>
      <c r="X561" s="15"/>
      <c r="Z561" s="127">
        <v>0.5</v>
      </c>
      <c r="AA561" s="249">
        <v>1</v>
      </c>
      <c r="AB561" s="250">
        <v>10000</v>
      </c>
      <c r="AC561" s="250">
        <v>40000</v>
      </c>
      <c r="AD561" s="250">
        <v>50000</v>
      </c>
      <c r="AE561" s="250">
        <v>200000</v>
      </c>
      <c r="AF561" s="250">
        <v>40000</v>
      </c>
    </row>
    <row r="562" spans="2:32" x14ac:dyDescent="0.25">
      <c r="B562" s="63" t="s">
        <v>1140</v>
      </c>
      <c r="C562" s="15" t="s">
        <v>337</v>
      </c>
      <c r="D562" s="15">
        <v>1990</v>
      </c>
      <c r="E562" s="16">
        <v>1932000</v>
      </c>
      <c r="F562" s="15">
        <v>2.8</v>
      </c>
      <c r="G562" s="15">
        <v>3</v>
      </c>
      <c r="H562" s="15" t="s">
        <v>340</v>
      </c>
      <c r="I562" s="249">
        <f t="shared" si="24"/>
        <v>1</v>
      </c>
      <c r="J562" s="143">
        <v>7000</v>
      </c>
      <c r="K562" s="249" t="s">
        <v>2378</v>
      </c>
      <c r="M562" s="249">
        <f t="shared" si="25"/>
        <v>25</v>
      </c>
      <c r="N562" s="249">
        <f t="shared" si="26"/>
        <v>24</v>
      </c>
      <c r="O562" s="15" t="s">
        <v>328</v>
      </c>
      <c r="P562" s="15"/>
      <c r="Q562" s="15"/>
      <c r="S562" s="15"/>
      <c r="T562" s="15" t="s">
        <v>328</v>
      </c>
      <c r="U562" s="15"/>
      <c r="V562" s="15"/>
      <c r="W562" s="15"/>
      <c r="X562" s="15"/>
      <c r="Z562" s="127">
        <v>0.5</v>
      </c>
      <c r="AA562" s="249">
        <v>1</v>
      </c>
      <c r="AB562" s="250">
        <v>8000</v>
      </c>
      <c r="AC562" s="250">
        <v>8000</v>
      </c>
      <c r="AD562" s="250">
        <v>24000</v>
      </c>
      <c r="AE562" s="250">
        <v>84000</v>
      </c>
      <c r="AF562" s="250">
        <v>24000</v>
      </c>
    </row>
    <row r="563" spans="2:32" x14ac:dyDescent="0.25">
      <c r="B563" s="63" t="s">
        <v>1141</v>
      </c>
      <c r="C563" s="15" t="s">
        <v>337</v>
      </c>
      <c r="D563" s="15">
        <v>2004</v>
      </c>
      <c r="E563" s="16">
        <v>683201</v>
      </c>
      <c r="F563" s="15">
        <v>2.2000000000000002</v>
      </c>
      <c r="G563" s="15">
        <v>2.5</v>
      </c>
      <c r="H563" s="15" t="s">
        <v>340</v>
      </c>
      <c r="I563" s="249">
        <f t="shared" si="24"/>
        <v>1</v>
      </c>
      <c r="J563" s="143">
        <v>5000</v>
      </c>
      <c r="K563" s="249" t="s">
        <v>2378</v>
      </c>
      <c r="M563" s="249">
        <f t="shared" si="25"/>
        <v>11</v>
      </c>
      <c r="N563" s="249">
        <f t="shared" si="26"/>
        <v>10</v>
      </c>
      <c r="O563" s="15" t="s">
        <v>328</v>
      </c>
      <c r="P563" s="15"/>
      <c r="Q563" s="15"/>
      <c r="S563" s="15"/>
      <c r="T563" s="15" t="s">
        <v>328</v>
      </c>
      <c r="U563" s="15"/>
      <c r="V563" s="15"/>
      <c r="W563" s="15"/>
      <c r="X563" s="15"/>
      <c r="Z563" s="127">
        <v>0.5</v>
      </c>
      <c r="AA563" s="249">
        <v>1</v>
      </c>
      <c r="AB563" s="250">
        <v>12000</v>
      </c>
      <c r="AC563" s="250">
        <v>45000</v>
      </c>
      <c r="AD563" s="250">
        <v>10000</v>
      </c>
      <c r="AE563" s="250">
        <v>300000</v>
      </c>
      <c r="AF563" s="250">
        <v>450000</v>
      </c>
    </row>
    <row r="564" spans="2:32" x14ac:dyDescent="0.25">
      <c r="B564" s="63" t="s">
        <v>1142</v>
      </c>
      <c r="C564" s="15" t="s">
        <v>337</v>
      </c>
      <c r="D564" s="15">
        <v>1997</v>
      </c>
      <c r="E564" s="16">
        <v>1440000</v>
      </c>
      <c r="F564" s="15">
        <v>2.2999999999999998</v>
      </c>
      <c r="G564" s="15">
        <v>2.8</v>
      </c>
      <c r="H564" s="15" t="s">
        <v>340</v>
      </c>
      <c r="I564" s="249">
        <f t="shared" si="24"/>
        <v>1</v>
      </c>
      <c r="J564" s="143">
        <v>7500</v>
      </c>
      <c r="K564" s="249" t="s">
        <v>2378</v>
      </c>
      <c r="M564" s="249">
        <f t="shared" si="25"/>
        <v>18</v>
      </c>
      <c r="N564" s="249">
        <f t="shared" si="26"/>
        <v>17</v>
      </c>
      <c r="O564" s="15" t="s">
        <v>328</v>
      </c>
      <c r="P564" s="15"/>
      <c r="Q564" s="15"/>
      <c r="S564" s="15"/>
      <c r="T564" s="15" t="s">
        <v>328</v>
      </c>
      <c r="U564" s="15"/>
      <c r="V564" s="15"/>
      <c r="W564" s="15"/>
      <c r="X564" s="15"/>
      <c r="Z564" s="127">
        <v>0.3</v>
      </c>
      <c r="AA564" s="249">
        <v>2</v>
      </c>
      <c r="AB564" s="250">
        <v>15000</v>
      </c>
      <c r="AC564" s="250">
        <v>15000</v>
      </c>
      <c r="AD564" s="250">
        <v>30000</v>
      </c>
      <c r="AE564" s="250">
        <v>180000</v>
      </c>
      <c r="AF564" s="250">
        <v>15000</v>
      </c>
    </row>
    <row r="565" spans="2:32" x14ac:dyDescent="0.25">
      <c r="B565" s="63" t="s">
        <v>1142</v>
      </c>
      <c r="C565" s="15" t="s">
        <v>337</v>
      </c>
      <c r="D565" s="15">
        <v>1997</v>
      </c>
      <c r="E565" s="16">
        <v>1440000</v>
      </c>
      <c r="F565" s="15">
        <v>2.2999999999999998</v>
      </c>
      <c r="G565" s="15">
        <v>2.8</v>
      </c>
      <c r="H565" s="15" t="s">
        <v>340</v>
      </c>
      <c r="I565" s="249">
        <f t="shared" si="24"/>
        <v>1</v>
      </c>
      <c r="J565" s="143">
        <v>7500</v>
      </c>
      <c r="K565" s="249" t="s">
        <v>2378</v>
      </c>
      <c r="M565" s="249">
        <f t="shared" si="25"/>
        <v>18</v>
      </c>
      <c r="N565" s="249">
        <f t="shared" si="26"/>
        <v>17</v>
      </c>
      <c r="O565" s="15" t="s">
        <v>328</v>
      </c>
      <c r="P565" s="15"/>
      <c r="Q565" s="15"/>
      <c r="S565" s="15"/>
      <c r="T565" s="15" t="s">
        <v>328</v>
      </c>
      <c r="U565" s="15"/>
      <c r="V565" s="15"/>
      <c r="W565" s="15"/>
      <c r="X565" s="15"/>
      <c r="Z565" s="127">
        <v>0.3</v>
      </c>
      <c r="AA565" s="249">
        <v>2</v>
      </c>
      <c r="AB565" s="250">
        <v>15000</v>
      </c>
      <c r="AC565" s="250">
        <v>15000</v>
      </c>
      <c r="AD565" s="250">
        <v>30000</v>
      </c>
      <c r="AE565" s="250">
        <v>180000</v>
      </c>
      <c r="AF565" s="250">
        <v>15000</v>
      </c>
    </row>
    <row r="566" spans="2:32" x14ac:dyDescent="0.25">
      <c r="B566" s="63" t="s">
        <v>1143</v>
      </c>
      <c r="C566" s="15" t="s">
        <v>337</v>
      </c>
      <c r="D566" s="15">
        <v>1988</v>
      </c>
      <c r="E566" s="16">
        <v>1500000</v>
      </c>
      <c r="F566" s="15">
        <v>2.5</v>
      </c>
      <c r="G566" s="15">
        <v>2.8</v>
      </c>
      <c r="H566" s="15" t="s">
        <v>340</v>
      </c>
      <c r="I566" s="249">
        <f t="shared" si="24"/>
        <v>1</v>
      </c>
      <c r="J566" s="143">
        <v>5000</v>
      </c>
      <c r="K566" s="249" t="s">
        <v>2378</v>
      </c>
      <c r="M566" s="249">
        <f t="shared" si="25"/>
        <v>27</v>
      </c>
      <c r="N566" s="249">
        <f t="shared" si="26"/>
        <v>26</v>
      </c>
      <c r="O566" s="15" t="s">
        <v>328</v>
      </c>
      <c r="P566" s="15"/>
      <c r="Q566" s="15"/>
      <c r="S566" s="15"/>
      <c r="T566" s="15" t="s">
        <v>328</v>
      </c>
      <c r="U566" s="15"/>
      <c r="V566" s="15"/>
      <c r="W566" s="15"/>
      <c r="X566" s="15"/>
      <c r="Z566" s="127">
        <v>0.1</v>
      </c>
      <c r="AA566" s="249">
        <v>2</v>
      </c>
      <c r="AB566" s="250">
        <v>15000</v>
      </c>
      <c r="AC566" s="250">
        <v>15000</v>
      </c>
      <c r="AD566" s="250">
        <v>30000</v>
      </c>
      <c r="AE566" s="250">
        <v>120000</v>
      </c>
      <c r="AF566" s="250">
        <v>15000</v>
      </c>
    </row>
    <row r="567" spans="2:32" x14ac:dyDescent="0.25">
      <c r="B567" s="63" t="s">
        <v>1143</v>
      </c>
      <c r="C567" s="15" t="s">
        <v>337</v>
      </c>
      <c r="D567" s="15">
        <v>1988</v>
      </c>
      <c r="E567" s="16">
        <v>1500000</v>
      </c>
      <c r="F567" s="15">
        <v>2.5</v>
      </c>
      <c r="G567" s="15">
        <v>2.8</v>
      </c>
      <c r="H567" s="15" t="s">
        <v>340</v>
      </c>
      <c r="I567" s="249">
        <f t="shared" si="24"/>
        <v>1</v>
      </c>
      <c r="J567" s="143">
        <v>5000</v>
      </c>
      <c r="K567" s="249" t="s">
        <v>2378</v>
      </c>
      <c r="M567" s="249">
        <f t="shared" si="25"/>
        <v>27</v>
      </c>
      <c r="N567" s="249">
        <f t="shared" si="26"/>
        <v>26</v>
      </c>
      <c r="O567" s="15" t="s">
        <v>328</v>
      </c>
      <c r="P567" s="15"/>
      <c r="Q567" s="15"/>
      <c r="S567" s="15"/>
      <c r="T567" s="15" t="s">
        <v>328</v>
      </c>
      <c r="U567" s="15"/>
      <c r="V567" s="15"/>
      <c r="W567" s="15"/>
      <c r="X567" s="15"/>
      <c r="Z567" s="127">
        <v>0.1</v>
      </c>
      <c r="AA567" s="249">
        <v>2</v>
      </c>
      <c r="AB567" s="250">
        <v>15000</v>
      </c>
      <c r="AC567" s="250">
        <v>15000</v>
      </c>
      <c r="AD567" s="250">
        <v>30000</v>
      </c>
      <c r="AE567" s="250">
        <v>120000</v>
      </c>
      <c r="AF567" s="250">
        <v>15000</v>
      </c>
    </row>
    <row r="568" spans="2:32" x14ac:dyDescent="0.25">
      <c r="B568" s="61" t="s">
        <v>1351</v>
      </c>
      <c r="C568" s="15" t="s">
        <v>337</v>
      </c>
      <c r="D568" s="15">
        <v>1995</v>
      </c>
      <c r="E568" s="16">
        <v>1300000</v>
      </c>
      <c r="F568" s="15">
        <v>2</v>
      </c>
      <c r="G568" s="15">
        <v>2.2000000000000002</v>
      </c>
      <c r="H568" s="15" t="s">
        <v>340</v>
      </c>
      <c r="I568" s="249">
        <f t="shared" si="24"/>
        <v>1</v>
      </c>
      <c r="J568" s="143">
        <v>6000</v>
      </c>
      <c r="K568" s="249" t="s">
        <v>2379</v>
      </c>
      <c r="M568" s="249">
        <f t="shared" si="25"/>
        <v>20</v>
      </c>
      <c r="N568" s="249">
        <f t="shared" si="26"/>
        <v>19</v>
      </c>
      <c r="O568" s="15" t="s">
        <v>328</v>
      </c>
      <c r="P568" s="15"/>
      <c r="Q568" s="15"/>
      <c r="S568" s="15" t="s">
        <v>328</v>
      </c>
      <c r="T568" s="15"/>
      <c r="U568" s="15"/>
      <c r="V568" s="15"/>
      <c r="W568" s="15"/>
      <c r="X568" s="15"/>
      <c r="Z568" s="127">
        <v>0.5</v>
      </c>
      <c r="AA568" s="249">
        <v>6</v>
      </c>
      <c r="AB568" s="250">
        <v>15000</v>
      </c>
      <c r="AC568" s="250">
        <v>20000</v>
      </c>
      <c r="AD568" s="250">
        <v>15000</v>
      </c>
      <c r="AE568" s="250">
        <v>130000</v>
      </c>
      <c r="AF568" s="250">
        <v>20000</v>
      </c>
    </row>
    <row r="569" spans="2:32" x14ac:dyDescent="0.25">
      <c r="B569" s="61" t="s">
        <v>1351</v>
      </c>
      <c r="C569" s="15" t="s">
        <v>337</v>
      </c>
      <c r="D569" s="15">
        <v>1995</v>
      </c>
      <c r="E569" s="16">
        <v>1250000</v>
      </c>
      <c r="F569" s="15">
        <v>2</v>
      </c>
      <c r="G569" s="15">
        <v>2.2000000000000002</v>
      </c>
      <c r="H569" s="15" t="s">
        <v>340</v>
      </c>
      <c r="I569" s="249">
        <f t="shared" si="24"/>
        <v>1</v>
      </c>
      <c r="J569" s="143">
        <v>6000</v>
      </c>
      <c r="K569" s="249" t="s">
        <v>2379</v>
      </c>
      <c r="M569" s="249">
        <f t="shared" si="25"/>
        <v>20</v>
      </c>
      <c r="N569" s="249">
        <f t="shared" si="26"/>
        <v>19</v>
      </c>
      <c r="O569" s="15" t="s">
        <v>328</v>
      </c>
      <c r="P569" s="15"/>
      <c r="Q569" s="15"/>
      <c r="S569" s="15" t="s">
        <v>328</v>
      </c>
      <c r="T569" s="15"/>
      <c r="U569" s="15"/>
      <c r="V569" s="15"/>
      <c r="W569" s="15"/>
      <c r="X569" s="15"/>
      <c r="Z569" s="127">
        <v>0.5</v>
      </c>
      <c r="AA569" s="249">
        <v>6</v>
      </c>
      <c r="AB569" s="250">
        <v>15000</v>
      </c>
      <c r="AC569" s="250">
        <v>20000</v>
      </c>
      <c r="AD569" s="250">
        <v>15000</v>
      </c>
      <c r="AE569" s="250">
        <v>130000</v>
      </c>
      <c r="AF569" s="250">
        <v>20000</v>
      </c>
    </row>
    <row r="570" spans="2:32" x14ac:dyDescent="0.25">
      <c r="B570" s="61" t="s">
        <v>1351</v>
      </c>
      <c r="C570" s="15" t="s">
        <v>337</v>
      </c>
      <c r="D570" s="15">
        <v>1998</v>
      </c>
      <c r="E570" s="16">
        <v>1340000</v>
      </c>
      <c r="F570" s="15">
        <v>2.1</v>
      </c>
      <c r="G570" s="15">
        <v>2.2000000000000002</v>
      </c>
      <c r="H570" s="15" t="s">
        <v>340</v>
      </c>
      <c r="I570" s="249">
        <f t="shared" si="24"/>
        <v>1</v>
      </c>
      <c r="J570" s="143">
        <v>7000</v>
      </c>
      <c r="K570" s="249" t="s">
        <v>2379</v>
      </c>
      <c r="M570" s="249">
        <f t="shared" si="25"/>
        <v>17</v>
      </c>
      <c r="N570" s="249">
        <f t="shared" si="26"/>
        <v>16</v>
      </c>
      <c r="O570" s="15" t="s">
        <v>328</v>
      </c>
      <c r="P570" s="15"/>
      <c r="Q570" s="15"/>
      <c r="S570" s="15"/>
      <c r="T570" s="15" t="s">
        <v>328</v>
      </c>
      <c r="U570" s="15"/>
      <c r="V570" s="15"/>
      <c r="W570" s="15"/>
      <c r="X570" s="15"/>
      <c r="Z570" s="127">
        <v>0.5</v>
      </c>
      <c r="AA570" s="249">
        <v>6</v>
      </c>
      <c r="AB570" s="250">
        <v>20000</v>
      </c>
      <c r="AC570" s="250">
        <v>20000</v>
      </c>
      <c r="AD570" s="250">
        <v>20000</v>
      </c>
      <c r="AE570" s="250">
        <v>130000</v>
      </c>
      <c r="AF570" s="250">
        <v>20000</v>
      </c>
    </row>
    <row r="571" spans="2:32" x14ac:dyDescent="0.25">
      <c r="B571" s="61" t="s">
        <v>1351</v>
      </c>
      <c r="C571" s="15" t="s">
        <v>337</v>
      </c>
      <c r="D571" s="15">
        <v>1998</v>
      </c>
      <c r="E571" s="16">
        <v>1350000</v>
      </c>
      <c r="F571" s="15">
        <v>2.1</v>
      </c>
      <c r="G571" s="15">
        <v>2.2000000000000002</v>
      </c>
      <c r="H571" s="15" t="s">
        <v>340</v>
      </c>
      <c r="I571" s="249">
        <f t="shared" si="24"/>
        <v>1</v>
      </c>
      <c r="J571" s="143">
        <v>7000</v>
      </c>
      <c r="K571" s="249" t="s">
        <v>2379</v>
      </c>
      <c r="M571" s="249">
        <f t="shared" si="25"/>
        <v>17</v>
      </c>
      <c r="N571" s="249">
        <f t="shared" si="26"/>
        <v>16</v>
      </c>
      <c r="O571" s="15" t="s">
        <v>328</v>
      </c>
      <c r="P571" s="15"/>
      <c r="Q571" s="15"/>
      <c r="S571" s="15"/>
      <c r="T571" s="15" t="s">
        <v>328</v>
      </c>
      <c r="U571" s="15"/>
      <c r="V571" s="15"/>
      <c r="W571" s="15"/>
      <c r="X571" s="15"/>
      <c r="Z571" s="127">
        <v>0.5</v>
      </c>
      <c r="AA571" s="249">
        <v>6</v>
      </c>
      <c r="AB571" s="250">
        <v>20000</v>
      </c>
      <c r="AC571" s="250">
        <v>20000</v>
      </c>
      <c r="AD571" s="250">
        <v>20000</v>
      </c>
      <c r="AE571" s="250">
        <v>130000</v>
      </c>
      <c r="AF571" s="250">
        <v>20000</v>
      </c>
    </row>
    <row r="572" spans="2:32" x14ac:dyDescent="0.25">
      <c r="B572" s="61" t="s">
        <v>1351</v>
      </c>
      <c r="C572" s="15" t="s">
        <v>337</v>
      </c>
      <c r="D572" s="15">
        <v>2000</v>
      </c>
      <c r="E572" s="16">
        <v>1280000</v>
      </c>
      <c r="F572" s="15">
        <v>2.2999999999999998</v>
      </c>
      <c r="G572" s="15">
        <v>2.5</v>
      </c>
      <c r="H572" s="15" t="s">
        <v>340</v>
      </c>
      <c r="I572" s="249">
        <f t="shared" si="24"/>
        <v>1</v>
      </c>
      <c r="J572" s="143">
        <v>8000</v>
      </c>
      <c r="K572" s="249" t="s">
        <v>2379</v>
      </c>
      <c r="M572" s="249">
        <f t="shared" si="25"/>
        <v>15</v>
      </c>
      <c r="N572" s="249">
        <f t="shared" si="26"/>
        <v>14</v>
      </c>
      <c r="O572" s="15" t="s">
        <v>328</v>
      </c>
      <c r="P572" s="15"/>
      <c r="Q572" s="15"/>
      <c r="S572" s="15"/>
      <c r="T572" s="15" t="s">
        <v>328</v>
      </c>
      <c r="U572" s="15"/>
      <c r="V572" s="15"/>
      <c r="W572" s="15"/>
      <c r="X572" s="15"/>
      <c r="Z572" s="127">
        <v>0.5</v>
      </c>
      <c r="AA572" s="249">
        <v>6</v>
      </c>
      <c r="AB572" s="250">
        <v>20000</v>
      </c>
      <c r="AC572" s="250">
        <v>20000</v>
      </c>
      <c r="AD572" s="250">
        <v>20000</v>
      </c>
      <c r="AE572" s="250">
        <v>130000</v>
      </c>
      <c r="AF572" s="250">
        <v>20000</v>
      </c>
    </row>
    <row r="573" spans="2:32" x14ac:dyDescent="0.25">
      <c r="B573" s="61" t="s">
        <v>1351</v>
      </c>
      <c r="C573" s="15" t="s">
        <v>337</v>
      </c>
      <c r="D573" s="15">
        <v>2000</v>
      </c>
      <c r="E573" s="16">
        <v>1240000</v>
      </c>
      <c r="F573" s="15">
        <v>2.2999999999999998</v>
      </c>
      <c r="G573" s="15">
        <v>2.5</v>
      </c>
      <c r="H573" s="15" t="s">
        <v>340</v>
      </c>
      <c r="I573" s="249">
        <f t="shared" si="24"/>
        <v>1</v>
      </c>
      <c r="J573" s="143">
        <v>8000</v>
      </c>
      <c r="K573" s="249" t="s">
        <v>2379</v>
      </c>
      <c r="M573" s="249">
        <f t="shared" si="25"/>
        <v>15</v>
      </c>
      <c r="N573" s="249">
        <f t="shared" si="26"/>
        <v>14</v>
      </c>
      <c r="O573" s="15" t="s">
        <v>328</v>
      </c>
      <c r="P573" s="15"/>
      <c r="Q573" s="15"/>
      <c r="S573" s="15"/>
      <c r="T573" s="15"/>
      <c r="U573" s="15"/>
      <c r="V573" s="15"/>
      <c r="W573" s="15" t="s">
        <v>328</v>
      </c>
      <c r="X573" s="15"/>
      <c r="Z573" s="127">
        <v>0.5</v>
      </c>
      <c r="AA573" s="249">
        <v>6</v>
      </c>
      <c r="AB573" s="250">
        <v>20000</v>
      </c>
      <c r="AC573" s="250">
        <v>20000</v>
      </c>
      <c r="AD573" s="250">
        <v>20000</v>
      </c>
      <c r="AE573" s="250">
        <v>130000</v>
      </c>
      <c r="AF573" s="250">
        <v>20000</v>
      </c>
    </row>
    <row r="574" spans="2:32" x14ac:dyDescent="0.25">
      <c r="B574" s="63" t="s">
        <v>1352</v>
      </c>
      <c r="C574" s="15" t="s">
        <v>337</v>
      </c>
      <c r="D574" s="15">
        <v>2005</v>
      </c>
      <c r="E574" s="16" t="s">
        <v>352</v>
      </c>
      <c r="F574" s="15">
        <v>2.2000000000000002</v>
      </c>
      <c r="G574" s="15">
        <v>2.2999999999999998</v>
      </c>
      <c r="H574" s="15" t="s">
        <v>340</v>
      </c>
      <c r="I574" s="249">
        <f t="shared" si="24"/>
        <v>1</v>
      </c>
      <c r="J574" s="143">
        <v>7000</v>
      </c>
      <c r="K574" s="249" t="s">
        <v>2378</v>
      </c>
      <c r="M574" s="249">
        <f t="shared" si="25"/>
        <v>10</v>
      </c>
      <c r="N574" s="249">
        <f t="shared" si="26"/>
        <v>9</v>
      </c>
      <c r="O574" s="15"/>
      <c r="P574" s="15" t="s">
        <v>328</v>
      </c>
      <c r="Q574" s="15"/>
      <c r="S574" s="15"/>
      <c r="T574" s="15" t="s">
        <v>328</v>
      </c>
      <c r="U574" s="15"/>
      <c r="V574" s="15"/>
      <c r="W574" s="15"/>
      <c r="X574" s="15"/>
      <c r="Z574" s="127">
        <v>0.3</v>
      </c>
      <c r="AA574" s="249">
        <v>1</v>
      </c>
      <c r="AB574" s="250">
        <v>30000</v>
      </c>
      <c r="AC574" s="250">
        <v>30000</v>
      </c>
      <c r="AD574" s="250">
        <v>30000</v>
      </c>
      <c r="AE574" s="250">
        <v>100000</v>
      </c>
      <c r="AF574" s="250">
        <v>30000</v>
      </c>
    </row>
    <row r="575" spans="2:32" x14ac:dyDescent="0.25">
      <c r="B575" s="63" t="s">
        <v>1353</v>
      </c>
      <c r="C575" s="15" t="s">
        <v>348</v>
      </c>
      <c r="D575" s="15">
        <v>1989</v>
      </c>
      <c r="E575" s="16">
        <v>1200000</v>
      </c>
      <c r="F575" s="15">
        <v>2.2999999999999998</v>
      </c>
      <c r="G575" s="15">
        <v>2.5</v>
      </c>
      <c r="H575" s="15" t="s">
        <v>340</v>
      </c>
      <c r="I575" s="249">
        <f t="shared" si="24"/>
        <v>1</v>
      </c>
      <c r="J575" s="143" t="s">
        <v>480</v>
      </c>
      <c r="K575" s="249" t="s">
        <v>2379</v>
      </c>
      <c r="M575" s="249">
        <f t="shared" si="25"/>
        <v>26</v>
      </c>
      <c r="N575" s="249">
        <f t="shared" si="26"/>
        <v>25</v>
      </c>
      <c r="O575" s="15"/>
      <c r="P575" s="15"/>
      <c r="Q575" s="15" t="s">
        <v>328</v>
      </c>
      <c r="S575" s="15"/>
      <c r="T575" s="15"/>
      <c r="U575" s="15"/>
      <c r="V575" s="15"/>
      <c r="W575" s="15" t="s">
        <v>328</v>
      </c>
      <c r="X575" s="15"/>
      <c r="Z575" s="127" t="s">
        <v>480</v>
      </c>
      <c r="AA575" s="249">
        <v>6</v>
      </c>
      <c r="AB575" s="250">
        <v>15000</v>
      </c>
      <c r="AC575" s="250">
        <v>25000</v>
      </c>
      <c r="AD575" s="250">
        <v>30000</v>
      </c>
      <c r="AE575" s="250">
        <v>45000</v>
      </c>
      <c r="AF575" s="250">
        <v>25000</v>
      </c>
    </row>
    <row r="576" spans="2:32" x14ac:dyDescent="0.25">
      <c r="B576" s="63" t="s">
        <v>1353</v>
      </c>
      <c r="C576" s="15" t="s">
        <v>348</v>
      </c>
      <c r="D576" s="15">
        <v>1994</v>
      </c>
      <c r="E576" s="16">
        <v>1000000</v>
      </c>
      <c r="F576" s="15">
        <v>2.4</v>
      </c>
      <c r="G576" s="15">
        <v>2.5</v>
      </c>
      <c r="H576" s="15" t="s">
        <v>340</v>
      </c>
      <c r="I576" s="249">
        <f t="shared" si="24"/>
        <v>1</v>
      </c>
      <c r="J576" s="143" t="s">
        <v>480</v>
      </c>
      <c r="K576" s="249" t="s">
        <v>2379</v>
      </c>
      <c r="M576" s="249">
        <f t="shared" si="25"/>
        <v>21</v>
      </c>
      <c r="N576" s="249">
        <f t="shared" si="26"/>
        <v>20</v>
      </c>
      <c r="O576" s="15"/>
      <c r="P576" s="15"/>
      <c r="Q576" s="15" t="s">
        <v>328</v>
      </c>
      <c r="S576" s="15"/>
      <c r="T576" s="15"/>
      <c r="U576" s="15"/>
      <c r="V576" s="15"/>
      <c r="W576" s="15" t="s">
        <v>328</v>
      </c>
      <c r="X576" s="15"/>
      <c r="Z576" s="127" t="s">
        <v>480</v>
      </c>
      <c r="AA576" s="249">
        <v>6</v>
      </c>
      <c r="AB576" s="250">
        <v>15000</v>
      </c>
      <c r="AC576" s="250">
        <v>25000</v>
      </c>
      <c r="AD576" s="250">
        <v>30000</v>
      </c>
      <c r="AE576" s="250">
        <v>45000</v>
      </c>
      <c r="AF576" s="250">
        <v>25000</v>
      </c>
    </row>
    <row r="577" spans="2:32" x14ac:dyDescent="0.25">
      <c r="B577" s="63" t="s">
        <v>1353</v>
      </c>
      <c r="C577" s="14" t="s">
        <v>351</v>
      </c>
      <c r="D577" s="15">
        <v>1997</v>
      </c>
      <c r="E577" s="16">
        <v>600000</v>
      </c>
      <c r="F577" s="15">
        <v>2.2999999999999998</v>
      </c>
      <c r="G577" s="15">
        <v>2.5</v>
      </c>
      <c r="H577" s="15" t="s">
        <v>340</v>
      </c>
      <c r="I577" s="249">
        <f t="shared" si="24"/>
        <v>1</v>
      </c>
      <c r="J577" s="143" t="s">
        <v>480</v>
      </c>
      <c r="K577" s="249" t="s">
        <v>2379</v>
      </c>
      <c r="M577" s="249">
        <f t="shared" si="25"/>
        <v>18</v>
      </c>
      <c r="N577" s="249">
        <f t="shared" si="26"/>
        <v>17</v>
      </c>
      <c r="O577" s="15"/>
      <c r="P577" s="15"/>
      <c r="Q577" s="15" t="s">
        <v>328</v>
      </c>
      <c r="S577" s="15"/>
      <c r="T577" s="15"/>
      <c r="U577" s="15"/>
      <c r="V577" s="15"/>
      <c r="W577" s="15" t="s">
        <v>328</v>
      </c>
      <c r="X577" s="15"/>
      <c r="Z577" s="127" t="s">
        <v>480</v>
      </c>
      <c r="AA577" s="249">
        <v>6</v>
      </c>
      <c r="AB577" s="250">
        <v>15000</v>
      </c>
      <c r="AC577" s="250">
        <v>25000</v>
      </c>
      <c r="AD577" s="250">
        <v>30000</v>
      </c>
      <c r="AE577" s="250">
        <v>45000</v>
      </c>
      <c r="AF577" s="250">
        <v>25000</v>
      </c>
    </row>
    <row r="578" spans="2:32" x14ac:dyDescent="0.25">
      <c r="B578" s="63" t="s">
        <v>1353</v>
      </c>
      <c r="C578" s="14" t="s">
        <v>351</v>
      </c>
      <c r="D578" s="15">
        <v>1998</v>
      </c>
      <c r="E578" s="16">
        <v>650000</v>
      </c>
      <c r="F578" s="15">
        <v>2.4</v>
      </c>
      <c r="G578" s="15">
        <v>2.6</v>
      </c>
      <c r="H578" s="15" t="s">
        <v>340</v>
      </c>
      <c r="I578" s="249">
        <f t="shared" si="24"/>
        <v>1</v>
      </c>
      <c r="J578" s="143" t="s">
        <v>480</v>
      </c>
      <c r="K578" s="249" t="s">
        <v>2379</v>
      </c>
      <c r="M578" s="249">
        <f t="shared" si="25"/>
        <v>17</v>
      </c>
      <c r="N578" s="249">
        <f t="shared" si="26"/>
        <v>16</v>
      </c>
      <c r="O578" s="15"/>
      <c r="P578" s="15"/>
      <c r="Q578" s="15" t="s">
        <v>328</v>
      </c>
      <c r="S578" s="15"/>
      <c r="T578" s="15"/>
      <c r="U578" s="15"/>
      <c r="V578" s="15"/>
      <c r="W578" s="15" t="s">
        <v>328</v>
      </c>
      <c r="X578" s="15"/>
      <c r="Z578" s="127" t="s">
        <v>480</v>
      </c>
      <c r="AA578" s="249">
        <v>6</v>
      </c>
      <c r="AB578" s="250">
        <v>15000</v>
      </c>
      <c r="AC578" s="250">
        <v>25000</v>
      </c>
      <c r="AD578" s="250">
        <v>30000</v>
      </c>
      <c r="AE578" s="250">
        <v>45000</v>
      </c>
      <c r="AF578" s="250">
        <v>25000</v>
      </c>
    </row>
    <row r="579" spans="2:32" x14ac:dyDescent="0.25">
      <c r="B579" s="63" t="s">
        <v>1353</v>
      </c>
      <c r="C579" s="15" t="s">
        <v>359</v>
      </c>
      <c r="D579" s="15">
        <v>1991</v>
      </c>
      <c r="E579" s="16">
        <v>1000000</v>
      </c>
      <c r="F579" s="15">
        <v>1.9</v>
      </c>
      <c r="G579" s="15">
        <v>2.1</v>
      </c>
      <c r="H579" s="15" t="s">
        <v>340</v>
      </c>
      <c r="I579" s="249">
        <f t="shared" si="24"/>
        <v>1</v>
      </c>
      <c r="J579" s="143" t="s">
        <v>480</v>
      </c>
      <c r="K579" s="249" t="s">
        <v>2379</v>
      </c>
      <c r="M579" s="249">
        <f t="shared" si="25"/>
        <v>24</v>
      </c>
      <c r="N579" s="249">
        <f t="shared" si="26"/>
        <v>23</v>
      </c>
      <c r="O579" s="15"/>
      <c r="P579" s="15"/>
      <c r="Q579" s="15" t="s">
        <v>328</v>
      </c>
      <c r="S579" s="15"/>
      <c r="T579" s="15"/>
      <c r="U579" s="15"/>
      <c r="V579" s="15"/>
      <c r="W579" s="15" t="s">
        <v>328</v>
      </c>
      <c r="X579" s="15"/>
      <c r="Z579" s="127" t="s">
        <v>480</v>
      </c>
      <c r="AA579" s="249">
        <v>6</v>
      </c>
      <c r="AB579" s="250">
        <v>18000</v>
      </c>
      <c r="AC579" s="250">
        <v>25000</v>
      </c>
      <c r="AD579" s="250">
        <v>30000</v>
      </c>
      <c r="AE579" s="250">
        <v>30000</v>
      </c>
      <c r="AF579" s="250">
        <v>25000</v>
      </c>
    </row>
    <row r="580" spans="2:32" x14ac:dyDescent="0.25">
      <c r="B580" s="63" t="s">
        <v>1353</v>
      </c>
      <c r="C580" s="15" t="s">
        <v>337</v>
      </c>
      <c r="D580" s="15">
        <v>1999</v>
      </c>
      <c r="E580" s="16">
        <v>350000</v>
      </c>
      <c r="F580" s="15">
        <v>2.1</v>
      </c>
      <c r="G580" s="15">
        <v>2.2999999999999998</v>
      </c>
      <c r="H580" s="15" t="s">
        <v>340</v>
      </c>
      <c r="I580" s="249">
        <f t="shared" si="24"/>
        <v>1</v>
      </c>
      <c r="J580" s="143" t="s">
        <v>480</v>
      </c>
      <c r="K580" s="249" t="s">
        <v>2379</v>
      </c>
      <c r="M580" s="249">
        <f t="shared" si="25"/>
        <v>16</v>
      </c>
      <c r="N580" s="249">
        <f t="shared" si="26"/>
        <v>15</v>
      </c>
      <c r="O580" s="15"/>
      <c r="P580" s="15"/>
      <c r="Q580" s="15" t="s">
        <v>328</v>
      </c>
      <c r="S580" s="15"/>
      <c r="T580" s="15"/>
      <c r="U580" s="15"/>
      <c r="V580" s="15"/>
      <c r="W580" s="15" t="s">
        <v>328</v>
      </c>
      <c r="X580" s="15"/>
      <c r="Z580" s="127" t="s">
        <v>480</v>
      </c>
      <c r="AA580" s="249">
        <v>6</v>
      </c>
      <c r="AB580" s="250">
        <v>18000</v>
      </c>
      <c r="AC580" s="250">
        <v>25000</v>
      </c>
      <c r="AD580" s="250">
        <v>30000</v>
      </c>
      <c r="AE580" s="250">
        <v>30000</v>
      </c>
      <c r="AF580" s="250">
        <v>25000</v>
      </c>
    </row>
    <row r="581" spans="2:32" x14ac:dyDescent="0.25">
      <c r="B581" s="63" t="s">
        <v>1354</v>
      </c>
      <c r="C581" s="15" t="s">
        <v>337</v>
      </c>
      <c r="D581" s="15">
        <v>1978</v>
      </c>
      <c r="E581" s="16">
        <v>1200000</v>
      </c>
      <c r="F581" s="15">
        <v>1.8</v>
      </c>
      <c r="G581" s="15">
        <v>2.1</v>
      </c>
      <c r="H581" s="15" t="s">
        <v>340</v>
      </c>
      <c r="I581" s="249">
        <f t="shared" si="24"/>
        <v>1</v>
      </c>
      <c r="J581" s="143">
        <v>2000</v>
      </c>
      <c r="K581" s="249" t="s">
        <v>2379</v>
      </c>
      <c r="M581" s="249">
        <f t="shared" si="25"/>
        <v>37</v>
      </c>
      <c r="N581" s="249">
        <f t="shared" si="26"/>
        <v>36</v>
      </c>
      <c r="O581" s="15"/>
      <c r="P581" s="15"/>
      <c r="Q581" s="15" t="s">
        <v>328</v>
      </c>
      <c r="S581" s="15" t="s">
        <v>328</v>
      </c>
      <c r="T581" s="15"/>
      <c r="U581" s="15"/>
      <c r="V581" s="15"/>
      <c r="W581" s="15"/>
      <c r="X581" s="15"/>
      <c r="Z581" s="127">
        <v>0.5</v>
      </c>
      <c r="AA581" s="249">
        <v>17</v>
      </c>
      <c r="AB581" s="250">
        <v>15000</v>
      </c>
      <c r="AC581" s="250">
        <v>20000</v>
      </c>
      <c r="AD581" s="250">
        <v>20000</v>
      </c>
      <c r="AE581" s="250">
        <v>130000</v>
      </c>
      <c r="AF581" s="250">
        <v>20000</v>
      </c>
    </row>
    <row r="582" spans="2:32" x14ac:dyDescent="0.25">
      <c r="B582" s="63" t="s">
        <v>1354</v>
      </c>
      <c r="C582" s="15" t="s">
        <v>337</v>
      </c>
      <c r="D582" s="15">
        <v>1978</v>
      </c>
      <c r="E582" s="16">
        <v>1200000</v>
      </c>
      <c r="F582" s="15">
        <v>1.8</v>
      </c>
      <c r="G582" s="15">
        <v>2.1</v>
      </c>
      <c r="H582" s="15" t="s">
        <v>340</v>
      </c>
      <c r="I582" s="249">
        <f t="shared" ref="I582:I645" si="27">IF(F582&gt;G582,0,1)</f>
        <v>1</v>
      </c>
      <c r="J582" s="143">
        <v>2000</v>
      </c>
      <c r="K582" s="249" t="s">
        <v>2379</v>
      </c>
      <c r="M582" s="249">
        <f t="shared" ref="M582:M645" si="28">2015-D582</f>
        <v>37</v>
      </c>
      <c r="N582" s="249">
        <f t="shared" ref="N582:N645" si="29">2014-$D582</f>
        <v>36</v>
      </c>
      <c r="O582" s="15"/>
      <c r="P582" s="15"/>
      <c r="Q582" s="15" t="s">
        <v>328</v>
      </c>
      <c r="S582" s="15" t="s">
        <v>328</v>
      </c>
      <c r="T582" s="15"/>
      <c r="U582" s="15"/>
      <c r="V582" s="15"/>
      <c r="W582" s="15"/>
      <c r="X582" s="15"/>
      <c r="Z582" s="127">
        <v>0.5</v>
      </c>
      <c r="AA582" s="249">
        <v>17</v>
      </c>
      <c r="AB582" s="250">
        <v>15000</v>
      </c>
      <c r="AC582" s="250">
        <v>20000</v>
      </c>
      <c r="AD582" s="250">
        <v>20000</v>
      </c>
      <c r="AE582" s="250">
        <v>130000</v>
      </c>
      <c r="AF582" s="250">
        <v>20000</v>
      </c>
    </row>
    <row r="583" spans="2:32" x14ac:dyDescent="0.25">
      <c r="B583" s="63" t="s">
        <v>1354</v>
      </c>
      <c r="C583" s="15" t="s">
        <v>337</v>
      </c>
      <c r="D583" s="15">
        <v>1981</v>
      </c>
      <c r="E583" s="16">
        <v>840000</v>
      </c>
      <c r="F583" s="15">
        <v>1.8</v>
      </c>
      <c r="G583" s="15">
        <v>2.1</v>
      </c>
      <c r="H583" s="15" t="s">
        <v>340</v>
      </c>
      <c r="I583" s="249">
        <f t="shared" si="27"/>
        <v>1</v>
      </c>
      <c r="J583" s="143">
        <v>2000</v>
      </c>
      <c r="K583" s="249" t="s">
        <v>2379</v>
      </c>
      <c r="M583" s="249">
        <f t="shared" si="28"/>
        <v>34</v>
      </c>
      <c r="N583" s="249">
        <f t="shared" si="29"/>
        <v>33</v>
      </c>
      <c r="O583" s="15"/>
      <c r="P583" s="15"/>
      <c r="Q583" s="15" t="s">
        <v>328</v>
      </c>
      <c r="S583" s="15" t="s">
        <v>328</v>
      </c>
      <c r="T583" s="15"/>
      <c r="U583" s="15"/>
      <c r="V583" s="15"/>
      <c r="W583" s="15"/>
      <c r="X583" s="15"/>
      <c r="Z583" s="127">
        <v>0.5</v>
      </c>
      <c r="AA583" s="249">
        <v>17</v>
      </c>
      <c r="AB583" s="250">
        <v>15000</v>
      </c>
      <c r="AC583" s="250">
        <v>20000</v>
      </c>
      <c r="AD583" s="250">
        <v>20000</v>
      </c>
      <c r="AE583" s="250">
        <v>130000</v>
      </c>
      <c r="AF583" s="250">
        <v>20000</v>
      </c>
    </row>
    <row r="584" spans="2:32" x14ac:dyDescent="0.25">
      <c r="B584" s="63" t="s">
        <v>1354</v>
      </c>
      <c r="C584" s="15" t="s">
        <v>337</v>
      </c>
      <c r="D584" s="15">
        <v>1981</v>
      </c>
      <c r="E584" s="16">
        <v>840000</v>
      </c>
      <c r="F584" s="15">
        <v>1.8</v>
      </c>
      <c r="G584" s="15">
        <v>2.1</v>
      </c>
      <c r="H584" s="15" t="s">
        <v>340</v>
      </c>
      <c r="I584" s="249">
        <f t="shared" si="27"/>
        <v>1</v>
      </c>
      <c r="J584" s="143">
        <v>2000</v>
      </c>
      <c r="K584" s="249" t="s">
        <v>2379</v>
      </c>
      <c r="M584" s="249">
        <f t="shared" si="28"/>
        <v>34</v>
      </c>
      <c r="N584" s="249">
        <f t="shared" si="29"/>
        <v>33</v>
      </c>
      <c r="O584" s="15"/>
      <c r="P584" s="15"/>
      <c r="Q584" s="15" t="s">
        <v>328</v>
      </c>
      <c r="S584" s="15" t="s">
        <v>328</v>
      </c>
      <c r="T584" s="15"/>
      <c r="U584" s="15"/>
      <c r="V584" s="15"/>
      <c r="W584" s="15"/>
      <c r="X584" s="15"/>
      <c r="Z584" s="127">
        <v>0.5</v>
      </c>
      <c r="AA584" s="249">
        <v>17</v>
      </c>
      <c r="AB584" s="250">
        <v>15000</v>
      </c>
      <c r="AC584" s="250">
        <v>20000</v>
      </c>
      <c r="AD584" s="250">
        <v>20000</v>
      </c>
      <c r="AE584" s="250">
        <v>130000</v>
      </c>
      <c r="AF584" s="250">
        <v>20000</v>
      </c>
    </row>
    <row r="585" spans="2:32" x14ac:dyDescent="0.25">
      <c r="B585" s="63" t="s">
        <v>1354</v>
      </c>
      <c r="C585" s="15" t="s">
        <v>337</v>
      </c>
      <c r="D585" s="15">
        <v>1981</v>
      </c>
      <c r="E585" s="16">
        <v>840000</v>
      </c>
      <c r="F585" s="15">
        <v>1.8</v>
      </c>
      <c r="G585" s="15">
        <v>2.1</v>
      </c>
      <c r="H585" s="15" t="s">
        <v>340</v>
      </c>
      <c r="I585" s="249">
        <f t="shared" si="27"/>
        <v>1</v>
      </c>
      <c r="J585" s="143">
        <v>2000</v>
      </c>
      <c r="K585" s="249" t="s">
        <v>2379</v>
      </c>
      <c r="M585" s="249">
        <f t="shared" si="28"/>
        <v>34</v>
      </c>
      <c r="N585" s="249">
        <f t="shared" si="29"/>
        <v>33</v>
      </c>
      <c r="O585" s="15"/>
      <c r="P585" s="15"/>
      <c r="Q585" s="15" t="s">
        <v>328</v>
      </c>
      <c r="S585" s="15" t="s">
        <v>328</v>
      </c>
      <c r="T585" s="15"/>
      <c r="U585" s="15"/>
      <c r="V585" s="15"/>
      <c r="W585" s="15"/>
      <c r="X585" s="15"/>
      <c r="Z585" s="127">
        <v>0.5</v>
      </c>
      <c r="AA585" s="249">
        <v>17</v>
      </c>
      <c r="AB585" s="250">
        <v>15000</v>
      </c>
      <c r="AC585" s="250">
        <v>20000</v>
      </c>
      <c r="AD585" s="250">
        <v>20000</v>
      </c>
      <c r="AE585" s="250">
        <v>130000</v>
      </c>
      <c r="AF585" s="250">
        <v>20000</v>
      </c>
    </row>
    <row r="586" spans="2:32" x14ac:dyDescent="0.25">
      <c r="B586" s="63" t="s">
        <v>1354</v>
      </c>
      <c r="C586" s="15" t="s">
        <v>337</v>
      </c>
      <c r="D586" s="15">
        <v>1990</v>
      </c>
      <c r="E586" s="16">
        <v>552000</v>
      </c>
      <c r="F586" s="15">
        <v>1.9</v>
      </c>
      <c r="G586" s="15">
        <v>2.1</v>
      </c>
      <c r="H586" s="15" t="s">
        <v>340</v>
      </c>
      <c r="I586" s="249">
        <f t="shared" si="27"/>
        <v>1</v>
      </c>
      <c r="J586" s="143">
        <v>2500</v>
      </c>
      <c r="K586" s="249" t="s">
        <v>2379</v>
      </c>
      <c r="M586" s="249">
        <f t="shared" si="28"/>
        <v>25</v>
      </c>
      <c r="N586" s="249">
        <f t="shared" si="29"/>
        <v>24</v>
      </c>
      <c r="O586" s="15"/>
      <c r="P586" s="15" t="s">
        <v>328</v>
      </c>
      <c r="Q586" s="15"/>
      <c r="S586" s="15"/>
      <c r="T586" s="15"/>
      <c r="U586" s="15"/>
      <c r="V586" s="15"/>
      <c r="W586" s="15" t="s">
        <v>328</v>
      </c>
      <c r="X586" s="15"/>
      <c r="Z586" s="127">
        <v>0.5</v>
      </c>
      <c r="AA586" s="249">
        <v>17</v>
      </c>
      <c r="AB586" s="250">
        <v>15000</v>
      </c>
      <c r="AC586" s="250">
        <v>20000</v>
      </c>
      <c r="AD586" s="250">
        <v>20000</v>
      </c>
      <c r="AE586" s="250">
        <v>130000</v>
      </c>
      <c r="AF586" s="250">
        <v>20000</v>
      </c>
    </row>
    <row r="587" spans="2:32" x14ac:dyDescent="0.25">
      <c r="B587" s="63" t="s">
        <v>1354</v>
      </c>
      <c r="C587" s="15" t="s">
        <v>337</v>
      </c>
      <c r="D587" s="15">
        <v>1990</v>
      </c>
      <c r="E587" s="16">
        <v>552000</v>
      </c>
      <c r="F587" s="15">
        <v>1.9</v>
      </c>
      <c r="G587" s="15">
        <v>2.1</v>
      </c>
      <c r="H587" s="15" t="s">
        <v>340</v>
      </c>
      <c r="I587" s="249">
        <f t="shared" si="27"/>
        <v>1</v>
      </c>
      <c r="J587" s="143">
        <v>2500</v>
      </c>
      <c r="K587" s="249" t="s">
        <v>2379</v>
      </c>
      <c r="M587" s="249">
        <f t="shared" si="28"/>
        <v>25</v>
      </c>
      <c r="N587" s="249">
        <f t="shared" si="29"/>
        <v>24</v>
      </c>
      <c r="O587" s="15"/>
      <c r="P587" s="15" t="s">
        <v>328</v>
      </c>
      <c r="Q587" s="15"/>
      <c r="S587" s="15"/>
      <c r="T587" s="15"/>
      <c r="U587" s="15"/>
      <c r="V587" s="15"/>
      <c r="W587" s="15" t="s">
        <v>328</v>
      </c>
      <c r="X587" s="15"/>
      <c r="Z587" s="127">
        <v>0.5</v>
      </c>
      <c r="AA587" s="249">
        <v>17</v>
      </c>
      <c r="AB587" s="250">
        <v>15000</v>
      </c>
      <c r="AC587" s="250">
        <v>20000</v>
      </c>
      <c r="AD587" s="250">
        <v>20000</v>
      </c>
      <c r="AE587" s="250">
        <v>130000</v>
      </c>
      <c r="AF587" s="250">
        <v>20000</v>
      </c>
    </row>
    <row r="588" spans="2:32" x14ac:dyDescent="0.25">
      <c r="B588" s="63" t="s">
        <v>1354</v>
      </c>
      <c r="C588" s="15" t="s">
        <v>337</v>
      </c>
      <c r="D588" s="15">
        <v>1990</v>
      </c>
      <c r="E588" s="16">
        <v>552000</v>
      </c>
      <c r="F588" s="15">
        <v>1.9</v>
      </c>
      <c r="G588" s="15">
        <v>2.1</v>
      </c>
      <c r="H588" s="15" t="s">
        <v>340</v>
      </c>
      <c r="I588" s="249">
        <f t="shared" si="27"/>
        <v>1</v>
      </c>
      <c r="J588" s="143">
        <v>2500</v>
      </c>
      <c r="K588" s="249" t="s">
        <v>2379</v>
      </c>
      <c r="M588" s="249">
        <f t="shared" si="28"/>
        <v>25</v>
      </c>
      <c r="N588" s="249">
        <f t="shared" si="29"/>
        <v>24</v>
      </c>
      <c r="O588" s="15"/>
      <c r="P588" s="15" t="s">
        <v>328</v>
      </c>
      <c r="Q588" s="15"/>
      <c r="S588" s="15"/>
      <c r="T588" s="15"/>
      <c r="U588" s="15"/>
      <c r="V588" s="15"/>
      <c r="W588" s="15" t="s">
        <v>328</v>
      </c>
      <c r="X588" s="15"/>
      <c r="Z588" s="127">
        <v>0.5</v>
      </c>
      <c r="AA588" s="249">
        <v>17</v>
      </c>
      <c r="AB588" s="250">
        <v>15000</v>
      </c>
      <c r="AC588" s="250">
        <v>20000</v>
      </c>
      <c r="AD588" s="250">
        <v>20000</v>
      </c>
      <c r="AE588" s="250">
        <v>130000</v>
      </c>
      <c r="AF588" s="250">
        <v>20000</v>
      </c>
    </row>
    <row r="589" spans="2:32" x14ac:dyDescent="0.25">
      <c r="B589" s="63" t="s">
        <v>1354</v>
      </c>
      <c r="C589" s="15" t="s">
        <v>337</v>
      </c>
      <c r="D589" s="15">
        <v>1995</v>
      </c>
      <c r="E589" s="16">
        <v>432000</v>
      </c>
      <c r="F589" s="15">
        <v>1.9</v>
      </c>
      <c r="G589" s="15">
        <v>2.1</v>
      </c>
      <c r="H589" s="15" t="s">
        <v>340</v>
      </c>
      <c r="I589" s="249">
        <f t="shared" si="27"/>
        <v>1</v>
      </c>
      <c r="J589" s="143">
        <v>3500</v>
      </c>
      <c r="K589" s="249" t="s">
        <v>2379</v>
      </c>
      <c r="M589" s="249">
        <f t="shared" si="28"/>
        <v>20</v>
      </c>
      <c r="N589" s="249">
        <f t="shared" si="29"/>
        <v>19</v>
      </c>
      <c r="O589" s="15"/>
      <c r="P589" s="15" t="s">
        <v>328</v>
      </c>
      <c r="Q589" s="15"/>
      <c r="S589" s="15"/>
      <c r="T589" s="15"/>
      <c r="U589" s="15"/>
      <c r="V589" s="15"/>
      <c r="W589" s="15" t="s">
        <v>328</v>
      </c>
      <c r="X589" s="15"/>
      <c r="Z589" s="127">
        <v>0.5</v>
      </c>
      <c r="AA589" s="249">
        <v>17</v>
      </c>
      <c r="AB589" s="250">
        <v>20000</v>
      </c>
      <c r="AC589" s="250">
        <v>25000</v>
      </c>
      <c r="AD589" s="250">
        <v>25000</v>
      </c>
      <c r="AE589" s="250">
        <v>130000</v>
      </c>
      <c r="AF589" s="250">
        <v>25000</v>
      </c>
    </row>
    <row r="590" spans="2:32" x14ac:dyDescent="0.25">
      <c r="B590" s="63" t="s">
        <v>1354</v>
      </c>
      <c r="C590" s="15" t="s">
        <v>337</v>
      </c>
      <c r="D590" s="15">
        <v>1995</v>
      </c>
      <c r="E590" s="16">
        <v>432000</v>
      </c>
      <c r="F590" s="15">
        <v>1.9</v>
      </c>
      <c r="G590" s="15">
        <v>2.1</v>
      </c>
      <c r="H590" s="15" t="s">
        <v>340</v>
      </c>
      <c r="I590" s="249">
        <f t="shared" si="27"/>
        <v>1</v>
      </c>
      <c r="J590" s="143">
        <v>3500</v>
      </c>
      <c r="K590" s="249" t="s">
        <v>2379</v>
      </c>
      <c r="M590" s="249">
        <f t="shared" si="28"/>
        <v>20</v>
      </c>
      <c r="N590" s="249">
        <f t="shared" si="29"/>
        <v>19</v>
      </c>
      <c r="O590" s="15"/>
      <c r="P590" s="15" t="s">
        <v>328</v>
      </c>
      <c r="Q590" s="15"/>
      <c r="S590" s="15"/>
      <c r="T590" s="15"/>
      <c r="U590" s="15"/>
      <c r="V590" s="15"/>
      <c r="W590" s="15" t="s">
        <v>328</v>
      </c>
      <c r="X590" s="15"/>
      <c r="Z590" s="127">
        <v>0.5</v>
      </c>
      <c r="AA590" s="249">
        <v>17</v>
      </c>
      <c r="AB590" s="250">
        <v>20000</v>
      </c>
      <c r="AC590" s="250">
        <v>25000</v>
      </c>
      <c r="AD590" s="250">
        <v>25000</v>
      </c>
      <c r="AE590" s="250">
        <v>130000</v>
      </c>
      <c r="AF590" s="250">
        <v>25000</v>
      </c>
    </row>
    <row r="591" spans="2:32" x14ac:dyDescent="0.25">
      <c r="B591" s="63" t="s">
        <v>1354</v>
      </c>
      <c r="C591" s="15" t="s">
        <v>337</v>
      </c>
      <c r="D591" s="15">
        <v>1995</v>
      </c>
      <c r="E591" s="16">
        <v>432000</v>
      </c>
      <c r="F591" s="15">
        <v>1.9</v>
      </c>
      <c r="G591" s="15">
        <v>2.1</v>
      </c>
      <c r="H591" s="15" t="s">
        <v>340</v>
      </c>
      <c r="I591" s="249">
        <f t="shared" si="27"/>
        <v>1</v>
      </c>
      <c r="J591" s="143">
        <v>3500</v>
      </c>
      <c r="K591" s="249" t="s">
        <v>2379</v>
      </c>
      <c r="M591" s="249">
        <f t="shared" si="28"/>
        <v>20</v>
      </c>
      <c r="N591" s="249">
        <f t="shared" si="29"/>
        <v>19</v>
      </c>
      <c r="O591" s="15"/>
      <c r="P591" s="15" t="s">
        <v>328</v>
      </c>
      <c r="Q591" s="15"/>
      <c r="S591" s="15"/>
      <c r="T591" s="15"/>
      <c r="U591" s="15"/>
      <c r="V591" s="15"/>
      <c r="W591" s="15" t="s">
        <v>328</v>
      </c>
      <c r="X591" s="15"/>
      <c r="Z591" s="127">
        <v>0.5</v>
      </c>
      <c r="AA591" s="249">
        <v>17</v>
      </c>
      <c r="AB591" s="250">
        <v>20000</v>
      </c>
      <c r="AC591" s="250">
        <v>25000</v>
      </c>
      <c r="AD591" s="250">
        <v>25000</v>
      </c>
      <c r="AE591" s="250">
        <v>130000</v>
      </c>
      <c r="AF591" s="250">
        <v>25000</v>
      </c>
    </row>
    <row r="592" spans="2:32" x14ac:dyDescent="0.25">
      <c r="B592" s="63" t="s">
        <v>1354</v>
      </c>
      <c r="C592" s="15" t="s">
        <v>337</v>
      </c>
      <c r="D592" s="15">
        <v>1995</v>
      </c>
      <c r="E592" s="16">
        <v>432000</v>
      </c>
      <c r="F592" s="15">
        <v>1.9</v>
      </c>
      <c r="G592" s="15">
        <v>2.1</v>
      </c>
      <c r="H592" s="15" t="s">
        <v>340</v>
      </c>
      <c r="I592" s="249">
        <f t="shared" si="27"/>
        <v>1</v>
      </c>
      <c r="J592" s="143">
        <v>3500</v>
      </c>
      <c r="K592" s="249" t="s">
        <v>2379</v>
      </c>
      <c r="M592" s="249">
        <f t="shared" si="28"/>
        <v>20</v>
      </c>
      <c r="N592" s="249">
        <f t="shared" si="29"/>
        <v>19</v>
      </c>
      <c r="O592" s="15"/>
      <c r="P592" s="15" t="s">
        <v>328</v>
      </c>
      <c r="Q592" s="15"/>
      <c r="S592" s="15"/>
      <c r="T592" s="15"/>
      <c r="U592" s="15"/>
      <c r="V592" s="15"/>
      <c r="W592" s="15" t="s">
        <v>328</v>
      </c>
      <c r="X592" s="15"/>
      <c r="Z592" s="127">
        <v>0.5</v>
      </c>
      <c r="AA592" s="249">
        <v>17</v>
      </c>
      <c r="AB592" s="250">
        <v>20000</v>
      </c>
      <c r="AC592" s="250">
        <v>25000</v>
      </c>
      <c r="AD592" s="250">
        <v>25000</v>
      </c>
      <c r="AE592" s="250">
        <v>130000</v>
      </c>
      <c r="AF592" s="250">
        <v>25000</v>
      </c>
    </row>
    <row r="593" spans="2:32" x14ac:dyDescent="0.25">
      <c r="B593" s="63" t="s">
        <v>1354</v>
      </c>
      <c r="C593" s="15" t="s">
        <v>359</v>
      </c>
      <c r="D593" s="15">
        <v>1995</v>
      </c>
      <c r="E593" s="16">
        <v>432000</v>
      </c>
      <c r="F593" s="15">
        <v>1.9</v>
      </c>
      <c r="G593" s="15">
        <v>2.1</v>
      </c>
      <c r="H593" s="15" t="s">
        <v>340</v>
      </c>
      <c r="I593" s="249">
        <f t="shared" si="27"/>
        <v>1</v>
      </c>
      <c r="J593" s="143">
        <v>3500</v>
      </c>
      <c r="K593" s="249" t="s">
        <v>2379</v>
      </c>
      <c r="M593" s="249">
        <f t="shared" si="28"/>
        <v>20</v>
      </c>
      <c r="N593" s="249">
        <f t="shared" si="29"/>
        <v>19</v>
      </c>
      <c r="O593" s="15" t="s">
        <v>328</v>
      </c>
      <c r="P593" s="15"/>
      <c r="Q593" s="15"/>
      <c r="S593" s="15"/>
      <c r="T593" s="15"/>
      <c r="U593" s="15"/>
      <c r="V593" s="15"/>
      <c r="W593" s="15" t="s">
        <v>328</v>
      </c>
      <c r="X593" s="15"/>
      <c r="Z593" s="127">
        <v>0.5</v>
      </c>
      <c r="AA593" s="249">
        <v>17</v>
      </c>
      <c r="AB593" s="250">
        <v>20000</v>
      </c>
      <c r="AC593" s="250">
        <v>25000</v>
      </c>
      <c r="AD593" s="250">
        <v>25000</v>
      </c>
      <c r="AE593" s="250">
        <v>130000</v>
      </c>
      <c r="AF593" s="250">
        <v>25000</v>
      </c>
    </row>
    <row r="594" spans="2:32" x14ac:dyDescent="0.25">
      <c r="B594" s="63" t="s">
        <v>1354</v>
      </c>
      <c r="C594" s="15" t="s">
        <v>359</v>
      </c>
      <c r="D594" s="15">
        <v>1997</v>
      </c>
      <c r="E594" s="16">
        <v>384000</v>
      </c>
      <c r="F594" s="15">
        <v>2</v>
      </c>
      <c r="G594" s="15">
        <v>2.2000000000000002</v>
      </c>
      <c r="H594" s="15" t="s">
        <v>340</v>
      </c>
      <c r="I594" s="249">
        <f t="shared" si="27"/>
        <v>1</v>
      </c>
      <c r="J594" s="143">
        <v>3500</v>
      </c>
      <c r="K594" s="249" t="s">
        <v>2379</v>
      </c>
      <c r="M594" s="249">
        <f t="shared" si="28"/>
        <v>18</v>
      </c>
      <c r="N594" s="249">
        <f t="shared" si="29"/>
        <v>17</v>
      </c>
      <c r="O594" s="15" t="s">
        <v>328</v>
      </c>
      <c r="P594" s="15"/>
      <c r="Q594" s="15"/>
      <c r="S594" s="15"/>
      <c r="T594" s="15" t="s">
        <v>328</v>
      </c>
      <c r="U594" s="15"/>
      <c r="V594" s="15"/>
      <c r="W594" s="15"/>
      <c r="X594" s="15"/>
      <c r="Z594" s="127">
        <v>0.5</v>
      </c>
      <c r="AA594" s="249">
        <v>17</v>
      </c>
      <c r="AB594" s="250">
        <v>20000</v>
      </c>
      <c r="AC594" s="250">
        <v>25000</v>
      </c>
      <c r="AD594" s="250">
        <v>25000</v>
      </c>
      <c r="AE594" s="250">
        <v>130000</v>
      </c>
      <c r="AF594" s="250">
        <v>25000</v>
      </c>
    </row>
    <row r="595" spans="2:32" x14ac:dyDescent="0.25">
      <c r="B595" s="63" t="s">
        <v>1354</v>
      </c>
      <c r="C595" s="15" t="s">
        <v>359</v>
      </c>
      <c r="D595" s="15">
        <v>1997</v>
      </c>
      <c r="E595" s="16">
        <v>384000</v>
      </c>
      <c r="F595" s="15">
        <v>2</v>
      </c>
      <c r="G595" s="15">
        <v>2.2000000000000002</v>
      </c>
      <c r="H595" s="15" t="s">
        <v>340</v>
      </c>
      <c r="I595" s="249">
        <f t="shared" si="27"/>
        <v>1</v>
      </c>
      <c r="J595" s="143">
        <v>3500</v>
      </c>
      <c r="K595" s="249" t="s">
        <v>2379</v>
      </c>
      <c r="M595" s="249">
        <f t="shared" si="28"/>
        <v>18</v>
      </c>
      <c r="N595" s="249">
        <f t="shared" si="29"/>
        <v>17</v>
      </c>
      <c r="O595" s="15" t="s">
        <v>328</v>
      </c>
      <c r="P595" s="15"/>
      <c r="Q595" s="15"/>
      <c r="S595" s="15"/>
      <c r="T595" s="15" t="s">
        <v>328</v>
      </c>
      <c r="U595" s="15"/>
      <c r="V595" s="15"/>
      <c r="W595" s="15"/>
      <c r="X595" s="15"/>
      <c r="Z595" s="127">
        <v>0.5</v>
      </c>
      <c r="AA595" s="249">
        <v>17</v>
      </c>
      <c r="AB595" s="250">
        <v>20000</v>
      </c>
      <c r="AC595" s="250">
        <v>25000</v>
      </c>
      <c r="AD595" s="250">
        <v>25000</v>
      </c>
      <c r="AE595" s="250">
        <v>130000</v>
      </c>
      <c r="AF595" s="250">
        <v>25000</v>
      </c>
    </row>
    <row r="596" spans="2:32" x14ac:dyDescent="0.25">
      <c r="B596" s="63" t="s">
        <v>1354</v>
      </c>
      <c r="C596" s="15" t="s">
        <v>359</v>
      </c>
      <c r="D596" s="15">
        <v>1997</v>
      </c>
      <c r="E596" s="16">
        <v>384000</v>
      </c>
      <c r="F596" s="15">
        <v>2</v>
      </c>
      <c r="G596" s="15">
        <v>2.2000000000000002</v>
      </c>
      <c r="H596" s="15" t="s">
        <v>340</v>
      </c>
      <c r="I596" s="249">
        <f t="shared" si="27"/>
        <v>1</v>
      </c>
      <c r="J596" s="143">
        <v>3500</v>
      </c>
      <c r="K596" s="249" t="s">
        <v>2379</v>
      </c>
      <c r="M596" s="249">
        <f t="shared" si="28"/>
        <v>18</v>
      </c>
      <c r="N596" s="249">
        <f t="shared" si="29"/>
        <v>17</v>
      </c>
      <c r="O596" s="15" t="s">
        <v>328</v>
      </c>
      <c r="P596" s="15"/>
      <c r="Q596" s="15"/>
      <c r="S596" s="15"/>
      <c r="T596" s="15" t="s">
        <v>328</v>
      </c>
      <c r="U596" s="15"/>
      <c r="V596" s="15"/>
      <c r="W596" s="15"/>
      <c r="X596" s="15"/>
      <c r="Z596" s="127">
        <v>0.5</v>
      </c>
      <c r="AA596" s="249">
        <v>17</v>
      </c>
      <c r="AB596" s="250">
        <v>20000</v>
      </c>
      <c r="AC596" s="250">
        <v>25000</v>
      </c>
      <c r="AD596" s="250">
        <v>25000</v>
      </c>
      <c r="AE596" s="250">
        <v>130000</v>
      </c>
      <c r="AF596" s="250">
        <v>25000</v>
      </c>
    </row>
    <row r="597" spans="2:32" x14ac:dyDescent="0.25">
      <c r="B597" s="63" t="s">
        <v>1354</v>
      </c>
      <c r="C597" s="15" t="s">
        <v>359</v>
      </c>
      <c r="D597" s="15">
        <v>1997</v>
      </c>
      <c r="E597" s="16">
        <v>384000</v>
      </c>
      <c r="F597" s="15">
        <v>2</v>
      </c>
      <c r="G597" s="15">
        <v>2.2000000000000002</v>
      </c>
      <c r="H597" s="15" t="s">
        <v>340</v>
      </c>
      <c r="I597" s="249">
        <f t="shared" si="27"/>
        <v>1</v>
      </c>
      <c r="J597" s="143">
        <v>3500</v>
      </c>
      <c r="K597" s="249" t="s">
        <v>2379</v>
      </c>
      <c r="M597" s="249">
        <f t="shared" si="28"/>
        <v>18</v>
      </c>
      <c r="N597" s="249">
        <f t="shared" si="29"/>
        <v>17</v>
      </c>
      <c r="O597" s="15" t="s">
        <v>328</v>
      </c>
      <c r="P597" s="15"/>
      <c r="Q597" s="15"/>
      <c r="S597" s="15"/>
      <c r="T597" s="15" t="s">
        <v>328</v>
      </c>
      <c r="U597" s="15"/>
      <c r="V597" s="15"/>
      <c r="W597" s="15"/>
      <c r="X597" s="15"/>
      <c r="Z597" s="127">
        <v>0.5</v>
      </c>
      <c r="AA597" s="249">
        <v>17</v>
      </c>
      <c r="AB597" s="250">
        <v>20000</v>
      </c>
      <c r="AC597" s="250">
        <v>25000</v>
      </c>
      <c r="AD597" s="250">
        <v>25000</v>
      </c>
      <c r="AE597" s="250">
        <v>130000</v>
      </c>
      <c r="AF597" s="250">
        <v>25000</v>
      </c>
    </row>
    <row r="598" spans="2:32" x14ac:dyDescent="0.25">
      <c r="B598" s="63" t="s">
        <v>1355</v>
      </c>
      <c r="C598" s="15" t="s">
        <v>337</v>
      </c>
      <c r="D598" s="15">
        <v>2006</v>
      </c>
      <c r="E598" s="16">
        <v>350000</v>
      </c>
      <c r="F598" s="15">
        <v>2.1</v>
      </c>
      <c r="G598" s="15">
        <v>2.2999999999999998</v>
      </c>
      <c r="H598" s="15" t="s">
        <v>340</v>
      </c>
      <c r="I598" s="249">
        <f t="shared" si="27"/>
        <v>1</v>
      </c>
      <c r="J598" s="143">
        <v>5000</v>
      </c>
      <c r="K598" s="249" t="s">
        <v>2378</v>
      </c>
      <c r="M598" s="249">
        <f t="shared" si="28"/>
        <v>9</v>
      </c>
      <c r="N598" s="249">
        <f t="shared" si="29"/>
        <v>8</v>
      </c>
      <c r="O598" s="15" t="s">
        <v>328</v>
      </c>
      <c r="P598" s="15"/>
      <c r="Q598" s="15"/>
      <c r="S598" s="15"/>
      <c r="T598" s="15"/>
      <c r="U598" s="15"/>
      <c r="V598" s="15"/>
      <c r="W598" s="15" t="s">
        <v>328</v>
      </c>
      <c r="X598" s="15"/>
      <c r="Z598" s="127">
        <v>0.5</v>
      </c>
      <c r="AA598" s="249">
        <v>1</v>
      </c>
      <c r="AB598" s="250">
        <v>40000</v>
      </c>
      <c r="AC598" s="250">
        <v>40000</v>
      </c>
      <c r="AD598" s="250">
        <v>25000</v>
      </c>
      <c r="AE598" s="250">
        <v>60000</v>
      </c>
      <c r="AF598" s="250">
        <v>40000</v>
      </c>
    </row>
    <row r="599" spans="2:32" x14ac:dyDescent="0.25">
      <c r="B599" s="63" t="s">
        <v>1356</v>
      </c>
      <c r="C599" s="15" t="s">
        <v>337</v>
      </c>
      <c r="D599" s="15">
        <v>2000</v>
      </c>
      <c r="E599" s="16">
        <v>1560000</v>
      </c>
      <c r="F599" s="15">
        <v>2.1</v>
      </c>
      <c r="G599" s="15">
        <v>2.2999999999999998</v>
      </c>
      <c r="H599" s="15" t="s">
        <v>340</v>
      </c>
      <c r="I599" s="249">
        <f t="shared" si="27"/>
        <v>1</v>
      </c>
      <c r="J599" s="143">
        <v>10000</v>
      </c>
      <c r="K599" s="249" t="s">
        <v>2379</v>
      </c>
      <c r="M599" s="249">
        <f t="shared" si="28"/>
        <v>15</v>
      </c>
      <c r="N599" s="249">
        <f t="shared" si="29"/>
        <v>14</v>
      </c>
      <c r="O599" s="15" t="s">
        <v>328</v>
      </c>
      <c r="P599" s="15"/>
      <c r="Q599" s="15"/>
      <c r="S599" s="15"/>
      <c r="T599" s="15"/>
      <c r="U599" s="15"/>
      <c r="V599" s="15"/>
      <c r="W599" s="15" t="s">
        <v>328</v>
      </c>
      <c r="X599" s="15"/>
      <c r="Z599" s="127">
        <v>0.2</v>
      </c>
      <c r="AA599" s="249">
        <v>26</v>
      </c>
      <c r="AB599" s="250">
        <v>15000</v>
      </c>
      <c r="AC599" s="250">
        <v>25000</v>
      </c>
      <c r="AD599" s="250">
        <v>30000</v>
      </c>
      <c r="AE599" s="250">
        <v>120000</v>
      </c>
      <c r="AF599" s="250">
        <v>25000</v>
      </c>
    </row>
    <row r="600" spans="2:32" x14ac:dyDescent="0.25">
      <c r="B600" s="63" t="s">
        <v>1356</v>
      </c>
      <c r="C600" s="15" t="s">
        <v>337</v>
      </c>
      <c r="D600" s="15">
        <v>2000</v>
      </c>
      <c r="E600" s="16">
        <v>1560000</v>
      </c>
      <c r="F600" s="15">
        <v>2.1</v>
      </c>
      <c r="G600" s="15">
        <v>2.2999999999999998</v>
      </c>
      <c r="H600" s="15" t="s">
        <v>340</v>
      </c>
      <c r="I600" s="249">
        <f t="shared" si="27"/>
        <v>1</v>
      </c>
      <c r="J600" s="143">
        <v>10000</v>
      </c>
      <c r="K600" s="249" t="s">
        <v>2379</v>
      </c>
      <c r="M600" s="249">
        <f t="shared" si="28"/>
        <v>15</v>
      </c>
      <c r="N600" s="249">
        <f t="shared" si="29"/>
        <v>14</v>
      </c>
      <c r="O600" s="15" t="s">
        <v>328</v>
      </c>
      <c r="P600" s="15"/>
      <c r="Q600" s="15"/>
      <c r="S600" s="15"/>
      <c r="T600" s="15"/>
      <c r="U600" s="15"/>
      <c r="V600" s="15"/>
      <c r="W600" s="15" t="s">
        <v>328</v>
      </c>
      <c r="X600" s="15"/>
      <c r="Z600" s="127">
        <v>0.2</v>
      </c>
      <c r="AA600" s="249">
        <v>26</v>
      </c>
      <c r="AB600" s="250">
        <v>15000</v>
      </c>
      <c r="AC600" s="250">
        <v>25000</v>
      </c>
      <c r="AD600" s="250">
        <v>30000</v>
      </c>
      <c r="AE600" s="250">
        <v>120000</v>
      </c>
      <c r="AF600" s="250">
        <v>25000</v>
      </c>
    </row>
    <row r="601" spans="2:32" x14ac:dyDescent="0.25">
      <c r="B601" s="63" t="s">
        <v>1356</v>
      </c>
      <c r="C601" s="15" t="s">
        <v>337</v>
      </c>
      <c r="D601" s="15">
        <v>2000</v>
      </c>
      <c r="E601" s="16">
        <v>1560000</v>
      </c>
      <c r="F601" s="15">
        <v>2.1</v>
      </c>
      <c r="G601" s="15">
        <v>2.2999999999999998</v>
      </c>
      <c r="H601" s="15" t="s">
        <v>340</v>
      </c>
      <c r="I601" s="249">
        <f t="shared" si="27"/>
        <v>1</v>
      </c>
      <c r="J601" s="143">
        <v>10000</v>
      </c>
      <c r="K601" s="249" t="s">
        <v>2379</v>
      </c>
      <c r="M601" s="249">
        <f t="shared" si="28"/>
        <v>15</v>
      </c>
      <c r="N601" s="249">
        <f t="shared" si="29"/>
        <v>14</v>
      </c>
      <c r="O601" s="15" t="s">
        <v>328</v>
      </c>
      <c r="P601" s="15"/>
      <c r="Q601" s="15"/>
      <c r="S601" s="15"/>
      <c r="T601" s="15"/>
      <c r="U601" s="15"/>
      <c r="V601" s="15"/>
      <c r="W601" s="15" t="s">
        <v>328</v>
      </c>
      <c r="X601" s="15"/>
      <c r="Z601" s="127">
        <v>0.2</v>
      </c>
      <c r="AA601" s="249">
        <v>26</v>
      </c>
      <c r="AB601" s="250">
        <v>15000</v>
      </c>
      <c r="AC601" s="250">
        <v>25000</v>
      </c>
      <c r="AD601" s="250">
        <v>30000</v>
      </c>
      <c r="AE601" s="250">
        <v>120000</v>
      </c>
      <c r="AF601" s="250">
        <v>25000</v>
      </c>
    </row>
    <row r="602" spans="2:32" x14ac:dyDescent="0.25">
      <c r="B602" s="63" t="s">
        <v>1356</v>
      </c>
      <c r="C602" s="15" t="s">
        <v>337</v>
      </c>
      <c r="D602" s="15">
        <v>2000</v>
      </c>
      <c r="E602" s="16">
        <v>1560000</v>
      </c>
      <c r="F602" s="15">
        <v>2.1</v>
      </c>
      <c r="G602" s="15">
        <v>2.2999999999999998</v>
      </c>
      <c r="H602" s="15" t="s">
        <v>340</v>
      </c>
      <c r="I602" s="249">
        <f t="shared" si="27"/>
        <v>1</v>
      </c>
      <c r="J602" s="143">
        <v>10000</v>
      </c>
      <c r="K602" s="249" t="s">
        <v>2379</v>
      </c>
      <c r="M602" s="249">
        <f t="shared" si="28"/>
        <v>15</v>
      </c>
      <c r="N602" s="249">
        <f t="shared" si="29"/>
        <v>14</v>
      </c>
      <c r="O602" s="15" t="s">
        <v>328</v>
      </c>
      <c r="P602" s="15"/>
      <c r="Q602" s="15"/>
      <c r="S602" s="15"/>
      <c r="T602" s="15"/>
      <c r="U602" s="15"/>
      <c r="V602" s="15"/>
      <c r="W602" s="15" t="s">
        <v>328</v>
      </c>
      <c r="X602" s="15"/>
      <c r="Z602" s="127">
        <v>0.2</v>
      </c>
      <c r="AA602" s="249">
        <v>26</v>
      </c>
      <c r="AB602" s="250">
        <v>15000</v>
      </c>
      <c r="AC602" s="250">
        <v>25000</v>
      </c>
      <c r="AD602" s="250">
        <v>30000</v>
      </c>
      <c r="AE602" s="250">
        <v>120000</v>
      </c>
      <c r="AF602" s="250">
        <v>25000</v>
      </c>
    </row>
    <row r="603" spans="2:32" x14ac:dyDescent="0.25">
      <c r="B603" s="63" t="s">
        <v>1356</v>
      </c>
      <c r="C603" s="15" t="s">
        <v>337</v>
      </c>
      <c r="D603" s="15">
        <v>2000</v>
      </c>
      <c r="E603" s="16">
        <v>1560000</v>
      </c>
      <c r="F603" s="15">
        <v>2.1</v>
      </c>
      <c r="G603" s="15">
        <v>2.2999999999999998</v>
      </c>
      <c r="H603" s="15" t="s">
        <v>340</v>
      </c>
      <c r="I603" s="249">
        <f t="shared" si="27"/>
        <v>1</v>
      </c>
      <c r="J603" s="143">
        <v>10000</v>
      </c>
      <c r="K603" s="249" t="s">
        <v>2379</v>
      </c>
      <c r="M603" s="249">
        <f t="shared" si="28"/>
        <v>15</v>
      </c>
      <c r="N603" s="249">
        <f t="shared" si="29"/>
        <v>14</v>
      </c>
      <c r="O603" s="15" t="s">
        <v>328</v>
      </c>
      <c r="P603" s="15"/>
      <c r="Q603" s="15"/>
      <c r="S603" s="15"/>
      <c r="T603" s="15"/>
      <c r="U603" s="15"/>
      <c r="V603" s="15"/>
      <c r="W603" s="15" t="s">
        <v>328</v>
      </c>
      <c r="X603" s="15"/>
      <c r="Z603" s="127">
        <v>0.2</v>
      </c>
      <c r="AA603" s="249">
        <v>26</v>
      </c>
      <c r="AB603" s="250">
        <v>15000</v>
      </c>
      <c r="AC603" s="250">
        <v>25000</v>
      </c>
      <c r="AD603" s="250">
        <v>30000</v>
      </c>
      <c r="AE603" s="250">
        <v>120000</v>
      </c>
      <c r="AF603" s="250">
        <v>25000</v>
      </c>
    </row>
    <row r="604" spans="2:32" x14ac:dyDescent="0.25">
      <c r="B604" s="63" t="s">
        <v>1356</v>
      </c>
      <c r="C604" s="15" t="s">
        <v>337</v>
      </c>
      <c r="D604" s="15">
        <v>2000</v>
      </c>
      <c r="E604" s="16">
        <v>1560000</v>
      </c>
      <c r="F604" s="15">
        <v>2.1</v>
      </c>
      <c r="G604" s="15">
        <v>2.2999999999999998</v>
      </c>
      <c r="H604" s="15" t="s">
        <v>340</v>
      </c>
      <c r="I604" s="249">
        <f t="shared" si="27"/>
        <v>1</v>
      </c>
      <c r="J604" s="143">
        <v>10000</v>
      </c>
      <c r="K604" s="249" t="s">
        <v>2379</v>
      </c>
      <c r="M604" s="249">
        <f t="shared" si="28"/>
        <v>15</v>
      </c>
      <c r="N604" s="249">
        <f t="shared" si="29"/>
        <v>14</v>
      </c>
      <c r="O604" s="15" t="s">
        <v>328</v>
      </c>
      <c r="P604" s="15"/>
      <c r="Q604" s="15"/>
      <c r="S604" s="15"/>
      <c r="T604" s="15"/>
      <c r="U604" s="15"/>
      <c r="V604" s="15"/>
      <c r="W604" s="15" t="s">
        <v>328</v>
      </c>
      <c r="X604" s="15"/>
      <c r="Z604" s="127">
        <v>0.2</v>
      </c>
      <c r="AA604" s="249">
        <v>26</v>
      </c>
      <c r="AB604" s="250">
        <v>15000</v>
      </c>
      <c r="AC604" s="250">
        <v>25000</v>
      </c>
      <c r="AD604" s="250">
        <v>30000</v>
      </c>
      <c r="AE604" s="250">
        <v>120000</v>
      </c>
      <c r="AF604" s="250">
        <v>25000</v>
      </c>
    </row>
    <row r="605" spans="2:32" x14ac:dyDescent="0.25">
      <c r="B605" s="63" t="s">
        <v>1356</v>
      </c>
      <c r="C605" s="15" t="s">
        <v>337</v>
      </c>
      <c r="D605" s="15">
        <v>2000</v>
      </c>
      <c r="E605" s="16">
        <v>1560000</v>
      </c>
      <c r="F605" s="15">
        <v>2.1</v>
      </c>
      <c r="G605" s="15">
        <v>2.2999999999999998</v>
      </c>
      <c r="H605" s="15" t="s">
        <v>340</v>
      </c>
      <c r="I605" s="249">
        <f t="shared" si="27"/>
        <v>1</v>
      </c>
      <c r="J605" s="143">
        <v>10000</v>
      </c>
      <c r="K605" s="249" t="s">
        <v>2379</v>
      </c>
      <c r="M605" s="249">
        <f t="shared" si="28"/>
        <v>15</v>
      </c>
      <c r="N605" s="249">
        <f t="shared" si="29"/>
        <v>14</v>
      </c>
      <c r="O605" s="15" t="s">
        <v>328</v>
      </c>
      <c r="P605" s="15"/>
      <c r="Q605" s="15"/>
      <c r="S605" s="15"/>
      <c r="T605" s="15"/>
      <c r="U605" s="15"/>
      <c r="V605" s="15"/>
      <c r="W605" s="15" t="s">
        <v>328</v>
      </c>
      <c r="X605" s="15"/>
      <c r="Z605" s="127">
        <v>0.2</v>
      </c>
      <c r="AA605" s="249">
        <v>26</v>
      </c>
      <c r="AB605" s="250">
        <v>15000</v>
      </c>
      <c r="AC605" s="250">
        <v>25000</v>
      </c>
      <c r="AD605" s="250">
        <v>30000</v>
      </c>
      <c r="AE605" s="250">
        <v>120000</v>
      </c>
      <c r="AF605" s="250">
        <v>25000</v>
      </c>
    </row>
    <row r="606" spans="2:32" x14ac:dyDescent="0.25">
      <c r="B606" s="63" t="s">
        <v>1356</v>
      </c>
      <c r="C606" s="15" t="s">
        <v>337</v>
      </c>
      <c r="D606" s="15">
        <v>2000</v>
      </c>
      <c r="E606" s="16">
        <v>1560000</v>
      </c>
      <c r="F606" s="15">
        <v>2.1</v>
      </c>
      <c r="G606" s="15">
        <v>2.2999999999999998</v>
      </c>
      <c r="H606" s="15" t="s">
        <v>340</v>
      </c>
      <c r="I606" s="249">
        <f t="shared" si="27"/>
        <v>1</v>
      </c>
      <c r="J606" s="143">
        <v>10000</v>
      </c>
      <c r="K606" s="249" t="s">
        <v>2379</v>
      </c>
      <c r="M606" s="249">
        <f t="shared" si="28"/>
        <v>15</v>
      </c>
      <c r="N606" s="249">
        <f t="shared" si="29"/>
        <v>14</v>
      </c>
      <c r="O606" s="15" t="s">
        <v>328</v>
      </c>
      <c r="P606" s="15"/>
      <c r="Q606" s="15"/>
      <c r="S606" s="15"/>
      <c r="T606" s="15"/>
      <c r="U606" s="15"/>
      <c r="V606" s="15"/>
      <c r="W606" s="15" t="s">
        <v>328</v>
      </c>
      <c r="X606" s="15"/>
      <c r="Z606" s="127">
        <v>0.2</v>
      </c>
      <c r="AA606" s="249">
        <v>26</v>
      </c>
      <c r="AB606" s="250">
        <v>15000</v>
      </c>
      <c r="AC606" s="250">
        <v>25000</v>
      </c>
      <c r="AD606" s="250">
        <v>30000</v>
      </c>
      <c r="AE606" s="250">
        <v>120000</v>
      </c>
      <c r="AF606" s="250">
        <v>25000</v>
      </c>
    </row>
    <row r="607" spans="2:32" x14ac:dyDescent="0.25">
      <c r="B607" s="63" t="s">
        <v>1356</v>
      </c>
      <c r="C607" s="15" t="s">
        <v>337</v>
      </c>
      <c r="D607" s="15">
        <v>2000</v>
      </c>
      <c r="E607" s="16">
        <v>1560000</v>
      </c>
      <c r="F607" s="15">
        <v>2.1</v>
      </c>
      <c r="G607" s="15">
        <v>2.2999999999999998</v>
      </c>
      <c r="H607" s="15" t="s">
        <v>340</v>
      </c>
      <c r="I607" s="249">
        <f t="shared" si="27"/>
        <v>1</v>
      </c>
      <c r="J607" s="143">
        <v>10000</v>
      </c>
      <c r="K607" s="249" t="s">
        <v>2379</v>
      </c>
      <c r="M607" s="249">
        <f t="shared" si="28"/>
        <v>15</v>
      </c>
      <c r="N607" s="249">
        <f t="shared" si="29"/>
        <v>14</v>
      </c>
      <c r="O607" s="15" t="s">
        <v>328</v>
      </c>
      <c r="P607" s="15"/>
      <c r="Q607" s="15"/>
      <c r="S607" s="15"/>
      <c r="T607" s="15"/>
      <c r="U607" s="15"/>
      <c r="V607" s="15"/>
      <c r="W607" s="15" t="s">
        <v>328</v>
      </c>
      <c r="X607" s="15"/>
      <c r="Z607" s="127">
        <v>0.2</v>
      </c>
      <c r="AA607" s="249">
        <v>26</v>
      </c>
      <c r="AB607" s="250">
        <v>15000</v>
      </c>
      <c r="AC607" s="250">
        <v>25000</v>
      </c>
      <c r="AD607" s="250">
        <v>30000</v>
      </c>
      <c r="AE607" s="250">
        <v>120000</v>
      </c>
      <c r="AF607" s="250">
        <v>25000</v>
      </c>
    </row>
    <row r="608" spans="2:32" x14ac:dyDescent="0.25">
      <c r="B608" s="63" t="s">
        <v>1356</v>
      </c>
      <c r="C608" s="15" t="s">
        <v>337</v>
      </c>
      <c r="D608" s="15">
        <v>2000</v>
      </c>
      <c r="E608" s="16">
        <v>1560000</v>
      </c>
      <c r="F608" s="15">
        <v>2.1</v>
      </c>
      <c r="G608" s="15">
        <v>2.2999999999999998</v>
      </c>
      <c r="H608" s="15" t="s">
        <v>340</v>
      </c>
      <c r="I608" s="249">
        <f t="shared" si="27"/>
        <v>1</v>
      </c>
      <c r="J608" s="143">
        <v>10000</v>
      </c>
      <c r="K608" s="249" t="s">
        <v>2379</v>
      </c>
      <c r="M608" s="249">
        <f t="shared" si="28"/>
        <v>15</v>
      </c>
      <c r="N608" s="249">
        <f t="shared" si="29"/>
        <v>14</v>
      </c>
      <c r="O608" s="15" t="s">
        <v>328</v>
      </c>
      <c r="P608" s="15"/>
      <c r="Q608" s="15"/>
      <c r="S608" s="15"/>
      <c r="T608" s="15"/>
      <c r="U608" s="15"/>
      <c r="V608" s="15"/>
      <c r="W608" s="15" t="s">
        <v>328</v>
      </c>
      <c r="X608" s="15"/>
      <c r="Z608" s="127">
        <v>0.2</v>
      </c>
      <c r="AA608" s="249">
        <v>26</v>
      </c>
      <c r="AB608" s="250">
        <v>15000</v>
      </c>
      <c r="AC608" s="250">
        <v>25000</v>
      </c>
      <c r="AD608" s="250">
        <v>30000</v>
      </c>
      <c r="AE608" s="250">
        <v>120000</v>
      </c>
      <c r="AF608" s="250">
        <v>25000</v>
      </c>
    </row>
    <row r="609" spans="2:32" x14ac:dyDescent="0.25">
      <c r="B609" s="63" t="s">
        <v>1356</v>
      </c>
      <c r="C609" s="15" t="s">
        <v>337</v>
      </c>
      <c r="D609" s="15">
        <v>2000</v>
      </c>
      <c r="E609" s="16">
        <v>1560000</v>
      </c>
      <c r="F609" s="15">
        <v>2.1</v>
      </c>
      <c r="G609" s="15">
        <v>2.2999999999999998</v>
      </c>
      <c r="H609" s="15" t="s">
        <v>340</v>
      </c>
      <c r="I609" s="249">
        <f t="shared" si="27"/>
        <v>1</v>
      </c>
      <c r="J609" s="143">
        <v>10000</v>
      </c>
      <c r="K609" s="249" t="s">
        <v>2379</v>
      </c>
      <c r="M609" s="249">
        <f t="shared" si="28"/>
        <v>15</v>
      </c>
      <c r="N609" s="249">
        <f t="shared" si="29"/>
        <v>14</v>
      </c>
      <c r="O609" s="15" t="s">
        <v>328</v>
      </c>
      <c r="P609" s="15"/>
      <c r="Q609" s="15"/>
      <c r="S609" s="15"/>
      <c r="T609" s="15"/>
      <c r="U609" s="15"/>
      <c r="V609" s="15"/>
      <c r="W609" s="15" t="s">
        <v>328</v>
      </c>
      <c r="X609" s="15"/>
      <c r="Z609" s="127">
        <v>0.2</v>
      </c>
      <c r="AA609" s="249">
        <v>26</v>
      </c>
      <c r="AB609" s="250">
        <v>15000</v>
      </c>
      <c r="AC609" s="250">
        <v>25000</v>
      </c>
      <c r="AD609" s="250">
        <v>30000</v>
      </c>
      <c r="AE609" s="250">
        <v>120000</v>
      </c>
      <c r="AF609" s="250">
        <v>25000</v>
      </c>
    </row>
    <row r="610" spans="2:32" x14ac:dyDescent="0.25">
      <c r="B610" s="63" t="s">
        <v>1356</v>
      </c>
      <c r="C610" s="15" t="s">
        <v>337</v>
      </c>
      <c r="D610" s="15">
        <v>2000</v>
      </c>
      <c r="E610" s="16">
        <v>1560000</v>
      </c>
      <c r="F610" s="15">
        <v>2.1</v>
      </c>
      <c r="G610" s="15">
        <v>2.2999999999999998</v>
      </c>
      <c r="H610" s="15" t="s">
        <v>340</v>
      </c>
      <c r="I610" s="249">
        <f t="shared" si="27"/>
        <v>1</v>
      </c>
      <c r="J610" s="143">
        <v>10000</v>
      </c>
      <c r="K610" s="249" t="s">
        <v>2379</v>
      </c>
      <c r="M610" s="249">
        <f t="shared" si="28"/>
        <v>15</v>
      </c>
      <c r="N610" s="249">
        <f t="shared" si="29"/>
        <v>14</v>
      </c>
      <c r="O610" s="15" t="s">
        <v>328</v>
      </c>
      <c r="P610" s="15"/>
      <c r="Q610" s="15"/>
      <c r="S610" s="15"/>
      <c r="T610" s="15"/>
      <c r="U610" s="15"/>
      <c r="V610" s="15"/>
      <c r="W610" s="15" t="s">
        <v>328</v>
      </c>
      <c r="X610" s="15"/>
      <c r="Z610" s="127">
        <v>0.2</v>
      </c>
      <c r="AA610" s="249">
        <v>26</v>
      </c>
      <c r="AB610" s="250">
        <v>15000</v>
      </c>
      <c r="AC610" s="250">
        <v>25000</v>
      </c>
      <c r="AD610" s="250">
        <v>30000</v>
      </c>
      <c r="AE610" s="250">
        <v>120000</v>
      </c>
      <c r="AF610" s="250">
        <v>25000</v>
      </c>
    </row>
    <row r="611" spans="2:32" x14ac:dyDescent="0.25">
      <c r="B611" s="63" t="s">
        <v>1356</v>
      </c>
      <c r="C611" s="15" t="s">
        <v>337</v>
      </c>
      <c r="D611" s="15">
        <v>2000</v>
      </c>
      <c r="E611" s="16">
        <v>1560000</v>
      </c>
      <c r="F611" s="15">
        <v>2.1</v>
      </c>
      <c r="G611" s="15">
        <v>2.2999999999999998</v>
      </c>
      <c r="H611" s="15" t="s">
        <v>340</v>
      </c>
      <c r="I611" s="249">
        <f t="shared" si="27"/>
        <v>1</v>
      </c>
      <c r="J611" s="143">
        <v>10000</v>
      </c>
      <c r="K611" s="249" t="s">
        <v>2379</v>
      </c>
      <c r="M611" s="249">
        <f t="shared" si="28"/>
        <v>15</v>
      </c>
      <c r="N611" s="249">
        <f t="shared" si="29"/>
        <v>14</v>
      </c>
      <c r="O611" s="15" t="s">
        <v>328</v>
      </c>
      <c r="P611" s="15"/>
      <c r="Q611" s="15"/>
      <c r="S611" s="15"/>
      <c r="T611" s="15" t="s">
        <v>328</v>
      </c>
      <c r="U611" s="15"/>
      <c r="V611" s="15"/>
      <c r="W611" s="15"/>
      <c r="X611" s="15"/>
      <c r="Z611" s="127">
        <v>0.2</v>
      </c>
      <c r="AA611" s="249">
        <v>26</v>
      </c>
      <c r="AB611" s="250">
        <v>15000</v>
      </c>
      <c r="AC611" s="250">
        <v>25000</v>
      </c>
      <c r="AD611" s="250">
        <v>30000</v>
      </c>
      <c r="AE611" s="250">
        <v>120000</v>
      </c>
      <c r="AF611" s="250">
        <v>25000</v>
      </c>
    </row>
    <row r="612" spans="2:32" x14ac:dyDescent="0.25">
      <c r="B612" s="63" t="s">
        <v>1356</v>
      </c>
      <c r="C612" s="15" t="s">
        <v>337</v>
      </c>
      <c r="D612" s="15">
        <v>2014</v>
      </c>
      <c r="E612" s="16">
        <v>120000</v>
      </c>
      <c r="F612" s="15">
        <v>2.1</v>
      </c>
      <c r="G612" s="15">
        <v>2.2999999999999998</v>
      </c>
      <c r="H612" s="15" t="s">
        <v>340</v>
      </c>
      <c r="I612" s="249">
        <f t="shared" si="27"/>
        <v>1</v>
      </c>
      <c r="J612" s="143">
        <v>10000</v>
      </c>
      <c r="K612" s="249" t="s">
        <v>2379</v>
      </c>
      <c r="M612" s="249">
        <f t="shared" si="28"/>
        <v>1</v>
      </c>
      <c r="N612" s="249">
        <f t="shared" si="29"/>
        <v>0</v>
      </c>
      <c r="O612" s="15" t="s">
        <v>328</v>
      </c>
      <c r="P612" s="15"/>
      <c r="Q612" s="15"/>
      <c r="S612" s="15"/>
      <c r="T612" s="15" t="s">
        <v>328</v>
      </c>
      <c r="U612" s="15"/>
      <c r="V612" s="15"/>
      <c r="W612" s="15"/>
      <c r="X612" s="15"/>
      <c r="Z612" s="127">
        <v>0.2</v>
      </c>
      <c r="AA612" s="249">
        <v>26</v>
      </c>
      <c r="AB612" s="250">
        <v>15000</v>
      </c>
      <c r="AC612" s="250">
        <v>25000</v>
      </c>
      <c r="AD612" s="250">
        <v>30000</v>
      </c>
      <c r="AE612" s="250">
        <v>120000</v>
      </c>
      <c r="AF612" s="250">
        <v>25000</v>
      </c>
    </row>
    <row r="613" spans="2:32" x14ac:dyDescent="0.25">
      <c r="B613" s="63" t="s">
        <v>1356</v>
      </c>
      <c r="C613" s="15" t="s">
        <v>337</v>
      </c>
      <c r="D613" s="15">
        <v>2014</v>
      </c>
      <c r="E613" s="16">
        <v>120000</v>
      </c>
      <c r="F613" s="15">
        <v>2.2000000000000002</v>
      </c>
      <c r="G613" s="15">
        <v>2.2999999999999998</v>
      </c>
      <c r="H613" s="15" t="s">
        <v>340</v>
      </c>
      <c r="I613" s="249">
        <f t="shared" si="27"/>
        <v>1</v>
      </c>
      <c r="J613" s="143">
        <v>10000</v>
      </c>
      <c r="K613" s="249" t="s">
        <v>2379</v>
      </c>
      <c r="M613" s="249">
        <f t="shared" si="28"/>
        <v>1</v>
      </c>
      <c r="N613" s="249">
        <f t="shared" si="29"/>
        <v>0</v>
      </c>
      <c r="O613" s="15" t="s">
        <v>328</v>
      </c>
      <c r="P613" s="15"/>
      <c r="Q613" s="15"/>
      <c r="S613" s="15"/>
      <c r="T613" s="15" t="s">
        <v>328</v>
      </c>
      <c r="U613" s="15"/>
      <c r="V613" s="15"/>
      <c r="W613" s="15"/>
      <c r="X613" s="15"/>
      <c r="Z613" s="127">
        <v>0.2</v>
      </c>
      <c r="AA613" s="249">
        <v>26</v>
      </c>
      <c r="AB613" s="250">
        <v>15000</v>
      </c>
      <c r="AC613" s="250">
        <v>25000</v>
      </c>
      <c r="AD613" s="250">
        <v>30000</v>
      </c>
      <c r="AE613" s="250">
        <v>120000</v>
      </c>
      <c r="AF613" s="250">
        <v>25000</v>
      </c>
    </row>
    <row r="614" spans="2:32" x14ac:dyDescent="0.25">
      <c r="B614" s="63" t="s">
        <v>1356</v>
      </c>
      <c r="C614" s="15" t="s">
        <v>337</v>
      </c>
      <c r="D614" s="15">
        <v>2014</v>
      </c>
      <c r="E614" s="16">
        <v>120000</v>
      </c>
      <c r="F614" s="15">
        <v>2.2000000000000002</v>
      </c>
      <c r="G614" s="15">
        <v>2.2999999999999998</v>
      </c>
      <c r="H614" s="15" t="s">
        <v>340</v>
      </c>
      <c r="I614" s="249">
        <f t="shared" si="27"/>
        <v>1</v>
      </c>
      <c r="J614" s="143">
        <v>10000</v>
      </c>
      <c r="K614" s="249" t="s">
        <v>2379</v>
      </c>
      <c r="M614" s="249">
        <f t="shared" si="28"/>
        <v>1</v>
      </c>
      <c r="N614" s="249">
        <f t="shared" si="29"/>
        <v>0</v>
      </c>
      <c r="O614" s="15" t="s">
        <v>328</v>
      </c>
      <c r="P614" s="15"/>
      <c r="Q614" s="15"/>
      <c r="S614" s="15"/>
      <c r="T614" s="15" t="s">
        <v>328</v>
      </c>
      <c r="U614" s="15"/>
      <c r="V614" s="15"/>
      <c r="W614" s="15"/>
      <c r="X614" s="15"/>
      <c r="Z614" s="127">
        <v>0.2</v>
      </c>
      <c r="AA614" s="249">
        <v>26</v>
      </c>
      <c r="AB614" s="250">
        <v>15000</v>
      </c>
      <c r="AC614" s="250">
        <v>25000</v>
      </c>
      <c r="AD614" s="250">
        <v>30000</v>
      </c>
      <c r="AE614" s="250">
        <v>120000</v>
      </c>
      <c r="AF614" s="250">
        <v>25000</v>
      </c>
    </row>
    <row r="615" spans="2:32" x14ac:dyDescent="0.25">
      <c r="B615" s="63" t="s">
        <v>1356</v>
      </c>
      <c r="C615" s="15" t="s">
        <v>337</v>
      </c>
      <c r="D615" s="15">
        <v>2014</v>
      </c>
      <c r="E615" s="16">
        <v>120000</v>
      </c>
      <c r="F615" s="15">
        <v>2.2000000000000002</v>
      </c>
      <c r="G615" s="15">
        <v>2.2999999999999998</v>
      </c>
      <c r="H615" s="15" t="s">
        <v>340</v>
      </c>
      <c r="I615" s="249">
        <f t="shared" si="27"/>
        <v>1</v>
      </c>
      <c r="J615" s="143">
        <v>10000</v>
      </c>
      <c r="K615" s="249" t="s">
        <v>2379</v>
      </c>
      <c r="M615" s="249">
        <f t="shared" si="28"/>
        <v>1</v>
      </c>
      <c r="N615" s="249">
        <f t="shared" si="29"/>
        <v>0</v>
      </c>
      <c r="O615" s="15" t="s">
        <v>328</v>
      </c>
      <c r="P615" s="15"/>
      <c r="Q615" s="15"/>
      <c r="S615" s="15"/>
      <c r="T615" s="15" t="s">
        <v>328</v>
      </c>
      <c r="U615" s="15"/>
      <c r="V615" s="15"/>
      <c r="W615" s="15"/>
      <c r="X615" s="15"/>
      <c r="Z615" s="127">
        <v>0.2</v>
      </c>
      <c r="AA615" s="249">
        <v>26</v>
      </c>
      <c r="AB615" s="250">
        <v>15000</v>
      </c>
      <c r="AC615" s="250">
        <v>25000</v>
      </c>
      <c r="AD615" s="250">
        <v>30000</v>
      </c>
      <c r="AE615" s="250">
        <v>120000</v>
      </c>
      <c r="AF615" s="250">
        <v>25000</v>
      </c>
    </row>
    <row r="616" spans="2:32" x14ac:dyDescent="0.25">
      <c r="B616" s="63" t="s">
        <v>1356</v>
      </c>
      <c r="C616" s="15" t="s">
        <v>337</v>
      </c>
      <c r="D616" s="15">
        <v>2014</v>
      </c>
      <c r="E616" s="16">
        <v>120000</v>
      </c>
      <c r="F616" s="15">
        <v>2.2000000000000002</v>
      </c>
      <c r="G616" s="15">
        <v>2.2999999999999998</v>
      </c>
      <c r="H616" s="15" t="s">
        <v>340</v>
      </c>
      <c r="I616" s="249">
        <f t="shared" si="27"/>
        <v>1</v>
      </c>
      <c r="J616" s="143">
        <v>10000</v>
      </c>
      <c r="K616" s="249" t="s">
        <v>2379</v>
      </c>
      <c r="M616" s="249">
        <f t="shared" si="28"/>
        <v>1</v>
      </c>
      <c r="N616" s="249">
        <f t="shared" si="29"/>
        <v>0</v>
      </c>
      <c r="O616" s="15" t="s">
        <v>328</v>
      </c>
      <c r="P616" s="15"/>
      <c r="Q616" s="15"/>
      <c r="S616" s="15"/>
      <c r="T616" s="15" t="s">
        <v>328</v>
      </c>
      <c r="U616" s="15"/>
      <c r="V616" s="15"/>
      <c r="W616" s="15"/>
      <c r="X616" s="15"/>
      <c r="Z616" s="127">
        <v>0.2</v>
      </c>
      <c r="AA616" s="249">
        <v>26</v>
      </c>
      <c r="AB616" s="250">
        <v>15000</v>
      </c>
      <c r="AC616" s="250">
        <v>25000</v>
      </c>
      <c r="AD616" s="250">
        <v>30000</v>
      </c>
      <c r="AE616" s="250">
        <v>120000</v>
      </c>
      <c r="AF616" s="250">
        <v>25000</v>
      </c>
    </row>
    <row r="617" spans="2:32" x14ac:dyDescent="0.25">
      <c r="B617" s="63" t="s">
        <v>1356</v>
      </c>
      <c r="C617" s="15" t="s">
        <v>337</v>
      </c>
      <c r="D617" s="15">
        <v>2014</v>
      </c>
      <c r="E617" s="16">
        <v>120000</v>
      </c>
      <c r="F617" s="15">
        <v>2.2000000000000002</v>
      </c>
      <c r="G617" s="15">
        <v>2.2999999999999998</v>
      </c>
      <c r="H617" s="15" t="s">
        <v>340</v>
      </c>
      <c r="I617" s="249">
        <f t="shared" si="27"/>
        <v>1</v>
      </c>
      <c r="J617" s="143">
        <v>10000</v>
      </c>
      <c r="K617" s="249" t="s">
        <v>2379</v>
      </c>
      <c r="M617" s="249">
        <f t="shared" si="28"/>
        <v>1</v>
      </c>
      <c r="N617" s="249">
        <f t="shared" si="29"/>
        <v>0</v>
      </c>
      <c r="O617" s="15" t="s">
        <v>328</v>
      </c>
      <c r="P617" s="15"/>
      <c r="Q617" s="15"/>
      <c r="S617" s="15"/>
      <c r="T617" s="15" t="s">
        <v>328</v>
      </c>
      <c r="U617" s="15"/>
      <c r="V617" s="15"/>
      <c r="W617" s="15"/>
      <c r="X617" s="15"/>
      <c r="Z617" s="127">
        <v>0.2</v>
      </c>
      <c r="AA617" s="249">
        <v>26</v>
      </c>
      <c r="AB617" s="250">
        <v>15000</v>
      </c>
      <c r="AC617" s="250">
        <v>25000</v>
      </c>
      <c r="AD617" s="250">
        <v>30000</v>
      </c>
      <c r="AE617" s="250">
        <v>120000</v>
      </c>
      <c r="AF617" s="250">
        <v>25000</v>
      </c>
    </row>
    <row r="618" spans="2:32" x14ac:dyDescent="0.25">
      <c r="B618" s="63" t="s">
        <v>1356</v>
      </c>
      <c r="C618" s="15" t="s">
        <v>337</v>
      </c>
      <c r="D618" s="15">
        <v>2014</v>
      </c>
      <c r="E618" s="16">
        <v>120000</v>
      </c>
      <c r="F618" s="15">
        <v>2.2000000000000002</v>
      </c>
      <c r="G618" s="15">
        <v>2.2999999999999998</v>
      </c>
      <c r="H618" s="15" t="s">
        <v>340</v>
      </c>
      <c r="I618" s="249">
        <f t="shared" si="27"/>
        <v>1</v>
      </c>
      <c r="J618" s="143">
        <v>10000</v>
      </c>
      <c r="K618" s="249" t="s">
        <v>2379</v>
      </c>
      <c r="M618" s="249">
        <f t="shared" si="28"/>
        <v>1</v>
      </c>
      <c r="N618" s="249">
        <f t="shared" si="29"/>
        <v>0</v>
      </c>
      <c r="O618" s="15" t="s">
        <v>328</v>
      </c>
      <c r="P618" s="15"/>
      <c r="Q618" s="15"/>
      <c r="S618" s="15"/>
      <c r="T618" s="15" t="s">
        <v>328</v>
      </c>
      <c r="U618" s="15"/>
      <c r="V618" s="15"/>
      <c r="W618" s="15"/>
      <c r="X618" s="15"/>
      <c r="Z618" s="127">
        <v>0.2</v>
      </c>
      <c r="AA618" s="249">
        <v>26</v>
      </c>
      <c r="AB618" s="250">
        <v>15000</v>
      </c>
      <c r="AC618" s="250">
        <v>25000</v>
      </c>
      <c r="AD618" s="250">
        <v>30000</v>
      </c>
      <c r="AE618" s="250">
        <v>120000</v>
      </c>
      <c r="AF618" s="250">
        <v>25000</v>
      </c>
    </row>
    <row r="619" spans="2:32" x14ac:dyDescent="0.25">
      <c r="B619" s="63" t="s">
        <v>1356</v>
      </c>
      <c r="C619" s="15" t="s">
        <v>337</v>
      </c>
      <c r="D619" s="15">
        <v>2014</v>
      </c>
      <c r="E619" s="16">
        <v>120000</v>
      </c>
      <c r="F619" s="15">
        <v>2.2000000000000002</v>
      </c>
      <c r="G619" s="15">
        <v>2.2999999999999998</v>
      </c>
      <c r="H619" s="15" t="s">
        <v>340</v>
      </c>
      <c r="I619" s="249">
        <f t="shared" si="27"/>
        <v>1</v>
      </c>
      <c r="J619" s="143">
        <v>10000</v>
      </c>
      <c r="K619" s="249" t="s">
        <v>2379</v>
      </c>
      <c r="M619" s="249">
        <f t="shared" si="28"/>
        <v>1</v>
      </c>
      <c r="N619" s="249">
        <f t="shared" si="29"/>
        <v>0</v>
      </c>
      <c r="O619" s="15" t="s">
        <v>328</v>
      </c>
      <c r="P619" s="15"/>
      <c r="Q619" s="15"/>
      <c r="S619" s="15"/>
      <c r="T619" s="15" t="s">
        <v>328</v>
      </c>
      <c r="U619" s="15"/>
      <c r="V619" s="15"/>
      <c r="W619" s="15"/>
      <c r="X619" s="15"/>
      <c r="Z619" s="127">
        <v>0.2</v>
      </c>
      <c r="AA619" s="249">
        <v>26</v>
      </c>
      <c r="AB619" s="250">
        <v>15000</v>
      </c>
      <c r="AC619" s="250">
        <v>25000</v>
      </c>
      <c r="AD619" s="250">
        <v>30000</v>
      </c>
      <c r="AE619" s="250">
        <v>120000</v>
      </c>
      <c r="AF619" s="250">
        <v>25000</v>
      </c>
    </row>
    <row r="620" spans="2:32" x14ac:dyDescent="0.25">
      <c r="B620" s="63" t="s">
        <v>1356</v>
      </c>
      <c r="C620" s="15" t="s">
        <v>337</v>
      </c>
      <c r="D620" s="15">
        <v>2014</v>
      </c>
      <c r="E620" s="16">
        <v>120000</v>
      </c>
      <c r="F620" s="15">
        <v>2.2000000000000002</v>
      </c>
      <c r="G620" s="15">
        <v>2.2999999999999998</v>
      </c>
      <c r="H620" s="15" t="s">
        <v>340</v>
      </c>
      <c r="I620" s="249">
        <f t="shared" si="27"/>
        <v>1</v>
      </c>
      <c r="J620" s="143">
        <v>10000</v>
      </c>
      <c r="K620" s="249" t="s">
        <v>2379</v>
      </c>
      <c r="M620" s="249">
        <f t="shared" si="28"/>
        <v>1</v>
      </c>
      <c r="N620" s="249">
        <f t="shared" si="29"/>
        <v>0</v>
      </c>
      <c r="O620" s="15" t="s">
        <v>328</v>
      </c>
      <c r="P620" s="15"/>
      <c r="Q620" s="15"/>
      <c r="S620" s="15"/>
      <c r="T620" s="15" t="s">
        <v>328</v>
      </c>
      <c r="U620" s="15"/>
      <c r="V620" s="15"/>
      <c r="W620" s="15"/>
      <c r="X620" s="15"/>
      <c r="Z620" s="127">
        <v>0.2</v>
      </c>
      <c r="AA620" s="249">
        <v>26</v>
      </c>
      <c r="AB620" s="250">
        <v>15000</v>
      </c>
      <c r="AC620" s="250">
        <v>25000</v>
      </c>
      <c r="AD620" s="250">
        <v>30000</v>
      </c>
      <c r="AE620" s="250">
        <v>120000</v>
      </c>
      <c r="AF620" s="250">
        <v>25000</v>
      </c>
    </row>
    <row r="621" spans="2:32" x14ac:dyDescent="0.25">
      <c r="B621" s="63" t="s">
        <v>1356</v>
      </c>
      <c r="C621" s="15" t="s">
        <v>337</v>
      </c>
      <c r="D621" s="15">
        <v>2014</v>
      </c>
      <c r="E621" s="16">
        <v>120000</v>
      </c>
      <c r="F621" s="15">
        <v>2.2000000000000002</v>
      </c>
      <c r="G621" s="15">
        <v>2.2999999999999998</v>
      </c>
      <c r="H621" s="15" t="s">
        <v>340</v>
      </c>
      <c r="I621" s="249">
        <f t="shared" si="27"/>
        <v>1</v>
      </c>
      <c r="J621" s="143">
        <v>10000</v>
      </c>
      <c r="K621" s="249" t="s">
        <v>2379</v>
      </c>
      <c r="M621" s="249">
        <f t="shared" si="28"/>
        <v>1</v>
      </c>
      <c r="N621" s="249">
        <f t="shared" si="29"/>
        <v>0</v>
      </c>
      <c r="O621" s="15" t="s">
        <v>328</v>
      </c>
      <c r="P621" s="15"/>
      <c r="Q621" s="15"/>
      <c r="S621" s="15"/>
      <c r="T621" s="15" t="s">
        <v>328</v>
      </c>
      <c r="U621" s="15"/>
      <c r="V621" s="15"/>
      <c r="W621" s="15"/>
      <c r="X621" s="15"/>
      <c r="Z621" s="127">
        <v>0.2</v>
      </c>
      <c r="AA621" s="249">
        <v>26</v>
      </c>
      <c r="AB621" s="250">
        <v>15000</v>
      </c>
      <c r="AC621" s="250">
        <v>25000</v>
      </c>
      <c r="AD621" s="250">
        <v>30000</v>
      </c>
      <c r="AE621" s="250">
        <v>120000</v>
      </c>
      <c r="AF621" s="250">
        <v>25000</v>
      </c>
    </row>
    <row r="622" spans="2:32" x14ac:dyDescent="0.25">
      <c r="B622" s="63" t="s">
        <v>1356</v>
      </c>
      <c r="C622" s="15" t="s">
        <v>337</v>
      </c>
      <c r="D622" s="15">
        <v>2014</v>
      </c>
      <c r="E622" s="16">
        <v>120000</v>
      </c>
      <c r="F622" s="15">
        <v>2.2000000000000002</v>
      </c>
      <c r="G622" s="15">
        <v>2.2999999999999998</v>
      </c>
      <c r="H622" s="15" t="s">
        <v>340</v>
      </c>
      <c r="I622" s="249">
        <f t="shared" si="27"/>
        <v>1</v>
      </c>
      <c r="J622" s="143">
        <v>10000</v>
      </c>
      <c r="K622" s="249" t="s">
        <v>2379</v>
      </c>
      <c r="M622" s="249">
        <f t="shared" si="28"/>
        <v>1</v>
      </c>
      <c r="N622" s="249">
        <f t="shared" si="29"/>
        <v>0</v>
      </c>
      <c r="O622" s="15" t="s">
        <v>328</v>
      </c>
      <c r="P622" s="15"/>
      <c r="Q622" s="15"/>
      <c r="S622" s="15"/>
      <c r="T622" s="15" t="s">
        <v>328</v>
      </c>
      <c r="U622" s="15"/>
      <c r="V622" s="15"/>
      <c r="W622" s="15"/>
      <c r="X622" s="15"/>
      <c r="Z622" s="127">
        <v>0.2</v>
      </c>
      <c r="AA622" s="249">
        <v>26</v>
      </c>
      <c r="AB622" s="250">
        <v>15000</v>
      </c>
      <c r="AC622" s="250">
        <v>25000</v>
      </c>
      <c r="AD622" s="250">
        <v>30000</v>
      </c>
      <c r="AE622" s="250">
        <v>120000</v>
      </c>
      <c r="AF622" s="250">
        <v>25000</v>
      </c>
    </row>
    <row r="623" spans="2:32" x14ac:dyDescent="0.25">
      <c r="B623" s="63" t="s">
        <v>1356</v>
      </c>
      <c r="C623" s="15" t="s">
        <v>337</v>
      </c>
      <c r="D623" s="15">
        <v>2014</v>
      </c>
      <c r="E623" s="16">
        <v>120000</v>
      </c>
      <c r="F623" s="15">
        <v>2.2000000000000002</v>
      </c>
      <c r="G623" s="15">
        <v>2.2999999999999998</v>
      </c>
      <c r="H623" s="15" t="s">
        <v>340</v>
      </c>
      <c r="I623" s="249">
        <f t="shared" si="27"/>
        <v>1</v>
      </c>
      <c r="J623" s="143">
        <v>10000</v>
      </c>
      <c r="K623" s="249" t="s">
        <v>2379</v>
      </c>
      <c r="M623" s="249">
        <f t="shared" si="28"/>
        <v>1</v>
      </c>
      <c r="N623" s="249">
        <f t="shared" si="29"/>
        <v>0</v>
      </c>
      <c r="O623" s="15" t="s">
        <v>328</v>
      </c>
      <c r="P623" s="15"/>
      <c r="Q623" s="15"/>
      <c r="S623" s="15"/>
      <c r="T623" s="15" t="s">
        <v>328</v>
      </c>
      <c r="U623" s="15"/>
      <c r="V623" s="15"/>
      <c r="W623" s="15"/>
      <c r="X623" s="15"/>
      <c r="Z623" s="127">
        <v>0.2</v>
      </c>
      <c r="AA623" s="249">
        <v>26</v>
      </c>
      <c r="AB623" s="250">
        <v>15000</v>
      </c>
      <c r="AC623" s="250">
        <v>25000</v>
      </c>
      <c r="AD623" s="250">
        <v>30000</v>
      </c>
      <c r="AE623" s="250">
        <v>120000</v>
      </c>
      <c r="AF623" s="250">
        <v>25000</v>
      </c>
    </row>
    <row r="624" spans="2:32" x14ac:dyDescent="0.25">
      <c r="B624" s="63" t="s">
        <v>1356</v>
      </c>
      <c r="C624" s="15" t="s">
        <v>337</v>
      </c>
      <c r="D624" s="15">
        <v>2014</v>
      </c>
      <c r="E624" s="16">
        <v>120000</v>
      </c>
      <c r="F624" s="15">
        <v>2.2000000000000002</v>
      </c>
      <c r="G624" s="15">
        <v>2.2999999999999998</v>
      </c>
      <c r="H624" s="15" t="s">
        <v>340</v>
      </c>
      <c r="I624" s="249">
        <f t="shared" si="27"/>
        <v>1</v>
      </c>
      <c r="J624" s="143">
        <v>10000</v>
      </c>
      <c r="K624" s="249" t="s">
        <v>2379</v>
      </c>
      <c r="M624" s="249">
        <f t="shared" si="28"/>
        <v>1</v>
      </c>
      <c r="N624" s="249">
        <f t="shared" si="29"/>
        <v>0</v>
      </c>
      <c r="O624" s="15" t="s">
        <v>328</v>
      </c>
      <c r="P624" s="15"/>
      <c r="Q624" s="15"/>
      <c r="S624" s="15"/>
      <c r="T624" s="15" t="s">
        <v>328</v>
      </c>
      <c r="U624" s="15"/>
      <c r="V624" s="15"/>
      <c r="W624" s="15"/>
      <c r="X624" s="15"/>
      <c r="Z624" s="127">
        <v>0.2</v>
      </c>
      <c r="AA624" s="249">
        <v>26</v>
      </c>
      <c r="AB624" s="250">
        <v>15000</v>
      </c>
      <c r="AC624" s="250">
        <v>25000</v>
      </c>
      <c r="AD624" s="250">
        <v>30000</v>
      </c>
      <c r="AE624" s="250">
        <v>120000</v>
      </c>
      <c r="AF624" s="250">
        <v>25000</v>
      </c>
    </row>
    <row r="625" spans="2:32" x14ac:dyDescent="0.25">
      <c r="B625" s="63" t="s">
        <v>1357</v>
      </c>
      <c r="C625" s="15" t="s">
        <v>337</v>
      </c>
      <c r="D625" s="15">
        <v>1978</v>
      </c>
      <c r="E625" s="16">
        <v>1200000</v>
      </c>
      <c r="F625" s="15">
        <v>1.8</v>
      </c>
      <c r="G625" s="15">
        <v>2.1</v>
      </c>
      <c r="H625" s="15" t="s">
        <v>340</v>
      </c>
      <c r="I625" s="249">
        <f t="shared" si="27"/>
        <v>1</v>
      </c>
      <c r="J625" s="143">
        <v>2000</v>
      </c>
      <c r="K625" s="249" t="s">
        <v>2378</v>
      </c>
      <c r="M625" s="249">
        <f t="shared" si="28"/>
        <v>37</v>
      </c>
      <c r="N625" s="249">
        <f t="shared" si="29"/>
        <v>36</v>
      </c>
      <c r="O625" s="15"/>
      <c r="P625" s="15"/>
      <c r="Q625" s="15" t="s">
        <v>328</v>
      </c>
      <c r="S625" s="15" t="s">
        <v>328</v>
      </c>
      <c r="T625" s="15"/>
      <c r="U625" s="15"/>
      <c r="V625" s="15"/>
      <c r="W625" s="15"/>
      <c r="X625" s="15"/>
      <c r="Z625" s="127">
        <v>0.5</v>
      </c>
      <c r="AA625" s="249">
        <v>4</v>
      </c>
      <c r="AB625" s="250">
        <v>20000</v>
      </c>
      <c r="AC625" s="250">
        <v>20000</v>
      </c>
      <c r="AD625" s="250">
        <v>20000</v>
      </c>
      <c r="AE625" s="250">
        <v>130000</v>
      </c>
      <c r="AF625" s="250">
        <v>20000</v>
      </c>
    </row>
    <row r="626" spans="2:32" x14ac:dyDescent="0.25">
      <c r="B626" s="63" t="s">
        <v>1357</v>
      </c>
      <c r="C626" s="15" t="s">
        <v>337</v>
      </c>
      <c r="D626" s="15">
        <v>1997</v>
      </c>
      <c r="E626" s="16">
        <v>768000</v>
      </c>
      <c r="F626" s="15">
        <v>2.2000000000000002</v>
      </c>
      <c r="G626" s="15">
        <v>2.8</v>
      </c>
      <c r="H626" s="15" t="s">
        <v>340</v>
      </c>
      <c r="I626" s="249">
        <f t="shared" si="27"/>
        <v>1</v>
      </c>
      <c r="J626" s="143">
        <v>4000</v>
      </c>
      <c r="K626" s="249" t="s">
        <v>2378</v>
      </c>
      <c r="M626" s="249">
        <f t="shared" si="28"/>
        <v>18</v>
      </c>
      <c r="N626" s="249">
        <f t="shared" si="29"/>
        <v>17</v>
      </c>
      <c r="O626" s="15"/>
      <c r="P626" s="15" t="s">
        <v>328</v>
      </c>
      <c r="Q626" s="15"/>
      <c r="S626" s="15"/>
      <c r="T626" s="15" t="s">
        <v>328</v>
      </c>
      <c r="U626" s="15"/>
      <c r="V626" s="15"/>
      <c r="W626" s="15"/>
      <c r="X626" s="15"/>
      <c r="Z626" s="127">
        <v>0.5</v>
      </c>
      <c r="AA626" s="249">
        <v>4</v>
      </c>
      <c r="AB626" s="250">
        <v>20000</v>
      </c>
      <c r="AC626" s="250">
        <v>20000</v>
      </c>
      <c r="AD626" s="250">
        <v>20000</v>
      </c>
      <c r="AE626" s="250">
        <v>130000</v>
      </c>
      <c r="AF626" s="250">
        <v>20000</v>
      </c>
    </row>
    <row r="627" spans="2:32" x14ac:dyDescent="0.25">
      <c r="B627" s="63" t="s">
        <v>1357</v>
      </c>
      <c r="C627" s="15" t="s">
        <v>337</v>
      </c>
      <c r="D627" s="15">
        <v>1999</v>
      </c>
      <c r="E627" s="16">
        <v>537600</v>
      </c>
      <c r="F627" s="15">
        <v>2</v>
      </c>
      <c r="G627" s="15">
        <v>2.2999999999999998</v>
      </c>
      <c r="H627" s="15" t="s">
        <v>340</v>
      </c>
      <c r="I627" s="249">
        <f t="shared" si="27"/>
        <v>1</v>
      </c>
      <c r="J627" s="143">
        <v>3200</v>
      </c>
      <c r="K627" s="249" t="s">
        <v>2378</v>
      </c>
      <c r="M627" s="249">
        <f t="shared" si="28"/>
        <v>16</v>
      </c>
      <c r="N627" s="249">
        <f t="shared" si="29"/>
        <v>15</v>
      </c>
      <c r="O627" s="15"/>
      <c r="P627" s="15"/>
      <c r="Q627" s="15" t="s">
        <v>328</v>
      </c>
      <c r="S627" s="15"/>
      <c r="T627" s="15"/>
      <c r="U627" s="15"/>
      <c r="V627" s="15"/>
      <c r="W627" s="15" t="s">
        <v>328</v>
      </c>
      <c r="X627" s="15"/>
      <c r="Z627" s="127">
        <v>0.5</v>
      </c>
      <c r="AA627" s="249">
        <v>4</v>
      </c>
      <c r="AB627" s="250">
        <v>20000</v>
      </c>
      <c r="AC627" s="250">
        <v>20000</v>
      </c>
      <c r="AD627" s="250">
        <v>20000</v>
      </c>
      <c r="AE627" s="250">
        <v>130000</v>
      </c>
      <c r="AF627" s="250">
        <v>20000</v>
      </c>
    </row>
    <row r="628" spans="2:32" x14ac:dyDescent="0.25">
      <c r="B628" s="63" t="s">
        <v>1357</v>
      </c>
      <c r="C628" s="15" t="s">
        <v>337</v>
      </c>
      <c r="D628" s="15">
        <v>2001</v>
      </c>
      <c r="E628" s="16">
        <v>816766</v>
      </c>
      <c r="F628" s="15">
        <v>2.4</v>
      </c>
      <c r="G628" s="15">
        <v>2.7</v>
      </c>
      <c r="H628" s="15" t="s">
        <v>340</v>
      </c>
      <c r="I628" s="249">
        <f t="shared" si="27"/>
        <v>1</v>
      </c>
      <c r="J628" s="143">
        <v>7000</v>
      </c>
      <c r="K628" s="249" t="s">
        <v>2378</v>
      </c>
      <c r="M628" s="249">
        <f t="shared" si="28"/>
        <v>14</v>
      </c>
      <c r="N628" s="249">
        <f t="shared" si="29"/>
        <v>13</v>
      </c>
      <c r="O628" s="15"/>
      <c r="P628" s="15" t="s">
        <v>328</v>
      </c>
      <c r="Q628" s="15"/>
      <c r="S628" s="15"/>
      <c r="T628" s="15"/>
      <c r="U628" s="15"/>
      <c r="V628" s="15"/>
      <c r="W628" s="15" t="s">
        <v>328</v>
      </c>
      <c r="X628" s="15"/>
      <c r="Z628" s="127">
        <v>0.2</v>
      </c>
      <c r="AA628" s="249">
        <v>4</v>
      </c>
      <c r="AB628" s="250">
        <v>20000</v>
      </c>
      <c r="AC628" s="250">
        <v>20000</v>
      </c>
      <c r="AD628" s="250">
        <v>20000</v>
      </c>
      <c r="AE628" s="250">
        <v>130000</v>
      </c>
      <c r="AF628" s="250">
        <v>20000</v>
      </c>
    </row>
    <row r="629" spans="2:32" x14ac:dyDescent="0.25">
      <c r="B629" s="65" t="s">
        <v>1358</v>
      </c>
      <c r="C629" s="15" t="s">
        <v>337</v>
      </c>
      <c r="D629" s="15">
        <v>1997</v>
      </c>
      <c r="E629" s="16">
        <v>1440000</v>
      </c>
      <c r="F629" s="15">
        <v>2</v>
      </c>
      <c r="G629" s="15">
        <v>2.2000000000000002</v>
      </c>
      <c r="H629" s="15" t="s">
        <v>340</v>
      </c>
      <c r="I629" s="249">
        <f t="shared" si="27"/>
        <v>1</v>
      </c>
      <c r="J629" s="143">
        <v>7500</v>
      </c>
      <c r="K629" s="249" t="s">
        <v>2378</v>
      </c>
      <c r="M629" s="249">
        <f t="shared" si="28"/>
        <v>18</v>
      </c>
      <c r="N629" s="249">
        <f t="shared" si="29"/>
        <v>17</v>
      </c>
      <c r="O629" s="15"/>
      <c r="P629" s="15" t="s">
        <v>328</v>
      </c>
      <c r="Q629" s="15"/>
      <c r="S629" s="15"/>
      <c r="T629" s="15" t="s">
        <v>328</v>
      </c>
      <c r="U629" s="15"/>
      <c r="V629" s="15"/>
      <c r="W629" s="15"/>
      <c r="X629" s="15"/>
      <c r="Z629" s="127">
        <v>0.3</v>
      </c>
      <c r="AA629" s="249">
        <v>5</v>
      </c>
      <c r="AB629" s="250">
        <v>15000</v>
      </c>
      <c r="AC629" s="250">
        <v>20000</v>
      </c>
      <c r="AD629" s="250">
        <v>30000</v>
      </c>
      <c r="AE629" s="250">
        <v>120000</v>
      </c>
      <c r="AF629" s="250">
        <v>30000</v>
      </c>
    </row>
    <row r="630" spans="2:32" x14ac:dyDescent="0.25">
      <c r="B630" s="65" t="s">
        <v>1358</v>
      </c>
      <c r="C630" s="15" t="s">
        <v>337</v>
      </c>
      <c r="D630" s="15">
        <v>1997</v>
      </c>
      <c r="E630" s="16">
        <v>1440000</v>
      </c>
      <c r="F630" s="15">
        <v>2</v>
      </c>
      <c r="G630" s="15">
        <v>2.2000000000000002</v>
      </c>
      <c r="H630" s="15" t="s">
        <v>340</v>
      </c>
      <c r="I630" s="249">
        <f t="shared" si="27"/>
        <v>1</v>
      </c>
      <c r="J630" s="143">
        <v>7500</v>
      </c>
      <c r="K630" s="249" t="s">
        <v>2378</v>
      </c>
      <c r="M630" s="249">
        <f t="shared" si="28"/>
        <v>18</v>
      </c>
      <c r="N630" s="249">
        <f t="shared" si="29"/>
        <v>17</v>
      </c>
      <c r="O630" s="15"/>
      <c r="P630" s="15" t="s">
        <v>328</v>
      </c>
      <c r="Q630" s="15"/>
      <c r="S630" s="15"/>
      <c r="T630" s="15" t="s">
        <v>328</v>
      </c>
      <c r="U630" s="15"/>
      <c r="V630" s="15"/>
      <c r="W630" s="15"/>
      <c r="X630" s="15"/>
      <c r="Z630" s="127">
        <v>0.3</v>
      </c>
      <c r="AA630" s="249">
        <v>5</v>
      </c>
      <c r="AB630" s="250">
        <v>15000</v>
      </c>
      <c r="AC630" s="250">
        <v>20000</v>
      </c>
      <c r="AD630" s="250">
        <v>30000</v>
      </c>
      <c r="AE630" s="250">
        <v>120000</v>
      </c>
      <c r="AF630" s="250">
        <v>30000</v>
      </c>
    </row>
    <row r="631" spans="2:32" x14ac:dyDescent="0.25">
      <c r="B631" s="65" t="s">
        <v>1358</v>
      </c>
      <c r="C631" s="15" t="s">
        <v>337</v>
      </c>
      <c r="D631" s="15">
        <v>1988</v>
      </c>
      <c r="E631" s="16">
        <v>1500000</v>
      </c>
      <c r="F631" s="15">
        <v>2.2000000000000002</v>
      </c>
      <c r="G631" s="15">
        <v>2.8</v>
      </c>
      <c r="H631" s="15" t="s">
        <v>340</v>
      </c>
      <c r="I631" s="249">
        <f t="shared" si="27"/>
        <v>1</v>
      </c>
      <c r="J631" s="143">
        <v>7500</v>
      </c>
      <c r="K631" s="249" t="s">
        <v>2378</v>
      </c>
      <c r="M631" s="249">
        <f t="shared" si="28"/>
        <v>27</v>
      </c>
      <c r="N631" s="249">
        <f t="shared" si="29"/>
        <v>26</v>
      </c>
      <c r="O631" s="15"/>
      <c r="P631" s="15" t="s">
        <v>328</v>
      </c>
      <c r="Q631" s="15"/>
      <c r="S631" s="15"/>
      <c r="T631" s="15" t="s">
        <v>328</v>
      </c>
      <c r="U631" s="15"/>
      <c r="V631" s="15"/>
      <c r="W631" s="15"/>
      <c r="X631" s="15"/>
      <c r="Z631" s="127">
        <v>0.1</v>
      </c>
      <c r="AA631" s="249">
        <v>5</v>
      </c>
      <c r="AB631" s="250">
        <v>15000</v>
      </c>
      <c r="AC631" s="250">
        <v>20000</v>
      </c>
      <c r="AD631" s="250">
        <v>30000</v>
      </c>
      <c r="AE631" s="250">
        <v>120000</v>
      </c>
      <c r="AF631" s="250">
        <v>30000</v>
      </c>
    </row>
    <row r="632" spans="2:32" x14ac:dyDescent="0.25">
      <c r="B632" s="65" t="s">
        <v>1358</v>
      </c>
      <c r="C632" s="15" t="s">
        <v>337</v>
      </c>
      <c r="D632" s="15">
        <v>1988</v>
      </c>
      <c r="E632" s="16">
        <v>1500000</v>
      </c>
      <c r="F632" s="15">
        <v>2.2000000000000002</v>
      </c>
      <c r="G632" s="15">
        <v>2.8</v>
      </c>
      <c r="H632" s="15" t="s">
        <v>340</v>
      </c>
      <c r="I632" s="249">
        <f t="shared" si="27"/>
        <v>1</v>
      </c>
      <c r="J632" s="143">
        <v>7500</v>
      </c>
      <c r="K632" s="249" t="s">
        <v>2378</v>
      </c>
      <c r="M632" s="249">
        <f t="shared" si="28"/>
        <v>27</v>
      </c>
      <c r="N632" s="249">
        <f t="shared" si="29"/>
        <v>26</v>
      </c>
      <c r="O632" s="15"/>
      <c r="P632" s="15" t="s">
        <v>328</v>
      </c>
      <c r="Q632" s="15"/>
      <c r="S632" s="15"/>
      <c r="T632" s="15" t="s">
        <v>328</v>
      </c>
      <c r="U632" s="15"/>
      <c r="V632" s="15"/>
      <c r="W632" s="15"/>
      <c r="X632" s="15"/>
      <c r="Z632" s="127">
        <v>0.1</v>
      </c>
      <c r="AA632" s="249">
        <v>5</v>
      </c>
      <c r="AB632" s="250">
        <v>15000</v>
      </c>
      <c r="AC632" s="250">
        <v>20000</v>
      </c>
      <c r="AD632" s="250">
        <v>30000</v>
      </c>
      <c r="AE632" s="250">
        <v>120000</v>
      </c>
      <c r="AF632" s="250">
        <v>30000</v>
      </c>
    </row>
    <row r="633" spans="2:32" x14ac:dyDescent="0.25">
      <c r="B633" s="65" t="s">
        <v>1358</v>
      </c>
      <c r="C633" s="15" t="s">
        <v>337</v>
      </c>
      <c r="D633" s="15">
        <v>1995</v>
      </c>
      <c r="E633" s="16">
        <v>1300000</v>
      </c>
      <c r="F633" s="15">
        <v>2.2000000000000002</v>
      </c>
      <c r="G633" s="15">
        <v>2.8</v>
      </c>
      <c r="H633" s="15" t="s">
        <v>340</v>
      </c>
      <c r="I633" s="249">
        <f t="shared" si="27"/>
        <v>1</v>
      </c>
      <c r="J633" s="143">
        <v>7500</v>
      </c>
      <c r="K633" s="249" t="s">
        <v>2378</v>
      </c>
      <c r="M633" s="249">
        <f t="shared" si="28"/>
        <v>20</v>
      </c>
      <c r="N633" s="249">
        <f t="shared" si="29"/>
        <v>19</v>
      </c>
      <c r="O633" s="15"/>
      <c r="P633" s="15" t="s">
        <v>328</v>
      </c>
      <c r="Q633" s="15"/>
      <c r="S633" s="15"/>
      <c r="T633" s="15" t="s">
        <v>328</v>
      </c>
      <c r="U633" s="15"/>
      <c r="V633" s="15"/>
      <c r="W633" s="15"/>
      <c r="X633" s="15"/>
      <c r="Z633" s="127">
        <v>0.5</v>
      </c>
      <c r="AA633" s="249">
        <v>5</v>
      </c>
      <c r="AB633" s="250">
        <v>15000</v>
      </c>
      <c r="AC633" s="250">
        <v>20000</v>
      </c>
      <c r="AD633" s="250">
        <v>30000</v>
      </c>
      <c r="AE633" s="250">
        <v>120000</v>
      </c>
      <c r="AF633" s="250">
        <v>30000</v>
      </c>
    </row>
    <row r="634" spans="2:32" x14ac:dyDescent="0.25">
      <c r="B634" s="63" t="s">
        <v>1359</v>
      </c>
      <c r="C634" s="15" t="s">
        <v>337</v>
      </c>
      <c r="D634" s="15">
        <v>2003</v>
      </c>
      <c r="E634" s="16">
        <v>1200000</v>
      </c>
      <c r="F634" s="15">
        <v>2</v>
      </c>
      <c r="G634" s="15">
        <v>2.8</v>
      </c>
      <c r="H634" s="15" t="s">
        <v>340</v>
      </c>
      <c r="I634" s="249">
        <f t="shared" si="27"/>
        <v>1</v>
      </c>
      <c r="J634" s="143">
        <v>10000</v>
      </c>
      <c r="K634" s="249" t="s">
        <v>2378</v>
      </c>
      <c r="M634" s="249">
        <f t="shared" si="28"/>
        <v>12</v>
      </c>
      <c r="N634" s="249">
        <f t="shared" si="29"/>
        <v>11</v>
      </c>
      <c r="O634" s="15" t="s">
        <v>328</v>
      </c>
      <c r="P634" s="15"/>
      <c r="Q634" s="15"/>
      <c r="S634" s="15"/>
      <c r="T634" s="15"/>
      <c r="U634" s="15"/>
      <c r="V634" s="15"/>
      <c r="W634" s="15" t="s">
        <v>328</v>
      </c>
      <c r="X634" s="15"/>
      <c r="Z634" s="127">
        <v>0.35</v>
      </c>
      <c r="AA634" s="249">
        <v>5</v>
      </c>
      <c r="AB634" s="250">
        <v>25000</v>
      </c>
      <c r="AC634" s="250">
        <v>40000</v>
      </c>
      <c r="AD634" s="250">
        <v>40000</v>
      </c>
      <c r="AE634" s="250">
        <v>150000</v>
      </c>
      <c r="AF634" s="250">
        <v>40000</v>
      </c>
    </row>
    <row r="635" spans="2:32" x14ac:dyDescent="0.25">
      <c r="B635" s="63" t="s">
        <v>1359</v>
      </c>
      <c r="C635" s="15" t="s">
        <v>337</v>
      </c>
      <c r="D635" s="15">
        <v>2003</v>
      </c>
      <c r="E635" s="16">
        <v>1200000</v>
      </c>
      <c r="F635" s="15">
        <v>2</v>
      </c>
      <c r="G635" s="15">
        <v>2.8</v>
      </c>
      <c r="H635" s="15" t="s">
        <v>340</v>
      </c>
      <c r="I635" s="249">
        <f t="shared" si="27"/>
        <v>1</v>
      </c>
      <c r="J635" s="143">
        <v>10000</v>
      </c>
      <c r="K635" s="249" t="s">
        <v>2378</v>
      </c>
      <c r="M635" s="249">
        <f t="shared" si="28"/>
        <v>12</v>
      </c>
      <c r="N635" s="249">
        <f t="shared" si="29"/>
        <v>11</v>
      </c>
      <c r="O635" s="15" t="s">
        <v>328</v>
      </c>
      <c r="P635" s="15"/>
      <c r="Q635" s="15"/>
      <c r="S635" s="15"/>
      <c r="T635" s="15"/>
      <c r="U635" s="15"/>
      <c r="V635" s="15"/>
      <c r="W635" s="15" t="s">
        <v>328</v>
      </c>
      <c r="X635" s="15"/>
      <c r="Z635" s="127">
        <v>0.35</v>
      </c>
      <c r="AA635" s="249">
        <v>5</v>
      </c>
      <c r="AB635" s="250">
        <v>25000</v>
      </c>
      <c r="AC635" s="250">
        <v>40000</v>
      </c>
      <c r="AD635" s="250">
        <v>40000</v>
      </c>
      <c r="AE635" s="250">
        <v>150000</v>
      </c>
      <c r="AF635" s="250">
        <v>40000</v>
      </c>
    </row>
    <row r="636" spans="2:32" x14ac:dyDescent="0.25">
      <c r="B636" s="63" t="s">
        <v>1359</v>
      </c>
      <c r="C636" s="15" t="s">
        <v>337</v>
      </c>
      <c r="D636" s="15">
        <v>2003</v>
      </c>
      <c r="E636" s="16">
        <v>1200000</v>
      </c>
      <c r="F636" s="15">
        <v>2</v>
      </c>
      <c r="G636" s="15">
        <v>2.8</v>
      </c>
      <c r="H636" s="15" t="s">
        <v>340</v>
      </c>
      <c r="I636" s="249">
        <f t="shared" si="27"/>
        <v>1</v>
      </c>
      <c r="J636" s="143">
        <v>10000</v>
      </c>
      <c r="K636" s="249" t="s">
        <v>2378</v>
      </c>
      <c r="M636" s="249">
        <f t="shared" si="28"/>
        <v>12</v>
      </c>
      <c r="N636" s="249">
        <f t="shared" si="29"/>
        <v>11</v>
      </c>
      <c r="O636" s="15" t="s">
        <v>328</v>
      </c>
      <c r="P636" s="15"/>
      <c r="Q636" s="15"/>
      <c r="S636" s="15"/>
      <c r="T636" s="15"/>
      <c r="U636" s="15"/>
      <c r="V636" s="15"/>
      <c r="W636" s="15" t="s">
        <v>328</v>
      </c>
      <c r="X636" s="15"/>
      <c r="Z636" s="127">
        <v>0.35</v>
      </c>
      <c r="AA636" s="249">
        <v>5</v>
      </c>
      <c r="AB636" s="250">
        <v>25000</v>
      </c>
      <c r="AC636" s="250">
        <v>40000</v>
      </c>
      <c r="AD636" s="250">
        <v>40000</v>
      </c>
      <c r="AE636" s="250">
        <v>150000</v>
      </c>
      <c r="AF636" s="250">
        <v>40000</v>
      </c>
    </row>
    <row r="637" spans="2:32" x14ac:dyDescent="0.25">
      <c r="B637" s="63" t="s">
        <v>1359</v>
      </c>
      <c r="C637" s="15" t="s">
        <v>337</v>
      </c>
      <c r="D637" s="15">
        <v>2014</v>
      </c>
      <c r="E637" s="16">
        <v>120000</v>
      </c>
      <c r="F637" s="15">
        <v>2</v>
      </c>
      <c r="G637" s="15">
        <v>2.8</v>
      </c>
      <c r="H637" s="15" t="s">
        <v>340</v>
      </c>
      <c r="I637" s="249">
        <f t="shared" si="27"/>
        <v>1</v>
      </c>
      <c r="J637" s="143">
        <v>10000</v>
      </c>
      <c r="K637" s="249" t="s">
        <v>2378</v>
      </c>
      <c r="M637" s="249">
        <f t="shared" si="28"/>
        <v>1</v>
      </c>
      <c r="N637" s="249">
        <f t="shared" si="29"/>
        <v>0</v>
      </c>
      <c r="O637" s="15" t="s">
        <v>328</v>
      </c>
      <c r="P637" s="15"/>
      <c r="Q637" s="15"/>
      <c r="S637" s="15"/>
      <c r="T637" s="15"/>
      <c r="U637" s="15"/>
      <c r="V637" s="15"/>
      <c r="W637" s="15"/>
      <c r="X637" s="15" t="s">
        <v>328</v>
      </c>
      <c r="Z637" s="127">
        <v>0.35</v>
      </c>
      <c r="AA637" s="249">
        <v>5</v>
      </c>
      <c r="AB637" s="250">
        <v>25000</v>
      </c>
      <c r="AC637" s="250">
        <v>40000</v>
      </c>
      <c r="AD637" s="250">
        <v>40000</v>
      </c>
      <c r="AE637" s="250">
        <v>150000</v>
      </c>
      <c r="AF637" s="250">
        <v>40000</v>
      </c>
    </row>
    <row r="638" spans="2:32" x14ac:dyDescent="0.25">
      <c r="B638" s="63" t="s">
        <v>1359</v>
      </c>
      <c r="C638" s="15" t="s">
        <v>337</v>
      </c>
      <c r="D638" s="15">
        <v>2014</v>
      </c>
      <c r="E638" s="16">
        <v>120000</v>
      </c>
      <c r="F638" s="15">
        <v>2</v>
      </c>
      <c r="G638" s="15">
        <v>2.8</v>
      </c>
      <c r="H638" s="15" t="s">
        <v>340</v>
      </c>
      <c r="I638" s="249">
        <f t="shared" si="27"/>
        <v>1</v>
      </c>
      <c r="J638" s="143">
        <v>10000</v>
      </c>
      <c r="K638" s="249" t="s">
        <v>2378</v>
      </c>
      <c r="M638" s="249">
        <f t="shared" si="28"/>
        <v>1</v>
      </c>
      <c r="N638" s="249">
        <f t="shared" si="29"/>
        <v>0</v>
      </c>
      <c r="O638" s="15" t="s">
        <v>328</v>
      </c>
      <c r="P638" s="15"/>
      <c r="Q638" s="15"/>
      <c r="S638" s="15"/>
      <c r="T638" s="15"/>
      <c r="U638" s="15"/>
      <c r="V638" s="15"/>
      <c r="W638" s="15"/>
      <c r="X638" s="15" t="s">
        <v>328</v>
      </c>
      <c r="Z638" s="127">
        <v>0.35</v>
      </c>
      <c r="AA638" s="249">
        <v>5</v>
      </c>
      <c r="AB638" s="250">
        <v>25000</v>
      </c>
      <c r="AC638" s="250">
        <v>40000</v>
      </c>
      <c r="AD638" s="250">
        <v>40000</v>
      </c>
      <c r="AE638" s="250">
        <v>150000</v>
      </c>
      <c r="AF638" s="250">
        <v>40000</v>
      </c>
    </row>
    <row r="639" spans="2:32" x14ac:dyDescent="0.25">
      <c r="B639" s="63" t="s">
        <v>1360</v>
      </c>
      <c r="C639" s="15" t="s">
        <v>337</v>
      </c>
      <c r="D639" s="15">
        <v>2001</v>
      </c>
      <c r="E639" s="16">
        <v>120000</v>
      </c>
      <c r="F639" s="15">
        <v>2.4</v>
      </c>
      <c r="G639" s="15">
        <v>2.7</v>
      </c>
      <c r="H639" s="15" t="s">
        <v>340</v>
      </c>
      <c r="I639" s="249">
        <f t="shared" si="27"/>
        <v>1</v>
      </c>
      <c r="J639" s="143">
        <v>7000</v>
      </c>
      <c r="K639" s="249" t="s">
        <v>2378</v>
      </c>
      <c r="M639" s="249">
        <f t="shared" si="28"/>
        <v>14</v>
      </c>
      <c r="N639" s="249">
        <f t="shared" si="29"/>
        <v>13</v>
      </c>
      <c r="O639" s="15" t="s">
        <v>328</v>
      </c>
      <c r="P639" s="15"/>
      <c r="Q639" s="15"/>
      <c r="S639" s="15"/>
      <c r="T639" s="15"/>
      <c r="U639" s="15"/>
      <c r="V639" s="15"/>
      <c r="W639" s="15" t="s">
        <v>328</v>
      </c>
      <c r="X639" s="15"/>
      <c r="Z639" s="127">
        <v>0.3</v>
      </c>
      <c r="AA639" s="249">
        <v>3</v>
      </c>
      <c r="AB639" s="250">
        <v>20000</v>
      </c>
      <c r="AC639" s="250">
        <v>25000</v>
      </c>
      <c r="AD639" s="250">
        <v>70000</v>
      </c>
      <c r="AE639" s="250">
        <v>130000</v>
      </c>
      <c r="AF639" s="250">
        <v>25000</v>
      </c>
    </row>
    <row r="640" spans="2:32" x14ac:dyDescent="0.25">
      <c r="B640" s="63" t="s">
        <v>1360</v>
      </c>
      <c r="C640" s="14" t="s">
        <v>351</v>
      </c>
      <c r="D640" s="15">
        <v>2006</v>
      </c>
      <c r="E640" s="16">
        <v>672000</v>
      </c>
      <c r="F640" s="15">
        <v>3.2</v>
      </c>
      <c r="G640" s="15">
        <v>3.7</v>
      </c>
      <c r="H640" s="15" t="s">
        <v>340</v>
      </c>
      <c r="I640" s="249">
        <f t="shared" si="27"/>
        <v>1</v>
      </c>
      <c r="J640" s="143">
        <v>8000</v>
      </c>
      <c r="K640" s="249" t="s">
        <v>2378</v>
      </c>
      <c r="M640" s="249">
        <f t="shared" si="28"/>
        <v>9</v>
      </c>
      <c r="N640" s="249">
        <f t="shared" si="29"/>
        <v>8</v>
      </c>
      <c r="O640" s="15" t="s">
        <v>328</v>
      </c>
      <c r="P640" s="15"/>
      <c r="Q640" s="15"/>
      <c r="S640" s="15"/>
      <c r="T640" s="15"/>
      <c r="U640" s="15"/>
      <c r="V640" s="15"/>
      <c r="W640" s="15" t="s">
        <v>328</v>
      </c>
      <c r="X640" s="15"/>
      <c r="Z640" s="127">
        <v>0.3</v>
      </c>
      <c r="AA640" s="249">
        <v>3</v>
      </c>
      <c r="AB640" s="250">
        <v>20000</v>
      </c>
      <c r="AC640" s="250">
        <v>25000</v>
      </c>
      <c r="AD640" s="250">
        <v>70000</v>
      </c>
      <c r="AE640" s="250">
        <v>130000</v>
      </c>
      <c r="AF640" s="250">
        <v>25000</v>
      </c>
    </row>
    <row r="641" spans="2:32" x14ac:dyDescent="0.25">
      <c r="B641" s="63" t="s">
        <v>1360</v>
      </c>
      <c r="C641" s="14" t="s">
        <v>351</v>
      </c>
      <c r="D641" s="15">
        <v>2008</v>
      </c>
      <c r="E641" s="16">
        <v>360000</v>
      </c>
      <c r="F641" s="15">
        <v>3.2</v>
      </c>
      <c r="G641" s="15">
        <v>3.7</v>
      </c>
      <c r="H641" s="15" t="s">
        <v>340</v>
      </c>
      <c r="I641" s="249">
        <f t="shared" si="27"/>
        <v>1</v>
      </c>
      <c r="J641" s="143">
        <v>8000</v>
      </c>
      <c r="K641" s="249" t="s">
        <v>2378</v>
      </c>
      <c r="M641" s="249">
        <f t="shared" si="28"/>
        <v>7</v>
      </c>
      <c r="N641" s="249">
        <f t="shared" si="29"/>
        <v>6</v>
      </c>
      <c r="O641" s="15" t="s">
        <v>328</v>
      </c>
      <c r="P641" s="15"/>
      <c r="Q641" s="15"/>
      <c r="S641" s="15"/>
      <c r="T641" s="15"/>
      <c r="U641" s="15"/>
      <c r="V641" s="15"/>
      <c r="W641" s="15" t="s">
        <v>328</v>
      </c>
      <c r="X641" s="15"/>
      <c r="Z641" s="127">
        <v>0.3</v>
      </c>
      <c r="AA641" s="249">
        <v>3</v>
      </c>
      <c r="AB641" s="250">
        <v>20000</v>
      </c>
      <c r="AC641" s="250">
        <v>25000</v>
      </c>
      <c r="AD641" s="250">
        <v>70000</v>
      </c>
      <c r="AE641" s="250">
        <v>130000</v>
      </c>
      <c r="AF641" s="250">
        <v>25000</v>
      </c>
    </row>
    <row r="642" spans="2:32" x14ac:dyDescent="0.25">
      <c r="B642" s="63" t="s">
        <v>1361</v>
      </c>
      <c r="C642" s="15" t="s">
        <v>337</v>
      </c>
      <c r="D642" s="15">
        <v>2007</v>
      </c>
      <c r="E642" s="16">
        <v>420000</v>
      </c>
      <c r="F642" s="15">
        <v>1.8</v>
      </c>
      <c r="G642" s="15">
        <v>2.2999999999999998</v>
      </c>
      <c r="H642" s="15" t="s">
        <v>340</v>
      </c>
      <c r="I642" s="249">
        <f t="shared" si="27"/>
        <v>1</v>
      </c>
      <c r="J642" s="143">
        <v>7000</v>
      </c>
      <c r="K642" s="249" t="s">
        <v>2378</v>
      </c>
      <c r="M642" s="249">
        <f t="shared" si="28"/>
        <v>8</v>
      </c>
      <c r="N642" s="249">
        <f t="shared" si="29"/>
        <v>7</v>
      </c>
      <c r="O642" s="15" t="s">
        <v>328</v>
      </c>
      <c r="P642" s="15"/>
      <c r="Q642" s="15"/>
      <c r="S642" s="15"/>
      <c r="T642" s="15" t="s">
        <v>328</v>
      </c>
      <c r="U642" s="15"/>
      <c r="V642" s="15"/>
      <c r="W642" s="15"/>
      <c r="X642" s="15"/>
      <c r="Z642" s="127">
        <v>0.5</v>
      </c>
      <c r="AA642" s="249">
        <v>1</v>
      </c>
      <c r="AB642" s="250">
        <v>25000</v>
      </c>
      <c r="AC642" s="250">
        <v>30000</v>
      </c>
      <c r="AD642" s="250">
        <v>30000</v>
      </c>
      <c r="AE642" s="250">
        <v>120000</v>
      </c>
      <c r="AF642" s="250">
        <v>30000</v>
      </c>
    </row>
    <row r="643" spans="2:32" x14ac:dyDescent="0.25">
      <c r="B643" s="63" t="s">
        <v>1362</v>
      </c>
      <c r="C643" s="15" t="s">
        <v>337</v>
      </c>
      <c r="D643" s="15">
        <v>2011</v>
      </c>
      <c r="E643" s="16">
        <v>300000</v>
      </c>
      <c r="F643" s="15">
        <v>2.1</v>
      </c>
      <c r="G643" s="15">
        <v>2.2999999999999998</v>
      </c>
      <c r="H643" s="15" t="s">
        <v>340</v>
      </c>
      <c r="I643" s="249">
        <f t="shared" si="27"/>
        <v>1</v>
      </c>
      <c r="J643" s="143">
        <v>10000</v>
      </c>
      <c r="K643" s="249" t="s">
        <v>2378</v>
      </c>
      <c r="M643" s="249">
        <f t="shared" si="28"/>
        <v>4</v>
      </c>
      <c r="N643" s="249">
        <f t="shared" si="29"/>
        <v>3</v>
      </c>
      <c r="O643" s="15" t="s">
        <v>328</v>
      </c>
      <c r="P643" s="15"/>
      <c r="Q643" s="15"/>
      <c r="S643" s="15"/>
      <c r="T643" s="15"/>
      <c r="U643" s="15"/>
      <c r="V643" s="15"/>
      <c r="W643" s="15" t="s">
        <v>328</v>
      </c>
      <c r="X643" s="15"/>
      <c r="Z643" s="127">
        <v>0.5</v>
      </c>
      <c r="AA643" s="249">
        <v>2</v>
      </c>
      <c r="AB643" s="250">
        <v>18000</v>
      </c>
      <c r="AC643" s="250">
        <v>20000</v>
      </c>
      <c r="AD643" s="250">
        <v>50000</v>
      </c>
      <c r="AE643" s="250">
        <v>110000</v>
      </c>
      <c r="AF643" s="250">
        <v>20000</v>
      </c>
    </row>
    <row r="644" spans="2:32" x14ac:dyDescent="0.25">
      <c r="B644" s="63" t="s">
        <v>1362</v>
      </c>
      <c r="C644" s="15" t="s">
        <v>337</v>
      </c>
      <c r="D644" s="15">
        <v>2011</v>
      </c>
      <c r="E644" s="16">
        <v>300000</v>
      </c>
      <c r="F644" s="15">
        <v>2.1</v>
      </c>
      <c r="G644" s="15">
        <v>2.2999999999999998</v>
      </c>
      <c r="H644" s="15" t="s">
        <v>340</v>
      </c>
      <c r="I644" s="249">
        <f t="shared" si="27"/>
        <v>1</v>
      </c>
      <c r="J644" s="143">
        <v>10000</v>
      </c>
      <c r="K644" s="249" t="s">
        <v>2378</v>
      </c>
      <c r="M644" s="249">
        <f t="shared" si="28"/>
        <v>4</v>
      </c>
      <c r="N644" s="249">
        <f t="shared" si="29"/>
        <v>3</v>
      </c>
      <c r="O644" s="15" t="s">
        <v>328</v>
      </c>
      <c r="P644" s="15"/>
      <c r="Q644" s="15"/>
      <c r="S644" s="15"/>
      <c r="T644" s="15"/>
      <c r="U644" s="15"/>
      <c r="V644" s="15"/>
      <c r="W644" s="15" t="s">
        <v>328</v>
      </c>
      <c r="X644" s="15"/>
      <c r="Z644" s="127">
        <v>0.5</v>
      </c>
      <c r="AA644" s="249">
        <v>2</v>
      </c>
      <c r="AB644" s="250">
        <v>18000</v>
      </c>
      <c r="AC644" s="250">
        <v>20000</v>
      </c>
      <c r="AD644" s="250">
        <v>50000</v>
      </c>
      <c r="AE644" s="250">
        <v>110000</v>
      </c>
      <c r="AF644" s="250">
        <v>20000</v>
      </c>
    </row>
    <row r="645" spans="2:32" x14ac:dyDescent="0.25">
      <c r="B645" s="63" t="s">
        <v>1363</v>
      </c>
      <c r="C645" s="14" t="s">
        <v>359</v>
      </c>
      <c r="D645" s="14">
        <v>2010</v>
      </c>
      <c r="E645" s="13">
        <v>80000</v>
      </c>
      <c r="F645" s="14">
        <v>2</v>
      </c>
      <c r="G645" s="14">
        <v>2.2000000000000002</v>
      </c>
      <c r="H645" s="14" t="s">
        <v>340</v>
      </c>
      <c r="I645" s="249">
        <f t="shared" si="27"/>
        <v>1</v>
      </c>
      <c r="J645" s="143">
        <v>4500</v>
      </c>
      <c r="K645" s="249" t="s">
        <v>2378</v>
      </c>
      <c r="M645" s="249">
        <f t="shared" si="28"/>
        <v>5</v>
      </c>
      <c r="N645" s="249">
        <f t="shared" si="29"/>
        <v>4</v>
      </c>
      <c r="O645" s="14" t="s">
        <v>328</v>
      </c>
      <c r="P645" s="14"/>
      <c r="Q645" s="14"/>
      <c r="S645" s="14"/>
      <c r="T645" s="14" t="s">
        <v>328</v>
      </c>
      <c r="U645" s="14"/>
      <c r="V645" s="14"/>
      <c r="W645" s="14"/>
      <c r="X645" s="14"/>
      <c r="Z645" s="126">
        <v>0.5</v>
      </c>
      <c r="AA645" s="249">
        <v>5</v>
      </c>
      <c r="AB645" s="250">
        <v>16000</v>
      </c>
      <c r="AC645" s="250">
        <v>22000</v>
      </c>
      <c r="AD645" s="250">
        <v>12000</v>
      </c>
      <c r="AE645" s="250">
        <v>90000</v>
      </c>
      <c r="AF645" s="250">
        <v>22000</v>
      </c>
    </row>
    <row r="646" spans="2:32" x14ac:dyDescent="0.25">
      <c r="B646" s="63" t="s">
        <v>1363</v>
      </c>
      <c r="C646" s="14" t="s">
        <v>359</v>
      </c>
      <c r="D646" s="14">
        <v>2010</v>
      </c>
      <c r="E646" s="13">
        <v>80000</v>
      </c>
      <c r="F646" s="14">
        <v>2</v>
      </c>
      <c r="G646" s="14">
        <v>2.2000000000000002</v>
      </c>
      <c r="H646" s="14" t="s">
        <v>340</v>
      </c>
      <c r="I646" s="249">
        <f t="shared" ref="I646:I709" si="30">IF(F646&gt;G646,0,1)</f>
        <v>1</v>
      </c>
      <c r="J646" s="143">
        <v>4500</v>
      </c>
      <c r="K646" s="249" t="s">
        <v>2378</v>
      </c>
      <c r="M646" s="249">
        <f t="shared" ref="M646:M709" si="31">2015-D646</f>
        <v>5</v>
      </c>
      <c r="N646" s="249">
        <f t="shared" ref="N646:N709" si="32">2014-$D646</f>
        <v>4</v>
      </c>
      <c r="O646" s="14" t="s">
        <v>328</v>
      </c>
      <c r="P646" s="14"/>
      <c r="Q646" s="14"/>
      <c r="S646" s="14"/>
      <c r="T646" s="14" t="s">
        <v>328</v>
      </c>
      <c r="U646" s="14"/>
      <c r="V646" s="14"/>
      <c r="W646" s="14"/>
      <c r="X646" s="14"/>
      <c r="Z646" s="126">
        <v>0.5</v>
      </c>
      <c r="AA646" s="249">
        <v>5</v>
      </c>
      <c r="AB646" s="250">
        <v>16000</v>
      </c>
      <c r="AC646" s="250">
        <v>22000</v>
      </c>
      <c r="AD646" s="250">
        <v>12000</v>
      </c>
      <c r="AE646" s="250">
        <v>90000</v>
      </c>
      <c r="AF646" s="250">
        <v>22000</v>
      </c>
    </row>
    <row r="647" spans="2:32" x14ac:dyDescent="0.25">
      <c r="B647" s="63" t="s">
        <v>1363</v>
      </c>
      <c r="C647" s="14" t="s">
        <v>337</v>
      </c>
      <c r="D647" s="14">
        <v>2012</v>
      </c>
      <c r="E647" s="13">
        <v>50000</v>
      </c>
      <c r="F647" s="14">
        <v>2</v>
      </c>
      <c r="G647" s="14">
        <v>2.2000000000000002</v>
      </c>
      <c r="H647" s="14" t="s">
        <v>340</v>
      </c>
      <c r="I647" s="249">
        <f t="shared" si="30"/>
        <v>1</v>
      </c>
      <c r="J647" s="143">
        <v>4500</v>
      </c>
      <c r="K647" s="249" t="s">
        <v>2378</v>
      </c>
      <c r="M647" s="249">
        <f t="shared" si="31"/>
        <v>3</v>
      </c>
      <c r="N647" s="249">
        <f t="shared" si="32"/>
        <v>2</v>
      </c>
      <c r="O647" s="14" t="s">
        <v>328</v>
      </c>
      <c r="P647" s="14"/>
      <c r="Q647" s="14"/>
      <c r="S647" s="14"/>
      <c r="T647" s="14" t="s">
        <v>328</v>
      </c>
      <c r="U647" s="14"/>
      <c r="V647" s="14"/>
      <c r="W647" s="14"/>
      <c r="X647" s="14"/>
      <c r="Z647" s="126">
        <v>0.5</v>
      </c>
      <c r="AA647" s="249">
        <v>5</v>
      </c>
      <c r="AB647" s="250">
        <v>16000</v>
      </c>
      <c r="AC647" s="250">
        <v>22000</v>
      </c>
      <c r="AD647" s="250">
        <v>12000</v>
      </c>
      <c r="AE647" s="250">
        <v>90000</v>
      </c>
      <c r="AF647" s="250">
        <v>22000</v>
      </c>
    </row>
    <row r="648" spans="2:32" x14ac:dyDescent="0.25">
      <c r="B648" s="63" t="s">
        <v>1363</v>
      </c>
      <c r="C648" s="14" t="s">
        <v>337</v>
      </c>
      <c r="D648" s="14">
        <v>2012</v>
      </c>
      <c r="E648" s="13">
        <v>50000</v>
      </c>
      <c r="F648" s="14">
        <v>2</v>
      </c>
      <c r="G648" s="14">
        <v>2.2000000000000002</v>
      </c>
      <c r="H648" s="14" t="s">
        <v>340</v>
      </c>
      <c r="I648" s="249">
        <f t="shared" si="30"/>
        <v>1</v>
      </c>
      <c r="J648" s="143">
        <v>4500</v>
      </c>
      <c r="K648" s="249" t="s">
        <v>2378</v>
      </c>
      <c r="M648" s="249">
        <f t="shared" si="31"/>
        <v>3</v>
      </c>
      <c r="N648" s="249">
        <f t="shared" si="32"/>
        <v>2</v>
      </c>
      <c r="O648" s="14" t="s">
        <v>328</v>
      </c>
      <c r="P648" s="14"/>
      <c r="Q648" s="14"/>
      <c r="S648" s="14"/>
      <c r="T648" s="14" t="s">
        <v>328</v>
      </c>
      <c r="U648" s="14"/>
      <c r="V648" s="14"/>
      <c r="W648" s="14"/>
      <c r="X648" s="14"/>
      <c r="Z648" s="126">
        <v>0.5</v>
      </c>
      <c r="AA648" s="249">
        <v>5</v>
      </c>
      <c r="AB648" s="250">
        <v>16000</v>
      </c>
      <c r="AC648" s="250">
        <v>22000</v>
      </c>
      <c r="AD648" s="250">
        <v>12000</v>
      </c>
      <c r="AE648" s="250">
        <v>90000</v>
      </c>
      <c r="AF648" s="250">
        <v>22000</v>
      </c>
    </row>
    <row r="649" spans="2:32" x14ac:dyDescent="0.25">
      <c r="B649" s="63" t="s">
        <v>1363</v>
      </c>
      <c r="C649" s="14" t="s">
        <v>337</v>
      </c>
      <c r="D649" s="14">
        <v>2012</v>
      </c>
      <c r="E649" s="13">
        <v>50000</v>
      </c>
      <c r="F649" s="14">
        <v>2</v>
      </c>
      <c r="G649" s="14">
        <v>2.2000000000000002</v>
      </c>
      <c r="H649" s="14" t="s">
        <v>340</v>
      </c>
      <c r="I649" s="249">
        <f t="shared" si="30"/>
        <v>1</v>
      </c>
      <c r="J649" s="143">
        <v>4500</v>
      </c>
      <c r="K649" s="249" t="s">
        <v>2378</v>
      </c>
      <c r="M649" s="249">
        <f t="shared" si="31"/>
        <v>3</v>
      </c>
      <c r="N649" s="249">
        <f t="shared" si="32"/>
        <v>2</v>
      </c>
      <c r="O649" s="14" t="s">
        <v>328</v>
      </c>
      <c r="P649" s="14"/>
      <c r="Q649" s="14"/>
      <c r="S649" s="14"/>
      <c r="T649" s="14" t="s">
        <v>328</v>
      </c>
      <c r="U649" s="14"/>
      <c r="V649" s="14"/>
      <c r="W649" s="14"/>
      <c r="X649" s="14"/>
      <c r="Z649" s="126">
        <v>0.5</v>
      </c>
      <c r="AA649" s="249">
        <v>5</v>
      </c>
      <c r="AB649" s="250">
        <v>16000</v>
      </c>
      <c r="AC649" s="250">
        <v>22000</v>
      </c>
      <c r="AD649" s="250">
        <v>12000</v>
      </c>
      <c r="AE649" s="250">
        <v>90000</v>
      </c>
      <c r="AF649" s="250">
        <v>22000</v>
      </c>
    </row>
    <row r="650" spans="2:32" x14ac:dyDescent="0.25">
      <c r="B650" s="65" t="s">
        <v>1364</v>
      </c>
      <c r="C650" s="15" t="s">
        <v>337</v>
      </c>
      <c r="D650" s="15">
        <v>1978</v>
      </c>
      <c r="E650" s="16">
        <v>1050000</v>
      </c>
      <c r="F650" s="15">
        <v>1.8</v>
      </c>
      <c r="G650" s="15">
        <v>2.1</v>
      </c>
      <c r="H650" s="15" t="s">
        <v>340</v>
      </c>
      <c r="I650" s="249">
        <f t="shared" si="30"/>
        <v>1</v>
      </c>
      <c r="J650" s="143">
        <v>2500</v>
      </c>
      <c r="K650" s="249" t="s">
        <v>2378</v>
      </c>
      <c r="M650" s="249">
        <f t="shared" si="31"/>
        <v>37</v>
      </c>
      <c r="N650" s="249">
        <f t="shared" si="32"/>
        <v>36</v>
      </c>
      <c r="O650" s="15"/>
      <c r="P650" s="15"/>
      <c r="Q650" s="15" t="s">
        <v>328</v>
      </c>
      <c r="S650" s="15" t="s">
        <v>328</v>
      </c>
      <c r="T650" s="15"/>
      <c r="U650" s="15"/>
      <c r="V650" s="15"/>
      <c r="W650" s="15"/>
      <c r="X650" s="15"/>
      <c r="Z650" s="127">
        <v>0.5</v>
      </c>
      <c r="AA650" s="249">
        <v>1</v>
      </c>
      <c r="AB650" s="250">
        <v>15000</v>
      </c>
      <c r="AC650" s="250">
        <v>20000</v>
      </c>
      <c r="AD650" s="250">
        <v>20000</v>
      </c>
      <c r="AE650" s="250">
        <v>130000</v>
      </c>
      <c r="AF650" s="250">
        <v>20000</v>
      </c>
    </row>
    <row r="651" spans="2:32" x14ac:dyDescent="0.25">
      <c r="B651" s="65" t="s">
        <v>1365</v>
      </c>
      <c r="C651" s="15" t="s">
        <v>337</v>
      </c>
      <c r="D651" s="15">
        <v>1978</v>
      </c>
      <c r="E651" s="16">
        <v>1050000</v>
      </c>
      <c r="F651" s="15">
        <v>1.8</v>
      </c>
      <c r="G651" s="15">
        <v>2.1</v>
      </c>
      <c r="H651" s="15" t="s">
        <v>340</v>
      </c>
      <c r="I651" s="249">
        <f t="shared" si="30"/>
        <v>1</v>
      </c>
      <c r="J651" s="143">
        <v>2500</v>
      </c>
      <c r="K651" s="249" t="s">
        <v>2378</v>
      </c>
      <c r="M651" s="249">
        <f t="shared" si="31"/>
        <v>37</v>
      </c>
      <c r="N651" s="249">
        <f t="shared" si="32"/>
        <v>36</v>
      </c>
      <c r="O651" s="15"/>
      <c r="P651" s="15"/>
      <c r="Q651" s="15" t="s">
        <v>328</v>
      </c>
      <c r="S651" s="15"/>
      <c r="T651" s="15" t="s">
        <v>328</v>
      </c>
      <c r="U651" s="15"/>
      <c r="V651" s="15"/>
      <c r="W651" s="15"/>
      <c r="X651" s="15"/>
      <c r="Z651" s="127">
        <v>0.5</v>
      </c>
      <c r="AA651" s="249">
        <v>3</v>
      </c>
      <c r="AB651" s="250">
        <v>15000</v>
      </c>
      <c r="AC651" s="250">
        <v>20000</v>
      </c>
      <c r="AD651" s="250">
        <v>20000</v>
      </c>
      <c r="AE651" s="250">
        <v>130000</v>
      </c>
      <c r="AF651" s="250">
        <v>20000</v>
      </c>
    </row>
    <row r="652" spans="2:32" x14ac:dyDescent="0.25">
      <c r="B652" s="65" t="s">
        <v>1366</v>
      </c>
      <c r="C652" s="15" t="s">
        <v>337</v>
      </c>
      <c r="D652" s="15">
        <v>1981</v>
      </c>
      <c r="E652" s="16">
        <v>960000</v>
      </c>
      <c r="F652" s="15">
        <v>1.8</v>
      </c>
      <c r="G652" s="15">
        <v>2.1</v>
      </c>
      <c r="H652" s="15" t="s">
        <v>340</v>
      </c>
      <c r="I652" s="249">
        <f t="shared" si="30"/>
        <v>1</v>
      </c>
      <c r="J652" s="143">
        <v>2500</v>
      </c>
      <c r="K652" s="249" t="s">
        <v>2378</v>
      </c>
      <c r="M652" s="249">
        <f t="shared" si="31"/>
        <v>34</v>
      </c>
      <c r="N652" s="249">
        <f t="shared" si="32"/>
        <v>33</v>
      </c>
      <c r="O652" s="15"/>
      <c r="P652" s="15"/>
      <c r="Q652" s="15" t="s">
        <v>328</v>
      </c>
      <c r="S652" s="15"/>
      <c r="T652" s="15" t="s">
        <v>328</v>
      </c>
      <c r="U652" s="15"/>
      <c r="V652" s="15"/>
      <c r="W652" s="15"/>
      <c r="X652" s="15"/>
      <c r="Z652" s="127">
        <v>0.5</v>
      </c>
      <c r="AA652" s="249">
        <v>3</v>
      </c>
      <c r="AB652" s="250">
        <v>15000</v>
      </c>
      <c r="AC652" s="250">
        <v>20000</v>
      </c>
      <c r="AD652" s="250">
        <v>20000</v>
      </c>
      <c r="AE652" s="250">
        <v>130000</v>
      </c>
      <c r="AF652" s="250">
        <v>20000</v>
      </c>
    </row>
    <row r="653" spans="2:32" x14ac:dyDescent="0.25">
      <c r="B653" s="63" t="s">
        <v>1365</v>
      </c>
      <c r="C653" s="14" t="s">
        <v>351</v>
      </c>
      <c r="D653" s="15">
        <v>1986</v>
      </c>
      <c r="E653" s="16">
        <v>1944000</v>
      </c>
      <c r="F653" s="15">
        <v>2.2000000000000002</v>
      </c>
      <c r="G653" s="15">
        <v>2.5</v>
      </c>
      <c r="H653" s="15" t="s">
        <v>340</v>
      </c>
      <c r="I653" s="249">
        <f t="shared" si="30"/>
        <v>1</v>
      </c>
      <c r="J653" s="143">
        <v>6000</v>
      </c>
      <c r="K653" s="249" t="s">
        <v>2378</v>
      </c>
      <c r="M653" s="249">
        <f t="shared" si="31"/>
        <v>29</v>
      </c>
      <c r="N653" s="249">
        <f t="shared" si="32"/>
        <v>28</v>
      </c>
      <c r="O653" s="15"/>
      <c r="P653" s="15"/>
      <c r="Q653" s="15" t="s">
        <v>328</v>
      </c>
      <c r="S653" s="15"/>
      <c r="T653" s="15" t="s">
        <v>328</v>
      </c>
      <c r="U653" s="15"/>
      <c r="V653" s="15"/>
      <c r="W653" s="15"/>
      <c r="X653" s="15"/>
      <c r="Z653" s="127">
        <v>0.3</v>
      </c>
      <c r="AA653" s="249">
        <v>3</v>
      </c>
      <c r="AB653" s="250">
        <v>15000</v>
      </c>
      <c r="AC653" s="250">
        <v>30000</v>
      </c>
      <c r="AD653" s="250">
        <v>30000</v>
      </c>
      <c r="AE653" s="250">
        <v>120000</v>
      </c>
      <c r="AF653" s="250">
        <v>30000</v>
      </c>
    </row>
    <row r="654" spans="2:32" x14ac:dyDescent="0.25">
      <c r="B654" s="63" t="s">
        <v>1365</v>
      </c>
      <c r="C654" s="14" t="s">
        <v>351</v>
      </c>
      <c r="D654" s="15">
        <v>2000</v>
      </c>
      <c r="E654" s="16">
        <v>936000</v>
      </c>
      <c r="F654" s="15">
        <v>2.2000000000000002</v>
      </c>
      <c r="G654" s="15">
        <v>2.5</v>
      </c>
      <c r="H654" s="15" t="s">
        <v>340</v>
      </c>
      <c r="I654" s="249">
        <f t="shared" si="30"/>
        <v>1</v>
      </c>
      <c r="J654" s="143">
        <v>6000</v>
      </c>
      <c r="K654" s="249" t="s">
        <v>2378</v>
      </c>
      <c r="M654" s="249">
        <f t="shared" si="31"/>
        <v>15</v>
      </c>
      <c r="N654" s="249">
        <f t="shared" si="32"/>
        <v>14</v>
      </c>
      <c r="O654" s="15"/>
      <c r="P654" s="15"/>
      <c r="Q654" s="15" t="s">
        <v>328</v>
      </c>
      <c r="S654" s="15"/>
      <c r="T654" s="15" t="s">
        <v>328</v>
      </c>
      <c r="U654" s="15"/>
      <c r="V654" s="15"/>
      <c r="W654" s="15"/>
      <c r="X654" s="15"/>
      <c r="Z654" s="127">
        <v>0.3</v>
      </c>
      <c r="AA654" s="249">
        <v>3</v>
      </c>
      <c r="AB654" s="250">
        <v>15000</v>
      </c>
      <c r="AC654" s="250">
        <v>30000</v>
      </c>
      <c r="AD654" s="250">
        <v>30000</v>
      </c>
      <c r="AE654" s="250">
        <v>120000</v>
      </c>
      <c r="AF654" s="250">
        <v>30000</v>
      </c>
    </row>
    <row r="655" spans="2:32" x14ac:dyDescent="0.25">
      <c r="B655" s="63" t="s">
        <v>1366</v>
      </c>
      <c r="C655" s="15" t="s">
        <v>337</v>
      </c>
      <c r="D655" s="15">
        <v>1986</v>
      </c>
      <c r="E655" s="16">
        <v>1680000</v>
      </c>
      <c r="F655" s="15">
        <v>1.9</v>
      </c>
      <c r="G655" s="15">
        <v>2.2000000000000002</v>
      </c>
      <c r="H655" s="15" t="s">
        <v>340</v>
      </c>
      <c r="I655" s="249">
        <f t="shared" si="30"/>
        <v>1</v>
      </c>
      <c r="J655" s="143">
        <v>5000</v>
      </c>
      <c r="K655" s="249" t="s">
        <v>2378</v>
      </c>
      <c r="M655" s="249">
        <f t="shared" si="31"/>
        <v>29</v>
      </c>
      <c r="N655" s="249">
        <f t="shared" si="32"/>
        <v>28</v>
      </c>
      <c r="O655" s="15"/>
      <c r="P655" s="15"/>
      <c r="Q655" s="15" t="s">
        <v>328</v>
      </c>
      <c r="S655" s="15"/>
      <c r="T655" s="15"/>
      <c r="U655" s="15"/>
      <c r="V655" s="15"/>
      <c r="W655" s="15" t="s">
        <v>328</v>
      </c>
      <c r="X655" s="15"/>
      <c r="Z655" s="127">
        <v>0.5</v>
      </c>
      <c r="AA655" s="249">
        <v>3</v>
      </c>
      <c r="AB655" s="250">
        <v>30000</v>
      </c>
      <c r="AC655" s="250">
        <v>30000</v>
      </c>
      <c r="AD655" s="250">
        <v>30000</v>
      </c>
      <c r="AE655" s="250">
        <v>100000</v>
      </c>
      <c r="AF655" s="250">
        <v>30000</v>
      </c>
    </row>
    <row r="656" spans="2:32" x14ac:dyDescent="0.25">
      <c r="B656" s="63" t="s">
        <v>1366</v>
      </c>
      <c r="C656" s="15" t="s">
        <v>337</v>
      </c>
      <c r="D656" s="15">
        <v>1989</v>
      </c>
      <c r="E656" s="16">
        <v>1500000</v>
      </c>
      <c r="F656" s="15">
        <v>1.9</v>
      </c>
      <c r="G656" s="15">
        <v>2.2000000000000002</v>
      </c>
      <c r="H656" s="15" t="s">
        <v>340</v>
      </c>
      <c r="I656" s="249">
        <f t="shared" si="30"/>
        <v>1</v>
      </c>
      <c r="J656" s="143">
        <v>5000</v>
      </c>
      <c r="K656" s="249" t="s">
        <v>2378</v>
      </c>
      <c r="M656" s="249">
        <f t="shared" si="31"/>
        <v>26</v>
      </c>
      <c r="N656" s="249">
        <f t="shared" si="32"/>
        <v>25</v>
      </c>
      <c r="O656" s="15"/>
      <c r="P656" s="15"/>
      <c r="Q656" s="15" t="s">
        <v>328</v>
      </c>
      <c r="S656" s="15"/>
      <c r="T656" s="15" t="s">
        <v>328</v>
      </c>
      <c r="U656" s="15"/>
      <c r="V656" s="15"/>
      <c r="W656" s="15"/>
      <c r="X656" s="15"/>
      <c r="Z656" s="127">
        <v>0.5</v>
      </c>
      <c r="AA656" s="249">
        <v>3</v>
      </c>
      <c r="AB656" s="250">
        <v>30000</v>
      </c>
      <c r="AC656" s="250">
        <v>30000</v>
      </c>
      <c r="AD656" s="250">
        <v>30000</v>
      </c>
      <c r="AE656" s="250">
        <v>100000</v>
      </c>
      <c r="AF656" s="250">
        <v>30000</v>
      </c>
    </row>
    <row r="657" spans="2:32" x14ac:dyDescent="0.25">
      <c r="B657" s="63" t="s">
        <v>1367</v>
      </c>
      <c r="C657" s="15" t="s">
        <v>337</v>
      </c>
      <c r="D657" s="15">
        <v>1993</v>
      </c>
      <c r="E657" s="16">
        <v>1512000</v>
      </c>
      <c r="F657" s="15">
        <v>2.2000000000000002</v>
      </c>
      <c r="G657" s="15">
        <v>2.4</v>
      </c>
      <c r="H657" s="15" t="s">
        <v>340</v>
      </c>
      <c r="I657" s="249">
        <f t="shared" si="30"/>
        <v>1</v>
      </c>
      <c r="J657" s="143">
        <v>6000</v>
      </c>
      <c r="K657" s="249" t="s">
        <v>2378</v>
      </c>
      <c r="M657" s="249">
        <f t="shared" si="31"/>
        <v>22</v>
      </c>
      <c r="N657" s="249">
        <f t="shared" si="32"/>
        <v>21</v>
      </c>
      <c r="O657" s="15"/>
      <c r="P657" s="15"/>
      <c r="Q657" s="15" t="s">
        <v>328</v>
      </c>
      <c r="S657" s="15"/>
      <c r="T657" s="15"/>
      <c r="U657" s="15"/>
      <c r="V657" s="15"/>
      <c r="W657" s="15" t="s">
        <v>328</v>
      </c>
      <c r="X657" s="15"/>
      <c r="Z657" s="127">
        <v>0.1</v>
      </c>
      <c r="AA657" s="249">
        <v>4</v>
      </c>
      <c r="AB657" s="250">
        <v>16000</v>
      </c>
      <c r="AC657" s="250">
        <v>25000</v>
      </c>
      <c r="AD657" s="250">
        <v>30000</v>
      </c>
      <c r="AE657" s="250">
        <v>130000</v>
      </c>
      <c r="AF657" s="250">
        <v>25000</v>
      </c>
    </row>
    <row r="658" spans="2:32" x14ac:dyDescent="0.25">
      <c r="B658" s="63" t="s">
        <v>1367</v>
      </c>
      <c r="C658" s="15" t="s">
        <v>337</v>
      </c>
      <c r="D658" s="15">
        <v>1993</v>
      </c>
      <c r="E658" s="16">
        <v>1512000</v>
      </c>
      <c r="F658" s="15">
        <v>2.2000000000000002</v>
      </c>
      <c r="G658" s="15">
        <v>2.4</v>
      </c>
      <c r="H658" s="15" t="s">
        <v>340</v>
      </c>
      <c r="I658" s="249">
        <f t="shared" si="30"/>
        <v>1</v>
      </c>
      <c r="J658" s="143">
        <v>6000</v>
      </c>
      <c r="K658" s="249" t="s">
        <v>2378</v>
      </c>
      <c r="M658" s="249">
        <f t="shared" si="31"/>
        <v>22</v>
      </c>
      <c r="N658" s="249">
        <f t="shared" si="32"/>
        <v>21</v>
      </c>
      <c r="O658" s="15"/>
      <c r="P658" s="15"/>
      <c r="Q658" s="15" t="s">
        <v>328</v>
      </c>
      <c r="S658" s="15"/>
      <c r="T658" s="15"/>
      <c r="U658" s="15"/>
      <c r="V658" s="15"/>
      <c r="W658" s="15" t="s">
        <v>328</v>
      </c>
      <c r="X658" s="15"/>
      <c r="Z658" s="127">
        <v>0.1</v>
      </c>
      <c r="AA658" s="249">
        <v>4</v>
      </c>
      <c r="AB658" s="250">
        <v>16000</v>
      </c>
      <c r="AC658" s="250">
        <v>25000</v>
      </c>
      <c r="AD658" s="250">
        <v>30000</v>
      </c>
      <c r="AE658" s="250">
        <v>130000</v>
      </c>
      <c r="AF658" s="250">
        <v>25000</v>
      </c>
    </row>
    <row r="659" spans="2:32" x14ac:dyDescent="0.25">
      <c r="B659" s="63" t="s">
        <v>1367</v>
      </c>
      <c r="C659" s="15" t="s">
        <v>337</v>
      </c>
      <c r="D659" s="15">
        <v>1993</v>
      </c>
      <c r="E659" s="16">
        <v>1512000</v>
      </c>
      <c r="F659" s="15">
        <v>2.2000000000000002</v>
      </c>
      <c r="G659" s="15">
        <v>2.4</v>
      </c>
      <c r="H659" s="15" t="s">
        <v>340</v>
      </c>
      <c r="I659" s="249">
        <f t="shared" si="30"/>
        <v>1</v>
      </c>
      <c r="J659" s="143">
        <v>6000</v>
      </c>
      <c r="K659" s="249" t="s">
        <v>2378</v>
      </c>
      <c r="M659" s="249">
        <f t="shared" si="31"/>
        <v>22</v>
      </c>
      <c r="N659" s="249">
        <f t="shared" si="32"/>
        <v>21</v>
      </c>
      <c r="O659" s="15"/>
      <c r="P659" s="15"/>
      <c r="Q659" s="15" t="s">
        <v>328</v>
      </c>
      <c r="S659" s="15"/>
      <c r="T659" s="15"/>
      <c r="U659" s="15"/>
      <c r="V659" s="15"/>
      <c r="W659" s="15" t="s">
        <v>328</v>
      </c>
      <c r="X659" s="15"/>
      <c r="Z659" s="127">
        <v>0.1</v>
      </c>
      <c r="AA659" s="249">
        <v>4</v>
      </c>
      <c r="AB659" s="250">
        <v>16000</v>
      </c>
      <c r="AC659" s="250">
        <v>25000</v>
      </c>
      <c r="AD659" s="250">
        <v>30000</v>
      </c>
      <c r="AE659" s="250">
        <v>130000</v>
      </c>
      <c r="AF659" s="250">
        <v>25000</v>
      </c>
    </row>
    <row r="660" spans="2:32" x14ac:dyDescent="0.25">
      <c r="B660" s="63" t="s">
        <v>1367</v>
      </c>
      <c r="C660" s="15" t="s">
        <v>337</v>
      </c>
      <c r="D660" s="15">
        <v>1993</v>
      </c>
      <c r="E660" s="16">
        <v>1512000</v>
      </c>
      <c r="F660" s="15">
        <v>2.2000000000000002</v>
      </c>
      <c r="G660" s="15">
        <v>2.4</v>
      </c>
      <c r="H660" s="15" t="s">
        <v>340</v>
      </c>
      <c r="I660" s="249">
        <f t="shared" si="30"/>
        <v>1</v>
      </c>
      <c r="J660" s="143">
        <v>6000</v>
      </c>
      <c r="K660" s="249" t="s">
        <v>2378</v>
      </c>
      <c r="M660" s="249">
        <f t="shared" si="31"/>
        <v>22</v>
      </c>
      <c r="N660" s="249">
        <f t="shared" si="32"/>
        <v>21</v>
      </c>
      <c r="O660" s="15"/>
      <c r="P660" s="15"/>
      <c r="Q660" s="15" t="s">
        <v>328</v>
      </c>
      <c r="S660" s="15"/>
      <c r="T660" s="15"/>
      <c r="U660" s="15"/>
      <c r="V660" s="15"/>
      <c r="W660" s="15" t="s">
        <v>328</v>
      </c>
      <c r="X660" s="15"/>
      <c r="Z660" s="127">
        <v>0.1</v>
      </c>
      <c r="AA660" s="249">
        <v>4</v>
      </c>
      <c r="AB660" s="250">
        <v>16000</v>
      </c>
      <c r="AC660" s="250">
        <v>25000</v>
      </c>
      <c r="AD660" s="250">
        <v>30000</v>
      </c>
      <c r="AE660" s="250">
        <v>130000</v>
      </c>
      <c r="AF660" s="250">
        <v>25000</v>
      </c>
    </row>
    <row r="661" spans="2:32" x14ac:dyDescent="0.25">
      <c r="B661" s="63" t="s">
        <v>1368</v>
      </c>
      <c r="C661" s="15" t="s">
        <v>348</v>
      </c>
      <c r="D661" s="15">
        <v>2004</v>
      </c>
      <c r="E661" s="16">
        <v>350000</v>
      </c>
      <c r="F661" s="15">
        <v>6</v>
      </c>
      <c r="G661" s="15">
        <v>9</v>
      </c>
      <c r="H661" s="15" t="s">
        <v>371</v>
      </c>
      <c r="I661" s="249">
        <f t="shared" si="30"/>
        <v>1</v>
      </c>
      <c r="J661" s="143">
        <v>3000</v>
      </c>
      <c r="K661" s="249" t="s">
        <v>2378</v>
      </c>
      <c r="M661" s="249">
        <f t="shared" si="31"/>
        <v>11</v>
      </c>
      <c r="N661" s="249">
        <f t="shared" si="32"/>
        <v>10</v>
      </c>
      <c r="O661" s="15"/>
      <c r="P661" s="15" t="s">
        <v>328</v>
      </c>
      <c r="Q661" s="15"/>
      <c r="S661" s="15"/>
      <c r="T661" s="15" t="s">
        <v>328</v>
      </c>
      <c r="U661" s="15"/>
      <c r="V661" s="15"/>
      <c r="W661" s="15"/>
      <c r="X661" s="15"/>
      <c r="Z661" s="127">
        <v>0.5</v>
      </c>
      <c r="AA661" s="249">
        <v>3</v>
      </c>
      <c r="AB661" s="250">
        <v>10000</v>
      </c>
      <c r="AC661" s="250">
        <v>20000</v>
      </c>
      <c r="AD661" s="250">
        <v>20000</v>
      </c>
      <c r="AE661" s="250">
        <v>110000</v>
      </c>
      <c r="AF661" s="250" t="s">
        <v>385</v>
      </c>
    </row>
    <row r="662" spans="2:32" x14ac:dyDescent="0.25">
      <c r="B662" s="63" t="s">
        <v>1368</v>
      </c>
      <c r="C662" s="15" t="s">
        <v>348</v>
      </c>
      <c r="D662" s="15">
        <v>2004</v>
      </c>
      <c r="E662" s="16">
        <v>600000</v>
      </c>
      <c r="F662" s="15">
        <v>5</v>
      </c>
      <c r="G662" s="15">
        <v>8</v>
      </c>
      <c r="H662" s="15" t="s">
        <v>371</v>
      </c>
      <c r="I662" s="249">
        <f t="shared" si="30"/>
        <v>1</v>
      </c>
      <c r="J662" s="143">
        <v>3000</v>
      </c>
      <c r="K662" s="249" t="s">
        <v>2378</v>
      </c>
      <c r="M662" s="249">
        <f t="shared" si="31"/>
        <v>11</v>
      </c>
      <c r="N662" s="249">
        <f t="shared" si="32"/>
        <v>10</v>
      </c>
      <c r="O662" s="15"/>
      <c r="P662" s="15" t="s">
        <v>328</v>
      </c>
      <c r="Q662" s="15"/>
      <c r="S662" s="15"/>
      <c r="T662" s="15" t="s">
        <v>328</v>
      </c>
      <c r="U662" s="15"/>
      <c r="V662" s="15"/>
      <c r="W662" s="15"/>
      <c r="X662" s="15"/>
      <c r="Z662" s="127">
        <v>0.5</v>
      </c>
      <c r="AA662" s="249">
        <v>3</v>
      </c>
      <c r="AB662" s="250">
        <v>10000</v>
      </c>
      <c r="AC662" s="250">
        <v>20000</v>
      </c>
      <c r="AD662" s="250">
        <v>20000</v>
      </c>
      <c r="AE662" s="250">
        <v>110000</v>
      </c>
      <c r="AF662" s="250" t="s">
        <v>385</v>
      </c>
    </row>
    <row r="663" spans="2:32" x14ac:dyDescent="0.25">
      <c r="B663" s="63" t="s">
        <v>1368</v>
      </c>
      <c r="C663" s="14" t="s">
        <v>351</v>
      </c>
      <c r="D663" s="15">
        <v>2006</v>
      </c>
      <c r="E663" s="16">
        <v>520000</v>
      </c>
      <c r="F663" s="15">
        <v>2.4</v>
      </c>
      <c r="G663" s="15">
        <v>3</v>
      </c>
      <c r="H663" s="15" t="s">
        <v>340</v>
      </c>
      <c r="I663" s="249">
        <f t="shared" si="30"/>
        <v>1</v>
      </c>
      <c r="J663" s="143">
        <v>3000</v>
      </c>
      <c r="K663" s="249" t="s">
        <v>2378</v>
      </c>
      <c r="M663" s="249">
        <f t="shared" si="31"/>
        <v>9</v>
      </c>
      <c r="N663" s="249">
        <f t="shared" si="32"/>
        <v>8</v>
      </c>
      <c r="O663" s="15"/>
      <c r="P663" s="15" t="s">
        <v>328</v>
      </c>
      <c r="Q663" s="15"/>
      <c r="S663" s="15"/>
      <c r="T663" s="15"/>
      <c r="U663" s="15"/>
      <c r="V663" s="15"/>
      <c r="W663" s="15" t="s">
        <v>328</v>
      </c>
      <c r="X663" s="15"/>
      <c r="Z663" s="127">
        <v>0.5</v>
      </c>
      <c r="AA663" s="249">
        <v>3</v>
      </c>
      <c r="AB663" s="250">
        <v>15000</v>
      </c>
      <c r="AC663" s="250">
        <v>30000</v>
      </c>
      <c r="AD663" s="250">
        <v>30000</v>
      </c>
      <c r="AE663" s="250">
        <v>110000</v>
      </c>
      <c r="AF663" s="250">
        <v>30000</v>
      </c>
    </row>
    <row r="664" spans="2:32" x14ac:dyDescent="0.25">
      <c r="B664" s="63" t="s">
        <v>1369</v>
      </c>
      <c r="C664" s="15" t="s">
        <v>348</v>
      </c>
      <c r="D664" s="15">
        <v>2007</v>
      </c>
      <c r="E664" s="16">
        <v>134400</v>
      </c>
      <c r="F664" s="15">
        <v>1.5</v>
      </c>
      <c r="G664" s="15">
        <v>2.5</v>
      </c>
      <c r="H664" s="15" t="s">
        <v>340</v>
      </c>
      <c r="I664" s="249">
        <f t="shared" si="30"/>
        <v>1</v>
      </c>
      <c r="J664" s="143">
        <v>1600</v>
      </c>
      <c r="K664" s="249" t="s">
        <v>2378</v>
      </c>
      <c r="M664" s="249">
        <f t="shared" si="31"/>
        <v>8</v>
      </c>
      <c r="N664" s="249">
        <f t="shared" si="32"/>
        <v>7</v>
      </c>
      <c r="O664" s="15" t="s">
        <v>328</v>
      </c>
      <c r="P664" s="15"/>
      <c r="Q664" s="15"/>
      <c r="S664" s="15"/>
      <c r="T664" s="15" t="s">
        <v>328</v>
      </c>
      <c r="U664" s="15"/>
      <c r="V664" s="15"/>
      <c r="W664" s="15"/>
      <c r="X664" s="15"/>
      <c r="Z664" s="127">
        <v>0.6</v>
      </c>
      <c r="AA664" s="249">
        <v>3</v>
      </c>
      <c r="AB664" s="250">
        <v>19200</v>
      </c>
      <c r="AC664" s="250">
        <v>19200</v>
      </c>
      <c r="AD664" s="250">
        <v>19200</v>
      </c>
      <c r="AE664" s="250">
        <v>80000</v>
      </c>
      <c r="AF664" s="250">
        <v>19200</v>
      </c>
    </row>
    <row r="665" spans="2:32" x14ac:dyDescent="0.25">
      <c r="B665" s="63" t="s">
        <v>1369</v>
      </c>
      <c r="C665" s="15" t="s">
        <v>348</v>
      </c>
      <c r="D665" s="15">
        <v>2007</v>
      </c>
      <c r="E665" s="16">
        <v>134400</v>
      </c>
      <c r="F665" s="15">
        <v>1.5</v>
      </c>
      <c r="G665" s="15">
        <v>2.5</v>
      </c>
      <c r="H665" s="15" t="s">
        <v>340</v>
      </c>
      <c r="I665" s="249">
        <f t="shared" si="30"/>
        <v>1</v>
      </c>
      <c r="J665" s="143">
        <v>1600</v>
      </c>
      <c r="K665" s="249" t="s">
        <v>2378</v>
      </c>
      <c r="M665" s="249">
        <f t="shared" si="31"/>
        <v>8</v>
      </c>
      <c r="N665" s="249">
        <f t="shared" si="32"/>
        <v>7</v>
      </c>
      <c r="O665" s="15" t="s">
        <v>328</v>
      </c>
      <c r="P665" s="15"/>
      <c r="Q665" s="15"/>
      <c r="S665" s="15"/>
      <c r="T665" s="15" t="s">
        <v>328</v>
      </c>
      <c r="U665" s="15"/>
      <c r="V665" s="15"/>
      <c r="W665" s="15"/>
      <c r="X665" s="15"/>
      <c r="Z665" s="127">
        <v>0.6</v>
      </c>
      <c r="AA665" s="249">
        <v>3</v>
      </c>
      <c r="AB665" s="250">
        <v>19200</v>
      </c>
      <c r="AC665" s="250">
        <v>19200</v>
      </c>
      <c r="AD665" s="250">
        <v>19200</v>
      </c>
      <c r="AE665" s="250">
        <v>80000</v>
      </c>
      <c r="AF665" s="250">
        <v>19200</v>
      </c>
    </row>
    <row r="666" spans="2:32" x14ac:dyDescent="0.25">
      <c r="B666" s="63" t="s">
        <v>1369</v>
      </c>
      <c r="C666" s="15" t="s">
        <v>348</v>
      </c>
      <c r="D666" s="15">
        <v>1978</v>
      </c>
      <c r="E666" s="16">
        <v>691200</v>
      </c>
      <c r="F666" s="15">
        <v>1.7</v>
      </c>
      <c r="G666" s="15">
        <v>2.2999999999999998</v>
      </c>
      <c r="H666" s="15" t="s">
        <v>340</v>
      </c>
      <c r="I666" s="249">
        <f t="shared" si="30"/>
        <v>1</v>
      </c>
      <c r="J666" s="143">
        <v>1600</v>
      </c>
      <c r="K666" s="249" t="s">
        <v>2378</v>
      </c>
      <c r="M666" s="249">
        <f t="shared" si="31"/>
        <v>37</v>
      </c>
      <c r="N666" s="249">
        <f t="shared" si="32"/>
        <v>36</v>
      </c>
      <c r="O666" s="15"/>
      <c r="P666" s="15"/>
      <c r="Q666" s="15" t="s">
        <v>328</v>
      </c>
      <c r="S666" s="15"/>
      <c r="T666" s="15" t="s">
        <v>328</v>
      </c>
      <c r="U666" s="15"/>
      <c r="V666" s="15"/>
      <c r="W666" s="15"/>
      <c r="X666" s="15"/>
      <c r="Z666" s="127">
        <v>0.6</v>
      </c>
      <c r="AA666" s="249">
        <v>3</v>
      </c>
      <c r="AB666" s="250">
        <v>19200</v>
      </c>
      <c r="AC666" s="250">
        <v>19200</v>
      </c>
      <c r="AD666" s="250">
        <v>19200</v>
      </c>
      <c r="AE666" s="250">
        <v>80000</v>
      </c>
      <c r="AF666" s="250">
        <v>19200</v>
      </c>
    </row>
    <row r="667" spans="2:32" x14ac:dyDescent="0.25">
      <c r="B667" s="63" t="s">
        <v>1370</v>
      </c>
      <c r="C667" s="15" t="s">
        <v>348</v>
      </c>
      <c r="D667" s="15">
        <v>1976</v>
      </c>
      <c r="E667" s="16">
        <v>800000</v>
      </c>
      <c r="F667" s="15">
        <v>3</v>
      </c>
      <c r="G667" s="15">
        <v>3.5</v>
      </c>
      <c r="H667" s="15" t="s">
        <v>340</v>
      </c>
      <c r="I667" s="249">
        <f t="shared" si="30"/>
        <v>1</v>
      </c>
      <c r="J667" s="143">
        <v>2000</v>
      </c>
      <c r="K667" s="249" t="s">
        <v>2378</v>
      </c>
      <c r="M667" s="249">
        <f t="shared" si="31"/>
        <v>39</v>
      </c>
      <c r="N667" s="249">
        <f t="shared" si="32"/>
        <v>38</v>
      </c>
      <c r="O667" s="15"/>
      <c r="P667" s="15" t="s">
        <v>328</v>
      </c>
      <c r="Q667" s="15"/>
      <c r="S667" s="15"/>
      <c r="T667" s="15"/>
      <c r="U667" s="15"/>
      <c r="V667" s="15"/>
      <c r="W667" s="15" t="s">
        <v>328</v>
      </c>
      <c r="X667" s="15"/>
      <c r="Z667" s="127">
        <v>0.5</v>
      </c>
      <c r="AA667" s="249">
        <v>1</v>
      </c>
      <c r="AB667" s="250">
        <v>8000</v>
      </c>
      <c r="AC667" s="250">
        <v>12000</v>
      </c>
      <c r="AD667" s="250">
        <v>8000</v>
      </c>
      <c r="AE667" s="250">
        <v>100000</v>
      </c>
      <c r="AF667" s="250">
        <v>8000</v>
      </c>
    </row>
    <row r="668" spans="2:32" x14ac:dyDescent="0.25">
      <c r="B668" s="63" t="s">
        <v>1371</v>
      </c>
      <c r="C668" s="15" t="s">
        <v>337</v>
      </c>
      <c r="D668" s="15">
        <v>1990</v>
      </c>
      <c r="E668" s="16">
        <v>2500000</v>
      </c>
      <c r="F668" s="15">
        <v>2.2000000000000002</v>
      </c>
      <c r="G668" s="15">
        <v>2.4</v>
      </c>
      <c r="H668" s="15" t="s">
        <v>340</v>
      </c>
      <c r="I668" s="249">
        <f t="shared" si="30"/>
        <v>1</v>
      </c>
      <c r="J668" s="143">
        <v>4000</v>
      </c>
      <c r="K668" s="249" t="s">
        <v>2378</v>
      </c>
      <c r="M668" s="249">
        <f t="shared" si="31"/>
        <v>25</v>
      </c>
      <c r="N668" s="249">
        <f t="shared" si="32"/>
        <v>24</v>
      </c>
      <c r="O668" s="15"/>
      <c r="P668" s="15"/>
      <c r="Q668" s="15" t="s">
        <v>328</v>
      </c>
      <c r="S668" s="15"/>
      <c r="T668" s="15"/>
      <c r="U668" s="15"/>
      <c r="V668" s="15"/>
      <c r="W668" s="15" t="s">
        <v>328</v>
      </c>
      <c r="X668" s="15"/>
      <c r="Z668" s="127">
        <v>0.5</v>
      </c>
      <c r="AA668" s="249">
        <v>1</v>
      </c>
      <c r="AB668" s="250">
        <v>16000</v>
      </c>
      <c r="AC668" s="250">
        <v>20000</v>
      </c>
      <c r="AD668" s="250">
        <v>30000</v>
      </c>
      <c r="AE668" s="250">
        <v>120000</v>
      </c>
      <c r="AF668" s="250">
        <v>20000</v>
      </c>
    </row>
    <row r="669" spans="2:32" x14ac:dyDescent="0.25">
      <c r="B669" s="63" t="s">
        <v>1372</v>
      </c>
      <c r="C669" s="14" t="s">
        <v>351</v>
      </c>
      <c r="D669" s="15">
        <v>1977</v>
      </c>
      <c r="E669" s="16">
        <v>1000000</v>
      </c>
      <c r="F669" s="15">
        <v>2.5</v>
      </c>
      <c r="G669" s="15">
        <v>2.7</v>
      </c>
      <c r="H669" s="15" t="s">
        <v>340</v>
      </c>
      <c r="I669" s="249">
        <f t="shared" si="30"/>
        <v>1</v>
      </c>
      <c r="J669" s="143">
        <v>3000</v>
      </c>
      <c r="K669" s="249" t="s">
        <v>2378</v>
      </c>
      <c r="M669" s="249">
        <f t="shared" si="31"/>
        <v>38</v>
      </c>
      <c r="N669" s="249">
        <f t="shared" si="32"/>
        <v>37</v>
      </c>
      <c r="O669" s="15"/>
      <c r="P669" s="15"/>
      <c r="Q669" s="15" t="s">
        <v>328</v>
      </c>
      <c r="S669" s="15"/>
      <c r="T669" s="15" t="s">
        <v>328</v>
      </c>
      <c r="U669" s="15"/>
      <c r="V669" s="15"/>
      <c r="W669" s="15"/>
      <c r="X669" s="15"/>
      <c r="Z669" s="127">
        <v>0.5</v>
      </c>
      <c r="AA669" s="249">
        <v>5</v>
      </c>
      <c r="AB669" s="250">
        <v>20000</v>
      </c>
      <c r="AC669" s="250">
        <v>10000</v>
      </c>
      <c r="AD669" s="250">
        <v>20000</v>
      </c>
      <c r="AE669" s="250">
        <v>85000</v>
      </c>
      <c r="AF669" s="250">
        <v>10000</v>
      </c>
    </row>
    <row r="670" spans="2:32" x14ac:dyDescent="0.25">
      <c r="B670" s="63" t="s">
        <v>1372</v>
      </c>
      <c r="C670" s="15" t="s">
        <v>348</v>
      </c>
      <c r="D670" s="15">
        <v>1993</v>
      </c>
      <c r="E670" s="16">
        <v>800000</v>
      </c>
      <c r="F670" s="15">
        <v>3.1</v>
      </c>
      <c r="G670" s="15">
        <v>3.3</v>
      </c>
      <c r="H670" s="15" t="s">
        <v>340</v>
      </c>
      <c r="I670" s="249">
        <f t="shared" si="30"/>
        <v>1</v>
      </c>
      <c r="J670" s="143">
        <v>3000</v>
      </c>
      <c r="K670" s="249" t="s">
        <v>2378</v>
      </c>
      <c r="M670" s="249">
        <f t="shared" si="31"/>
        <v>22</v>
      </c>
      <c r="N670" s="249">
        <f t="shared" si="32"/>
        <v>21</v>
      </c>
      <c r="O670" s="15"/>
      <c r="P670" s="15"/>
      <c r="Q670" s="15" t="s">
        <v>328</v>
      </c>
      <c r="S670" s="15"/>
      <c r="T670" s="15" t="s">
        <v>328</v>
      </c>
      <c r="U670" s="15"/>
      <c r="V670" s="15"/>
      <c r="W670" s="15"/>
      <c r="X670" s="15"/>
      <c r="Z670" s="127">
        <v>0.5</v>
      </c>
      <c r="AA670" s="249">
        <v>5</v>
      </c>
      <c r="AB670" s="250">
        <v>20000</v>
      </c>
      <c r="AC670" s="250">
        <v>12000</v>
      </c>
      <c r="AD670" s="250">
        <v>20000</v>
      </c>
      <c r="AE670" s="250">
        <v>85000</v>
      </c>
      <c r="AF670" s="250">
        <v>12000</v>
      </c>
    </row>
    <row r="671" spans="2:32" x14ac:dyDescent="0.25">
      <c r="B671" s="63" t="s">
        <v>1372</v>
      </c>
      <c r="C671" s="15" t="s">
        <v>348</v>
      </c>
      <c r="D671" s="15">
        <v>1993</v>
      </c>
      <c r="E671" s="16">
        <v>800000</v>
      </c>
      <c r="F671" s="15">
        <v>3.1</v>
      </c>
      <c r="G671" s="15">
        <v>3.3</v>
      </c>
      <c r="H671" s="15" t="s">
        <v>340</v>
      </c>
      <c r="I671" s="249">
        <f t="shared" si="30"/>
        <v>1</v>
      </c>
      <c r="J671" s="143">
        <v>3000</v>
      </c>
      <c r="K671" s="249" t="s">
        <v>2378</v>
      </c>
      <c r="M671" s="249">
        <f t="shared" si="31"/>
        <v>22</v>
      </c>
      <c r="N671" s="249">
        <f t="shared" si="32"/>
        <v>21</v>
      </c>
      <c r="O671" s="15"/>
      <c r="P671" s="15"/>
      <c r="Q671" s="15" t="s">
        <v>328</v>
      </c>
      <c r="S671" s="15"/>
      <c r="T671" s="15" t="s">
        <v>328</v>
      </c>
      <c r="U671" s="15"/>
      <c r="V671" s="15"/>
      <c r="W671" s="15"/>
      <c r="X671" s="15"/>
      <c r="Z671" s="127">
        <v>0.5</v>
      </c>
      <c r="AA671" s="249">
        <v>5</v>
      </c>
      <c r="AB671" s="250">
        <v>20000</v>
      </c>
      <c r="AC671" s="250">
        <v>12000</v>
      </c>
      <c r="AD671" s="250">
        <v>20000</v>
      </c>
      <c r="AE671" s="250">
        <v>85000</v>
      </c>
      <c r="AF671" s="250">
        <v>12000</v>
      </c>
    </row>
    <row r="672" spans="2:32" x14ac:dyDescent="0.25">
      <c r="B672" s="63" t="s">
        <v>1372</v>
      </c>
      <c r="C672" s="15" t="s">
        <v>337</v>
      </c>
      <c r="D672" s="15">
        <v>1991</v>
      </c>
      <c r="E672" s="16">
        <v>1500000</v>
      </c>
      <c r="F672" s="15">
        <v>1.7</v>
      </c>
      <c r="G672" s="15">
        <v>1.9</v>
      </c>
      <c r="H672" s="15" t="s">
        <v>340</v>
      </c>
      <c r="I672" s="249">
        <f t="shared" si="30"/>
        <v>1</v>
      </c>
      <c r="J672" s="143">
        <v>7000</v>
      </c>
      <c r="K672" s="249" t="s">
        <v>2378</v>
      </c>
      <c r="M672" s="249">
        <f t="shared" si="31"/>
        <v>24</v>
      </c>
      <c r="N672" s="249">
        <f t="shared" si="32"/>
        <v>23</v>
      </c>
      <c r="O672" s="15"/>
      <c r="P672" s="15"/>
      <c r="Q672" s="15" t="s">
        <v>328</v>
      </c>
      <c r="S672" s="15"/>
      <c r="T672" s="15"/>
      <c r="U672" s="15"/>
      <c r="V672" s="15"/>
      <c r="W672" s="15" t="s">
        <v>328</v>
      </c>
      <c r="X672" s="15"/>
      <c r="Z672" s="127">
        <v>0.5</v>
      </c>
      <c r="AA672" s="249">
        <v>5</v>
      </c>
      <c r="AB672" s="250">
        <v>20000</v>
      </c>
      <c r="AC672" s="250">
        <v>15000</v>
      </c>
      <c r="AD672" s="250">
        <v>25000</v>
      </c>
      <c r="AE672" s="250">
        <v>120000</v>
      </c>
      <c r="AF672" s="250">
        <v>15000</v>
      </c>
    </row>
    <row r="673" spans="2:32" x14ac:dyDescent="0.25">
      <c r="B673" s="63" t="s">
        <v>1372</v>
      </c>
      <c r="C673" s="15" t="s">
        <v>337</v>
      </c>
      <c r="D673" s="15">
        <v>1993</v>
      </c>
      <c r="E673" s="16">
        <v>900000</v>
      </c>
      <c r="F673" s="15">
        <v>1.7</v>
      </c>
      <c r="G673" s="15">
        <v>1.9</v>
      </c>
      <c r="H673" s="15" t="s">
        <v>340</v>
      </c>
      <c r="I673" s="249">
        <f t="shared" si="30"/>
        <v>1</v>
      </c>
      <c r="J673" s="143">
        <v>7000</v>
      </c>
      <c r="K673" s="249" t="s">
        <v>2378</v>
      </c>
      <c r="M673" s="249">
        <f t="shared" si="31"/>
        <v>22</v>
      </c>
      <c r="N673" s="249">
        <f t="shared" si="32"/>
        <v>21</v>
      </c>
      <c r="O673" s="15"/>
      <c r="P673" s="15"/>
      <c r="Q673" s="15" t="s">
        <v>328</v>
      </c>
      <c r="S673" s="15"/>
      <c r="T673" s="15"/>
      <c r="U673" s="15"/>
      <c r="V673" s="15"/>
      <c r="W673" s="15" t="s">
        <v>328</v>
      </c>
      <c r="X673" s="15"/>
      <c r="Z673" s="127">
        <v>0.5</v>
      </c>
      <c r="AA673" s="249">
        <v>5</v>
      </c>
      <c r="AB673" s="250">
        <v>20000</v>
      </c>
      <c r="AC673" s="250">
        <v>15000</v>
      </c>
      <c r="AD673" s="250">
        <v>25000</v>
      </c>
      <c r="AE673" s="250">
        <v>120000</v>
      </c>
      <c r="AF673" s="250">
        <v>15000</v>
      </c>
    </row>
    <row r="674" spans="2:32" x14ac:dyDescent="0.25">
      <c r="B674" s="65" t="s">
        <v>1373</v>
      </c>
      <c r="C674" s="15" t="s">
        <v>348</v>
      </c>
      <c r="D674" s="15">
        <v>1980</v>
      </c>
      <c r="E674" s="16">
        <v>2500000</v>
      </c>
      <c r="F674" s="15">
        <v>3</v>
      </c>
      <c r="G674" s="15">
        <v>3.1</v>
      </c>
      <c r="H674" s="15" t="s">
        <v>340</v>
      </c>
      <c r="I674" s="249">
        <f t="shared" si="30"/>
        <v>1</v>
      </c>
      <c r="J674" s="143">
        <v>4000</v>
      </c>
      <c r="K674" s="249" t="s">
        <v>2378</v>
      </c>
      <c r="M674" s="249">
        <f t="shared" si="31"/>
        <v>35</v>
      </c>
      <c r="N674" s="249">
        <f t="shared" si="32"/>
        <v>34</v>
      </c>
      <c r="O674" s="15"/>
      <c r="P674" s="15"/>
      <c r="Q674" s="15" t="s">
        <v>328</v>
      </c>
      <c r="S674" s="15"/>
      <c r="T674" s="15"/>
      <c r="U674" s="15"/>
      <c r="V674" s="15" t="s">
        <v>328</v>
      </c>
      <c r="W674" s="15"/>
      <c r="X674" s="15"/>
      <c r="Z674" s="127">
        <v>0.5</v>
      </c>
      <c r="AA674" s="249">
        <v>3</v>
      </c>
      <c r="AB674" s="250">
        <v>10000</v>
      </c>
      <c r="AC674" s="250">
        <v>12000</v>
      </c>
      <c r="AD674" s="250">
        <v>40000</v>
      </c>
      <c r="AE674" s="250">
        <v>120000</v>
      </c>
      <c r="AF674" s="250">
        <v>12000</v>
      </c>
    </row>
    <row r="675" spans="2:32" x14ac:dyDescent="0.25">
      <c r="B675" s="65" t="s">
        <v>1373</v>
      </c>
      <c r="C675" s="15" t="s">
        <v>348</v>
      </c>
      <c r="D675" s="15">
        <v>1980</v>
      </c>
      <c r="E675" s="16">
        <v>3200000</v>
      </c>
      <c r="F675" s="15">
        <v>3</v>
      </c>
      <c r="G675" s="15">
        <v>3.1</v>
      </c>
      <c r="H675" s="15" t="s">
        <v>340</v>
      </c>
      <c r="I675" s="249">
        <f t="shared" si="30"/>
        <v>1</v>
      </c>
      <c r="J675" s="143">
        <v>4000</v>
      </c>
      <c r="K675" s="249" t="s">
        <v>2378</v>
      </c>
      <c r="M675" s="249">
        <f t="shared" si="31"/>
        <v>35</v>
      </c>
      <c r="N675" s="249">
        <f t="shared" si="32"/>
        <v>34</v>
      </c>
      <c r="O675" s="15"/>
      <c r="P675" s="15"/>
      <c r="Q675" s="15" t="s">
        <v>328</v>
      </c>
      <c r="S675" s="15"/>
      <c r="T675" s="15"/>
      <c r="U675" s="15"/>
      <c r="V675" s="15" t="s">
        <v>328</v>
      </c>
      <c r="W675" s="15"/>
      <c r="X675" s="15"/>
      <c r="Z675" s="127">
        <v>0.5</v>
      </c>
      <c r="AA675" s="249">
        <v>3</v>
      </c>
      <c r="AB675" s="250">
        <v>10000</v>
      </c>
      <c r="AC675" s="250">
        <v>12000</v>
      </c>
      <c r="AD675" s="250">
        <v>40000</v>
      </c>
      <c r="AE675" s="250">
        <v>120000</v>
      </c>
      <c r="AF675" s="250">
        <v>12000</v>
      </c>
    </row>
    <row r="676" spans="2:32" x14ac:dyDescent="0.25">
      <c r="B676" s="65" t="s">
        <v>1373</v>
      </c>
      <c r="C676" s="15" t="s">
        <v>348</v>
      </c>
      <c r="D676" s="15">
        <v>1990</v>
      </c>
      <c r="E676" s="16">
        <v>1104000</v>
      </c>
      <c r="F676" s="15">
        <v>3</v>
      </c>
      <c r="G676" s="15">
        <v>3.2</v>
      </c>
      <c r="H676" s="15" t="s">
        <v>340</v>
      </c>
      <c r="I676" s="249">
        <f t="shared" si="30"/>
        <v>1</v>
      </c>
      <c r="J676" s="143">
        <v>4000</v>
      </c>
      <c r="K676" s="249" t="s">
        <v>2378</v>
      </c>
      <c r="M676" s="249">
        <f t="shared" si="31"/>
        <v>25</v>
      </c>
      <c r="N676" s="249">
        <f t="shared" si="32"/>
        <v>24</v>
      </c>
      <c r="O676" s="15"/>
      <c r="P676" s="15"/>
      <c r="Q676" s="15" t="s">
        <v>328</v>
      </c>
      <c r="S676" s="15" t="s">
        <v>328</v>
      </c>
      <c r="T676" s="15"/>
      <c r="U676" s="15"/>
      <c r="V676" s="15"/>
      <c r="W676" s="15"/>
      <c r="X676" s="15"/>
      <c r="Z676" s="127">
        <v>0.5</v>
      </c>
      <c r="AA676" s="249">
        <v>3</v>
      </c>
      <c r="AB676" s="250">
        <v>20000</v>
      </c>
      <c r="AC676" s="250">
        <v>40000</v>
      </c>
      <c r="AD676" s="250">
        <v>40000</v>
      </c>
      <c r="AE676" s="250">
        <v>110000</v>
      </c>
      <c r="AF676" s="250">
        <v>20000</v>
      </c>
    </row>
    <row r="677" spans="2:32" x14ac:dyDescent="0.25">
      <c r="B677" s="63" t="s">
        <v>1374</v>
      </c>
      <c r="C677" s="14" t="s">
        <v>351</v>
      </c>
      <c r="D677" s="15">
        <v>1980</v>
      </c>
      <c r="E677" s="16">
        <v>1200000</v>
      </c>
      <c r="F677" s="15">
        <v>3</v>
      </c>
      <c r="G677" s="15">
        <v>3.2</v>
      </c>
      <c r="H677" s="15" t="s">
        <v>340</v>
      </c>
      <c r="I677" s="249">
        <f t="shared" si="30"/>
        <v>1</v>
      </c>
      <c r="J677" s="143">
        <v>4000</v>
      </c>
      <c r="K677" s="249" t="s">
        <v>2378</v>
      </c>
      <c r="M677" s="249">
        <f t="shared" si="31"/>
        <v>35</v>
      </c>
      <c r="N677" s="249">
        <f t="shared" si="32"/>
        <v>34</v>
      </c>
      <c r="O677" s="15"/>
      <c r="P677" s="15"/>
      <c r="Q677" s="15" t="s">
        <v>328</v>
      </c>
      <c r="S677" s="15" t="s">
        <v>328</v>
      </c>
      <c r="T677" s="15"/>
      <c r="U677" s="15"/>
      <c r="V677" s="15"/>
      <c r="W677" s="15"/>
      <c r="X677" s="15"/>
      <c r="Z677" s="127">
        <v>0.5</v>
      </c>
      <c r="AA677" s="249">
        <v>1</v>
      </c>
      <c r="AB677" s="250">
        <v>20000</v>
      </c>
      <c r="AC677" s="250">
        <v>40000</v>
      </c>
      <c r="AD677" s="250">
        <v>40000</v>
      </c>
      <c r="AE677" s="250">
        <v>110000</v>
      </c>
      <c r="AF677" s="250">
        <v>20000</v>
      </c>
    </row>
    <row r="678" spans="2:32" x14ac:dyDescent="0.25">
      <c r="B678" s="65" t="s">
        <v>1375</v>
      </c>
      <c r="C678" s="15" t="s">
        <v>337</v>
      </c>
      <c r="D678" s="15">
        <v>1978</v>
      </c>
      <c r="E678" s="16">
        <v>1260000</v>
      </c>
      <c r="F678" s="15">
        <v>1.8</v>
      </c>
      <c r="G678" s="15">
        <v>2.1</v>
      </c>
      <c r="H678" s="15" t="s">
        <v>340</v>
      </c>
      <c r="I678" s="249">
        <f t="shared" si="30"/>
        <v>1</v>
      </c>
      <c r="J678" s="143">
        <v>3000</v>
      </c>
      <c r="K678" s="249" t="s">
        <v>2378</v>
      </c>
      <c r="M678" s="249">
        <f t="shared" si="31"/>
        <v>37</v>
      </c>
      <c r="N678" s="249">
        <f t="shared" si="32"/>
        <v>36</v>
      </c>
      <c r="O678" s="15"/>
      <c r="P678" s="15"/>
      <c r="Q678" s="15" t="s">
        <v>328</v>
      </c>
      <c r="S678" s="15" t="s">
        <v>328</v>
      </c>
      <c r="T678" s="15"/>
      <c r="U678" s="15"/>
      <c r="V678" s="15"/>
      <c r="W678" s="15"/>
      <c r="X678" s="15"/>
      <c r="Z678" s="127">
        <v>0.5</v>
      </c>
      <c r="AA678" s="249">
        <v>3</v>
      </c>
      <c r="AB678" s="250">
        <v>16000</v>
      </c>
      <c r="AC678" s="250">
        <v>20000</v>
      </c>
      <c r="AD678" s="250">
        <v>20000</v>
      </c>
      <c r="AE678" s="250">
        <v>130000</v>
      </c>
      <c r="AF678" s="250">
        <v>20000</v>
      </c>
    </row>
    <row r="679" spans="2:32" x14ac:dyDescent="0.25">
      <c r="B679" s="65" t="s">
        <v>1375</v>
      </c>
      <c r="C679" s="15" t="s">
        <v>337</v>
      </c>
      <c r="D679" s="15">
        <v>1978</v>
      </c>
      <c r="E679" s="16">
        <v>1260000</v>
      </c>
      <c r="F679" s="15">
        <v>1.8</v>
      </c>
      <c r="G679" s="15">
        <v>2.1</v>
      </c>
      <c r="H679" s="15" t="s">
        <v>340</v>
      </c>
      <c r="I679" s="249">
        <f t="shared" si="30"/>
        <v>1</v>
      </c>
      <c r="J679" s="143">
        <v>3000</v>
      </c>
      <c r="K679" s="249" t="s">
        <v>2378</v>
      </c>
      <c r="M679" s="249">
        <f t="shared" si="31"/>
        <v>37</v>
      </c>
      <c r="N679" s="249">
        <f t="shared" si="32"/>
        <v>36</v>
      </c>
      <c r="O679" s="15"/>
      <c r="P679" s="15"/>
      <c r="Q679" s="15" t="s">
        <v>328</v>
      </c>
      <c r="S679" s="15"/>
      <c r="T679" s="15" t="s">
        <v>328</v>
      </c>
      <c r="U679" s="15"/>
      <c r="V679" s="15"/>
      <c r="W679" s="15"/>
      <c r="X679" s="15"/>
      <c r="Z679" s="127">
        <v>0.5</v>
      </c>
      <c r="AA679" s="249">
        <v>3</v>
      </c>
      <c r="AB679" s="250">
        <v>16000</v>
      </c>
      <c r="AC679" s="250">
        <v>20000</v>
      </c>
      <c r="AD679" s="250">
        <v>20000</v>
      </c>
      <c r="AE679" s="250">
        <v>130000</v>
      </c>
      <c r="AF679" s="250">
        <v>20000</v>
      </c>
    </row>
    <row r="680" spans="2:32" x14ac:dyDescent="0.25">
      <c r="B680" s="65" t="s">
        <v>1375</v>
      </c>
      <c r="C680" s="15" t="s">
        <v>337</v>
      </c>
      <c r="D680" s="15">
        <v>1981</v>
      </c>
      <c r="E680" s="16">
        <v>1152000</v>
      </c>
      <c r="F680" s="15">
        <v>1.8</v>
      </c>
      <c r="G680" s="15">
        <v>2.1</v>
      </c>
      <c r="H680" s="15" t="s">
        <v>340</v>
      </c>
      <c r="I680" s="249">
        <f t="shared" si="30"/>
        <v>1</v>
      </c>
      <c r="J680" s="143">
        <v>3000</v>
      </c>
      <c r="K680" s="249" t="s">
        <v>2378</v>
      </c>
      <c r="M680" s="249">
        <f t="shared" si="31"/>
        <v>34</v>
      </c>
      <c r="N680" s="249">
        <f t="shared" si="32"/>
        <v>33</v>
      </c>
      <c r="O680" s="15"/>
      <c r="P680" s="15"/>
      <c r="Q680" s="15" t="s">
        <v>328</v>
      </c>
      <c r="S680" s="15"/>
      <c r="T680" s="15" t="s">
        <v>328</v>
      </c>
      <c r="U680" s="15"/>
      <c r="V680" s="15"/>
      <c r="W680" s="15"/>
      <c r="X680" s="15"/>
      <c r="Z680" s="127">
        <v>0.5</v>
      </c>
      <c r="AA680" s="249">
        <v>3</v>
      </c>
      <c r="AB680" s="250">
        <v>16000</v>
      </c>
      <c r="AC680" s="250">
        <v>20000</v>
      </c>
      <c r="AD680" s="250">
        <v>20000</v>
      </c>
      <c r="AE680" s="250">
        <v>130000</v>
      </c>
      <c r="AF680" s="250">
        <v>20000</v>
      </c>
    </row>
    <row r="681" spans="2:32" x14ac:dyDescent="0.25">
      <c r="B681" s="63" t="s">
        <v>1376</v>
      </c>
      <c r="C681" s="15" t="s">
        <v>348</v>
      </c>
      <c r="D681" s="15">
        <v>2004</v>
      </c>
      <c r="E681" s="16">
        <v>324000</v>
      </c>
      <c r="F681" s="15">
        <v>4</v>
      </c>
      <c r="G681" s="15">
        <v>4.9000000000000004</v>
      </c>
      <c r="H681" s="15" t="s">
        <v>371</v>
      </c>
      <c r="I681" s="249">
        <f t="shared" si="30"/>
        <v>1</v>
      </c>
      <c r="J681" s="143">
        <v>3000</v>
      </c>
      <c r="K681" s="249" t="s">
        <v>2379</v>
      </c>
      <c r="M681" s="249">
        <f t="shared" si="31"/>
        <v>11</v>
      </c>
      <c r="N681" s="249">
        <f t="shared" si="32"/>
        <v>10</v>
      </c>
      <c r="O681" s="15" t="s">
        <v>328</v>
      </c>
      <c r="P681" s="15"/>
      <c r="Q681" s="15"/>
      <c r="S681" s="15"/>
      <c r="T681" s="15"/>
      <c r="U681" s="15"/>
      <c r="V681" s="15"/>
      <c r="W681" s="15" t="s">
        <v>328</v>
      </c>
      <c r="X681" s="15"/>
      <c r="Z681" s="127">
        <v>0.5</v>
      </c>
      <c r="AA681" s="249">
        <v>7</v>
      </c>
      <c r="AB681" s="250">
        <v>15000</v>
      </c>
      <c r="AC681" s="250">
        <v>20000</v>
      </c>
      <c r="AD681" s="250">
        <v>50000</v>
      </c>
      <c r="AE681" s="250">
        <v>120000</v>
      </c>
      <c r="AF681" s="250" t="s">
        <v>385</v>
      </c>
    </row>
    <row r="682" spans="2:32" x14ac:dyDescent="0.25">
      <c r="B682" s="63" t="s">
        <v>1376</v>
      </c>
      <c r="C682" s="15" t="s">
        <v>348</v>
      </c>
      <c r="D682" s="15">
        <v>2007</v>
      </c>
      <c r="E682" s="16">
        <v>216000</v>
      </c>
      <c r="F682" s="15">
        <v>4</v>
      </c>
      <c r="G682" s="15">
        <v>4.9000000000000004</v>
      </c>
      <c r="H682" s="15" t="s">
        <v>371</v>
      </c>
      <c r="I682" s="249">
        <f t="shared" si="30"/>
        <v>1</v>
      </c>
      <c r="J682" s="143">
        <v>3000</v>
      </c>
      <c r="K682" s="249" t="s">
        <v>2379</v>
      </c>
      <c r="M682" s="249">
        <f t="shared" si="31"/>
        <v>8</v>
      </c>
      <c r="N682" s="249">
        <f t="shared" si="32"/>
        <v>7</v>
      </c>
      <c r="O682" s="15" t="s">
        <v>328</v>
      </c>
      <c r="P682" s="15"/>
      <c r="Q682" s="15"/>
      <c r="S682" s="15"/>
      <c r="T682" s="15"/>
      <c r="U682" s="15"/>
      <c r="V682" s="15"/>
      <c r="W682" s="15" t="s">
        <v>328</v>
      </c>
      <c r="X682" s="15"/>
      <c r="Z682" s="127">
        <v>0.5</v>
      </c>
      <c r="AA682" s="249">
        <v>7</v>
      </c>
      <c r="AB682" s="250">
        <v>15000</v>
      </c>
      <c r="AC682" s="250">
        <v>20000</v>
      </c>
      <c r="AD682" s="250">
        <v>50000</v>
      </c>
      <c r="AE682" s="250">
        <v>120000</v>
      </c>
      <c r="AF682" s="250" t="s">
        <v>385</v>
      </c>
    </row>
    <row r="683" spans="2:32" x14ac:dyDescent="0.25">
      <c r="B683" s="63" t="s">
        <v>1376</v>
      </c>
      <c r="C683" s="15" t="s">
        <v>348</v>
      </c>
      <c r="D683" s="15">
        <v>1980</v>
      </c>
      <c r="E683" s="16">
        <v>1188000</v>
      </c>
      <c r="F683" s="15">
        <v>4.2</v>
      </c>
      <c r="G683" s="15">
        <v>4.8</v>
      </c>
      <c r="H683" s="15" t="s">
        <v>371</v>
      </c>
      <c r="I683" s="249">
        <f t="shared" si="30"/>
        <v>1</v>
      </c>
      <c r="J683" s="143">
        <v>3000</v>
      </c>
      <c r="K683" s="249" t="s">
        <v>2379</v>
      </c>
      <c r="M683" s="249">
        <f t="shared" si="31"/>
        <v>35</v>
      </c>
      <c r="N683" s="249">
        <f t="shared" si="32"/>
        <v>34</v>
      </c>
      <c r="O683" s="15" t="s">
        <v>328</v>
      </c>
      <c r="P683" s="15"/>
      <c r="Q683" s="15"/>
      <c r="S683" s="15"/>
      <c r="T683" s="15"/>
      <c r="U683" s="15"/>
      <c r="V683" s="15"/>
      <c r="W683" s="15" t="s">
        <v>328</v>
      </c>
      <c r="X683" s="15"/>
      <c r="Z683" s="127">
        <v>0.5</v>
      </c>
      <c r="AA683" s="249">
        <v>7</v>
      </c>
      <c r="AB683" s="250">
        <v>15000</v>
      </c>
      <c r="AC683" s="250">
        <v>20000</v>
      </c>
      <c r="AD683" s="250">
        <v>50000</v>
      </c>
      <c r="AE683" s="250">
        <v>120000</v>
      </c>
      <c r="AF683" s="250" t="s">
        <v>385</v>
      </c>
    </row>
    <row r="684" spans="2:32" x14ac:dyDescent="0.25">
      <c r="B684" s="63" t="s">
        <v>1376</v>
      </c>
      <c r="C684" s="14" t="s">
        <v>351</v>
      </c>
      <c r="D684" s="15">
        <v>2001</v>
      </c>
      <c r="E684" s="16">
        <v>432000</v>
      </c>
      <c r="F684" s="15">
        <v>3.1</v>
      </c>
      <c r="G684" s="15">
        <v>3.7</v>
      </c>
      <c r="H684" s="15" t="s">
        <v>340</v>
      </c>
      <c r="I684" s="249">
        <f t="shared" si="30"/>
        <v>1</v>
      </c>
      <c r="J684" s="143">
        <v>3000</v>
      </c>
      <c r="K684" s="249" t="s">
        <v>2379</v>
      </c>
      <c r="M684" s="249">
        <f t="shared" si="31"/>
        <v>14</v>
      </c>
      <c r="N684" s="249">
        <f t="shared" si="32"/>
        <v>13</v>
      </c>
      <c r="O684" s="15" t="s">
        <v>328</v>
      </c>
      <c r="P684" s="15"/>
      <c r="Q684" s="15"/>
      <c r="S684" s="15"/>
      <c r="T684" s="15"/>
      <c r="U684" s="15"/>
      <c r="V684" s="15"/>
      <c r="W684" s="15" t="s">
        <v>328</v>
      </c>
      <c r="X684" s="15"/>
      <c r="Z684" s="127">
        <v>0.5</v>
      </c>
      <c r="AA684" s="249">
        <v>7</v>
      </c>
      <c r="AB684" s="250">
        <v>15000</v>
      </c>
      <c r="AC684" s="250">
        <v>20000</v>
      </c>
      <c r="AD684" s="250">
        <v>50000</v>
      </c>
      <c r="AE684" s="250">
        <v>120000</v>
      </c>
      <c r="AF684" s="250">
        <v>20000</v>
      </c>
    </row>
    <row r="685" spans="2:32" x14ac:dyDescent="0.25">
      <c r="B685" s="63" t="s">
        <v>1376</v>
      </c>
      <c r="C685" s="15" t="s">
        <v>337</v>
      </c>
      <c r="D685" s="15">
        <v>1998</v>
      </c>
      <c r="E685" s="16">
        <v>540000</v>
      </c>
      <c r="F685" s="15">
        <v>1.8</v>
      </c>
      <c r="G685" s="15">
        <v>2.2999999999999998</v>
      </c>
      <c r="H685" s="15" t="s">
        <v>340</v>
      </c>
      <c r="I685" s="249">
        <f t="shared" si="30"/>
        <v>1</v>
      </c>
      <c r="J685" s="143">
        <v>3000</v>
      </c>
      <c r="K685" s="249" t="s">
        <v>2379</v>
      </c>
      <c r="M685" s="249">
        <f t="shared" si="31"/>
        <v>17</v>
      </c>
      <c r="N685" s="249">
        <f t="shared" si="32"/>
        <v>16</v>
      </c>
      <c r="O685" s="15" t="s">
        <v>328</v>
      </c>
      <c r="P685" s="15"/>
      <c r="Q685" s="15"/>
      <c r="S685" s="15"/>
      <c r="T685" s="15" t="s">
        <v>328</v>
      </c>
      <c r="U685" s="15"/>
      <c r="V685" s="15"/>
      <c r="W685" s="15"/>
      <c r="X685" s="15"/>
      <c r="Z685" s="127">
        <v>0.5</v>
      </c>
      <c r="AA685" s="249">
        <v>7</v>
      </c>
      <c r="AB685" s="250">
        <v>15000</v>
      </c>
      <c r="AC685" s="250">
        <v>20000</v>
      </c>
      <c r="AD685" s="250">
        <v>50000</v>
      </c>
      <c r="AE685" s="250">
        <v>120000</v>
      </c>
      <c r="AF685" s="250">
        <v>20000</v>
      </c>
    </row>
    <row r="686" spans="2:32" x14ac:dyDescent="0.25">
      <c r="B686" s="63" t="s">
        <v>1376</v>
      </c>
      <c r="C686" s="15" t="s">
        <v>337</v>
      </c>
      <c r="D686" s="15">
        <v>1990</v>
      </c>
      <c r="E686" s="16">
        <v>828000</v>
      </c>
      <c r="F686" s="15">
        <v>2.8</v>
      </c>
      <c r="G686" s="15">
        <v>3</v>
      </c>
      <c r="H686" s="15" t="s">
        <v>340</v>
      </c>
      <c r="I686" s="249">
        <f t="shared" si="30"/>
        <v>1</v>
      </c>
      <c r="J686" s="143">
        <v>3000</v>
      </c>
      <c r="K686" s="249" t="s">
        <v>2379</v>
      </c>
      <c r="M686" s="249">
        <f t="shared" si="31"/>
        <v>25</v>
      </c>
      <c r="N686" s="249">
        <f t="shared" si="32"/>
        <v>24</v>
      </c>
      <c r="O686" s="15" t="s">
        <v>328</v>
      </c>
      <c r="P686" s="15"/>
      <c r="Q686" s="15"/>
      <c r="S686" s="15"/>
      <c r="T686" s="15" t="s">
        <v>328</v>
      </c>
      <c r="U686" s="15"/>
      <c r="V686" s="15"/>
      <c r="W686" s="15"/>
      <c r="X686" s="15"/>
      <c r="Z686" s="127">
        <v>0.5</v>
      </c>
      <c r="AA686" s="249">
        <v>7</v>
      </c>
      <c r="AB686" s="250">
        <v>15000</v>
      </c>
      <c r="AC686" s="250">
        <v>20000</v>
      </c>
      <c r="AD686" s="250">
        <v>50000</v>
      </c>
      <c r="AE686" s="250">
        <v>120000</v>
      </c>
      <c r="AF686" s="250">
        <v>20000</v>
      </c>
    </row>
    <row r="687" spans="2:32" x14ac:dyDescent="0.25">
      <c r="B687" s="63" t="s">
        <v>1376</v>
      </c>
      <c r="C687" s="15" t="s">
        <v>337</v>
      </c>
      <c r="D687" s="15">
        <v>2004</v>
      </c>
      <c r="E687" s="16">
        <v>324000</v>
      </c>
      <c r="F687" s="15">
        <v>2.2000000000000002</v>
      </c>
      <c r="G687" s="15">
        <v>2.5</v>
      </c>
      <c r="H687" s="15" t="s">
        <v>340</v>
      </c>
      <c r="I687" s="249">
        <f t="shared" si="30"/>
        <v>1</v>
      </c>
      <c r="J687" s="143">
        <v>3000</v>
      </c>
      <c r="K687" s="249" t="s">
        <v>2379</v>
      </c>
      <c r="M687" s="249">
        <f t="shared" si="31"/>
        <v>11</v>
      </c>
      <c r="N687" s="249">
        <f t="shared" si="32"/>
        <v>10</v>
      </c>
      <c r="O687" s="15" t="s">
        <v>328</v>
      </c>
      <c r="P687" s="15"/>
      <c r="Q687" s="15"/>
      <c r="S687" s="15"/>
      <c r="T687" s="15" t="s">
        <v>328</v>
      </c>
      <c r="U687" s="15"/>
      <c r="V687" s="15"/>
      <c r="W687" s="15"/>
      <c r="X687" s="15"/>
      <c r="Z687" s="127">
        <v>0.5</v>
      </c>
      <c r="AA687" s="249">
        <v>7</v>
      </c>
      <c r="AB687" s="250">
        <v>15000</v>
      </c>
      <c r="AC687" s="250">
        <v>20000</v>
      </c>
      <c r="AD687" s="250">
        <v>50000</v>
      </c>
      <c r="AE687" s="250">
        <v>120000</v>
      </c>
      <c r="AF687" s="250">
        <v>20000</v>
      </c>
    </row>
    <row r="688" spans="2:32" x14ac:dyDescent="0.25">
      <c r="B688" s="63" t="s">
        <v>1377</v>
      </c>
      <c r="C688" s="14" t="s">
        <v>351</v>
      </c>
      <c r="D688" s="15">
        <v>1992</v>
      </c>
      <c r="E688" s="16">
        <v>400000</v>
      </c>
      <c r="F688" s="15">
        <v>2.2000000000000002</v>
      </c>
      <c r="G688" s="15">
        <v>3</v>
      </c>
      <c r="H688" s="15" t="s">
        <v>340</v>
      </c>
      <c r="I688" s="249">
        <f t="shared" si="30"/>
        <v>1</v>
      </c>
      <c r="J688" s="143">
        <v>4500</v>
      </c>
      <c r="K688" s="249" t="s">
        <v>2379</v>
      </c>
      <c r="M688" s="249">
        <f t="shared" si="31"/>
        <v>23</v>
      </c>
      <c r="N688" s="249">
        <f t="shared" si="32"/>
        <v>22</v>
      </c>
      <c r="O688" s="15"/>
      <c r="P688" s="15"/>
      <c r="Q688" s="15" t="s">
        <v>328</v>
      </c>
      <c r="S688" s="15"/>
      <c r="T688" s="15"/>
      <c r="U688" s="15"/>
      <c r="V688" s="15"/>
      <c r="W688" s="15" t="s">
        <v>328</v>
      </c>
      <c r="X688" s="15"/>
      <c r="Z688" s="127">
        <v>0.5</v>
      </c>
      <c r="AA688" s="249">
        <v>6</v>
      </c>
      <c r="AB688" s="250">
        <v>20000</v>
      </c>
      <c r="AC688" s="250">
        <v>20000</v>
      </c>
      <c r="AD688" s="250">
        <v>20000</v>
      </c>
      <c r="AE688" s="250">
        <v>130000</v>
      </c>
      <c r="AF688" s="250">
        <v>20000</v>
      </c>
    </row>
    <row r="689" spans="2:32" x14ac:dyDescent="0.25">
      <c r="B689" s="63" t="s">
        <v>1377</v>
      </c>
      <c r="C689" s="14" t="s">
        <v>351</v>
      </c>
      <c r="D689" s="15">
        <v>1994</v>
      </c>
      <c r="E689" s="16">
        <v>350000</v>
      </c>
      <c r="F689" s="15">
        <v>2.2999999999999998</v>
      </c>
      <c r="G689" s="15">
        <v>3.5</v>
      </c>
      <c r="H689" s="15" t="s">
        <v>340</v>
      </c>
      <c r="I689" s="249">
        <f t="shared" si="30"/>
        <v>1</v>
      </c>
      <c r="J689" s="143">
        <v>4500</v>
      </c>
      <c r="K689" s="249" t="s">
        <v>2379</v>
      </c>
      <c r="M689" s="249">
        <f t="shared" si="31"/>
        <v>21</v>
      </c>
      <c r="N689" s="249">
        <f t="shared" si="32"/>
        <v>20</v>
      </c>
      <c r="O689" s="15"/>
      <c r="P689" s="15"/>
      <c r="Q689" s="15" t="s">
        <v>328</v>
      </c>
      <c r="S689" s="15"/>
      <c r="T689" s="15"/>
      <c r="U689" s="15"/>
      <c r="V689" s="15"/>
      <c r="W689" s="15" t="s">
        <v>328</v>
      </c>
      <c r="X689" s="15"/>
      <c r="Z689" s="127">
        <v>0.5</v>
      </c>
      <c r="AA689" s="249">
        <v>6</v>
      </c>
      <c r="AB689" s="250">
        <v>20000</v>
      </c>
      <c r="AC689" s="250">
        <v>20000</v>
      </c>
      <c r="AD689" s="250">
        <v>20000</v>
      </c>
      <c r="AE689" s="250">
        <v>130000</v>
      </c>
      <c r="AF689" s="250">
        <v>20000</v>
      </c>
    </row>
    <row r="690" spans="2:32" x14ac:dyDescent="0.25">
      <c r="B690" s="63" t="s">
        <v>1377</v>
      </c>
      <c r="C690" s="14" t="s">
        <v>351</v>
      </c>
      <c r="D690" s="15">
        <v>1995</v>
      </c>
      <c r="E690" s="16">
        <v>600000</v>
      </c>
      <c r="F690" s="15">
        <v>2.2999999999999998</v>
      </c>
      <c r="G690" s="15">
        <v>3.5</v>
      </c>
      <c r="H690" s="15" t="s">
        <v>340</v>
      </c>
      <c r="I690" s="249">
        <f t="shared" si="30"/>
        <v>1</v>
      </c>
      <c r="J690" s="143">
        <v>4500</v>
      </c>
      <c r="K690" s="249" t="s">
        <v>2379</v>
      </c>
      <c r="M690" s="249">
        <f t="shared" si="31"/>
        <v>20</v>
      </c>
      <c r="N690" s="249">
        <f t="shared" si="32"/>
        <v>19</v>
      </c>
      <c r="O690" s="15"/>
      <c r="P690" s="15"/>
      <c r="Q690" s="15" t="s">
        <v>328</v>
      </c>
      <c r="S690" s="15"/>
      <c r="T690" s="15"/>
      <c r="U690" s="15"/>
      <c r="V690" s="15"/>
      <c r="W690" s="15" t="s">
        <v>328</v>
      </c>
      <c r="X690" s="15"/>
      <c r="Z690" s="127">
        <v>0.5</v>
      </c>
      <c r="AA690" s="249">
        <v>6</v>
      </c>
      <c r="AB690" s="250">
        <v>20000</v>
      </c>
      <c r="AC690" s="250">
        <v>20000</v>
      </c>
      <c r="AD690" s="250">
        <v>20000</v>
      </c>
      <c r="AE690" s="250">
        <v>130000</v>
      </c>
      <c r="AF690" s="250">
        <v>20000</v>
      </c>
    </row>
    <row r="691" spans="2:32" x14ac:dyDescent="0.25">
      <c r="B691" s="63" t="s">
        <v>1377</v>
      </c>
      <c r="C691" s="15" t="s">
        <v>337</v>
      </c>
      <c r="D691" s="15">
        <v>2000</v>
      </c>
      <c r="E691" s="16">
        <v>750000</v>
      </c>
      <c r="F691" s="15">
        <v>2.2000000000000002</v>
      </c>
      <c r="G691" s="15">
        <v>3</v>
      </c>
      <c r="H691" s="15" t="s">
        <v>340</v>
      </c>
      <c r="I691" s="249">
        <f t="shared" si="30"/>
        <v>1</v>
      </c>
      <c r="J691" s="143">
        <v>4500</v>
      </c>
      <c r="K691" s="249" t="s">
        <v>2379</v>
      </c>
      <c r="M691" s="249">
        <f t="shared" si="31"/>
        <v>15</v>
      </c>
      <c r="N691" s="249">
        <f t="shared" si="32"/>
        <v>14</v>
      </c>
      <c r="O691" s="15"/>
      <c r="P691" s="15"/>
      <c r="Q691" s="15" t="s">
        <v>328</v>
      </c>
      <c r="S691" s="15"/>
      <c r="T691" s="15"/>
      <c r="U691" s="15"/>
      <c r="V691" s="15"/>
      <c r="W691" s="15" t="s">
        <v>328</v>
      </c>
      <c r="X691" s="15"/>
      <c r="Z691" s="127">
        <v>0.5</v>
      </c>
      <c r="AA691" s="249">
        <v>6</v>
      </c>
      <c r="AB691" s="250">
        <v>45000</v>
      </c>
      <c r="AC691" s="250">
        <v>45000</v>
      </c>
      <c r="AD691" s="250">
        <v>45000</v>
      </c>
      <c r="AE691" s="250">
        <v>130000</v>
      </c>
      <c r="AF691" s="250">
        <v>45000</v>
      </c>
    </row>
    <row r="692" spans="2:32" x14ac:dyDescent="0.25">
      <c r="B692" s="63" t="s">
        <v>1377</v>
      </c>
      <c r="C692" s="15" t="s">
        <v>337</v>
      </c>
      <c r="D692" s="15">
        <v>2002</v>
      </c>
      <c r="E692" s="16">
        <v>800000</v>
      </c>
      <c r="F692" s="15">
        <v>2.2000000000000002</v>
      </c>
      <c r="G692" s="15">
        <v>3</v>
      </c>
      <c r="H692" s="15" t="s">
        <v>340</v>
      </c>
      <c r="I692" s="249">
        <f t="shared" si="30"/>
        <v>1</v>
      </c>
      <c r="J692" s="143">
        <v>4500</v>
      </c>
      <c r="K692" s="249" t="s">
        <v>2379</v>
      </c>
      <c r="M692" s="249">
        <f t="shared" si="31"/>
        <v>13</v>
      </c>
      <c r="N692" s="249">
        <f t="shared" si="32"/>
        <v>12</v>
      </c>
      <c r="O692" s="15"/>
      <c r="P692" s="15"/>
      <c r="Q692" s="15" t="s">
        <v>328</v>
      </c>
      <c r="S692" s="15"/>
      <c r="T692" s="15"/>
      <c r="U692" s="15"/>
      <c r="V692" s="15"/>
      <c r="W692" s="15" t="s">
        <v>328</v>
      </c>
      <c r="X692" s="15"/>
      <c r="Z692" s="127">
        <v>0.5</v>
      </c>
      <c r="AA692" s="249">
        <v>6</v>
      </c>
      <c r="AB692" s="250">
        <v>45000</v>
      </c>
      <c r="AC692" s="250">
        <v>45000</v>
      </c>
      <c r="AD692" s="250">
        <v>45000</v>
      </c>
      <c r="AE692" s="250">
        <v>130000</v>
      </c>
      <c r="AF692" s="250">
        <v>45000</v>
      </c>
    </row>
    <row r="693" spans="2:32" x14ac:dyDescent="0.25">
      <c r="B693" s="63" t="s">
        <v>1377</v>
      </c>
      <c r="C693" s="15" t="s">
        <v>337</v>
      </c>
      <c r="D693" s="15">
        <v>2003</v>
      </c>
      <c r="E693" s="16">
        <v>1000000</v>
      </c>
      <c r="F693" s="15">
        <v>2.2999999999999998</v>
      </c>
      <c r="G693" s="15">
        <v>3.5</v>
      </c>
      <c r="H693" s="15" t="s">
        <v>340</v>
      </c>
      <c r="I693" s="249">
        <f t="shared" si="30"/>
        <v>1</v>
      </c>
      <c r="J693" s="143">
        <v>4500</v>
      </c>
      <c r="K693" s="249" t="s">
        <v>2379</v>
      </c>
      <c r="M693" s="249">
        <f t="shared" si="31"/>
        <v>12</v>
      </c>
      <c r="N693" s="249">
        <f t="shared" si="32"/>
        <v>11</v>
      </c>
      <c r="O693" s="15"/>
      <c r="P693" s="15"/>
      <c r="Q693" s="15" t="s">
        <v>328</v>
      </c>
      <c r="S693" s="15"/>
      <c r="T693" s="15"/>
      <c r="U693" s="15"/>
      <c r="V693" s="15"/>
      <c r="W693" s="15" t="s">
        <v>328</v>
      </c>
      <c r="X693" s="15"/>
      <c r="Z693" s="127">
        <v>0.5</v>
      </c>
      <c r="AA693" s="249">
        <v>6</v>
      </c>
      <c r="AB693" s="250">
        <v>45000</v>
      </c>
      <c r="AC693" s="250">
        <v>45000</v>
      </c>
      <c r="AD693" s="250">
        <v>45000</v>
      </c>
      <c r="AE693" s="250">
        <v>130000</v>
      </c>
      <c r="AF693" s="250">
        <v>45000</v>
      </c>
    </row>
    <row r="694" spans="2:32" x14ac:dyDescent="0.25">
      <c r="B694" s="65" t="s">
        <v>1425</v>
      </c>
      <c r="C694" s="15" t="s">
        <v>337</v>
      </c>
      <c r="D694" s="15">
        <v>1998</v>
      </c>
      <c r="E694" s="16">
        <v>1273618</v>
      </c>
      <c r="F694" s="15">
        <v>2.4</v>
      </c>
      <c r="G694" s="15">
        <v>2.7</v>
      </c>
      <c r="H694" s="15" t="s">
        <v>340</v>
      </c>
      <c r="I694" s="249">
        <f t="shared" si="30"/>
        <v>1</v>
      </c>
      <c r="J694" s="143">
        <v>8000</v>
      </c>
      <c r="K694" s="249" t="s">
        <v>2378</v>
      </c>
      <c r="M694" s="249">
        <f t="shared" si="31"/>
        <v>17</v>
      </c>
      <c r="N694" s="249">
        <f t="shared" si="32"/>
        <v>16</v>
      </c>
      <c r="O694" s="15"/>
      <c r="P694" s="15"/>
      <c r="Q694" s="15" t="s">
        <v>328</v>
      </c>
      <c r="S694" s="15"/>
      <c r="T694" s="15"/>
      <c r="U694" s="15"/>
      <c r="V694" s="15"/>
      <c r="W694" s="15" t="s">
        <v>328</v>
      </c>
      <c r="X694" s="15"/>
      <c r="Z694" s="127">
        <v>0</v>
      </c>
      <c r="AA694" s="249">
        <v>1</v>
      </c>
      <c r="AB694" s="250">
        <v>24000</v>
      </c>
      <c r="AC694" s="250">
        <v>40000</v>
      </c>
      <c r="AD694" s="250">
        <v>20000</v>
      </c>
      <c r="AE694" s="250">
        <v>120000</v>
      </c>
      <c r="AF694" s="250">
        <v>24000</v>
      </c>
    </row>
    <row r="695" spans="2:32" x14ac:dyDescent="0.25">
      <c r="B695" s="65" t="s">
        <v>1426</v>
      </c>
      <c r="C695" s="15" t="s">
        <v>337</v>
      </c>
      <c r="D695" s="15">
        <v>2012</v>
      </c>
      <c r="E695" s="16">
        <v>145000</v>
      </c>
      <c r="F695" s="15">
        <v>2.2000000000000002</v>
      </c>
      <c r="G695" s="15">
        <v>2.8</v>
      </c>
      <c r="H695" s="14" t="s">
        <v>340</v>
      </c>
      <c r="I695" s="249">
        <f t="shared" si="30"/>
        <v>1</v>
      </c>
      <c r="J695" s="143">
        <v>6000</v>
      </c>
      <c r="K695" s="249" t="s">
        <v>2378</v>
      </c>
      <c r="M695" s="249">
        <f t="shared" si="31"/>
        <v>3</v>
      </c>
      <c r="N695" s="249">
        <f t="shared" si="32"/>
        <v>2</v>
      </c>
      <c r="O695" s="15" t="s">
        <v>328</v>
      </c>
      <c r="P695" s="15"/>
      <c r="Q695" s="15"/>
      <c r="S695" s="15"/>
      <c r="T695" s="15" t="s">
        <v>328</v>
      </c>
      <c r="U695" s="15"/>
      <c r="V695" s="15"/>
      <c r="W695" s="15"/>
      <c r="X695" s="15"/>
      <c r="Z695" s="127">
        <v>0.5</v>
      </c>
      <c r="AA695" s="249">
        <v>3</v>
      </c>
      <c r="AB695" s="250">
        <v>12000</v>
      </c>
      <c r="AC695" s="250">
        <v>12000</v>
      </c>
      <c r="AD695" s="250">
        <v>100000</v>
      </c>
      <c r="AE695" s="250">
        <v>130000</v>
      </c>
      <c r="AF695" s="250">
        <v>12000</v>
      </c>
    </row>
    <row r="696" spans="2:32" x14ac:dyDescent="0.25">
      <c r="B696" s="65" t="s">
        <v>1426</v>
      </c>
      <c r="C696" s="15" t="s">
        <v>337</v>
      </c>
      <c r="D696" s="15">
        <v>2012</v>
      </c>
      <c r="E696" s="16">
        <v>145000</v>
      </c>
      <c r="F696" s="15">
        <v>2.2000000000000002</v>
      </c>
      <c r="G696" s="15">
        <v>2.8</v>
      </c>
      <c r="H696" s="14" t="s">
        <v>340</v>
      </c>
      <c r="I696" s="249">
        <f t="shared" si="30"/>
        <v>1</v>
      </c>
      <c r="J696" s="143">
        <v>6000</v>
      </c>
      <c r="K696" s="249" t="s">
        <v>2378</v>
      </c>
      <c r="M696" s="249">
        <f t="shared" si="31"/>
        <v>3</v>
      </c>
      <c r="N696" s="249">
        <f t="shared" si="32"/>
        <v>2</v>
      </c>
      <c r="O696" s="15" t="s">
        <v>328</v>
      </c>
      <c r="P696" s="15"/>
      <c r="Q696" s="15"/>
      <c r="S696" s="15"/>
      <c r="T696" s="15" t="s">
        <v>328</v>
      </c>
      <c r="U696" s="15"/>
      <c r="V696" s="15"/>
      <c r="W696" s="15"/>
      <c r="X696" s="15"/>
      <c r="Z696" s="127">
        <v>0.5</v>
      </c>
      <c r="AA696" s="249">
        <v>3</v>
      </c>
      <c r="AB696" s="250">
        <v>12000</v>
      </c>
      <c r="AC696" s="250">
        <v>12000</v>
      </c>
      <c r="AD696" s="250">
        <v>100000</v>
      </c>
      <c r="AE696" s="250">
        <v>130000</v>
      </c>
      <c r="AF696" s="250">
        <v>12000</v>
      </c>
    </row>
    <row r="697" spans="2:32" x14ac:dyDescent="0.25">
      <c r="B697" s="65" t="s">
        <v>1426</v>
      </c>
      <c r="C697" s="15" t="s">
        <v>337</v>
      </c>
      <c r="D697" s="15">
        <v>2012</v>
      </c>
      <c r="E697" s="16">
        <v>145000</v>
      </c>
      <c r="F697" s="15">
        <v>2.2000000000000002</v>
      </c>
      <c r="G697" s="15">
        <v>2.8</v>
      </c>
      <c r="H697" s="14" t="s">
        <v>340</v>
      </c>
      <c r="I697" s="249">
        <f t="shared" si="30"/>
        <v>1</v>
      </c>
      <c r="J697" s="143">
        <v>6000</v>
      </c>
      <c r="K697" s="249" t="s">
        <v>2378</v>
      </c>
      <c r="M697" s="249">
        <f t="shared" si="31"/>
        <v>3</v>
      </c>
      <c r="N697" s="249">
        <f t="shared" si="32"/>
        <v>2</v>
      </c>
      <c r="O697" s="15" t="s">
        <v>328</v>
      </c>
      <c r="P697" s="15"/>
      <c r="Q697" s="15"/>
      <c r="S697" s="15"/>
      <c r="T697" s="15" t="s">
        <v>328</v>
      </c>
      <c r="U697" s="15"/>
      <c r="V697" s="15"/>
      <c r="W697" s="15"/>
      <c r="X697" s="15"/>
      <c r="Z697" s="127">
        <v>0.5</v>
      </c>
      <c r="AA697" s="249">
        <v>3</v>
      </c>
      <c r="AB697" s="250">
        <v>12000</v>
      </c>
      <c r="AC697" s="250">
        <v>12000</v>
      </c>
      <c r="AD697" s="250">
        <v>100000</v>
      </c>
      <c r="AE697" s="250">
        <v>130000</v>
      </c>
      <c r="AF697" s="250">
        <v>12000</v>
      </c>
    </row>
    <row r="698" spans="2:32" x14ac:dyDescent="0.25">
      <c r="B698" s="65" t="s">
        <v>1427</v>
      </c>
      <c r="C698" s="15" t="s">
        <v>337</v>
      </c>
      <c r="D698" s="15">
        <v>1997</v>
      </c>
      <c r="E698" s="16">
        <v>768000</v>
      </c>
      <c r="F698" s="15">
        <v>2.2000000000000002</v>
      </c>
      <c r="G698" s="15">
        <v>2.8</v>
      </c>
      <c r="H698" s="15" t="s">
        <v>340</v>
      </c>
      <c r="I698" s="249">
        <f t="shared" si="30"/>
        <v>1</v>
      </c>
      <c r="J698" s="143">
        <v>4000</v>
      </c>
      <c r="K698" s="249" t="s">
        <v>2378</v>
      </c>
      <c r="M698" s="249">
        <f t="shared" si="31"/>
        <v>18</v>
      </c>
      <c r="N698" s="249">
        <f t="shared" si="32"/>
        <v>17</v>
      </c>
      <c r="O698" s="15"/>
      <c r="P698" s="15" t="s">
        <v>328</v>
      </c>
      <c r="Q698" s="15"/>
      <c r="S698" s="15"/>
      <c r="T698" s="15" t="s">
        <v>328</v>
      </c>
      <c r="U698" s="15"/>
      <c r="V698" s="15"/>
      <c r="W698" s="15"/>
      <c r="X698" s="15"/>
      <c r="Z698" s="127">
        <v>0.5</v>
      </c>
      <c r="AA698" s="249">
        <v>2</v>
      </c>
      <c r="AB698" s="250">
        <v>20000</v>
      </c>
      <c r="AC698" s="250">
        <v>20000</v>
      </c>
      <c r="AD698" s="250">
        <v>20000</v>
      </c>
      <c r="AE698" s="250">
        <v>130000</v>
      </c>
      <c r="AF698" s="250">
        <v>20000</v>
      </c>
    </row>
    <row r="699" spans="2:32" x14ac:dyDescent="0.25">
      <c r="B699" s="65" t="s">
        <v>1427</v>
      </c>
      <c r="C699" s="15" t="s">
        <v>337</v>
      </c>
      <c r="D699" s="15">
        <v>1999</v>
      </c>
      <c r="E699" s="16">
        <v>537600</v>
      </c>
      <c r="F699" s="15">
        <v>2</v>
      </c>
      <c r="G699" s="15">
        <v>2.2999999999999998</v>
      </c>
      <c r="H699" s="15" t="s">
        <v>340</v>
      </c>
      <c r="I699" s="249">
        <f t="shared" si="30"/>
        <v>1</v>
      </c>
      <c r="J699" s="143">
        <v>3200</v>
      </c>
      <c r="K699" s="249" t="s">
        <v>2378</v>
      </c>
      <c r="M699" s="249">
        <f t="shared" si="31"/>
        <v>16</v>
      </c>
      <c r="N699" s="249">
        <f t="shared" si="32"/>
        <v>15</v>
      </c>
      <c r="O699" s="15"/>
      <c r="P699" s="15"/>
      <c r="Q699" s="15" t="s">
        <v>328</v>
      </c>
      <c r="S699" s="15"/>
      <c r="T699" s="15"/>
      <c r="U699" s="15"/>
      <c r="V699" s="15"/>
      <c r="W699" s="15" t="s">
        <v>328</v>
      </c>
      <c r="X699" s="15"/>
      <c r="Z699" s="127">
        <v>0.5</v>
      </c>
      <c r="AA699" s="249">
        <v>2</v>
      </c>
      <c r="AB699" s="250">
        <v>20000</v>
      </c>
      <c r="AC699" s="250">
        <v>20000</v>
      </c>
      <c r="AD699" s="250">
        <v>20000</v>
      </c>
      <c r="AE699" s="250">
        <v>130000</v>
      </c>
      <c r="AF699" s="250">
        <v>20000</v>
      </c>
    </row>
    <row r="700" spans="2:32" x14ac:dyDescent="0.25">
      <c r="B700" s="65" t="s">
        <v>1428</v>
      </c>
      <c r="C700" s="14" t="s">
        <v>337</v>
      </c>
      <c r="D700" s="14">
        <v>2007</v>
      </c>
      <c r="E700" s="13">
        <v>720000</v>
      </c>
      <c r="F700" s="14">
        <v>2.2000000000000002</v>
      </c>
      <c r="G700" s="14">
        <v>2.5</v>
      </c>
      <c r="H700" s="14" t="s">
        <v>340</v>
      </c>
      <c r="I700" s="249">
        <f t="shared" si="30"/>
        <v>1</v>
      </c>
      <c r="J700" s="143">
        <v>10000</v>
      </c>
      <c r="K700" s="249" t="s">
        <v>2378</v>
      </c>
      <c r="M700" s="249">
        <f t="shared" si="31"/>
        <v>8</v>
      </c>
      <c r="N700" s="249">
        <f t="shared" si="32"/>
        <v>7</v>
      </c>
      <c r="O700" s="14" t="s">
        <v>328</v>
      </c>
      <c r="P700" s="14"/>
      <c r="Q700" s="14"/>
      <c r="S700" s="14"/>
      <c r="T700" s="14" t="s">
        <v>328</v>
      </c>
      <c r="U700" s="14"/>
      <c r="V700" s="14"/>
      <c r="W700" s="14"/>
      <c r="X700" s="14"/>
      <c r="Z700" s="126">
        <v>0.1</v>
      </c>
      <c r="AA700" s="249">
        <v>5</v>
      </c>
      <c r="AB700" s="250">
        <v>10000</v>
      </c>
      <c r="AC700" s="250">
        <v>20000</v>
      </c>
      <c r="AD700" s="250">
        <v>10000</v>
      </c>
      <c r="AE700" s="250">
        <v>120000</v>
      </c>
      <c r="AF700" s="250">
        <v>20000</v>
      </c>
    </row>
    <row r="701" spans="2:32" x14ac:dyDescent="0.25">
      <c r="B701" s="65" t="s">
        <v>1428</v>
      </c>
      <c r="C701" s="14" t="s">
        <v>337</v>
      </c>
      <c r="D701" s="14">
        <v>2007</v>
      </c>
      <c r="E701" s="13">
        <v>720000</v>
      </c>
      <c r="F701" s="14">
        <v>2.2000000000000002</v>
      </c>
      <c r="G701" s="14">
        <v>2.5</v>
      </c>
      <c r="H701" s="14" t="s">
        <v>340</v>
      </c>
      <c r="I701" s="249">
        <f t="shared" si="30"/>
        <v>1</v>
      </c>
      <c r="J701" s="143">
        <v>10000</v>
      </c>
      <c r="K701" s="249" t="s">
        <v>2378</v>
      </c>
      <c r="M701" s="249">
        <f t="shared" si="31"/>
        <v>8</v>
      </c>
      <c r="N701" s="249">
        <f t="shared" si="32"/>
        <v>7</v>
      </c>
      <c r="O701" s="14" t="s">
        <v>328</v>
      </c>
      <c r="P701" s="14"/>
      <c r="Q701" s="14"/>
      <c r="S701" s="14"/>
      <c r="T701" s="14" t="s">
        <v>328</v>
      </c>
      <c r="U701" s="14"/>
      <c r="V701" s="14"/>
      <c r="W701" s="14"/>
      <c r="X701" s="14"/>
      <c r="Z701" s="126">
        <v>0.1</v>
      </c>
      <c r="AA701" s="249">
        <v>5</v>
      </c>
      <c r="AB701" s="250">
        <v>10000</v>
      </c>
      <c r="AC701" s="250">
        <v>20000</v>
      </c>
      <c r="AD701" s="250">
        <v>10000</v>
      </c>
      <c r="AE701" s="250">
        <v>120000</v>
      </c>
      <c r="AF701" s="250">
        <v>20000</v>
      </c>
    </row>
    <row r="702" spans="2:32" x14ac:dyDescent="0.25">
      <c r="B702" s="65" t="s">
        <v>1428</v>
      </c>
      <c r="C702" s="14" t="s">
        <v>337</v>
      </c>
      <c r="D702" s="14">
        <v>2007</v>
      </c>
      <c r="E702" s="13">
        <v>720000</v>
      </c>
      <c r="F702" s="14">
        <v>2.2000000000000002</v>
      </c>
      <c r="G702" s="14">
        <v>2.5</v>
      </c>
      <c r="H702" s="14" t="s">
        <v>340</v>
      </c>
      <c r="I702" s="249">
        <f t="shared" si="30"/>
        <v>1</v>
      </c>
      <c r="J702" s="143">
        <v>10000</v>
      </c>
      <c r="K702" s="249" t="s">
        <v>2378</v>
      </c>
      <c r="M702" s="249">
        <f t="shared" si="31"/>
        <v>8</v>
      </c>
      <c r="N702" s="249">
        <f t="shared" si="32"/>
        <v>7</v>
      </c>
      <c r="O702" s="14" t="s">
        <v>328</v>
      </c>
      <c r="P702" s="14"/>
      <c r="Q702" s="14"/>
      <c r="S702" s="14"/>
      <c r="T702" s="14" t="s">
        <v>328</v>
      </c>
      <c r="U702" s="14"/>
      <c r="V702" s="14"/>
      <c r="W702" s="14"/>
      <c r="X702" s="14"/>
      <c r="Z702" s="126">
        <v>0.1</v>
      </c>
      <c r="AA702" s="249">
        <v>5</v>
      </c>
      <c r="AB702" s="250">
        <v>10000</v>
      </c>
      <c r="AC702" s="250">
        <v>20000</v>
      </c>
      <c r="AD702" s="250">
        <v>10000</v>
      </c>
      <c r="AE702" s="250">
        <v>120000</v>
      </c>
      <c r="AF702" s="250">
        <v>20000</v>
      </c>
    </row>
    <row r="703" spans="2:32" x14ac:dyDescent="0.25">
      <c r="B703" s="65" t="s">
        <v>1428</v>
      </c>
      <c r="C703" s="14" t="s">
        <v>337</v>
      </c>
      <c r="D703" s="14">
        <v>2012</v>
      </c>
      <c r="E703" s="13">
        <v>120000</v>
      </c>
      <c r="F703" s="14">
        <v>2.1</v>
      </c>
      <c r="G703" s="14">
        <v>3</v>
      </c>
      <c r="H703" s="14" t="s">
        <v>340</v>
      </c>
      <c r="I703" s="249">
        <f t="shared" si="30"/>
        <v>1</v>
      </c>
      <c r="J703" s="143">
        <v>5000</v>
      </c>
      <c r="K703" s="249" t="s">
        <v>2378</v>
      </c>
      <c r="M703" s="249">
        <f t="shared" si="31"/>
        <v>3</v>
      </c>
      <c r="N703" s="249">
        <f t="shared" si="32"/>
        <v>2</v>
      </c>
      <c r="O703" s="14" t="s">
        <v>328</v>
      </c>
      <c r="P703" s="14"/>
      <c r="Q703" s="14"/>
      <c r="S703" s="14"/>
      <c r="T703" s="14"/>
      <c r="U703" s="14"/>
      <c r="V703" s="14"/>
      <c r="W703" s="14"/>
      <c r="X703" s="14" t="s">
        <v>328</v>
      </c>
      <c r="Z703" s="126">
        <v>0.5</v>
      </c>
      <c r="AA703" s="249">
        <v>5</v>
      </c>
      <c r="AB703" s="250">
        <v>7000</v>
      </c>
      <c r="AC703" s="250">
        <v>16000</v>
      </c>
      <c r="AD703" s="250">
        <v>10000</v>
      </c>
      <c r="AE703" s="250">
        <v>120000</v>
      </c>
      <c r="AF703" s="250">
        <v>16000</v>
      </c>
    </row>
    <row r="704" spans="2:32" x14ac:dyDescent="0.25">
      <c r="B704" s="65" t="s">
        <v>1428</v>
      </c>
      <c r="C704" s="14" t="s">
        <v>337</v>
      </c>
      <c r="D704" s="14">
        <v>2012</v>
      </c>
      <c r="E704" s="13">
        <v>120000</v>
      </c>
      <c r="F704" s="14">
        <v>2.1</v>
      </c>
      <c r="G704" s="14">
        <v>3</v>
      </c>
      <c r="H704" s="14" t="s">
        <v>340</v>
      </c>
      <c r="I704" s="249">
        <f t="shared" si="30"/>
        <v>1</v>
      </c>
      <c r="J704" s="143">
        <v>5000</v>
      </c>
      <c r="K704" s="249" t="s">
        <v>2378</v>
      </c>
      <c r="M704" s="249">
        <f t="shared" si="31"/>
        <v>3</v>
      </c>
      <c r="N704" s="249">
        <f t="shared" si="32"/>
        <v>2</v>
      </c>
      <c r="O704" s="14" t="s">
        <v>328</v>
      </c>
      <c r="P704" s="14"/>
      <c r="Q704" s="14"/>
      <c r="S704" s="14"/>
      <c r="T704" s="14"/>
      <c r="U704" s="14"/>
      <c r="V704" s="14"/>
      <c r="W704" s="14"/>
      <c r="X704" s="14" t="s">
        <v>328</v>
      </c>
      <c r="Z704" s="126">
        <v>0.5</v>
      </c>
      <c r="AA704" s="249">
        <v>5</v>
      </c>
      <c r="AB704" s="250">
        <v>7000</v>
      </c>
      <c r="AC704" s="250">
        <v>16000</v>
      </c>
      <c r="AD704" s="250">
        <v>10000</v>
      </c>
      <c r="AE704" s="250">
        <v>120000</v>
      </c>
      <c r="AF704" s="250">
        <v>16000</v>
      </c>
    </row>
    <row r="705" spans="2:32" x14ac:dyDescent="0.25">
      <c r="B705" s="65" t="s">
        <v>1429</v>
      </c>
      <c r="C705" s="15" t="s">
        <v>348</v>
      </c>
      <c r="D705" s="15">
        <v>1993</v>
      </c>
      <c r="E705" s="16">
        <v>840000</v>
      </c>
      <c r="F705" s="15">
        <v>2.8</v>
      </c>
      <c r="G705" s="15">
        <v>3</v>
      </c>
      <c r="H705" s="15" t="s">
        <v>340</v>
      </c>
      <c r="I705" s="249">
        <f t="shared" si="30"/>
        <v>1</v>
      </c>
      <c r="J705" s="143">
        <v>3500</v>
      </c>
      <c r="K705" s="249" t="s">
        <v>2378</v>
      </c>
      <c r="M705" s="249">
        <f t="shared" si="31"/>
        <v>22</v>
      </c>
      <c r="N705" s="249">
        <f t="shared" si="32"/>
        <v>21</v>
      </c>
      <c r="O705" s="15"/>
      <c r="P705" s="15" t="s">
        <v>328</v>
      </c>
      <c r="Q705" s="15"/>
      <c r="S705" s="15"/>
      <c r="T705" s="15" t="s">
        <v>328</v>
      </c>
      <c r="U705" s="15"/>
      <c r="V705" s="15"/>
      <c r="W705" s="15"/>
      <c r="X705" s="15"/>
      <c r="Z705" s="127">
        <v>0.3</v>
      </c>
      <c r="AA705" s="249">
        <v>1</v>
      </c>
      <c r="AB705" s="250">
        <v>8000</v>
      </c>
      <c r="AC705" s="250">
        <v>6000</v>
      </c>
      <c r="AD705" s="250">
        <v>20000</v>
      </c>
      <c r="AE705" s="250">
        <v>42000</v>
      </c>
      <c r="AF705" s="250">
        <v>8000</v>
      </c>
    </row>
    <row r="706" spans="2:32" x14ac:dyDescent="0.25">
      <c r="B706" s="65" t="s">
        <v>1430</v>
      </c>
      <c r="C706" s="14" t="s">
        <v>337</v>
      </c>
      <c r="D706" s="14">
        <v>2000</v>
      </c>
      <c r="E706" s="13">
        <v>746988</v>
      </c>
      <c r="F706" s="14">
        <v>2.5</v>
      </c>
      <c r="G706" s="14">
        <v>3.1</v>
      </c>
      <c r="H706" s="14" t="s">
        <v>340</v>
      </c>
      <c r="I706" s="249">
        <f t="shared" si="30"/>
        <v>1</v>
      </c>
      <c r="J706" s="143">
        <v>8000</v>
      </c>
      <c r="K706" s="249" t="s">
        <v>2378</v>
      </c>
      <c r="M706" s="249">
        <f t="shared" si="31"/>
        <v>15</v>
      </c>
      <c r="N706" s="249">
        <f t="shared" si="32"/>
        <v>14</v>
      </c>
      <c r="O706" s="14"/>
      <c r="P706" s="14" t="s">
        <v>328</v>
      </c>
      <c r="Q706" s="14"/>
      <c r="S706" s="14"/>
      <c r="T706" s="14" t="s">
        <v>328</v>
      </c>
      <c r="U706" s="14"/>
      <c r="V706" s="14"/>
      <c r="W706" s="14"/>
      <c r="X706" s="14"/>
      <c r="Z706" s="126">
        <v>0.3</v>
      </c>
      <c r="AA706" s="249">
        <v>4</v>
      </c>
      <c r="AB706" s="250">
        <v>18000</v>
      </c>
      <c r="AC706" s="250">
        <v>18000</v>
      </c>
      <c r="AD706" s="250">
        <v>50000</v>
      </c>
      <c r="AE706" s="250">
        <v>180000</v>
      </c>
      <c r="AF706" s="250">
        <v>18000</v>
      </c>
    </row>
    <row r="707" spans="2:32" x14ac:dyDescent="0.25">
      <c r="B707" s="65" t="s">
        <v>1430</v>
      </c>
      <c r="C707" s="14" t="s">
        <v>337</v>
      </c>
      <c r="D707" s="14">
        <v>2002</v>
      </c>
      <c r="E707" s="13">
        <v>691123</v>
      </c>
      <c r="F707" s="14">
        <v>2.5</v>
      </c>
      <c r="G707" s="14">
        <v>3.1</v>
      </c>
      <c r="H707" s="14" t="s">
        <v>340</v>
      </c>
      <c r="I707" s="249">
        <f t="shared" si="30"/>
        <v>1</v>
      </c>
      <c r="J707" s="143">
        <v>8000</v>
      </c>
      <c r="K707" s="249" t="s">
        <v>2378</v>
      </c>
      <c r="M707" s="249">
        <f t="shared" si="31"/>
        <v>13</v>
      </c>
      <c r="N707" s="249">
        <f t="shared" si="32"/>
        <v>12</v>
      </c>
      <c r="O707" s="14" t="s">
        <v>328</v>
      </c>
      <c r="P707" s="14"/>
      <c r="Q707" s="14"/>
      <c r="S707" s="14"/>
      <c r="T707" s="14"/>
      <c r="U707" s="14"/>
      <c r="V707" s="14"/>
      <c r="W707" s="14" t="s">
        <v>328</v>
      </c>
      <c r="X707" s="14"/>
      <c r="Z707" s="126">
        <v>0.3</v>
      </c>
      <c r="AA707" s="249">
        <v>4</v>
      </c>
      <c r="AB707" s="250">
        <v>18000</v>
      </c>
      <c r="AC707" s="250">
        <v>18000</v>
      </c>
      <c r="AD707" s="250">
        <v>50000</v>
      </c>
      <c r="AE707" s="250">
        <v>180000</v>
      </c>
      <c r="AF707" s="250">
        <v>18000</v>
      </c>
    </row>
    <row r="708" spans="2:32" x14ac:dyDescent="0.25">
      <c r="B708" s="65" t="s">
        <v>1430</v>
      </c>
      <c r="C708" s="14" t="s">
        <v>337</v>
      </c>
      <c r="D708" s="14">
        <v>2002</v>
      </c>
      <c r="E708" s="13">
        <v>657813</v>
      </c>
      <c r="F708" s="14">
        <v>2.5</v>
      </c>
      <c r="G708" s="14">
        <v>3.1</v>
      </c>
      <c r="H708" s="14" t="s">
        <v>340</v>
      </c>
      <c r="I708" s="249">
        <f t="shared" si="30"/>
        <v>1</v>
      </c>
      <c r="J708" s="143">
        <v>8000</v>
      </c>
      <c r="K708" s="249" t="s">
        <v>2378</v>
      </c>
      <c r="M708" s="249">
        <f t="shared" si="31"/>
        <v>13</v>
      </c>
      <c r="N708" s="249">
        <f t="shared" si="32"/>
        <v>12</v>
      </c>
      <c r="O708" s="14" t="s">
        <v>328</v>
      </c>
      <c r="P708" s="14"/>
      <c r="Q708" s="14"/>
      <c r="S708" s="14"/>
      <c r="T708" s="14"/>
      <c r="U708" s="14"/>
      <c r="V708" s="14"/>
      <c r="W708" s="14" t="s">
        <v>328</v>
      </c>
      <c r="X708" s="14"/>
      <c r="Z708" s="126">
        <v>0.3</v>
      </c>
      <c r="AA708" s="249">
        <v>4</v>
      </c>
      <c r="AB708" s="250">
        <v>18000</v>
      </c>
      <c r="AC708" s="250">
        <v>18000</v>
      </c>
      <c r="AD708" s="250">
        <v>50000</v>
      </c>
      <c r="AE708" s="250">
        <v>180000</v>
      </c>
      <c r="AF708" s="250">
        <v>18000</v>
      </c>
    </row>
    <row r="709" spans="2:32" x14ac:dyDescent="0.25">
      <c r="B709" s="65" t="s">
        <v>1430</v>
      </c>
      <c r="C709" s="14" t="s">
        <v>337</v>
      </c>
      <c r="D709" s="14">
        <v>2009</v>
      </c>
      <c r="E709" s="13">
        <v>391215</v>
      </c>
      <c r="F709" s="14">
        <v>2.5</v>
      </c>
      <c r="G709" s="14">
        <v>3.1</v>
      </c>
      <c r="H709" s="14" t="s">
        <v>340</v>
      </c>
      <c r="I709" s="249">
        <f t="shared" si="30"/>
        <v>1</v>
      </c>
      <c r="J709" s="143">
        <v>8000</v>
      </c>
      <c r="K709" s="249" t="s">
        <v>2378</v>
      </c>
      <c r="M709" s="249">
        <f t="shared" si="31"/>
        <v>6</v>
      </c>
      <c r="N709" s="249">
        <f t="shared" si="32"/>
        <v>5</v>
      </c>
      <c r="O709" s="14"/>
      <c r="P709" s="14" t="s">
        <v>328</v>
      </c>
      <c r="Q709" s="14"/>
      <c r="S709" s="14"/>
      <c r="T709" s="14"/>
      <c r="U709" s="14"/>
      <c r="V709" s="14"/>
      <c r="W709" s="14"/>
      <c r="X709" s="14" t="s">
        <v>328</v>
      </c>
      <c r="Z709" s="126">
        <v>0.3</v>
      </c>
      <c r="AA709" s="249">
        <v>4</v>
      </c>
      <c r="AB709" s="250">
        <v>18000</v>
      </c>
      <c r="AC709" s="250">
        <v>18000</v>
      </c>
      <c r="AD709" s="250">
        <v>50000</v>
      </c>
      <c r="AE709" s="250">
        <v>180000</v>
      </c>
      <c r="AF709" s="250">
        <v>18000</v>
      </c>
    </row>
    <row r="710" spans="2:32" x14ac:dyDescent="0.25">
      <c r="B710" s="65" t="s">
        <v>1431</v>
      </c>
      <c r="C710" s="15" t="s">
        <v>337</v>
      </c>
      <c r="D710" s="15">
        <v>1988</v>
      </c>
      <c r="E710" s="16">
        <v>1500000</v>
      </c>
      <c r="F710" s="15">
        <v>2.5</v>
      </c>
      <c r="G710" s="15">
        <v>2.8</v>
      </c>
      <c r="H710" s="15" t="s">
        <v>340</v>
      </c>
      <c r="I710" s="249">
        <f t="shared" ref="I710:I773" si="33">IF(F710&gt;G710,0,1)</f>
        <v>1</v>
      </c>
      <c r="J710" s="143">
        <v>5000</v>
      </c>
      <c r="K710" s="249" t="s">
        <v>2378</v>
      </c>
      <c r="M710" s="249">
        <f t="shared" ref="M710:M773" si="34">2015-D710</f>
        <v>27</v>
      </c>
      <c r="N710" s="249">
        <f t="shared" ref="N710:N773" si="35">2014-$D710</f>
        <v>26</v>
      </c>
      <c r="O710" s="15" t="s">
        <v>328</v>
      </c>
      <c r="P710" s="15"/>
      <c r="Q710" s="15"/>
      <c r="S710" s="15"/>
      <c r="T710" s="15" t="s">
        <v>328</v>
      </c>
      <c r="U710" s="15"/>
      <c r="V710" s="15"/>
      <c r="W710" s="15"/>
      <c r="X710" s="15"/>
      <c r="Z710" s="127">
        <v>0.1</v>
      </c>
      <c r="AA710" s="249">
        <v>2</v>
      </c>
      <c r="AB710" s="250">
        <v>15000</v>
      </c>
      <c r="AC710" s="250">
        <v>15000</v>
      </c>
      <c r="AD710" s="250">
        <v>30000</v>
      </c>
      <c r="AE710" s="250">
        <v>120000</v>
      </c>
      <c r="AF710" s="250">
        <v>15000</v>
      </c>
    </row>
    <row r="711" spans="2:32" x14ac:dyDescent="0.25">
      <c r="B711" s="65" t="s">
        <v>1431</v>
      </c>
      <c r="C711" s="15" t="s">
        <v>337</v>
      </c>
      <c r="D711" s="15">
        <v>1988</v>
      </c>
      <c r="E711" s="16">
        <v>1500000</v>
      </c>
      <c r="F711" s="15">
        <v>2.5</v>
      </c>
      <c r="G711" s="15">
        <v>2.8</v>
      </c>
      <c r="H711" s="15" t="s">
        <v>340</v>
      </c>
      <c r="I711" s="249">
        <f t="shared" si="33"/>
        <v>1</v>
      </c>
      <c r="J711" s="143">
        <v>5000</v>
      </c>
      <c r="K711" s="249" t="s">
        <v>2378</v>
      </c>
      <c r="M711" s="249">
        <f t="shared" si="34"/>
        <v>27</v>
      </c>
      <c r="N711" s="249">
        <f t="shared" si="35"/>
        <v>26</v>
      </c>
      <c r="O711" s="15" t="s">
        <v>328</v>
      </c>
      <c r="P711" s="15"/>
      <c r="Q711" s="15"/>
      <c r="S711" s="15"/>
      <c r="T711" s="15" t="s">
        <v>328</v>
      </c>
      <c r="U711" s="15"/>
      <c r="V711" s="15"/>
      <c r="W711" s="15"/>
      <c r="X711" s="15"/>
      <c r="Z711" s="127">
        <v>0.1</v>
      </c>
      <c r="AA711" s="249">
        <v>2</v>
      </c>
      <c r="AB711" s="250">
        <v>15000</v>
      </c>
      <c r="AC711" s="250">
        <v>15000</v>
      </c>
      <c r="AD711" s="250">
        <v>30000</v>
      </c>
      <c r="AE711" s="250">
        <v>120000</v>
      </c>
      <c r="AF711" s="250">
        <v>15000</v>
      </c>
    </row>
    <row r="712" spans="2:32" x14ac:dyDescent="0.25">
      <c r="B712" s="65" t="s">
        <v>1432</v>
      </c>
      <c r="C712" s="15" t="s">
        <v>337</v>
      </c>
      <c r="D712" s="15">
        <v>2003</v>
      </c>
      <c r="E712" s="16">
        <v>899123</v>
      </c>
      <c r="F712" s="15">
        <v>1.5</v>
      </c>
      <c r="G712" s="15">
        <v>1.9</v>
      </c>
      <c r="H712" s="15" t="s">
        <v>340</v>
      </c>
      <c r="I712" s="249">
        <f t="shared" si="33"/>
        <v>1</v>
      </c>
      <c r="J712" s="143">
        <v>8000</v>
      </c>
      <c r="K712" s="249" t="s">
        <v>2378</v>
      </c>
      <c r="M712" s="249">
        <f t="shared" si="34"/>
        <v>12</v>
      </c>
      <c r="N712" s="249">
        <f t="shared" si="35"/>
        <v>11</v>
      </c>
      <c r="O712" s="15"/>
      <c r="P712" s="15" t="s">
        <v>328</v>
      </c>
      <c r="Q712" s="15"/>
      <c r="S712" s="15"/>
      <c r="T712" s="15"/>
      <c r="U712" s="15"/>
      <c r="V712" s="15"/>
      <c r="W712" s="15" t="s">
        <v>328</v>
      </c>
      <c r="X712" s="15"/>
      <c r="Z712" s="127">
        <v>0.5</v>
      </c>
      <c r="AA712" s="249">
        <v>3</v>
      </c>
      <c r="AB712" s="250">
        <v>24000</v>
      </c>
      <c r="AC712" s="250">
        <v>24000</v>
      </c>
      <c r="AD712" s="250">
        <v>240000</v>
      </c>
      <c r="AE712" s="250">
        <v>100000</v>
      </c>
      <c r="AF712" s="250">
        <v>24000</v>
      </c>
    </row>
    <row r="713" spans="2:32" x14ac:dyDescent="0.25">
      <c r="B713" s="65" t="s">
        <v>1432</v>
      </c>
      <c r="C713" s="15" t="s">
        <v>337</v>
      </c>
      <c r="D713" s="15">
        <v>2003</v>
      </c>
      <c r="E713" s="16">
        <v>876785</v>
      </c>
      <c r="F713" s="15">
        <v>1.5</v>
      </c>
      <c r="G713" s="15">
        <v>1.9</v>
      </c>
      <c r="H713" s="15" t="s">
        <v>340</v>
      </c>
      <c r="I713" s="249">
        <f t="shared" si="33"/>
        <v>1</v>
      </c>
      <c r="J713" s="143">
        <v>8000</v>
      </c>
      <c r="K713" s="249" t="s">
        <v>2378</v>
      </c>
      <c r="M713" s="249">
        <f t="shared" si="34"/>
        <v>12</v>
      </c>
      <c r="N713" s="249">
        <f t="shared" si="35"/>
        <v>11</v>
      </c>
      <c r="O713" s="15"/>
      <c r="P713" s="15" t="s">
        <v>328</v>
      </c>
      <c r="Q713" s="15"/>
      <c r="S713" s="15"/>
      <c r="T713" s="15"/>
      <c r="U713" s="15"/>
      <c r="V713" s="15"/>
      <c r="W713" s="15" t="s">
        <v>328</v>
      </c>
      <c r="X713" s="15"/>
      <c r="Z713" s="127">
        <v>0.5</v>
      </c>
      <c r="AA713" s="249">
        <v>3</v>
      </c>
      <c r="AB713" s="250">
        <v>24000</v>
      </c>
      <c r="AC713" s="250">
        <v>24000</v>
      </c>
      <c r="AD713" s="250">
        <v>240000</v>
      </c>
      <c r="AE713" s="250">
        <v>100000</v>
      </c>
      <c r="AF713" s="250">
        <v>24000</v>
      </c>
    </row>
    <row r="714" spans="2:32" x14ac:dyDescent="0.25">
      <c r="B714" s="65" t="s">
        <v>1432</v>
      </c>
      <c r="C714" s="15" t="s">
        <v>337</v>
      </c>
      <c r="D714" s="15">
        <v>2009</v>
      </c>
      <c r="E714" s="16">
        <v>395201</v>
      </c>
      <c r="F714" s="15">
        <v>1.6</v>
      </c>
      <c r="G714" s="15">
        <v>1.9</v>
      </c>
      <c r="H714" s="15" t="s">
        <v>340</v>
      </c>
      <c r="I714" s="249">
        <f t="shared" si="33"/>
        <v>1</v>
      </c>
      <c r="J714" s="143">
        <v>8000</v>
      </c>
      <c r="K714" s="249" t="s">
        <v>2378</v>
      </c>
      <c r="M714" s="249">
        <f t="shared" si="34"/>
        <v>6</v>
      </c>
      <c r="N714" s="249">
        <f t="shared" si="35"/>
        <v>5</v>
      </c>
      <c r="O714" s="15"/>
      <c r="P714" s="15" t="s">
        <v>328</v>
      </c>
      <c r="Q714" s="15"/>
      <c r="S714" s="15"/>
      <c r="T714" s="15"/>
      <c r="U714" s="15"/>
      <c r="V714" s="15"/>
      <c r="W714" s="15"/>
      <c r="X714" s="15" t="s">
        <v>328</v>
      </c>
      <c r="Z714" s="127">
        <v>0.5</v>
      </c>
      <c r="AA714" s="249">
        <v>3</v>
      </c>
      <c r="AB714" s="250">
        <v>24000</v>
      </c>
      <c r="AC714" s="250">
        <v>24000</v>
      </c>
      <c r="AD714" s="250">
        <v>240000</v>
      </c>
      <c r="AE714" s="250">
        <v>100000</v>
      </c>
      <c r="AF714" s="250">
        <v>24000</v>
      </c>
    </row>
    <row r="715" spans="2:32" x14ac:dyDescent="0.25">
      <c r="B715" s="65" t="s">
        <v>1433</v>
      </c>
      <c r="C715" s="15" t="s">
        <v>348</v>
      </c>
      <c r="D715" s="15">
        <v>1995</v>
      </c>
      <c r="E715" s="16">
        <v>350217</v>
      </c>
      <c r="F715" s="15">
        <v>4.8</v>
      </c>
      <c r="G715" s="15">
        <v>5</v>
      </c>
      <c r="H715" s="15" t="s">
        <v>340</v>
      </c>
      <c r="I715" s="249">
        <f t="shared" si="33"/>
        <v>1</v>
      </c>
      <c r="J715" s="143">
        <v>3500</v>
      </c>
      <c r="K715" s="249" t="s">
        <v>2378</v>
      </c>
      <c r="M715" s="249">
        <f t="shared" si="34"/>
        <v>20</v>
      </c>
      <c r="N715" s="249">
        <f t="shared" si="35"/>
        <v>19</v>
      </c>
      <c r="O715" s="15"/>
      <c r="P715" s="15"/>
      <c r="Q715" s="15" t="s">
        <v>328</v>
      </c>
      <c r="S715" s="15" t="s">
        <v>328</v>
      </c>
      <c r="T715" s="15"/>
      <c r="U715" s="15"/>
      <c r="V715" s="15"/>
      <c r="W715" s="15"/>
      <c r="X715" s="15"/>
      <c r="Z715" s="127">
        <v>0.1</v>
      </c>
      <c r="AA715" s="249">
        <v>5</v>
      </c>
      <c r="AB715" s="250">
        <v>20000</v>
      </c>
      <c r="AC715" s="250">
        <v>20000</v>
      </c>
      <c r="AD715" s="250">
        <v>80000</v>
      </c>
      <c r="AE715" s="250">
        <v>100000</v>
      </c>
      <c r="AF715" s="250">
        <v>20000</v>
      </c>
    </row>
    <row r="716" spans="2:32" x14ac:dyDescent="0.25">
      <c r="B716" s="65" t="s">
        <v>1433</v>
      </c>
      <c r="C716" s="15" t="s">
        <v>348</v>
      </c>
      <c r="D716" s="15">
        <v>1995</v>
      </c>
      <c r="E716" s="16">
        <v>367880</v>
      </c>
      <c r="F716" s="15">
        <v>4.8</v>
      </c>
      <c r="G716" s="15">
        <v>5</v>
      </c>
      <c r="H716" s="15" t="s">
        <v>340</v>
      </c>
      <c r="I716" s="249">
        <f t="shared" si="33"/>
        <v>1</v>
      </c>
      <c r="J716" s="143">
        <v>3500</v>
      </c>
      <c r="K716" s="249" t="s">
        <v>2378</v>
      </c>
      <c r="M716" s="249">
        <f t="shared" si="34"/>
        <v>20</v>
      </c>
      <c r="N716" s="249">
        <f t="shared" si="35"/>
        <v>19</v>
      </c>
      <c r="O716" s="15"/>
      <c r="P716" s="15"/>
      <c r="Q716" s="15" t="s">
        <v>328</v>
      </c>
      <c r="S716" s="15" t="s">
        <v>328</v>
      </c>
      <c r="T716" s="15"/>
      <c r="U716" s="15"/>
      <c r="V716" s="15"/>
      <c r="W716" s="15"/>
      <c r="X716" s="15"/>
      <c r="Z716" s="127">
        <v>0.1</v>
      </c>
      <c r="AA716" s="249">
        <v>5</v>
      </c>
      <c r="AB716" s="250">
        <v>20000</v>
      </c>
      <c r="AC716" s="250">
        <v>20000</v>
      </c>
      <c r="AD716" s="250">
        <v>80000</v>
      </c>
      <c r="AE716" s="250">
        <v>100000</v>
      </c>
      <c r="AF716" s="250">
        <v>20000</v>
      </c>
    </row>
    <row r="717" spans="2:32" x14ac:dyDescent="0.25">
      <c r="B717" s="65" t="s">
        <v>1433</v>
      </c>
      <c r="C717" s="15" t="s">
        <v>348</v>
      </c>
      <c r="D717" s="15">
        <v>2005</v>
      </c>
      <c r="E717" s="16">
        <v>185322</v>
      </c>
      <c r="F717" s="15">
        <v>5</v>
      </c>
      <c r="G717" s="15">
        <v>5.5</v>
      </c>
      <c r="H717" s="15" t="s">
        <v>340</v>
      </c>
      <c r="I717" s="249">
        <f t="shared" si="33"/>
        <v>1</v>
      </c>
      <c r="J717" s="143">
        <v>3500</v>
      </c>
      <c r="K717" s="249" t="s">
        <v>2378</v>
      </c>
      <c r="M717" s="249">
        <f t="shared" si="34"/>
        <v>10</v>
      </c>
      <c r="N717" s="249">
        <f t="shared" si="35"/>
        <v>9</v>
      </c>
      <c r="O717" s="15" t="s">
        <v>328</v>
      </c>
      <c r="P717" s="15"/>
      <c r="Q717" s="15"/>
      <c r="S717" s="15" t="s">
        <v>328</v>
      </c>
      <c r="T717" s="15"/>
      <c r="U717" s="15"/>
      <c r="V717" s="15"/>
      <c r="W717" s="15"/>
      <c r="X717" s="15"/>
      <c r="Z717" s="127">
        <v>0.1</v>
      </c>
      <c r="AA717" s="249">
        <v>5</v>
      </c>
      <c r="AB717" s="250">
        <v>20000</v>
      </c>
      <c r="AC717" s="250">
        <v>20000</v>
      </c>
      <c r="AD717" s="250">
        <v>80000</v>
      </c>
      <c r="AE717" s="250">
        <v>100000</v>
      </c>
      <c r="AF717" s="250">
        <v>20000</v>
      </c>
    </row>
    <row r="718" spans="2:32" x14ac:dyDescent="0.25">
      <c r="B718" s="65" t="s">
        <v>1433</v>
      </c>
      <c r="C718" s="15" t="s">
        <v>348</v>
      </c>
      <c r="D718" s="15">
        <v>2005</v>
      </c>
      <c r="E718" s="16">
        <v>203647</v>
      </c>
      <c r="F718" s="15">
        <v>5</v>
      </c>
      <c r="G718" s="15">
        <v>5.5</v>
      </c>
      <c r="H718" s="15" t="s">
        <v>340</v>
      </c>
      <c r="I718" s="249">
        <f t="shared" si="33"/>
        <v>1</v>
      </c>
      <c r="J718" s="143">
        <v>3500</v>
      </c>
      <c r="K718" s="249" t="s">
        <v>2378</v>
      </c>
      <c r="M718" s="249">
        <f t="shared" si="34"/>
        <v>10</v>
      </c>
      <c r="N718" s="249">
        <f t="shared" si="35"/>
        <v>9</v>
      </c>
      <c r="O718" s="15" t="s">
        <v>328</v>
      </c>
      <c r="P718" s="15"/>
      <c r="Q718" s="15"/>
      <c r="S718" s="15" t="s">
        <v>328</v>
      </c>
      <c r="T718" s="15"/>
      <c r="U718" s="15"/>
      <c r="V718" s="15"/>
      <c r="W718" s="15"/>
      <c r="X718" s="15"/>
      <c r="Z718" s="127">
        <v>0.1</v>
      </c>
      <c r="AA718" s="249">
        <v>5</v>
      </c>
      <c r="AB718" s="250">
        <v>20000</v>
      </c>
      <c r="AC718" s="250">
        <v>20000</v>
      </c>
      <c r="AD718" s="250">
        <v>80000</v>
      </c>
      <c r="AE718" s="250">
        <v>100000</v>
      </c>
      <c r="AF718" s="250">
        <v>20000</v>
      </c>
    </row>
    <row r="719" spans="2:32" x14ac:dyDescent="0.25">
      <c r="B719" s="65" t="s">
        <v>1433</v>
      </c>
      <c r="C719" s="15" t="s">
        <v>348</v>
      </c>
      <c r="D719" s="15">
        <v>2005</v>
      </c>
      <c r="E719" s="16">
        <v>210815</v>
      </c>
      <c r="F719" s="15">
        <v>5</v>
      </c>
      <c r="G719" s="15">
        <v>5.5</v>
      </c>
      <c r="H719" s="15" t="s">
        <v>340</v>
      </c>
      <c r="I719" s="249">
        <f t="shared" si="33"/>
        <v>1</v>
      </c>
      <c r="J719" s="143">
        <v>3500</v>
      </c>
      <c r="K719" s="249" t="s">
        <v>2378</v>
      </c>
      <c r="M719" s="249">
        <f t="shared" si="34"/>
        <v>10</v>
      </c>
      <c r="N719" s="249">
        <f t="shared" si="35"/>
        <v>9</v>
      </c>
      <c r="O719" s="15" t="s">
        <v>328</v>
      </c>
      <c r="P719" s="15"/>
      <c r="Q719" s="15"/>
      <c r="S719" s="15" t="s">
        <v>328</v>
      </c>
      <c r="T719" s="15"/>
      <c r="U719" s="15"/>
      <c r="V719" s="15"/>
      <c r="W719" s="15"/>
      <c r="X719" s="15"/>
      <c r="Z719" s="127">
        <v>0.1</v>
      </c>
      <c r="AA719" s="249">
        <v>5</v>
      </c>
      <c r="AB719" s="250">
        <v>20000</v>
      </c>
      <c r="AC719" s="250">
        <v>20000</v>
      </c>
      <c r="AD719" s="250">
        <v>80000</v>
      </c>
      <c r="AE719" s="250">
        <v>100000</v>
      </c>
      <c r="AF719" s="250">
        <v>20000</v>
      </c>
    </row>
    <row r="720" spans="2:32" x14ac:dyDescent="0.25">
      <c r="B720" s="65" t="s">
        <v>1434</v>
      </c>
      <c r="C720" s="15" t="s">
        <v>351</v>
      </c>
      <c r="D720" s="15">
        <v>2000</v>
      </c>
      <c r="E720" s="16">
        <v>1368215</v>
      </c>
      <c r="F720" s="15">
        <v>3.2</v>
      </c>
      <c r="G720" s="15">
        <v>3.7</v>
      </c>
      <c r="H720" s="15" t="s">
        <v>340</v>
      </c>
      <c r="I720" s="249">
        <f t="shared" si="33"/>
        <v>1</v>
      </c>
      <c r="J720" s="143">
        <v>7200</v>
      </c>
      <c r="K720" s="249" t="s">
        <v>2378</v>
      </c>
      <c r="M720" s="249">
        <f t="shared" si="34"/>
        <v>15</v>
      </c>
      <c r="N720" s="249">
        <f t="shared" si="35"/>
        <v>14</v>
      </c>
      <c r="O720" s="15"/>
      <c r="P720" s="15" t="s">
        <v>328</v>
      </c>
      <c r="Q720" s="15"/>
      <c r="S720" s="15"/>
      <c r="T720" s="15"/>
      <c r="U720" s="15"/>
      <c r="V720" s="15"/>
      <c r="W720" s="15" t="s">
        <v>328</v>
      </c>
      <c r="X720" s="15"/>
      <c r="Z720" s="127">
        <v>0.1</v>
      </c>
      <c r="AA720" s="249">
        <v>1</v>
      </c>
      <c r="AB720" s="250">
        <v>28000</v>
      </c>
      <c r="AC720" s="250">
        <v>28000</v>
      </c>
      <c r="AD720" s="250">
        <v>90000</v>
      </c>
      <c r="AE720" s="250">
        <v>130000</v>
      </c>
      <c r="AF720" s="250">
        <v>28000</v>
      </c>
    </row>
    <row r="721" spans="2:32" x14ac:dyDescent="0.25">
      <c r="B721" s="65" t="s">
        <v>1435</v>
      </c>
      <c r="C721" s="15" t="s">
        <v>348</v>
      </c>
      <c r="D721" s="15">
        <v>2005</v>
      </c>
      <c r="E721" s="16">
        <v>350000</v>
      </c>
      <c r="F721" s="15">
        <v>4</v>
      </c>
      <c r="G721" s="15">
        <v>4.5</v>
      </c>
      <c r="H721" s="15" t="s">
        <v>340</v>
      </c>
      <c r="I721" s="249">
        <f t="shared" si="33"/>
        <v>1</v>
      </c>
      <c r="J721" s="143">
        <v>8000</v>
      </c>
      <c r="K721" s="249" t="s">
        <v>2378</v>
      </c>
      <c r="M721" s="249">
        <f t="shared" si="34"/>
        <v>10</v>
      </c>
      <c r="N721" s="249">
        <f t="shared" si="35"/>
        <v>9</v>
      </c>
      <c r="O721" s="15" t="s">
        <v>328</v>
      </c>
      <c r="P721" s="15"/>
      <c r="Q721" s="15"/>
      <c r="S721" s="15"/>
      <c r="T721" s="15"/>
      <c r="U721" s="15"/>
      <c r="V721" s="15"/>
      <c r="W721" s="15" t="s">
        <v>328</v>
      </c>
      <c r="X721" s="15"/>
      <c r="Z721" s="127">
        <v>0.5</v>
      </c>
      <c r="AA721" s="249">
        <v>3</v>
      </c>
      <c r="AB721" s="250">
        <v>24000</v>
      </c>
      <c r="AC721" s="250">
        <v>32000</v>
      </c>
      <c r="AD721" s="250">
        <v>50000</v>
      </c>
      <c r="AE721" s="250">
        <v>125000</v>
      </c>
      <c r="AF721" s="250">
        <v>24000</v>
      </c>
    </row>
    <row r="722" spans="2:32" x14ac:dyDescent="0.25">
      <c r="B722" s="65" t="s">
        <v>1435</v>
      </c>
      <c r="C722" s="15" t="s">
        <v>348</v>
      </c>
      <c r="D722" s="15">
        <v>2005</v>
      </c>
      <c r="E722" s="16">
        <v>380000</v>
      </c>
      <c r="F722" s="15">
        <v>4</v>
      </c>
      <c r="G722" s="15">
        <v>4.5</v>
      </c>
      <c r="H722" s="15" t="s">
        <v>340</v>
      </c>
      <c r="I722" s="249">
        <f t="shared" si="33"/>
        <v>1</v>
      </c>
      <c r="J722" s="143">
        <v>8000</v>
      </c>
      <c r="K722" s="249" t="s">
        <v>2378</v>
      </c>
      <c r="M722" s="249">
        <f t="shared" si="34"/>
        <v>10</v>
      </c>
      <c r="N722" s="249">
        <f t="shared" si="35"/>
        <v>9</v>
      </c>
      <c r="O722" s="15" t="s">
        <v>328</v>
      </c>
      <c r="P722" s="15"/>
      <c r="Q722" s="15"/>
      <c r="S722" s="15"/>
      <c r="T722" s="15"/>
      <c r="U722" s="15"/>
      <c r="V722" s="15"/>
      <c r="W722" s="15" t="s">
        <v>328</v>
      </c>
      <c r="X722" s="15"/>
      <c r="Z722" s="127">
        <v>0.5</v>
      </c>
      <c r="AA722" s="249">
        <v>3</v>
      </c>
      <c r="AB722" s="250">
        <v>24000</v>
      </c>
      <c r="AC722" s="250">
        <v>32000</v>
      </c>
      <c r="AD722" s="250">
        <v>50000</v>
      </c>
      <c r="AE722" s="250">
        <v>125000</v>
      </c>
      <c r="AF722" s="250">
        <v>24000</v>
      </c>
    </row>
    <row r="723" spans="2:32" x14ac:dyDescent="0.25">
      <c r="B723" s="65" t="s">
        <v>1435</v>
      </c>
      <c r="C723" s="15" t="s">
        <v>348</v>
      </c>
      <c r="D723" s="15">
        <v>2009</v>
      </c>
      <c r="E723" s="16">
        <v>190000</v>
      </c>
      <c r="F723" s="15">
        <v>3.9</v>
      </c>
      <c r="G723" s="15">
        <v>4.2</v>
      </c>
      <c r="H723" s="15" t="s">
        <v>340</v>
      </c>
      <c r="I723" s="249">
        <f t="shared" si="33"/>
        <v>1</v>
      </c>
      <c r="J723" s="143">
        <v>8000</v>
      </c>
      <c r="K723" s="249" t="s">
        <v>2378</v>
      </c>
      <c r="M723" s="249">
        <f t="shared" si="34"/>
        <v>6</v>
      </c>
      <c r="N723" s="249">
        <f t="shared" si="35"/>
        <v>5</v>
      </c>
      <c r="O723" s="15" t="s">
        <v>328</v>
      </c>
      <c r="P723" s="15"/>
      <c r="Q723" s="15"/>
      <c r="S723" s="15"/>
      <c r="T723" s="15"/>
      <c r="U723" s="15"/>
      <c r="V723" s="15"/>
      <c r="W723" s="15" t="s">
        <v>328</v>
      </c>
      <c r="X723" s="15"/>
      <c r="Z723" s="127">
        <v>0.5</v>
      </c>
      <c r="AA723" s="249">
        <v>3</v>
      </c>
      <c r="AB723" s="250">
        <v>24000</v>
      </c>
      <c r="AC723" s="250">
        <v>32000</v>
      </c>
      <c r="AD723" s="250">
        <v>50000</v>
      </c>
      <c r="AE723" s="250">
        <v>125000</v>
      </c>
      <c r="AF723" s="250">
        <v>24000</v>
      </c>
    </row>
    <row r="724" spans="2:32" x14ac:dyDescent="0.25">
      <c r="B724" s="65" t="s">
        <v>1436</v>
      </c>
      <c r="C724" s="14" t="s">
        <v>348</v>
      </c>
      <c r="D724" s="14">
        <v>2010</v>
      </c>
      <c r="E724" s="13">
        <v>75000</v>
      </c>
      <c r="F724" s="14">
        <v>6</v>
      </c>
      <c r="G724" s="14">
        <v>7.5</v>
      </c>
      <c r="H724" s="14" t="s">
        <v>371</v>
      </c>
      <c r="I724" s="249">
        <f t="shared" si="33"/>
        <v>1</v>
      </c>
      <c r="J724" s="143">
        <v>4000</v>
      </c>
      <c r="K724" s="249" t="s">
        <v>2378</v>
      </c>
      <c r="M724" s="249">
        <f t="shared" si="34"/>
        <v>5</v>
      </c>
      <c r="N724" s="249">
        <f t="shared" si="35"/>
        <v>4</v>
      </c>
      <c r="O724" s="14" t="s">
        <v>328</v>
      </c>
      <c r="P724" s="14"/>
      <c r="Q724" s="14"/>
      <c r="S724" s="14"/>
      <c r="T724" s="14" t="s">
        <v>328</v>
      </c>
      <c r="U724" s="14"/>
      <c r="V724" s="14"/>
      <c r="W724" s="14"/>
      <c r="X724" s="14"/>
      <c r="Z724" s="126">
        <v>0.5</v>
      </c>
      <c r="AA724" s="249">
        <v>2</v>
      </c>
      <c r="AB724" s="250">
        <v>5000</v>
      </c>
      <c r="AC724" s="250">
        <v>7000</v>
      </c>
      <c r="AD724" s="250">
        <v>7000</v>
      </c>
      <c r="AE724" s="250">
        <v>90000</v>
      </c>
      <c r="AF724" s="250" t="s">
        <v>385</v>
      </c>
    </row>
    <row r="725" spans="2:32" x14ac:dyDescent="0.25">
      <c r="B725" s="65" t="s">
        <v>1436</v>
      </c>
      <c r="C725" s="14" t="s">
        <v>351</v>
      </c>
      <c r="D725" s="14">
        <v>2011</v>
      </c>
      <c r="E725" s="13">
        <v>45000</v>
      </c>
      <c r="F725" s="14">
        <v>6</v>
      </c>
      <c r="G725" s="14">
        <v>7.5</v>
      </c>
      <c r="H725" s="14" t="s">
        <v>371</v>
      </c>
      <c r="I725" s="249">
        <f t="shared" si="33"/>
        <v>1</v>
      </c>
      <c r="J725" s="143">
        <v>4000</v>
      </c>
      <c r="K725" s="249" t="s">
        <v>2378</v>
      </c>
      <c r="M725" s="249">
        <f t="shared" si="34"/>
        <v>4</v>
      </c>
      <c r="N725" s="249">
        <f t="shared" si="35"/>
        <v>3</v>
      </c>
      <c r="O725" s="14" t="s">
        <v>328</v>
      </c>
      <c r="P725" s="14"/>
      <c r="Q725" s="14"/>
      <c r="S725" s="14"/>
      <c r="T725" s="14" t="s">
        <v>328</v>
      </c>
      <c r="U725" s="14"/>
      <c r="V725" s="14"/>
      <c r="W725" s="14"/>
      <c r="X725" s="14"/>
      <c r="Z725" s="126">
        <v>0.5</v>
      </c>
      <c r="AA725" s="249">
        <v>2</v>
      </c>
      <c r="AB725" s="250">
        <v>5000</v>
      </c>
      <c r="AC725" s="250">
        <v>7000</v>
      </c>
      <c r="AD725" s="250">
        <v>7000</v>
      </c>
      <c r="AE725" s="250">
        <v>90000</v>
      </c>
      <c r="AF725" s="250" t="s">
        <v>385</v>
      </c>
    </row>
    <row r="726" spans="2:32" x14ac:dyDescent="0.25">
      <c r="B726" s="65" t="s">
        <v>1437</v>
      </c>
      <c r="C726" s="15" t="s">
        <v>348</v>
      </c>
      <c r="D726" s="15">
        <v>2003</v>
      </c>
      <c r="E726" s="16">
        <v>600374</v>
      </c>
      <c r="F726" s="15">
        <v>4</v>
      </c>
      <c r="G726" s="15">
        <v>4.9000000000000004</v>
      </c>
      <c r="H726" s="15" t="s">
        <v>371</v>
      </c>
      <c r="I726" s="249">
        <f t="shared" si="33"/>
        <v>1</v>
      </c>
      <c r="J726" s="143">
        <v>4000</v>
      </c>
      <c r="K726" s="249" t="s">
        <v>2378</v>
      </c>
      <c r="M726" s="249">
        <f t="shared" si="34"/>
        <v>12</v>
      </c>
      <c r="N726" s="249">
        <f t="shared" si="35"/>
        <v>11</v>
      </c>
      <c r="O726" s="15"/>
      <c r="P726" s="15" t="s">
        <v>328</v>
      </c>
      <c r="Q726" s="15"/>
      <c r="S726" s="15"/>
      <c r="T726" s="15"/>
      <c r="U726" s="15"/>
      <c r="V726" s="15"/>
      <c r="W726" s="15" t="s">
        <v>328</v>
      </c>
      <c r="X726" s="15"/>
      <c r="Z726" s="127">
        <v>0.5</v>
      </c>
      <c r="AA726" s="249">
        <v>3</v>
      </c>
      <c r="AB726" s="250">
        <v>15000</v>
      </c>
      <c r="AC726" s="250">
        <v>15000</v>
      </c>
      <c r="AD726" s="250">
        <v>15000</v>
      </c>
      <c r="AE726" s="250">
        <v>90000</v>
      </c>
      <c r="AF726" s="250" t="s">
        <v>385</v>
      </c>
    </row>
    <row r="727" spans="2:32" x14ac:dyDescent="0.25">
      <c r="B727" s="65" t="s">
        <v>1437</v>
      </c>
      <c r="C727" s="15" t="s">
        <v>348</v>
      </c>
      <c r="D727" s="15">
        <v>2004</v>
      </c>
      <c r="E727" s="16">
        <v>478650</v>
      </c>
      <c r="F727" s="15">
        <v>4</v>
      </c>
      <c r="G727" s="15">
        <v>4.9000000000000004</v>
      </c>
      <c r="H727" s="15" t="s">
        <v>371</v>
      </c>
      <c r="I727" s="249">
        <f t="shared" si="33"/>
        <v>1</v>
      </c>
      <c r="J727" s="143">
        <v>4000</v>
      </c>
      <c r="K727" s="249" t="s">
        <v>2378</v>
      </c>
      <c r="M727" s="249">
        <f t="shared" si="34"/>
        <v>11</v>
      </c>
      <c r="N727" s="249">
        <f t="shared" si="35"/>
        <v>10</v>
      </c>
      <c r="O727" s="15" t="s">
        <v>328</v>
      </c>
      <c r="P727" s="15"/>
      <c r="Q727" s="15"/>
      <c r="S727" s="15"/>
      <c r="T727" s="15"/>
      <c r="U727" s="15"/>
      <c r="V727" s="15"/>
      <c r="W727" s="15" t="s">
        <v>328</v>
      </c>
      <c r="X727" s="15"/>
      <c r="Z727" s="127">
        <v>0.5</v>
      </c>
      <c r="AA727" s="249">
        <v>3</v>
      </c>
      <c r="AB727" s="250">
        <v>15000</v>
      </c>
      <c r="AC727" s="250">
        <v>15000</v>
      </c>
      <c r="AD727" s="250">
        <v>15000</v>
      </c>
      <c r="AE727" s="250">
        <v>90000</v>
      </c>
      <c r="AF727" s="250" t="s">
        <v>385</v>
      </c>
    </row>
    <row r="728" spans="2:32" x14ac:dyDescent="0.25">
      <c r="B728" s="65" t="s">
        <v>1437</v>
      </c>
      <c r="C728" s="15" t="s">
        <v>348</v>
      </c>
      <c r="D728" s="15">
        <v>2007</v>
      </c>
      <c r="E728" s="16">
        <v>337402</v>
      </c>
      <c r="F728" s="15">
        <v>4</v>
      </c>
      <c r="G728" s="15">
        <v>4.9000000000000004</v>
      </c>
      <c r="H728" s="15" t="s">
        <v>371</v>
      </c>
      <c r="I728" s="249">
        <f t="shared" si="33"/>
        <v>1</v>
      </c>
      <c r="J728" s="143">
        <v>4000</v>
      </c>
      <c r="K728" s="249" t="s">
        <v>2378</v>
      </c>
      <c r="M728" s="249">
        <f t="shared" si="34"/>
        <v>8</v>
      </c>
      <c r="N728" s="249">
        <f t="shared" si="35"/>
        <v>7</v>
      </c>
      <c r="O728" s="15" t="s">
        <v>328</v>
      </c>
      <c r="P728" s="15"/>
      <c r="Q728" s="15"/>
      <c r="S728" s="15"/>
      <c r="T728" s="15"/>
      <c r="U728" s="15"/>
      <c r="V728" s="15"/>
      <c r="W728" s="15" t="s">
        <v>328</v>
      </c>
      <c r="X728" s="15"/>
      <c r="Z728" s="127">
        <v>0.5</v>
      </c>
      <c r="AA728" s="249">
        <v>3</v>
      </c>
      <c r="AB728" s="250">
        <v>15000</v>
      </c>
      <c r="AC728" s="250">
        <v>15000</v>
      </c>
      <c r="AD728" s="250">
        <v>15000</v>
      </c>
      <c r="AE728" s="250">
        <v>90000</v>
      </c>
      <c r="AF728" s="250" t="s">
        <v>385</v>
      </c>
    </row>
    <row r="729" spans="2:32" x14ac:dyDescent="0.25">
      <c r="B729" s="65" t="s">
        <v>1438</v>
      </c>
      <c r="C729" s="14" t="s">
        <v>351</v>
      </c>
      <c r="D729" s="15">
        <v>2005</v>
      </c>
      <c r="E729" s="16">
        <v>588000</v>
      </c>
      <c r="F729" s="15">
        <v>3.9</v>
      </c>
      <c r="G729" s="15">
        <v>4.2</v>
      </c>
      <c r="H729" s="15" t="s">
        <v>340</v>
      </c>
      <c r="I729" s="249">
        <f t="shared" si="33"/>
        <v>1</v>
      </c>
      <c r="J729" s="143">
        <v>7000</v>
      </c>
      <c r="K729" s="249" t="s">
        <v>2378</v>
      </c>
      <c r="M729" s="249">
        <f t="shared" si="34"/>
        <v>10</v>
      </c>
      <c r="N729" s="249">
        <f t="shared" si="35"/>
        <v>9</v>
      </c>
      <c r="O729" s="15"/>
      <c r="P729" s="15" t="s">
        <v>328</v>
      </c>
      <c r="Q729" s="15"/>
      <c r="S729" s="15"/>
      <c r="T729" s="15" t="s">
        <v>328</v>
      </c>
      <c r="U729" s="15"/>
      <c r="V729" s="15"/>
      <c r="W729" s="15"/>
      <c r="X729" s="15"/>
      <c r="Z729" s="127">
        <v>0.3</v>
      </c>
      <c r="AA729" s="249">
        <v>1</v>
      </c>
      <c r="AB729" s="250">
        <v>30000</v>
      </c>
      <c r="AC729" s="250">
        <v>40000</v>
      </c>
      <c r="AD729" s="250">
        <v>40000</v>
      </c>
      <c r="AE729" s="250">
        <v>120000</v>
      </c>
      <c r="AF729" s="250">
        <v>40000</v>
      </c>
    </row>
    <row r="730" spans="2:32" x14ac:dyDescent="0.25">
      <c r="B730" s="63" t="s">
        <v>1443</v>
      </c>
      <c r="C730" s="15" t="s">
        <v>337</v>
      </c>
      <c r="D730" s="15">
        <v>1980</v>
      </c>
      <c r="E730" s="16">
        <v>2937600</v>
      </c>
      <c r="F730" s="15">
        <v>1.9</v>
      </c>
      <c r="G730" s="15">
        <v>2.6</v>
      </c>
      <c r="H730" s="15" t="s">
        <v>340</v>
      </c>
      <c r="I730" s="249">
        <f t="shared" si="33"/>
        <v>1</v>
      </c>
      <c r="J730" s="143">
        <v>7200</v>
      </c>
      <c r="K730" s="249" t="s">
        <v>2378</v>
      </c>
      <c r="M730" s="249">
        <f t="shared" si="34"/>
        <v>35</v>
      </c>
      <c r="N730" s="249">
        <f t="shared" si="35"/>
        <v>34</v>
      </c>
      <c r="O730" s="15"/>
      <c r="P730" s="15"/>
      <c r="Q730" s="15" t="s">
        <v>328</v>
      </c>
      <c r="S730" s="15"/>
      <c r="T730" s="15" t="s">
        <v>328</v>
      </c>
      <c r="U730" s="15"/>
      <c r="V730" s="15"/>
      <c r="W730" s="15"/>
      <c r="X730" s="15"/>
      <c r="Z730" s="127">
        <v>0.5</v>
      </c>
      <c r="AA730" s="249">
        <v>1</v>
      </c>
      <c r="AB730" s="250">
        <v>25000</v>
      </c>
      <c r="AC730" s="250">
        <v>50000</v>
      </c>
      <c r="AD730" s="250">
        <v>200000</v>
      </c>
      <c r="AE730" s="250">
        <v>130000</v>
      </c>
      <c r="AF730" s="250">
        <v>25000</v>
      </c>
    </row>
    <row r="731" spans="2:32" x14ac:dyDescent="0.25">
      <c r="B731" s="63" t="s">
        <v>1447</v>
      </c>
      <c r="C731" s="14" t="s">
        <v>351</v>
      </c>
      <c r="D731" s="15">
        <v>1973</v>
      </c>
      <c r="E731" s="16">
        <v>3264000</v>
      </c>
      <c r="F731" s="15">
        <v>2.8</v>
      </c>
      <c r="G731" s="15">
        <v>3.3</v>
      </c>
      <c r="H731" s="15" t="s">
        <v>340</v>
      </c>
      <c r="I731" s="249">
        <f t="shared" si="33"/>
        <v>1</v>
      </c>
      <c r="J731" s="143">
        <v>8000</v>
      </c>
      <c r="K731" s="249" t="s">
        <v>2378</v>
      </c>
      <c r="M731" s="249">
        <f t="shared" si="34"/>
        <v>42</v>
      </c>
      <c r="N731" s="249">
        <f t="shared" si="35"/>
        <v>41</v>
      </c>
      <c r="O731" s="15"/>
      <c r="P731" s="15"/>
      <c r="Q731" s="15" t="s">
        <v>328</v>
      </c>
      <c r="S731" s="15"/>
      <c r="T731" s="15"/>
      <c r="U731" s="15"/>
      <c r="V731" s="15" t="s">
        <v>328</v>
      </c>
      <c r="W731" s="15"/>
      <c r="X731" s="15"/>
      <c r="Z731" s="127">
        <v>0.5</v>
      </c>
      <c r="AA731" s="249">
        <v>1</v>
      </c>
      <c r="AB731" s="250">
        <v>30000</v>
      </c>
      <c r="AC731" s="250">
        <v>60000</v>
      </c>
      <c r="AD731" s="250">
        <v>80000</v>
      </c>
      <c r="AE731" s="250">
        <v>125000</v>
      </c>
      <c r="AF731" s="250">
        <v>30000</v>
      </c>
    </row>
    <row r="732" spans="2:32" x14ac:dyDescent="0.25">
      <c r="B732" s="63" t="s">
        <v>1449</v>
      </c>
      <c r="C732" s="15" t="s">
        <v>337</v>
      </c>
      <c r="D732" s="15">
        <v>1993</v>
      </c>
      <c r="E732" s="16">
        <v>3936000</v>
      </c>
      <c r="F732" s="15">
        <v>1.9</v>
      </c>
      <c r="G732" s="15">
        <v>2.7</v>
      </c>
      <c r="H732" s="15" t="s">
        <v>340</v>
      </c>
      <c r="I732" s="249">
        <f t="shared" si="33"/>
        <v>1</v>
      </c>
      <c r="J732" s="143">
        <v>8000</v>
      </c>
      <c r="K732" s="249" t="s">
        <v>2378</v>
      </c>
      <c r="M732" s="249">
        <f t="shared" si="34"/>
        <v>22</v>
      </c>
      <c r="N732" s="249">
        <f t="shared" si="35"/>
        <v>21</v>
      </c>
      <c r="O732" s="15"/>
      <c r="P732" s="15"/>
      <c r="Q732" s="15" t="s">
        <v>328</v>
      </c>
      <c r="S732" s="15"/>
      <c r="T732" s="15" t="s">
        <v>328</v>
      </c>
      <c r="U732" s="15"/>
      <c r="V732" s="15"/>
      <c r="W732" s="15"/>
      <c r="X732" s="15"/>
      <c r="Z732" s="127">
        <v>0.5</v>
      </c>
      <c r="AA732" s="249">
        <v>2</v>
      </c>
      <c r="AB732" s="250">
        <v>25000</v>
      </c>
      <c r="AC732" s="250">
        <v>50000</v>
      </c>
      <c r="AD732" s="250" t="s">
        <v>480</v>
      </c>
      <c r="AE732" s="250" t="s">
        <v>480</v>
      </c>
      <c r="AF732" s="250">
        <v>25000</v>
      </c>
    </row>
    <row r="733" spans="2:32" x14ac:dyDescent="0.25">
      <c r="B733" s="63" t="s">
        <v>1449</v>
      </c>
      <c r="C733" s="15" t="s">
        <v>337</v>
      </c>
      <c r="D733" s="15">
        <v>1995</v>
      </c>
      <c r="E733" s="16">
        <v>1824000</v>
      </c>
      <c r="F733" s="15">
        <v>1.9</v>
      </c>
      <c r="G733" s="15">
        <v>2.7</v>
      </c>
      <c r="H733" s="15" t="s">
        <v>340</v>
      </c>
      <c r="I733" s="249">
        <f t="shared" si="33"/>
        <v>1</v>
      </c>
      <c r="J733" s="143">
        <v>8000</v>
      </c>
      <c r="K733" s="249" t="s">
        <v>2378</v>
      </c>
      <c r="M733" s="249">
        <f t="shared" si="34"/>
        <v>20</v>
      </c>
      <c r="N733" s="249">
        <f t="shared" si="35"/>
        <v>19</v>
      </c>
      <c r="O733" s="15"/>
      <c r="P733" s="15"/>
      <c r="Q733" s="15" t="s">
        <v>328</v>
      </c>
      <c r="S733" s="15"/>
      <c r="T733" s="15" t="s">
        <v>328</v>
      </c>
      <c r="U733" s="15"/>
      <c r="V733" s="15"/>
      <c r="W733" s="15"/>
      <c r="X733" s="15"/>
      <c r="Z733" s="127">
        <v>0.5</v>
      </c>
      <c r="AA733" s="249">
        <v>2</v>
      </c>
      <c r="AB733" s="250">
        <v>25000</v>
      </c>
      <c r="AC733" s="250">
        <v>50000</v>
      </c>
      <c r="AD733" s="250" t="s">
        <v>480</v>
      </c>
      <c r="AE733" s="250" t="s">
        <v>480</v>
      </c>
      <c r="AF733" s="250">
        <v>25000</v>
      </c>
    </row>
    <row r="734" spans="2:32" x14ac:dyDescent="0.25">
      <c r="B734" s="63" t="s">
        <v>1452</v>
      </c>
      <c r="C734" s="15" t="s">
        <v>337</v>
      </c>
      <c r="D734" s="15">
        <v>1994</v>
      </c>
      <c r="E734" s="16">
        <v>1728000</v>
      </c>
      <c r="F734" s="15">
        <v>1.9</v>
      </c>
      <c r="G734" s="15">
        <v>2.6</v>
      </c>
      <c r="H734" s="15" t="s">
        <v>340</v>
      </c>
      <c r="I734" s="249">
        <f t="shared" si="33"/>
        <v>1</v>
      </c>
      <c r="J734" s="143">
        <v>7200</v>
      </c>
      <c r="K734" s="249" t="s">
        <v>2378</v>
      </c>
      <c r="M734" s="249">
        <f t="shared" si="34"/>
        <v>21</v>
      </c>
      <c r="N734" s="249">
        <f t="shared" si="35"/>
        <v>20</v>
      </c>
      <c r="O734" s="15"/>
      <c r="P734" s="15"/>
      <c r="Q734" s="15" t="s">
        <v>328</v>
      </c>
      <c r="S734" s="15"/>
      <c r="T734" s="15"/>
      <c r="U734" s="15"/>
      <c r="V734" s="15"/>
      <c r="W734" s="15" t="s">
        <v>328</v>
      </c>
      <c r="X734" s="15"/>
      <c r="Z734" s="127">
        <v>0.5</v>
      </c>
      <c r="AA734" s="249">
        <v>4</v>
      </c>
      <c r="AB734" s="250">
        <v>20000</v>
      </c>
      <c r="AC734" s="250">
        <v>40000</v>
      </c>
      <c r="AD734" s="250">
        <v>160000</v>
      </c>
      <c r="AE734" s="250">
        <v>160000</v>
      </c>
      <c r="AF734" s="250">
        <v>40000</v>
      </c>
    </row>
    <row r="735" spans="2:32" x14ac:dyDescent="0.25">
      <c r="B735" s="63" t="s">
        <v>1452</v>
      </c>
      <c r="C735" s="15" t="s">
        <v>337</v>
      </c>
      <c r="D735" s="15">
        <v>1994</v>
      </c>
      <c r="E735" s="16">
        <v>1728000</v>
      </c>
      <c r="F735" s="15">
        <v>1.9</v>
      </c>
      <c r="G735" s="15">
        <v>2.6</v>
      </c>
      <c r="H735" s="15" t="s">
        <v>340</v>
      </c>
      <c r="I735" s="249">
        <f t="shared" si="33"/>
        <v>1</v>
      </c>
      <c r="J735" s="143">
        <v>7200</v>
      </c>
      <c r="K735" s="249" t="s">
        <v>2378</v>
      </c>
      <c r="M735" s="249">
        <f t="shared" si="34"/>
        <v>21</v>
      </c>
      <c r="N735" s="249">
        <f t="shared" si="35"/>
        <v>20</v>
      </c>
      <c r="O735" s="15"/>
      <c r="P735" s="15"/>
      <c r="Q735" s="15" t="s">
        <v>328</v>
      </c>
      <c r="S735" s="15"/>
      <c r="T735" s="15"/>
      <c r="U735" s="15"/>
      <c r="V735" s="15"/>
      <c r="W735" s="15" t="s">
        <v>328</v>
      </c>
      <c r="X735" s="15"/>
      <c r="Z735" s="127">
        <v>0.5</v>
      </c>
      <c r="AA735" s="249">
        <v>4</v>
      </c>
      <c r="AB735" s="250">
        <v>20000</v>
      </c>
      <c r="AC735" s="250">
        <v>40000</v>
      </c>
      <c r="AD735" s="250">
        <v>160000</v>
      </c>
      <c r="AE735" s="250">
        <v>160000</v>
      </c>
      <c r="AF735" s="250">
        <v>40000</v>
      </c>
    </row>
    <row r="736" spans="2:32" x14ac:dyDescent="0.25">
      <c r="B736" s="63" t="s">
        <v>1452</v>
      </c>
      <c r="C736" s="15" t="s">
        <v>337</v>
      </c>
      <c r="D736" s="15">
        <v>2000</v>
      </c>
      <c r="E736" s="16">
        <v>917713</v>
      </c>
      <c r="F736" s="15">
        <v>2</v>
      </c>
      <c r="G736" s="15">
        <v>2.6</v>
      </c>
      <c r="H736" s="15" t="s">
        <v>340</v>
      </c>
      <c r="I736" s="249">
        <f t="shared" si="33"/>
        <v>1</v>
      </c>
      <c r="J736" s="143">
        <v>8000</v>
      </c>
      <c r="K736" s="249" t="s">
        <v>2378</v>
      </c>
      <c r="M736" s="249">
        <f t="shared" si="34"/>
        <v>15</v>
      </c>
      <c r="N736" s="249">
        <f t="shared" si="35"/>
        <v>14</v>
      </c>
      <c r="O736" s="15"/>
      <c r="P736" s="15"/>
      <c r="Q736" s="15" t="s">
        <v>328</v>
      </c>
      <c r="S736" s="15"/>
      <c r="T736" s="15"/>
      <c r="U736" s="15"/>
      <c r="V736" s="15"/>
      <c r="W736" s="15" t="s">
        <v>328</v>
      </c>
      <c r="X736" s="15"/>
      <c r="Z736" s="127">
        <v>0.5</v>
      </c>
      <c r="AA736" s="249">
        <v>4</v>
      </c>
      <c r="AB736" s="250">
        <v>20000</v>
      </c>
      <c r="AC736" s="250">
        <v>40000</v>
      </c>
      <c r="AD736" s="250">
        <v>160000</v>
      </c>
      <c r="AE736" s="250">
        <v>160000</v>
      </c>
      <c r="AF736" s="250">
        <v>40000</v>
      </c>
    </row>
    <row r="737" spans="2:32" x14ac:dyDescent="0.25">
      <c r="B737" s="63" t="s">
        <v>1452</v>
      </c>
      <c r="C737" s="15" t="s">
        <v>337</v>
      </c>
      <c r="D737" s="15">
        <v>2001</v>
      </c>
      <c r="E737" s="16">
        <v>873651</v>
      </c>
      <c r="F737" s="15">
        <v>2</v>
      </c>
      <c r="G737" s="15">
        <v>2.6</v>
      </c>
      <c r="H737" s="15" t="s">
        <v>340</v>
      </c>
      <c r="I737" s="249">
        <f t="shared" si="33"/>
        <v>1</v>
      </c>
      <c r="J737" s="143">
        <v>8000</v>
      </c>
      <c r="K737" s="249" t="s">
        <v>2378</v>
      </c>
      <c r="M737" s="249">
        <f t="shared" si="34"/>
        <v>14</v>
      </c>
      <c r="N737" s="249">
        <f t="shared" si="35"/>
        <v>13</v>
      </c>
      <c r="O737" s="15"/>
      <c r="P737" s="15"/>
      <c r="Q737" s="15" t="s">
        <v>328</v>
      </c>
      <c r="S737" s="15"/>
      <c r="T737" s="15"/>
      <c r="U737" s="15"/>
      <c r="V737" s="15"/>
      <c r="W737" s="15" t="s">
        <v>328</v>
      </c>
      <c r="X737" s="15"/>
      <c r="Z737" s="127">
        <v>0.5</v>
      </c>
      <c r="AA737" s="249">
        <v>4</v>
      </c>
      <c r="AB737" s="250">
        <v>20000</v>
      </c>
      <c r="AC737" s="250">
        <v>40000</v>
      </c>
      <c r="AD737" s="250">
        <v>160000</v>
      </c>
      <c r="AE737" s="250">
        <v>160000</v>
      </c>
      <c r="AF737" s="250">
        <v>40000</v>
      </c>
    </row>
    <row r="738" spans="2:32" x14ac:dyDescent="0.25">
      <c r="B738" s="63" t="s">
        <v>1453</v>
      </c>
      <c r="C738" s="15" t="s">
        <v>348</v>
      </c>
      <c r="D738" s="15">
        <v>2004</v>
      </c>
      <c r="E738" s="16">
        <v>683451</v>
      </c>
      <c r="F738" s="15">
        <v>3.9</v>
      </c>
      <c r="G738" s="15">
        <v>4.2</v>
      </c>
      <c r="H738" s="15" t="s">
        <v>340</v>
      </c>
      <c r="I738" s="249">
        <f t="shared" si="33"/>
        <v>1</v>
      </c>
      <c r="J738" s="143">
        <v>6400</v>
      </c>
      <c r="K738" s="249" t="s">
        <v>2378</v>
      </c>
      <c r="M738" s="249">
        <f t="shared" si="34"/>
        <v>11</v>
      </c>
      <c r="N738" s="249">
        <f t="shared" si="35"/>
        <v>10</v>
      </c>
      <c r="O738" s="15" t="s">
        <v>328</v>
      </c>
      <c r="P738" s="15"/>
      <c r="Q738" s="15"/>
      <c r="S738" s="15"/>
      <c r="T738" s="15"/>
      <c r="U738" s="15"/>
      <c r="V738" s="15"/>
      <c r="W738" s="15" t="s">
        <v>328</v>
      </c>
      <c r="X738" s="15"/>
      <c r="Z738" s="127">
        <v>0.5</v>
      </c>
      <c r="AA738" s="249">
        <v>2</v>
      </c>
      <c r="AB738" s="250">
        <v>24000</v>
      </c>
      <c r="AC738" s="250">
        <v>48000</v>
      </c>
      <c r="AD738" s="250">
        <v>100000</v>
      </c>
      <c r="AE738" s="250">
        <v>140000</v>
      </c>
      <c r="AF738" s="250">
        <v>24000</v>
      </c>
    </row>
    <row r="739" spans="2:32" x14ac:dyDescent="0.25">
      <c r="B739" s="63" t="s">
        <v>1453</v>
      </c>
      <c r="C739" s="15" t="s">
        <v>348</v>
      </c>
      <c r="D739" s="15">
        <v>2004</v>
      </c>
      <c r="E739" s="16">
        <v>690708</v>
      </c>
      <c r="F739" s="15">
        <v>3.9</v>
      </c>
      <c r="G739" s="15">
        <v>4.2</v>
      </c>
      <c r="H739" s="15" t="s">
        <v>340</v>
      </c>
      <c r="I739" s="249">
        <f t="shared" si="33"/>
        <v>1</v>
      </c>
      <c r="J739" s="143">
        <v>6400</v>
      </c>
      <c r="K739" s="249" t="s">
        <v>2378</v>
      </c>
      <c r="M739" s="249">
        <f t="shared" si="34"/>
        <v>11</v>
      </c>
      <c r="N739" s="249">
        <f t="shared" si="35"/>
        <v>10</v>
      </c>
      <c r="O739" s="15" t="s">
        <v>328</v>
      </c>
      <c r="P739" s="15"/>
      <c r="Q739" s="15"/>
      <c r="S739" s="15"/>
      <c r="T739" s="15"/>
      <c r="U739" s="15"/>
      <c r="V739" s="15"/>
      <c r="W739" s="15" t="s">
        <v>328</v>
      </c>
      <c r="X739" s="15"/>
      <c r="Z739" s="127">
        <v>0.5</v>
      </c>
      <c r="AA739" s="249">
        <v>2</v>
      </c>
      <c r="AB739" s="250">
        <v>24000</v>
      </c>
      <c r="AC739" s="250">
        <v>48000</v>
      </c>
      <c r="AD739" s="250">
        <v>100000</v>
      </c>
      <c r="AE739" s="250">
        <v>140000</v>
      </c>
      <c r="AF739" s="250">
        <v>24000</v>
      </c>
    </row>
    <row r="740" spans="2:32" x14ac:dyDescent="0.25">
      <c r="B740" s="63" t="s">
        <v>1457</v>
      </c>
      <c r="C740" s="15" t="s">
        <v>337</v>
      </c>
      <c r="D740" s="15">
        <v>1992</v>
      </c>
      <c r="E740" s="16">
        <v>2640000</v>
      </c>
      <c r="F740" s="15">
        <v>1.9</v>
      </c>
      <c r="G740" s="15">
        <v>2.6</v>
      </c>
      <c r="H740" s="15" t="s">
        <v>340</v>
      </c>
      <c r="I740" s="249">
        <f t="shared" si="33"/>
        <v>1</v>
      </c>
      <c r="J740" s="143">
        <v>10000</v>
      </c>
      <c r="K740" s="249" t="s">
        <v>2378</v>
      </c>
      <c r="M740" s="249">
        <f t="shared" si="34"/>
        <v>23</v>
      </c>
      <c r="N740" s="249">
        <f t="shared" si="35"/>
        <v>22</v>
      </c>
      <c r="O740" s="15"/>
      <c r="P740" s="15"/>
      <c r="Q740" s="15" t="s">
        <v>328</v>
      </c>
      <c r="S740" s="15"/>
      <c r="T740" s="15"/>
      <c r="U740" s="15"/>
      <c r="V740" s="15"/>
      <c r="W740" s="15" t="s">
        <v>328</v>
      </c>
      <c r="X740" s="15"/>
      <c r="Z740" s="127">
        <v>0.5</v>
      </c>
      <c r="AA740" s="249">
        <v>2</v>
      </c>
      <c r="AB740" s="250">
        <v>36000</v>
      </c>
      <c r="AC740" s="250">
        <v>36000</v>
      </c>
      <c r="AD740" s="250">
        <v>90000</v>
      </c>
      <c r="AE740" s="250">
        <v>150000</v>
      </c>
      <c r="AF740" s="250">
        <v>36000</v>
      </c>
    </row>
    <row r="741" spans="2:32" x14ac:dyDescent="0.25">
      <c r="B741" s="63" t="s">
        <v>1457</v>
      </c>
      <c r="C741" s="15" t="s">
        <v>337</v>
      </c>
      <c r="D741" s="15">
        <v>1997</v>
      </c>
      <c r="E741" s="16">
        <v>2040000</v>
      </c>
      <c r="F741" s="15">
        <v>1.9</v>
      </c>
      <c r="G741" s="15">
        <v>2.6</v>
      </c>
      <c r="H741" s="15" t="s">
        <v>340</v>
      </c>
      <c r="I741" s="249">
        <f t="shared" si="33"/>
        <v>1</v>
      </c>
      <c r="J741" s="143">
        <v>10000</v>
      </c>
      <c r="K741" s="249" t="s">
        <v>2378</v>
      </c>
      <c r="M741" s="249">
        <f t="shared" si="34"/>
        <v>18</v>
      </c>
      <c r="N741" s="249">
        <f t="shared" si="35"/>
        <v>17</v>
      </c>
      <c r="O741" s="15"/>
      <c r="P741" s="15"/>
      <c r="Q741" s="15" t="s">
        <v>328</v>
      </c>
      <c r="S741" s="15"/>
      <c r="T741" s="15"/>
      <c r="U741" s="15"/>
      <c r="V741" s="15"/>
      <c r="W741" s="15" t="s">
        <v>328</v>
      </c>
      <c r="X741" s="15"/>
      <c r="Z741" s="127">
        <v>0.5</v>
      </c>
      <c r="AA741" s="249">
        <v>2</v>
      </c>
      <c r="AB741" s="250">
        <v>36000</v>
      </c>
      <c r="AC741" s="250">
        <v>36000</v>
      </c>
      <c r="AD741" s="250">
        <v>90000</v>
      </c>
      <c r="AE741" s="250">
        <v>150000</v>
      </c>
      <c r="AF741" s="250">
        <v>36000</v>
      </c>
    </row>
    <row r="742" spans="2:32" x14ac:dyDescent="0.25">
      <c r="B742" s="63" t="s">
        <v>1460</v>
      </c>
      <c r="C742" s="14" t="s">
        <v>351</v>
      </c>
      <c r="D742" s="15">
        <v>1990</v>
      </c>
      <c r="E742" s="16">
        <v>2592000</v>
      </c>
      <c r="F742" s="15">
        <v>3.1</v>
      </c>
      <c r="G742" s="15">
        <v>3.4</v>
      </c>
      <c r="H742" s="15" t="s">
        <v>340</v>
      </c>
      <c r="I742" s="249">
        <f t="shared" si="33"/>
        <v>1</v>
      </c>
      <c r="J742" s="143">
        <v>9000</v>
      </c>
      <c r="K742" s="249" t="s">
        <v>2378</v>
      </c>
      <c r="M742" s="249">
        <f t="shared" si="34"/>
        <v>25</v>
      </c>
      <c r="N742" s="249">
        <f t="shared" si="35"/>
        <v>24</v>
      </c>
      <c r="O742" s="15"/>
      <c r="P742" s="15"/>
      <c r="Q742" s="15" t="s">
        <v>328</v>
      </c>
      <c r="S742" s="15"/>
      <c r="T742" s="15"/>
      <c r="U742" s="15"/>
      <c r="V742" s="15"/>
      <c r="W742" s="15" t="s">
        <v>328</v>
      </c>
      <c r="X742" s="15"/>
      <c r="Z742" s="127">
        <v>0.5</v>
      </c>
      <c r="AA742" s="249">
        <v>1</v>
      </c>
      <c r="AB742" s="250">
        <v>24000</v>
      </c>
      <c r="AC742" s="250">
        <v>60000</v>
      </c>
      <c r="AD742" s="250">
        <v>60000</v>
      </c>
      <c r="AE742" s="250">
        <v>120000</v>
      </c>
      <c r="AF742" s="250">
        <v>24000</v>
      </c>
    </row>
    <row r="743" spans="2:32" x14ac:dyDescent="0.25">
      <c r="B743" s="63" t="s">
        <v>1461</v>
      </c>
      <c r="C743" s="14" t="s">
        <v>351</v>
      </c>
      <c r="D743" s="15">
        <v>2000</v>
      </c>
      <c r="E743" s="16">
        <v>978613</v>
      </c>
      <c r="F743" s="15">
        <v>3.1</v>
      </c>
      <c r="G743" s="15">
        <v>3.4</v>
      </c>
      <c r="H743" s="15" t="s">
        <v>340</v>
      </c>
      <c r="I743" s="249">
        <f t="shared" si="33"/>
        <v>1</v>
      </c>
      <c r="J743" s="143">
        <v>7000</v>
      </c>
      <c r="K743" s="249" t="s">
        <v>2378</v>
      </c>
      <c r="M743" s="249">
        <f t="shared" si="34"/>
        <v>15</v>
      </c>
      <c r="N743" s="249">
        <f t="shared" si="35"/>
        <v>14</v>
      </c>
      <c r="O743" s="15"/>
      <c r="P743" s="15" t="s">
        <v>328</v>
      </c>
      <c r="Q743" s="15"/>
      <c r="S743" s="15"/>
      <c r="T743" s="15"/>
      <c r="U743" s="15"/>
      <c r="V743" s="15"/>
      <c r="W743" s="15" t="s">
        <v>328</v>
      </c>
      <c r="X743" s="15"/>
      <c r="Z743" s="127">
        <v>0.1</v>
      </c>
      <c r="AA743" s="249">
        <v>1</v>
      </c>
      <c r="AB743" s="250">
        <v>20000</v>
      </c>
      <c r="AC743" s="250">
        <v>60000</v>
      </c>
      <c r="AD743" s="250">
        <v>160000</v>
      </c>
      <c r="AE743" s="250">
        <v>120000</v>
      </c>
      <c r="AF743" s="250">
        <v>60000</v>
      </c>
    </row>
    <row r="744" spans="2:32" x14ac:dyDescent="0.25">
      <c r="B744" s="63" t="s">
        <v>1462</v>
      </c>
      <c r="C744" s="15" t="s">
        <v>337</v>
      </c>
      <c r="D744" s="15">
        <v>1998</v>
      </c>
      <c r="E744" s="16">
        <v>1436501</v>
      </c>
      <c r="F744" s="15">
        <v>2.5</v>
      </c>
      <c r="G744" s="15">
        <v>2.7</v>
      </c>
      <c r="H744" s="15" t="s">
        <v>340</v>
      </c>
      <c r="I744" s="249">
        <f t="shared" si="33"/>
        <v>1</v>
      </c>
      <c r="J744" s="143">
        <v>9000</v>
      </c>
      <c r="K744" s="249" t="s">
        <v>2378</v>
      </c>
      <c r="M744" s="249">
        <f t="shared" si="34"/>
        <v>17</v>
      </c>
      <c r="N744" s="249">
        <f t="shared" si="35"/>
        <v>16</v>
      </c>
      <c r="O744" s="15"/>
      <c r="P744" s="15"/>
      <c r="Q744" s="15" t="s">
        <v>328</v>
      </c>
      <c r="S744" s="15"/>
      <c r="T744" s="15"/>
      <c r="U744" s="15"/>
      <c r="V744" s="15"/>
      <c r="W744" s="15" t="s">
        <v>328</v>
      </c>
      <c r="X744" s="15"/>
      <c r="Z744" s="127">
        <v>0.1</v>
      </c>
      <c r="AA744" s="249">
        <v>2</v>
      </c>
      <c r="AB744" s="250">
        <v>18000</v>
      </c>
      <c r="AC744" s="250">
        <v>36000</v>
      </c>
      <c r="AD744" s="250">
        <v>120000</v>
      </c>
      <c r="AE744" s="250">
        <v>120000</v>
      </c>
      <c r="AF744" s="250">
        <v>36000</v>
      </c>
    </row>
    <row r="745" spans="2:32" x14ac:dyDescent="0.25">
      <c r="B745" s="63" t="s">
        <v>1462</v>
      </c>
      <c r="C745" s="15" t="s">
        <v>337</v>
      </c>
      <c r="D745" s="15">
        <v>2001</v>
      </c>
      <c r="E745" s="16">
        <v>971800</v>
      </c>
      <c r="F745" s="15">
        <v>2.5</v>
      </c>
      <c r="G745" s="15">
        <v>2.7</v>
      </c>
      <c r="H745" s="15" t="s">
        <v>340</v>
      </c>
      <c r="I745" s="249">
        <f t="shared" si="33"/>
        <v>1</v>
      </c>
      <c r="J745" s="143">
        <v>9000</v>
      </c>
      <c r="K745" s="249" t="s">
        <v>2378</v>
      </c>
      <c r="M745" s="249">
        <f t="shared" si="34"/>
        <v>14</v>
      </c>
      <c r="N745" s="249">
        <f t="shared" si="35"/>
        <v>13</v>
      </c>
      <c r="O745" s="15"/>
      <c r="P745" s="15"/>
      <c r="Q745" s="15" t="s">
        <v>328</v>
      </c>
      <c r="S745" s="15"/>
      <c r="T745" s="15"/>
      <c r="U745" s="15"/>
      <c r="V745" s="15"/>
      <c r="W745" s="15" t="s">
        <v>328</v>
      </c>
      <c r="X745" s="15"/>
      <c r="Z745" s="127">
        <v>0.1</v>
      </c>
      <c r="AA745" s="249">
        <v>2</v>
      </c>
      <c r="AB745" s="250">
        <v>18000</v>
      </c>
      <c r="AC745" s="250">
        <v>36000</v>
      </c>
      <c r="AD745" s="250">
        <v>120000</v>
      </c>
      <c r="AE745" s="250">
        <v>120000</v>
      </c>
      <c r="AF745" s="250">
        <v>36000</v>
      </c>
    </row>
    <row r="746" spans="2:32" x14ac:dyDescent="0.25">
      <c r="B746" s="63" t="s">
        <v>1465</v>
      </c>
      <c r="C746" s="15" t="s">
        <v>348</v>
      </c>
      <c r="D746" s="15">
        <v>2001</v>
      </c>
      <c r="E746" s="16">
        <v>1248000</v>
      </c>
      <c r="F746" s="15">
        <v>3.9</v>
      </c>
      <c r="G746" s="15">
        <v>4.2</v>
      </c>
      <c r="H746" s="15" t="s">
        <v>340</v>
      </c>
      <c r="I746" s="249">
        <f t="shared" si="33"/>
        <v>1</v>
      </c>
      <c r="J746" s="143">
        <v>8000</v>
      </c>
      <c r="K746" s="249" t="s">
        <v>2378</v>
      </c>
      <c r="M746" s="249">
        <f t="shared" si="34"/>
        <v>14</v>
      </c>
      <c r="N746" s="249">
        <f t="shared" si="35"/>
        <v>13</v>
      </c>
      <c r="O746" s="15"/>
      <c r="P746" s="15" t="s">
        <v>328</v>
      </c>
      <c r="Q746" s="15"/>
      <c r="S746" s="15"/>
      <c r="T746" s="15"/>
      <c r="U746" s="15"/>
      <c r="V746" s="15"/>
      <c r="W746" s="15" t="s">
        <v>328</v>
      </c>
      <c r="X746" s="15"/>
      <c r="Z746" s="127">
        <v>0.2</v>
      </c>
      <c r="AA746" s="249">
        <v>3</v>
      </c>
      <c r="AB746" s="250">
        <v>25000</v>
      </c>
      <c r="AC746" s="250">
        <v>50000</v>
      </c>
      <c r="AD746" s="250">
        <v>150000</v>
      </c>
      <c r="AE746" s="250">
        <v>150000</v>
      </c>
      <c r="AF746" s="250">
        <v>50000</v>
      </c>
    </row>
    <row r="747" spans="2:32" x14ac:dyDescent="0.25">
      <c r="B747" s="63" t="s">
        <v>1465</v>
      </c>
      <c r="C747" s="15" t="s">
        <v>348</v>
      </c>
      <c r="D747" s="15">
        <v>2003</v>
      </c>
      <c r="E747" s="16">
        <v>1056000</v>
      </c>
      <c r="F747" s="15">
        <v>3.9</v>
      </c>
      <c r="G747" s="15">
        <v>4.2</v>
      </c>
      <c r="H747" s="15" t="s">
        <v>340</v>
      </c>
      <c r="I747" s="249">
        <f t="shared" si="33"/>
        <v>1</v>
      </c>
      <c r="J747" s="143">
        <v>8000</v>
      </c>
      <c r="K747" s="249" t="s">
        <v>2378</v>
      </c>
      <c r="M747" s="249">
        <f t="shared" si="34"/>
        <v>12</v>
      </c>
      <c r="N747" s="249">
        <f t="shared" si="35"/>
        <v>11</v>
      </c>
      <c r="O747" s="15"/>
      <c r="P747" s="15" t="s">
        <v>328</v>
      </c>
      <c r="Q747" s="15"/>
      <c r="S747" s="15"/>
      <c r="T747" s="15"/>
      <c r="U747" s="15"/>
      <c r="V747" s="15"/>
      <c r="W747" s="15" t="s">
        <v>328</v>
      </c>
      <c r="X747" s="15"/>
      <c r="Z747" s="127">
        <v>0.2</v>
      </c>
      <c r="AA747" s="249">
        <v>3</v>
      </c>
      <c r="AB747" s="250">
        <v>25000</v>
      </c>
      <c r="AC747" s="250">
        <v>50000</v>
      </c>
      <c r="AD747" s="250">
        <v>150000</v>
      </c>
      <c r="AE747" s="250">
        <v>150000</v>
      </c>
      <c r="AF747" s="250">
        <v>50000</v>
      </c>
    </row>
    <row r="748" spans="2:32" x14ac:dyDescent="0.25">
      <c r="B748" s="63" t="s">
        <v>1465</v>
      </c>
      <c r="C748" s="15" t="s">
        <v>348</v>
      </c>
      <c r="D748" s="15">
        <v>2003</v>
      </c>
      <c r="E748" s="16">
        <v>1056000</v>
      </c>
      <c r="F748" s="15">
        <v>3.9</v>
      </c>
      <c r="G748" s="15">
        <v>4.2</v>
      </c>
      <c r="H748" s="15" t="s">
        <v>340</v>
      </c>
      <c r="I748" s="249">
        <f t="shared" si="33"/>
        <v>1</v>
      </c>
      <c r="J748" s="143">
        <v>8000</v>
      </c>
      <c r="K748" s="249" t="s">
        <v>2378</v>
      </c>
      <c r="M748" s="249">
        <f t="shared" si="34"/>
        <v>12</v>
      </c>
      <c r="N748" s="249">
        <f t="shared" si="35"/>
        <v>11</v>
      </c>
      <c r="O748" s="15"/>
      <c r="P748" s="15" t="s">
        <v>328</v>
      </c>
      <c r="Q748" s="15"/>
      <c r="S748" s="15"/>
      <c r="T748" s="15"/>
      <c r="U748" s="15"/>
      <c r="V748" s="15"/>
      <c r="W748" s="15"/>
      <c r="X748" s="15" t="s">
        <v>328</v>
      </c>
      <c r="Z748" s="127">
        <v>0.2</v>
      </c>
      <c r="AA748" s="249">
        <v>3</v>
      </c>
      <c r="AB748" s="250">
        <v>25000</v>
      </c>
      <c r="AC748" s="250">
        <v>50000</v>
      </c>
      <c r="AD748" s="250">
        <v>150000</v>
      </c>
      <c r="AE748" s="250">
        <v>150000</v>
      </c>
      <c r="AF748" s="250">
        <v>50000</v>
      </c>
    </row>
    <row r="749" spans="2:32" x14ac:dyDescent="0.25">
      <c r="B749" s="63" t="s">
        <v>1466</v>
      </c>
      <c r="C749" s="15" t="s">
        <v>337</v>
      </c>
      <c r="D749" s="15">
        <v>2004</v>
      </c>
      <c r="E749" s="16">
        <v>465922</v>
      </c>
      <c r="F749" s="15">
        <v>2.2000000000000002</v>
      </c>
      <c r="G749" s="15">
        <v>2.7</v>
      </c>
      <c r="H749" s="15" t="s">
        <v>340</v>
      </c>
      <c r="I749" s="249">
        <f t="shared" si="33"/>
        <v>1</v>
      </c>
      <c r="J749" s="143">
        <v>4166.666666666667</v>
      </c>
      <c r="K749" s="249" t="s">
        <v>2378</v>
      </c>
      <c r="M749" s="249">
        <f t="shared" si="34"/>
        <v>11</v>
      </c>
      <c r="N749" s="249">
        <f t="shared" si="35"/>
        <v>10</v>
      </c>
      <c r="O749" s="15" t="s">
        <v>328</v>
      </c>
      <c r="P749" s="15"/>
      <c r="Q749" s="15"/>
      <c r="S749" s="15"/>
      <c r="T749" s="15"/>
      <c r="U749" s="15"/>
      <c r="V749" s="15"/>
      <c r="W749" s="15" t="s">
        <v>328</v>
      </c>
      <c r="X749" s="15"/>
      <c r="Z749" s="127">
        <v>0.5</v>
      </c>
      <c r="AA749" s="249">
        <v>3</v>
      </c>
      <c r="AB749" s="250">
        <v>18000</v>
      </c>
      <c r="AC749" s="250">
        <v>50000</v>
      </c>
      <c r="AD749" s="250">
        <v>200000</v>
      </c>
      <c r="AE749" s="250">
        <v>100000</v>
      </c>
      <c r="AF749" s="250">
        <v>50000</v>
      </c>
    </row>
    <row r="750" spans="2:32" x14ac:dyDescent="0.25">
      <c r="B750" s="63" t="s">
        <v>1466</v>
      </c>
      <c r="C750" s="15" t="s">
        <v>337</v>
      </c>
      <c r="D750" s="15">
        <v>2004</v>
      </c>
      <c r="E750" s="16">
        <v>396710</v>
      </c>
      <c r="F750" s="15">
        <v>2.2000000000000002</v>
      </c>
      <c r="G750" s="15">
        <v>2.7</v>
      </c>
      <c r="H750" s="15" t="s">
        <v>340</v>
      </c>
      <c r="I750" s="249">
        <f t="shared" si="33"/>
        <v>1</v>
      </c>
      <c r="J750" s="143">
        <v>4166.666666666667</v>
      </c>
      <c r="K750" s="249" t="s">
        <v>2378</v>
      </c>
      <c r="M750" s="249">
        <f t="shared" si="34"/>
        <v>11</v>
      </c>
      <c r="N750" s="249">
        <f t="shared" si="35"/>
        <v>10</v>
      </c>
      <c r="O750" s="15" t="s">
        <v>328</v>
      </c>
      <c r="P750" s="15"/>
      <c r="Q750" s="15"/>
      <c r="S750" s="15"/>
      <c r="T750" s="15"/>
      <c r="U750" s="15"/>
      <c r="V750" s="15"/>
      <c r="W750" s="15" t="s">
        <v>328</v>
      </c>
      <c r="X750" s="15"/>
      <c r="Z750" s="127">
        <v>0.5</v>
      </c>
      <c r="AA750" s="249">
        <v>3</v>
      </c>
      <c r="AB750" s="250">
        <v>18000</v>
      </c>
      <c r="AC750" s="250">
        <v>50000</v>
      </c>
      <c r="AD750" s="250">
        <v>200000</v>
      </c>
      <c r="AE750" s="250">
        <v>100000</v>
      </c>
      <c r="AF750" s="250">
        <v>50000</v>
      </c>
    </row>
    <row r="751" spans="2:32" x14ac:dyDescent="0.25">
      <c r="B751" s="63" t="s">
        <v>1466</v>
      </c>
      <c r="C751" s="15" t="s">
        <v>337</v>
      </c>
      <c r="D751" s="15">
        <v>2007</v>
      </c>
      <c r="E751" s="16">
        <v>317829</v>
      </c>
      <c r="F751" s="15">
        <v>2.2000000000000002</v>
      </c>
      <c r="G751" s="15">
        <v>2.7</v>
      </c>
      <c r="H751" s="15" t="s">
        <v>340</v>
      </c>
      <c r="I751" s="249">
        <f t="shared" si="33"/>
        <v>1</v>
      </c>
      <c r="J751" s="143">
        <v>4166.666666666667</v>
      </c>
      <c r="K751" s="249" t="s">
        <v>2378</v>
      </c>
      <c r="M751" s="249">
        <f t="shared" si="34"/>
        <v>8</v>
      </c>
      <c r="N751" s="249">
        <f t="shared" si="35"/>
        <v>7</v>
      </c>
      <c r="O751" s="15" t="s">
        <v>328</v>
      </c>
      <c r="P751" s="15"/>
      <c r="Q751" s="15"/>
      <c r="S751" s="15"/>
      <c r="T751" s="15"/>
      <c r="U751" s="15"/>
      <c r="V751" s="15"/>
      <c r="W751" s="15" t="s">
        <v>328</v>
      </c>
      <c r="X751" s="15"/>
      <c r="Z751" s="127">
        <v>0.5</v>
      </c>
      <c r="AA751" s="249">
        <v>3</v>
      </c>
      <c r="AB751" s="250">
        <v>18000</v>
      </c>
      <c r="AC751" s="250">
        <v>50000</v>
      </c>
      <c r="AD751" s="250">
        <v>200000</v>
      </c>
      <c r="AE751" s="250">
        <v>100000</v>
      </c>
      <c r="AF751" s="250">
        <v>50000</v>
      </c>
    </row>
    <row r="752" spans="2:32" x14ac:dyDescent="0.25">
      <c r="B752" s="63" t="s">
        <v>1470</v>
      </c>
      <c r="C752" s="15" t="s">
        <v>348</v>
      </c>
      <c r="D752" s="15">
        <v>1995</v>
      </c>
      <c r="E752" s="16">
        <v>1094400</v>
      </c>
      <c r="F752" s="15">
        <v>3.9</v>
      </c>
      <c r="G752" s="15">
        <v>4.5</v>
      </c>
      <c r="H752" s="15" t="s">
        <v>340</v>
      </c>
      <c r="I752" s="249">
        <f t="shared" si="33"/>
        <v>1</v>
      </c>
      <c r="J752" s="143">
        <v>4800</v>
      </c>
      <c r="K752" s="249" t="s">
        <v>2378</v>
      </c>
      <c r="M752" s="249">
        <f t="shared" si="34"/>
        <v>20</v>
      </c>
      <c r="N752" s="249">
        <f t="shared" si="35"/>
        <v>19</v>
      </c>
      <c r="O752" s="15"/>
      <c r="P752" s="15"/>
      <c r="Q752" s="15" t="s">
        <v>328</v>
      </c>
      <c r="S752" s="15"/>
      <c r="T752" s="15" t="s">
        <v>328</v>
      </c>
      <c r="U752" s="15"/>
      <c r="V752" s="15"/>
      <c r="W752" s="15"/>
      <c r="X752" s="15"/>
      <c r="Z752" s="127">
        <v>0.5</v>
      </c>
      <c r="AA752" s="249">
        <v>2</v>
      </c>
      <c r="AB752" s="250">
        <v>30000</v>
      </c>
      <c r="AC752" s="250">
        <v>60000</v>
      </c>
      <c r="AD752" s="250" t="s">
        <v>480</v>
      </c>
      <c r="AE752" s="250" t="s">
        <v>480</v>
      </c>
      <c r="AF752" s="250" t="s">
        <v>480</v>
      </c>
    </row>
    <row r="753" spans="2:32" x14ac:dyDescent="0.25">
      <c r="B753" s="63" t="s">
        <v>1470</v>
      </c>
      <c r="C753" s="15" t="s">
        <v>348</v>
      </c>
      <c r="D753" s="15">
        <v>2001</v>
      </c>
      <c r="E753" s="16">
        <v>715934</v>
      </c>
      <c r="F753" s="15">
        <v>3.9</v>
      </c>
      <c r="G753" s="15">
        <v>4.5</v>
      </c>
      <c r="H753" s="15" t="s">
        <v>340</v>
      </c>
      <c r="I753" s="249">
        <f t="shared" si="33"/>
        <v>1</v>
      </c>
      <c r="J753" s="143">
        <v>4800</v>
      </c>
      <c r="K753" s="249" t="s">
        <v>2378</v>
      </c>
      <c r="M753" s="249">
        <f t="shared" si="34"/>
        <v>14</v>
      </c>
      <c r="N753" s="249">
        <f t="shared" si="35"/>
        <v>13</v>
      </c>
      <c r="O753" s="15"/>
      <c r="P753" s="15"/>
      <c r="Q753" s="15" t="s">
        <v>328</v>
      </c>
      <c r="S753" s="15"/>
      <c r="T753" s="15" t="s">
        <v>328</v>
      </c>
      <c r="U753" s="15"/>
      <c r="V753" s="15"/>
      <c r="W753" s="15"/>
      <c r="X753" s="15"/>
      <c r="Z753" s="127">
        <v>0.5</v>
      </c>
      <c r="AA753" s="249">
        <v>2</v>
      </c>
      <c r="AB753" s="250">
        <v>30000</v>
      </c>
      <c r="AC753" s="250">
        <v>60000</v>
      </c>
      <c r="AD753" s="250" t="s">
        <v>480</v>
      </c>
      <c r="AE753" s="250" t="s">
        <v>480</v>
      </c>
      <c r="AF753" s="250" t="s">
        <v>480</v>
      </c>
    </row>
    <row r="754" spans="2:32" x14ac:dyDescent="0.25">
      <c r="B754" s="63" t="s">
        <v>1471</v>
      </c>
      <c r="C754" s="15" t="s">
        <v>348</v>
      </c>
      <c r="D754" s="15">
        <v>1984</v>
      </c>
      <c r="E754" s="16">
        <v>468000</v>
      </c>
      <c r="F754" s="15">
        <v>4.5</v>
      </c>
      <c r="G754" s="15">
        <v>5</v>
      </c>
      <c r="H754" s="15" t="s">
        <v>371</v>
      </c>
      <c r="I754" s="249">
        <f t="shared" si="33"/>
        <v>1</v>
      </c>
      <c r="J754" s="143">
        <v>3000</v>
      </c>
      <c r="K754" s="249" t="s">
        <v>2378</v>
      </c>
      <c r="M754" s="249">
        <f t="shared" si="34"/>
        <v>31</v>
      </c>
      <c r="N754" s="249">
        <f t="shared" si="35"/>
        <v>30</v>
      </c>
      <c r="O754" s="15"/>
      <c r="P754" s="15"/>
      <c r="Q754" s="15" t="s">
        <v>328</v>
      </c>
      <c r="S754" s="15"/>
      <c r="T754" s="15" t="s">
        <v>328</v>
      </c>
      <c r="U754" s="15"/>
      <c r="V754" s="15"/>
      <c r="W754" s="15"/>
      <c r="X754" s="15"/>
      <c r="Z754" s="127">
        <v>0.5</v>
      </c>
      <c r="AA754" s="249">
        <v>2</v>
      </c>
      <c r="AB754" s="250">
        <v>20000</v>
      </c>
      <c r="AC754" s="250">
        <v>40000</v>
      </c>
      <c r="AD754" s="250">
        <v>85000</v>
      </c>
      <c r="AE754" s="250">
        <v>135000</v>
      </c>
      <c r="AF754" s="250" t="s">
        <v>385</v>
      </c>
    </row>
    <row r="755" spans="2:32" x14ac:dyDescent="0.25">
      <c r="B755" s="63" t="s">
        <v>1471</v>
      </c>
      <c r="C755" s="15" t="s">
        <v>348</v>
      </c>
      <c r="D755" s="15">
        <v>1993</v>
      </c>
      <c r="E755" s="16">
        <v>756000</v>
      </c>
      <c r="F755" s="15">
        <v>4.5</v>
      </c>
      <c r="G755" s="15">
        <v>5</v>
      </c>
      <c r="H755" s="15" t="s">
        <v>371</v>
      </c>
      <c r="I755" s="249">
        <f t="shared" si="33"/>
        <v>1</v>
      </c>
      <c r="J755" s="143">
        <v>3000</v>
      </c>
      <c r="K755" s="249" t="s">
        <v>2378</v>
      </c>
      <c r="M755" s="249">
        <f t="shared" si="34"/>
        <v>22</v>
      </c>
      <c r="N755" s="249">
        <f t="shared" si="35"/>
        <v>21</v>
      </c>
      <c r="O755" s="15"/>
      <c r="P755" s="15"/>
      <c r="Q755" s="15" t="s">
        <v>328</v>
      </c>
      <c r="S755" s="15"/>
      <c r="T755" s="15" t="s">
        <v>328</v>
      </c>
      <c r="U755" s="15"/>
      <c r="V755" s="15"/>
      <c r="W755" s="15"/>
      <c r="X755" s="15"/>
      <c r="Z755" s="127">
        <v>0.5</v>
      </c>
      <c r="AA755" s="249">
        <v>2</v>
      </c>
      <c r="AB755" s="250">
        <v>20000</v>
      </c>
      <c r="AC755" s="250">
        <v>40000</v>
      </c>
      <c r="AD755" s="250">
        <v>85000</v>
      </c>
      <c r="AE755" s="250">
        <v>135000</v>
      </c>
      <c r="AF755" s="250" t="s">
        <v>385</v>
      </c>
    </row>
    <row r="756" spans="2:32" x14ac:dyDescent="0.25">
      <c r="B756" s="63" t="s">
        <v>1472</v>
      </c>
      <c r="C756" s="15" t="s">
        <v>337</v>
      </c>
      <c r="D756" s="15">
        <v>2001</v>
      </c>
      <c r="E756" s="16">
        <v>851934</v>
      </c>
      <c r="F756" s="15">
        <v>2.5</v>
      </c>
      <c r="G756" s="15">
        <v>2.7</v>
      </c>
      <c r="H756" s="15" t="s">
        <v>340</v>
      </c>
      <c r="I756" s="249">
        <f t="shared" si="33"/>
        <v>1</v>
      </c>
      <c r="J756" s="143">
        <v>6000</v>
      </c>
      <c r="K756" s="249" t="s">
        <v>2378</v>
      </c>
      <c r="M756" s="249">
        <f t="shared" si="34"/>
        <v>14</v>
      </c>
      <c r="N756" s="249">
        <f t="shared" si="35"/>
        <v>13</v>
      </c>
      <c r="O756" s="15"/>
      <c r="P756" s="15" t="s">
        <v>328</v>
      </c>
      <c r="Q756" s="15"/>
      <c r="S756" s="15"/>
      <c r="T756" s="15"/>
      <c r="U756" s="15"/>
      <c r="V756" s="15"/>
      <c r="W756" s="15" t="s">
        <v>328</v>
      </c>
      <c r="X756" s="15"/>
      <c r="Z756" s="127">
        <v>0.5</v>
      </c>
      <c r="AA756" s="249">
        <v>1</v>
      </c>
      <c r="AB756" s="250">
        <v>22000</v>
      </c>
      <c r="AC756" s="250">
        <v>45000</v>
      </c>
      <c r="AD756" s="250">
        <v>80000</v>
      </c>
      <c r="AE756" s="250">
        <v>125000</v>
      </c>
      <c r="AF756" s="250">
        <v>30000</v>
      </c>
    </row>
    <row r="757" spans="2:32" x14ac:dyDescent="0.25">
      <c r="B757" s="63" t="s">
        <v>1476</v>
      </c>
      <c r="C757" s="14" t="s">
        <v>351</v>
      </c>
      <c r="D757" s="15">
        <v>1987</v>
      </c>
      <c r="E757" s="16">
        <v>1248000</v>
      </c>
      <c r="F757" s="15">
        <v>2.7</v>
      </c>
      <c r="G757" s="15">
        <v>3.4</v>
      </c>
      <c r="H757" s="15" t="s">
        <v>340</v>
      </c>
      <c r="I757" s="249">
        <f t="shared" si="33"/>
        <v>1</v>
      </c>
      <c r="J757" s="143">
        <v>8000</v>
      </c>
      <c r="K757" s="249" t="s">
        <v>2378</v>
      </c>
      <c r="M757" s="249">
        <f t="shared" si="34"/>
        <v>28</v>
      </c>
      <c r="N757" s="249">
        <f t="shared" si="35"/>
        <v>27</v>
      </c>
      <c r="O757" s="15"/>
      <c r="P757" s="15"/>
      <c r="Q757" s="15" t="s">
        <v>328</v>
      </c>
      <c r="S757" s="15"/>
      <c r="T757" s="15" t="s">
        <v>328</v>
      </c>
      <c r="U757" s="15"/>
      <c r="V757" s="15"/>
      <c r="W757" s="15"/>
      <c r="X757" s="15"/>
      <c r="Z757" s="127">
        <v>0.5</v>
      </c>
      <c r="AA757" s="249">
        <v>1</v>
      </c>
      <c r="AB757" s="250">
        <v>25000</v>
      </c>
      <c r="AC757" s="250">
        <v>50000</v>
      </c>
      <c r="AD757" s="250">
        <v>160000</v>
      </c>
      <c r="AE757" s="250">
        <v>160000</v>
      </c>
      <c r="AF757" s="250">
        <v>40000</v>
      </c>
    </row>
    <row r="758" spans="2:32" x14ac:dyDescent="0.25">
      <c r="B758" s="63" t="s">
        <v>1477</v>
      </c>
      <c r="C758" s="14" t="s">
        <v>351</v>
      </c>
      <c r="D758" s="15">
        <v>1973</v>
      </c>
      <c r="E758" s="16">
        <v>3936000</v>
      </c>
      <c r="F758" s="15">
        <v>2.8</v>
      </c>
      <c r="G758" s="15">
        <v>3.2</v>
      </c>
      <c r="H758" s="15" t="s">
        <v>340</v>
      </c>
      <c r="I758" s="249">
        <f t="shared" si="33"/>
        <v>1</v>
      </c>
      <c r="J758" s="143">
        <v>8000</v>
      </c>
      <c r="K758" s="249" t="s">
        <v>2378</v>
      </c>
      <c r="M758" s="249">
        <f t="shared" si="34"/>
        <v>42</v>
      </c>
      <c r="N758" s="249">
        <f t="shared" si="35"/>
        <v>41</v>
      </c>
      <c r="O758" s="15"/>
      <c r="P758" s="15"/>
      <c r="Q758" s="15" t="s">
        <v>328</v>
      </c>
      <c r="S758" s="15"/>
      <c r="T758" s="15"/>
      <c r="U758" s="15"/>
      <c r="V758" s="15" t="s">
        <v>328</v>
      </c>
      <c r="W758" s="15"/>
      <c r="X758" s="15"/>
      <c r="Z758" s="127">
        <v>0.5</v>
      </c>
      <c r="AA758" s="249">
        <v>1</v>
      </c>
      <c r="AB758" s="250">
        <v>30000</v>
      </c>
      <c r="AC758" s="250">
        <v>70000</v>
      </c>
      <c r="AD758" s="250">
        <v>150000</v>
      </c>
      <c r="AE758" s="250">
        <v>180000</v>
      </c>
      <c r="AF758" s="250">
        <v>70000</v>
      </c>
    </row>
    <row r="759" spans="2:32" x14ac:dyDescent="0.25">
      <c r="B759" s="63" t="s">
        <v>1480</v>
      </c>
      <c r="C759" s="14" t="s">
        <v>351</v>
      </c>
      <c r="D759" s="15">
        <v>1998</v>
      </c>
      <c r="E759" s="16">
        <v>1536000</v>
      </c>
      <c r="F759" s="15">
        <v>2.9</v>
      </c>
      <c r="G759" s="15">
        <v>3.4</v>
      </c>
      <c r="H759" s="15" t="s">
        <v>340</v>
      </c>
      <c r="I759" s="249">
        <f t="shared" si="33"/>
        <v>1</v>
      </c>
      <c r="J759" s="143">
        <v>8000</v>
      </c>
      <c r="K759" s="249" t="s">
        <v>2378</v>
      </c>
      <c r="M759" s="249">
        <f t="shared" si="34"/>
        <v>17</v>
      </c>
      <c r="N759" s="249">
        <f t="shared" si="35"/>
        <v>16</v>
      </c>
      <c r="O759" s="15"/>
      <c r="P759" s="15"/>
      <c r="Q759" s="15" t="s">
        <v>328</v>
      </c>
      <c r="S759" s="15"/>
      <c r="T759" s="15" t="s">
        <v>328</v>
      </c>
      <c r="U759" s="15"/>
      <c r="V759" s="15"/>
      <c r="W759" s="15"/>
      <c r="X759" s="15"/>
      <c r="Z759" s="127">
        <v>0.5</v>
      </c>
      <c r="AA759" s="249">
        <v>1</v>
      </c>
      <c r="AB759" s="250">
        <v>30000</v>
      </c>
      <c r="AC759" s="250">
        <v>90000</v>
      </c>
      <c r="AD759" s="250">
        <v>120000</v>
      </c>
      <c r="AE759" s="250">
        <v>190000</v>
      </c>
      <c r="AF759" s="250">
        <v>90000</v>
      </c>
    </row>
    <row r="760" spans="2:32" x14ac:dyDescent="0.25">
      <c r="B760" s="63" t="s">
        <v>1483</v>
      </c>
      <c r="C760" s="15" t="s">
        <v>337</v>
      </c>
      <c r="D760" s="15">
        <v>2002</v>
      </c>
      <c r="E760" s="16">
        <v>923842</v>
      </c>
      <c r="F760" s="15">
        <v>2.5</v>
      </c>
      <c r="G760" s="15">
        <v>2.7</v>
      </c>
      <c r="H760" s="15" t="s">
        <v>340</v>
      </c>
      <c r="I760" s="249">
        <f t="shared" si="33"/>
        <v>1</v>
      </c>
      <c r="J760" s="143">
        <v>10000</v>
      </c>
      <c r="K760" s="249" t="s">
        <v>2378</v>
      </c>
      <c r="M760" s="249">
        <f t="shared" si="34"/>
        <v>13</v>
      </c>
      <c r="N760" s="249">
        <f t="shared" si="35"/>
        <v>12</v>
      </c>
      <c r="O760" s="15"/>
      <c r="P760" s="15" t="s">
        <v>328</v>
      </c>
      <c r="Q760" s="15"/>
      <c r="S760" s="15"/>
      <c r="T760" s="15"/>
      <c r="U760" s="15"/>
      <c r="V760" s="15"/>
      <c r="W760" s="15" t="s">
        <v>328</v>
      </c>
      <c r="X760" s="15"/>
      <c r="Z760" s="127">
        <v>0.2</v>
      </c>
      <c r="AA760" s="249">
        <v>1</v>
      </c>
      <c r="AB760" s="250">
        <v>30000</v>
      </c>
      <c r="AC760" s="250">
        <v>60000</v>
      </c>
      <c r="AD760" s="250">
        <v>240000</v>
      </c>
      <c r="AE760" s="250">
        <v>120000</v>
      </c>
      <c r="AF760" s="250">
        <v>30000</v>
      </c>
    </row>
    <row r="761" spans="2:32" x14ac:dyDescent="0.25">
      <c r="B761" s="63" t="s">
        <v>1486</v>
      </c>
      <c r="C761" s="15" t="s">
        <v>348</v>
      </c>
      <c r="D761" s="15">
        <v>2005</v>
      </c>
      <c r="E761" s="16">
        <v>759217</v>
      </c>
      <c r="F761" s="15">
        <v>3.9</v>
      </c>
      <c r="G761" s="15">
        <v>4.5</v>
      </c>
      <c r="H761" s="15" t="s">
        <v>340</v>
      </c>
      <c r="I761" s="249">
        <f t="shared" si="33"/>
        <v>1</v>
      </c>
      <c r="J761" s="143">
        <v>8000</v>
      </c>
      <c r="K761" s="249" t="s">
        <v>2378</v>
      </c>
      <c r="M761" s="249">
        <f t="shared" si="34"/>
        <v>10</v>
      </c>
      <c r="N761" s="249">
        <f t="shared" si="35"/>
        <v>9</v>
      </c>
      <c r="O761" s="15"/>
      <c r="P761" s="15" t="s">
        <v>328</v>
      </c>
      <c r="Q761" s="15"/>
      <c r="S761" s="15"/>
      <c r="T761" s="15"/>
      <c r="U761" s="15"/>
      <c r="V761" s="15"/>
      <c r="W761" s="15" t="s">
        <v>328</v>
      </c>
      <c r="X761" s="15"/>
      <c r="Z761" s="127">
        <v>0.1</v>
      </c>
      <c r="AA761" s="249">
        <v>2</v>
      </c>
      <c r="AB761" s="250">
        <v>24000</v>
      </c>
      <c r="AC761" s="250">
        <v>48000</v>
      </c>
      <c r="AD761" s="250">
        <v>200000</v>
      </c>
      <c r="AE761" s="250">
        <v>120000</v>
      </c>
      <c r="AF761" s="250">
        <v>48000</v>
      </c>
    </row>
    <row r="762" spans="2:32" x14ac:dyDescent="0.25">
      <c r="B762" s="63" t="s">
        <v>1486</v>
      </c>
      <c r="C762" s="15" t="s">
        <v>348</v>
      </c>
      <c r="D762" s="15">
        <v>2005</v>
      </c>
      <c r="E762" s="16">
        <v>801592</v>
      </c>
      <c r="F762" s="15">
        <v>3.9</v>
      </c>
      <c r="G762" s="15">
        <v>4.5</v>
      </c>
      <c r="H762" s="15" t="s">
        <v>340</v>
      </c>
      <c r="I762" s="249">
        <f t="shared" si="33"/>
        <v>1</v>
      </c>
      <c r="J762" s="143">
        <v>8000</v>
      </c>
      <c r="K762" s="249" t="s">
        <v>2378</v>
      </c>
      <c r="M762" s="249">
        <f t="shared" si="34"/>
        <v>10</v>
      </c>
      <c r="N762" s="249">
        <f t="shared" si="35"/>
        <v>9</v>
      </c>
      <c r="O762" s="15"/>
      <c r="P762" s="15" t="s">
        <v>328</v>
      </c>
      <c r="Q762" s="15"/>
      <c r="S762" s="15"/>
      <c r="T762" s="15"/>
      <c r="U762" s="15"/>
      <c r="V762" s="15"/>
      <c r="W762" s="15" t="s">
        <v>328</v>
      </c>
      <c r="X762" s="15"/>
      <c r="Z762" s="127">
        <v>0.1</v>
      </c>
      <c r="AA762" s="249">
        <v>2</v>
      </c>
      <c r="AB762" s="250">
        <v>24000</v>
      </c>
      <c r="AC762" s="250">
        <v>48000</v>
      </c>
      <c r="AD762" s="250">
        <v>200000</v>
      </c>
      <c r="AE762" s="250">
        <v>120000</v>
      </c>
      <c r="AF762" s="250">
        <v>48000</v>
      </c>
    </row>
    <row r="763" spans="2:32" x14ac:dyDescent="0.25">
      <c r="B763" s="63" t="s">
        <v>1487</v>
      </c>
      <c r="C763" s="14" t="s">
        <v>351</v>
      </c>
      <c r="D763" s="15">
        <v>1982</v>
      </c>
      <c r="E763" s="16">
        <v>3456000</v>
      </c>
      <c r="F763" s="15">
        <v>2.8</v>
      </c>
      <c r="G763" s="15">
        <v>3.2</v>
      </c>
      <c r="H763" s="15" t="s">
        <v>340</v>
      </c>
      <c r="I763" s="249">
        <f t="shared" si="33"/>
        <v>1</v>
      </c>
      <c r="J763" s="143">
        <v>9000</v>
      </c>
      <c r="K763" s="249" t="s">
        <v>2378</v>
      </c>
      <c r="M763" s="249">
        <f t="shared" si="34"/>
        <v>33</v>
      </c>
      <c r="N763" s="249">
        <f t="shared" si="35"/>
        <v>32</v>
      </c>
      <c r="O763" s="15"/>
      <c r="P763" s="15"/>
      <c r="Q763" s="15" t="s">
        <v>328</v>
      </c>
      <c r="S763" s="15"/>
      <c r="T763" s="15"/>
      <c r="U763" s="15" t="s">
        <v>328</v>
      </c>
      <c r="V763" s="15"/>
      <c r="W763" s="15"/>
      <c r="X763" s="15"/>
      <c r="Z763" s="127">
        <v>0.1</v>
      </c>
      <c r="AA763" s="249">
        <v>1</v>
      </c>
      <c r="AB763" s="250">
        <v>27000</v>
      </c>
      <c r="AC763" s="250">
        <v>54000</v>
      </c>
      <c r="AD763" s="250">
        <v>120000</v>
      </c>
      <c r="AE763" s="250">
        <v>190000</v>
      </c>
      <c r="AF763" s="250">
        <v>54000</v>
      </c>
    </row>
    <row r="764" spans="2:32" x14ac:dyDescent="0.25">
      <c r="B764" s="63" t="s">
        <v>1490</v>
      </c>
      <c r="C764" s="15" t="s">
        <v>337</v>
      </c>
      <c r="D764" s="15">
        <v>2001</v>
      </c>
      <c r="E764" s="16">
        <v>3072000</v>
      </c>
      <c r="F764" s="15">
        <v>2.1</v>
      </c>
      <c r="G764" s="15">
        <v>2.5</v>
      </c>
      <c r="H764" s="15" t="s">
        <v>340</v>
      </c>
      <c r="I764" s="249">
        <f t="shared" si="33"/>
        <v>1</v>
      </c>
      <c r="J764" s="143">
        <v>8000</v>
      </c>
      <c r="K764" s="249" t="s">
        <v>2378</v>
      </c>
      <c r="M764" s="249">
        <f t="shared" si="34"/>
        <v>14</v>
      </c>
      <c r="N764" s="249">
        <f t="shared" si="35"/>
        <v>13</v>
      </c>
      <c r="O764" s="15"/>
      <c r="P764" s="15"/>
      <c r="Q764" s="15" t="s">
        <v>328</v>
      </c>
      <c r="S764" s="15"/>
      <c r="T764" s="15" t="s">
        <v>328</v>
      </c>
      <c r="U764" s="15"/>
      <c r="V764" s="15"/>
      <c r="W764" s="15"/>
      <c r="X764" s="15"/>
      <c r="Z764" s="127">
        <v>0.5</v>
      </c>
      <c r="AA764" s="249">
        <v>1</v>
      </c>
      <c r="AB764" s="250">
        <v>32000</v>
      </c>
      <c r="AC764" s="250">
        <v>64000</v>
      </c>
      <c r="AD764" s="250">
        <v>95000</v>
      </c>
      <c r="AE764" s="250">
        <v>140000</v>
      </c>
      <c r="AF764" s="250">
        <v>64000</v>
      </c>
    </row>
    <row r="765" spans="2:32" x14ac:dyDescent="0.25">
      <c r="B765" s="63" t="s">
        <v>1491</v>
      </c>
      <c r="C765" s="15" t="s">
        <v>348</v>
      </c>
      <c r="D765" s="15">
        <v>2003</v>
      </c>
      <c r="E765" s="16">
        <v>823110</v>
      </c>
      <c r="F765" s="15">
        <v>4.0999999999999996</v>
      </c>
      <c r="G765" s="15">
        <v>4.5</v>
      </c>
      <c r="H765" s="15" t="s">
        <v>371</v>
      </c>
      <c r="I765" s="249">
        <f t="shared" si="33"/>
        <v>1</v>
      </c>
      <c r="J765" s="143">
        <v>5833.333333333333</v>
      </c>
      <c r="K765" s="249" t="s">
        <v>2378</v>
      </c>
      <c r="M765" s="249">
        <f t="shared" si="34"/>
        <v>12</v>
      </c>
      <c r="N765" s="249">
        <f t="shared" si="35"/>
        <v>11</v>
      </c>
      <c r="O765" s="15"/>
      <c r="P765" s="15"/>
      <c r="Q765" s="15" t="s">
        <v>328</v>
      </c>
      <c r="S765" s="15"/>
      <c r="T765" s="15"/>
      <c r="U765" s="15"/>
      <c r="V765" s="15"/>
      <c r="W765" s="15" t="s">
        <v>328</v>
      </c>
      <c r="X765" s="15"/>
      <c r="Z765" s="127">
        <v>0.5</v>
      </c>
      <c r="AA765" s="249">
        <v>3</v>
      </c>
      <c r="AB765" s="250">
        <v>17500</v>
      </c>
      <c r="AC765" s="250">
        <v>35000</v>
      </c>
      <c r="AD765" s="250">
        <v>40000</v>
      </c>
      <c r="AE765" s="250">
        <v>120000</v>
      </c>
      <c r="AF765" s="250" t="s">
        <v>385</v>
      </c>
    </row>
    <row r="766" spans="2:32" x14ac:dyDescent="0.25">
      <c r="B766" s="63" t="s">
        <v>1491</v>
      </c>
      <c r="C766" s="15" t="s">
        <v>348</v>
      </c>
      <c r="D766" s="15">
        <v>2003</v>
      </c>
      <c r="E766" s="16">
        <v>768705</v>
      </c>
      <c r="F766" s="15">
        <v>4.0999999999999996</v>
      </c>
      <c r="G766" s="15">
        <v>4.5</v>
      </c>
      <c r="H766" s="15" t="s">
        <v>371</v>
      </c>
      <c r="I766" s="249">
        <f t="shared" si="33"/>
        <v>1</v>
      </c>
      <c r="J766" s="143">
        <v>5833.333333333333</v>
      </c>
      <c r="K766" s="249" t="s">
        <v>2378</v>
      </c>
      <c r="M766" s="249">
        <f t="shared" si="34"/>
        <v>12</v>
      </c>
      <c r="N766" s="249">
        <f t="shared" si="35"/>
        <v>11</v>
      </c>
      <c r="O766" s="15"/>
      <c r="P766" s="15"/>
      <c r="Q766" s="15" t="s">
        <v>328</v>
      </c>
      <c r="S766" s="15"/>
      <c r="T766" s="15"/>
      <c r="U766" s="15"/>
      <c r="V766" s="15"/>
      <c r="W766" s="15" t="s">
        <v>328</v>
      </c>
      <c r="X766" s="15"/>
      <c r="Z766" s="127">
        <v>0.5</v>
      </c>
      <c r="AA766" s="249">
        <v>3</v>
      </c>
      <c r="AB766" s="250">
        <v>17500</v>
      </c>
      <c r="AC766" s="250">
        <v>35000</v>
      </c>
      <c r="AD766" s="250">
        <v>40000</v>
      </c>
      <c r="AE766" s="250">
        <v>120000</v>
      </c>
      <c r="AF766" s="250" t="s">
        <v>385</v>
      </c>
    </row>
    <row r="767" spans="2:32" x14ac:dyDescent="0.25">
      <c r="B767" s="63" t="s">
        <v>1491</v>
      </c>
      <c r="C767" s="15" t="s">
        <v>348</v>
      </c>
      <c r="D767" s="15">
        <v>2010</v>
      </c>
      <c r="E767" s="16">
        <v>199372</v>
      </c>
      <c r="F767" s="15">
        <v>4.2</v>
      </c>
      <c r="G767" s="15">
        <v>4.5</v>
      </c>
      <c r="H767" s="15" t="s">
        <v>371</v>
      </c>
      <c r="I767" s="249">
        <f t="shared" si="33"/>
        <v>1</v>
      </c>
      <c r="J767" s="143">
        <v>5833.333333333333</v>
      </c>
      <c r="K767" s="249" t="s">
        <v>2378</v>
      </c>
      <c r="M767" s="249">
        <f t="shared" si="34"/>
        <v>5</v>
      </c>
      <c r="N767" s="249">
        <f t="shared" si="35"/>
        <v>4</v>
      </c>
      <c r="O767" s="15" t="s">
        <v>328</v>
      </c>
      <c r="P767" s="15"/>
      <c r="Q767" s="15"/>
      <c r="S767" s="15"/>
      <c r="T767" s="15"/>
      <c r="U767" s="15"/>
      <c r="V767" s="15"/>
      <c r="W767" s="15"/>
      <c r="X767" s="15" t="s">
        <v>328</v>
      </c>
      <c r="Z767" s="127">
        <v>0.5</v>
      </c>
      <c r="AA767" s="249">
        <v>3</v>
      </c>
      <c r="AB767" s="250">
        <v>17500</v>
      </c>
      <c r="AC767" s="250">
        <v>35000</v>
      </c>
      <c r="AD767" s="250">
        <v>40000</v>
      </c>
      <c r="AE767" s="250">
        <v>120000</v>
      </c>
      <c r="AF767" s="250" t="s">
        <v>385</v>
      </c>
    </row>
    <row r="768" spans="2:32" x14ac:dyDescent="0.25">
      <c r="B768" s="63" t="s">
        <v>1494</v>
      </c>
      <c r="C768" s="15" t="s">
        <v>348</v>
      </c>
      <c r="D768" s="15">
        <v>2004</v>
      </c>
      <c r="E768" s="16">
        <v>671884</v>
      </c>
      <c r="F768" s="15">
        <v>4.0999999999999996</v>
      </c>
      <c r="G768" s="15">
        <v>4.5</v>
      </c>
      <c r="H768" s="15" t="s">
        <v>340</v>
      </c>
      <c r="I768" s="249">
        <f t="shared" si="33"/>
        <v>1</v>
      </c>
      <c r="J768" s="143">
        <v>8000</v>
      </c>
      <c r="K768" s="249" t="s">
        <v>2378</v>
      </c>
      <c r="M768" s="249">
        <f t="shared" si="34"/>
        <v>11</v>
      </c>
      <c r="N768" s="249">
        <f t="shared" si="35"/>
        <v>10</v>
      </c>
      <c r="O768" s="15"/>
      <c r="P768" s="15" t="s">
        <v>328</v>
      </c>
      <c r="Q768" s="15"/>
      <c r="S768" s="15"/>
      <c r="T768" s="15"/>
      <c r="U768" s="15"/>
      <c r="V768" s="15"/>
      <c r="W768" s="15" t="s">
        <v>328</v>
      </c>
      <c r="X768" s="15"/>
      <c r="Z768" s="127">
        <v>0.3</v>
      </c>
      <c r="AA768" s="249">
        <v>1</v>
      </c>
      <c r="AB768" s="250">
        <v>24000</v>
      </c>
      <c r="AC768" s="250">
        <v>24000</v>
      </c>
      <c r="AD768" s="250">
        <v>100000</v>
      </c>
      <c r="AE768" s="250">
        <v>100000</v>
      </c>
      <c r="AF768" s="250">
        <v>24000</v>
      </c>
    </row>
    <row r="769" spans="2:32" x14ac:dyDescent="0.25">
      <c r="B769" s="63" t="s">
        <v>1495</v>
      </c>
      <c r="C769" s="14" t="s">
        <v>351</v>
      </c>
      <c r="D769" s="15">
        <v>1999</v>
      </c>
      <c r="E769" s="16">
        <v>1800000</v>
      </c>
      <c r="F769" s="15">
        <v>2.7</v>
      </c>
      <c r="G769" s="15">
        <v>3</v>
      </c>
      <c r="H769" s="15" t="s">
        <v>340</v>
      </c>
      <c r="I769" s="249">
        <f t="shared" si="33"/>
        <v>1</v>
      </c>
      <c r="J769" s="143">
        <v>10000</v>
      </c>
      <c r="K769" s="249" t="s">
        <v>2378</v>
      </c>
      <c r="M769" s="249">
        <f t="shared" si="34"/>
        <v>16</v>
      </c>
      <c r="N769" s="249">
        <f t="shared" si="35"/>
        <v>15</v>
      </c>
      <c r="O769" s="15"/>
      <c r="P769" s="15"/>
      <c r="Q769" s="15" t="s">
        <v>328</v>
      </c>
      <c r="S769" s="15"/>
      <c r="T769" s="15" t="s">
        <v>328</v>
      </c>
      <c r="U769" s="15"/>
      <c r="V769" s="15"/>
      <c r="W769" s="15"/>
      <c r="X769" s="15"/>
      <c r="Z769" s="127">
        <v>0.5</v>
      </c>
      <c r="AA769" s="249">
        <v>1</v>
      </c>
      <c r="AB769" s="250">
        <v>30000</v>
      </c>
      <c r="AC769" s="250">
        <v>60000</v>
      </c>
      <c r="AD769" s="250">
        <v>65000</v>
      </c>
      <c r="AE769" s="250">
        <v>120000</v>
      </c>
      <c r="AF769" s="250">
        <v>30000</v>
      </c>
    </row>
    <row r="770" spans="2:32" x14ac:dyDescent="0.25">
      <c r="B770" s="63" t="s">
        <v>1498</v>
      </c>
      <c r="C770" s="14" t="s">
        <v>351</v>
      </c>
      <c r="D770" s="15">
        <v>2000</v>
      </c>
      <c r="E770" s="16">
        <v>883571</v>
      </c>
      <c r="F770" s="15">
        <v>2.9</v>
      </c>
      <c r="G770" s="15">
        <v>3.4</v>
      </c>
      <c r="H770" s="15" t="s">
        <v>340</v>
      </c>
      <c r="I770" s="249">
        <f t="shared" si="33"/>
        <v>1</v>
      </c>
      <c r="J770" s="143">
        <v>5000</v>
      </c>
      <c r="K770" s="249" t="s">
        <v>2378</v>
      </c>
      <c r="M770" s="249">
        <f t="shared" si="34"/>
        <v>15</v>
      </c>
      <c r="N770" s="249">
        <f t="shared" si="35"/>
        <v>14</v>
      </c>
      <c r="O770" s="15"/>
      <c r="P770" s="15"/>
      <c r="Q770" s="15" t="s">
        <v>328</v>
      </c>
      <c r="S770" s="15"/>
      <c r="T770" s="15" t="s">
        <v>328</v>
      </c>
      <c r="U770" s="15"/>
      <c r="V770" s="15"/>
      <c r="W770" s="15"/>
      <c r="X770" s="15"/>
      <c r="Z770" s="127">
        <v>0.2</v>
      </c>
      <c r="AA770" s="249">
        <v>1</v>
      </c>
      <c r="AB770" s="250">
        <v>30000</v>
      </c>
      <c r="AC770" s="250">
        <v>60000</v>
      </c>
      <c r="AD770" s="250">
        <v>120000</v>
      </c>
      <c r="AE770" s="250">
        <v>120000</v>
      </c>
      <c r="AF770" s="250">
        <v>30000</v>
      </c>
    </row>
    <row r="771" spans="2:32" x14ac:dyDescent="0.25">
      <c r="B771" s="63" t="s">
        <v>1501</v>
      </c>
      <c r="C771" s="14" t="s">
        <v>351</v>
      </c>
      <c r="D771" s="15">
        <v>1976</v>
      </c>
      <c r="E771" s="16">
        <v>3648000</v>
      </c>
      <c r="F771" s="15">
        <v>2.8</v>
      </c>
      <c r="G771" s="15">
        <v>3.2</v>
      </c>
      <c r="H771" s="15" t="s">
        <v>340</v>
      </c>
      <c r="I771" s="249">
        <f t="shared" si="33"/>
        <v>1</v>
      </c>
      <c r="J771" s="143">
        <v>8000</v>
      </c>
      <c r="K771" s="249" t="s">
        <v>2378</v>
      </c>
      <c r="M771" s="249">
        <f t="shared" si="34"/>
        <v>39</v>
      </c>
      <c r="N771" s="249">
        <f t="shared" si="35"/>
        <v>38</v>
      </c>
      <c r="O771" s="15"/>
      <c r="P771" s="15"/>
      <c r="Q771" s="15" t="s">
        <v>328</v>
      </c>
      <c r="S771" s="15"/>
      <c r="T771" s="15" t="s">
        <v>328</v>
      </c>
      <c r="U771" s="15"/>
      <c r="V771" s="15"/>
      <c r="W771" s="15"/>
      <c r="X771" s="15"/>
      <c r="Z771" s="127">
        <v>0.2</v>
      </c>
      <c r="AA771" s="249">
        <v>1</v>
      </c>
      <c r="AB771" s="250">
        <v>25000</v>
      </c>
      <c r="AC771" s="250">
        <v>50000</v>
      </c>
      <c r="AD771" s="250">
        <v>150000</v>
      </c>
      <c r="AE771" s="250">
        <v>180000</v>
      </c>
      <c r="AF771" s="250">
        <v>25000</v>
      </c>
    </row>
    <row r="772" spans="2:32" x14ac:dyDescent="0.25">
      <c r="B772" s="63" t="s">
        <v>1504</v>
      </c>
      <c r="C772" s="15" t="s">
        <v>337</v>
      </c>
      <c r="D772" s="15">
        <v>2005</v>
      </c>
      <c r="E772" s="16">
        <v>720692</v>
      </c>
      <c r="F772" s="15">
        <v>2.5</v>
      </c>
      <c r="G772" s="15">
        <v>2.7</v>
      </c>
      <c r="H772" s="15" t="s">
        <v>340</v>
      </c>
      <c r="I772" s="249">
        <f t="shared" si="33"/>
        <v>1</v>
      </c>
      <c r="J772" s="143">
        <v>10000</v>
      </c>
      <c r="K772" s="249" t="s">
        <v>2378</v>
      </c>
      <c r="M772" s="249">
        <f t="shared" si="34"/>
        <v>10</v>
      </c>
      <c r="N772" s="249">
        <f t="shared" si="35"/>
        <v>9</v>
      </c>
      <c r="O772" s="15"/>
      <c r="P772" s="15" t="s">
        <v>328</v>
      </c>
      <c r="Q772" s="15"/>
      <c r="S772" s="15"/>
      <c r="T772" s="15"/>
      <c r="U772" s="15"/>
      <c r="V772" s="15"/>
      <c r="W772" s="15" t="s">
        <v>328</v>
      </c>
      <c r="X772" s="15"/>
      <c r="Z772" s="127">
        <v>0.5</v>
      </c>
      <c r="AA772" s="249">
        <v>1</v>
      </c>
      <c r="AB772" s="250">
        <v>20000</v>
      </c>
      <c r="AC772" s="250">
        <v>60000</v>
      </c>
      <c r="AD772" s="250">
        <v>100000</v>
      </c>
      <c r="AE772" s="250">
        <v>120000</v>
      </c>
      <c r="AF772" s="250">
        <v>20000</v>
      </c>
    </row>
    <row r="773" spans="2:32" x14ac:dyDescent="0.25">
      <c r="B773" s="63" t="s">
        <v>1505</v>
      </c>
      <c r="C773" s="15" t="s">
        <v>337</v>
      </c>
      <c r="D773" s="15">
        <v>2006</v>
      </c>
      <c r="E773" s="16">
        <v>680701</v>
      </c>
      <c r="F773" s="15">
        <v>2.5</v>
      </c>
      <c r="G773" s="15">
        <v>2.8</v>
      </c>
      <c r="H773" s="15" t="s">
        <v>340</v>
      </c>
      <c r="I773" s="249">
        <f t="shared" si="33"/>
        <v>1</v>
      </c>
      <c r="J773" s="143">
        <v>10000</v>
      </c>
      <c r="K773" s="249" t="s">
        <v>2378</v>
      </c>
      <c r="M773" s="249">
        <f t="shared" si="34"/>
        <v>9</v>
      </c>
      <c r="N773" s="249">
        <f t="shared" si="35"/>
        <v>8</v>
      </c>
      <c r="O773" s="15"/>
      <c r="P773" s="15" t="s">
        <v>328</v>
      </c>
      <c r="Q773" s="15"/>
      <c r="S773" s="15"/>
      <c r="T773" s="15"/>
      <c r="U773" s="15"/>
      <c r="V773" s="15"/>
      <c r="W773" s="15"/>
      <c r="X773" s="15" t="s">
        <v>328</v>
      </c>
      <c r="Z773" s="127">
        <v>0.05</v>
      </c>
      <c r="AA773" s="249">
        <v>1</v>
      </c>
      <c r="AB773" s="250">
        <v>20000</v>
      </c>
      <c r="AC773" s="250">
        <v>60000</v>
      </c>
      <c r="AD773" s="250">
        <v>200000</v>
      </c>
      <c r="AE773" s="250">
        <v>120000</v>
      </c>
      <c r="AF773" s="250">
        <v>20000</v>
      </c>
    </row>
    <row r="774" spans="2:32" x14ac:dyDescent="0.25">
      <c r="B774" s="63" t="s">
        <v>1509</v>
      </c>
      <c r="C774" s="15" t="s">
        <v>337</v>
      </c>
      <c r="D774" s="15">
        <v>2007</v>
      </c>
      <c r="E774" s="16">
        <v>700923</v>
      </c>
      <c r="F774" s="15">
        <v>2.5</v>
      </c>
      <c r="G774" s="15">
        <v>2.7</v>
      </c>
      <c r="H774" s="15" t="s">
        <v>340</v>
      </c>
      <c r="I774" s="249">
        <f t="shared" ref="I774:I837" si="36">IF(F774&gt;G774,0,1)</f>
        <v>1</v>
      </c>
      <c r="J774" s="143">
        <v>10000</v>
      </c>
      <c r="K774" s="249" t="s">
        <v>2378</v>
      </c>
      <c r="M774" s="249">
        <f t="shared" ref="M774:M837" si="37">2015-D774</f>
        <v>8</v>
      </c>
      <c r="N774" s="249">
        <f t="shared" ref="N774:N837" si="38">2014-$D774</f>
        <v>7</v>
      </c>
      <c r="O774" s="15"/>
      <c r="P774" s="15" t="s">
        <v>328</v>
      </c>
      <c r="Q774" s="15"/>
      <c r="S774" s="15"/>
      <c r="T774" s="15"/>
      <c r="U774" s="15"/>
      <c r="V774" s="15"/>
      <c r="W774" s="15" t="s">
        <v>328</v>
      </c>
      <c r="X774" s="15"/>
      <c r="Z774" s="127">
        <v>0.5</v>
      </c>
      <c r="AA774" s="249">
        <v>3</v>
      </c>
      <c r="AB774" s="250">
        <v>20000</v>
      </c>
      <c r="AC774" s="250">
        <v>40000</v>
      </c>
      <c r="AD774" s="250">
        <v>80000</v>
      </c>
      <c r="AE774" s="250">
        <v>120000</v>
      </c>
      <c r="AF774" s="250">
        <v>20000</v>
      </c>
    </row>
    <row r="775" spans="2:32" x14ac:dyDescent="0.25">
      <c r="B775" s="63" t="s">
        <v>1509</v>
      </c>
      <c r="C775" s="15" t="s">
        <v>337</v>
      </c>
      <c r="D775" s="15">
        <v>2008</v>
      </c>
      <c r="E775" s="16">
        <v>618431</v>
      </c>
      <c r="F775" s="15">
        <v>2.5</v>
      </c>
      <c r="G775" s="15">
        <v>2.7</v>
      </c>
      <c r="H775" s="15" t="s">
        <v>340</v>
      </c>
      <c r="I775" s="249">
        <f t="shared" si="36"/>
        <v>1</v>
      </c>
      <c r="J775" s="143">
        <v>10000</v>
      </c>
      <c r="K775" s="249" t="s">
        <v>2378</v>
      </c>
      <c r="M775" s="249">
        <f t="shared" si="37"/>
        <v>7</v>
      </c>
      <c r="N775" s="249">
        <f t="shared" si="38"/>
        <v>6</v>
      </c>
      <c r="O775" s="15"/>
      <c r="P775" s="15" t="s">
        <v>328</v>
      </c>
      <c r="Q775" s="15"/>
      <c r="S775" s="15"/>
      <c r="T775" s="15"/>
      <c r="U775" s="15"/>
      <c r="V775" s="15"/>
      <c r="W775" s="15"/>
      <c r="X775" s="15" t="s">
        <v>328</v>
      </c>
      <c r="Z775" s="127">
        <v>0.5</v>
      </c>
      <c r="AA775" s="249">
        <v>3</v>
      </c>
      <c r="AB775" s="250">
        <v>20000</v>
      </c>
      <c r="AC775" s="250">
        <v>40000</v>
      </c>
      <c r="AD775" s="250">
        <v>80000</v>
      </c>
      <c r="AE775" s="250">
        <v>120000</v>
      </c>
      <c r="AF775" s="250">
        <v>20000</v>
      </c>
    </row>
    <row r="776" spans="2:32" x14ac:dyDescent="0.25">
      <c r="B776" s="63" t="s">
        <v>1509</v>
      </c>
      <c r="C776" s="15" t="s">
        <v>337</v>
      </c>
      <c r="D776" s="15">
        <v>2008</v>
      </c>
      <c r="E776" s="16">
        <v>623702</v>
      </c>
      <c r="F776" s="15">
        <v>2.5</v>
      </c>
      <c r="G776" s="15">
        <v>2.7</v>
      </c>
      <c r="H776" s="15" t="s">
        <v>340</v>
      </c>
      <c r="I776" s="249">
        <f t="shared" si="36"/>
        <v>1</v>
      </c>
      <c r="J776" s="143">
        <v>10000</v>
      </c>
      <c r="K776" s="249" t="s">
        <v>2378</v>
      </c>
      <c r="M776" s="249">
        <f t="shared" si="37"/>
        <v>7</v>
      </c>
      <c r="N776" s="249">
        <f t="shared" si="38"/>
        <v>6</v>
      </c>
      <c r="O776" s="15"/>
      <c r="P776" s="15" t="s">
        <v>328</v>
      </c>
      <c r="Q776" s="15"/>
      <c r="S776" s="15"/>
      <c r="T776" s="15"/>
      <c r="U776" s="15"/>
      <c r="V776" s="15"/>
      <c r="W776" s="15"/>
      <c r="X776" s="15" t="s">
        <v>328</v>
      </c>
      <c r="Z776" s="127">
        <v>0.5</v>
      </c>
      <c r="AA776" s="249">
        <v>3</v>
      </c>
      <c r="AB776" s="250">
        <v>20000</v>
      </c>
      <c r="AC776" s="250">
        <v>40000</v>
      </c>
      <c r="AD776" s="250">
        <v>80000</v>
      </c>
      <c r="AE776" s="250">
        <v>120000</v>
      </c>
      <c r="AF776" s="250">
        <v>20000</v>
      </c>
    </row>
    <row r="777" spans="2:32" x14ac:dyDescent="0.25">
      <c r="B777" s="63" t="s">
        <v>1512</v>
      </c>
      <c r="C777" s="15" t="s">
        <v>337</v>
      </c>
      <c r="D777" s="15">
        <v>2009</v>
      </c>
      <c r="E777" s="16">
        <v>297517</v>
      </c>
      <c r="F777" s="15">
        <v>2.5</v>
      </c>
      <c r="G777" s="15">
        <v>2.7</v>
      </c>
      <c r="H777" s="15" t="s">
        <v>340</v>
      </c>
      <c r="I777" s="249">
        <f t="shared" si="36"/>
        <v>1</v>
      </c>
      <c r="J777" s="143">
        <v>10000</v>
      </c>
      <c r="K777" s="249" t="s">
        <v>2378</v>
      </c>
      <c r="M777" s="249">
        <f t="shared" si="37"/>
        <v>6</v>
      </c>
      <c r="N777" s="249">
        <f t="shared" si="38"/>
        <v>5</v>
      </c>
      <c r="O777" s="15" t="s">
        <v>328</v>
      </c>
      <c r="P777" s="15"/>
      <c r="Q777" s="15"/>
      <c r="S777" s="15"/>
      <c r="T777" s="15"/>
      <c r="U777" s="15"/>
      <c r="V777" s="15"/>
      <c r="W777" s="15"/>
      <c r="X777" s="15" t="s">
        <v>328</v>
      </c>
      <c r="Z777" s="127">
        <v>0.5</v>
      </c>
      <c r="AA777" s="249">
        <v>2</v>
      </c>
      <c r="AB777" s="250">
        <v>20000</v>
      </c>
      <c r="AC777" s="250">
        <v>40000</v>
      </c>
      <c r="AD777" s="250">
        <v>120000</v>
      </c>
      <c r="AE777" s="250">
        <v>120000</v>
      </c>
      <c r="AF777" s="250">
        <v>20000</v>
      </c>
    </row>
    <row r="778" spans="2:32" x14ac:dyDescent="0.25">
      <c r="B778" s="63" t="s">
        <v>1512</v>
      </c>
      <c r="C778" s="15" t="s">
        <v>348</v>
      </c>
      <c r="D778" s="15">
        <v>2008</v>
      </c>
      <c r="E778" s="16">
        <v>310822</v>
      </c>
      <c r="F778" s="15">
        <v>3.1</v>
      </c>
      <c r="G778" s="15">
        <v>4.2</v>
      </c>
      <c r="H778" s="15" t="s">
        <v>340</v>
      </c>
      <c r="I778" s="249">
        <f t="shared" si="36"/>
        <v>1</v>
      </c>
      <c r="J778" s="143">
        <v>10000</v>
      </c>
      <c r="K778" s="249" t="s">
        <v>2378</v>
      </c>
      <c r="M778" s="249">
        <f t="shared" si="37"/>
        <v>7</v>
      </c>
      <c r="N778" s="249">
        <f t="shared" si="38"/>
        <v>6</v>
      </c>
      <c r="O778" s="15" t="s">
        <v>328</v>
      </c>
      <c r="P778" s="15"/>
      <c r="Q778" s="15"/>
      <c r="S778" s="15"/>
      <c r="T778" s="15"/>
      <c r="U778" s="15"/>
      <c r="V778" s="15"/>
      <c r="W778" s="15"/>
      <c r="X778" s="15" t="s">
        <v>328</v>
      </c>
      <c r="Z778" s="127">
        <v>0.5</v>
      </c>
      <c r="AA778" s="249">
        <v>2</v>
      </c>
      <c r="AB778" s="250">
        <v>20000</v>
      </c>
      <c r="AC778" s="250">
        <v>40000</v>
      </c>
      <c r="AD778" s="250">
        <v>120000</v>
      </c>
      <c r="AE778" s="250">
        <v>120000</v>
      </c>
      <c r="AF778" s="250">
        <v>20000</v>
      </c>
    </row>
    <row r="779" spans="2:32" x14ac:dyDescent="0.25">
      <c r="B779" s="63" t="s">
        <v>1513</v>
      </c>
      <c r="C779" s="15" t="s">
        <v>337</v>
      </c>
      <c r="D779" s="15">
        <v>2007</v>
      </c>
      <c r="E779" s="16">
        <v>730132</v>
      </c>
      <c r="F779" s="15">
        <v>2.5</v>
      </c>
      <c r="G779" s="15">
        <v>2.7</v>
      </c>
      <c r="H779" s="15" t="s">
        <v>340</v>
      </c>
      <c r="I779" s="249">
        <f t="shared" si="36"/>
        <v>1</v>
      </c>
      <c r="J779" s="143">
        <v>10000</v>
      </c>
      <c r="K779" s="249" t="s">
        <v>2378</v>
      </c>
      <c r="M779" s="249">
        <f t="shared" si="37"/>
        <v>8</v>
      </c>
      <c r="N779" s="249">
        <f t="shared" si="38"/>
        <v>7</v>
      </c>
      <c r="O779" s="15" t="s">
        <v>328</v>
      </c>
      <c r="P779" s="15"/>
      <c r="Q779" s="15"/>
      <c r="S779" s="15"/>
      <c r="T779" s="15"/>
      <c r="U779" s="15"/>
      <c r="V779" s="15"/>
      <c r="W779" s="15" t="s">
        <v>328</v>
      </c>
      <c r="X779" s="15"/>
      <c r="Z779" s="127">
        <v>0.5</v>
      </c>
      <c r="AA779" s="249">
        <v>4</v>
      </c>
      <c r="AB779" s="250">
        <v>18000</v>
      </c>
      <c r="AC779" s="250">
        <v>36000</v>
      </c>
      <c r="AD779" s="250">
        <v>150000</v>
      </c>
      <c r="AE779" s="250">
        <v>180000</v>
      </c>
      <c r="AF779" s="250">
        <v>36000</v>
      </c>
    </row>
    <row r="780" spans="2:32" x14ac:dyDescent="0.25">
      <c r="B780" s="63" t="s">
        <v>1513</v>
      </c>
      <c r="C780" s="15" t="s">
        <v>337</v>
      </c>
      <c r="D780" s="15">
        <v>2007</v>
      </c>
      <c r="E780" s="16">
        <v>712651</v>
      </c>
      <c r="F780" s="15">
        <v>2.5</v>
      </c>
      <c r="G780" s="15">
        <v>2.7</v>
      </c>
      <c r="H780" s="15" t="s">
        <v>340</v>
      </c>
      <c r="I780" s="249">
        <f t="shared" si="36"/>
        <v>1</v>
      </c>
      <c r="J780" s="143">
        <v>10000</v>
      </c>
      <c r="K780" s="249" t="s">
        <v>2378</v>
      </c>
      <c r="M780" s="249">
        <f t="shared" si="37"/>
        <v>8</v>
      </c>
      <c r="N780" s="249">
        <f t="shared" si="38"/>
        <v>7</v>
      </c>
      <c r="O780" s="15" t="s">
        <v>328</v>
      </c>
      <c r="P780" s="15"/>
      <c r="Q780" s="15"/>
      <c r="S780" s="15"/>
      <c r="T780" s="15"/>
      <c r="U780" s="15"/>
      <c r="V780" s="15"/>
      <c r="W780" s="15" t="s">
        <v>328</v>
      </c>
      <c r="X780" s="15"/>
      <c r="Z780" s="127">
        <v>0.5</v>
      </c>
      <c r="AA780" s="249">
        <v>4</v>
      </c>
      <c r="AB780" s="250">
        <v>18000</v>
      </c>
      <c r="AC780" s="250">
        <v>36000</v>
      </c>
      <c r="AD780" s="250">
        <v>150000</v>
      </c>
      <c r="AE780" s="250">
        <v>180000</v>
      </c>
      <c r="AF780" s="250">
        <v>36000</v>
      </c>
    </row>
    <row r="781" spans="2:32" x14ac:dyDescent="0.25">
      <c r="B781" s="63" t="s">
        <v>1513</v>
      </c>
      <c r="C781" s="15" t="s">
        <v>337</v>
      </c>
      <c r="D781" s="15">
        <v>2007</v>
      </c>
      <c r="E781" s="16">
        <v>693824</v>
      </c>
      <c r="F781" s="15">
        <v>2.5</v>
      </c>
      <c r="G781" s="15">
        <v>2.7</v>
      </c>
      <c r="H781" s="15" t="s">
        <v>340</v>
      </c>
      <c r="I781" s="249">
        <f t="shared" si="36"/>
        <v>1</v>
      </c>
      <c r="J781" s="143">
        <v>10000</v>
      </c>
      <c r="K781" s="249" t="s">
        <v>2378</v>
      </c>
      <c r="M781" s="249">
        <f t="shared" si="37"/>
        <v>8</v>
      </c>
      <c r="N781" s="249">
        <f t="shared" si="38"/>
        <v>7</v>
      </c>
      <c r="O781" s="15" t="s">
        <v>328</v>
      </c>
      <c r="P781" s="15"/>
      <c r="Q781" s="15"/>
      <c r="S781" s="15"/>
      <c r="T781" s="15"/>
      <c r="U781" s="15"/>
      <c r="V781" s="15"/>
      <c r="W781" s="15" t="s">
        <v>328</v>
      </c>
      <c r="X781" s="15"/>
      <c r="Z781" s="127">
        <v>0.5</v>
      </c>
      <c r="AA781" s="249">
        <v>4</v>
      </c>
      <c r="AB781" s="250">
        <v>18000</v>
      </c>
      <c r="AC781" s="250">
        <v>36000</v>
      </c>
      <c r="AD781" s="250">
        <v>150000</v>
      </c>
      <c r="AE781" s="250">
        <v>180000</v>
      </c>
      <c r="AF781" s="250">
        <v>36000</v>
      </c>
    </row>
    <row r="782" spans="2:32" x14ac:dyDescent="0.25">
      <c r="B782" s="63" t="s">
        <v>1513</v>
      </c>
      <c r="C782" s="15" t="s">
        <v>348</v>
      </c>
      <c r="D782" s="15">
        <v>2008</v>
      </c>
      <c r="E782" s="16">
        <v>801692</v>
      </c>
      <c r="F782" s="15">
        <v>3.9</v>
      </c>
      <c r="G782" s="15">
        <v>4.3</v>
      </c>
      <c r="H782" s="15" t="s">
        <v>340</v>
      </c>
      <c r="I782" s="249">
        <f t="shared" si="36"/>
        <v>1</v>
      </c>
      <c r="J782" s="143">
        <v>10000</v>
      </c>
      <c r="K782" s="249" t="s">
        <v>2378</v>
      </c>
      <c r="M782" s="249">
        <f t="shared" si="37"/>
        <v>7</v>
      </c>
      <c r="N782" s="249">
        <f t="shared" si="38"/>
        <v>6</v>
      </c>
      <c r="O782" s="15" t="s">
        <v>328</v>
      </c>
      <c r="P782" s="15"/>
      <c r="Q782" s="15"/>
      <c r="S782" s="15"/>
      <c r="T782" s="15"/>
      <c r="U782" s="15"/>
      <c r="V782" s="15"/>
      <c r="W782" s="15" t="s">
        <v>328</v>
      </c>
      <c r="X782" s="15"/>
      <c r="Z782" s="127">
        <v>0.2</v>
      </c>
      <c r="AA782" s="249">
        <v>4</v>
      </c>
      <c r="AB782" s="250">
        <v>18000</v>
      </c>
      <c r="AC782" s="250">
        <v>36000</v>
      </c>
      <c r="AD782" s="250">
        <v>150000</v>
      </c>
      <c r="AE782" s="250">
        <v>180000</v>
      </c>
      <c r="AF782" s="250">
        <v>36000</v>
      </c>
    </row>
    <row r="783" spans="2:32" x14ac:dyDescent="0.25">
      <c r="B783" s="63" t="s">
        <v>1514</v>
      </c>
      <c r="C783" s="15" t="s">
        <v>337</v>
      </c>
      <c r="D783" s="15">
        <v>2007</v>
      </c>
      <c r="E783" s="16">
        <v>708615</v>
      </c>
      <c r="F783" s="15">
        <v>1.3</v>
      </c>
      <c r="G783" s="15">
        <v>1.6</v>
      </c>
      <c r="H783" s="15" t="s">
        <v>340</v>
      </c>
      <c r="I783" s="249">
        <f t="shared" si="36"/>
        <v>1</v>
      </c>
      <c r="J783" s="143">
        <v>10000</v>
      </c>
      <c r="K783" s="249" t="s">
        <v>2378</v>
      </c>
      <c r="M783" s="249">
        <f t="shared" si="37"/>
        <v>8</v>
      </c>
      <c r="N783" s="249">
        <f t="shared" si="38"/>
        <v>7</v>
      </c>
      <c r="O783" s="15" t="s">
        <v>328</v>
      </c>
      <c r="P783" s="15"/>
      <c r="Q783" s="15"/>
      <c r="S783" s="15"/>
      <c r="T783" s="15"/>
      <c r="U783" s="15"/>
      <c r="V783" s="15"/>
      <c r="W783" s="15" t="s">
        <v>328</v>
      </c>
      <c r="X783" s="15"/>
      <c r="Z783" s="127">
        <v>0.5</v>
      </c>
      <c r="AA783" s="249">
        <v>3</v>
      </c>
      <c r="AB783" s="250">
        <v>30000</v>
      </c>
      <c r="AC783" s="250">
        <v>60000</v>
      </c>
      <c r="AD783" s="250">
        <v>180000</v>
      </c>
      <c r="AE783" s="250">
        <v>120000</v>
      </c>
      <c r="AF783" s="250">
        <v>60000</v>
      </c>
    </row>
    <row r="784" spans="2:32" x14ac:dyDescent="0.25">
      <c r="B784" s="63" t="s">
        <v>1514</v>
      </c>
      <c r="C784" s="15" t="s">
        <v>337</v>
      </c>
      <c r="D784" s="15">
        <v>2007</v>
      </c>
      <c r="E784" s="16">
        <v>721933</v>
      </c>
      <c r="F784" s="15">
        <v>1.3</v>
      </c>
      <c r="G784" s="15">
        <v>1.6</v>
      </c>
      <c r="H784" s="15" t="s">
        <v>340</v>
      </c>
      <c r="I784" s="249">
        <f t="shared" si="36"/>
        <v>1</v>
      </c>
      <c r="J784" s="143">
        <v>10000</v>
      </c>
      <c r="K784" s="249" t="s">
        <v>2378</v>
      </c>
      <c r="M784" s="249">
        <f t="shared" si="37"/>
        <v>8</v>
      </c>
      <c r="N784" s="249">
        <f t="shared" si="38"/>
        <v>7</v>
      </c>
      <c r="O784" s="15" t="s">
        <v>328</v>
      </c>
      <c r="P784" s="15"/>
      <c r="Q784" s="15"/>
      <c r="S784" s="15"/>
      <c r="T784" s="15"/>
      <c r="U784" s="15"/>
      <c r="V784" s="15"/>
      <c r="W784" s="15" t="s">
        <v>328</v>
      </c>
      <c r="X784" s="15"/>
      <c r="Z784" s="127">
        <v>0.5</v>
      </c>
      <c r="AA784" s="249">
        <v>3</v>
      </c>
      <c r="AB784" s="250">
        <v>30000</v>
      </c>
      <c r="AC784" s="250">
        <v>60000</v>
      </c>
      <c r="AD784" s="250">
        <v>180000</v>
      </c>
      <c r="AE784" s="250">
        <v>120000</v>
      </c>
      <c r="AF784" s="250">
        <v>60000</v>
      </c>
    </row>
    <row r="785" spans="2:32" x14ac:dyDescent="0.25">
      <c r="B785" s="63" t="s">
        <v>1514</v>
      </c>
      <c r="C785" s="15" t="s">
        <v>337</v>
      </c>
      <c r="D785" s="15">
        <v>2007</v>
      </c>
      <c r="E785" s="16">
        <v>699501</v>
      </c>
      <c r="F785" s="15">
        <v>1.3</v>
      </c>
      <c r="G785" s="15">
        <v>1.6</v>
      </c>
      <c r="H785" s="15" t="s">
        <v>340</v>
      </c>
      <c r="I785" s="249">
        <f t="shared" si="36"/>
        <v>1</v>
      </c>
      <c r="J785" s="143">
        <v>10000</v>
      </c>
      <c r="K785" s="249" t="s">
        <v>2378</v>
      </c>
      <c r="M785" s="249">
        <f t="shared" si="37"/>
        <v>8</v>
      </c>
      <c r="N785" s="249">
        <f t="shared" si="38"/>
        <v>7</v>
      </c>
      <c r="O785" s="15" t="s">
        <v>328</v>
      </c>
      <c r="P785" s="15"/>
      <c r="Q785" s="15"/>
      <c r="S785" s="15"/>
      <c r="T785" s="15"/>
      <c r="U785" s="15"/>
      <c r="V785" s="15"/>
      <c r="W785" s="15" t="s">
        <v>328</v>
      </c>
      <c r="X785" s="15"/>
      <c r="Z785" s="127">
        <v>0.5</v>
      </c>
      <c r="AA785" s="249">
        <v>3</v>
      </c>
      <c r="AB785" s="250">
        <v>30000</v>
      </c>
      <c r="AC785" s="250">
        <v>60000</v>
      </c>
      <c r="AD785" s="250">
        <v>180000</v>
      </c>
      <c r="AE785" s="250">
        <v>120000</v>
      </c>
      <c r="AF785" s="250">
        <v>60000</v>
      </c>
    </row>
    <row r="786" spans="2:32" x14ac:dyDescent="0.25">
      <c r="B786" s="63" t="s">
        <v>1517</v>
      </c>
      <c r="C786" s="15" t="s">
        <v>337</v>
      </c>
      <c r="D786" s="15">
        <v>2005</v>
      </c>
      <c r="E786" s="16">
        <v>864115</v>
      </c>
      <c r="F786" s="15">
        <v>2.5</v>
      </c>
      <c r="G786" s="15">
        <v>2.7</v>
      </c>
      <c r="H786" s="15" t="s">
        <v>340</v>
      </c>
      <c r="I786" s="249">
        <f t="shared" si="36"/>
        <v>1</v>
      </c>
      <c r="J786" s="143">
        <v>8000</v>
      </c>
      <c r="K786" s="249" t="s">
        <v>2378</v>
      </c>
      <c r="M786" s="249">
        <f t="shared" si="37"/>
        <v>10</v>
      </c>
      <c r="N786" s="249">
        <f t="shared" si="38"/>
        <v>9</v>
      </c>
      <c r="O786" s="15"/>
      <c r="P786" s="15" t="s">
        <v>328</v>
      </c>
      <c r="Q786" s="15"/>
      <c r="S786" s="15"/>
      <c r="T786" s="15"/>
      <c r="U786" s="15"/>
      <c r="V786" s="15"/>
      <c r="W786" s="15" t="s">
        <v>328</v>
      </c>
      <c r="X786" s="15"/>
      <c r="Z786" s="127">
        <v>0.5</v>
      </c>
      <c r="AA786" s="249">
        <v>2</v>
      </c>
      <c r="AB786" s="250">
        <v>25000</v>
      </c>
      <c r="AC786" s="250">
        <v>50000</v>
      </c>
      <c r="AD786" s="250">
        <v>120000</v>
      </c>
      <c r="AE786" s="250">
        <v>190000</v>
      </c>
      <c r="AF786" s="250">
        <v>50000</v>
      </c>
    </row>
    <row r="787" spans="2:32" x14ac:dyDescent="0.25">
      <c r="B787" s="63" t="s">
        <v>1517</v>
      </c>
      <c r="C787" s="15" t="s">
        <v>337</v>
      </c>
      <c r="D787" s="15">
        <v>2005</v>
      </c>
      <c r="E787" s="16">
        <v>823237</v>
      </c>
      <c r="F787" s="15">
        <v>2.5</v>
      </c>
      <c r="G787" s="15">
        <v>2.7</v>
      </c>
      <c r="H787" s="15" t="s">
        <v>340</v>
      </c>
      <c r="I787" s="249">
        <f t="shared" si="36"/>
        <v>1</v>
      </c>
      <c r="J787" s="143">
        <v>8000</v>
      </c>
      <c r="K787" s="249" t="s">
        <v>2378</v>
      </c>
      <c r="M787" s="249">
        <f t="shared" si="37"/>
        <v>10</v>
      </c>
      <c r="N787" s="249">
        <f t="shared" si="38"/>
        <v>9</v>
      </c>
      <c r="O787" s="15"/>
      <c r="P787" s="15" t="s">
        <v>328</v>
      </c>
      <c r="Q787" s="15"/>
      <c r="S787" s="15"/>
      <c r="T787" s="15"/>
      <c r="U787" s="15"/>
      <c r="V787" s="15"/>
      <c r="W787" s="15" t="s">
        <v>328</v>
      </c>
      <c r="X787" s="15"/>
      <c r="Z787" s="127">
        <v>0.5</v>
      </c>
      <c r="AA787" s="249">
        <v>2</v>
      </c>
      <c r="AB787" s="250">
        <v>25000</v>
      </c>
      <c r="AC787" s="250">
        <v>50000</v>
      </c>
      <c r="AD787" s="250">
        <v>120000</v>
      </c>
      <c r="AE787" s="250">
        <v>190000</v>
      </c>
      <c r="AF787" s="250">
        <v>50000</v>
      </c>
    </row>
    <row r="788" spans="2:32" x14ac:dyDescent="0.25">
      <c r="B788" s="63" t="s">
        <v>1518</v>
      </c>
      <c r="C788" s="15" t="s">
        <v>348</v>
      </c>
      <c r="D788" s="15">
        <v>2005</v>
      </c>
      <c r="E788" s="16">
        <v>593610</v>
      </c>
      <c r="F788" s="15">
        <v>3.9</v>
      </c>
      <c r="G788" s="15">
        <v>4.3</v>
      </c>
      <c r="H788" s="15" t="s">
        <v>340</v>
      </c>
      <c r="I788" s="249">
        <f t="shared" si="36"/>
        <v>1</v>
      </c>
      <c r="J788" s="143">
        <v>6666.666666666667</v>
      </c>
      <c r="K788" s="249" t="s">
        <v>2378</v>
      </c>
      <c r="M788" s="249">
        <f t="shared" si="37"/>
        <v>10</v>
      </c>
      <c r="N788" s="249">
        <f t="shared" si="38"/>
        <v>9</v>
      </c>
      <c r="O788" s="15"/>
      <c r="P788" s="15" t="s">
        <v>328</v>
      </c>
      <c r="Q788" s="15"/>
      <c r="S788" s="15"/>
      <c r="T788" s="15" t="s">
        <v>328</v>
      </c>
      <c r="U788" s="15"/>
      <c r="V788" s="15"/>
      <c r="W788" s="15"/>
      <c r="X788" s="15"/>
      <c r="Z788" s="127">
        <v>0.5</v>
      </c>
      <c r="AA788" s="249">
        <v>2</v>
      </c>
      <c r="AB788" s="250">
        <v>18000</v>
      </c>
      <c r="AC788" s="250">
        <v>36000</v>
      </c>
      <c r="AD788" s="250" t="s">
        <v>480</v>
      </c>
      <c r="AE788" s="250" t="s">
        <v>480</v>
      </c>
      <c r="AF788" s="250" t="s">
        <v>480</v>
      </c>
    </row>
    <row r="789" spans="2:32" x14ac:dyDescent="0.25">
      <c r="B789" s="63" t="s">
        <v>1518</v>
      </c>
      <c r="C789" s="15" t="s">
        <v>348</v>
      </c>
      <c r="D789" s="15">
        <v>2005</v>
      </c>
      <c r="E789" s="16">
        <v>602875</v>
      </c>
      <c r="F789" s="15">
        <v>3.9</v>
      </c>
      <c r="G789" s="15">
        <v>4.3</v>
      </c>
      <c r="H789" s="15" t="s">
        <v>340</v>
      </c>
      <c r="I789" s="249">
        <f t="shared" si="36"/>
        <v>1</v>
      </c>
      <c r="J789" s="143">
        <v>6667</v>
      </c>
      <c r="K789" s="249" t="s">
        <v>2378</v>
      </c>
      <c r="M789" s="249">
        <f t="shared" si="37"/>
        <v>10</v>
      </c>
      <c r="N789" s="249">
        <f t="shared" si="38"/>
        <v>9</v>
      </c>
      <c r="O789" s="15"/>
      <c r="P789" s="15" t="s">
        <v>328</v>
      </c>
      <c r="Q789" s="15"/>
      <c r="S789" s="15"/>
      <c r="T789" s="15" t="s">
        <v>328</v>
      </c>
      <c r="U789" s="15"/>
      <c r="V789" s="15"/>
      <c r="W789" s="15"/>
      <c r="X789" s="15"/>
      <c r="Z789" s="127">
        <v>0.5</v>
      </c>
      <c r="AA789" s="249">
        <v>2</v>
      </c>
      <c r="AB789" s="250">
        <v>18000</v>
      </c>
      <c r="AC789" s="250">
        <v>36000</v>
      </c>
      <c r="AD789" s="250" t="s">
        <v>480</v>
      </c>
      <c r="AE789" s="250" t="s">
        <v>480</v>
      </c>
      <c r="AF789" s="250" t="s">
        <v>480</v>
      </c>
    </row>
    <row r="790" spans="2:32" x14ac:dyDescent="0.25">
      <c r="B790" s="63" t="s">
        <v>1521</v>
      </c>
      <c r="C790" s="15" t="s">
        <v>337</v>
      </c>
      <c r="D790" s="15">
        <v>2005</v>
      </c>
      <c r="E790" s="16">
        <v>700459</v>
      </c>
      <c r="F790" s="15">
        <v>1.6</v>
      </c>
      <c r="G790" s="15">
        <v>1.9</v>
      </c>
      <c r="H790" s="15" t="s">
        <v>340</v>
      </c>
      <c r="I790" s="249">
        <f t="shared" si="36"/>
        <v>1</v>
      </c>
      <c r="J790" s="143">
        <v>8000</v>
      </c>
      <c r="K790" s="249" t="s">
        <v>2378</v>
      </c>
      <c r="M790" s="249">
        <f t="shared" si="37"/>
        <v>10</v>
      </c>
      <c r="N790" s="249">
        <f t="shared" si="38"/>
        <v>9</v>
      </c>
      <c r="O790" s="15"/>
      <c r="P790" s="15" t="s">
        <v>328</v>
      </c>
      <c r="Q790" s="15"/>
      <c r="S790" s="15"/>
      <c r="T790" s="15" t="s">
        <v>328</v>
      </c>
      <c r="U790" s="15"/>
      <c r="V790" s="15"/>
      <c r="W790" s="15"/>
      <c r="X790" s="15"/>
      <c r="Z790" s="127">
        <v>0.5</v>
      </c>
      <c r="AA790" s="249">
        <v>2</v>
      </c>
      <c r="AB790" s="250">
        <v>24000</v>
      </c>
      <c r="AC790" s="250">
        <v>50000</v>
      </c>
      <c r="AD790" s="250">
        <v>200000</v>
      </c>
      <c r="AE790" s="250">
        <v>150000</v>
      </c>
      <c r="AF790" s="250">
        <v>50000</v>
      </c>
    </row>
    <row r="791" spans="2:32" x14ac:dyDescent="0.25">
      <c r="B791" s="63" t="s">
        <v>1521</v>
      </c>
      <c r="C791" s="15" t="s">
        <v>337</v>
      </c>
      <c r="D791" s="15">
        <v>2008</v>
      </c>
      <c r="E791" s="16">
        <v>436720</v>
      </c>
      <c r="F791" s="15">
        <v>1.6</v>
      </c>
      <c r="G791" s="15">
        <v>1.9</v>
      </c>
      <c r="H791" s="15" t="s">
        <v>340</v>
      </c>
      <c r="I791" s="249">
        <f t="shared" si="36"/>
        <v>1</v>
      </c>
      <c r="J791" s="143">
        <v>8000</v>
      </c>
      <c r="K791" s="249" t="s">
        <v>2378</v>
      </c>
      <c r="M791" s="249">
        <f t="shared" si="37"/>
        <v>7</v>
      </c>
      <c r="N791" s="249">
        <f t="shared" si="38"/>
        <v>6</v>
      </c>
      <c r="O791" s="15" t="s">
        <v>328</v>
      </c>
      <c r="P791" s="15"/>
      <c r="Q791" s="15"/>
      <c r="S791" s="15"/>
      <c r="T791" s="15"/>
      <c r="U791" s="15"/>
      <c r="V791" s="15"/>
      <c r="W791" s="15" t="s">
        <v>328</v>
      </c>
      <c r="X791" s="15"/>
      <c r="Z791" s="127">
        <v>0.5</v>
      </c>
      <c r="AA791" s="249">
        <v>2</v>
      </c>
      <c r="AB791" s="250">
        <v>24000</v>
      </c>
      <c r="AC791" s="250">
        <v>50000</v>
      </c>
      <c r="AD791" s="250">
        <v>200000</v>
      </c>
      <c r="AE791" s="250">
        <v>150000</v>
      </c>
      <c r="AF791" s="250">
        <v>50000</v>
      </c>
    </row>
    <row r="792" spans="2:32" x14ac:dyDescent="0.25">
      <c r="B792" s="63" t="s">
        <v>1524</v>
      </c>
      <c r="C792" s="15" t="s">
        <v>337</v>
      </c>
      <c r="D792" s="15">
        <v>2001</v>
      </c>
      <c r="E792" s="16">
        <v>3060000</v>
      </c>
      <c r="F792" s="15">
        <v>2.5</v>
      </c>
      <c r="G792" s="15">
        <v>2.8</v>
      </c>
      <c r="H792" s="15" t="s">
        <v>340</v>
      </c>
      <c r="I792" s="249">
        <f t="shared" si="36"/>
        <v>1</v>
      </c>
      <c r="J792" s="143">
        <v>7500</v>
      </c>
      <c r="K792" s="249" t="s">
        <v>2378</v>
      </c>
      <c r="M792" s="249">
        <f t="shared" si="37"/>
        <v>14</v>
      </c>
      <c r="N792" s="249">
        <f t="shared" si="38"/>
        <v>13</v>
      </c>
      <c r="O792" s="15"/>
      <c r="P792" s="15"/>
      <c r="Q792" s="15" t="s">
        <v>328</v>
      </c>
      <c r="S792" s="15"/>
      <c r="T792" s="15"/>
      <c r="U792" s="15"/>
      <c r="V792" s="15"/>
      <c r="W792" s="15" t="s">
        <v>328</v>
      </c>
      <c r="X792" s="15"/>
      <c r="Z792" s="127">
        <v>0.5</v>
      </c>
      <c r="AA792" s="249">
        <v>1</v>
      </c>
      <c r="AB792" s="250">
        <v>30000</v>
      </c>
      <c r="AC792" s="250">
        <v>60000</v>
      </c>
      <c r="AD792" s="250">
        <v>180000</v>
      </c>
      <c r="AE792" s="250">
        <v>120000</v>
      </c>
      <c r="AF792" s="250">
        <v>60000</v>
      </c>
    </row>
    <row r="793" spans="2:32" x14ac:dyDescent="0.25">
      <c r="B793" s="63" t="s">
        <v>1525</v>
      </c>
      <c r="C793" s="15" t="s">
        <v>337</v>
      </c>
      <c r="D793" s="15">
        <v>2001</v>
      </c>
      <c r="E793" s="16">
        <v>1248000</v>
      </c>
      <c r="F793" s="15">
        <v>2.5</v>
      </c>
      <c r="G793" s="15">
        <v>2.8</v>
      </c>
      <c r="H793" s="15" t="s">
        <v>340</v>
      </c>
      <c r="I793" s="249">
        <f t="shared" si="36"/>
        <v>1</v>
      </c>
      <c r="J793" s="143">
        <v>8000</v>
      </c>
      <c r="K793" s="249" t="s">
        <v>2378</v>
      </c>
      <c r="M793" s="249">
        <f t="shared" si="37"/>
        <v>14</v>
      </c>
      <c r="N793" s="249">
        <f t="shared" si="38"/>
        <v>13</v>
      </c>
      <c r="O793" s="15"/>
      <c r="P793" s="15"/>
      <c r="Q793" s="15" t="s">
        <v>328</v>
      </c>
      <c r="S793" s="15"/>
      <c r="T793" s="15"/>
      <c r="U793" s="15"/>
      <c r="V793" s="15"/>
      <c r="W793" s="15" t="s">
        <v>328</v>
      </c>
      <c r="X793" s="15"/>
      <c r="Z793" s="127">
        <v>0.5</v>
      </c>
      <c r="AA793" s="249">
        <v>2</v>
      </c>
      <c r="AB793" s="250">
        <v>24000</v>
      </c>
      <c r="AC793" s="250">
        <v>72000</v>
      </c>
      <c r="AD793" s="250">
        <v>60000</v>
      </c>
      <c r="AE793" s="250">
        <v>120000</v>
      </c>
      <c r="AF793" s="250">
        <v>24000</v>
      </c>
    </row>
    <row r="794" spans="2:32" x14ac:dyDescent="0.25">
      <c r="B794" s="63" t="s">
        <v>1525</v>
      </c>
      <c r="C794" s="15" t="s">
        <v>337</v>
      </c>
      <c r="D794" s="15">
        <v>2001</v>
      </c>
      <c r="E794" s="16">
        <v>1248000</v>
      </c>
      <c r="F794" s="15">
        <v>2.5</v>
      </c>
      <c r="G794" s="15">
        <v>2.8</v>
      </c>
      <c r="H794" s="15" t="s">
        <v>340</v>
      </c>
      <c r="I794" s="249">
        <f t="shared" si="36"/>
        <v>1</v>
      </c>
      <c r="J794" s="143">
        <v>8000</v>
      </c>
      <c r="K794" s="249" t="s">
        <v>2378</v>
      </c>
      <c r="M794" s="249">
        <f t="shared" si="37"/>
        <v>14</v>
      </c>
      <c r="N794" s="249">
        <f t="shared" si="38"/>
        <v>13</v>
      </c>
      <c r="O794" s="15"/>
      <c r="P794" s="15"/>
      <c r="Q794" s="15" t="s">
        <v>328</v>
      </c>
      <c r="S794" s="15"/>
      <c r="T794" s="15"/>
      <c r="U794" s="15"/>
      <c r="V794" s="15"/>
      <c r="W794" s="15" t="s">
        <v>328</v>
      </c>
      <c r="X794" s="15"/>
      <c r="Z794" s="127">
        <v>0.5</v>
      </c>
      <c r="AA794" s="249">
        <v>2</v>
      </c>
      <c r="AB794" s="250">
        <v>24000</v>
      </c>
      <c r="AC794" s="250">
        <v>72000</v>
      </c>
      <c r="AD794" s="250">
        <v>60000</v>
      </c>
      <c r="AE794" s="250">
        <v>120000</v>
      </c>
      <c r="AF794" s="250">
        <v>24000</v>
      </c>
    </row>
    <row r="795" spans="2:32" x14ac:dyDescent="0.25">
      <c r="B795" s="63" t="s">
        <v>1528</v>
      </c>
      <c r="C795" s="14" t="s">
        <v>351</v>
      </c>
      <c r="D795" s="15">
        <v>1980</v>
      </c>
      <c r="E795" s="16">
        <v>3264000</v>
      </c>
      <c r="F795" s="15">
        <v>2.6</v>
      </c>
      <c r="G795" s="15">
        <v>3.2</v>
      </c>
      <c r="H795" s="15" t="s">
        <v>340</v>
      </c>
      <c r="I795" s="249">
        <f t="shared" si="36"/>
        <v>1</v>
      </c>
      <c r="J795" s="143">
        <v>8000</v>
      </c>
      <c r="K795" s="249" t="s">
        <v>2378</v>
      </c>
      <c r="M795" s="249">
        <f t="shared" si="37"/>
        <v>35</v>
      </c>
      <c r="N795" s="249">
        <f t="shared" si="38"/>
        <v>34</v>
      </c>
      <c r="O795" s="15"/>
      <c r="P795" s="15"/>
      <c r="Q795" s="15" t="s">
        <v>328</v>
      </c>
      <c r="S795" s="15"/>
      <c r="T795" s="15"/>
      <c r="U795" s="15"/>
      <c r="V795" s="15" t="s">
        <v>328</v>
      </c>
      <c r="W795" s="15"/>
      <c r="X795" s="15"/>
      <c r="Z795" s="127">
        <v>0.1</v>
      </c>
      <c r="AA795" s="249">
        <v>1</v>
      </c>
      <c r="AB795" s="250">
        <v>24000</v>
      </c>
      <c r="AC795" s="250">
        <v>50000</v>
      </c>
      <c r="AD795" s="250">
        <v>90000</v>
      </c>
      <c r="AE795" s="250">
        <v>125000</v>
      </c>
      <c r="AF795" s="250">
        <v>50000</v>
      </c>
    </row>
    <row r="796" spans="2:32" x14ac:dyDescent="0.25">
      <c r="B796" s="63" t="s">
        <v>1529</v>
      </c>
      <c r="C796" s="15" t="s">
        <v>337</v>
      </c>
      <c r="D796" s="15">
        <v>2000</v>
      </c>
      <c r="E796" s="16">
        <v>1289303</v>
      </c>
      <c r="F796" s="15">
        <v>2.5</v>
      </c>
      <c r="G796" s="15">
        <v>2.8</v>
      </c>
      <c r="H796" s="15" t="s">
        <v>340</v>
      </c>
      <c r="I796" s="249">
        <f t="shared" si="36"/>
        <v>1</v>
      </c>
      <c r="J796" s="143">
        <v>9000</v>
      </c>
      <c r="K796" s="249" t="s">
        <v>2378</v>
      </c>
      <c r="M796" s="249">
        <f t="shared" si="37"/>
        <v>15</v>
      </c>
      <c r="N796" s="249">
        <f t="shared" si="38"/>
        <v>14</v>
      </c>
      <c r="O796" s="15"/>
      <c r="P796" s="15"/>
      <c r="Q796" s="15" t="s">
        <v>328</v>
      </c>
      <c r="S796" s="15"/>
      <c r="T796" s="15"/>
      <c r="U796" s="15"/>
      <c r="V796" s="15"/>
      <c r="W796" s="15" t="s">
        <v>328</v>
      </c>
      <c r="X796" s="15"/>
      <c r="Z796" s="127">
        <v>0.5</v>
      </c>
      <c r="AA796" s="249">
        <v>1</v>
      </c>
      <c r="AB796" s="250">
        <v>30000</v>
      </c>
      <c r="AC796" s="250">
        <v>60000</v>
      </c>
      <c r="AD796" s="250">
        <v>90000</v>
      </c>
      <c r="AE796" s="250">
        <v>150000</v>
      </c>
      <c r="AF796" s="250">
        <v>30000</v>
      </c>
    </row>
    <row r="797" spans="2:32" x14ac:dyDescent="0.25">
      <c r="B797" s="63" t="s">
        <v>1530</v>
      </c>
      <c r="C797" s="15" t="s">
        <v>337</v>
      </c>
      <c r="D797" s="15">
        <v>2001</v>
      </c>
      <c r="E797" s="16">
        <v>1560000</v>
      </c>
      <c r="F797" s="15">
        <v>1.5</v>
      </c>
      <c r="G797" s="15">
        <v>1.7</v>
      </c>
      <c r="H797" s="15" t="s">
        <v>340</v>
      </c>
      <c r="I797" s="249">
        <f t="shared" si="36"/>
        <v>1</v>
      </c>
      <c r="J797" s="143">
        <v>10000</v>
      </c>
      <c r="K797" s="249" t="s">
        <v>2378</v>
      </c>
      <c r="M797" s="249">
        <f t="shared" si="37"/>
        <v>14</v>
      </c>
      <c r="N797" s="249">
        <f t="shared" si="38"/>
        <v>13</v>
      </c>
      <c r="O797" s="15"/>
      <c r="P797" s="15"/>
      <c r="Q797" s="15" t="s">
        <v>328</v>
      </c>
      <c r="S797" s="15"/>
      <c r="T797" s="15"/>
      <c r="U797" s="15"/>
      <c r="V797" s="15"/>
      <c r="W797" s="15" t="s">
        <v>328</v>
      </c>
      <c r="X797" s="15"/>
      <c r="Z797" s="127">
        <v>0.5</v>
      </c>
      <c r="AA797" s="249">
        <v>2</v>
      </c>
      <c r="AB797" s="250">
        <v>30000</v>
      </c>
      <c r="AC797" s="250">
        <v>30000</v>
      </c>
      <c r="AD797" s="250">
        <v>120000</v>
      </c>
      <c r="AE797" s="250">
        <v>150000</v>
      </c>
      <c r="AF797" s="250">
        <v>30000</v>
      </c>
    </row>
    <row r="798" spans="2:32" x14ac:dyDescent="0.25">
      <c r="B798" s="63" t="s">
        <v>1530</v>
      </c>
      <c r="C798" s="15" t="s">
        <v>337</v>
      </c>
      <c r="D798" s="15">
        <v>2001</v>
      </c>
      <c r="E798" s="16">
        <v>1560000</v>
      </c>
      <c r="F798" s="15">
        <v>1.5</v>
      </c>
      <c r="G798" s="15">
        <v>1.7</v>
      </c>
      <c r="H798" s="15" t="s">
        <v>340</v>
      </c>
      <c r="I798" s="249">
        <f t="shared" si="36"/>
        <v>1</v>
      </c>
      <c r="J798" s="143">
        <v>10000</v>
      </c>
      <c r="K798" s="249" t="s">
        <v>2378</v>
      </c>
      <c r="M798" s="249">
        <f t="shared" si="37"/>
        <v>14</v>
      </c>
      <c r="N798" s="249">
        <f t="shared" si="38"/>
        <v>13</v>
      </c>
      <c r="O798" s="15"/>
      <c r="P798" s="15"/>
      <c r="Q798" s="15" t="s">
        <v>328</v>
      </c>
      <c r="S798" s="15"/>
      <c r="T798" s="15"/>
      <c r="U798" s="15"/>
      <c r="V798" s="15"/>
      <c r="W798" s="15" t="s">
        <v>328</v>
      </c>
      <c r="X798" s="15"/>
      <c r="Z798" s="127">
        <v>0.5</v>
      </c>
      <c r="AA798" s="249">
        <v>2</v>
      </c>
      <c r="AB798" s="250">
        <v>30000</v>
      </c>
      <c r="AC798" s="250">
        <v>30000</v>
      </c>
      <c r="AD798" s="250">
        <v>120000</v>
      </c>
      <c r="AE798" s="250">
        <v>150000</v>
      </c>
      <c r="AF798" s="250">
        <v>30000</v>
      </c>
    </row>
    <row r="799" spans="2:32" x14ac:dyDescent="0.25">
      <c r="B799" s="65" t="s">
        <v>1573</v>
      </c>
      <c r="C799" s="15" t="s">
        <v>337</v>
      </c>
      <c r="D799" s="15">
        <v>1991</v>
      </c>
      <c r="E799" s="16">
        <v>200000</v>
      </c>
      <c r="F799" s="15">
        <v>2.2000000000000002</v>
      </c>
      <c r="G799" s="15">
        <v>2.2999999999999998</v>
      </c>
      <c r="H799" s="15" t="s">
        <v>340</v>
      </c>
      <c r="I799" s="249">
        <f t="shared" si="36"/>
        <v>1</v>
      </c>
      <c r="J799" s="143">
        <v>25000</v>
      </c>
      <c r="K799" s="249" t="s">
        <v>2379</v>
      </c>
      <c r="M799" s="249">
        <f t="shared" si="37"/>
        <v>24</v>
      </c>
      <c r="N799" s="249">
        <f t="shared" si="38"/>
        <v>23</v>
      </c>
      <c r="O799" s="15"/>
      <c r="P799" s="15"/>
      <c r="Q799" s="15" t="s">
        <v>328</v>
      </c>
      <c r="S799" s="15"/>
      <c r="T799" s="15"/>
      <c r="U799" s="15"/>
      <c r="V799" s="15"/>
      <c r="W799" s="15" t="s">
        <v>328</v>
      </c>
      <c r="X799" s="15"/>
      <c r="Z799" s="127">
        <v>0.5</v>
      </c>
      <c r="AA799" s="249">
        <v>12</v>
      </c>
      <c r="AB799" s="250">
        <v>25000</v>
      </c>
      <c r="AC799" s="250">
        <v>60000</v>
      </c>
      <c r="AD799" s="250">
        <v>50000</v>
      </c>
      <c r="AE799" s="250">
        <v>125000</v>
      </c>
      <c r="AF799" s="250">
        <v>25000</v>
      </c>
    </row>
    <row r="800" spans="2:32" x14ac:dyDescent="0.25">
      <c r="B800" s="63" t="s">
        <v>1573</v>
      </c>
      <c r="C800" s="15" t="s">
        <v>337</v>
      </c>
      <c r="D800" s="15">
        <v>1992</v>
      </c>
      <c r="E800" s="16">
        <v>2900000</v>
      </c>
      <c r="F800" s="15">
        <v>2.2000000000000002</v>
      </c>
      <c r="G800" s="15">
        <v>2.2999999999999998</v>
      </c>
      <c r="H800" s="15" t="s">
        <v>340</v>
      </c>
      <c r="I800" s="249">
        <f t="shared" si="36"/>
        <v>1</v>
      </c>
      <c r="J800" s="143">
        <v>25000</v>
      </c>
      <c r="K800" s="249" t="s">
        <v>2379</v>
      </c>
      <c r="M800" s="249">
        <f t="shared" si="37"/>
        <v>23</v>
      </c>
      <c r="N800" s="249">
        <f t="shared" si="38"/>
        <v>22</v>
      </c>
      <c r="O800" s="15"/>
      <c r="P800" s="15"/>
      <c r="Q800" s="15" t="s">
        <v>328</v>
      </c>
      <c r="S800" s="15"/>
      <c r="T800" s="15"/>
      <c r="U800" s="15"/>
      <c r="V800" s="15"/>
      <c r="W800" s="15" t="s">
        <v>328</v>
      </c>
      <c r="X800" s="15"/>
      <c r="Z800" s="127">
        <v>0.5</v>
      </c>
      <c r="AA800" s="249">
        <v>12</v>
      </c>
      <c r="AB800" s="250">
        <v>25000</v>
      </c>
      <c r="AC800" s="250">
        <v>60000</v>
      </c>
      <c r="AD800" s="250">
        <v>50000</v>
      </c>
      <c r="AE800" s="250">
        <v>125000</v>
      </c>
      <c r="AF800" s="250">
        <v>25000</v>
      </c>
    </row>
    <row r="801" spans="2:32" x14ac:dyDescent="0.25">
      <c r="B801" s="63" t="s">
        <v>1573</v>
      </c>
      <c r="C801" s="15" t="s">
        <v>337</v>
      </c>
      <c r="D801" s="15">
        <v>1998</v>
      </c>
      <c r="E801" s="16">
        <v>2800000</v>
      </c>
      <c r="F801" s="15">
        <v>2.4</v>
      </c>
      <c r="G801" s="15">
        <v>2.6</v>
      </c>
      <c r="H801" s="15" t="s">
        <v>340</v>
      </c>
      <c r="I801" s="249">
        <f t="shared" si="36"/>
        <v>1</v>
      </c>
      <c r="J801" s="143">
        <v>28000</v>
      </c>
      <c r="K801" s="249" t="s">
        <v>2379</v>
      </c>
      <c r="M801" s="249">
        <f t="shared" si="37"/>
        <v>17</v>
      </c>
      <c r="N801" s="249">
        <f t="shared" si="38"/>
        <v>16</v>
      </c>
      <c r="O801" s="15"/>
      <c r="P801" s="15"/>
      <c r="Q801" s="15" t="s">
        <v>328</v>
      </c>
      <c r="S801" s="15"/>
      <c r="T801" s="15"/>
      <c r="U801" s="15"/>
      <c r="V801" s="15"/>
      <c r="W801" s="15" t="s">
        <v>328</v>
      </c>
      <c r="X801" s="15"/>
      <c r="Z801" s="127">
        <v>0.5</v>
      </c>
      <c r="AA801" s="249">
        <v>12</v>
      </c>
      <c r="AB801" s="250">
        <v>25000</v>
      </c>
      <c r="AC801" s="250">
        <v>60000</v>
      </c>
      <c r="AD801" s="250">
        <v>50000</v>
      </c>
      <c r="AE801" s="250">
        <v>125000</v>
      </c>
      <c r="AF801" s="250">
        <v>25000</v>
      </c>
    </row>
    <row r="802" spans="2:32" x14ac:dyDescent="0.25">
      <c r="B802" s="63" t="s">
        <v>1573</v>
      </c>
      <c r="C802" s="15" t="s">
        <v>337</v>
      </c>
      <c r="D802" s="15">
        <v>2005</v>
      </c>
      <c r="E802" s="16">
        <v>1100000</v>
      </c>
      <c r="F802" s="15">
        <v>2.4</v>
      </c>
      <c r="G802" s="15">
        <v>2.6</v>
      </c>
      <c r="H802" s="15" t="s">
        <v>340</v>
      </c>
      <c r="I802" s="249">
        <f t="shared" si="36"/>
        <v>1</v>
      </c>
      <c r="J802" s="143">
        <v>28000</v>
      </c>
      <c r="K802" s="249" t="s">
        <v>2379</v>
      </c>
      <c r="M802" s="249">
        <f t="shared" si="37"/>
        <v>10</v>
      </c>
      <c r="N802" s="249">
        <f t="shared" si="38"/>
        <v>9</v>
      </c>
      <c r="O802" s="15"/>
      <c r="P802" s="15"/>
      <c r="Q802" s="15" t="s">
        <v>328</v>
      </c>
      <c r="S802" s="15"/>
      <c r="T802" s="15"/>
      <c r="U802" s="15"/>
      <c r="V802" s="15"/>
      <c r="W802" s="15" t="s">
        <v>328</v>
      </c>
      <c r="X802" s="15"/>
      <c r="Z802" s="127">
        <v>0.5</v>
      </c>
      <c r="AA802" s="249">
        <v>12</v>
      </c>
      <c r="AB802" s="250">
        <v>25000</v>
      </c>
      <c r="AC802" s="250">
        <v>60000</v>
      </c>
      <c r="AD802" s="250">
        <v>50000</v>
      </c>
      <c r="AE802" s="250">
        <v>125000</v>
      </c>
      <c r="AF802" s="250">
        <v>25000</v>
      </c>
    </row>
    <row r="803" spans="2:32" x14ac:dyDescent="0.25">
      <c r="B803" s="63" t="s">
        <v>1573</v>
      </c>
      <c r="C803" s="15" t="s">
        <v>337</v>
      </c>
      <c r="D803" s="15">
        <v>1999</v>
      </c>
      <c r="E803" s="16">
        <v>900000</v>
      </c>
      <c r="F803" s="15">
        <v>2.2999999999999998</v>
      </c>
      <c r="G803" s="15">
        <v>2.5</v>
      </c>
      <c r="H803" s="15" t="s">
        <v>340</v>
      </c>
      <c r="I803" s="249">
        <f t="shared" si="36"/>
        <v>1</v>
      </c>
      <c r="J803" s="143">
        <v>700</v>
      </c>
      <c r="K803" s="249" t="s">
        <v>2379</v>
      </c>
      <c r="M803" s="249">
        <f t="shared" si="37"/>
        <v>16</v>
      </c>
      <c r="N803" s="249">
        <f t="shared" si="38"/>
        <v>15</v>
      </c>
      <c r="O803" s="15"/>
      <c r="P803" s="15"/>
      <c r="Q803" s="15" t="s">
        <v>328</v>
      </c>
      <c r="S803" s="15"/>
      <c r="T803" s="15"/>
      <c r="U803" s="15"/>
      <c r="V803" s="15"/>
      <c r="W803" s="15" t="s">
        <v>328</v>
      </c>
      <c r="X803" s="15"/>
      <c r="Z803" s="127">
        <v>0.5</v>
      </c>
      <c r="AA803" s="249">
        <v>12</v>
      </c>
      <c r="AB803" s="250">
        <v>25000</v>
      </c>
      <c r="AC803" s="250">
        <v>60000</v>
      </c>
      <c r="AD803" s="250">
        <v>50000</v>
      </c>
      <c r="AE803" s="250">
        <v>125000</v>
      </c>
      <c r="AF803" s="250">
        <v>25000</v>
      </c>
    </row>
    <row r="804" spans="2:32" x14ac:dyDescent="0.25">
      <c r="B804" s="63" t="s">
        <v>1573</v>
      </c>
      <c r="C804" s="15" t="s">
        <v>337</v>
      </c>
      <c r="D804" s="15">
        <v>1998</v>
      </c>
      <c r="E804" s="16">
        <v>950000</v>
      </c>
      <c r="F804" s="15">
        <v>2.2999999999999998</v>
      </c>
      <c r="G804" s="15">
        <v>2.5</v>
      </c>
      <c r="H804" s="15" t="s">
        <v>340</v>
      </c>
      <c r="I804" s="249">
        <f t="shared" si="36"/>
        <v>1</v>
      </c>
      <c r="J804" s="143">
        <v>700</v>
      </c>
      <c r="K804" s="249" t="s">
        <v>2379</v>
      </c>
      <c r="M804" s="249">
        <f t="shared" si="37"/>
        <v>17</v>
      </c>
      <c r="N804" s="249">
        <f t="shared" si="38"/>
        <v>16</v>
      </c>
      <c r="O804" s="15"/>
      <c r="P804" s="15"/>
      <c r="Q804" s="15" t="s">
        <v>328</v>
      </c>
      <c r="S804" s="15"/>
      <c r="T804" s="15"/>
      <c r="U804" s="15"/>
      <c r="V804" s="15"/>
      <c r="W804" s="15" t="s">
        <v>328</v>
      </c>
      <c r="X804" s="15"/>
      <c r="Z804" s="127">
        <v>0.5</v>
      </c>
      <c r="AA804" s="249">
        <v>12</v>
      </c>
      <c r="AB804" s="250">
        <v>25000</v>
      </c>
      <c r="AC804" s="250">
        <v>60000</v>
      </c>
      <c r="AD804" s="250">
        <v>50000</v>
      </c>
      <c r="AE804" s="250">
        <v>125000</v>
      </c>
      <c r="AF804" s="250">
        <v>25000</v>
      </c>
    </row>
    <row r="805" spans="2:32" x14ac:dyDescent="0.25">
      <c r="B805" s="63" t="s">
        <v>1573</v>
      </c>
      <c r="C805" s="15" t="s">
        <v>337</v>
      </c>
      <c r="D805" s="15">
        <v>1998</v>
      </c>
      <c r="E805" s="16">
        <v>980000</v>
      </c>
      <c r="F805" s="15">
        <v>2.2999999999999998</v>
      </c>
      <c r="G805" s="15">
        <v>2.5</v>
      </c>
      <c r="H805" s="15" t="s">
        <v>340</v>
      </c>
      <c r="I805" s="249">
        <f t="shared" si="36"/>
        <v>1</v>
      </c>
      <c r="J805" s="143">
        <v>700</v>
      </c>
      <c r="K805" s="249" t="s">
        <v>2379</v>
      </c>
      <c r="M805" s="249">
        <f t="shared" si="37"/>
        <v>17</v>
      </c>
      <c r="N805" s="249">
        <f t="shared" si="38"/>
        <v>16</v>
      </c>
      <c r="O805" s="15"/>
      <c r="P805" s="15"/>
      <c r="Q805" s="15" t="s">
        <v>328</v>
      </c>
      <c r="S805" s="15"/>
      <c r="T805" s="15"/>
      <c r="U805" s="15"/>
      <c r="V805" s="15"/>
      <c r="W805" s="15" t="s">
        <v>328</v>
      </c>
      <c r="X805" s="15"/>
      <c r="Z805" s="127">
        <v>0.5</v>
      </c>
      <c r="AA805" s="249">
        <v>12</v>
      </c>
      <c r="AB805" s="250">
        <v>25000</v>
      </c>
      <c r="AC805" s="250">
        <v>60000</v>
      </c>
      <c r="AD805" s="250">
        <v>50000</v>
      </c>
      <c r="AE805" s="250">
        <v>125000</v>
      </c>
      <c r="AF805" s="250">
        <v>25000</v>
      </c>
    </row>
    <row r="806" spans="2:32" x14ac:dyDescent="0.25">
      <c r="B806" s="63" t="s">
        <v>1573</v>
      </c>
      <c r="C806" s="15" t="s">
        <v>337</v>
      </c>
      <c r="D806" s="15">
        <v>1995</v>
      </c>
      <c r="E806" s="16">
        <v>1500000</v>
      </c>
      <c r="F806" s="15">
        <v>2.2999999999999998</v>
      </c>
      <c r="G806" s="15">
        <v>2.5</v>
      </c>
      <c r="H806" s="15" t="s">
        <v>340</v>
      </c>
      <c r="I806" s="249">
        <f t="shared" si="36"/>
        <v>1</v>
      </c>
      <c r="J806" s="143">
        <v>700</v>
      </c>
      <c r="K806" s="249" t="s">
        <v>2379</v>
      </c>
      <c r="M806" s="249">
        <f t="shared" si="37"/>
        <v>20</v>
      </c>
      <c r="N806" s="249">
        <f t="shared" si="38"/>
        <v>19</v>
      </c>
      <c r="O806" s="15"/>
      <c r="P806" s="15"/>
      <c r="Q806" s="15" t="s">
        <v>328</v>
      </c>
      <c r="S806" s="15"/>
      <c r="T806" s="15"/>
      <c r="U806" s="15"/>
      <c r="V806" s="15"/>
      <c r="W806" s="15" t="s">
        <v>328</v>
      </c>
      <c r="X806" s="15"/>
      <c r="Z806" s="127">
        <v>0.5</v>
      </c>
      <c r="AA806" s="249">
        <v>12</v>
      </c>
      <c r="AB806" s="250">
        <v>25000</v>
      </c>
      <c r="AC806" s="250">
        <v>60000</v>
      </c>
      <c r="AD806" s="250">
        <v>50000</v>
      </c>
      <c r="AE806" s="250">
        <v>125000</v>
      </c>
      <c r="AF806" s="250">
        <v>25000</v>
      </c>
    </row>
    <row r="807" spans="2:32" x14ac:dyDescent="0.25">
      <c r="B807" s="63" t="s">
        <v>1573</v>
      </c>
      <c r="C807" s="15" t="s">
        <v>337</v>
      </c>
      <c r="D807" s="15">
        <v>1995</v>
      </c>
      <c r="E807" s="16">
        <v>1500000</v>
      </c>
      <c r="F807" s="15">
        <v>2.2000000000000002</v>
      </c>
      <c r="G807" s="15">
        <v>2.2999999999999998</v>
      </c>
      <c r="H807" s="15" t="s">
        <v>340</v>
      </c>
      <c r="I807" s="249">
        <f t="shared" si="36"/>
        <v>1</v>
      </c>
      <c r="J807" s="143">
        <v>700</v>
      </c>
      <c r="K807" s="249" t="s">
        <v>2379</v>
      </c>
      <c r="M807" s="249">
        <f t="shared" si="37"/>
        <v>20</v>
      </c>
      <c r="N807" s="249">
        <f t="shared" si="38"/>
        <v>19</v>
      </c>
      <c r="O807" s="15"/>
      <c r="P807" s="15"/>
      <c r="Q807" s="15" t="s">
        <v>328</v>
      </c>
      <c r="S807" s="15"/>
      <c r="T807" s="15"/>
      <c r="U807" s="15"/>
      <c r="V807" s="15"/>
      <c r="W807" s="15" t="s">
        <v>328</v>
      </c>
      <c r="X807" s="15"/>
      <c r="Z807" s="127">
        <v>0.5</v>
      </c>
      <c r="AA807" s="249">
        <v>12</v>
      </c>
      <c r="AB807" s="250">
        <v>25000</v>
      </c>
      <c r="AC807" s="250">
        <v>60000</v>
      </c>
      <c r="AD807" s="250">
        <v>50000</v>
      </c>
      <c r="AE807" s="250">
        <v>125000</v>
      </c>
      <c r="AF807" s="250">
        <v>25000</v>
      </c>
    </row>
    <row r="808" spans="2:32" x14ac:dyDescent="0.25">
      <c r="B808" s="63" t="s">
        <v>1573</v>
      </c>
      <c r="C808" s="15" t="s">
        <v>337</v>
      </c>
      <c r="D808" s="15">
        <v>1995</v>
      </c>
      <c r="E808" s="16">
        <v>1500000</v>
      </c>
      <c r="F808" s="15">
        <v>2.2999999999999998</v>
      </c>
      <c r="G808" s="15">
        <v>2.5</v>
      </c>
      <c r="H808" s="15" t="s">
        <v>340</v>
      </c>
      <c r="I808" s="249">
        <f t="shared" si="36"/>
        <v>1</v>
      </c>
      <c r="J808" s="143">
        <v>700</v>
      </c>
      <c r="K808" s="249" t="s">
        <v>2379</v>
      </c>
      <c r="M808" s="249">
        <f t="shared" si="37"/>
        <v>20</v>
      </c>
      <c r="N808" s="249">
        <f t="shared" si="38"/>
        <v>19</v>
      </c>
      <c r="O808" s="15"/>
      <c r="P808" s="15"/>
      <c r="Q808" s="15" t="s">
        <v>328</v>
      </c>
      <c r="S808" s="15"/>
      <c r="T808" s="15"/>
      <c r="U808" s="15"/>
      <c r="V808" s="15"/>
      <c r="W808" s="15"/>
      <c r="X808" s="15" t="s">
        <v>328</v>
      </c>
      <c r="Z808" s="127">
        <v>0.5</v>
      </c>
      <c r="AA808" s="249">
        <v>12</v>
      </c>
      <c r="AB808" s="250">
        <v>25000</v>
      </c>
      <c r="AC808" s="250">
        <v>60000</v>
      </c>
      <c r="AD808" s="250">
        <v>50000</v>
      </c>
      <c r="AE808" s="250">
        <v>125000</v>
      </c>
      <c r="AF808" s="250">
        <v>25000</v>
      </c>
    </row>
    <row r="809" spans="2:32" x14ac:dyDescent="0.25">
      <c r="B809" s="63" t="s">
        <v>1573</v>
      </c>
      <c r="C809" s="15" t="s">
        <v>348</v>
      </c>
      <c r="D809" s="15">
        <v>2008</v>
      </c>
      <c r="E809" s="16">
        <v>200000</v>
      </c>
      <c r="F809" s="15">
        <v>3.9</v>
      </c>
      <c r="G809" s="15">
        <v>4.0999999999999996</v>
      </c>
      <c r="H809" s="15" t="s">
        <v>340</v>
      </c>
      <c r="I809" s="249">
        <f t="shared" si="36"/>
        <v>1</v>
      </c>
      <c r="J809" s="143">
        <v>700</v>
      </c>
      <c r="K809" s="249" t="s">
        <v>2379</v>
      </c>
      <c r="M809" s="249">
        <f t="shared" si="37"/>
        <v>7</v>
      </c>
      <c r="N809" s="249">
        <f t="shared" si="38"/>
        <v>6</v>
      </c>
      <c r="O809" s="15"/>
      <c r="P809" s="15" t="s">
        <v>328</v>
      </c>
      <c r="Q809" s="15"/>
      <c r="S809" s="15"/>
      <c r="T809" s="15"/>
      <c r="U809" s="15"/>
      <c r="V809" s="15"/>
      <c r="W809" s="15"/>
      <c r="X809" s="15" t="s">
        <v>328</v>
      </c>
      <c r="Z809" s="127">
        <v>0.5</v>
      </c>
      <c r="AA809" s="249">
        <v>12</v>
      </c>
      <c r="AB809" s="250">
        <v>25000</v>
      </c>
      <c r="AC809" s="250">
        <v>60000</v>
      </c>
      <c r="AD809" s="250">
        <v>50000</v>
      </c>
      <c r="AE809" s="250">
        <v>125000</v>
      </c>
      <c r="AF809" s="250">
        <v>25000</v>
      </c>
    </row>
    <row r="810" spans="2:32" x14ac:dyDescent="0.25">
      <c r="B810" s="63" t="s">
        <v>1573</v>
      </c>
      <c r="C810" s="15" t="s">
        <v>337</v>
      </c>
      <c r="D810" s="15">
        <v>2000</v>
      </c>
      <c r="E810" s="16">
        <v>1500000</v>
      </c>
      <c r="F810" s="15">
        <v>2.2999999999999998</v>
      </c>
      <c r="G810" s="15">
        <v>2.5</v>
      </c>
      <c r="H810" s="15" t="s">
        <v>340</v>
      </c>
      <c r="I810" s="249">
        <f t="shared" si="36"/>
        <v>1</v>
      </c>
      <c r="J810" s="143">
        <v>1200</v>
      </c>
      <c r="K810" s="249" t="s">
        <v>2379</v>
      </c>
      <c r="M810" s="249">
        <f t="shared" si="37"/>
        <v>15</v>
      </c>
      <c r="N810" s="249">
        <f t="shared" si="38"/>
        <v>14</v>
      </c>
      <c r="O810" s="15"/>
      <c r="P810" s="15" t="s">
        <v>328</v>
      </c>
      <c r="Q810" s="15"/>
      <c r="S810" s="15"/>
      <c r="T810" s="15"/>
      <c r="U810" s="15"/>
      <c r="V810" s="15"/>
      <c r="W810" s="15"/>
      <c r="X810" s="15" t="s">
        <v>328</v>
      </c>
      <c r="Z810" s="127">
        <v>0.5</v>
      </c>
      <c r="AA810" s="249">
        <v>12</v>
      </c>
      <c r="AB810" s="250">
        <v>25000</v>
      </c>
      <c r="AC810" s="250">
        <v>60000</v>
      </c>
      <c r="AD810" s="250">
        <v>50000</v>
      </c>
      <c r="AE810" s="250">
        <v>125000</v>
      </c>
      <c r="AF810" s="250">
        <v>25000</v>
      </c>
    </row>
    <row r="811" spans="2:32" x14ac:dyDescent="0.25">
      <c r="B811" s="63" t="s">
        <v>1576</v>
      </c>
      <c r="C811" s="15" t="s">
        <v>337</v>
      </c>
      <c r="D811" s="15">
        <v>1996</v>
      </c>
      <c r="E811" s="16">
        <v>1000000</v>
      </c>
      <c r="F811" s="15">
        <v>2.8</v>
      </c>
      <c r="G811" s="15">
        <v>3</v>
      </c>
      <c r="H811" s="15" t="s">
        <v>340</v>
      </c>
      <c r="I811" s="249">
        <f t="shared" si="36"/>
        <v>1</v>
      </c>
      <c r="J811" s="143">
        <v>3000</v>
      </c>
      <c r="K811" s="249" t="s">
        <v>2378</v>
      </c>
      <c r="M811" s="249">
        <f t="shared" si="37"/>
        <v>19</v>
      </c>
      <c r="N811" s="249">
        <f t="shared" si="38"/>
        <v>18</v>
      </c>
      <c r="O811" s="15"/>
      <c r="P811" s="15"/>
      <c r="Q811" s="15" t="s">
        <v>328</v>
      </c>
      <c r="S811" s="15"/>
      <c r="T811" s="15"/>
      <c r="U811" s="15"/>
      <c r="V811" s="15"/>
      <c r="W811" s="15" t="s">
        <v>328</v>
      </c>
      <c r="X811" s="15"/>
      <c r="Z811" s="127">
        <v>0.3</v>
      </c>
      <c r="AA811" s="249">
        <v>4</v>
      </c>
      <c r="AB811" s="250">
        <v>25000</v>
      </c>
      <c r="AC811" s="250">
        <v>60000</v>
      </c>
      <c r="AD811" s="250">
        <v>50000</v>
      </c>
      <c r="AE811" s="250">
        <v>100000</v>
      </c>
      <c r="AF811" s="250">
        <v>25000</v>
      </c>
    </row>
    <row r="812" spans="2:32" x14ac:dyDescent="0.25">
      <c r="B812" s="63" t="s">
        <v>1576</v>
      </c>
      <c r="C812" s="15" t="s">
        <v>337</v>
      </c>
      <c r="D812" s="15">
        <v>1994</v>
      </c>
      <c r="E812" s="16">
        <v>890000</v>
      </c>
      <c r="F812" s="15">
        <v>2.9</v>
      </c>
      <c r="G812" s="15">
        <v>3.1</v>
      </c>
      <c r="H812" s="15" t="s">
        <v>340</v>
      </c>
      <c r="I812" s="249">
        <f t="shared" si="36"/>
        <v>1</v>
      </c>
      <c r="J812" s="143">
        <v>3000</v>
      </c>
      <c r="K812" s="249" t="s">
        <v>2378</v>
      </c>
      <c r="M812" s="249">
        <f t="shared" si="37"/>
        <v>21</v>
      </c>
      <c r="N812" s="249">
        <f t="shared" si="38"/>
        <v>20</v>
      </c>
      <c r="O812" s="15"/>
      <c r="P812" s="15" t="s">
        <v>328</v>
      </c>
      <c r="Q812" s="15"/>
      <c r="S812" s="15"/>
      <c r="T812" s="15"/>
      <c r="U812" s="15"/>
      <c r="V812" s="15"/>
      <c r="W812" s="15" t="s">
        <v>328</v>
      </c>
      <c r="X812" s="15"/>
      <c r="Z812" s="127">
        <v>0.3</v>
      </c>
      <c r="AA812" s="249">
        <v>4</v>
      </c>
      <c r="AB812" s="250">
        <v>25000</v>
      </c>
      <c r="AC812" s="250">
        <v>60000</v>
      </c>
      <c r="AD812" s="250">
        <v>50000</v>
      </c>
      <c r="AE812" s="250">
        <v>100000</v>
      </c>
      <c r="AF812" s="250">
        <v>25000</v>
      </c>
    </row>
    <row r="813" spans="2:32" x14ac:dyDescent="0.25">
      <c r="B813" s="63" t="s">
        <v>1576</v>
      </c>
      <c r="C813" s="15" t="s">
        <v>337</v>
      </c>
      <c r="D813" s="15">
        <v>1990</v>
      </c>
      <c r="E813" s="16">
        <v>12000000</v>
      </c>
      <c r="F813" s="15">
        <v>2.5</v>
      </c>
      <c r="G813" s="15">
        <v>2.7</v>
      </c>
      <c r="H813" s="15" t="s">
        <v>340</v>
      </c>
      <c r="I813" s="249">
        <f t="shared" si="36"/>
        <v>1</v>
      </c>
      <c r="J813" s="143">
        <v>3000</v>
      </c>
      <c r="K813" s="249" t="s">
        <v>2378</v>
      </c>
      <c r="M813" s="249">
        <f t="shared" si="37"/>
        <v>25</v>
      </c>
      <c r="N813" s="249">
        <f t="shared" si="38"/>
        <v>24</v>
      </c>
      <c r="O813" s="15"/>
      <c r="P813" s="15" t="s">
        <v>328</v>
      </c>
      <c r="Q813" s="15"/>
      <c r="S813" s="15"/>
      <c r="T813" s="15"/>
      <c r="U813" s="15"/>
      <c r="V813" s="15"/>
      <c r="W813" s="15" t="s">
        <v>328</v>
      </c>
      <c r="X813" s="15"/>
      <c r="Z813" s="127">
        <v>0.3</v>
      </c>
      <c r="AA813" s="249">
        <v>4</v>
      </c>
      <c r="AB813" s="250">
        <v>25000</v>
      </c>
      <c r="AC813" s="250">
        <v>60000</v>
      </c>
      <c r="AD813" s="250">
        <v>50000</v>
      </c>
      <c r="AE813" s="250">
        <v>100000</v>
      </c>
      <c r="AF813" s="250">
        <v>25000</v>
      </c>
    </row>
    <row r="814" spans="2:32" x14ac:dyDescent="0.25">
      <c r="B814" s="63" t="s">
        <v>1576</v>
      </c>
      <c r="C814" s="15" t="s">
        <v>337</v>
      </c>
      <c r="D814" s="15">
        <v>2005</v>
      </c>
      <c r="E814" s="16">
        <v>350000</v>
      </c>
      <c r="F814" s="15">
        <v>3</v>
      </c>
      <c r="G814" s="15">
        <v>3.3</v>
      </c>
      <c r="H814" s="15" t="s">
        <v>340</v>
      </c>
      <c r="I814" s="249">
        <f t="shared" si="36"/>
        <v>1</v>
      </c>
      <c r="J814" s="143">
        <v>10000</v>
      </c>
      <c r="K814" s="249" t="s">
        <v>2378</v>
      </c>
      <c r="M814" s="249">
        <f t="shared" si="37"/>
        <v>10</v>
      </c>
      <c r="N814" s="249">
        <f t="shared" si="38"/>
        <v>9</v>
      </c>
      <c r="O814" s="15" t="s">
        <v>328</v>
      </c>
      <c r="P814" s="15"/>
      <c r="Q814" s="15"/>
      <c r="S814" s="15"/>
      <c r="T814" s="15"/>
      <c r="U814" s="15"/>
      <c r="V814" s="15"/>
      <c r="W814" s="15"/>
      <c r="X814" s="15" t="s">
        <v>328</v>
      </c>
      <c r="Z814" s="127">
        <v>0.2</v>
      </c>
      <c r="AA814" s="249">
        <v>4</v>
      </c>
      <c r="AB814" s="250">
        <v>25000</v>
      </c>
      <c r="AC814" s="250">
        <v>60000</v>
      </c>
      <c r="AD814" s="250">
        <v>50000</v>
      </c>
      <c r="AE814" s="250">
        <v>100000</v>
      </c>
      <c r="AF814" s="250">
        <v>25000</v>
      </c>
    </row>
    <row r="815" spans="2:32" x14ac:dyDescent="0.25">
      <c r="B815" s="63" t="s">
        <v>1578</v>
      </c>
      <c r="C815" s="15" t="s">
        <v>337</v>
      </c>
      <c r="D815" s="15">
        <v>2003</v>
      </c>
      <c r="E815" s="16">
        <v>796980</v>
      </c>
      <c r="F815" s="15">
        <v>2</v>
      </c>
      <c r="G815" s="15">
        <v>2.1</v>
      </c>
      <c r="H815" s="15" t="s">
        <v>340</v>
      </c>
      <c r="I815" s="249">
        <f t="shared" si="36"/>
        <v>1</v>
      </c>
      <c r="J815" s="143">
        <v>2800</v>
      </c>
      <c r="K815" s="249" t="s">
        <v>2379</v>
      </c>
      <c r="M815" s="249">
        <f t="shared" si="37"/>
        <v>12</v>
      </c>
      <c r="N815" s="249">
        <f t="shared" si="38"/>
        <v>11</v>
      </c>
      <c r="O815" s="15"/>
      <c r="P815" s="15"/>
      <c r="Q815" s="15" t="s">
        <v>328</v>
      </c>
      <c r="S815" s="15"/>
      <c r="T815" s="15"/>
      <c r="U815" s="15"/>
      <c r="V815" s="15"/>
      <c r="W815" s="15" t="s">
        <v>328</v>
      </c>
      <c r="X815" s="15"/>
      <c r="Z815" s="127">
        <v>0.35</v>
      </c>
      <c r="AA815" s="249">
        <v>6</v>
      </c>
      <c r="AB815" s="250">
        <v>12000</v>
      </c>
      <c r="AC815" s="250">
        <v>35000</v>
      </c>
      <c r="AD815" s="250">
        <v>60000</v>
      </c>
      <c r="AE815" s="250">
        <v>120000</v>
      </c>
      <c r="AF815" s="250">
        <v>35000</v>
      </c>
    </row>
    <row r="816" spans="2:32" x14ac:dyDescent="0.25">
      <c r="B816" s="63" t="s">
        <v>1578</v>
      </c>
      <c r="C816" s="15" t="s">
        <v>337</v>
      </c>
      <c r="D816" s="15">
        <v>1985</v>
      </c>
      <c r="E816" s="16">
        <v>127437</v>
      </c>
      <c r="F816" s="15">
        <v>2</v>
      </c>
      <c r="G816" s="15">
        <v>2.1</v>
      </c>
      <c r="H816" s="15" t="s">
        <v>340</v>
      </c>
      <c r="I816" s="249">
        <f t="shared" si="36"/>
        <v>1</v>
      </c>
      <c r="J816" s="143">
        <v>3200</v>
      </c>
      <c r="K816" s="249" t="s">
        <v>2379</v>
      </c>
      <c r="M816" s="249">
        <f t="shared" si="37"/>
        <v>30</v>
      </c>
      <c r="N816" s="249">
        <f t="shared" si="38"/>
        <v>29</v>
      </c>
      <c r="O816" s="15"/>
      <c r="P816" s="15"/>
      <c r="Q816" s="15" t="s">
        <v>328</v>
      </c>
      <c r="S816" s="15"/>
      <c r="T816" s="15"/>
      <c r="U816" s="15"/>
      <c r="V816" s="15"/>
      <c r="W816" s="15" t="s">
        <v>328</v>
      </c>
      <c r="X816" s="15"/>
      <c r="Z816" s="127">
        <v>0.2</v>
      </c>
      <c r="AA816" s="249">
        <v>6</v>
      </c>
      <c r="AB816" s="250">
        <v>12000</v>
      </c>
      <c r="AC816" s="250">
        <v>35000</v>
      </c>
      <c r="AD816" s="250">
        <v>60000</v>
      </c>
      <c r="AE816" s="250">
        <v>120000</v>
      </c>
      <c r="AF816" s="250">
        <v>35000</v>
      </c>
    </row>
    <row r="817" spans="2:32" x14ac:dyDescent="0.25">
      <c r="B817" s="63" t="s">
        <v>1578</v>
      </c>
      <c r="C817" s="15" t="s">
        <v>337</v>
      </c>
      <c r="D817" s="15">
        <v>1994</v>
      </c>
      <c r="E817" s="16">
        <v>23063</v>
      </c>
      <c r="F817" s="15">
        <v>2</v>
      </c>
      <c r="G817" s="15">
        <v>2.1</v>
      </c>
      <c r="H817" s="15" t="s">
        <v>340</v>
      </c>
      <c r="I817" s="249">
        <f t="shared" si="36"/>
        <v>1</v>
      </c>
      <c r="J817" s="143">
        <v>2600</v>
      </c>
      <c r="K817" s="249" t="s">
        <v>2379</v>
      </c>
      <c r="M817" s="249">
        <f t="shared" si="37"/>
        <v>21</v>
      </c>
      <c r="N817" s="249">
        <f t="shared" si="38"/>
        <v>20</v>
      </c>
      <c r="O817" s="15"/>
      <c r="P817" s="15"/>
      <c r="Q817" s="15" t="s">
        <v>328</v>
      </c>
      <c r="S817" s="15"/>
      <c r="T817" s="15"/>
      <c r="U817" s="15"/>
      <c r="V817" s="15"/>
      <c r="W817" s="15" t="s">
        <v>328</v>
      </c>
      <c r="X817" s="15"/>
      <c r="Z817" s="127">
        <v>0.35</v>
      </c>
      <c r="AA817" s="249">
        <v>6</v>
      </c>
      <c r="AB817" s="250">
        <v>12000</v>
      </c>
      <c r="AC817" s="250">
        <v>35000</v>
      </c>
      <c r="AD817" s="250">
        <v>60000</v>
      </c>
      <c r="AE817" s="250">
        <v>120000</v>
      </c>
      <c r="AF817" s="250">
        <v>35000</v>
      </c>
    </row>
    <row r="818" spans="2:32" x14ac:dyDescent="0.25">
      <c r="B818" s="63" t="s">
        <v>1578</v>
      </c>
      <c r="C818" s="15" t="s">
        <v>337</v>
      </c>
      <c r="D818" s="15">
        <v>1995</v>
      </c>
      <c r="E818" s="16">
        <v>1402046</v>
      </c>
      <c r="F818" s="15">
        <v>2</v>
      </c>
      <c r="G818" s="15">
        <v>2.1</v>
      </c>
      <c r="H818" s="15" t="s">
        <v>340</v>
      </c>
      <c r="I818" s="249">
        <f t="shared" si="36"/>
        <v>1</v>
      </c>
      <c r="J818" s="143">
        <v>3076</v>
      </c>
      <c r="K818" s="249" t="s">
        <v>2379</v>
      </c>
      <c r="M818" s="249">
        <f t="shared" si="37"/>
        <v>20</v>
      </c>
      <c r="N818" s="249">
        <f t="shared" si="38"/>
        <v>19</v>
      </c>
      <c r="O818" s="15"/>
      <c r="P818" s="15"/>
      <c r="Q818" s="15" t="s">
        <v>328</v>
      </c>
      <c r="S818" s="15"/>
      <c r="T818" s="15"/>
      <c r="U818" s="15"/>
      <c r="V818" s="15"/>
      <c r="W818" s="15" t="s">
        <v>328</v>
      </c>
      <c r="X818" s="15"/>
      <c r="Z818" s="127">
        <v>0.35</v>
      </c>
      <c r="AA818" s="249">
        <v>6</v>
      </c>
      <c r="AB818" s="250">
        <v>12000</v>
      </c>
      <c r="AC818" s="250">
        <v>35000</v>
      </c>
      <c r="AD818" s="250">
        <v>60000</v>
      </c>
      <c r="AE818" s="250">
        <v>120000</v>
      </c>
      <c r="AF818" s="250">
        <v>35000</v>
      </c>
    </row>
    <row r="819" spans="2:32" x14ac:dyDescent="0.25">
      <c r="B819" s="63" t="s">
        <v>1578</v>
      </c>
      <c r="C819" s="15" t="s">
        <v>337</v>
      </c>
      <c r="D819" s="15">
        <v>1991</v>
      </c>
      <c r="E819" s="16">
        <v>679130</v>
      </c>
      <c r="F819" s="15">
        <v>2</v>
      </c>
      <c r="G819" s="15">
        <v>2.1</v>
      </c>
      <c r="H819" s="15" t="s">
        <v>340</v>
      </c>
      <c r="I819" s="249">
        <f t="shared" si="36"/>
        <v>1</v>
      </c>
      <c r="J819" s="143">
        <v>2832</v>
      </c>
      <c r="K819" s="249" t="s">
        <v>2379</v>
      </c>
      <c r="M819" s="249">
        <f t="shared" si="37"/>
        <v>24</v>
      </c>
      <c r="N819" s="249">
        <f t="shared" si="38"/>
        <v>23</v>
      </c>
      <c r="O819" s="15"/>
      <c r="P819" s="15"/>
      <c r="Q819" s="15" t="s">
        <v>328</v>
      </c>
      <c r="S819" s="15"/>
      <c r="T819" s="15"/>
      <c r="U819" s="15"/>
      <c r="V819" s="15"/>
      <c r="W819" s="15" t="s">
        <v>328</v>
      </c>
      <c r="X819" s="15"/>
      <c r="Z819" s="127">
        <v>0.35</v>
      </c>
      <c r="AA819" s="249">
        <v>6</v>
      </c>
      <c r="AB819" s="250">
        <v>12000</v>
      </c>
      <c r="AC819" s="250">
        <v>35000</v>
      </c>
      <c r="AD819" s="250">
        <v>60000</v>
      </c>
      <c r="AE819" s="250">
        <v>120000</v>
      </c>
      <c r="AF819" s="250">
        <v>35000</v>
      </c>
    </row>
    <row r="820" spans="2:32" x14ac:dyDescent="0.25">
      <c r="B820" s="63" t="s">
        <v>1578</v>
      </c>
      <c r="C820" s="15" t="s">
        <v>337</v>
      </c>
      <c r="D820" s="15">
        <v>1993</v>
      </c>
      <c r="E820" s="16">
        <v>611785</v>
      </c>
      <c r="F820" s="15">
        <v>2</v>
      </c>
      <c r="G820" s="15">
        <v>2.1</v>
      </c>
      <c r="H820" s="15" t="s">
        <v>340</v>
      </c>
      <c r="I820" s="249">
        <f t="shared" si="36"/>
        <v>1</v>
      </c>
      <c r="J820" s="143">
        <v>2540</v>
      </c>
      <c r="K820" s="249" t="s">
        <v>2379</v>
      </c>
      <c r="M820" s="249">
        <f t="shared" si="37"/>
        <v>22</v>
      </c>
      <c r="N820" s="249">
        <f t="shared" si="38"/>
        <v>21</v>
      </c>
      <c r="O820" s="15"/>
      <c r="P820" s="15"/>
      <c r="Q820" s="15" t="s">
        <v>328</v>
      </c>
      <c r="S820" s="15"/>
      <c r="T820" s="15"/>
      <c r="U820" s="15"/>
      <c r="V820" s="15"/>
      <c r="W820" s="15" t="s">
        <v>328</v>
      </c>
      <c r="X820" s="15"/>
      <c r="Z820" s="127">
        <v>0.35</v>
      </c>
      <c r="AA820" s="249">
        <v>6</v>
      </c>
      <c r="AB820" s="250">
        <v>12000</v>
      </c>
      <c r="AC820" s="250">
        <v>35000</v>
      </c>
      <c r="AD820" s="250">
        <v>60000</v>
      </c>
      <c r="AE820" s="250">
        <v>120000</v>
      </c>
      <c r="AF820" s="250">
        <v>35000</v>
      </c>
    </row>
    <row r="821" spans="2:32" x14ac:dyDescent="0.25">
      <c r="B821" s="63" t="s">
        <v>1579</v>
      </c>
      <c r="C821" s="15" t="s">
        <v>337</v>
      </c>
      <c r="D821" s="15">
        <v>1990</v>
      </c>
      <c r="E821" s="16">
        <v>2070000</v>
      </c>
      <c r="F821" s="15">
        <v>1.9</v>
      </c>
      <c r="G821" s="15">
        <v>2.2999999999999998</v>
      </c>
      <c r="H821" s="15" t="s">
        <v>340</v>
      </c>
      <c r="I821" s="249">
        <f t="shared" si="36"/>
        <v>1</v>
      </c>
      <c r="J821" s="143">
        <v>7500</v>
      </c>
      <c r="K821" s="249" t="s">
        <v>2378</v>
      </c>
      <c r="M821" s="249">
        <f t="shared" si="37"/>
        <v>25</v>
      </c>
      <c r="N821" s="249">
        <f t="shared" si="38"/>
        <v>24</v>
      </c>
      <c r="O821" s="15"/>
      <c r="P821" s="15" t="s">
        <v>328</v>
      </c>
      <c r="Q821" s="15"/>
      <c r="S821" s="15"/>
      <c r="T821" s="15"/>
      <c r="U821" s="15"/>
      <c r="V821" s="15"/>
      <c r="W821" s="15" t="s">
        <v>328</v>
      </c>
      <c r="X821" s="15"/>
      <c r="Z821" s="127">
        <v>0.5</v>
      </c>
      <c r="AA821" s="249">
        <v>5</v>
      </c>
      <c r="AB821" s="250">
        <v>40000</v>
      </c>
      <c r="AC821" s="250">
        <v>90000</v>
      </c>
      <c r="AD821" s="250">
        <v>80000</v>
      </c>
      <c r="AE821" s="250">
        <v>13000</v>
      </c>
      <c r="AF821" s="250">
        <v>40000</v>
      </c>
    </row>
    <row r="822" spans="2:32" x14ac:dyDescent="0.25">
      <c r="B822" s="63" t="s">
        <v>1579</v>
      </c>
      <c r="C822" s="15" t="s">
        <v>337</v>
      </c>
      <c r="D822" s="15">
        <v>1997</v>
      </c>
      <c r="E822" s="16">
        <v>1440000</v>
      </c>
      <c r="F822" s="15">
        <v>2</v>
      </c>
      <c r="G822" s="15">
        <v>2.2000000000000002</v>
      </c>
      <c r="H822" s="15" t="s">
        <v>340</v>
      </c>
      <c r="I822" s="249">
        <f t="shared" si="36"/>
        <v>1</v>
      </c>
      <c r="J822" s="143">
        <v>7500</v>
      </c>
      <c r="K822" s="249" t="s">
        <v>2378</v>
      </c>
      <c r="M822" s="249">
        <f t="shared" si="37"/>
        <v>18</v>
      </c>
      <c r="N822" s="249">
        <f t="shared" si="38"/>
        <v>17</v>
      </c>
      <c r="O822" s="15"/>
      <c r="P822" s="15"/>
      <c r="Q822" s="15" t="s">
        <v>328</v>
      </c>
      <c r="S822" s="15"/>
      <c r="T822" s="15"/>
      <c r="U822" s="15"/>
      <c r="V822" s="15"/>
      <c r="W822" s="15" t="s">
        <v>328</v>
      </c>
      <c r="X822" s="15"/>
      <c r="Z822" s="127">
        <v>0.5</v>
      </c>
      <c r="AA822" s="249">
        <v>5</v>
      </c>
      <c r="AB822" s="250">
        <v>40000</v>
      </c>
      <c r="AC822" s="250">
        <v>90000</v>
      </c>
      <c r="AD822" s="250">
        <v>80000</v>
      </c>
      <c r="AE822" s="250">
        <v>13000</v>
      </c>
      <c r="AF822" s="250">
        <v>40000</v>
      </c>
    </row>
    <row r="823" spans="2:32" x14ac:dyDescent="0.25">
      <c r="B823" s="63" t="s">
        <v>1579</v>
      </c>
      <c r="C823" s="15" t="s">
        <v>337</v>
      </c>
      <c r="D823" s="15">
        <v>1999</v>
      </c>
      <c r="E823" s="16">
        <v>1260000</v>
      </c>
      <c r="F823" s="15">
        <v>1.9</v>
      </c>
      <c r="G823" s="15">
        <v>2.2999999999999998</v>
      </c>
      <c r="H823" s="15" t="s">
        <v>340</v>
      </c>
      <c r="I823" s="249">
        <f t="shared" si="36"/>
        <v>1</v>
      </c>
      <c r="J823" s="143">
        <v>7500</v>
      </c>
      <c r="K823" s="249" t="s">
        <v>2378</v>
      </c>
      <c r="M823" s="249">
        <f t="shared" si="37"/>
        <v>16</v>
      </c>
      <c r="N823" s="249">
        <f t="shared" si="38"/>
        <v>15</v>
      </c>
      <c r="O823" s="15"/>
      <c r="P823" s="15" t="s">
        <v>328</v>
      </c>
      <c r="Q823" s="15"/>
      <c r="S823" s="15"/>
      <c r="T823" s="15"/>
      <c r="U823" s="15"/>
      <c r="V823" s="15"/>
      <c r="W823" s="15" t="s">
        <v>328</v>
      </c>
      <c r="X823" s="15"/>
      <c r="Z823" s="127">
        <v>0.5</v>
      </c>
      <c r="AA823" s="249">
        <v>5</v>
      </c>
      <c r="AB823" s="250">
        <v>40000</v>
      </c>
      <c r="AC823" s="250">
        <v>90000</v>
      </c>
      <c r="AD823" s="250">
        <v>80000</v>
      </c>
      <c r="AE823" s="250">
        <v>13000</v>
      </c>
      <c r="AF823" s="250">
        <v>40000</v>
      </c>
    </row>
    <row r="824" spans="2:32" x14ac:dyDescent="0.25">
      <c r="B824" s="63" t="s">
        <v>1579</v>
      </c>
      <c r="C824" s="15" t="s">
        <v>337</v>
      </c>
      <c r="D824" s="15">
        <v>1985</v>
      </c>
      <c r="E824" s="16">
        <v>2520000</v>
      </c>
      <c r="F824" s="15">
        <v>2.2999999999999998</v>
      </c>
      <c r="G824" s="15">
        <v>2.5</v>
      </c>
      <c r="H824" s="15" t="s">
        <v>340</v>
      </c>
      <c r="I824" s="249">
        <f t="shared" si="36"/>
        <v>1</v>
      </c>
      <c r="J824" s="143">
        <v>7500</v>
      </c>
      <c r="K824" s="249" t="s">
        <v>2378</v>
      </c>
      <c r="M824" s="249">
        <f t="shared" si="37"/>
        <v>30</v>
      </c>
      <c r="N824" s="249">
        <f t="shared" si="38"/>
        <v>29</v>
      </c>
      <c r="O824" s="15"/>
      <c r="P824" s="15"/>
      <c r="Q824" s="15" t="s">
        <v>328</v>
      </c>
      <c r="S824" s="15" t="s">
        <v>328</v>
      </c>
      <c r="T824" s="15"/>
      <c r="U824" s="15"/>
      <c r="V824" s="15"/>
      <c r="W824" s="15"/>
      <c r="X824" s="15"/>
      <c r="Z824" s="127">
        <v>0.5</v>
      </c>
      <c r="AA824" s="249">
        <v>5</v>
      </c>
      <c r="AB824" s="250">
        <v>40000</v>
      </c>
      <c r="AC824" s="250">
        <v>90000</v>
      </c>
      <c r="AD824" s="250">
        <v>80000</v>
      </c>
      <c r="AE824" s="250">
        <v>13000</v>
      </c>
      <c r="AF824" s="250">
        <v>40000</v>
      </c>
    </row>
    <row r="825" spans="2:32" x14ac:dyDescent="0.25">
      <c r="B825" s="63" t="s">
        <v>1579</v>
      </c>
      <c r="C825" s="15" t="s">
        <v>348</v>
      </c>
      <c r="D825" s="15">
        <v>1985</v>
      </c>
      <c r="E825" s="16">
        <v>2520000</v>
      </c>
      <c r="F825" s="15">
        <v>6</v>
      </c>
      <c r="G825" s="15">
        <v>7.1</v>
      </c>
      <c r="H825" s="15" t="s">
        <v>371</v>
      </c>
      <c r="I825" s="249">
        <f t="shared" si="36"/>
        <v>1</v>
      </c>
      <c r="J825" s="143">
        <v>7500</v>
      </c>
      <c r="K825" s="249" t="s">
        <v>2378</v>
      </c>
      <c r="M825" s="249">
        <f t="shared" si="37"/>
        <v>30</v>
      </c>
      <c r="N825" s="249">
        <f t="shared" si="38"/>
        <v>29</v>
      </c>
      <c r="O825" s="15"/>
      <c r="P825" s="15"/>
      <c r="Q825" s="15" t="s">
        <v>328</v>
      </c>
      <c r="S825" s="15"/>
      <c r="T825" s="15" t="s">
        <v>328</v>
      </c>
      <c r="U825" s="15"/>
      <c r="V825" s="15"/>
      <c r="W825" s="15"/>
      <c r="X825" s="15"/>
      <c r="Z825" s="127">
        <v>0.5</v>
      </c>
      <c r="AA825" s="249">
        <v>5</v>
      </c>
      <c r="AB825" s="250">
        <v>40000</v>
      </c>
      <c r="AC825" s="250">
        <v>90000</v>
      </c>
      <c r="AD825" s="250">
        <v>80000</v>
      </c>
      <c r="AE825" s="250">
        <v>13000</v>
      </c>
      <c r="AF825" s="250" t="s">
        <v>385</v>
      </c>
    </row>
    <row r="826" spans="2:32" x14ac:dyDescent="0.25">
      <c r="B826" s="63" t="s">
        <v>1580</v>
      </c>
      <c r="C826" s="15" t="s">
        <v>337</v>
      </c>
      <c r="D826" s="15">
        <v>1992</v>
      </c>
      <c r="E826" s="16">
        <v>1512000</v>
      </c>
      <c r="F826" s="15">
        <v>2</v>
      </c>
      <c r="G826" s="15">
        <v>2.2999999999999998</v>
      </c>
      <c r="H826" s="15" t="s">
        <v>340</v>
      </c>
      <c r="I826" s="249">
        <f t="shared" si="36"/>
        <v>1</v>
      </c>
      <c r="J826" s="143">
        <v>6000</v>
      </c>
      <c r="K826" s="249" t="s">
        <v>2379</v>
      </c>
      <c r="M826" s="249">
        <f t="shared" si="37"/>
        <v>23</v>
      </c>
      <c r="N826" s="249">
        <f t="shared" si="38"/>
        <v>22</v>
      </c>
      <c r="O826" s="15"/>
      <c r="P826" s="15" t="s">
        <v>328</v>
      </c>
      <c r="Q826" s="15"/>
      <c r="S826" s="15"/>
      <c r="T826" s="15"/>
      <c r="U826" s="15"/>
      <c r="V826" s="15"/>
      <c r="W826" s="15" t="s">
        <v>328</v>
      </c>
      <c r="X826" s="15"/>
      <c r="Z826" s="127">
        <v>0.5</v>
      </c>
      <c r="AA826" s="249">
        <v>14</v>
      </c>
      <c r="AB826" s="250">
        <v>50000</v>
      </c>
      <c r="AC826" s="250">
        <v>65000</v>
      </c>
      <c r="AD826" s="250">
        <v>65000</v>
      </c>
      <c r="AE826" s="250">
        <v>125000</v>
      </c>
      <c r="AF826" s="250">
        <v>12000</v>
      </c>
    </row>
    <row r="827" spans="2:32" x14ac:dyDescent="0.25">
      <c r="B827" s="63" t="s">
        <v>1580</v>
      </c>
      <c r="C827" s="15" t="s">
        <v>337</v>
      </c>
      <c r="D827" s="15">
        <v>1991</v>
      </c>
      <c r="E827" s="16">
        <v>1584000</v>
      </c>
      <c r="F827" s="15">
        <v>2</v>
      </c>
      <c r="G827" s="15">
        <v>2.2999999999999998</v>
      </c>
      <c r="H827" s="15" t="s">
        <v>340</v>
      </c>
      <c r="I827" s="249">
        <f t="shared" si="36"/>
        <v>1</v>
      </c>
      <c r="J827" s="143">
        <v>6000</v>
      </c>
      <c r="K827" s="249" t="s">
        <v>2379</v>
      </c>
      <c r="M827" s="249">
        <f t="shared" si="37"/>
        <v>24</v>
      </c>
      <c r="N827" s="249">
        <f t="shared" si="38"/>
        <v>23</v>
      </c>
      <c r="O827" s="15"/>
      <c r="P827" s="15" t="s">
        <v>328</v>
      </c>
      <c r="Q827" s="15"/>
      <c r="S827" s="15"/>
      <c r="T827" s="15"/>
      <c r="U827" s="15"/>
      <c r="V827" s="15"/>
      <c r="W827" s="15" t="s">
        <v>328</v>
      </c>
      <c r="X827" s="15"/>
      <c r="Z827" s="127">
        <v>0.5</v>
      </c>
      <c r="AA827" s="249">
        <v>14</v>
      </c>
      <c r="AB827" s="250">
        <v>50000</v>
      </c>
      <c r="AC827" s="250">
        <v>65000</v>
      </c>
      <c r="AD827" s="250">
        <v>65000</v>
      </c>
      <c r="AE827" s="250">
        <v>125000</v>
      </c>
      <c r="AF827" s="250">
        <v>12000</v>
      </c>
    </row>
    <row r="828" spans="2:32" x14ac:dyDescent="0.25">
      <c r="B828" s="63" t="s">
        <v>1580</v>
      </c>
      <c r="C828" s="15" t="s">
        <v>337</v>
      </c>
      <c r="D828" s="15">
        <v>2000</v>
      </c>
      <c r="E828" s="16">
        <v>936000</v>
      </c>
      <c r="F828" s="15">
        <v>2</v>
      </c>
      <c r="G828" s="15">
        <v>2.2999999999999998</v>
      </c>
      <c r="H828" s="15" t="s">
        <v>340</v>
      </c>
      <c r="I828" s="249">
        <f t="shared" si="36"/>
        <v>1</v>
      </c>
      <c r="J828" s="143">
        <v>6000</v>
      </c>
      <c r="K828" s="249" t="s">
        <v>2379</v>
      </c>
      <c r="M828" s="249">
        <f t="shared" si="37"/>
        <v>15</v>
      </c>
      <c r="N828" s="249">
        <f t="shared" si="38"/>
        <v>14</v>
      </c>
      <c r="O828" s="15"/>
      <c r="P828" s="15" t="s">
        <v>328</v>
      </c>
      <c r="Q828" s="15"/>
      <c r="S828" s="15"/>
      <c r="T828" s="15"/>
      <c r="U828" s="15"/>
      <c r="V828" s="15"/>
      <c r="W828" s="15" t="s">
        <v>328</v>
      </c>
      <c r="X828" s="15"/>
      <c r="Z828" s="127">
        <v>0.5</v>
      </c>
      <c r="AA828" s="249">
        <v>14</v>
      </c>
      <c r="AB828" s="250">
        <v>50000</v>
      </c>
      <c r="AC828" s="250">
        <v>65000</v>
      </c>
      <c r="AD828" s="250">
        <v>65000</v>
      </c>
      <c r="AE828" s="250">
        <v>125000</v>
      </c>
      <c r="AF828" s="250">
        <v>12000</v>
      </c>
    </row>
    <row r="829" spans="2:32" x14ac:dyDescent="0.25">
      <c r="B829" s="63" t="s">
        <v>1580</v>
      </c>
      <c r="C829" s="15" t="s">
        <v>337</v>
      </c>
      <c r="D829" s="15">
        <v>1992</v>
      </c>
      <c r="E829" s="16">
        <v>1512000</v>
      </c>
      <c r="F829" s="15">
        <v>2</v>
      </c>
      <c r="G829" s="15">
        <v>2.2999999999999998</v>
      </c>
      <c r="H829" s="15" t="s">
        <v>340</v>
      </c>
      <c r="I829" s="249">
        <f t="shared" si="36"/>
        <v>1</v>
      </c>
      <c r="J829" s="143">
        <v>6000</v>
      </c>
      <c r="K829" s="249" t="s">
        <v>2379</v>
      </c>
      <c r="M829" s="249">
        <f t="shared" si="37"/>
        <v>23</v>
      </c>
      <c r="N829" s="249">
        <f t="shared" si="38"/>
        <v>22</v>
      </c>
      <c r="O829" s="15"/>
      <c r="P829" s="15"/>
      <c r="Q829" s="15" t="s">
        <v>328</v>
      </c>
      <c r="S829" s="15"/>
      <c r="T829" s="15"/>
      <c r="U829" s="15"/>
      <c r="V829" s="15"/>
      <c r="W829" s="15" t="s">
        <v>328</v>
      </c>
      <c r="X829" s="15"/>
      <c r="Z829" s="127">
        <v>0.5</v>
      </c>
      <c r="AA829" s="249">
        <v>14</v>
      </c>
      <c r="AB829" s="250">
        <v>50000</v>
      </c>
      <c r="AC829" s="250">
        <v>65000</v>
      </c>
      <c r="AD829" s="250">
        <v>65000</v>
      </c>
      <c r="AE829" s="250">
        <v>125000</v>
      </c>
      <c r="AF829" s="250">
        <v>12000</v>
      </c>
    </row>
    <row r="830" spans="2:32" x14ac:dyDescent="0.25">
      <c r="B830" s="63" t="s">
        <v>1580</v>
      </c>
      <c r="C830" s="15" t="s">
        <v>337</v>
      </c>
      <c r="D830" s="15">
        <v>1993</v>
      </c>
      <c r="E830" s="16">
        <v>1440000</v>
      </c>
      <c r="F830" s="15">
        <v>2</v>
      </c>
      <c r="G830" s="15">
        <v>2.2999999999999998</v>
      </c>
      <c r="H830" s="15" t="s">
        <v>340</v>
      </c>
      <c r="I830" s="249">
        <f t="shared" si="36"/>
        <v>1</v>
      </c>
      <c r="J830" s="143">
        <v>6000</v>
      </c>
      <c r="K830" s="249" t="s">
        <v>2379</v>
      </c>
      <c r="M830" s="249">
        <f t="shared" si="37"/>
        <v>22</v>
      </c>
      <c r="N830" s="249">
        <f t="shared" si="38"/>
        <v>21</v>
      </c>
      <c r="O830" s="15"/>
      <c r="P830" s="15"/>
      <c r="Q830" s="15" t="s">
        <v>328</v>
      </c>
      <c r="S830" s="15"/>
      <c r="T830" s="15" t="s">
        <v>328</v>
      </c>
      <c r="U830" s="15"/>
      <c r="V830" s="15"/>
      <c r="W830" s="15"/>
      <c r="X830" s="15"/>
      <c r="Z830" s="127">
        <v>0.5</v>
      </c>
      <c r="AA830" s="249">
        <v>14</v>
      </c>
      <c r="AB830" s="250">
        <v>50000</v>
      </c>
      <c r="AC830" s="250">
        <v>65000</v>
      </c>
      <c r="AD830" s="250">
        <v>65000</v>
      </c>
      <c r="AE830" s="250">
        <v>125000</v>
      </c>
      <c r="AF830" s="250">
        <v>12000</v>
      </c>
    </row>
    <row r="831" spans="2:32" x14ac:dyDescent="0.25">
      <c r="B831" s="63" t="s">
        <v>1580</v>
      </c>
      <c r="C831" s="15" t="s">
        <v>337</v>
      </c>
      <c r="D831" s="15">
        <v>1984</v>
      </c>
      <c r="E831" s="16">
        <v>2088000</v>
      </c>
      <c r="F831" s="15">
        <v>1.8</v>
      </c>
      <c r="G831" s="15">
        <v>2</v>
      </c>
      <c r="H831" s="15" t="s">
        <v>340</v>
      </c>
      <c r="I831" s="249">
        <f t="shared" si="36"/>
        <v>1</v>
      </c>
      <c r="J831" s="143">
        <v>6000</v>
      </c>
      <c r="K831" s="249" t="s">
        <v>2379</v>
      </c>
      <c r="M831" s="249">
        <f t="shared" si="37"/>
        <v>31</v>
      </c>
      <c r="N831" s="249">
        <f t="shared" si="38"/>
        <v>30</v>
      </c>
      <c r="O831" s="15"/>
      <c r="P831" s="15"/>
      <c r="Q831" s="15" t="s">
        <v>328</v>
      </c>
      <c r="S831" s="15" t="s">
        <v>328</v>
      </c>
      <c r="T831" s="15"/>
      <c r="U831" s="15"/>
      <c r="V831" s="15"/>
      <c r="W831" s="15"/>
      <c r="X831" s="15"/>
      <c r="Z831" s="127">
        <v>0.5</v>
      </c>
      <c r="AA831" s="249">
        <v>14</v>
      </c>
      <c r="AB831" s="250">
        <v>50000</v>
      </c>
      <c r="AC831" s="250">
        <v>65000</v>
      </c>
      <c r="AD831" s="250">
        <v>65000</v>
      </c>
      <c r="AE831" s="250">
        <v>125000</v>
      </c>
      <c r="AF831" s="250">
        <v>12000</v>
      </c>
    </row>
    <row r="832" spans="2:32" x14ac:dyDescent="0.25">
      <c r="B832" s="63" t="s">
        <v>1580</v>
      </c>
      <c r="C832" s="15" t="s">
        <v>337</v>
      </c>
      <c r="D832" s="15">
        <v>1993</v>
      </c>
      <c r="E832" s="16">
        <v>1440000</v>
      </c>
      <c r="F832" s="15">
        <v>2</v>
      </c>
      <c r="G832" s="15">
        <v>2.2999999999999998</v>
      </c>
      <c r="H832" s="15" t="s">
        <v>340</v>
      </c>
      <c r="I832" s="249">
        <f t="shared" si="36"/>
        <v>1</v>
      </c>
      <c r="J832" s="143">
        <v>6000</v>
      </c>
      <c r="K832" s="249" t="s">
        <v>2379</v>
      </c>
      <c r="M832" s="249">
        <f t="shared" si="37"/>
        <v>22</v>
      </c>
      <c r="N832" s="249">
        <f t="shared" si="38"/>
        <v>21</v>
      </c>
      <c r="O832" s="15"/>
      <c r="P832" s="15"/>
      <c r="Q832" s="15" t="s">
        <v>328</v>
      </c>
      <c r="S832" s="15"/>
      <c r="T832" s="15" t="s">
        <v>328</v>
      </c>
      <c r="U832" s="15"/>
      <c r="V832" s="15"/>
      <c r="W832" s="15"/>
      <c r="X832" s="15"/>
      <c r="Z832" s="127">
        <v>0.5</v>
      </c>
      <c r="AA832" s="249">
        <v>14</v>
      </c>
      <c r="AB832" s="250">
        <v>50000</v>
      </c>
      <c r="AC832" s="250">
        <v>65000</v>
      </c>
      <c r="AD832" s="250">
        <v>65000</v>
      </c>
      <c r="AE832" s="250">
        <v>125000</v>
      </c>
      <c r="AF832" s="250">
        <v>12000</v>
      </c>
    </row>
    <row r="833" spans="2:32" x14ac:dyDescent="0.25">
      <c r="B833" s="63" t="s">
        <v>1580</v>
      </c>
      <c r="C833" s="15" t="s">
        <v>337</v>
      </c>
      <c r="D833" s="15">
        <v>1992</v>
      </c>
      <c r="E833" s="16">
        <v>1512000</v>
      </c>
      <c r="F833" s="15">
        <v>2</v>
      </c>
      <c r="G833" s="15">
        <v>2.2999999999999998</v>
      </c>
      <c r="H833" s="15" t="s">
        <v>340</v>
      </c>
      <c r="I833" s="249">
        <f t="shared" si="36"/>
        <v>1</v>
      </c>
      <c r="J833" s="143">
        <v>6000</v>
      </c>
      <c r="K833" s="249" t="s">
        <v>2379</v>
      </c>
      <c r="M833" s="249">
        <f t="shared" si="37"/>
        <v>23</v>
      </c>
      <c r="N833" s="249">
        <f t="shared" si="38"/>
        <v>22</v>
      </c>
      <c r="O833" s="15"/>
      <c r="P833" s="15"/>
      <c r="Q833" s="15" t="s">
        <v>328</v>
      </c>
      <c r="S833" s="15"/>
      <c r="T833" s="15"/>
      <c r="U833" s="15"/>
      <c r="V833" s="15"/>
      <c r="W833" s="15" t="s">
        <v>328</v>
      </c>
      <c r="X833" s="15"/>
      <c r="Z833" s="127">
        <v>0.5</v>
      </c>
      <c r="AA833" s="249">
        <v>14</v>
      </c>
      <c r="AB833" s="250">
        <v>50000</v>
      </c>
      <c r="AC833" s="250">
        <v>65000</v>
      </c>
      <c r="AD833" s="250">
        <v>65000</v>
      </c>
      <c r="AE833" s="250">
        <v>125000</v>
      </c>
      <c r="AF833" s="250">
        <v>12000</v>
      </c>
    </row>
    <row r="834" spans="2:32" x14ac:dyDescent="0.25">
      <c r="B834" s="63" t="s">
        <v>1580</v>
      </c>
      <c r="C834" s="15" t="s">
        <v>337</v>
      </c>
      <c r="D834" s="15">
        <v>1992</v>
      </c>
      <c r="E834" s="16">
        <v>1512000</v>
      </c>
      <c r="F834" s="15">
        <v>2</v>
      </c>
      <c r="G834" s="15">
        <v>2.2999999999999998</v>
      </c>
      <c r="H834" s="15" t="s">
        <v>340</v>
      </c>
      <c r="I834" s="249">
        <f t="shared" si="36"/>
        <v>1</v>
      </c>
      <c r="J834" s="143">
        <v>6000</v>
      </c>
      <c r="K834" s="249" t="s">
        <v>2379</v>
      </c>
      <c r="M834" s="249">
        <f t="shared" si="37"/>
        <v>23</v>
      </c>
      <c r="N834" s="249">
        <f t="shared" si="38"/>
        <v>22</v>
      </c>
      <c r="O834" s="15"/>
      <c r="P834" s="15"/>
      <c r="Q834" s="15" t="s">
        <v>328</v>
      </c>
      <c r="S834" s="15"/>
      <c r="T834" s="15"/>
      <c r="U834" s="15"/>
      <c r="V834" s="15"/>
      <c r="W834" s="15" t="s">
        <v>328</v>
      </c>
      <c r="X834" s="15"/>
      <c r="Z834" s="127">
        <v>0.5</v>
      </c>
      <c r="AA834" s="249">
        <v>14</v>
      </c>
      <c r="AB834" s="250">
        <v>50000</v>
      </c>
      <c r="AC834" s="250">
        <v>65000</v>
      </c>
      <c r="AD834" s="250">
        <v>65000</v>
      </c>
      <c r="AE834" s="250">
        <v>125000</v>
      </c>
      <c r="AF834" s="250">
        <v>12000</v>
      </c>
    </row>
    <row r="835" spans="2:32" x14ac:dyDescent="0.25">
      <c r="B835" s="63" t="s">
        <v>1580</v>
      </c>
      <c r="C835" s="15" t="s">
        <v>337</v>
      </c>
      <c r="D835" s="15">
        <v>1992</v>
      </c>
      <c r="E835" s="16">
        <v>1512000</v>
      </c>
      <c r="F835" s="15">
        <v>2</v>
      </c>
      <c r="G835" s="15">
        <v>2.2999999999999998</v>
      </c>
      <c r="H835" s="15" t="s">
        <v>340</v>
      </c>
      <c r="I835" s="249">
        <f t="shared" si="36"/>
        <v>1</v>
      </c>
      <c r="J835" s="143">
        <v>6000</v>
      </c>
      <c r="K835" s="249" t="s">
        <v>2379</v>
      </c>
      <c r="M835" s="249">
        <f t="shared" si="37"/>
        <v>23</v>
      </c>
      <c r="N835" s="249">
        <f t="shared" si="38"/>
        <v>22</v>
      </c>
      <c r="O835" s="15"/>
      <c r="P835" s="15"/>
      <c r="Q835" s="15" t="s">
        <v>328</v>
      </c>
      <c r="S835" s="15"/>
      <c r="T835" s="15"/>
      <c r="U835" s="15"/>
      <c r="V835" s="15"/>
      <c r="W835" s="15" t="s">
        <v>328</v>
      </c>
      <c r="X835" s="15"/>
      <c r="Z835" s="127">
        <v>0.5</v>
      </c>
      <c r="AA835" s="249">
        <v>14</v>
      </c>
      <c r="AB835" s="250">
        <v>50000</v>
      </c>
      <c r="AC835" s="250">
        <v>65000</v>
      </c>
      <c r="AD835" s="250">
        <v>65000</v>
      </c>
      <c r="AE835" s="250">
        <v>125000</v>
      </c>
      <c r="AF835" s="250">
        <v>12000</v>
      </c>
    </row>
    <row r="836" spans="2:32" x14ac:dyDescent="0.25">
      <c r="B836" s="63" t="s">
        <v>1580</v>
      </c>
      <c r="C836" s="15" t="s">
        <v>337</v>
      </c>
      <c r="D836" s="15">
        <v>1993</v>
      </c>
      <c r="E836" s="16">
        <v>1440000</v>
      </c>
      <c r="F836" s="15">
        <v>2</v>
      </c>
      <c r="G836" s="15">
        <v>2.2999999999999998</v>
      </c>
      <c r="H836" s="15" t="s">
        <v>340</v>
      </c>
      <c r="I836" s="249">
        <f t="shared" si="36"/>
        <v>1</v>
      </c>
      <c r="J836" s="143">
        <v>6000</v>
      </c>
      <c r="K836" s="249" t="s">
        <v>2379</v>
      </c>
      <c r="M836" s="249">
        <f t="shared" si="37"/>
        <v>22</v>
      </c>
      <c r="N836" s="249">
        <f t="shared" si="38"/>
        <v>21</v>
      </c>
      <c r="O836" s="15"/>
      <c r="P836" s="15"/>
      <c r="Q836" s="15" t="s">
        <v>328</v>
      </c>
      <c r="S836" s="15"/>
      <c r="T836" s="15" t="s">
        <v>328</v>
      </c>
      <c r="U836" s="15"/>
      <c r="V836" s="15"/>
      <c r="W836" s="15"/>
      <c r="X836" s="15"/>
      <c r="Z836" s="127">
        <v>0.5</v>
      </c>
      <c r="AA836" s="249">
        <v>14</v>
      </c>
      <c r="AB836" s="250">
        <v>50000</v>
      </c>
      <c r="AC836" s="250">
        <v>65000</v>
      </c>
      <c r="AD836" s="250">
        <v>65000</v>
      </c>
      <c r="AE836" s="250">
        <v>125000</v>
      </c>
      <c r="AF836" s="250">
        <v>12000</v>
      </c>
    </row>
    <row r="837" spans="2:32" x14ac:dyDescent="0.25">
      <c r="B837" s="63" t="s">
        <v>1580</v>
      </c>
      <c r="C837" s="15" t="s">
        <v>337</v>
      </c>
      <c r="D837" s="15">
        <v>1995</v>
      </c>
      <c r="E837" s="16">
        <v>1296000</v>
      </c>
      <c r="F837" s="15">
        <v>2</v>
      </c>
      <c r="G837" s="15">
        <v>2.2999999999999998</v>
      </c>
      <c r="H837" s="15" t="s">
        <v>340</v>
      </c>
      <c r="I837" s="249">
        <f t="shared" si="36"/>
        <v>1</v>
      </c>
      <c r="J837" s="143">
        <v>6000</v>
      </c>
      <c r="K837" s="249" t="s">
        <v>2379</v>
      </c>
      <c r="M837" s="249">
        <f t="shared" si="37"/>
        <v>20</v>
      </c>
      <c r="N837" s="249">
        <f t="shared" si="38"/>
        <v>19</v>
      </c>
      <c r="O837" s="15"/>
      <c r="P837" s="15"/>
      <c r="Q837" s="15" t="s">
        <v>328</v>
      </c>
      <c r="S837" s="15"/>
      <c r="T837" s="15"/>
      <c r="U837" s="15"/>
      <c r="V837" s="15"/>
      <c r="W837" s="15" t="s">
        <v>328</v>
      </c>
      <c r="X837" s="15"/>
      <c r="Z837" s="127">
        <v>0.5</v>
      </c>
      <c r="AA837" s="249">
        <v>14</v>
      </c>
      <c r="AB837" s="250">
        <v>50000</v>
      </c>
      <c r="AC837" s="250">
        <v>65000</v>
      </c>
      <c r="AD837" s="250">
        <v>65000</v>
      </c>
      <c r="AE837" s="250">
        <v>125000</v>
      </c>
      <c r="AF837" s="250">
        <v>12000</v>
      </c>
    </row>
    <row r="838" spans="2:32" x14ac:dyDescent="0.25">
      <c r="B838" s="63" t="s">
        <v>1580</v>
      </c>
      <c r="C838" s="15" t="s">
        <v>337</v>
      </c>
      <c r="D838" s="15">
        <v>1995</v>
      </c>
      <c r="E838" s="16">
        <v>1296000</v>
      </c>
      <c r="F838" s="15">
        <v>2</v>
      </c>
      <c r="G838" s="15">
        <v>2.2999999999999998</v>
      </c>
      <c r="H838" s="15" t="s">
        <v>340</v>
      </c>
      <c r="I838" s="249">
        <f t="shared" ref="I838:I901" si="39">IF(F838&gt;G838,0,1)</f>
        <v>1</v>
      </c>
      <c r="J838" s="143">
        <v>6000</v>
      </c>
      <c r="K838" s="249" t="s">
        <v>2379</v>
      </c>
      <c r="M838" s="249">
        <f t="shared" ref="M838:M901" si="40">2015-D838</f>
        <v>20</v>
      </c>
      <c r="N838" s="249">
        <f t="shared" ref="N838:N901" si="41">2014-$D838</f>
        <v>19</v>
      </c>
      <c r="O838" s="15"/>
      <c r="P838" s="15"/>
      <c r="Q838" s="15" t="s">
        <v>328</v>
      </c>
      <c r="S838" s="15"/>
      <c r="T838" s="15"/>
      <c r="U838" s="15"/>
      <c r="V838" s="15"/>
      <c r="W838" s="15" t="s">
        <v>328</v>
      </c>
      <c r="X838" s="15"/>
      <c r="Z838" s="127">
        <v>0.5</v>
      </c>
      <c r="AA838" s="249">
        <v>14</v>
      </c>
      <c r="AB838" s="250">
        <v>50000</v>
      </c>
      <c r="AC838" s="250">
        <v>65000</v>
      </c>
      <c r="AD838" s="250">
        <v>65000</v>
      </c>
      <c r="AE838" s="250">
        <v>125000</v>
      </c>
      <c r="AF838" s="250">
        <v>12000</v>
      </c>
    </row>
    <row r="839" spans="2:32" x14ac:dyDescent="0.25">
      <c r="B839" s="63" t="s">
        <v>1580</v>
      </c>
      <c r="C839" s="15" t="s">
        <v>337</v>
      </c>
      <c r="D839" s="15">
        <v>1991</v>
      </c>
      <c r="E839" s="16">
        <v>1584000</v>
      </c>
      <c r="F839" s="15">
        <v>2</v>
      </c>
      <c r="G839" s="15">
        <v>2.2999999999999998</v>
      </c>
      <c r="H839" s="15" t="s">
        <v>340</v>
      </c>
      <c r="I839" s="249">
        <f t="shared" si="39"/>
        <v>1</v>
      </c>
      <c r="J839" s="143">
        <v>6000</v>
      </c>
      <c r="K839" s="249" t="s">
        <v>2379</v>
      </c>
      <c r="M839" s="249">
        <f t="shared" si="40"/>
        <v>24</v>
      </c>
      <c r="N839" s="249">
        <f t="shared" si="41"/>
        <v>23</v>
      </c>
      <c r="O839" s="15"/>
      <c r="P839" s="15"/>
      <c r="Q839" s="15" t="s">
        <v>328</v>
      </c>
      <c r="S839" s="15"/>
      <c r="T839" s="15"/>
      <c r="U839" s="15"/>
      <c r="V839" s="15"/>
      <c r="W839" s="15" t="s">
        <v>328</v>
      </c>
      <c r="X839" s="15"/>
      <c r="Z839" s="127">
        <v>0.5</v>
      </c>
      <c r="AA839" s="249">
        <v>14</v>
      </c>
      <c r="AB839" s="250">
        <v>50000</v>
      </c>
      <c r="AC839" s="250">
        <v>65000</v>
      </c>
      <c r="AD839" s="250">
        <v>65000</v>
      </c>
      <c r="AE839" s="250">
        <v>125000</v>
      </c>
      <c r="AF839" s="250">
        <v>12000</v>
      </c>
    </row>
    <row r="840" spans="2:32" x14ac:dyDescent="0.25">
      <c r="B840" s="63" t="s">
        <v>1581</v>
      </c>
      <c r="C840" s="14" t="s">
        <v>351</v>
      </c>
      <c r="D840" s="15">
        <v>1980</v>
      </c>
      <c r="E840" s="16">
        <v>1584000</v>
      </c>
      <c r="F840" s="15">
        <v>1.5</v>
      </c>
      <c r="G840" s="15">
        <v>2.5</v>
      </c>
      <c r="H840" s="15" t="s">
        <v>340</v>
      </c>
      <c r="I840" s="249">
        <f t="shared" si="39"/>
        <v>1</v>
      </c>
      <c r="J840" s="143">
        <v>4000</v>
      </c>
      <c r="K840" s="249" t="s">
        <v>2378</v>
      </c>
      <c r="M840" s="249">
        <f t="shared" si="40"/>
        <v>35</v>
      </c>
      <c r="N840" s="249">
        <f t="shared" si="41"/>
        <v>34</v>
      </c>
      <c r="O840" s="15" t="s">
        <v>328</v>
      </c>
      <c r="P840" s="15"/>
      <c r="Q840" s="15"/>
      <c r="S840" s="15" t="s">
        <v>328</v>
      </c>
      <c r="T840" s="15"/>
      <c r="U840" s="15"/>
      <c r="V840" s="15"/>
      <c r="W840" s="15"/>
      <c r="X840" s="15"/>
      <c r="Z840" s="127">
        <v>0.5</v>
      </c>
      <c r="AA840" s="249">
        <v>4</v>
      </c>
      <c r="AB840" s="250">
        <v>30000</v>
      </c>
      <c r="AC840" s="250">
        <v>70000</v>
      </c>
      <c r="AD840" s="250">
        <v>150000</v>
      </c>
      <c r="AE840" s="250">
        <v>180000</v>
      </c>
      <c r="AF840" s="250">
        <v>70000</v>
      </c>
    </row>
    <row r="841" spans="2:32" x14ac:dyDescent="0.25">
      <c r="B841" s="63" t="s">
        <v>1581</v>
      </c>
      <c r="C841" s="14" t="s">
        <v>351</v>
      </c>
      <c r="D841" s="15">
        <v>1994</v>
      </c>
      <c r="E841" s="16">
        <v>456000</v>
      </c>
      <c r="F841" s="15">
        <v>1.5</v>
      </c>
      <c r="G841" s="15">
        <v>2.5</v>
      </c>
      <c r="H841" s="15" t="s">
        <v>340</v>
      </c>
      <c r="I841" s="249">
        <f t="shared" si="39"/>
        <v>1</v>
      </c>
      <c r="J841" s="143">
        <v>2000</v>
      </c>
      <c r="K841" s="249" t="s">
        <v>2378</v>
      </c>
      <c r="M841" s="249">
        <f t="shared" si="40"/>
        <v>21</v>
      </c>
      <c r="N841" s="249">
        <f t="shared" si="41"/>
        <v>20</v>
      </c>
      <c r="O841" s="15"/>
      <c r="P841" s="15"/>
      <c r="Q841" s="15" t="s">
        <v>328</v>
      </c>
      <c r="S841" s="15"/>
      <c r="T841" s="15"/>
      <c r="U841" s="15"/>
      <c r="V841" s="15"/>
      <c r="W841" s="15" t="s">
        <v>328</v>
      </c>
      <c r="X841" s="15"/>
      <c r="Z841" s="127">
        <v>0.5</v>
      </c>
      <c r="AA841" s="249">
        <v>4</v>
      </c>
      <c r="AB841" s="250">
        <v>30000</v>
      </c>
      <c r="AC841" s="250">
        <v>70000</v>
      </c>
      <c r="AD841" s="250">
        <v>150000</v>
      </c>
      <c r="AE841" s="250">
        <v>180000</v>
      </c>
      <c r="AF841" s="250">
        <v>70000</v>
      </c>
    </row>
    <row r="842" spans="2:32" x14ac:dyDescent="0.25">
      <c r="B842" s="63" t="s">
        <v>1581</v>
      </c>
      <c r="C842" s="14" t="s">
        <v>351</v>
      </c>
      <c r="D842" s="15">
        <v>1994</v>
      </c>
      <c r="E842" s="16">
        <v>912000</v>
      </c>
      <c r="F842" s="15">
        <v>1.5</v>
      </c>
      <c r="G842" s="15">
        <v>2.5</v>
      </c>
      <c r="H842" s="15" t="s">
        <v>340</v>
      </c>
      <c r="I842" s="249">
        <f t="shared" si="39"/>
        <v>1</v>
      </c>
      <c r="J842" s="143">
        <v>4000</v>
      </c>
      <c r="K842" s="249" t="s">
        <v>2378</v>
      </c>
      <c r="M842" s="249">
        <f t="shared" si="40"/>
        <v>21</v>
      </c>
      <c r="N842" s="249">
        <f t="shared" si="41"/>
        <v>20</v>
      </c>
      <c r="O842" s="15"/>
      <c r="P842" s="15"/>
      <c r="Q842" s="15" t="s">
        <v>328</v>
      </c>
      <c r="S842" s="15"/>
      <c r="T842" s="15"/>
      <c r="U842" s="15"/>
      <c r="V842" s="15"/>
      <c r="W842" s="15" t="s">
        <v>328</v>
      </c>
      <c r="X842" s="15"/>
      <c r="Z842" s="127">
        <v>0.5</v>
      </c>
      <c r="AA842" s="249">
        <v>4</v>
      </c>
      <c r="AB842" s="250">
        <v>30000</v>
      </c>
      <c r="AC842" s="250">
        <v>70000</v>
      </c>
      <c r="AD842" s="250">
        <v>150000</v>
      </c>
      <c r="AE842" s="250">
        <v>180000</v>
      </c>
      <c r="AF842" s="250">
        <v>70000</v>
      </c>
    </row>
    <row r="843" spans="2:32" x14ac:dyDescent="0.25">
      <c r="B843" s="63" t="s">
        <v>1581</v>
      </c>
      <c r="C843" s="14" t="s">
        <v>351</v>
      </c>
      <c r="D843" s="15">
        <v>1980</v>
      </c>
      <c r="E843" s="16">
        <v>792000</v>
      </c>
      <c r="F843" s="15">
        <v>1.5</v>
      </c>
      <c r="G843" s="15">
        <v>2.5</v>
      </c>
      <c r="H843" s="15" t="s">
        <v>340</v>
      </c>
      <c r="I843" s="249">
        <f t="shared" si="39"/>
        <v>1</v>
      </c>
      <c r="J843" s="143">
        <v>2000</v>
      </c>
      <c r="K843" s="249" t="s">
        <v>2378</v>
      </c>
      <c r="M843" s="249">
        <f t="shared" si="40"/>
        <v>35</v>
      </c>
      <c r="N843" s="249">
        <f t="shared" si="41"/>
        <v>34</v>
      </c>
      <c r="O843" s="15"/>
      <c r="P843" s="15"/>
      <c r="Q843" s="15" t="s">
        <v>328</v>
      </c>
      <c r="S843" s="15"/>
      <c r="T843" s="15"/>
      <c r="U843" s="15"/>
      <c r="V843" s="15"/>
      <c r="W843" s="15"/>
      <c r="X843" s="15" t="s">
        <v>328</v>
      </c>
      <c r="Z843" s="127">
        <v>0.5</v>
      </c>
      <c r="AA843" s="249">
        <v>4</v>
      </c>
      <c r="AB843" s="250">
        <v>30000</v>
      </c>
      <c r="AC843" s="250">
        <v>70000</v>
      </c>
      <c r="AD843" s="250">
        <v>150000</v>
      </c>
      <c r="AE843" s="250">
        <v>180000</v>
      </c>
      <c r="AF843" s="250">
        <v>70000</v>
      </c>
    </row>
    <row r="844" spans="2:32" x14ac:dyDescent="0.25">
      <c r="B844" s="65" t="s">
        <v>1582</v>
      </c>
      <c r="C844" s="14" t="s">
        <v>351</v>
      </c>
      <c r="D844" s="15">
        <v>1980</v>
      </c>
      <c r="E844" s="16">
        <v>2772000</v>
      </c>
      <c r="F844" s="15">
        <v>1.5</v>
      </c>
      <c r="G844" s="15">
        <v>2.5</v>
      </c>
      <c r="H844" s="15" t="s">
        <v>340</v>
      </c>
      <c r="I844" s="249">
        <f t="shared" si="39"/>
        <v>1</v>
      </c>
      <c r="J844" s="143">
        <v>7000</v>
      </c>
      <c r="K844" s="249" t="s">
        <v>2378</v>
      </c>
      <c r="M844" s="249">
        <f t="shared" si="40"/>
        <v>35</v>
      </c>
      <c r="N844" s="249">
        <f t="shared" si="41"/>
        <v>34</v>
      </c>
      <c r="O844" s="15"/>
      <c r="P844" s="15"/>
      <c r="Q844" s="15" t="s">
        <v>328</v>
      </c>
      <c r="S844" s="15"/>
      <c r="T844" s="15"/>
      <c r="U844" s="15"/>
      <c r="V844" s="15"/>
      <c r="W844" s="15"/>
      <c r="X844" s="15" t="s">
        <v>328</v>
      </c>
      <c r="Z844" s="127">
        <v>0.5</v>
      </c>
      <c r="AA844" s="249">
        <v>1</v>
      </c>
      <c r="AB844" s="250">
        <v>25000</v>
      </c>
      <c r="AC844" s="250">
        <v>60000</v>
      </c>
      <c r="AD844" s="250">
        <v>60000</v>
      </c>
      <c r="AE844" s="250">
        <v>120000</v>
      </c>
      <c r="AF844" s="250">
        <v>25000</v>
      </c>
    </row>
    <row r="845" spans="2:32" x14ac:dyDescent="0.25">
      <c r="B845" s="63" t="s">
        <v>1583</v>
      </c>
      <c r="C845" s="14" t="s">
        <v>351</v>
      </c>
      <c r="D845" s="15">
        <v>1994</v>
      </c>
      <c r="E845" s="16">
        <v>1392000</v>
      </c>
      <c r="F845" s="15">
        <v>1.5</v>
      </c>
      <c r="G845" s="15">
        <v>2.5</v>
      </c>
      <c r="H845" s="15" t="s">
        <v>340</v>
      </c>
      <c r="I845" s="249">
        <f t="shared" si="39"/>
        <v>1</v>
      </c>
      <c r="J845" s="143">
        <v>4000</v>
      </c>
      <c r="K845" s="249" t="s">
        <v>2378</v>
      </c>
      <c r="M845" s="249">
        <f t="shared" si="40"/>
        <v>21</v>
      </c>
      <c r="N845" s="249">
        <f t="shared" si="41"/>
        <v>20</v>
      </c>
      <c r="O845" s="15" t="s">
        <v>328</v>
      </c>
      <c r="P845" s="15"/>
      <c r="Q845" s="15"/>
      <c r="S845" s="15" t="s">
        <v>328</v>
      </c>
      <c r="T845" s="15"/>
      <c r="U845" s="15"/>
      <c r="V845" s="15"/>
      <c r="W845" s="15"/>
      <c r="X845" s="15"/>
      <c r="Z845" s="127">
        <v>0.5</v>
      </c>
      <c r="AA845" s="249">
        <v>3</v>
      </c>
      <c r="AB845" s="250">
        <v>12000</v>
      </c>
      <c r="AC845" s="250">
        <v>40000</v>
      </c>
      <c r="AD845" s="250">
        <v>60000</v>
      </c>
      <c r="AE845" s="250">
        <v>125000</v>
      </c>
      <c r="AF845" s="250">
        <v>40000</v>
      </c>
    </row>
    <row r="846" spans="2:32" x14ac:dyDescent="0.25">
      <c r="B846" s="63" t="s">
        <v>1583</v>
      </c>
      <c r="C846" s="14" t="s">
        <v>351</v>
      </c>
      <c r="D846" s="15">
        <v>1980</v>
      </c>
      <c r="E846" s="16">
        <v>1584000</v>
      </c>
      <c r="F846" s="15">
        <v>1.5</v>
      </c>
      <c r="G846" s="15">
        <v>2.5</v>
      </c>
      <c r="H846" s="15" t="s">
        <v>340</v>
      </c>
      <c r="I846" s="249">
        <f t="shared" si="39"/>
        <v>1</v>
      </c>
      <c r="J846" s="143">
        <v>4000</v>
      </c>
      <c r="K846" s="249" t="s">
        <v>2378</v>
      </c>
      <c r="M846" s="249">
        <f t="shared" si="40"/>
        <v>35</v>
      </c>
      <c r="N846" s="249">
        <f t="shared" si="41"/>
        <v>34</v>
      </c>
      <c r="O846" s="15"/>
      <c r="P846" s="15"/>
      <c r="Q846" s="15" t="s">
        <v>328</v>
      </c>
      <c r="S846" s="15"/>
      <c r="T846" s="15"/>
      <c r="U846" s="15"/>
      <c r="V846" s="15"/>
      <c r="W846" s="15"/>
      <c r="X846" s="15" t="s">
        <v>328</v>
      </c>
      <c r="Z846" s="127">
        <v>0.5</v>
      </c>
      <c r="AA846" s="249">
        <v>3</v>
      </c>
      <c r="AB846" s="250">
        <v>12000</v>
      </c>
      <c r="AC846" s="250">
        <v>40000</v>
      </c>
      <c r="AD846" s="250">
        <v>60000</v>
      </c>
      <c r="AE846" s="250">
        <v>125000</v>
      </c>
      <c r="AF846" s="250">
        <v>40000</v>
      </c>
    </row>
    <row r="847" spans="2:32" x14ac:dyDescent="0.25">
      <c r="B847" s="63" t="s">
        <v>1583</v>
      </c>
      <c r="C847" s="14" t="s">
        <v>351</v>
      </c>
      <c r="D847" s="15">
        <v>1991</v>
      </c>
      <c r="E847" s="16">
        <v>1056000</v>
      </c>
      <c r="F847" s="15">
        <v>1.5</v>
      </c>
      <c r="G847" s="15">
        <v>2.5</v>
      </c>
      <c r="H847" s="15" t="s">
        <v>340</v>
      </c>
      <c r="I847" s="249">
        <f t="shared" si="39"/>
        <v>1</v>
      </c>
      <c r="J847" s="143">
        <v>4000</v>
      </c>
      <c r="K847" s="249" t="s">
        <v>2378</v>
      </c>
      <c r="M847" s="249">
        <f t="shared" si="40"/>
        <v>24</v>
      </c>
      <c r="N847" s="249">
        <f t="shared" si="41"/>
        <v>23</v>
      </c>
      <c r="O847" s="15"/>
      <c r="P847" s="15"/>
      <c r="Q847" s="15" t="s">
        <v>328</v>
      </c>
      <c r="S847" s="15"/>
      <c r="T847" s="15"/>
      <c r="U847" s="15"/>
      <c r="V847" s="15"/>
      <c r="W847" s="15" t="s">
        <v>328</v>
      </c>
      <c r="X847" s="15"/>
      <c r="Z847" s="127">
        <v>0.5</v>
      </c>
      <c r="AA847" s="249">
        <v>3</v>
      </c>
      <c r="AB847" s="250">
        <v>12000</v>
      </c>
      <c r="AC847" s="250">
        <v>40000</v>
      </c>
      <c r="AD847" s="250">
        <v>60000</v>
      </c>
      <c r="AE847" s="250">
        <v>125000</v>
      </c>
      <c r="AF847" s="250">
        <v>40000</v>
      </c>
    </row>
    <row r="848" spans="2:32" x14ac:dyDescent="0.25">
      <c r="B848" s="63" t="s">
        <v>1584</v>
      </c>
      <c r="C848" s="14" t="s">
        <v>351</v>
      </c>
      <c r="D848" s="15">
        <v>1994</v>
      </c>
      <c r="E848" s="16">
        <v>912000</v>
      </c>
      <c r="F848" s="15">
        <v>1.5</v>
      </c>
      <c r="G848" s="15">
        <v>2.5</v>
      </c>
      <c r="H848" s="15" t="s">
        <v>340</v>
      </c>
      <c r="I848" s="249">
        <f t="shared" si="39"/>
        <v>1</v>
      </c>
      <c r="J848" s="143">
        <v>4000</v>
      </c>
      <c r="K848" s="249" t="s">
        <v>2378</v>
      </c>
      <c r="M848" s="249">
        <f t="shared" si="40"/>
        <v>21</v>
      </c>
      <c r="N848" s="249">
        <f t="shared" si="41"/>
        <v>20</v>
      </c>
      <c r="O848" s="15"/>
      <c r="P848" s="15"/>
      <c r="Q848" s="15" t="s">
        <v>328</v>
      </c>
      <c r="S848" s="15" t="s">
        <v>328</v>
      </c>
      <c r="T848" s="15"/>
      <c r="U848" s="15"/>
      <c r="V848" s="15"/>
      <c r="W848" s="15"/>
      <c r="X848" s="15"/>
      <c r="Z848" s="127">
        <v>0.5</v>
      </c>
      <c r="AA848" s="249">
        <v>3</v>
      </c>
      <c r="AB848" s="250">
        <v>15000</v>
      </c>
      <c r="AC848" s="250">
        <v>60000</v>
      </c>
      <c r="AD848" s="250">
        <v>80000</v>
      </c>
      <c r="AE848" s="250">
        <v>100000</v>
      </c>
      <c r="AF848" s="250">
        <v>15000</v>
      </c>
    </row>
    <row r="849" spans="2:32" x14ac:dyDescent="0.25">
      <c r="B849" s="63" t="s">
        <v>1584</v>
      </c>
      <c r="C849" s="14" t="s">
        <v>351</v>
      </c>
      <c r="D849" s="15">
        <v>1996</v>
      </c>
      <c r="E849" s="16">
        <v>816000</v>
      </c>
      <c r="F849" s="15">
        <v>1.5</v>
      </c>
      <c r="G849" s="15">
        <v>2.5</v>
      </c>
      <c r="H849" s="15" t="s">
        <v>340</v>
      </c>
      <c r="I849" s="249">
        <f t="shared" si="39"/>
        <v>1</v>
      </c>
      <c r="J849" s="143">
        <v>4000</v>
      </c>
      <c r="K849" s="249" t="s">
        <v>2378</v>
      </c>
      <c r="M849" s="249">
        <f t="shared" si="40"/>
        <v>19</v>
      </c>
      <c r="N849" s="249">
        <f t="shared" si="41"/>
        <v>18</v>
      </c>
      <c r="O849" s="15"/>
      <c r="P849" s="15"/>
      <c r="Q849" s="15" t="s">
        <v>328</v>
      </c>
      <c r="S849" s="15"/>
      <c r="T849" s="15"/>
      <c r="U849" s="15"/>
      <c r="V849" s="15"/>
      <c r="W849" s="15"/>
      <c r="X849" s="15" t="s">
        <v>328</v>
      </c>
      <c r="Z849" s="127">
        <v>0.5</v>
      </c>
      <c r="AA849" s="249">
        <v>3</v>
      </c>
      <c r="AB849" s="250">
        <v>15000</v>
      </c>
      <c r="AC849" s="250">
        <v>60000</v>
      </c>
      <c r="AD849" s="250">
        <v>80000</v>
      </c>
      <c r="AE849" s="250">
        <v>100000</v>
      </c>
      <c r="AF849" s="250">
        <v>15000</v>
      </c>
    </row>
    <row r="850" spans="2:32" x14ac:dyDescent="0.25">
      <c r="B850" s="63" t="s">
        <v>1584</v>
      </c>
      <c r="C850" s="14" t="s">
        <v>351</v>
      </c>
      <c r="D850" s="15">
        <v>1998</v>
      </c>
      <c r="E850" s="16">
        <v>720000</v>
      </c>
      <c r="F850" s="15">
        <v>1.5</v>
      </c>
      <c r="G850" s="15">
        <v>2.5</v>
      </c>
      <c r="H850" s="15" t="s">
        <v>340</v>
      </c>
      <c r="I850" s="249">
        <f t="shared" si="39"/>
        <v>1</v>
      </c>
      <c r="J850" s="143">
        <v>2000</v>
      </c>
      <c r="K850" s="249" t="s">
        <v>2378</v>
      </c>
      <c r="M850" s="249">
        <f t="shared" si="40"/>
        <v>17</v>
      </c>
      <c r="N850" s="249">
        <f t="shared" si="41"/>
        <v>16</v>
      </c>
      <c r="O850" s="15" t="s">
        <v>328</v>
      </c>
      <c r="P850" s="15"/>
      <c r="Q850" s="15"/>
      <c r="S850" s="15"/>
      <c r="T850" s="15"/>
      <c r="U850" s="15"/>
      <c r="V850" s="15"/>
      <c r="W850" s="15"/>
      <c r="X850" s="15" t="s">
        <v>328</v>
      </c>
      <c r="Z850" s="127">
        <v>0.5</v>
      </c>
      <c r="AA850" s="249">
        <v>3</v>
      </c>
      <c r="AB850" s="250">
        <v>15000</v>
      </c>
      <c r="AC850" s="250">
        <v>60000</v>
      </c>
      <c r="AD850" s="250">
        <v>80000</v>
      </c>
      <c r="AE850" s="250">
        <v>100000</v>
      </c>
      <c r="AF850" s="250">
        <v>15000</v>
      </c>
    </row>
    <row r="851" spans="2:32" x14ac:dyDescent="0.25">
      <c r="B851" s="63" t="s">
        <v>1585</v>
      </c>
      <c r="C851" s="14" t="s">
        <v>351</v>
      </c>
      <c r="D851" s="15">
        <v>1994</v>
      </c>
      <c r="E851" s="16">
        <v>720000</v>
      </c>
      <c r="F851" s="15">
        <v>2</v>
      </c>
      <c r="G851" s="15">
        <v>2.5</v>
      </c>
      <c r="H851" s="15" t="s">
        <v>340</v>
      </c>
      <c r="I851" s="249">
        <f t="shared" si="39"/>
        <v>1</v>
      </c>
      <c r="J851" s="143">
        <v>4000</v>
      </c>
      <c r="K851" s="249" t="s">
        <v>2378</v>
      </c>
      <c r="M851" s="249">
        <f t="shared" si="40"/>
        <v>21</v>
      </c>
      <c r="N851" s="249">
        <f t="shared" si="41"/>
        <v>20</v>
      </c>
      <c r="O851" s="15"/>
      <c r="P851" s="15"/>
      <c r="Q851" s="15" t="s">
        <v>328</v>
      </c>
      <c r="S851" s="15"/>
      <c r="T851" s="15"/>
      <c r="U851" s="15"/>
      <c r="V851" s="15"/>
      <c r="W851" s="15" t="s">
        <v>328</v>
      </c>
      <c r="X851" s="15"/>
      <c r="Z851" s="127">
        <v>0.3</v>
      </c>
      <c r="AA851" s="249">
        <v>3</v>
      </c>
      <c r="AB851" s="250">
        <v>25000</v>
      </c>
      <c r="AC851" s="250">
        <v>80000</v>
      </c>
      <c r="AD851" s="250">
        <v>50000</v>
      </c>
      <c r="AE851" s="250">
        <v>130000</v>
      </c>
      <c r="AF851" s="250">
        <v>25000</v>
      </c>
    </row>
    <row r="852" spans="2:32" x14ac:dyDescent="0.25">
      <c r="B852" s="63" t="s">
        <v>1585</v>
      </c>
      <c r="C852" s="14" t="s">
        <v>351</v>
      </c>
      <c r="D852" s="15">
        <v>1994</v>
      </c>
      <c r="E852" s="16">
        <v>720000</v>
      </c>
      <c r="F852" s="15">
        <v>2</v>
      </c>
      <c r="G852" s="15">
        <v>2.5</v>
      </c>
      <c r="H852" s="15" t="s">
        <v>340</v>
      </c>
      <c r="I852" s="249">
        <f t="shared" si="39"/>
        <v>1</v>
      </c>
      <c r="J852" s="143">
        <v>2000</v>
      </c>
      <c r="K852" s="249" t="s">
        <v>2378</v>
      </c>
      <c r="M852" s="249">
        <f t="shared" si="40"/>
        <v>21</v>
      </c>
      <c r="N852" s="249">
        <f t="shared" si="41"/>
        <v>20</v>
      </c>
      <c r="O852" s="15"/>
      <c r="P852" s="15"/>
      <c r="Q852" s="15" t="s">
        <v>328</v>
      </c>
      <c r="S852" s="15"/>
      <c r="T852" s="15"/>
      <c r="U852" s="15"/>
      <c r="V852" s="15"/>
      <c r="W852" s="15" t="s">
        <v>328</v>
      </c>
      <c r="X852" s="15"/>
      <c r="Z852" s="127">
        <v>0.3</v>
      </c>
      <c r="AA852" s="249">
        <v>3</v>
      </c>
      <c r="AB852" s="250">
        <v>25000</v>
      </c>
      <c r="AC852" s="250">
        <v>80000</v>
      </c>
      <c r="AD852" s="250">
        <v>50000</v>
      </c>
      <c r="AE852" s="250">
        <v>130000</v>
      </c>
      <c r="AF852" s="250">
        <v>25000</v>
      </c>
    </row>
    <row r="853" spans="2:32" x14ac:dyDescent="0.25">
      <c r="B853" s="63" t="s">
        <v>1585</v>
      </c>
      <c r="C853" s="14" t="s">
        <v>351</v>
      </c>
      <c r="D853" s="15">
        <v>1983</v>
      </c>
      <c r="E853" s="16">
        <v>720000</v>
      </c>
      <c r="F853" s="15">
        <v>2</v>
      </c>
      <c r="G853" s="15">
        <v>2.5</v>
      </c>
      <c r="H853" s="15" t="s">
        <v>340</v>
      </c>
      <c r="I853" s="249">
        <f t="shared" si="39"/>
        <v>1</v>
      </c>
      <c r="J853" s="143">
        <v>4000</v>
      </c>
      <c r="K853" s="249" t="s">
        <v>2378</v>
      </c>
      <c r="M853" s="249">
        <f t="shared" si="40"/>
        <v>32</v>
      </c>
      <c r="N853" s="249">
        <f t="shared" si="41"/>
        <v>31</v>
      </c>
      <c r="O853" s="15"/>
      <c r="P853" s="15"/>
      <c r="Q853" s="15" t="s">
        <v>328</v>
      </c>
      <c r="S853" s="15"/>
      <c r="T853" s="15"/>
      <c r="U853" s="15"/>
      <c r="V853" s="15"/>
      <c r="W853" s="15" t="s">
        <v>328</v>
      </c>
      <c r="X853" s="15"/>
      <c r="Z853" s="127">
        <v>0.3</v>
      </c>
      <c r="AA853" s="249">
        <v>3</v>
      </c>
      <c r="AB853" s="250">
        <v>25000</v>
      </c>
      <c r="AC853" s="250">
        <v>80000</v>
      </c>
      <c r="AD853" s="250">
        <v>50000</v>
      </c>
      <c r="AE853" s="250">
        <v>130000</v>
      </c>
      <c r="AF853" s="250">
        <v>25000</v>
      </c>
    </row>
    <row r="854" spans="2:32" x14ac:dyDescent="0.25">
      <c r="B854" s="63" t="s">
        <v>1586</v>
      </c>
      <c r="C854" s="14" t="s">
        <v>351</v>
      </c>
      <c r="D854" s="15">
        <v>1994</v>
      </c>
      <c r="E854" s="16">
        <v>342000</v>
      </c>
      <c r="F854" s="15">
        <v>2.2999999999999998</v>
      </c>
      <c r="G854" s="15">
        <v>2.7</v>
      </c>
      <c r="H854" s="15" t="s">
        <v>340</v>
      </c>
      <c r="I854" s="249">
        <f t="shared" si="39"/>
        <v>1</v>
      </c>
      <c r="J854" s="143">
        <v>1500</v>
      </c>
      <c r="K854" s="249" t="s">
        <v>2378</v>
      </c>
      <c r="M854" s="249">
        <f t="shared" si="40"/>
        <v>21</v>
      </c>
      <c r="N854" s="249">
        <f t="shared" si="41"/>
        <v>20</v>
      </c>
      <c r="O854" s="15"/>
      <c r="P854" s="15"/>
      <c r="Q854" s="15" t="s">
        <v>328</v>
      </c>
      <c r="S854" s="15" t="s">
        <v>328</v>
      </c>
      <c r="T854" s="15"/>
      <c r="U854" s="15"/>
      <c r="V854" s="15"/>
      <c r="W854" s="15"/>
      <c r="X854" s="15"/>
      <c r="Z854" s="127">
        <v>0.5</v>
      </c>
      <c r="AA854" s="249">
        <v>1</v>
      </c>
      <c r="AB854" s="250">
        <v>40000</v>
      </c>
      <c r="AC854" s="250">
        <v>40000</v>
      </c>
      <c r="AD854" s="250">
        <v>65000</v>
      </c>
      <c r="AE854" s="250">
        <v>90000</v>
      </c>
      <c r="AF854" s="250">
        <v>40000</v>
      </c>
    </row>
    <row r="855" spans="2:32" x14ac:dyDescent="0.25">
      <c r="B855" s="63" t="s">
        <v>1587</v>
      </c>
      <c r="C855" s="15" t="s">
        <v>337</v>
      </c>
      <c r="D855" s="15">
        <v>1995</v>
      </c>
      <c r="E855" s="16">
        <v>1080000</v>
      </c>
      <c r="F855" s="15">
        <v>1.8</v>
      </c>
      <c r="G855" s="15">
        <v>2.1</v>
      </c>
      <c r="H855" s="15" t="s">
        <v>340</v>
      </c>
      <c r="I855" s="249">
        <f t="shared" si="39"/>
        <v>1</v>
      </c>
      <c r="J855" s="143">
        <v>5000</v>
      </c>
      <c r="K855" s="249" t="s">
        <v>2378</v>
      </c>
      <c r="M855" s="249">
        <f t="shared" si="40"/>
        <v>20</v>
      </c>
      <c r="N855" s="249">
        <f t="shared" si="41"/>
        <v>19</v>
      </c>
      <c r="O855" s="15"/>
      <c r="P855" s="15"/>
      <c r="Q855" s="15" t="s">
        <v>328</v>
      </c>
      <c r="S855" s="15" t="s">
        <v>328</v>
      </c>
      <c r="T855" s="15"/>
      <c r="U855" s="15"/>
      <c r="V855" s="15"/>
      <c r="W855" s="15"/>
      <c r="X855" s="15"/>
      <c r="Z855" s="127">
        <v>0.5</v>
      </c>
      <c r="AA855" s="249">
        <v>2</v>
      </c>
      <c r="AB855" s="250">
        <v>20000</v>
      </c>
      <c r="AC855" s="250">
        <v>20000</v>
      </c>
      <c r="AD855" s="250">
        <v>200000</v>
      </c>
      <c r="AE855" s="250">
        <v>120000</v>
      </c>
      <c r="AF855" s="250">
        <v>20000</v>
      </c>
    </row>
    <row r="856" spans="2:32" x14ac:dyDescent="0.25">
      <c r="B856" s="63" t="s">
        <v>1587</v>
      </c>
      <c r="C856" s="15" t="s">
        <v>337</v>
      </c>
      <c r="D856" s="15">
        <v>1983</v>
      </c>
      <c r="E856" s="16">
        <v>1800000</v>
      </c>
      <c r="F856" s="15">
        <v>1.8</v>
      </c>
      <c r="G856" s="15">
        <v>2.1</v>
      </c>
      <c r="H856" s="15" t="s">
        <v>340</v>
      </c>
      <c r="I856" s="249">
        <f t="shared" si="39"/>
        <v>1</v>
      </c>
      <c r="J856" s="143">
        <v>5000</v>
      </c>
      <c r="K856" s="249" t="s">
        <v>2378</v>
      </c>
      <c r="M856" s="249">
        <f t="shared" si="40"/>
        <v>32</v>
      </c>
      <c r="N856" s="249">
        <f t="shared" si="41"/>
        <v>31</v>
      </c>
      <c r="O856" s="15"/>
      <c r="P856" s="15" t="s">
        <v>328</v>
      </c>
      <c r="Q856" s="15"/>
      <c r="S856" s="15"/>
      <c r="T856" s="15"/>
      <c r="U856" s="15"/>
      <c r="V856" s="15"/>
      <c r="W856" s="15" t="s">
        <v>328</v>
      </c>
      <c r="X856" s="15"/>
      <c r="Z856" s="127">
        <v>0.5</v>
      </c>
      <c r="AA856" s="249">
        <v>2</v>
      </c>
      <c r="AB856" s="250">
        <v>20000</v>
      </c>
      <c r="AC856" s="250">
        <v>20000</v>
      </c>
      <c r="AD856" s="250">
        <v>200000</v>
      </c>
      <c r="AE856" s="250">
        <v>120000</v>
      </c>
      <c r="AF856" s="250">
        <v>20000</v>
      </c>
    </row>
    <row r="857" spans="2:32" x14ac:dyDescent="0.25">
      <c r="B857" s="63" t="s">
        <v>1588</v>
      </c>
      <c r="C857" s="15" t="s">
        <v>337</v>
      </c>
      <c r="D857" s="15">
        <v>1980</v>
      </c>
      <c r="E857" s="16">
        <v>1584000</v>
      </c>
      <c r="F857" s="15">
        <v>1.8</v>
      </c>
      <c r="G857" s="15">
        <v>2.5</v>
      </c>
      <c r="H857" s="15" t="s">
        <v>340</v>
      </c>
      <c r="I857" s="249">
        <f t="shared" si="39"/>
        <v>1</v>
      </c>
      <c r="J857" s="143">
        <v>4000</v>
      </c>
      <c r="K857" s="249" t="s">
        <v>2378</v>
      </c>
      <c r="M857" s="249">
        <f t="shared" si="40"/>
        <v>35</v>
      </c>
      <c r="N857" s="249">
        <f t="shared" si="41"/>
        <v>34</v>
      </c>
      <c r="O857" s="15" t="s">
        <v>328</v>
      </c>
      <c r="P857" s="15"/>
      <c r="Q857" s="15"/>
      <c r="S857" s="15" t="s">
        <v>328</v>
      </c>
      <c r="T857" s="15"/>
      <c r="U857" s="15"/>
      <c r="V857" s="15"/>
      <c r="W857" s="15"/>
      <c r="X857" s="15"/>
      <c r="Z857" s="127">
        <v>0.5</v>
      </c>
      <c r="AA857" s="249">
        <v>1</v>
      </c>
      <c r="AB857" s="250">
        <v>30000</v>
      </c>
      <c r="AC857" s="250">
        <v>40000</v>
      </c>
      <c r="AD857" s="250">
        <v>80000</v>
      </c>
      <c r="AE857" s="250">
        <v>130000</v>
      </c>
      <c r="AF857" s="250">
        <v>30000</v>
      </c>
    </row>
    <row r="858" spans="2:32" x14ac:dyDescent="0.25">
      <c r="B858" s="65" t="s">
        <v>1589</v>
      </c>
      <c r="C858" s="15" t="s">
        <v>337</v>
      </c>
      <c r="D858" s="15">
        <v>1980</v>
      </c>
      <c r="E858" s="16">
        <v>1700000</v>
      </c>
      <c r="F858" s="15">
        <v>1.9</v>
      </c>
      <c r="G858" s="15">
        <v>2.2999999999999998</v>
      </c>
      <c r="H858" s="15" t="s">
        <v>340</v>
      </c>
      <c r="I858" s="249">
        <f t="shared" si="39"/>
        <v>1</v>
      </c>
      <c r="J858" s="143">
        <v>4000</v>
      </c>
      <c r="K858" s="249" t="s">
        <v>2378</v>
      </c>
      <c r="M858" s="249">
        <f t="shared" si="40"/>
        <v>35</v>
      </c>
      <c r="N858" s="249">
        <f t="shared" si="41"/>
        <v>34</v>
      </c>
      <c r="O858" s="15"/>
      <c r="P858" s="15"/>
      <c r="Q858" s="15" t="s">
        <v>328</v>
      </c>
      <c r="S858" s="15" t="s">
        <v>328</v>
      </c>
      <c r="T858" s="15"/>
      <c r="U858" s="15"/>
      <c r="V858" s="15"/>
      <c r="W858" s="15"/>
      <c r="X858" s="15"/>
      <c r="Z858" s="127">
        <v>0.5</v>
      </c>
      <c r="AA858" s="249">
        <v>2</v>
      </c>
      <c r="AB858" s="250">
        <v>10000</v>
      </c>
      <c r="AC858" s="250">
        <v>60000</v>
      </c>
      <c r="AD858" s="250">
        <v>60000</v>
      </c>
      <c r="AE858" s="250">
        <v>140000</v>
      </c>
      <c r="AF858" s="250">
        <v>10000</v>
      </c>
    </row>
    <row r="859" spans="2:32" x14ac:dyDescent="0.25">
      <c r="B859" s="63" t="s">
        <v>1589</v>
      </c>
      <c r="C859" s="15" t="s">
        <v>337</v>
      </c>
      <c r="D859" s="15">
        <v>1996</v>
      </c>
      <c r="E859" s="16">
        <v>408000</v>
      </c>
      <c r="F859" s="15">
        <v>1.9</v>
      </c>
      <c r="G859" s="15">
        <v>2.2999999999999998</v>
      </c>
      <c r="H859" s="15" t="s">
        <v>340</v>
      </c>
      <c r="I859" s="249">
        <f t="shared" si="39"/>
        <v>1</v>
      </c>
      <c r="J859" s="143">
        <v>2000</v>
      </c>
      <c r="K859" s="249" t="s">
        <v>2378</v>
      </c>
      <c r="M859" s="249">
        <f t="shared" si="40"/>
        <v>19</v>
      </c>
      <c r="N859" s="249">
        <f t="shared" si="41"/>
        <v>18</v>
      </c>
      <c r="O859" s="15"/>
      <c r="P859" s="15"/>
      <c r="Q859" s="15" t="s">
        <v>328</v>
      </c>
      <c r="S859" s="15"/>
      <c r="T859" s="15"/>
      <c r="U859" s="15"/>
      <c r="V859" s="15"/>
      <c r="W859" s="15"/>
      <c r="X859" s="15" t="s">
        <v>328</v>
      </c>
      <c r="Z859" s="127">
        <v>0.5</v>
      </c>
      <c r="AA859" s="249">
        <v>2</v>
      </c>
      <c r="AB859" s="250">
        <v>10000</v>
      </c>
      <c r="AC859" s="250">
        <v>60000</v>
      </c>
      <c r="AD859" s="250">
        <v>60000</v>
      </c>
      <c r="AE859" s="250">
        <v>140000</v>
      </c>
      <c r="AF859" s="250">
        <v>10000</v>
      </c>
    </row>
    <row r="860" spans="2:32" x14ac:dyDescent="0.25">
      <c r="B860" s="63" t="s">
        <v>1590</v>
      </c>
      <c r="C860" s="14" t="s">
        <v>351</v>
      </c>
      <c r="D860" s="15">
        <v>1989</v>
      </c>
      <c r="E860" s="16">
        <v>2880000</v>
      </c>
      <c r="F860" s="15">
        <v>2</v>
      </c>
      <c r="G860" s="15">
        <v>2.5</v>
      </c>
      <c r="H860" s="15" t="s">
        <v>340</v>
      </c>
      <c r="I860" s="249">
        <f t="shared" si="39"/>
        <v>1</v>
      </c>
      <c r="J860" s="143">
        <v>10000</v>
      </c>
      <c r="K860" s="249" t="s">
        <v>2378</v>
      </c>
      <c r="M860" s="249">
        <f t="shared" si="40"/>
        <v>26</v>
      </c>
      <c r="N860" s="249">
        <f t="shared" si="41"/>
        <v>25</v>
      </c>
      <c r="O860" s="15"/>
      <c r="P860" s="15"/>
      <c r="Q860" s="15" t="s">
        <v>328</v>
      </c>
      <c r="S860" s="15"/>
      <c r="T860" s="15" t="s">
        <v>328</v>
      </c>
      <c r="U860" s="15"/>
      <c r="V860" s="15"/>
      <c r="W860" s="15"/>
      <c r="X860" s="15"/>
      <c r="Z860" s="127">
        <v>0.5</v>
      </c>
      <c r="AA860" s="249">
        <v>1</v>
      </c>
      <c r="AB860" s="250">
        <v>10000</v>
      </c>
      <c r="AC860" s="250">
        <v>30000</v>
      </c>
      <c r="AD860" s="250">
        <v>40000</v>
      </c>
      <c r="AE860" s="250">
        <v>40000</v>
      </c>
      <c r="AF860" s="250">
        <v>10000</v>
      </c>
    </row>
    <row r="861" spans="2:32" x14ac:dyDescent="0.25">
      <c r="B861" s="63" t="s">
        <v>1591</v>
      </c>
      <c r="C861" s="14" t="s">
        <v>351</v>
      </c>
      <c r="D861" s="15">
        <v>1984</v>
      </c>
      <c r="E861" s="16">
        <v>1800000</v>
      </c>
      <c r="F861" s="15">
        <v>1.9</v>
      </c>
      <c r="G861" s="15">
        <v>2.4</v>
      </c>
      <c r="H861" s="15" t="s">
        <v>340</v>
      </c>
      <c r="I861" s="249">
        <f t="shared" si="39"/>
        <v>1</v>
      </c>
      <c r="J861" s="143">
        <v>2000</v>
      </c>
      <c r="K861" s="249" t="s">
        <v>2378</v>
      </c>
      <c r="M861" s="249">
        <f t="shared" si="40"/>
        <v>31</v>
      </c>
      <c r="N861" s="249">
        <f t="shared" si="41"/>
        <v>30</v>
      </c>
      <c r="O861" s="15"/>
      <c r="P861" s="15"/>
      <c r="Q861" s="15" t="s">
        <v>328</v>
      </c>
      <c r="S861" s="15"/>
      <c r="T861" s="15" t="s">
        <v>328</v>
      </c>
      <c r="U861" s="15"/>
      <c r="V861" s="15"/>
      <c r="W861" s="15"/>
      <c r="X861" s="15"/>
      <c r="Z861" s="127">
        <v>0.5</v>
      </c>
      <c r="AA861" s="249">
        <v>1</v>
      </c>
      <c r="AB861" s="250">
        <v>10000</v>
      </c>
      <c r="AC861" s="250">
        <v>40000</v>
      </c>
      <c r="AD861" s="250">
        <v>20000</v>
      </c>
      <c r="AE861" s="250">
        <v>120000</v>
      </c>
      <c r="AF861" s="250">
        <v>20000</v>
      </c>
    </row>
    <row r="862" spans="2:32" x14ac:dyDescent="0.25">
      <c r="B862" s="63" t="s">
        <v>1592</v>
      </c>
      <c r="C862" s="15" t="s">
        <v>337</v>
      </c>
      <c r="D862" s="15">
        <v>1970</v>
      </c>
      <c r="E862" s="16">
        <v>2100000</v>
      </c>
      <c r="F862" s="15">
        <v>1.8</v>
      </c>
      <c r="G862" s="15">
        <v>2</v>
      </c>
      <c r="H862" s="15" t="s">
        <v>340</v>
      </c>
      <c r="I862" s="249">
        <f t="shared" si="39"/>
        <v>1</v>
      </c>
      <c r="J862" s="143">
        <v>3500</v>
      </c>
      <c r="K862" s="249" t="s">
        <v>2378</v>
      </c>
      <c r="M862" s="249">
        <f t="shared" si="40"/>
        <v>45</v>
      </c>
      <c r="N862" s="249">
        <f t="shared" si="41"/>
        <v>44</v>
      </c>
      <c r="O862" s="15"/>
      <c r="P862" s="15"/>
      <c r="Q862" s="15" t="s">
        <v>328</v>
      </c>
      <c r="S862" s="15"/>
      <c r="T862" s="15"/>
      <c r="U862" s="15"/>
      <c r="V862" s="15"/>
      <c r="W862" s="15"/>
      <c r="X862" s="15" t="s">
        <v>328</v>
      </c>
      <c r="Z862" s="127">
        <v>0.5</v>
      </c>
      <c r="AA862" s="249">
        <v>1</v>
      </c>
      <c r="AB862" s="250">
        <v>10000</v>
      </c>
      <c r="AC862" s="250">
        <v>50000</v>
      </c>
      <c r="AD862" s="250">
        <v>30000</v>
      </c>
      <c r="AE862" s="250">
        <v>90000</v>
      </c>
      <c r="AF862" s="250">
        <v>10000</v>
      </c>
    </row>
    <row r="863" spans="2:32" x14ac:dyDescent="0.25">
      <c r="B863" s="63" t="s">
        <v>1593</v>
      </c>
      <c r="C863" s="14" t="s">
        <v>351</v>
      </c>
      <c r="D863" s="15">
        <v>1983</v>
      </c>
      <c r="E863" s="16">
        <v>500000</v>
      </c>
      <c r="F863" s="15">
        <v>2</v>
      </c>
      <c r="G863" s="15">
        <v>2.5</v>
      </c>
      <c r="H863" s="15" t="s">
        <v>340</v>
      </c>
      <c r="I863" s="249">
        <f t="shared" si="39"/>
        <v>1</v>
      </c>
      <c r="J863" s="143">
        <v>2000</v>
      </c>
      <c r="K863" s="249" t="s">
        <v>2378</v>
      </c>
      <c r="M863" s="249">
        <f t="shared" si="40"/>
        <v>32</v>
      </c>
      <c r="N863" s="249">
        <f t="shared" si="41"/>
        <v>31</v>
      </c>
      <c r="O863" s="15"/>
      <c r="P863" s="15"/>
      <c r="Q863" s="15" t="s">
        <v>328</v>
      </c>
      <c r="S863" s="15"/>
      <c r="T863" s="15"/>
      <c r="U863" s="15"/>
      <c r="V863" s="15"/>
      <c r="W863" s="15" t="s">
        <v>328</v>
      </c>
      <c r="X863" s="15"/>
      <c r="Z863" s="127">
        <v>0.5</v>
      </c>
      <c r="AA863" s="249">
        <v>1</v>
      </c>
      <c r="AB863" s="250">
        <v>15000</v>
      </c>
      <c r="AC863" s="250">
        <v>30000</v>
      </c>
      <c r="AD863" s="250">
        <v>60000</v>
      </c>
      <c r="AE863" s="250">
        <v>95000</v>
      </c>
      <c r="AF863" s="250">
        <v>15000</v>
      </c>
    </row>
    <row r="864" spans="2:32" x14ac:dyDescent="0.25">
      <c r="B864" s="63" t="s">
        <v>1594</v>
      </c>
      <c r="C864" s="14" t="s">
        <v>351</v>
      </c>
      <c r="D864" s="15">
        <v>1983</v>
      </c>
      <c r="E864" s="16">
        <v>1800000</v>
      </c>
      <c r="F864" s="15">
        <v>2.1</v>
      </c>
      <c r="G864" s="15">
        <v>2.2999999999999998</v>
      </c>
      <c r="H864" s="15" t="s">
        <v>340</v>
      </c>
      <c r="I864" s="249">
        <f t="shared" si="39"/>
        <v>1</v>
      </c>
      <c r="J864" s="143">
        <v>5000</v>
      </c>
      <c r="K864" s="249" t="s">
        <v>2378</v>
      </c>
      <c r="M864" s="249">
        <f t="shared" si="40"/>
        <v>32</v>
      </c>
      <c r="N864" s="249">
        <f t="shared" si="41"/>
        <v>31</v>
      </c>
      <c r="O864" s="15"/>
      <c r="P864" s="15"/>
      <c r="Q864" s="15" t="s">
        <v>328</v>
      </c>
      <c r="S864" s="15"/>
      <c r="T864" s="15" t="s">
        <v>328</v>
      </c>
      <c r="U864" s="15"/>
      <c r="V864" s="15"/>
      <c r="W864" s="15"/>
      <c r="X864" s="15"/>
      <c r="Z864" s="127">
        <v>0.5</v>
      </c>
      <c r="AA864" s="249">
        <v>3</v>
      </c>
      <c r="AB864" s="250">
        <v>20000</v>
      </c>
      <c r="AC864" s="250">
        <v>30000</v>
      </c>
      <c r="AD864" s="250">
        <v>40000</v>
      </c>
      <c r="AE864" s="250">
        <v>90000</v>
      </c>
      <c r="AF864" s="250">
        <v>20000</v>
      </c>
    </row>
    <row r="865" spans="2:32" x14ac:dyDescent="0.25">
      <c r="B865" s="63" t="s">
        <v>1594</v>
      </c>
      <c r="C865" s="14" t="s">
        <v>351</v>
      </c>
      <c r="D865" s="15">
        <v>1990</v>
      </c>
      <c r="E865" s="16">
        <v>2000000</v>
      </c>
      <c r="F865" s="15">
        <v>2.1</v>
      </c>
      <c r="G865" s="15">
        <v>2.2999999999999998</v>
      </c>
      <c r="H865" s="15" t="s">
        <v>340</v>
      </c>
      <c r="I865" s="249">
        <f t="shared" si="39"/>
        <v>1</v>
      </c>
      <c r="J865" s="143">
        <v>5000</v>
      </c>
      <c r="K865" s="249" t="s">
        <v>2378</v>
      </c>
      <c r="M865" s="249">
        <f t="shared" si="40"/>
        <v>25</v>
      </c>
      <c r="N865" s="249">
        <f t="shared" si="41"/>
        <v>24</v>
      </c>
      <c r="O865" s="15"/>
      <c r="P865" s="15"/>
      <c r="Q865" s="15" t="s">
        <v>328</v>
      </c>
      <c r="S865" s="15"/>
      <c r="T865" s="15"/>
      <c r="U865" s="15"/>
      <c r="V865" s="15"/>
      <c r="W865" s="15"/>
      <c r="X865" s="15" t="s">
        <v>328</v>
      </c>
      <c r="Z865" s="127">
        <v>0.5</v>
      </c>
      <c r="AA865" s="249">
        <v>3</v>
      </c>
      <c r="AB865" s="250">
        <v>20000</v>
      </c>
      <c r="AC865" s="250">
        <v>30000</v>
      </c>
      <c r="AD865" s="250">
        <v>40000</v>
      </c>
      <c r="AE865" s="250">
        <v>90000</v>
      </c>
      <c r="AF865" s="250">
        <v>20000</v>
      </c>
    </row>
    <row r="866" spans="2:32" x14ac:dyDescent="0.25">
      <c r="B866" s="63" t="s">
        <v>1594</v>
      </c>
      <c r="C866" s="14" t="s">
        <v>351</v>
      </c>
      <c r="D866" s="15">
        <v>1991</v>
      </c>
      <c r="E866" s="16">
        <v>160000</v>
      </c>
      <c r="F866" s="15">
        <v>2.1</v>
      </c>
      <c r="G866" s="15">
        <v>2.2999999999999998</v>
      </c>
      <c r="H866" s="15" t="s">
        <v>340</v>
      </c>
      <c r="I866" s="249">
        <f t="shared" si="39"/>
        <v>1</v>
      </c>
      <c r="J866" s="143">
        <v>5000</v>
      </c>
      <c r="K866" s="249" t="s">
        <v>2378</v>
      </c>
      <c r="M866" s="249">
        <f t="shared" si="40"/>
        <v>24</v>
      </c>
      <c r="N866" s="249">
        <f t="shared" si="41"/>
        <v>23</v>
      </c>
      <c r="O866" s="15"/>
      <c r="P866" s="15"/>
      <c r="Q866" s="15" t="s">
        <v>328</v>
      </c>
      <c r="S866" s="15"/>
      <c r="T866" s="15"/>
      <c r="U866" s="15"/>
      <c r="V866" s="15"/>
      <c r="W866" s="15"/>
      <c r="X866" s="15" t="s">
        <v>328</v>
      </c>
      <c r="Z866" s="127">
        <v>0.5</v>
      </c>
      <c r="AA866" s="249">
        <v>3</v>
      </c>
      <c r="AB866" s="250">
        <v>20000</v>
      </c>
      <c r="AC866" s="250">
        <v>30000</v>
      </c>
      <c r="AD866" s="250">
        <v>40000</v>
      </c>
      <c r="AE866" s="250">
        <v>90000</v>
      </c>
      <c r="AF866" s="250">
        <v>20000</v>
      </c>
    </row>
    <row r="867" spans="2:32" x14ac:dyDescent="0.25">
      <c r="B867" s="63" t="s">
        <v>1595</v>
      </c>
      <c r="C867" s="14" t="s">
        <v>351</v>
      </c>
      <c r="D867" s="15">
        <v>1985</v>
      </c>
      <c r="E867" s="16">
        <v>1800000</v>
      </c>
      <c r="F867" s="15">
        <v>2</v>
      </c>
      <c r="G867" s="15">
        <v>2.2999999999999998</v>
      </c>
      <c r="H867" s="15" t="s">
        <v>340</v>
      </c>
      <c r="I867" s="249">
        <f t="shared" si="39"/>
        <v>1</v>
      </c>
      <c r="J867" s="143">
        <v>4000</v>
      </c>
      <c r="K867" s="249" t="s">
        <v>2378</v>
      </c>
      <c r="M867" s="249">
        <f t="shared" si="40"/>
        <v>30</v>
      </c>
      <c r="N867" s="249">
        <f t="shared" si="41"/>
        <v>29</v>
      </c>
      <c r="O867" s="15"/>
      <c r="P867" s="15"/>
      <c r="Q867" s="15" t="s">
        <v>328</v>
      </c>
      <c r="S867" s="15"/>
      <c r="T867" s="15"/>
      <c r="U867" s="15"/>
      <c r="V867" s="15"/>
      <c r="W867" s="15" t="s">
        <v>328</v>
      </c>
      <c r="X867" s="15"/>
      <c r="Z867" s="127">
        <v>0.5</v>
      </c>
      <c r="AA867" s="249">
        <v>2</v>
      </c>
      <c r="AB867" s="250">
        <v>10000</v>
      </c>
      <c r="AC867" s="250">
        <v>20000</v>
      </c>
      <c r="AD867" s="250">
        <v>40000</v>
      </c>
      <c r="AE867" s="250">
        <v>140000</v>
      </c>
      <c r="AF867" s="250">
        <v>10000</v>
      </c>
    </row>
    <row r="868" spans="2:32" x14ac:dyDescent="0.25">
      <c r="B868" s="63" t="s">
        <v>1595</v>
      </c>
      <c r="C868" s="14" t="s">
        <v>351</v>
      </c>
      <c r="D868" s="15">
        <v>1990</v>
      </c>
      <c r="E868" s="16">
        <v>980000</v>
      </c>
      <c r="F868" s="15">
        <v>2</v>
      </c>
      <c r="G868" s="15">
        <v>2.2999999999999998</v>
      </c>
      <c r="H868" s="15" t="s">
        <v>340</v>
      </c>
      <c r="I868" s="249">
        <f t="shared" si="39"/>
        <v>1</v>
      </c>
      <c r="J868" s="143">
        <v>4000</v>
      </c>
      <c r="K868" s="249" t="s">
        <v>2378</v>
      </c>
      <c r="M868" s="249">
        <f t="shared" si="40"/>
        <v>25</v>
      </c>
      <c r="N868" s="249">
        <f t="shared" si="41"/>
        <v>24</v>
      </c>
      <c r="O868" s="15"/>
      <c r="P868" s="15"/>
      <c r="Q868" s="15" t="s">
        <v>328</v>
      </c>
      <c r="S868" s="15"/>
      <c r="T868" s="15"/>
      <c r="U868" s="15"/>
      <c r="V868" s="15"/>
      <c r="W868" s="15"/>
      <c r="X868" s="15" t="s">
        <v>328</v>
      </c>
      <c r="Z868" s="127">
        <v>0.5</v>
      </c>
      <c r="AA868" s="249">
        <v>2</v>
      </c>
      <c r="AB868" s="250">
        <v>10000</v>
      </c>
      <c r="AC868" s="250">
        <v>20000</v>
      </c>
      <c r="AD868" s="250">
        <v>40000</v>
      </c>
      <c r="AE868" s="250">
        <v>140000</v>
      </c>
      <c r="AF868" s="250">
        <v>10000</v>
      </c>
    </row>
    <row r="869" spans="2:32" x14ac:dyDescent="0.25">
      <c r="B869" s="63" t="s">
        <v>1598</v>
      </c>
      <c r="C869" s="14" t="s">
        <v>351</v>
      </c>
      <c r="D869" s="15">
        <v>1982</v>
      </c>
      <c r="E869" s="16">
        <v>2000000</v>
      </c>
      <c r="F869" s="15">
        <v>1.9</v>
      </c>
      <c r="G869" s="15">
        <v>2.1</v>
      </c>
      <c r="H869" s="15" t="s">
        <v>340</v>
      </c>
      <c r="I869" s="249">
        <f t="shared" si="39"/>
        <v>1</v>
      </c>
      <c r="J869" s="143">
        <v>3500</v>
      </c>
      <c r="K869" s="249" t="s">
        <v>2378</v>
      </c>
      <c r="M869" s="249">
        <f t="shared" si="40"/>
        <v>33</v>
      </c>
      <c r="N869" s="249">
        <f t="shared" si="41"/>
        <v>32</v>
      </c>
      <c r="O869" s="15"/>
      <c r="P869" s="15"/>
      <c r="Q869" s="15" t="s">
        <v>328</v>
      </c>
      <c r="S869" s="15"/>
      <c r="T869" s="15"/>
      <c r="U869" s="15"/>
      <c r="V869" s="15"/>
      <c r="W869" s="15" t="s">
        <v>328</v>
      </c>
      <c r="X869" s="15"/>
      <c r="Z869" s="127">
        <v>0.5</v>
      </c>
      <c r="AA869" s="249">
        <v>1</v>
      </c>
      <c r="AB869" s="250">
        <v>15000</v>
      </c>
      <c r="AC869" s="250">
        <v>30000</v>
      </c>
      <c r="AD869" s="250">
        <v>40000</v>
      </c>
      <c r="AE869" s="250">
        <v>110000</v>
      </c>
      <c r="AF869" s="250">
        <v>15000</v>
      </c>
    </row>
    <row r="870" spans="2:32" x14ac:dyDescent="0.25">
      <c r="B870" s="63" t="s">
        <v>1599</v>
      </c>
      <c r="C870" s="14" t="s">
        <v>351</v>
      </c>
      <c r="D870" s="15">
        <v>1986</v>
      </c>
      <c r="E870" s="16">
        <v>1800000</v>
      </c>
      <c r="F870" s="15">
        <v>1.8</v>
      </c>
      <c r="G870" s="15">
        <v>2</v>
      </c>
      <c r="H870" s="15" t="s">
        <v>340</v>
      </c>
      <c r="I870" s="249">
        <f t="shared" si="39"/>
        <v>1</v>
      </c>
      <c r="J870" s="143">
        <v>4500</v>
      </c>
      <c r="K870" s="249" t="s">
        <v>2378</v>
      </c>
      <c r="M870" s="249">
        <f t="shared" si="40"/>
        <v>29</v>
      </c>
      <c r="N870" s="249">
        <f t="shared" si="41"/>
        <v>28</v>
      </c>
      <c r="O870" s="15"/>
      <c r="P870" s="15"/>
      <c r="Q870" s="15" t="s">
        <v>328</v>
      </c>
      <c r="S870" s="15"/>
      <c r="T870" s="15"/>
      <c r="U870" s="15"/>
      <c r="V870" s="15"/>
      <c r="W870" s="15" t="s">
        <v>328</v>
      </c>
      <c r="X870" s="15"/>
      <c r="Z870" s="127">
        <v>0.5</v>
      </c>
      <c r="AA870" s="249">
        <v>1</v>
      </c>
      <c r="AB870" s="250">
        <v>10000</v>
      </c>
      <c r="AC870" s="250">
        <v>30000</v>
      </c>
      <c r="AD870" s="250">
        <v>30000</v>
      </c>
      <c r="AE870" s="250">
        <v>130000</v>
      </c>
      <c r="AF870" s="250">
        <v>10000</v>
      </c>
    </row>
    <row r="871" spans="2:32" x14ac:dyDescent="0.25">
      <c r="B871" s="63" t="s">
        <v>1600</v>
      </c>
      <c r="C871" s="15" t="s">
        <v>337</v>
      </c>
      <c r="D871" s="15">
        <v>1990</v>
      </c>
      <c r="E871" s="16">
        <v>1794000</v>
      </c>
      <c r="F871" s="15">
        <v>1.9</v>
      </c>
      <c r="G871" s="15">
        <v>2.1</v>
      </c>
      <c r="H871" s="15" t="s">
        <v>340</v>
      </c>
      <c r="I871" s="249">
        <f t="shared" si="39"/>
        <v>1</v>
      </c>
      <c r="J871" s="143">
        <v>6500</v>
      </c>
      <c r="K871" s="249" t="s">
        <v>2378</v>
      </c>
      <c r="M871" s="249">
        <f t="shared" si="40"/>
        <v>25</v>
      </c>
      <c r="N871" s="249">
        <f t="shared" si="41"/>
        <v>24</v>
      </c>
      <c r="O871" s="15"/>
      <c r="P871" s="15"/>
      <c r="Q871" s="15" t="s">
        <v>328</v>
      </c>
      <c r="S871" s="15"/>
      <c r="T871" s="15" t="s">
        <v>328</v>
      </c>
      <c r="U871" s="15"/>
      <c r="V871" s="15"/>
      <c r="W871" s="15"/>
      <c r="X871" s="15"/>
      <c r="Z871" s="127">
        <v>0.5</v>
      </c>
      <c r="AA871" s="249">
        <v>1</v>
      </c>
      <c r="AB871" s="250">
        <v>30000</v>
      </c>
      <c r="AC871" s="250">
        <v>50000</v>
      </c>
      <c r="AD871" s="250">
        <v>80000</v>
      </c>
      <c r="AE871" s="250">
        <v>125000</v>
      </c>
      <c r="AF871" s="250">
        <v>30000</v>
      </c>
    </row>
    <row r="872" spans="2:32" x14ac:dyDescent="0.25">
      <c r="B872" s="63" t="s">
        <v>1601</v>
      </c>
      <c r="C872" s="14" t="s">
        <v>351</v>
      </c>
      <c r="D872" s="15">
        <v>1979</v>
      </c>
      <c r="E872" s="16">
        <v>2200000</v>
      </c>
      <c r="F872" s="15">
        <v>1.8</v>
      </c>
      <c r="G872" s="15">
        <v>2</v>
      </c>
      <c r="H872" s="15" t="s">
        <v>340</v>
      </c>
      <c r="I872" s="249">
        <f t="shared" si="39"/>
        <v>1</v>
      </c>
      <c r="J872" s="143">
        <v>2000</v>
      </c>
      <c r="K872" s="249" t="s">
        <v>2378</v>
      </c>
      <c r="M872" s="249">
        <f t="shared" si="40"/>
        <v>36</v>
      </c>
      <c r="N872" s="249">
        <f t="shared" si="41"/>
        <v>35</v>
      </c>
      <c r="O872" s="15"/>
      <c r="P872" s="15"/>
      <c r="Q872" s="15" t="s">
        <v>328</v>
      </c>
      <c r="S872" s="15"/>
      <c r="T872" s="15"/>
      <c r="U872" s="15"/>
      <c r="V872" s="15"/>
      <c r="W872" s="15" t="s">
        <v>328</v>
      </c>
      <c r="X872" s="15"/>
      <c r="Z872" s="127">
        <v>0.5</v>
      </c>
      <c r="AA872" s="249">
        <v>1</v>
      </c>
      <c r="AB872" s="250">
        <v>10000</v>
      </c>
      <c r="AC872" s="250">
        <v>30000</v>
      </c>
      <c r="AD872" s="250">
        <v>40000</v>
      </c>
      <c r="AE872" s="250">
        <v>140000</v>
      </c>
      <c r="AF872" s="250">
        <v>10000</v>
      </c>
    </row>
    <row r="873" spans="2:32" x14ac:dyDescent="0.25">
      <c r="B873" s="63" t="s">
        <v>1602</v>
      </c>
      <c r="C873" s="14" t="s">
        <v>351</v>
      </c>
      <c r="D873" s="15">
        <v>1989</v>
      </c>
      <c r="E873" s="16">
        <v>1700000</v>
      </c>
      <c r="F873" s="15">
        <v>1.7</v>
      </c>
      <c r="G873" s="15">
        <v>2</v>
      </c>
      <c r="H873" s="15" t="s">
        <v>340</v>
      </c>
      <c r="I873" s="249">
        <f t="shared" si="39"/>
        <v>1</v>
      </c>
      <c r="J873" s="143">
        <v>2000</v>
      </c>
      <c r="K873" s="249" t="s">
        <v>2378</v>
      </c>
      <c r="M873" s="249">
        <f t="shared" si="40"/>
        <v>26</v>
      </c>
      <c r="N873" s="249">
        <f t="shared" si="41"/>
        <v>25</v>
      </c>
      <c r="O873" s="15"/>
      <c r="P873" s="15"/>
      <c r="Q873" s="15" t="s">
        <v>328</v>
      </c>
      <c r="S873" s="15"/>
      <c r="T873" s="15" t="s">
        <v>328</v>
      </c>
      <c r="U873" s="15"/>
      <c r="V873" s="15"/>
      <c r="W873" s="15"/>
      <c r="X873" s="15"/>
      <c r="Z873" s="127">
        <v>0.5</v>
      </c>
      <c r="AA873" s="249">
        <v>1</v>
      </c>
      <c r="AB873" s="250">
        <v>25000</v>
      </c>
      <c r="AC873" s="250">
        <v>40000</v>
      </c>
      <c r="AD873" s="250">
        <v>65000</v>
      </c>
      <c r="AE873" s="250">
        <v>140000</v>
      </c>
      <c r="AF873" s="250">
        <v>25000</v>
      </c>
    </row>
    <row r="874" spans="2:32" x14ac:dyDescent="0.25">
      <c r="B874" s="63" t="s">
        <v>1603</v>
      </c>
      <c r="C874" s="15" t="s">
        <v>348</v>
      </c>
      <c r="D874" s="15">
        <v>1986</v>
      </c>
      <c r="E874" s="16">
        <v>2200000</v>
      </c>
      <c r="F874" s="15">
        <v>1.9</v>
      </c>
      <c r="G874" s="15">
        <v>2.1</v>
      </c>
      <c r="H874" s="15" t="s">
        <v>340</v>
      </c>
      <c r="I874" s="249">
        <f t="shared" si="39"/>
        <v>1</v>
      </c>
      <c r="J874" s="143">
        <v>3500</v>
      </c>
      <c r="K874" s="249" t="s">
        <v>2378</v>
      </c>
      <c r="M874" s="249">
        <f t="shared" si="40"/>
        <v>29</v>
      </c>
      <c r="N874" s="249">
        <f t="shared" si="41"/>
        <v>28</v>
      </c>
      <c r="O874" s="15"/>
      <c r="P874" s="15"/>
      <c r="Q874" s="15" t="s">
        <v>328</v>
      </c>
      <c r="S874" s="15"/>
      <c r="T874" s="15" t="s">
        <v>328</v>
      </c>
      <c r="U874" s="15"/>
      <c r="V874" s="15"/>
      <c r="W874" s="15"/>
      <c r="X874" s="15"/>
      <c r="Z874" s="127">
        <v>0.5</v>
      </c>
      <c r="AA874" s="249">
        <v>1</v>
      </c>
      <c r="AB874" s="250">
        <v>15000</v>
      </c>
      <c r="AC874" s="250">
        <v>25000</v>
      </c>
      <c r="AD874" s="250">
        <v>30000</v>
      </c>
      <c r="AE874" s="250">
        <v>110000</v>
      </c>
      <c r="AF874" s="250">
        <v>15000</v>
      </c>
    </row>
    <row r="875" spans="2:32" x14ac:dyDescent="0.25">
      <c r="B875" s="63" t="s">
        <v>1604</v>
      </c>
      <c r="C875" s="15" t="s">
        <v>348</v>
      </c>
      <c r="D875" s="15">
        <v>1984</v>
      </c>
      <c r="E875" s="16">
        <v>2550000</v>
      </c>
      <c r="F875" s="15">
        <v>1.7</v>
      </c>
      <c r="G875" s="15">
        <v>1.9</v>
      </c>
      <c r="H875" s="15" t="s">
        <v>340</v>
      </c>
      <c r="I875" s="249">
        <f t="shared" si="39"/>
        <v>1</v>
      </c>
      <c r="J875" s="143">
        <v>2500</v>
      </c>
      <c r="K875" s="249" t="s">
        <v>2378</v>
      </c>
      <c r="M875" s="249">
        <f t="shared" si="40"/>
        <v>31</v>
      </c>
      <c r="N875" s="249">
        <f t="shared" si="41"/>
        <v>30</v>
      </c>
      <c r="O875" s="15" t="s">
        <v>328</v>
      </c>
      <c r="P875" s="15"/>
      <c r="Q875" s="15"/>
      <c r="S875" s="15"/>
      <c r="T875" s="15" t="s">
        <v>328</v>
      </c>
      <c r="U875" s="15"/>
      <c r="V875" s="15"/>
      <c r="W875" s="15"/>
      <c r="X875" s="15"/>
      <c r="Z875" s="127">
        <v>0.5</v>
      </c>
      <c r="AA875" s="249">
        <v>1</v>
      </c>
      <c r="AB875" s="250">
        <v>12000</v>
      </c>
      <c r="AC875" s="250">
        <v>30000</v>
      </c>
      <c r="AD875" s="250">
        <v>40000</v>
      </c>
      <c r="AE875" s="250">
        <v>110000</v>
      </c>
      <c r="AF875" s="250">
        <v>12000</v>
      </c>
    </row>
    <row r="876" spans="2:32" x14ac:dyDescent="0.25">
      <c r="B876" s="63" t="s">
        <v>1605</v>
      </c>
      <c r="C876" s="14" t="s">
        <v>337</v>
      </c>
      <c r="D876" s="14">
        <v>1996</v>
      </c>
      <c r="E876" s="13">
        <v>1300000</v>
      </c>
      <c r="F876" s="14">
        <v>1.9</v>
      </c>
      <c r="G876" s="14">
        <v>2</v>
      </c>
      <c r="H876" s="14" t="s">
        <v>340</v>
      </c>
      <c r="I876" s="249">
        <f t="shared" si="39"/>
        <v>1</v>
      </c>
      <c r="J876" s="143">
        <v>4000</v>
      </c>
      <c r="K876" s="249" t="s">
        <v>2378</v>
      </c>
      <c r="M876" s="249">
        <f t="shared" si="40"/>
        <v>19</v>
      </c>
      <c r="N876" s="249">
        <f t="shared" si="41"/>
        <v>18</v>
      </c>
      <c r="O876" s="14"/>
      <c r="P876" s="14" t="s">
        <v>328</v>
      </c>
      <c r="Q876" s="14"/>
      <c r="S876" s="14"/>
      <c r="T876" s="14" t="s">
        <v>328</v>
      </c>
      <c r="U876" s="14"/>
      <c r="V876" s="14"/>
      <c r="W876" s="14"/>
      <c r="X876" s="14"/>
      <c r="Z876" s="126">
        <v>0.5</v>
      </c>
      <c r="AA876" s="249">
        <v>3</v>
      </c>
      <c r="AB876" s="250">
        <v>7000</v>
      </c>
      <c r="AC876" s="250">
        <v>40000</v>
      </c>
      <c r="AD876" s="250">
        <v>30000</v>
      </c>
      <c r="AE876" s="250">
        <v>100000</v>
      </c>
      <c r="AF876" s="250">
        <v>12000</v>
      </c>
    </row>
    <row r="877" spans="2:32" x14ac:dyDescent="0.25">
      <c r="B877" s="63" t="s">
        <v>1605</v>
      </c>
      <c r="C877" s="14" t="s">
        <v>337</v>
      </c>
      <c r="D877" s="14">
        <v>1996</v>
      </c>
      <c r="E877" s="13">
        <v>110000</v>
      </c>
      <c r="F877" s="14">
        <v>1.9</v>
      </c>
      <c r="G877" s="14">
        <v>2</v>
      </c>
      <c r="H877" s="14" t="s">
        <v>340</v>
      </c>
      <c r="I877" s="249">
        <f t="shared" si="39"/>
        <v>1</v>
      </c>
      <c r="J877" s="143">
        <v>4000</v>
      </c>
      <c r="K877" s="249" t="s">
        <v>2378</v>
      </c>
      <c r="M877" s="249">
        <f t="shared" si="40"/>
        <v>19</v>
      </c>
      <c r="N877" s="249">
        <f t="shared" si="41"/>
        <v>18</v>
      </c>
      <c r="O877" s="14"/>
      <c r="P877" s="14" t="s">
        <v>328</v>
      </c>
      <c r="Q877" s="14"/>
      <c r="S877" s="14"/>
      <c r="T877" s="14"/>
      <c r="U877" s="14"/>
      <c r="V877" s="14"/>
      <c r="W877" s="14" t="s">
        <v>328</v>
      </c>
      <c r="X877" s="14"/>
      <c r="Z877" s="126">
        <v>0.5</v>
      </c>
      <c r="AA877" s="249">
        <v>3</v>
      </c>
      <c r="AB877" s="250">
        <v>7000</v>
      </c>
      <c r="AC877" s="250">
        <v>40000</v>
      </c>
      <c r="AD877" s="250">
        <v>30000</v>
      </c>
      <c r="AE877" s="250">
        <v>100000</v>
      </c>
      <c r="AF877" s="250">
        <v>12000</v>
      </c>
    </row>
    <row r="878" spans="2:32" x14ac:dyDescent="0.25">
      <c r="B878" s="63" t="s">
        <v>1605</v>
      </c>
      <c r="C878" s="14" t="s">
        <v>337</v>
      </c>
      <c r="D878" s="14">
        <v>2000</v>
      </c>
      <c r="E878" s="13">
        <v>750000</v>
      </c>
      <c r="F878" s="14">
        <v>2</v>
      </c>
      <c r="G878" s="14">
        <v>2.2000000000000002</v>
      </c>
      <c r="H878" s="14" t="s">
        <v>340</v>
      </c>
      <c r="I878" s="249">
        <f t="shared" si="39"/>
        <v>1</v>
      </c>
      <c r="J878" s="143">
        <v>5000</v>
      </c>
      <c r="K878" s="249" t="s">
        <v>2378</v>
      </c>
      <c r="M878" s="249">
        <f t="shared" si="40"/>
        <v>15</v>
      </c>
      <c r="N878" s="249">
        <f t="shared" si="41"/>
        <v>14</v>
      </c>
      <c r="O878" s="14"/>
      <c r="P878" s="14" t="s">
        <v>328</v>
      </c>
      <c r="Q878" s="14"/>
      <c r="S878" s="14"/>
      <c r="T878" s="14"/>
      <c r="U878" s="14"/>
      <c r="V878" s="14"/>
      <c r="W878" s="14" t="s">
        <v>328</v>
      </c>
      <c r="X878" s="14"/>
      <c r="Z878" s="126">
        <v>0.5</v>
      </c>
      <c r="AA878" s="249">
        <v>3</v>
      </c>
      <c r="AB878" s="250">
        <v>7000</v>
      </c>
      <c r="AC878" s="250">
        <v>60000</v>
      </c>
      <c r="AD878" s="250">
        <v>30000</v>
      </c>
      <c r="AE878" s="250">
        <v>100000</v>
      </c>
      <c r="AF878" s="250">
        <v>12000</v>
      </c>
    </row>
    <row r="879" spans="2:32" x14ac:dyDescent="0.25">
      <c r="B879" s="63" t="s">
        <v>1608</v>
      </c>
      <c r="C879" s="15" t="s">
        <v>348</v>
      </c>
      <c r="D879" s="15">
        <v>2001</v>
      </c>
      <c r="E879" s="16">
        <v>600000</v>
      </c>
      <c r="F879" s="15">
        <v>5.0999999999999996</v>
      </c>
      <c r="G879" s="15">
        <v>5.7</v>
      </c>
      <c r="H879" s="15" t="s">
        <v>371</v>
      </c>
      <c r="I879" s="249">
        <f t="shared" si="39"/>
        <v>1</v>
      </c>
      <c r="J879" s="143">
        <v>4000</v>
      </c>
      <c r="K879" s="249" t="s">
        <v>2378</v>
      </c>
      <c r="M879" s="249">
        <f t="shared" si="40"/>
        <v>14</v>
      </c>
      <c r="N879" s="249">
        <f t="shared" si="41"/>
        <v>13</v>
      </c>
      <c r="O879" s="15"/>
      <c r="P879" s="15"/>
      <c r="Q879" s="15" t="s">
        <v>328</v>
      </c>
      <c r="S879" s="15"/>
      <c r="T879" s="15"/>
      <c r="U879" s="15"/>
      <c r="V879" s="15"/>
      <c r="W879" s="15" t="s">
        <v>328</v>
      </c>
      <c r="X879" s="15"/>
      <c r="Z879" s="127">
        <v>0.2</v>
      </c>
      <c r="AA879" s="249">
        <v>1</v>
      </c>
      <c r="AB879" s="250">
        <v>20000</v>
      </c>
      <c r="AC879" s="250">
        <v>30000</v>
      </c>
      <c r="AD879" s="250">
        <v>40000</v>
      </c>
      <c r="AE879" s="250">
        <v>90000</v>
      </c>
      <c r="AF879" s="250" t="s">
        <v>385</v>
      </c>
    </row>
    <row r="880" spans="2:32" x14ac:dyDescent="0.25">
      <c r="B880" s="63" t="s">
        <v>1611</v>
      </c>
      <c r="C880" s="14" t="s">
        <v>337</v>
      </c>
      <c r="D880" s="14">
        <v>2005</v>
      </c>
      <c r="E880" s="13">
        <v>550000</v>
      </c>
      <c r="F880" s="14">
        <v>2.7</v>
      </c>
      <c r="G880" s="14">
        <v>3</v>
      </c>
      <c r="H880" s="14" t="s">
        <v>340</v>
      </c>
      <c r="I880" s="249">
        <f t="shared" si="39"/>
        <v>1</v>
      </c>
      <c r="J880" s="143">
        <v>6000</v>
      </c>
      <c r="K880" s="249" t="s">
        <v>2378</v>
      </c>
      <c r="M880" s="249">
        <f t="shared" si="40"/>
        <v>10</v>
      </c>
      <c r="N880" s="249">
        <f t="shared" si="41"/>
        <v>9</v>
      </c>
      <c r="O880" s="14"/>
      <c r="P880" s="14" t="s">
        <v>328</v>
      </c>
      <c r="Q880" s="14"/>
      <c r="S880" s="14" t="s">
        <v>328</v>
      </c>
      <c r="T880" s="14"/>
      <c r="U880" s="14"/>
      <c r="V880" s="14"/>
      <c r="W880" s="14"/>
      <c r="X880" s="14"/>
      <c r="Z880" s="126">
        <v>0.3</v>
      </c>
      <c r="AA880" s="249">
        <v>1</v>
      </c>
      <c r="AB880" s="250">
        <v>9000</v>
      </c>
      <c r="AC880" s="250">
        <v>10000</v>
      </c>
      <c r="AD880" s="250">
        <v>6000</v>
      </c>
      <c r="AE880" s="250">
        <v>100000</v>
      </c>
      <c r="AF880" s="250">
        <v>10000</v>
      </c>
    </row>
    <row r="881" spans="2:32" x14ac:dyDescent="0.25">
      <c r="B881" s="63" t="s">
        <v>1613</v>
      </c>
      <c r="C881" s="14" t="s">
        <v>348</v>
      </c>
      <c r="D881" s="14">
        <v>2004</v>
      </c>
      <c r="E881" s="13">
        <v>75000</v>
      </c>
      <c r="F881" s="14">
        <v>4</v>
      </c>
      <c r="G881" s="14">
        <v>6</v>
      </c>
      <c r="H881" s="14" t="s">
        <v>371</v>
      </c>
      <c r="I881" s="249">
        <f t="shared" si="39"/>
        <v>1</v>
      </c>
      <c r="J881" s="143">
        <v>1000</v>
      </c>
      <c r="K881" s="249" t="s">
        <v>2378</v>
      </c>
      <c r="M881" s="249">
        <f t="shared" si="40"/>
        <v>11</v>
      </c>
      <c r="N881" s="249">
        <f t="shared" si="41"/>
        <v>10</v>
      </c>
      <c r="O881" s="14" t="s">
        <v>328</v>
      </c>
      <c r="P881" s="14"/>
      <c r="Q881" s="14"/>
      <c r="S881" s="14" t="s">
        <v>328</v>
      </c>
      <c r="T881" s="14"/>
      <c r="U881" s="14"/>
      <c r="V881" s="14"/>
      <c r="W881" s="14"/>
      <c r="X881" s="14"/>
      <c r="Z881" s="126">
        <v>0.3</v>
      </c>
      <c r="AA881" s="249">
        <v>5</v>
      </c>
      <c r="AB881" s="250">
        <v>12000</v>
      </c>
      <c r="AC881" s="250">
        <v>12000</v>
      </c>
      <c r="AD881" s="250">
        <v>15000</v>
      </c>
      <c r="AE881" s="250">
        <v>60000</v>
      </c>
      <c r="AF881" s="250" t="s">
        <v>385</v>
      </c>
    </row>
    <row r="882" spans="2:32" x14ac:dyDescent="0.25">
      <c r="B882" s="63" t="s">
        <v>1613</v>
      </c>
      <c r="C882" s="14" t="s">
        <v>348</v>
      </c>
      <c r="D882" s="14">
        <v>2004</v>
      </c>
      <c r="E882" s="13">
        <v>70000</v>
      </c>
      <c r="F882" s="14">
        <v>4</v>
      </c>
      <c r="G882" s="14">
        <v>6</v>
      </c>
      <c r="H882" s="14" t="s">
        <v>371</v>
      </c>
      <c r="I882" s="249">
        <f t="shared" si="39"/>
        <v>1</v>
      </c>
      <c r="J882" s="143">
        <v>1000</v>
      </c>
      <c r="K882" s="249" t="s">
        <v>2378</v>
      </c>
      <c r="M882" s="249">
        <f t="shared" si="40"/>
        <v>11</v>
      </c>
      <c r="N882" s="249">
        <f t="shared" si="41"/>
        <v>10</v>
      </c>
      <c r="O882" s="14" t="s">
        <v>328</v>
      </c>
      <c r="P882" s="14"/>
      <c r="Q882" s="14"/>
      <c r="S882" s="14" t="s">
        <v>328</v>
      </c>
      <c r="T882" s="14"/>
      <c r="U882" s="14"/>
      <c r="V882" s="14"/>
      <c r="W882" s="14"/>
      <c r="X882" s="14"/>
      <c r="Z882" s="126">
        <v>0.3</v>
      </c>
      <c r="AA882" s="249">
        <v>5</v>
      </c>
      <c r="AB882" s="250">
        <v>12000</v>
      </c>
      <c r="AC882" s="250">
        <v>12000</v>
      </c>
      <c r="AD882" s="250">
        <v>15000</v>
      </c>
      <c r="AE882" s="250">
        <v>60000</v>
      </c>
      <c r="AF882" s="250" t="s">
        <v>385</v>
      </c>
    </row>
    <row r="883" spans="2:32" x14ac:dyDescent="0.25">
      <c r="B883" s="63" t="s">
        <v>1613</v>
      </c>
      <c r="C883" s="14" t="s">
        <v>348</v>
      </c>
      <c r="D883" s="14">
        <v>2006</v>
      </c>
      <c r="E883" s="13">
        <v>61000</v>
      </c>
      <c r="F883" s="14">
        <v>4</v>
      </c>
      <c r="G883" s="14">
        <v>6</v>
      </c>
      <c r="H883" s="14" t="s">
        <v>371</v>
      </c>
      <c r="I883" s="249">
        <f t="shared" si="39"/>
        <v>1</v>
      </c>
      <c r="J883" s="143">
        <v>1000</v>
      </c>
      <c r="K883" s="249" t="s">
        <v>2378</v>
      </c>
      <c r="M883" s="249">
        <f t="shared" si="40"/>
        <v>9</v>
      </c>
      <c r="N883" s="249">
        <f t="shared" si="41"/>
        <v>8</v>
      </c>
      <c r="O883" s="14" t="s">
        <v>328</v>
      </c>
      <c r="P883" s="14"/>
      <c r="Q883" s="14"/>
      <c r="S883" s="14" t="s">
        <v>328</v>
      </c>
      <c r="T883" s="14"/>
      <c r="U883" s="14"/>
      <c r="V883" s="14"/>
      <c r="W883" s="14"/>
      <c r="X883" s="14"/>
      <c r="Z883" s="126">
        <v>0.3</v>
      </c>
      <c r="AA883" s="249">
        <v>5</v>
      </c>
      <c r="AB883" s="250">
        <v>12000</v>
      </c>
      <c r="AC883" s="250">
        <v>12000</v>
      </c>
      <c r="AD883" s="250">
        <v>15000</v>
      </c>
      <c r="AE883" s="250">
        <v>60000</v>
      </c>
      <c r="AF883" s="250" t="s">
        <v>385</v>
      </c>
    </row>
    <row r="884" spans="2:32" x14ac:dyDescent="0.25">
      <c r="B884" s="63" t="s">
        <v>1613</v>
      </c>
      <c r="C884" s="14" t="s">
        <v>348</v>
      </c>
      <c r="D884" s="14">
        <v>2010</v>
      </c>
      <c r="E884" s="13">
        <v>25000</v>
      </c>
      <c r="F884" s="14">
        <v>4</v>
      </c>
      <c r="G884" s="14">
        <v>6</v>
      </c>
      <c r="H884" s="14" t="s">
        <v>371</v>
      </c>
      <c r="I884" s="249">
        <f t="shared" si="39"/>
        <v>1</v>
      </c>
      <c r="J884" s="143">
        <v>1000</v>
      </c>
      <c r="K884" s="249" t="s">
        <v>2378</v>
      </c>
      <c r="M884" s="249">
        <f t="shared" si="40"/>
        <v>5</v>
      </c>
      <c r="N884" s="249">
        <f t="shared" si="41"/>
        <v>4</v>
      </c>
      <c r="O884" s="14" t="s">
        <v>328</v>
      </c>
      <c r="P884" s="14"/>
      <c r="Q884" s="14"/>
      <c r="S884" s="14"/>
      <c r="T884" s="14"/>
      <c r="U884" s="14"/>
      <c r="V884" s="14"/>
      <c r="W884" s="14"/>
      <c r="X884" s="14" t="s">
        <v>328</v>
      </c>
      <c r="Z884" s="126">
        <v>0.3</v>
      </c>
      <c r="AA884" s="249">
        <v>5</v>
      </c>
      <c r="AB884" s="250">
        <v>12000</v>
      </c>
      <c r="AC884" s="250">
        <v>12000</v>
      </c>
      <c r="AD884" s="250">
        <v>15000</v>
      </c>
      <c r="AE884" s="250">
        <v>60000</v>
      </c>
      <c r="AF884" s="250" t="s">
        <v>385</v>
      </c>
    </row>
    <row r="885" spans="2:32" x14ac:dyDescent="0.25">
      <c r="B885" s="63" t="s">
        <v>1613</v>
      </c>
      <c r="C885" s="14" t="s">
        <v>348</v>
      </c>
      <c r="D885" s="14">
        <v>2012</v>
      </c>
      <c r="E885" s="13">
        <v>14500</v>
      </c>
      <c r="F885" s="14">
        <v>4</v>
      </c>
      <c r="G885" s="14">
        <v>6</v>
      </c>
      <c r="H885" s="14" t="s">
        <v>371</v>
      </c>
      <c r="I885" s="249">
        <f t="shared" si="39"/>
        <v>1</v>
      </c>
      <c r="J885" s="143">
        <v>1000</v>
      </c>
      <c r="K885" s="249" t="s">
        <v>2378</v>
      </c>
      <c r="M885" s="249">
        <f t="shared" si="40"/>
        <v>3</v>
      </c>
      <c r="N885" s="249">
        <f t="shared" si="41"/>
        <v>2</v>
      </c>
      <c r="O885" s="14" t="s">
        <v>328</v>
      </c>
      <c r="P885" s="14"/>
      <c r="Q885" s="14"/>
      <c r="S885" s="14"/>
      <c r="T885" s="14"/>
      <c r="U885" s="14"/>
      <c r="V885" s="14"/>
      <c r="W885" s="14"/>
      <c r="X885" s="14" t="s">
        <v>328</v>
      </c>
      <c r="Z885" s="126">
        <v>0.3</v>
      </c>
      <c r="AA885" s="249">
        <v>5</v>
      </c>
      <c r="AB885" s="250">
        <v>12000</v>
      </c>
      <c r="AC885" s="250">
        <v>12000</v>
      </c>
      <c r="AD885" s="250">
        <v>15000</v>
      </c>
      <c r="AE885" s="250">
        <v>60000</v>
      </c>
      <c r="AF885" s="250" t="s">
        <v>385</v>
      </c>
    </row>
    <row r="886" spans="2:32" x14ac:dyDescent="0.25">
      <c r="B886" s="63" t="s">
        <v>1616</v>
      </c>
      <c r="C886" s="14" t="s">
        <v>359</v>
      </c>
      <c r="D886" s="15">
        <v>2011</v>
      </c>
      <c r="E886" s="16">
        <v>200000</v>
      </c>
      <c r="F886" s="15">
        <v>2.2000000000000002</v>
      </c>
      <c r="G886" s="15">
        <v>3</v>
      </c>
      <c r="H886" s="14" t="s">
        <v>340</v>
      </c>
      <c r="I886" s="249">
        <f t="shared" si="39"/>
        <v>1</v>
      </c>
      <c r="J886" s="143">
        <v>6000</v>
      </c>
      <c r="K886" s="249" t="s">
        <v>2378</v>
      </c>
      <c r="M886" s="249">
        <f t="shared" si="40"/>
        <v>4</v>
      </c>
      <c r="N886" s="249">
        <f t="shared" si="41"/>
        <v>3</v>
      </c>
      <c r="O886" s="15" t="s">
        <v>328</v>
      </c>
      <c r="P886" s="15"/>
      <c r="Q886" s="15"/>
      <c r="S886" s="15"/>
      <c r="T886" s="15" t="s">
        <v>328</v>
      </c>
      <c r="U886" s="15"/>
      <c r="V886" s="15"/>
      <c r="W886" s="15"/>
      <c r="X886" s="15"/>
      <c r="Z886" s="127">
        <v>0.5</v>
      </c>
      <c r="AA886" s="249">
        <v>5</v>
      </c>
      <c r="AB886" s="250">
        <v>15000</v>
      </c>
      <c r="AC886" s="250">
        <v>25000</v>
      </c>
      <c r="AD886" s="250">
        <v>60000</v>
      </c>
      <c r="AE886" s="250">
        <v>132000</v>
      </c>
      <c r="AF886" s="250">
        <v>15000</v>
      </c>
    </row>
    <row r="887" spans="2:32" x14ac:dyDescent="0.25">
      <c r="B887" s="63" t="s">
        <v>1616</v>
      </c>
      <c r="C887" s="14" t="s">
        <v>359</v>
      </c>
      <c r="D887" s="15">
        <v>2011</v>
      </c>
      <c r="E887" s="16">
        <v>200000</v>
      </c>
      <c r="F887" s="15">
        <v>2.2000000000000002</v>
      </c>
      <c r="G887" s="15">
        <v>3</v>
      </c>
      <c r="H887" s="14" t="s">
        <v>340</v>
      </c>
      <c r="I887" s="249">
        <f t="shared" si="39"/>
        <v>1</v>
      </c>
      <c r="J887" s="143">
        <v>6000</v>
      </c>
      <c r="K887" s="249" t="s">
        <v>2378</v>
      </c>
      <c r="M887" s="249">
        <f t="shared" si="40"/>
        <v>4</v>
      </c>
      <c r="N887" s="249">
        <f t="shared" si="41"/>
        <v>3</v>
      </c>
      <c r="O887" s="15" t="s">
        <v>328</v>
      </c>
      <c r="P887" s="15"/>
      <c r="Q887" s="15"/>
      <c r="S887" s="15"/>
      <c r="T887" s="15" t="s">
        <v>328</v>
      </c>
      <c r="U887" s="15"/>
      <c r="V887" s="15"/>
      <c r="W887" s="15"/>
      <c r="X887" s="15"/>
      <c r="Z887" s="127">
        <v>0.5</v>
      </c>
      <c r="AA887" s="249">
        <v>5</v>
      </c>
      <c r="AB887" s="250">
        <v>15000</v>
      </c>
      <c r="AC887" s="250">
        <v>25000</v>
      </c>
      <c r="AD887" s="250">
        <v>60000</v>
      </c>
      <c r="AE887" s="250">
        <v>132000</v>
      </c>
      <c r="AF887" s="250">
        <v>15000</v>
      </c>
    </row>
    <row r="888" spans="2:32" x14ac:dyDescent="0.25">
      <c r="B888" s="63" t="s">
        <v>1616</v>
      </c>
      <c r="C888" s="14" t="s">
        <v>359</v>
      </c>
      <c r="D888" s="15">
        <v>2011</v>
      </c>
      <c r="E888" s="16">
        <v>200000</v>
      </c>
      <c r="F888" s="15">
        <v>2.2000000000000002</v>
      </c>
      <c r="G888" s="15">
        <v>3</v>
      </c>
      <c r="H888" s="14" t="s">
        <v>340</v>
      </c>
      <c r="I888" s="249">
        <f t="shared" si="39"/>
        <v>1</v>
      </c>
      <c r="J888" s="143">
        <v>6000</v>
      </c>
      <c r="K888" s="249" t="s">
        <v>2378</v>
      </c>
      <c r="M888" s="249">
        <f t="shared" si="40"/>
        <v>4</v>
      </c>
      <c r="N888" s="249">
        <f t="shared" si="41"/>
        <v>3</v>
      </c>
      <c r="O888" s="15" t="s">
        <v>328</v>
      </c>
      <c r="P888" s="15"/>
      <c r="Q888" s="15"/>
      <c r="S888" s="15"/>
      <c r="T888" s="15" t="s">
        <v>328</v>
      </c>
      <c r="U888" s="15"/>
      <c r="V888" s="15"/>
      <c r="W888" s="15"/>
      <c r="X888" s="15"/>
      <c r="Z888" s="127">
        <v>0.5</v>
      </c>
      <c r="AA888" s="249">
        <v>5</v>
      </c>
      <c r="AB888" s="250">
        <v>15000</v>
      </c>
      <c r="AC888" s="250">
        <v>25000</v>
      </c>
      <c r="AD888" s="250">
        <v>60000</v>
      </c>
      <c r="AE888" s="250">
        <v>132000</v>
      </c>
      <c r="AF888" s="250">
        <v>15000</v>
      </c>
    </row>
    <row r="889" spans="2:32" x14ac:dyDescent="0.25">
      <c r="B889" s="63" t="s">
        <v>1616</v>
      </c>
      <c r="C889" s="14" t="s">
        <v>359</v>
      </c>
      <c r="D889" s="15">
        <v>2011</v>
      </c>
      <c r="E889" s="16">
        <v>200000</v>
      </c>
      <c r="F889" s="15">
        <v>2.2000000000000002</v>
      </c>
      <c r="G889" s="15">
        <v>3</v>
      </c>
      <c r="H889" s="14" t="s">
        <v>340</v>
      </c>
      <c r="I889" s="249">
        <f t="shared" si="39"/>
        <v>1</v>
      </c>
      <c r="J889" s="143">
        <v>6000</v>
      </c>
      <c r="K889" s="249" t="s">
        <v>2378</v>
      </c>
      <c r="M889" s="249">
        <f t="shared" si="40"/>
        <v>4</v>
      </c>
      <c r="N889" s="249">
        <f t="shared" si="41"/>
        <v>3</v>
      </c>
      <c r="O889" s="15" t="s">
        <v>328</v>
      </c>
      <c r="P889" s="15"/>
      <c r="Q889" s="15"/>
      <c r="S889" s="15"/>
      <c r="T889" s="15" t="s">
        <v>328</v>
      </c>
      <c r="U889" s="15"/>
      <c r="V889" s="15"/>
      <c r="W889" s="15"/>
      <c r="X889" s="15"/>
      <c r="Z889" s="127">
        <v>0.5</v>
      </c>
      <c r="AA889" s="249">
        <v>5</v>
      </c>
      <c r="AB889" s="250">
        <v>15000</v>
      </c>
      <c r="AC889" s="250">
        <v>25000</v>
      </c>
      <c r="AD889" s="250">
        <v>60000</v>
      </c>
      <c r="AE889" s="250">
        <v>132000</v>
      </c>
      <c r="AF889" s="250">
        <v>15000</v>
      </c>
    </row>
    <row r="890" spans="2:32" x14ac:dyDescent="0.25">
      <c r="B890" s="63" t="s">
        <v>1616</v>
      </c>
      <c r="C890" s="14" t="s">
        <v>359</v>
      </c>
      <c r="D890" s="15">
        <v>2011</v>
      </c>
      <c r="E890" s="16">
        <v>200000</v>
      </c>
      <c r="F890" s="15">
        <v>2.2000000000000002</v>
      </c>
      <c r="G890" s="15">
        <v>3</v>
      </c>
      <c r="H890" s="14" t="s">
        <v>340</v>
      </c>
      <c r="I890" s="249">
        <f t="shared" si="39"/>
        <v>1</v>
      </c>
      <c r="J890" s="143">
        <v>6000</v>
      </c>
      <c r="K890" s="249" t="s">
        <v>2378</v>
      </c>
      <c r="M890" s="249">
        <f t="shared" si="40"/>
        <v>4</v>
      </c>
      <c r="N890" s="249">
        <f t="shared" si="41"/>
        <v>3</v>
      </c>
      <c r="O890" s="15" t="s">
        <v>328</v>
      </c>
      <c r="P890" s="15"/>
      <c r="Q890" s="15"/>
      <c r="S890" s="15"/>
      <c r="T890" s="15" t="s">
        <v>328</v>
      </c>
      <c r="U890" s="15"/>
      <c r="V890" s="15"/>
      <c r="W890" s="15"/>
      <c r="X890" s="15"/>
      <c r="Z890" s="127">
        <v>0.5</v>
      </c>
      <c r="AA890" s="249">
        <v>5</v>
      </c>
      <c r="AB890" s="250">
        <v>15000</v>
      </c>
      <c r="AC890" s="250">
        <v>25000</v>
      </c>
      <c r="AD890" s="250">
        <v>60000</v>
      </c>
      <c r="AE890" s="250">
        <v>132000</v>
      </c>
      <c r="AF890" s="250">
        <v>15000</v>
      </c>
    </row>
    <row r="891" spans="2:32" x14ac:dyDescent="0.25">
      <c r="B891" s="63" t="s">
        <v>1618</v>
      </c>
      <c r="C891" s="14" t="s">
        <v>337</v>
      </c>
      <c r="D891" s="14">
        <v>2007</v>
      </c>
      <c r="E891" s="13">
        <v>450000</v>
      </c>
      <c r="F891" s="14">
        <v>2.1</v>
      </c>
      <c r="G891" s="14">
        <v>2.7</v>
      </c>
      <c r="H891" s="14" t="s">
        <v>340</v>
      </c>
      <c r="I891" s="249">
        <f t="shared" si="39"/>
        <v>1</v>
      </c>
      <c r="J891" s="143">
        <v>6000</v>
      </c>
      <c r="K891" s="249" t="s">
        <v>2378</v>
      </c>
      <c r="M891" s="249">
        <f t="shared" si="40"/>
        <v>8</v>
      </c>
      <c r="N891" s="249">
        <f t="shared" si="41"/>
        <v>7</v>
      </c>
      <c r="O891" s="14"/>
      <c r="P891" s="14" t="s">
        <v>328</v>
      </c>
      <c r="Q891" s="14"/>
      <c r="S891" s="14"/>
      <c r="T891" s="14"/>
      <c r="U891" s="14"/>
      <c r="V891" s="14"/>
      <c r="W891" s="14" t="s">
        <v>328</v>
      </c>
      <c r="X891" s="14"/>
      <c r="Z891" s="126">
        <v>0.5</v>
      </c>
      <c r="AA891" s="249">
        <v>3</v>
      </c>
      <c r="AB891" s="250">
        <v>20000</v>
      </c>
      <c r="AC891" s="250">
        <v>20000</v>
      </c>
      <c r="AD891" s="250">
        <v>180000</v>
      </c>
      <c r="AE891" s="250">
        <v>140000</v>
      </c>
      <c r="AF891" s="250">
        <v>20000</v>
      </c>
    </row>
    <row r="892" spans="2:32" x14ac:dyDescent="0.25">
      <c r="B892" s="63" t="s">
        <v>1618</v>
      </c>
      <c r="C892" s="14" t="s">
        <v>337</v>
      </c>
      <c r="D892" s="14">
        <v>2008</v>
      </c>
      <c r="E892" s="13">
        <v>395000</v>
      </c>
      <c r="F892" s="14">
        <v>2.1</v>
      </c>
      <c r="G892" s="14">
        <v>2.7</v>
      </c>
      <c r="H892" s="14" t="s">
        <v>340</v>
      </c>
      <c r="I892" s="249">
        <f t="shared" si="39"/>
        <v>1</v>
      </c>
      <c r="J892" s="143">
        <v>6000</v>
      </c>
      <c r="K892" s="249" t="s">
        <v>2378</v>
      </c>
      <c r="M892" s="249">
        <f t="shared" si="40"/>
        <v>7</v>
      </c>
      <c r="N892" s="249">
        <f t="shared" si="41"/>
        <v>6</v>
      </c>
      <c r="O892" s="14"/>
      <c r="P892" s="14" t="s">
        <v>328</v>
      </c>
      <c r="Q892" s="14"/>
      <c r="S892" s="14"/>
      <c r="T892" s="14"/>
      <c r="U892" s="14"/>
      <c r="V892" s="14"/>
      <c r="W892" s="14"/>
      <c r="X892" s="14" t="s">
        <v>328</v>
      </c>
      <c r="Z892" s="126">
        <v>0.5</v>
      </c>
      <c r="AA892" s="249">
        <v>3</v>
      </c>
      <c r="AB892" s="250">
        <v>20000</v>
      </c>
      <c r="AC892" s="250">
        <v>20000</v>
      </c>
      <c r="AD892" s="250">
        <v>180000</v>
      </c>
      <c r="AE892" s="250">
        <v>140000</v>
      </c>
      <c r="AF892" s="250">
        <v>20000</v>
      </c>
    </row>
    <row r="893" spans="2:32" x14ac:dyDescent="0.25">
      <c r="B893" s="63" t="s">
        <v>1618</v>
      </c>
      <c r="C893" s="14" t="s">
        <v>337</v>
      </c>
      <c r="D893" s="14">
        <v>2008</v>
      </c>
      <c r="E893" s="13">
        <v>350000</v>
      </c>
      <c r="F893" s="14">
        <v>2.1</v>
      </c>
      <c r="G893" s="14">
        <v>2.7</v>
      </c>
      <c r="H893" s="14" t="s">
        <v>340</v>
      </c>
      <c r="I893" s="249">
        <f t="shared" si="39"/>
        <v>1</v>
      </c>
      <c r="J893" s="143">
        <v>6000</v>
      </c>
      <c r="K893" s="249" t="s">
        <v>2378</v>
      </c>
      <c r="M893" s="249">
        <f t="shared" si="40"/>
        <v>7</v>
      </c>
      <c r="N893" s="249">
        <f t="shared" si="41"/>
        <v>6</v>
      </c>
      <c r="O893" s="14"/>
      <c r="P893" s="14" t="s">
        <v>328</v>
      </c>
      <c r="Q893" s="14"/>
      <c r="S893" s="14"/>
      <c r="T893" s="14"/>
      <c r="U893" s="14"/>
      <c r="V893" s="14"/>
      <c r="W893" s="14"/>
      <c r="X893" s="14" t="s">
        <v>328</v>
      </c>
      <c r="Z893" s="126">
        <v>0.5</v>
      </c>
      <c r="AA893" s="249">
        <v>3</v>
      </c>
      <c r="AB893" s="250">
        <v>20000</v>
      </c>
      <c r="AC893" s="250">
        <v>20000</v>
      </c>
      <c r="AD893" s="250">
        <v>180000</v>
      </c>
      <c r="AE893" s="250">
        <v>140000</v>
      </c>
      <c r="AF893" s="250">
        <v>20000</v>
      </c>
    </row>
    <row r="894" spans="2:32" x14ac:dyDescent="0.25">
      <c r="B894" s="63" t="s">
        <v>1621</v>
      </c>
      <c r="C894" s="15" t="s">
        <v>337</v>
      </c>
      <c r="D894" s="15">
        <v>1978</v>
      </c>
      <c r="E894" s="16">
        <v>1050000</v>
      </c>
      <c r="F894" s="15">
        <v>1.8</v>
      </c>
      <c r="G894" s="15">
        <v>2.1</v>
      </c>
      <c r="H894" s="15" t="s">
        <v>340</v>
      </c>
      <c r="I894" s="249">
        <f t="shared" si="39"/>
        <v>1</v>
      </c>
      <c r="J894" s="143">
        <v>3000</v>
      </c>
      <c r="K894" s="249" t="s">
        <v>2378</v>
      </c>
      <c r="M894" s="249">
        <f t="shared" si="40"/>
        <v>37</v>
      </c>
      <c r="N894" s="249">
        <f t="shared" si="41"/>
        <v>36</v>
      </c>
      <c r="O894" s="15"/>
      <c r="P894" s="15" t="s">
        <v>328</v>
      </c>
      <c r="Q894" s="15"/>
      <c r="S894" s="15"/>
      <c r="T894" s="15"/>
      <c r="U894" s="15"/>
      <c r="V894" s="15"/>
      <c r="W894" s="15" t="s">
        <v>328</v>
      </c>
      <c r="X894" s="15"/>
      <c r="Z894" s="127">
        <v>0.5</v>
      </c>
      <c r="AA894" s="249">
        <v>1</v>
      </c>
      <c r="AB894" s="250">
        <v>20000</v>
      </c>
      <c r="AC894" s="250">
        <v>20000</v>
      </c>
      <c r="AD894" s="250">
        <v>20000</v>
      </c>
      <c r="AE894" s="250">
        <v>125000</v>
      </c>
      <c r="AF894" s="250">
        <v>20000</v>
      </c>
    </row>
    <row r="895" spans="2:32" x14ac:dyDescent="0.25">
      <c r="B895" s="63" t="s">
        <v>1624</v>
      </c>
      <c r="C895" s="14" t="s">
        <v>337</v>
      </c>
      <c r="D895" s="14">
        <v>1985</v>
      </c>
      <c r="E895" s="13">
        <v>2000000</v>
      </c>
      <c r="F895" s="14">
        <v>1.8</v>
      </c>
      <c r="G895" s="14">
        <v>2</v>
      </c>
      <c r="H895" s="14" t="s">
        <v>340</v>
      </c>
      <c r="I895" s="249">
        <f t="shared" si="39"/>
        <v>1</v>
      </c>
      <c r="J895" s="143">
        <v>6000</v>
      </c>
      <c r="K895" s="249" t="s">
        <v>2379</v>
      </c>
      <c r="M895" s="249">
        <f t="shared" si="40"/>
        <v>30</v>
      </c>
      <c r="N895" s="249">
        <f t="shared" si="41"/>
        <v>29</v>
      </c>
      <c r="O895" s="14"/>
      <c r="P895" s="14" t="s">
        <v>328</v>
      </c>
      <c r="Q895" s="14"/>
      <c r="S895" s="14"/>
      <c r="T895" s="14" t="s">
        <v>328</v>
      </c>
      <c r="U895" s="14"/>
      <c r="V895" s="14"/>
      <c r="W895" s="14"/>
      <c r="X895" s="14"/>
      <c r="Z895" s="126">
        <v>0.5</v>
      </c>
      <c r="AA895" s="249">
        <v>6</v>
      </c>
      <c r="AB895" s="250">
        <v>16000</v>
      </c>
      <c r="AC895" s="250">
        <v>16000</v>
      </c>
      <c r="AD895" s="250">
        <v>25000</v>
      </c>
      <c r="AE895" s="250">
        <v>100000</v>
      </c>
      <c r="AF895" s="250">
        <v>16000</v>
      </c>
    </row>
    <row r="896" spans="2:32" x14ac:dyDescent="0.25">
      <c r="B896" s="63" t="s">
        <v>1624</v>
      </c>
      <c r="C896" s="14" t="s">
        <v>337</v>
      </c>
      <c r="D896" s="14">
        <v>1985</v>
      </c>
      <c r="E896" s="13">
        <v>2000000</v>
      </c>
      <c r="F896" s="14">
        <v>1.8</v>
      </c>
      <c r="G896" s="14">
        <v>2</v>
      </c>
      <c r="H896" s="14" t="s">
        <v>340</v>
      </c>
      <c r="I896" s="249">
        <f t="shared" si="39"/>
        <v>1</v>
      </c>
      <c r="J896" s="143">
        <v>6000</v>
      </c>
      <c r="K896" s="249" t="s">
        <v>2379</v>
      </c>
      <c r="M896" s="249">
        <f t="shared" si="40"/>
        <v>30</v>
      </c>
      <c r="N896" s="249">
        <f t="shared" si="41"/>
        <v>29</v>
      </c>
      <c r="O896" s="14"/>
      <c r="P896" s="14" t="s">
        <v>328</v>
      </c>
      <c r="Q896" s="14"/>
      <c r="S896" s="14"/>
      <c r="T896" s="14" t="s">
        <v>328</v>
      </c>
      <c r="U896" s="14"/>
      <c r="V896" s="14"/>
      <c r="W896" s="14"/>
      <c r="X896" s="14"/>
      <c r="Z896" s="126">
        <v>0.5</v>
      </c>
      <c r="AA896" s="249">
        <v>6</v>
      </c>
      <c r="AB896" s="250">
        <v>16000</v>
      </c>
      <c r="AC896" s="250">
        <v>16000</v>
      </c>
      <c r="AD896" s="250">
        <v>25000</v>
      </c>
      <c r="AE896" s="250">
        <v>100000</v>
      </c>
      <c r="AF896" s="250">
        <v>16000</v>
      </c>
    </row>
    <row r="897" spans="2:32" x14ac:dyDescent="0.25">
      <c r="B897" s="63" t="s">
        <v>1624</v>
      </c>
      <c r="C897" s="14" t="s">
        <v>337</v>
      </c>
      <c r="D897" s="14">
        <v>1985</v>
      </c>
      <c r="E897" s="13">
        <v>2000000</v>
      </c>
      <c r="F897" s="14">
        <v>1.8</v>
      </c>
      <c r="G897" s="14">
        <v>2</v>
      </c>
      <c r="H897" s="14" t="s">
        <v>340</v>
      </c>
      <c r="I897" s="249">
        <f t="shared" si="39"/>
        <v>1</v>
      </c>
      <c r="J897" s="143">
        <v>6000</v>
      </c>
      <c r="K897" s="249" t="s">
        <v>2379</v>
      </c>
      <c r="M897" s="249">
        <f t="shared" si="40"/>
        <v>30</v>
      </c>
      <c r="N897" s="249">
        <f t="shared" si="41"/>
        <v>29</v>
      </c>
      <c r="O897" s="14"/>
      <c r="P897" s="14" t="s">
        <v>328</v>
      </c>
      <c r="Q897" s="14"/>
      <c r="S897" s="14"/>
      <c r="T897" s="14" t="s">
        <v>328</v>
      </c>
      <c r="U897" s="14"/>
      <c r="V897" s="14"/>
      <c r="W897" s="14"/>
      <c r="X897" s="14"/>
      <c r="Z897" s="126">
        <v>0.5</v>
      </c>
      <c r="AA897" s="249">
        <v>6</v>
      </c>
      <c r="AB897" s="250">
        <v>16000</v>
      </c>
      <c r="AC897" s="250">
        <v>16000</v>
      </c>
      <c r="AD897" s="250">
        <v>25000</v>
      </c>
      <c r="AE897" s="250">
        <v>100000</v>
      </c>
      <c r="AF897" s="250">
        <v>16000</v>
      </c>
    </row>
    <row r="898" spans="2:32" x14ac:dyDescent="0.25">
      <c r="B898" s="63" t="s">
        <v>1624</v>
      </c>
      <c r="C898" s="14" t="s">
        <v>337</v>
      </c>
      <c r="D898" s="14">
        <v>1985</v>
      </c>
      <c r="E898" s="13">
        <v>2000000</v>
      </c>
      <c r="F898" s="14">
        <v>1.8</v>
      </c>
      <c r="G898" s="14">
        <v>2</v>
      </c>
      <c r="H898" s="14" t="s">
        <v>340</v>
      </c>
      <c r="I898" s="249">
        <f t="shared" si="39"/>
        <v>1</v>
      </c>
      <c r="J898" s="143">
        <v>6000</v>
      </c>
      <c r="K898" s="249" t="s">
        <v>2379</v>
      </c>
      <c r="M898" s="249">
        <f t="shared" si="40"/>
        <v>30</v>
      </c>
      <c r="N898" s="249">
        <f t="shared" si="41"/>
        <v>29</v>
      </c>
      <c r="O898" s="14"/>
      <c r="P898" s="14" t="s">
        <v>328</v>
      </c>
      <c r="Q898" s="14"/>
      <c r="S898" s="14"/>
      <c r="T898" s="14" t="s">
        <v>328</v>
      </c>
      <c r="U898" s="14"/>
      <c r="V898" s="14"/>
      <c r="W898" s="14"/>
      <c r="X898" s="14"/>
      <c r="Z898" s="126">
        <v>0.5</v>
      </c>
      <c r="AA898" s="249">
        <v>6</v>
      </c>
      <c r="AB898" s="250">
        <v>16000</v>
      </c>
      <c r="AC898" s="250">
        <v>16000</v>
      </c>
      <c r="AD898" s="250">
        <v>25000</v>
      </c>
      <c r="AE898" s="250">
        <v>100000</v>
      </c>
      <c r="AF898" s="250">
        <v>16000</v>
      </c>
    </row>
    <row r="899" spans="2:32" x14ac:dyDescent="0.25">
      <c r="B899" s="63" t="s">
        <v>1624</v>
      </c>
      <c r="C899" s="14" t="s">
        <v>337</v>
      </c>
      <c r="D899" s="14">
        <v>1985</v>
      </c>
      <c r="E899" s="13">
        <v>2000000</v>
      </c>
      <c r="F899" s="14">
        <v>1.8</v>
      </c>
      <c r="G899" s="14">
        <v>2</v>
      </c>
      <c r="H899" s="14" t="s">
        <v>340</v>
      </c>
      <c r="I899" s="249">
        <f t="shared" si="39"/>
        <v>1</v>
      </c>
      <c r="J899" s="143">
        <v>6000</v>
      </c>
      <c r="K899" s="249" t="s">
        <v>2379</v>
      </c>
      <c r="M899" s="249">
        <f t="shared" si="40"/>
        <v>30</v>
      </c>
      <c r="N899" s="249">
        <f t="shared" si="41"/>
        <v>29</v>
      </c>
      <c r="O899" s="14"/>
      <c r="P899" s="14" t="s">
        <v>328</v>
      </c>
      <c r="Q899" s="14"/>
      <c r="S899" s="14"/>
      <c r="T899" s="14" t="s">
        <v>328</v>
      </c>
      <c r="U899" s="14"/>
      <c r="V899" s="14"/>
      <c r="W899" s="14"/>
      <c r="X899" s="14"/>
      <c r="Z899" s="126">
        <v>0.5</v>
      </c>
      <c r="AA899" s="249">
        <v>6</v>
      </c>
      <c r="AB899" s="250">
        <v>16000</v>
      </c>
      <c r="AC899" s="250">
        <v>16000</v>
      </c>
      <c r="AD899" s="250">
        <v>25000</v>
      </c>
      <c r="AE899" s="250">
        <v>100000</v>
      </c>
      <c r="AF899" s="250">
        <v>16000</v>
      </c>
    </row>
    <row r="900" spans="2:32" x14ac:dyDescent="0.25">
      <c r="B900" s="65" t="s">
        <v>1624</v>
      </c>
      <c r="C900" s="14" t="s">
        <v>337</v>
      </c>
      <c r="D900" s="14">
        <v>2000</v>
      </c>
      <c r="E900" s="13">
        <v>500000</v>
      </c>
      <c r="F900" s="14">
        <v>1.8</v>
      </c>
      <c r="G900" s="14">
        <v>2</v>
      </c>
      <c r="H900" s="14" t="s">
        <v>340</v>
      </c>
      <c r="I900" s="249">
        <f t="shared" si="39"/>
        <v>1</v>
      </c>
      <c r="J900" s="143">
        <v>6000</v>
      </c>
      <c r="K900" s="249" t="s">
        <v>2379</v>
      </c>
      <c r="M900" s="249">
        <f t="shared" si="40"/>
        <v>15</v>
      </c>
      <c r="N900" s="249">
        <f t="shared" si="41"/>
        <v>14</v>
      </c>
      <c r="O900" s="14"/>
      <c r="P900" s="14" t="s">
        <v>328</v>
      </c>
      <c r="Q900" s="14"/>
      <c r="S900" s="14"/>
      <c r="T900" s="14"/>
      <c r="U900" s="14"/>
      <c r="V900" s="14"/>
      <c r="W900" s="14" t="s">
        <v>328</v>
      </c>
      <c r="X900" s="14"/>
      <c r="Z900" s="126">
        <v>0.5</v>
      </c>
      <c r="AA900" s="249">
        <v>6</v>
      </c>
      <c r="AB900" s="250">
        <v>16000</v>
      </c>
      <c r="AC900" s="250">
        <v>16000</v>
      </c>
      <c r="AD900" s="250">
        <v>25000</v>
      </c>
      <c r="AE900" s="250">
        <v>100000</v>
      </c>
      <c r="AF900" s="250">
        <v>16000</v>
      </c>
    </row>
    <row r="901" spans="2:32" x14ac:dyDescent="0.25">
      <c r="B901" s="65" t="s">
        <v>1627</v>
      </c>
      <c r="C901" s="14" t="s">
        <v>351</v>
      </c>
      <c r="D901" s="15">
        <v>1983</v>
      </c>
      <c r="E901" s="16">
        <v>2500000</v>
      </c>
      <c r="F901" s="15">
        <v>2.2999999999999998</v>
      </c>
      <c r="G901" s="15">
        <v>2.8</v>
      </c>
      <c r="H901" s="15" t="s">
        <v>340</v>
      </c>
      <c r="I901" s="249">
        <f t="shared" si="39"/>
        <v>1</v>
      </c>
      <c r="J901" s="143">
        <v>7000</v>
      </c>
      <c r="K901" s="249" t="s">
        <v>2378</v>
      </c>
      <c r="M901" s="249">
        <f t="shared" si="40"/>
        <v>32</v>
      </c>
      <c r="N901" s="249">
        <f t="shared" si="41"/>
        <v>31</v>
      </c>
      <c r="O901" s="15" t="s">
        <v>328</v>
      </c>
      <c r="P901" s="15"/>
      <c r="Q901" s="15"/>
      <c r="S901" s="15"/>
      <c r="T901" s="15" t="s">
        <v>328</v>
      </c>
      <c r="U901" s="15"/>
      <c r="V901" s="15"/>
      <c r="W901" s="15"/>
      <c r="X901" s="15"/>
      <c r="Z901" s="127">
        <v>0.5</v>
      </c>
      <c r="AA901" s="249">
        <v>2</v>
      </c>
      <c r="AB901" s="250">
        <v>15000</v>
      </c>
      <c r="AC901" s="250">
        <v>20000</v>
      </c>
      <c r="AD901" s="250">
        <v>30000</v>
      </c>
      <c r="AE901" s="250">
        <v>135000</v>
      </c>
      <c r="AF901" s="250">
        <v>15000</v>
      </c>
    </row>
    <row r="902" spans="2:32" x14ac:dyDescent="0.25">
      <c r="B902" s="65" t="s">
        <v>1627</v>
      </c>
      <c r="C902" s="14" t="s">
        <v>351</v>
      </c>
      <c r="D902" s="15">
        <v>1983</v>
      </c>
      <c r="E902" s="16">
        <v>2500000</v>
      </c>
      <c r="F902" s="15">
        <v>2.2999999999999998</v>
      </c>
      <c r="G902" s="15">
        <v>2.8</v>
      </c>
      <c r="H902" s="15" t="s">
        <v>340</v>
      </c>
      <c r="I902" s="249">
        <f t="shared" ref="I902:I965" si="42">IF(F902&gt;G902,0,1)</f>
        <v>1</v>
      </c>
      <c r="J902" s="143">
        <v>7000</v>
      </c>
      <c r="K902" s="249" t="s">
        <v>2378</v>
      </c>
      <c r="M902" s="249">
        <f t="shared" ref="M902:M965" si="43">2015-D902</f>
        <v>32</v>
      </c>
      <c r="N902" s="249">
        <f t="shared" ref="N902:N965" si="44">2014-$D902</f>
        <v>31</v>
      </c>
      <c r="O902" s="15" t="s">
        <v>328</v>
      </c>
      <c r="P902" s="15"/>
      <c r="Q902" s="15"/>
      <c r="S902" s="15"/>
      <c r="T902" s="15" t="s">
        <v>328</v>
      </c>
      <c r="U902" s="15"/>
      <c r="V902" s="15"/>
      <c r="W902" s="15"/>
      <c r="X902" s="15"/>
      <c r="Z902" s="127">
        <v>0.5</v>
      </c>
      <c r="AA902" s="249">
        <v>2</v>
      </c>
      <c r="AB902" s="250">
        <v>15000</v>
      </c>
      <c r="AC902" s="250">
        <v>20000</v>
      </c>
      <c r="AD902" s="250">
        <v>30000</v>
      </c>
      <c r="AE902" s="250">
        <v>135000</v>
      </c>
      <c r="AF902" s="250">
        <v>15000</v>
      </c>
    </row>
    <row r="903" spans="2:32" x14ac:dyDescent="0.25">
      <c r="B903" s="65" t="s">
        <v>1628</v>
      </c>
      <c r="C903" s="15" t="s">
        <v>337</v>
      </c>
      <c r="D903" s="15">
        <v>1978</v>
      </c>
      <c r="E903" s="16">
        <v>1100000</v>
      </c>
      <c r="F903" s="15">
        <v>1.8</v>
      </c>
      <c r="G903" s="15">
        <v>2.1</v>
      </c>
      <c r="H903" s="15" t="s">
        <v>340</v>
      </c>
      <c r="I903" s="249">
        <f t="shared" si="42"/>
        <v>1</v>
      </c>
      <c r="J903" s="143">
        <v>2500</v>
      </c>
      <c r="K903" s="249" t="s">
        <v>2378</v>
      </c>
      <c r="M903" s="249">
        <f t="shared" si="43"/>
        <v>37</v>
      </c>
      <c r="N903" s="249">
        <f t="shared" si="44"/>
        <v>36</v>
      </c>
      <c r="O903" s="15"/>
      <c r="P903" s="15"/>
      <c r="Q903" s="15" t="s">
        <v>328</v>
      </c>
      <c r="S903" s="15" t="s">
        <v>328</v>
      </c>
      <c r="T903" s="15"/>
      <c r="U903" s="15"/>
      <c r="V903" s="15"/>
      <c r="W903" s="15"/>
      <c r="X903" s="15"/>
      <c r="Z903" s="127">
        <v>0.5</v>
      </c>
      <c r="AA903" s="249">
        <v>1</v>
      </c>
      <c r="AB903" s="250">
        <v>15000</v>
      </c>
      <c r="AC903" s="250">
        <v>20000</v>
      </c>
      <c r="AD903" s="250">
        <v>20000</v>
      </c>
      <c r="AE903" s="250">
        <v>130000</v>
      </c>
      <c r="AF903" s="250">
        <v>20000</v>
      </c>
    </row>
    <row r="904" spans="2:32" x14ac:dyDescent="0.25">
      <c r="B904" s="65" t="s">
        <v>1633</v>
      </c>
      <c r="C904" s="14" t="s">
        <v>337</v>
      </c>
      <c r="D904" s="14">
        <v>1996</v>
      </c>
      <c r="E904" s="13">
        <v>1000000</v>
      </c>
      <c r="F904" s="14">
        <v>1.4</v>
      </c>
      <c r="G904" s="14">
        <v>2</v>
      </c>
      <c r="H904" s="14" t="s">
        <v>340</v>
      </c>
      <c r="I904" s="249">
        <f t="shared" si="42"/>
        <v>1</v>
      </c>
      <c r="J904" s="143">
        <v>3750</v>
      </c>
      <c r="K904" s="249" t="s">
        <v>2379</v>
      </c>
      <c r="M904" s="249">
        <f t="shared" si="43"/>
        <v>19</v>
      </c>
      <c r="N904" s="249">
        <f t="shared" si="44"/>
        <v>18</v>
      </c>
      <c r="O904" s="14"/>
      <c r="P904" s="14" t="s">
        <v>328</v>
      </c>
      <c r="Q904" s="14"/>
      <c r="S904" s="14"/>
      <c r="T904" s="14"/>
      <c r="U904" s="14"/>
      <c r="V904" s="14"/>
      <c r="W904" s="14" t="s">
        <v>328</v>
      </c>
      <c r="X904" s="14"/>
      <c r="Z904" s="126">
        <v>0.5</v>
      </c>
      <c r="AA904" s="249">
        <v>6</v>
      </c>
      <c r="AB904" s="250">
        <v>13000</v>
      </c>
      <c r="AC904" s="250">
        <v>60000</v>
      </c>
      <c r="AD904" s="250">
        <v>50000</v>
      </c>
      <c r="AE904" s="250">
        <v>110000</v>
      </c>
      <c r="AF904" s="250">
        <v>13000</v>
      </c>
    </row>
    <row r="905" spans="2:32" x14ac:dyDescent="0.25">
      <c r="B905" s="65" t="s">
        <v>1633</v>
      </c>
      <c r="C905" s="14" t="s">
        <v>337</v>
      </c>
      <c r="D905" s="14">
        <v>2000</v>
      </c>
      <c r="E905" s="13">
        <v>700000</v>
      </c>
      <c r="F905" s="14">
        <v>1.5</v>
      </c>
      <c r="G905" s="14">
        <v>2.2000000000000002</v>
      </c>
      <c r="H905" s="14" t="s">
        <v>340</v>
      </c>
      <c r="I905" s="249">
        <f t="shared" si="42"/>
        <v>1</v>
      </c>
      <c r="J905" s="143">
        <v>5000</v>
      </c>
      <c r="K905" s="249" t="s">
        <v>2379</v>
      </c>
      <c r="M905" s="249">
        <f t="shared" si="43"/>
        <v>15</v>
      </c>
      <c r="N905" s="249">
        <f t="shared" si="44"/>
        <v>14</v>
      </c>
      <c r="O905" s="14"/>
      <c r="P905" s="14" t="s">
        <v>328</v>
      </c>
      <c r="Q905" s="14"/>
      <c r="S905" s="14"/>
      <c r="T905" s="14"/>
      <c r="U905" s="14"/>
      <c r="V905" s="14"/>
      <c r="W905" s="14" t="s">
        <v>328</v>
      </c>
      <c r="X905" s="14"/>
      <c r="Z905" s="126">
        <v>0.5</v>
      </c>
      <c r="AA905" s="249">
        <v>6</v>
      </c>
      <c r="AB905" s="250">
        <v>13000</v>
      </c>
      <c r="AC905" s="250">
        <v>60000</v>
      </c>
      <c r="AD905" s="250">
        <v>50000</v>
      </c>
      <c r="AE905" s="250">
        <v>110000</v>
      </c>
      <c r="AF905" s="250">
        <v>13000</v>
      </c>
    </row>
    <row r="906" spans="2:32" x14ac:dyDescent="0.25">
      <c r="B906" s="65" t="s">
        <v>1633</v>
      </c>
      <c r="C906" s="14" t="s">
        <v>337</v>
      </c>
      <c r="D906" s="14">
        <v>2001</v>
      </c>
      <c r="E906" s="13">
        <v>600000</v>
      </c>
      <c r="F906" s="14">
        <v>1.5</v>
      </c>
      <c r="G906" s="14">
        <v>2.2000000000000002</v>
      </c>
      <c r="H906" s="14" t="s">
        <v>340</v>
      </c>
      <c r="I906" s="249">
        <f t="shared" si="42"/>
        <v>1</v>
      </c>
      <c r="J906" s="143">
        <v>5000</v>
      </c>
      <c r="K906" s="249" t="s">
        <v>2379</v>
      </c>
      <c r="M906" s="249">
        <f t="shared" si="43"/>
        <v>14</v>
      </c>
      <c r="N906" s="249">
        <f t="shared" si="44"/>
        <v>13</v>
      </c>
      <c r="O906" s="14" t="s">
        <v>328</v>
      </c>
      <c r="P906" s="14"/>
      <c r="Q906" s="14"/>
      <c r="S906" s="14"/>
      <c r="T906" s="14"/>
      <c r="U906" s="14"/>
      <c r="V906" s="14"/>
      <c r="W906" s="14" t="s">
        <v>328</v>
      </c>
      <c r="X906" s="14"/>
      <c r="Z906" s="126">
        <v>0.5</v>
      </c>
      <c r="AA906" s="249">
        <v>6</v>
      </c>
      <c r="AB906" s="250">
        <v>13000</v>
      </c>
      <c r="AC906" s="250">
        <v>60000</v>
      </c>
      <c r="AD906" s="250">
        <v>50000</v>
      </c>
      <c r="AE906" s="250">
        <v>110000</v>
      </c>
      <c r="AF906" s="250">
        <v>13000</v>
      </c>
    </row>
    <row r="907" spans="2:32" x14ac:dyDescent="0.25">
      <c r="B907" s="65" t="s">
        <v>1633</v>
      </c>
      <c r="C907" s="14" t="s">
        <v>337</v>
      </c>
      <c r="D907" s="14">
        <v>2006</v>
      </c>
      <c r="E907" s="13">
        <v>500000</v>
      </c>
      <c r="F907" s="14">
        <v>1.6</v>
      </c>
      <c r="G907" s="14">
        <v>2.4</v>
      </c>
      <c r="H907" s="14" t="s">
        <v>340</v>
      </c>
      <c r="I907" s="249">
        <f t="shared" si="42"/>
        <v>1</v>
      </c>
      <c r="J907" s="143">
        <v>5000</v>
      </c>
      <c r="K907" s="249" t="s">
        <v>2379</v>
      </c>
      <c r="M907" s="249">
        <f t="shared" si="43"/>
        <v>9</v>
      </c>
      <c r="N907" s="249">
        <f t="shared" si="44"/>
        <v>8</v>
      </c>
      <c r="O907" s="14" t="s">
        <v>328</v>
      </c>
      <c r="P907" s="14"/>
      <c r="Q907" s="14"/>
      <c r="S907" s="14"/>
      <c r="T907" s="14"/>
      <c r="U907" s="14"/>
      <c r="V907" s="14"/>
      <c r="W907" s="14" t="s">
        <v>328</v>
      </c>
      <c r="X907" s="14"/>
      <c r="Z907" s="126">
        <v>0.5</v>
      </c>
      <c r="AA907" s="249">
        <v>6</v>
      </c>
      <c r="AB907" s="250">
        <v>13000</v>
      </c>
      <c r="AC907" s="250">
        <v>60000</v>
      </c>
      <c r="AD907" s="250">
        <v>50000</v>
      </c>
      <c r="AE907" s="250">
        <v>110000</v>
      </c>
      <c r="AF907" s="250">
        <v>13000</v>
      </c>
    </row>
    <row r="908" spans="2:32" x14ac:dyDescent="0.25">
      <c r="B908" s="65" t="s">
        <v>1633</v>
      </c>
      <c r="C908" s="14" t="s">
        <v>337</v>
      </c>
      <c r="D908" s="14">
        <v>2007</v>
      </c>
      <c r="E908" s="13">
        <v>350000</v>
      </c>
      <c r="F908" s="14">
        <v>1.6</v>
      </c>
      <c r="G908" s="14">
        <v>2.4</v>
      </c>
      <c r="H908" s="14" t="s">
        <v>340</v>
      </c>
      <c r="I908" s="249">
        <f t="shared" si="42"/>
        <v>1</v>
      </c>
      <c r="J908" s="143">
        <v>5000</v>
      </c>
      <c r="K908" s="249" t="s">
        <v>2379</v>
      </c>
      <c r="M908" s="249">
        <f t="shared" si="43"/>
        <v>8</v>
      </c>
      <c r="N908" s="249">
        <f t="shared" si="44"/>
        <v>7</v>
      </c>
      <c r="O908" s="14" t="s">
        <v>328</v>
      </c>
      <c r="P908" s="14"/>
      <c r="Q908" s="14"/>
      <c r="S908" s="14"/>
      <c r="T908" s="14"/>
      <c r="U908" s="14"/>
      <c r="V908" s="14"/>
      <c r="W908" s="14" t="s">
        <v>328</v>
      </c>
      <c r="X908" s="14"/>
      <c r="Z908" s="126">
        <v>0.5</v>
      </c>
      <c r="AA908" s="249">
        <v>6</v>
      </c>
      <c r="AB908" s="250">
        <v>13000</v>
      </c>
      <c r="AC908" s="250">
        <v>60000</v>
      </c>
      <c r="AD908" s="250">
        <v>50000</v>
      </c>
      <c r="AE908" s="250">
        <v>110000</v>
      </c>
      <c r="AF908" s="250">
        <v>13000</v>
      </c>
    </row>
    <row r="909" spans="2:32" x14ac:dyDescent="0.25">
      <c r="B909" s="65" t="s">
        <v>1633</v>
      </c>
      <c r="C909" s="14" t="s">
        <v>337</v>
      </c>
      <c r="D909" s="14">
        <v>2008</v>
      </c>
      <c r="E909" s="13">
        <v>350000</v>
      </c>
      <c r="F909" s="14">
        <v>1.6</v>
      </c>
      <c r="G909" s="14">
        <v>2.5</v>
      </c>
      <c r="H909" s="14" t="s">
        <v>340</v>
      </c>
      <c r="I909" s="249">
        <f t="shared" si="42"/>
        <v>1</v>
      </c>
      <c r="J909" s="143">
        <v>5000</v>
      </c>
      <c r="K909" s="249" t="s">
        <v>2379</v>
      </c>
      <c r="M909" s="249">
        <f t="shared" si="43"/>
        <v>7</v>
      </c>
      <c r="N909" s="249">
        <f t="shared" si="44"/>
        <v>6</v>
      </c>
      <c r="O909" s="14" t="s">
        <v>328</v>
      </c>
      <c r="P909" s="14"/>
      <c r="Q909" s="14"/>
      <c r="S909" s="14"/>
      <c r="T909" s="14"/>
      <c r="U909" s="14"/>
      <c r="V909" s="14"/>
      <c r="W909" s="14" t="s">
        <v>328</v>
      </c>
      <c r="X909" s="14"/>
      <c r="Z909" s="126">
        <v>0.5</v>
      </c>
      <c r="AA909" s="249">
        <v>6</v>
      </c>
      <c r="AB909" s="250">
        <v>13000</v>
      </c>
      <c r="AC909" s="250">
        <v>60000</v>
      </c>
      <c r="AD909" s="250">
        <v>50000</v>
      </c>
      <c r="AE909" s="250">
        <v>110000</v>
      </c>
      <c r="AF909" s="250">
        <v>13000</v>
      </c>
    </row>
    <row r="910" spans="2:32" x14ac:dyDescent="0.25">
      <c r="B910" s="65" t="s">
        <v>1634</v>
      </c>
      <c r="C910" s="15" t="s">
        <v>348</v>
      </c>
      <c r="D910" s="15">
        <v>2002</v>
      </c>
      <c r="E910" s="16">
        <v>350000</v>
      </c>
      <c r="F910" s="15">
        <v>4.5</v>
      </c>
      <c r="G910" s="15">
        <v>6</v>
      </c>
      <c r="H910" s="15" t="s">
        <v>371</v>
      </c>
      <c r="I910" s="249">
        <f t="shared" si="42"/>
        <v>1</v>
      </c>
      <c r="J910" s="143">
        <v>3000</v>
      </c>
      <c r="K910" s="249" t="s">
        <v>2378</v>
      </c>
      <c r="M910" s="249">
        <f t="shared" si="43"/>
        <v>13</v>
      </c>
      <c r="N910" s="249">
        <f t="shared" si="44"/>
        <v>12</v>
      </c>
      <c r="O910" s="15"/>
      <c r="P910" s="15" t="s">
        <v>328</v>
      </c>
      <c r="Q910" s="15"/>
      <c r="S910" s="15"/>
      <c r="T910" s="15" t="s">
        <v>328</v>
      </c>
      <c r="U910" s="15"/>
      <c r="V910" s="15"/>
      <c r="W910" s="15"/>
      <c r="X910" s="15"/>
      <c r="Z910" s="127">
        <v>0.5</v>
      </c>
      <c r="AA910" s="249">
        <v>1</v>
      </c>
      <c r="AB910" s="250">
        <v>15000</v>
      </c>
      <c r="AC910" s="250">
        <v>30000</v>
      </c>
      <c r="AD910" s="250">
        <v>15000</v>
      </c>
      <c r="AE910" s="250">
        <v>80000</v>
      </c>
      <c r="AF910" s="250" t="s">
        <v>385</v>
      </c>
    </row>
    <row r="911" spans="2:32" x14ac:dyDescent="0.25">
      <c r="B911" s="65" t="s">
        <v>1637</v>
      </c>
      <c r="C911" s="15" t="s">
        <v>348</v>
      </c>
      <c r="D911" s="15">
        <v>1998</v>
      </c>
      <c r="E911" s="16">
        <v>1500000</v>
      </c>
      <c r="F911" s="15">
        <v>3</v>
      </c>
      <c r="G911" s="15">
        <v>3.6</v>
      </c>
      <c r="H911" s="15" t="s">
        <v>340</v>
      </c>
      <c r="I911" s="249">
        <f t="shared" si="42"/>
        <v>1</v>
      </c>
      <c r="J911" s="143">
        <v>7000</v>
      </c>
      <c r="K911" s="249" t="s">
        <v>2378</v>
      </c>
      <c r="M911" s="249">
        <f t="shared" si="43"/>
        <v>17</v>
      </c>
      <c r="N911" s="249">
        <f t="shared" si="44"/>
        <v>16</v>
      </c>
      <c r="O911" s="15"/>
      <c r="P911" s="15" t="s">
        <v>328</v>
      </c>
      <c r="Q911" s="15"/>
      <c r="S911" s="15"/>
      <c r="T911" s="15"/>
      <c r="U911" s="15"/>
      <c r="V911" s="15"/>
      <c r="W911" s="15" t="s">
        <v>328</v>
      </c>
      <c r="X911" s="15"/>
      <c r="Z911" s="127">
        <v>0.3</v>
      </c>
      <c r="AA911" s="249">
        <v>2</v>
      </c>
      <c r="AB911" s="250">
        <v>10000</v>
      </c>
      <c r="AC911" s="250">
        <v>30000</v>
      </c>
      <c r="AD911" s="250">
        <v>30000</v>
      </c>
      <c r="AE911" s="250">
        <v>110000</v>
      </c>
      <c r="AF911" s="250">
        <v>10000</v>
      </c>
    </row>
    <row r="912" spans="2:32" x14ac:dyDescent="0.25">
      <c r="B912" s="65" t="s">
        <v>1637</v>
      </c>
      <c r="C912" s="14" t="s">
        <v>351</v>
      </c>
      <c r="D912" s="15">
        <v>2000</v>
      </c>
      <c r="E912" s="16">
        <v>1100000</v>
      </c>
      <c r="F912" s="15">
        <v>3</v>
      </c>
      <c r="G912" s="15">
        <v>3.6</v>
      </c>
      <c r="H912" s="15" t="s">
        <v>340</v>
      </c>
      <c r="I912" s="249">
        <f t="shared" si="42"/>
        <v>1</v>
      </c>
      <c r="J912" s="143">
        <v>7000</v>
      </c>
      <c r="K912" s="249" t="s">
        <v>2378</v>
      </c>
      <c r="M912" s="249">
        <f t="shared" si="43"/>
        <v>15</v>
      </c>
      <c r="N912" s="249">
        <f t="shared" si="44"/>
        <v>14</v>
      </c>
      <c r="O912" s="15"/>
      <c r="P912" s="15" t="s">
        <v>328</v>
      </c>
      <c r="Q912" s="15"/>
      <c r="S912" s="15"/>
      <c r="T912" s="15"/>
      <c r="U912" s="15"/>
      <c r="V912" s="15"/>
      <c r="W912" s="15" t="s">
        <v>328</v>
      </c>
      <c r="X912" s="15"/>
      <c r="Z912" s="127">
        <v>0.3</v>
      </c>
      <c r="AA912" s="249">
        <v>2</v>
      </c>
      <c r="AB912" s="250">
        <v>10000</v>
      </c>
      <c r="AC912" s="250">
        <v>30000</v>
      </c>
      <c r="AD912" s="250">
        <v>30000</v>
      </c>
      <c r="AE912" s="250">
        <v>110000</v>
      </c>
      <c r="AF912" s="250">
        <v>10000</v>
      </c>
    </row>
    <row r="913" spans="2:32" x14ac:dyDescent="0.25">
      <c r="B913" s="65" t="s">
        <v>1638</v>
      </c>
      <c r="C913" s="14" t="s">
        <v>337</v>
      </c>
      <c r="D913" s="15">
        <v>1980</v>
      </c>
      <c r="E913" s="16">
        <v>2500000</v>
      </c>
      <c r="F913" s="15">
        <v>2.2999999999999998</v>
      </c>
      <c r="G913" s="15">
        <v>2.7</v>
      </c>
      <c r="H913" s="15" t="s">
        <v>340</v>
      </c>
      <c r="I913" s="249">
        <f t="shared" si="42"/>
        <v>1</v>
      </c>
      <c r="J913" s="143">
        <v>5000</v>
      </c>
      <c r="K913" s="249" t="s">
        <v>2378</v>
      </c>
      <c r="M913" s="249">
        <f t="shared" si="43"/>
        <v>35</v>
      </c>
      <c r="N913" s="249">
        <f t="shared" si="44"/>
        <v>34</v>
      </c>
      <c r="O913" s="15" t="s">
        <v>328</v>
      </c>
      <c r="P913" s="15"/>
      <c r="Q913" s="15"/>
      <c r="S913" s="15"/>
      <c r="T913" s="15" t="s">
        <v>328</v>
      </c>
      <c r="U913" s="15"/>
      <c r="V913" s="15"/>
      <c r="W913" s="15"/>
      <c r="X913" s="15"/>
      <c r="Z913" s="127">
        <v>0.5</v>
      </c>
      <c r="AA913" s="249">
        <v>2</v>
      </c>
      <c r="AB913" s="250">
        <v>12000</v>
      </c>
      <c r="AC913" s="250">
        <v>25000</v>
      </c>
      <c r="AD913" s="250">
        <v>45000</v>
      </c>
      <c r="AE913" s="250">
        <v>115000</v>
      </c>
      <c r="AF913" s="250">
        <v>12000</v>
      </c>
    </row>
    <row r="914" spans="2:32" x14ac:dyDescent="0.25">
      <c r="B914" s="65" t="s">
        <v>1638</v>
      </c>
      <c r="C914" s="14" t="s">
        <v>337</v>
      </c>
      <c r="D914" s="15">
        <v>1980</v>
      </c>
      <c r="E914" s="16">
        <v>2500000</v>
      </c>
      <c r="F914" s="15">
        <v>2.2999999999999998</v>
      </c>
      <c r="G914" s="15">
        <v>2.7</v>
      </c>
      <c r="H914" s="15" t="s">
        <v>340</v>
      </c>
      <c r="I914" s="249">
        <f t="shared" si="42"/>
        <v>1</v>
      </c>
      <c r="J914" s="143">
        <v>5000</v>
      </c>
      <c r="K914" s="249" t="s">
        <v>2378</v>
      </c>
      <c r="M914" s="249">
        <f t="shared" si="43"/>
        <v>35</v>
      </c>
      <c r="N914" s="249">
        <f t="shared" si="44"/>
        <v>34</v>
      </c>
      <c r="O914" s="15" t="s">
        <v>328</v>
      </c>
      <c r="P914" s="15"/>
      <c r="Q914" s="15"/>
      <c r="S914" s="15"/>
      <c r="T914" s="15" t="s">
        <v>328</v>
      </c>
      <c r="U914" s="15"/>
      <c r="V914" s="15"/>
      <c r="W914" s="15"/>
      <c r="X914" s="15"/>
      <c r="Z914" s="127">
        <v>0.5</v>
      </c>
      <c r="AA914" s="249">
        <v>2</v>
      </c>
      <c r="AB914" s="250">
        <v>12000</v>
      </c>
      <c r="AC914" s="250">
        <v>25000</v>
      </c>
      <c r="AD914" s="250">
        <v>45000</v>
      </c>
      <c r="AE914" s="250">
        <v>115000</v>
      </c>
      <c r="AF914" s="250">
        <v>12000</v>
      </c>
    </row>
    <row r="915" spans="2:32" x14ac:dyDescent="0.25">
      <c r="B915" s="65" t="s">
        <v>1639</v>
      </c>
      <c r="C915" s="15" t="s">
        <v>337</v>
      </c>
      <c r="D915" s="15">
        <v>2006</v>
      </c>
      <c r="E915" s="16">
        <v>850000</v>
      </c>
      <c r="F915" s="15">
        <v>2.5</v>
      </c>
      <c r="G915" s="15">
        <v>2.7</v>
      </c>
      <c r="H915" s="15" t="s">
        <v>340</v>
      </c>
      <c r="I915" s="249">
        <f t="shared" si="42"/>
        <v>1</v>
      </c>
      <c r="J915" s="143">
        <v>8000</v>
      </c>
      <c r="K915" s="249" t="s">
        <v>2378</v>
      </c>
      <c r="M915" s="249">
        <f t="shared" si="43"/>
        <v>9</v>
      </c>
      <c r="N915" s="249">
        <f t="shared" si="44"/>
        <v>8</v>
      </c>
      <c r="O915" s="15" t="s">
        <v>328</v>
      </c>
      <c r="P915" s="15"/>
      <c r="Q915" s="15"/>
      <c r="S915" s="15"/>
      <c r="T915" s="15"/>
      <c r="U915" s="15"/>
      <c r="V915" s="15"/>
      <c r="W915" s="15" t="s">
        <v>328</v>
      </c>
      <c r="X915" s="15"/>
      <c r="Z915" s="127">
        <v>0.5</v>
      </c>
      <c r="AA915" s="249">
        <v>4</v>
      </c>
      <c r="AB915" s="250">
        <v>16000</v>
      </c>
      <c r="AC915" s="250">
        <v>35000</v>
      </c>
      <c r="AD915" s="250">
        <v>80000</v>
      </c>
      <c r="AE915" s="250">
        <v>150000</v>
      </c>
      <c r="AF915" s="250">
        <v>35000</v>
      </c>
    </row>
    <row r="916" spans="2:32" x14ac:dyDescent="0.25">
      <c r="B916" s="65" t="s">
        <v>1639</v>
      </c>
      <c r="C916" s="15" t="s">
        <v>337</v>
      </c>
      <c r="D916" s="15">
        <v>2006</v>
      </c>
      <c r="E916" s="16">
        <v>750000</v>
      </c>
      <c r="F916" s="15">
        <v>2.5</v>
      </c>
      <c r="G916" s="15">
        <v>2.7</v>
      </c>
      <c r="H916" s="15" t="s">
        <v>340</v>
      </c>
      <c r="I916" s="249">
        <f t="shared" si="42"/>
        <v>1</v>
      </c>
      <c r="J916" s="143">
        <v>8000</v>
      </c>
      <c r="K916" s="249" t="s">
        <v>2378</v>
      </c>
      <c r="M916" s="249">
        <f t="shared" si="43"/>
        <v>9</v>
      </c>
      <c r="N916" s="249">
        <f t="shared" si="44"/>
        <v>8</v>
      </c>
      <c r="O916" s="15" t="s">
        <v>328</v>
      </c>
      <c r="P916" s="15"/>
      <c r="Q916" s="15"/>
      <c r="S916" s="15"/>
      <c r="T916" s="15"/>
      <c r="U916" s="15"/>
      <c r="V916" s="15"/>
      <c r="W916" s="15" t="s">
        <v>328</v>
      </c>
      <c r="X916" s="15"/>
      <c r="Z916" s="127">
        <v>0.5</v>
      </c>
      <c r="AA916" s="249">
        <v>4</v>
      </c>
      <c r="AB916" s="250">
        <v>18000</v>
      </c>
      <c r="AC916" s="250">
        <v>35000</v>
      </c>
      <c r="AD916" s="250">
        <v>80000</v>
      </c>
      <c r="AE916" s="250">
        <v>150000</v>
      </c>
      <c r="AF916" s="250">
        <v>35000</v>
      </c>
    </row>
    <row r="917" spans="2:32" x14ac:dyDescent="0.25">
      <c r="B917" s="65" t="s">
        <v>1639</v>
      </c>
      <c r="C917" s="15" t="s">
        <v>337</v>
      </c>
      <c r="D917" s="15">
        <v>2006</v>
      </c>
      <c r="E917" s="16">
        <v>690000</v>
      </c>
      <c r="F917" s="15">
        <v>2.5</v>
      </c>
      <c r="G917" s="15">
        <v>2.7</v>
      </c>
      <c r="H917" s="15" t="s">
        <v>340</v>
      </c>
      <c r="I917" s="249">
        <f t="shared" si="42"/>
        <v>1</v>
      </c>
      <c r="J917" s="143">
        <v>8000</v>
      </c>
      <c r="K917" s="249" t="s">
        <v>2378</v>
      </c>
      <c r="M917" s="249">
        <f t="shared" si="43"/>
        <v>9</v>
      </c>
      <c r="N917" s="249">
        <f t="shared" si="44"/>
        <v>8</v>
      </c>
      <c r="O917" s="15" t="s">
        <v>328</v>
      </c>
      <c r="P917" s="15"/>
      <c r="Q917" s="15"/>
      <c r="S917" s="15"/>
      <c r="T917" s="15"/>
      <c r="U917" s="15"/>
      <c r="V917" s="15"/>
      <c r="W917" s="15" t="s">
        <v>328</v>
      </c>
      <c r="X917" s="15"/>
      <c r="Z917" s="127">
        <v>0.5</v>
      </c>
      <c r="AA917" s="249">
        <v>4</v>
      </c>
      <c r="AB917" s="250">
        <v>18000</v>
      </c>
      <c r="AC917" s="250">
        <v>35000</v>
      </c>
      <c r="AD917" s="250">
        <v>80000</v>
      </c>
      <c r="AE917" s="250">
        <v>150000</v>
      </c>
      <c r="AF917" s="250">
        <v>35000</v>
      </c>
    </row>
    <row r="918" spans="2:32" x14ac:dyDescent="0.25">
      <c r="B918" s="65" t="s">
        <v>1639</v>
      </c>
      <c r="C918" s="15" t="s">
        <v>337</v>
      </c>
      <c r="D918" s="15">
        <v>2009</v>
      </c>
      <c r="E918" s="16">
        <v>560000</v>
      </c>
      <c r="F918" s="15">
        <v>2.5</v>
      </c>
      <c r="G918" s="15">
        <v>2.7</v>
      </c>
      <c r="H918" s="15" t="s">
        <v>340</v>
      </c>
      <c r="I918" s="249">
        <f t="shared" si="42"/>
        <v>1</v>
      </c>
      <c r="J918" s="143">
        <v>8000</v>
      </c>
      <c r="K918" s="249" t="s">
        <v>2378</v>
      </c>
      <c r="M918" s="249">
        <f t="shared" si="43"/>
        <v>6</v>
      </c>
      <c r="N918" s="249">
        <f t="shared" si="44"/>
        <v>5</v>
      </c>
      <c r="O918" s="15" t="s">
        <v>328</v>
      </c>
      <c r="P918" s="15"/>
      <c r="Q918" s="15"/>
      <c r="S918" s="15"/>
      <c r="T918" s="15" t="s">
        <v>328</v>
      </c>
      <c r="U918" s="15"/>
      <c r="V918" s="15"/>
      <c r="W918" s="15"/>
      <c r="X918" s="15"/>
      <c r="Z918" s="127">
        <v>0.5</v>
      </c>
      <c r="AA918" s="249">
        <v>4</v>
      </c>
      <c r="AB918" s="250">
        <v>18000</v>
      </c>
      <c r="AC918" s="250">
        <v>35000</v>
      </c>
      <c r="AD918" s="250">
        <v>80000</v>
      </c>
      <c r="AE918" s="250">
        <v>150000</v>
      </c>
      <c r="AF918" s="250">
        <v>35000</v>
      </c>
    </row>
    <row r="919" spans="2:32" x14ac:dyDescent="0.25">
      <c r="B919" s="65" t="s">
        <v>1640</v>
      </c>
      <c r="C919" s="14" t="s">
        <v>351</v>
      </c>
      <c r="D919" s="14">
        <v>1987</v>
      </c>
      <c r="E919" s="13">
        <v>1653380</v>
      </c>
      <c r="F919" s="14">
        <v>3</v>
      </c>
      <c r="G919" s="14">
        <v>4</v>
      </c>
      <c r="H919" s="14" t="s">
        <v>340</v>
      </c>
      <c r="I919" s="249">
        <f t="shared" si="42"/>
        <v>1</v>
      </c>
      <c r="J919" s="143">
        <v>5000</v>
      </c>
      <c r="K919" s="249" t="s">
        <v>2378</v>
      </c>
      <c r="M919" s="249">
        <f t="shared" si="43"/>
        <v>28</v>
      </c>
      <c r="N919" s="249">
        <f t="shared" si="44"/>
        <v>27</v>
      </c>
      <c r="O919" s="14"/>
      <c r="P919" s="14" t="s">
        <v>328</v>
      </c>
      <c r="Q919" s="14"/>
      <c r="S919" s="14"/>
      <c r="T919" s="14"/>
      <c r="U919" s="14"/>
      <c r="V919" s="14"/>
      <c r="W919" s="14" t="s">
        <v>328</v>
      </c>
      <c r="X919" s="14"/>
      <c r="Z919" s="126">
        <v>0.2</v>
      </c>
      <c r="AA919" s="249">
        <v>1</v>
      </c>
      <c r="AB919" s="250">
        <v>30000</v>
      </c>
      <c r="AC919" s="250">
        <v>30000</v>
      </c>
      <c r="AD919" s="250">
        <v>65000</v>
      </c>
      <c r="AE919" s="250">
        <v>150000</v>
      </c>
      <c r="AF919" s="250">
        <v>30000</v>
      </c>
    </row>
    <row r="920" spans="2:32" x14ac:dyDescent="0.25">
      <c r="B920" s="65" t="s">
        <v>1643</v>
      </c>
      <c r="C920" s="14" t="s">
        <v>348</v>
      </c>
      <c r="D920" s="14">
        <v>1984</v>
      </c>
      <c r="E920" s="13">
        <v>2158320</v>
      </c>
      <c r="F920" s="14">
        <v>1.9</v>
      </c>
      <c r="G920" s="14">
        <v>2.2999999999999998</v>
      </c>
      <c r="H920" s="14" t="s">
        <v>340</v>
      </c>
      <c r="I920" s="249">
        <f t="shared" si="42"/>
        <v>1</v>
      </c>
      <c r="J920" s="143">
        <v>5000</v>
      </c>
      <c r="K920" s="249" t="s">
        <v>2378</v>
      </c>
      <c r="M920" s="249">
        <f t="shared" si="43"/>
        <v>31</v>
      </c>
      <c r="N920" s="249">
        <f t="shared" si="44"/>
        <v>30</v>
      </c>
      <c r="O920" s="14"/>
      <c r="P920" s="14"/>
      <c r="Q920" s="14" t="s">
        <v>328</v>
      </c>
      <c r="S920" s="14"/>
      <c r="T920" s="14"/>
      <c r="U920" s="14"/>
      <c r="V920" s="14"/>
      <c r="W920" s="14" t="s">
        <v>328</v>
      </c>
      <c r="X920" s="14"/>
      <c r="Z920" s="126">
        <v>0.2</v>
      </c>
      <c r="AA920" s="249">
        <v>2</v>
      </c>
      <c r="AB920" s="250">
        <v>12000</v>
      </c>
      <c r="AC920" s="250">
        <v>20000</v>
      </c>
      <c r="AD920" s="250">
        <v>10000</v>
      </c>
      <c r="AE920" s="250">
        <v>12000</v>
      </c>
      <c r="AF920" s="250">
        <v>15000</v>
      </c>
    </row>
    <row r="921" spans="2:32" x14ac:dyDescent="0.25">
      <c r="B921" s="65" t="s">
        <v>1643</v>
      </c>
      <c r="C921" s="14" t="s">
        <v>348</v>
      </c>
      <c r="D921" s="14">
        <v>1993</v>
      </c>
      <c r="E921" s="13">
        <v>790415</v>
      </c>
      <c r="F921" s="14">
        <v>1.9</v>
      </c>
      <c r="G921" s="14">
        <v>2.2999999999999998</v>
      </c>
      <c r="H921" s="14" t="s">
        <v>340</v>
      </c>
      <c r="I921" s="249">
        <f t="shared" si="42"/>
        <v>1</v>
      </c>
      <c r="J921" s="143">
        <v>5000</v>
      </c>
      <c r="K921" s="249" t="s">
        <v>2378</v>
      </c>
      <c r="M921" s="249">
        <f t="shared" si="43"/>
        <v>22</v>
      </c>
      <c r="N921" s="249">
        <f t="shared" si="44"/>
        <v>21</v>
      </c>
      <c r="O921" s="14"/>
      <c r="P921" s="14" t="s">
        <v>328</v>
      </c>
      <c r="Q921" s="14"/>
      <c r="S921" s="14"/>
      <c r="T921" s="14"/>
      <c r="U921" s="14"/>
      <c r="V921" s="14"/>
      <c r="W921" s="14" t="s">
        <v>328</v>
      </c>
      <c r="X921" s="14"/>
      <c r="Z921" s="126">
        <v>0.2</v>
      </c>
      <c r="AA921" s="249">
        <v>2</v>
      </c>
      <c r="AB921" s="250">
        <v>12000</v>
      </c>
      <c r="AC921" s="250">
        <v>20000</v>
      </c>
      <c r="AD921" s="250">
        <v>7000</v>
      </c>
      <c r="AE921" s="250">
        <v>12000</v>
      </c>
      <c r="AF921" s="250">
        <v>20000</v>
      </c>
    </row>
    <row r="922" spans="2:32" x14ac:dyDescent="0.25">
      <c r="B922" s="65" t="s">
        <v>1644</v>
      </c>
      <c r="C922" s="14" t="s">
        <v>351</v>
      </c>
      <c r="D922" s="15">
        <v>1990</v>
      </c>
      <c r="E922" s="13">
        <v>1872000</v>
      </c>
      <c r="F922" s="15">
        <v>3.1</v>
      </c>
      <c r="G922" s="15">
        <v>3.4</v>
      </c>
      <c r="H922" s="15" t="s">
        <v>340</v>
      </c>
      <c r="I922" s="249">
        <f t="shared" si="42"/>
        <v>1</v>
      </c>
      <c r="J922" s="143">
        <v>6500</v>
      </c>
      <c r="K922" s="249" t="s">
        <v>2378</v>
      </c>
      <c r="M922" s="249">
        <f t="shared" si="43"/>
        <v>25</v>
      </c>
      <c r="N922" s="249">
        <f t="shared" si="44"/>
        <v>24</v>
      </c>
      <c r="O922" s="15"/>
      <c r="P922" s="15" t="s">
        <v>328</v>
      </c>
      <c r="Q922" s="15"/>
      <c r="S922" s="15"/>
      <c r="T922" s="15"/>
      <c r="U922" s="15"/>
      <c r="V922" s="15"/>
      <c r="W922" s="15" t="s">
        <v>328</v>
      </c>
      <c r="X922" s="15"/>
      <c r="Z922" s="127">
        <v>0.5</v>
      </c>
      <c r="AA922" s="249">
        <v>1</v>
      </c>
      <c r="AB922" s="250">
        <v>16000</v>
      </c>
      <c r="AC922" s="250">
        <v>55000</v>
      </c>
      <c r="AD922" s="250">
        <v>60000</v>
      </c>
      <c r="AE922" s="250">
        <v>120000</v>
      </c>
      <c r="AF922" s="250">
        <v>16000</v>
      </c>
    </row>
    <row r="923" spans="2:32" x14ac:dyDescent="0.25">
      <c r="B923" s="65" t="s">
        <v>1645</v>
      </c>
      <c r="C923" s="15" t="s">
        <v>337</v>
      </c>
      <c r="D923" s="15">
        <v>1995</v>
      </c>
      <c r="E923" s="13">
        <v>1482000</v>
      </c>
      <c r="F923" s="15">
        <v>2</v>
      </c>
      <c r="G923" s="15">
        <v>2.2000000000000002</v>
      </c>
      <c r="H923" s="15" t="s">
        <v>340</v>
      </c>
      <c r="I923" s="249">
        <f t="shared" si="42"/>
        <v>1</v>
      </c>
      <c r="J923" s="143">
        <v>6500</v>
      </c>
      <c r="K923" s="249" t="s">
        <v>2379</v>
      </c>
      <c r="M923" s="249">
        <f t="shared" si="43"/>
        <v>20</v>
      </c>
      <c r="N923" s="249">
        <f t="shared" si="44"/>
        <v>19</v>
      </c>
      <c r="O923" s="15" t="s">
        <v>328</v>
      </c>
      <c r="P923" s="15"/>
      <c r="Q923" s="15"/>
      <c r="S923" s="15" t="s">
        <v>328</v>
      </c>
      <c r="T923" s="15"/>
      <c r="U923" s="15"/>
      <c r="V923" s="15"/>
      <c r="W923" s="15"/>
      <c r="X923" s="15"/>
      <c r="Z923" s="127">
        <v>0.5</v>
      </c>
      <c r="AA923" s="249">
        <v>6</v>
      </c>
      <c r="AB923" s="250">
        <v>20000</v>
      </c>
      <c r="AC923" s="250">
        <v>20000</v>
      </c>
      <c r="AD923" s="250">
        <v>40000</v>
      </c>
      <c r="AE923" s="250">
        <v>130000</v>
      </c>
      <c r="AF923" s="250">
        <v>20000</v>
      </c>
    </row>
    <row r="924" spans="2:32" x14ac:dyDescent="0.25">
      <c r="B924" s="65" t="s">
        <v>1645</v>
      </c>
      <c r="C924" s="15" t="s">
        <v>337</v>
      </c>
      <c r="D924" s="15">
        <v>1995</v>
      </c>
      <c r="E924" s="13">
        <v>1482000</v>
      </c>
      <c r="F924" s="15">
        <v>2</v>
      </c>
      <c r="G924" s="15">
        <v>2.2000000000000002</v>
      </c>
      <c r="H924" s="15" t="s">
        <v>340</v>
      </c>
      <c r="I924" s="249">
        <f t="shared" si="42"/>
        <v>1</v>
      </c>
      <c r="J924" s="143">
        <v>6500</v>
      </c>
      <c r="K924" s="249" t="s">
        <v>2379</v>
      </c>
      <c r="M924" s="249">
        <f t="shared" si="43"/>
        <v>20</v>
      </c>
      <c r="N924" s="249">
        <f t="shared" si="44"/>
        <v>19</v>
      </c>
      <c r="O924" s="15" t="s">
        <v>328</v>
      </c>
      <c r="P924" s="15"/>
      <c r="Q924" s="15"/>
      <c r="S924" s="15" t="s">
        <v>328</v>
      </c>
      <c r="T924" s="15"/>
      <c r="U924" s="15"/>
      <c r="V924" s="15"/>
      <c r="W924" s="15"/>
      <c r="X924" s="15"/>
      <c r="Z924" s="127">
        <v>0.5</v>
      </c>
      <c r="AA924" s="249">
        <v>6</v>
      </c>
      <c r="AB924" s="250">
        <v>20000</v>
      </c>
      <c r="AC924" s="250">
        <v>20000</v>
      </c>
      <c r="AD924" s="250">
        <v>40000</v>
      </c>
      <c r="AE924" s="250">
        <v>130000</v>
      </c>
      <c r="AF924" s="250">
        <v>20000</v>
      </c>
    </row>
    <row r="925" spans="2:32" x14ac:dyDescent="0.25">
      <c r="B925" s="65" t="s">
        <v>1645</v>
      </c>
      <c r="C925" s="15" t="s">
        <v>337</v>
      </c>
      <c r="D925" s="15">
        <v>1998</v>
      </c>
      <c r="E925" s="13">
        <v>1248000</v>
      </c>
      <c r="F925" s="15">
        <v>2</v>
      </c>
      <c r="G925" s="15">
        <v>2.2000000000000002</v>
      </c>
      <c r="H925" s="15" t="s">
        <v>340</v>
      </c>
      <c r="I925" s="249">
        <f t="shared" si="42"/>
        <v>1</v>
      </c>
      <c r="J925" s="143">
        <v>6500</v>
      </c>
      <c r="K925" s="249" t="s">
        <v>2379</v>
      </c>
      <c r="M925" s="249">
        <f t="shared" si="43"/>
        <v>17</v>
      </c>
      <c r="N925" s="249">
        <f t="shared" si="44"/>
        <v>16</v>
      </c>
      <c r="O925" s="15" t="s">
        <v>328</v>
      </c>
      <c r="P925" s="15"/>
      <c r="Q925" s="15"/>
      <c r="S925" s="15"/>
      <c r="T925" s="15" t="s">
        <v>328</v>
      </c>
      <c r="U925" s="15"/>
      <c r="V925" s="15"/>
      <c r="W925" s="15"/>
      <c r="X925" s="15"/>
      <c r="Z925" s="127">
        <v>0.5</v>
      </c>
      <c r="AA925" s="249">
        <v>6</v>
      </c>
      <c r="AB925" s="250">
        <v>20000</v>
      </c>
      <c r="AC925" s="250">
        <v>20000</v>
      </c>
      <c r="AD925" s="250">
        <v>40000</v>
      </c>
      <c r="AE925" s="250">
        <v>130000</v>
      </c>
      <c r="AF925" s="250">
        <v>20000</v>
      </c>
    </row>
    <row r="926" spans="2:32" x14ac:dyDescent="0.25">
      <c r="B926" s="65" t="s">
        <v>1645</v>
      </c>
      <c r="C926" s="15" t="s">
        <v>337</v>
      </c>
      <c r="D926" s="15">
        <v>1998</v>
      </c>
      <c r="E926" s="13">
        <v>1248000</v>
      </c>
      <c r="F926" s="15">
        <v>2</v>
      </c>
      <c r="G926" s="15">
        <v>2.2000000000000002</v>
      </c>
      <c r="H926" s="15" t="s">
        <v>340</v>
      </c>
      <c r="I926" s="249">
        <f t="shared" si="42"/>
        <v>1</v>
      </c>
      <c r="J926" s="143">
        <v>6500</v>
      </c>
      <c r="K926" s="249" t="s">
        <v>2379</v>
      </c>
      <c r="M926" s="249">
        <f t="shared" si="43"/>
        <v>17</v>
      </c>
      <c r="N926" s="249">
        <f t="shared" si="44"/>
        <v>16</v>
      </c>
      <c r="O926" s="15" t="s">
        <v>328</v>
      </c>
      <c r="P926" s="15"/>
      <c r="Q926" s="15"/>
      <c r="S926" s="15"/>
      <c r="T926" s="15" t="s">
        <v>328</v>
      </c>
      <c r="U926" s="15"/>
      <c r="V926" s="15"/>
      <c r="W926" s="15"/>
      <c r="X926" s="15"/>
      <c r="Z926" s="127">
        <v>0.5</v>
      </c>
      <c r="AA926" s="249">
        <v>6</v>
      </c>
      <c r="AB926" s="250">
        <v>20000</v>
      </c>
      <c r="AC926" s="250">
        <v>20000</v>
      </c>
      <c r="AD926" s="250">
        <v>40000</v>
      </c>
      <c r="AE926" s="250">
        <v>130000</v>
      </c>
      <c r="AF926" s="250">
        <v>20000</v>
      </c>
    </row>
    <row r="927" spans="2:32" x14ac:dyDescent="0.25">
      <c r="B927" s="65" t="s">
        <v>1645</v>
      </c>
      <c r="C927" s="15" t="s">
        <v>337</v>
      </c>
      <c r="D927" s="15">
        <v>2000</v>
      </c>
      <c r="E927" s="13">
        <v>1092000</v>
      </c>
      <c r="F927" s="15">
        <v>2.2999999999999998</v>
      </c>
      <c r="G927" s="15">
        <v>2.5</v>
      </c>
      <c r="H927" s="15" t="s">
        <v>340</v>
      </c>
      <c r="I927" s="249">
        <f t="shared" si="42"/>
        <v>1</v>
      </c>
      <c r="J927" s="143">
        <v>6500</v>
      </c>
      <c r="K927" s="249" t="s">
        <v>2379</v>
      </c>
      <c r="M927" s="249">
        <f t="shared" si="43"/>
        <v>15</v>
      </c>
      <c r="N927" s="249">
        <f t="shared" si="44"/>
        <v>14</v>
      </c>
      <c r="O927" s="15" t="s">
        <v>328</v>
      </c>
      <c r="P927" s="15"/>
      <c r="Q927" s="15"/>
      <c r="S927" s="15"/>
      <c r="T927" s="15"/>
      <c r="U927" s="15"/>
      <c r="V927" s="15"/>
      <c r="W927" s="15" t="s">
        <v>328</v>
      </c>
      <c r="X927" s="15"/>
      <c r="Z927" s="127">
        <v>0.5</v>
      </c>
      <c r="AA927" s="249">
        <v>6</v>
      </c>
      <c r="AB927" s="250">
        <v>20000</v>
      </c>
      <c r="AC927" s="250">
        <v>20000</v>
      </c>
      <c r="AD927" s="250">
        <v>40000</v>
      </c>
      <c r="AE927" s="250">
        <v>130000</v>
      </c>
      <c r="AF927" s="250">
        <v>20000</v>
      </c>
    </row>
    <row r="928" spans="2:32" x14ac:dyDescent="0.25">
      <c r="B928" s="65" t="s">
        <v>1645</v>
      </c>
      <c r="C928" s="15" t="s">
        <v>337</v>
      </c>
      <c r="D928" s="15">
        <v>2000</v>
      </c>
      <c r="E928" s="13">
        <v>1092000</v>
      </c>
      <c r="F928" s="15">
        <v>2.2999999999999998</v>
      </c>
      <c r="G928" s="15">
        <v>2.5</v>
      </c>
      <c r="H928" s="15" t="s">
        <v>340</v>
      </c>
      <c r="I928" s="249">
        <f t="shared" si="42"/>
        <v>1</v>
      </c>
      <c r="J928" s="143">
        <v>6500</v>
      </c>
      <c r="K928" s="249" t="s">
        <v>2379</v>
      </c>
      <c r="M928" s="249">
        <f t="shared" si="43"/>
        <v>15</v>
      </c>
      <c r="N928" s="249">
        <f t="shared" si="44"/>
        <v>14</v>
      </c>
      <c r="O928" s="15" t="s">
        <v>328</v>
      </c>
      <c r="P928" s="15"/>
      <c r="Q928" s="15"/>
      <c r="S928" s="15"/>
      <c r="T928" s="15"/>
      <c r="U928" s="15"/>
      <c r="V928" s="15"/>
      <c r="W928" s="15" t="s">
        <v>328</v>
      </c>
      <c r="X928" s="15"/>
      <c r="Z928" s="127">
        <v>0.5</v>
      </c>
      <c r="AA928" s="249">
        <v>6</v>
      </c>
      <c r="AB928" s="250">
        <v>20000</v>
      </c>
      <c r="AC928" s="250">
        <v>20000</v>
      </c>
      <c r="AD928" s="250">
        <v>40000</v>
      </c>
      <c r="AE928" s="250">
        <v>130000</v>
      </c>
      <c r="AF928" s="250">
        <v>20000</v>
      </c>
    </row>
    <row r="929" spans="2:32" x14ac:dyDescent="0.25">
      <c r="B929" s="65" t="s">
        <v>1646</v>
      </c>
      <c r="C929" s="14" t="s">
        <v>337</v>
      </c>
      <c r="D929" s="14">
        <v>2007</v>
      </c>
      <c r="E929" s="13">
        <v>672000</v>
      </c>
      <c r="F929" s="14">
        <v>2</v>
      </c>
      <c r="G929" s="14">
        <v>2.1</v>
      </c>
      <c r="H929" s="14" t="s">
        <v>340</v>
      </c>
      <c r="I929" s="249">
        <f t="shared" si="42"/>
        <v>1</v>
      </c>
      <c r="J929" s="143">
        <v>8000</v>
      </c>
      <c r="K929" s="249" t="s">
        <v>2378</v>
      </c>
      <c r="M929" s="249">
        <f t="shared" si="43"/>
        <v>8</v>
      </c>
      <c r="N929" s="249">
        <f t="shared" si="44"/>
        <v>7</v>
      </c>
      <c r="O929" s="14"/>
      <c r="P929" s="14" t="s">
        <v>328</v>
      </c>
      <c r="Q929" s="14"/>
      <c r="S929" s="14"/>
      <c r="T929" s="14"/>
      <c r="U929" s="14"/>
      <c r="V929" s="14"/>
      <c r="W929" s="14" t="s">
        <v>328</v>
      </c>
      <c r="X929" s="14"/>
      <c r="Z929" s="126">
        <v>0.5</v>
      </c>
      <c r="AA929" s="249">
        <v>1</v>
      </c>
      <c r="AB929" s="250">
        <v>25000</v>
      </c>
      <c r="AC929" s="250">
        <v>40000</v>
      </c>
      <c r="AD929" s="250">
        <v>10000</v>
      </c>
      <c r="AE929" s="250">
        <v>140000</v>
      </c>
      <c r="AF929" s="250">
        <v>25000</v>
      </c>
    </row>
    <row r="930" spans="2:32" x14ac:dyDescent="0.25">
      <c r="B930" s="65" t="s">
        <v>1647</v>
      </c>
      <c r="C930" s="15" t="s">
        <v>337</v>
      </c>
      <c r="D930" s="15">
        <v>1988</v>
      </c>
      <c r="E930" s="13">
        <v>1500000</v>
      </c>
      <c r="F930" s="15">
        <v>2.2999999999999998</v>
      </c>
      <c r="G930" s="15">
        <v>2.5</v>
      </c>
      <c r="H930" s="15" t="s">
        <v>340</v>
      </c>
      <c r="I930" s="249">
        <f t="shared" si="42"/>
        <v>1</v>
      </c>
      <c r="J930" s="143">
        <v>5000</v>
      </c>
      <c r="K930" s="249" t="s">
        <v>2378</v>
      </c>
      <c r="M930" s="249">
        <f t="shared" si="43"/>
        <v>27</v>
      </c>
      <c r="N930" s="249">
        <f t="shared" si="44"/>
        <v>26</v>
      </c>
      <c r="O930" s="15" t="s">
        <v>328</v>
      </c>
      <c r="P930" s="15"/>
      <c r="Q930" s="15"/>
      <c r="S930" s="15"/>
      <c r="T930" s="15" t="s">
        <v>328</v>
      </c>
      <c r="U930" s="15"/>
      <c r="V930" s="15"/>
      <c r="W930" s="15"/>
      <c r="X930" s="15"/>
      <c r="Z930" s="127">
        <v>0.2</v>
      </c>
      <c r="AA930" s="249">
        <v>2</v>
      </c>
      <c r="AB930" s="250">
        <v>15000</v>
      </c>
      <c r="AC930" s="250">
        <v>15000</v>
      </c>
      <c r="AD930" s="250">
        <v>30000</v>
      </c>
      <c r="AE930" s="250">
        <v>125000</v>
      </c>
      <c r="AF930" s="250">
        <v>15000</v>
      </c>
    </row>
    <row r="931" spans="2:32" x14ac:dyDescent="0.25">
      <c r="B931" s="65" t="s">
        <v>1647</v>
      </c>
      <c r="C931" s="15" t="s">
        <v>337</v>
      </c>
      <c r="D931" s="15">
        <v>1988</v>
      </c>
      <c r="E931" s="13">
        <v>1500000</v>
      </c>
      <c r="F931" s="15">
        <v>2.2999999999999998</v>
      </c>
      <c r="G931" s="15">
        <v>2.5</v>
      </c>
      <c r="H931" s="15" t="s">
        <v>340</v>
      </c>
      <c r="I931" s="249">
        <f t="shared" si="42"/>
        <v>1</v>
      </c>
      <c r="J931" s="143">
        <v>5000</v>
      </c>
      <c r="K931" s="249" t="s">
        <v>2378</v>
      </c>
      <c r="M931" s="249">
        <f t="shared" si="43"/>
        <v>27</v>
      </c>
      <c r="N931" s="249">
        <f t="shared" si="44"/>
        <v>26</v>
      </c>
      <c r="O931" s="15" t="s">
        <v>328</v>
      </c>
      <c r="P931" s="15"/>
      <c r="Q931" s="15"/>
      <c r="S931" s="15"/>
      <c r="T931" s="15" t="s">
        <v>328</v>
      </c>
      <c r="U931" s="15"/>
      <c r="V931" s="15"/>
      <c r="W931" s="15"/>
      <c r="X931" s="15"/>
      <c r="Z931" s="127">
        <v>0.2</v>
      </c>
      <c r="AA931" s="249">
        <v>2</v>
      </c>
      <c r="AB931" s="250">
        <v>15000</v>
      </c>
      <c r="AC931" s="250">
        <v>15000</v>
      </c>
      <c r="AD931" s="250">
        <v>30000</v>
      </c>
      <c r="AE931" s="250">
        <v>125000</v>
      </c>
      <c r="AF931" s="250">
        <v>15000</v>
      </c>
    </row>
    <row r="932" spans="2:32" x14ac:dyDescent="0.25">
      <c r="B932" s="65" t="s">
        <v>1648</v>
      </c>
      <c r="C932" s="15" t="s">
        <v>337</v>
      </c>
      <c r="D932" s="15">
        <v>2007</v>
      </c>
      <c r="E932" s="13">
        <v>864000</v>
      </c>
      <c r="F932" s="15">
        <v>2.5</v>
      </c>
      <c r="G932" s="15">
        <v>2.7</v>
      </c>
      <c r="H932" s="15" t="s">
        <v>340</v>
      </c>
      <c r="I932" s="249">
        <f t="shared" si="42"/>
        <v>1</v>
      </c>
      <c r="J932" s="143">
        <v>12000</v>
      </c>
      <c r="K932" s="249" t="s">
        <v>2378</v>
      </c>
      <c r="M932" s="249">
        <f t="shared" si="43"/>
        <v>8</v>
      </c>
      <c r="N932" s="249">
        <f t="shared" si="44"/>
        <v>7</v>
      </c>
      <c r="O932" s="15" t="s">
        <v>328</v>
      </c>
      <c r="P932" s="15"/>
      <c r="Q932" s="15"/>
      <c r="S932" s="15"/>
      <c r="T932" s="15"/>
      <c r="U932" s="15"/>
      <c r="V932" s="15"/>
      <c r="W932" s="15" t="s">
        <v>328</v>
      </c>
      <c r="X932" s="15"/>
      <c r="Z932" s="127">
        <v>0.5</v>
      </c>
      <c r="AA932" s="249">
        <v>4</v>
      </c>
      <c r="AB932" s="250">
        <v>25000</v>
      </c>
      <c r="AC932" s="250">
        <v>50000</v>
      </c>
      <c r="AD932" s="250">
        <v>50000</v>
      </c>
      <c r="AE932" s="250">
        <v>135000</v>
      </c>
      <c r="AF932" s="250">
        <v>25000</v>
      </c>
    </row>
    <row r="933" spans="2:32" x14ac:dyDescent="0.25">
      <c r="B933" s="65" t="s">
        <v>1648</v>
      </c>
      <c r="C933" s="15" t="s">
        <v>337</v>
      </c>
      <c r="D933" s="15">
        <v>2007</v>
      </c>
      <c r="E933" s="13">
        <v>864000</v>
      </c>
      <c r="F933" s="15">
        <v>2.5</v>
      </c>
      <c r="G933" s="15">
        <v>2.7</v>
      </c>
      <c r="H933" s="15" t="s">
        <v>340</v>
      </c>
      <c r="I933" s="249">
        <f t="shared" si="42"/>
        <v>1</v>
      </c>
      <c r="J933" s="143">
        <v>12000</v>
      </c>
      <c r="K933" s="249" t="s">
        <v>2378</v>
      </c>
      <c r="M933" s="249">
        <f t="shared" si="43"/>
        <v>8</v>
      </c>
      <c r="N933" s="249">
        <f t="shared" si="44"/>
        <v>7</v>
      </c>
      <c r="O933" s="15" t="s">
        <v>328</v>
      </c>
      <c r="P933" s="15"/>
      <c r="Q933" s="15"/>
      <c r="S933" s="15"/>
      <c r="T933" s="15"/>
      <c r="U933" s="15"/>
      <c r="V933" s="15"/>
      <c r="W933" s="15" t="s">
        <v>328</v>
      </c>
      <c r="X933" s="15"/>
      <c r="Z933" s="127">
        <v>0.5</v>
      </c>
      <c r="AA933" s="249">
        <v>4</v>
      </c>
      <c r="AB933" s="250">
        <v>25000</v>
      </c>
      <c r="AC933" s="250">
        <v>50000</v>
      </c>
      <c r="AD933" s="250">
        <v>50000</v>
      </c>
      <c r="AE933" s="250">
        <v>135000</v>
      </c>
      <c r="AF933" s="250">
        <v>25000</v>
      </c>
    </row>
    <row r="934" spans="2:32" x14ac:dyDescent="0.25">
      <c r="B934" s="65" t="s">
        <v>1648</v>
      </c>
      <c r="C934" s="15" t="s">
        <v>337</v>
      </c>
      <c r="D934" s="15">
        <v>2007</v>
      </c>
      <c r="E934" s="13">
        <v>864000</v>
      </c>
      <c r="F934" s="15">
        <v>2.5</v>
      </c>
      <c r="G934" s="15">
        <v>2.7</v>
      </c>
      <c r="H934" s="15" t="s">
        <v>340</v>
      </c>
      <c r="I934" s="249">
        <f t="shared" si="42"/>
        <v>1</v>
      </c>
      <c r="J934" s="143">
        <v>12000</v>
      </c>
      <c r="K934" s="249" t="s">
        <v>2378</v>
      </c>
      <c r="M934" s="249">
        <f t="shared" si="43"/>
        <v>8</v>
      </c>
      <c r="N934" s="249">
        <f t="shared" si="44"/>
        <v>7</v>
      </c>
      <c r="O934" s="15" t="s">
        <v>328</v>
      </c>
      <c r="P934" s="15"/>
      <c r="Q934" s="15"/>
      <c r="S934" s="15"/>
      <c r="T934" s="15"/>
      <c r="U934" s="15"/>
      <c r="V934" s="15"/>
      <c r="W934" s="15" t="s">
        <v>328</v>
      </c>
      <c r="X934" s="15"/>
      <c r="Z934" s="127">
        <v>0.5</v>
      </c>
      <c r="AA934" s="249">
        <v>4</v>
      </c>
      <c r="AB934" s="250">
        <v>25000</v>
      </c>
      <c r="AC934" s="250">
        <v>50000</v>
      </c>
      <c r="AD934" s="250">
        <v>50000</v>
      </c>
      <c r="AE934" s="250">
        <v>135000</v>
      </c>
      <c r="AF934" s="250">
        <v>25000</v>
      </c>
    </row>
    <row r="935" spans="2:32" x14ac:dyDescent="0.25">
      <c r="B935" s="65" t="s">
        <v>1648</v>
      </c>
      <c r="C935" s="15" t="s">
        <v>337</v>
      </c>
      <c r="D935" s="15">
        <v>2008</v>
      </c>
      <c r="E935" s="13">
        <v>864000</v>
      </c>
      <c r="F935" s="15">
        <v>2.5</v>
      </c>
      <c r="G935" s="15">
        <v>2.7</v>
      </c>
      <c r="H935" s="15" t="s">
        <v>340</v>
      </c>
      <c r="I935" s="249">
        <f t="shared" si="42"/>
        <v>1</v>
      </c>
      <c r="J935" s="143">
        <v>12000</v>
      </c>
      <c r="K935" s="249" t="s">
        <v>2378</v>
      </c>
      <c r="M935" s="249">
        <f t="shared" si="43"/>
        <v>7</v>
      </c>
      <c r="N935" s="249">
        <f t="shared" si="44"/>
        <v>6</v>
      </c>
      <c r="O935" s="15" t="s">
        <v>328</v>
      </c>
      <c r="P935" s="15"/>
      <c r="Q935" s="15"/>
      <c r="S935" s="15"/>
      <c r="T935" s="15"/>
      <c r="U935" s="15"/>
      <c r="V935" s="15"/>
      <c r="W935" s="15" t="s">
        <v>328</v>
      </c>
      <c r="X935" s="15"/>
      <c r="Z935" s="127">
        <v>0.5</v>
      </c>
      <c r="AA935" s="249">
        <v>4</v>
      </c>
      <c r="AB935" s="250">
        <v>25000</v>
      </c>
      <c r="AC935" s="250">
        <v>50000</v>
      </c>
      <c r="AD935" s="250">
        <v>50000</v>
      </c>
      <c r="AE935" s="250">
        <v>135000</v>
      </c>
      <c r="AF935" s="250">
        <v>25000</v>
      </c>
    </row>
    <row r="936" spans="2:32" x14ac:dyDescent="0.25">
      <c r="B936" s="65" t="s">
        <v>1649</v>
      </c>
      <c r="C936" s="15" t="s">
        <v>348</v>
      </c>
      <c r="D936" s="15">
        <v>2005</v>
      </c>
      <c r="E936" s="13">
        <v>624000</v>
      </c>
      <c r="F936" s="15">
        <v>3.9</v>
      </c>
      <c r="G936" s="15">
        <v>4.3</v>
      </c>
      <c r="H936" s="15" t="s">
        <v>340</v>
      </c>
      <c r="I936" s="249">
        <f t="shared" si="42"/>
        <v>1</v>
      </c>
      <c r="J936" s="143">
        <v>6500</v>
      </c>
      <c r="K936" s="249" t="s">
        <v>2378</v>
      </c>
      <c r="M936" s="249">
        <f t="shared" si="43"/>
        <v>10</v>
      </c>
      <c r="N936" s="249">
        <f t="shared" si="44"/>
        <v>9</v>
      </c>
      <c r="O936" s="15" t="s">
        <v>328</v>
      </c>
      <c r="P936" s="15"/>
      <c r="Q936" s="15"/>
      <c r="S936" s="15"/>
      <c r="T936" s="15" t="s">
        <v>328</v>
      </c>
      <c r="U936" s="15"/>
      <c r="V936" s="15"/>
      <c r="W936" s="15"/>
      <c r="X936" s="15"/>
      <c r="Z936" s="127">
        <v>0.5</v>
      </c>
      <c r="AA936" s="249">
        <v>2</v>
      </c>
      <c r="AB936" s="250">
        <v>18000</v>
      </c>
      <c r="AC936" s="250">
        <v>36000</v>
      </c>
      <c r="AD936" s="250">
        <v>80000</v>
      </c>
      <c r="AE936" s="250">
        <v>140000</v>
      </c>
      <c r="AF936" s="250">
        <v>18000</v>
      </c>
    </row>
    <row r="937" spans="2:32" x14ac:dyDescent="0.25">
      <c r="B937" s="65" t="s">
        <v>1649</v>
      </c>
      <c r="C937" s="15" t="s">
        <v>348</v>
      </c>
      <c r="D937" s="15">
        <v>2005</v>
      </c>
      <c r="E937" s="13">
        <v>624000</v>
      </c>
      <c r="F937" s="15">
        <v>3.9</v>
      </c>
      <c r="G937" s="15">
        <v>4.3</v>
      </c>
      <c r="H937" s="15" t="s">
        <v>340</v>
      </c>
      <c r="I937" s="249">
        <f t="shared" si="42"/>
        <v>1</v>
      </c>
      <c r="J937" s="143">
        <v>6500</v>
      </c>
      <c r="K937" s="249" t="s">
        <v>2378</v>
      </c>
      <c r="M937" s="249">
        <f t="shared" si="43"/>
        <v>10</v>
      </c>
      <c r="N937" s="249">
        <f t="shared" si="44"/>
        <v>9</v>
      </c>
      <c r="O937" s="15" t="s">
        <v>328</v>
      </c>
      <c r="P937" s="15"/>
      <c r="Q937" s="15"/>
      <c r="S937" s="15"/>
      <c r="T937" s="15" t="s">
        <v>328</v>
      </c>
      <c r="U937" s="15"/>
      <c r="V937" s="15"/>
      <c r="W937" s="15"/>
      <c r="X937" s="15"/>
      <c r="Z937" s="127">
        <v>0.5</v>
      </c>
      <c r="AA937" s="249">
        <v>2</v>
      </c>
      <c r="AB937" s="250">
        <v>18000</v>
      </c>
      <c r="AC937" s="250">
        <v>36000</v>
      </c>
      <c r="AD937" s="250">
        <v>80000</v>
      </c>
      <c r="AE937" s="250">
        <v>140000</v>
      </c>
      <c r="AF937" s="250">
        <v>18000</v>
      </c>
    </row>
    <row r="938" spans="2:32" x14ac:dyDescent="0.25">
      <c r="B938" s="65" t="s">
        <v>1650</v>
      </c>
      <c r="C938" s="15" t="s">
        <v>337</v>
      </c>
      <c r="D938" s="15">
        <v>1998</v>
      </c>
      <c r="E938" s="16">
        <v>1110820</v>
      </c>
      <c r="F938" s="15">
        <v>2.4</v>
      </c>
      <c r="G938" s="15">
        <v>2.7</v>
      </c>
      <c r="H938" s="15" t="s">
        <v>340</v>
      </c>
      <c r="I938" s="249">
        <f t="shared" si="42"/>
        <v>1</v>
      </c>
      <c r="J938" s="143">
        <v>7000</v>
      </c>
      <c r="K938" s="249" t="s">
        <v>2378</v>
      </c>
      <c r="M938" s="249">
        <f t="shared" si="43"/>
        <v>17</v>
      </c>
      <c r="N938" s="249">
        <f t="shared" si="44"/>
        <v>16</v>
      </c>
      <c r="O938" s="15"/>
      <c r="P938" s="15" t="s">
        <v>328</v>
      </c>
      <c r="Q938" s="15"/>
      <c r="S938" s="15"/>
      <c r="T938" s="15"/>
      <c r="U938" s="15"/>
      <c r="V938" s="15"/>
      <c r="W938" s="15" t="s">
        <v>328</v>
      </c>
      <c r="X938" s="15"/>
      <c r="Z938" s="127">
        <v>0.3</v>
      </c>
      <c r="AA938" s="249">
        <v>1</v>
      </c>
      <c r="AB938" s="250">
        <v>24000</v>
      </c>
      <c r="AC938" s="250">
        <v>24000</v>
      </c>
      <c r="AD938" s="250">
        <v>10000</v>
      </c>
      <c r="AE938" s="250">
        <v>135000</v>
      </c>
      <c r="AF938" s="250">
        <v>24000</v>
      </c>
    </row>
    <row r="939" spans="2:32" x14ac:dyDescent="0.25">
      <c r="B939" s="65" t="s">
        <v>1651</v>
      </c>
      <c r="C939" s="15" t="s">
        <v>337</v>
      </c>
      <c r="D939" s="15">
        <v>2002</v>
      </c>
      <c r="E939" s="13">
        <v>1099956</v>
      </c>
      <c r="F939" s="15">
        <v>2.4</v>
      </c>
      <c r="G939" s="15">
        <v>2.7</v>
      </c>
      <c r="H939" s="15" t="s">
        <v>340</v>
      </c>
      <c r="I939" s="249">
        <f t="shared" si="42"/>
        <v>1</v>
      </c>
      <c r="J939" s="143">
        <v>8333.3333333333339</v>
      </c>
      <c r="K939" s="249" t="s">
        <v>2378</v>
      </c>
      <c r="M939" s="249">
        <f t="shared" si="43"/>
        <v>13</v>
      </c>
      <c r="N939" s="249">
        <f t="shared" si="44"/>
        <v>12</v>
      </c>
      <c r="O939" s="15" t="s">
        <v>328</v>
      </c>
      <c r="P939" s="15"/>
      <c r="Q939" s="15"/>
      <c r="S939" s="15"/>
      <c r="T939" s="15"/>
      <c r="U939" s="15"/>
      <c r="V939" s="15"/>
      <c r="W939" s="15" t="s">
        <v>328</v>
      </c>
      <c r="X939" s="15"/>
      <c r="Z939" s="127">
        <v>0.4</v>
      </c>
      <c r="AA939" s="249">
        <v>1</v>
      </c>
      <c r="AB939" s="250">
        <v>25000</v>
      </c>
      <c r="AC939" s="250">
        <v>30000</v>
      </c>
      <c r="AD939" s="250">
        <v>65000</v>
      </c>
      <c r="AE939" s="250">
        <v>100000</v>
      </c>
      <c r="AF939" s="250">
        <v>25000</v>
      </c>
    </row>
    <row r="940" spans="2:32" x14ac:dyDescent="0.25">
      <c r="B940" s="65" t="s">
        <v>1652</v>
      </c>
      <c r="C940" s="15" t="s">
        <v>337</v>
      </c>
      <c r="D940" s="15">
        <v>2007</v>
      </c>
      <c r="E940" s="13">
        <v>360000</v>
      </c>
      <c r="F940" s="15">
        <v>2.2999999999999998</v>
      </c>
      <c r="G940" s="15">
        <v>2.5</v>
      </c>
      <c r="H940" s="15" t="s">
        <v>340</v>
      </c>
      <c r="I940" s="249">
        <f t="shared" si="42"/>
        <v>1</v>
      </c>
      <c r="J940" s="143">
        <v>5000</v>
      </c>
      <c r="K940" s="249" t="s">
        <v>2378</v>
      </c>
      <c r="M940" s="249">
        <f t="shared" si="43"/>
        <v>8</v>
      </c>
      <c r="N940" s="249">
        <f t="shared" si="44"/>
        <v>7</v>
      </c>
      <c r="O940" s="15" t="s">
        <v>328</v>
      </c>
      <c r="P940" s="15"/>
      <c r="Q940" s="15"/>
      <c r="S940" s="15"/>
      <c r="T940" s="15"/>
      <c r="U940" s="15"/>
      <c r="V940" s="15"/>
      <c r="W940" s="15" t="s">
        <v>328</v>
      </c>
      <c r="X940" s="15"/>
      <c r="Z940" s="127">
        <v>0.5</v>
      </c>
      <c r="AA940" s="249">
        <v>1</v>
      </c>
      <c r="AB940" s="250">
        <v>40000</v>
      </c>
      <c r="AC940" s="250">
        <v>70000</v>
      </c>
      <c r="AD940" s="250">
        <v>70000</v>
      </c>
      <c r="AE940" s="250">
        <v>130000</v>
      </c>
      <c r="AF940" s="250">
        <v>40000</v>
      </c>
    </row>
    <row r="941" spans="2:32" x14ac:dyDescent="0.25">
      <c r="B941" s="65" t="s">
        <v>1653</v>
      </c>
      <c r="C941" s="15" t="s">
        <v>337</v>
      </c>
      <c r="D941" s="15">
        <v>2007</v>
      </c>
      <c r="E941" s="13">
        <v>360000</v>
      </c>
      <c r="F941" s="15">
        <v>2.2999999999999998</v>
      </c>
      <c r="G941" s="15">
        <v>2.5</v>
      </c>
      <c r="H941" s="15" t="s">
        <v>340</v>
      </c>
      <c r="I941" s="249">
        <f t="shared" si="42"/>
        <v>1</v>
      </c>
      <c r="J941" s="143">
        <v>5000</v>
      </c>
      <c r="K941" s="249" t="s">
        <v>2378</v>
      </c>
      <c r="M941" s="249">
        <f t="shared" si="43"/>
        <v>8</v>
      </c>
      <c r="N941" s="249">
        <f t="shared" si="44"/>
        <v>7</v>
      </c>
      <c r="O941" s="15" t="s">
        <v>328</v>
      </c>
      <c r="P941" s="15"/>
      <c r="Q941" s="15"/>
      <c r="S941" s="15"/>
      <c r="T941" s="15"/>
      <c r="U941" s="15"/>
      <c r="V941" s="15"/>
      <c r="W941" s="15" t="s">
        <v>328</v>
      </c>
      <c r="X941" s="15"/>
      <c r="Z941" s="127">
        <v>0.5</v>
      </c>
      <c r="AA941" s="249">
        <v>3</v>
      </c>
      <c r="AB941" s="250">
        <v>40000</v>
      </c>
      <c r="AC941" s="250">
        <v>70000</v>
      </c>
      <c r="AD941" s="250">
        <v>70000</v>
      </c>
      <c r="AE941" s="250">
        <v>130000</v>
      </c>
      <c r="AF941" s="250">
        <v>40000</v>
      </c>
    </row>
    <row r="942" spans="2:32" x14ac:dyDescent="0.25">
      <c r="B942" s="65" t="s">
        <v>1653</v>
      </c>
      <c r="C942" s="15" t="s">
        <v>337</v>
      </c>
      <c r="D942" s="15">
        <v>2007</v>
      </c>
      <c r="E942" s="13">
        <v>360000</v>
      </c>
      <c r="F942" s="15">
        <v>2.2999999999999998</v>
      </c>
      <c r="G942" s="15">
        <v>2.5</v>
      </c>
      <c r="H942" s="15" t="s">
        <v>340</v>
      </c>
      <c r="I942" s="249">
        <f t="shared" si="42"/>
        <v>1</v>
      </c>
      <c r="J942" s="143">
        <v>5000</v>
      </c>
      <c r="K942" s="249" t="s">
        <v>2378</v>
      </c>
      <c r="M942" s="249">
        <f t="shared" si="43"/>
        <v>8</v>
      </c>
      <c r="N942" s="249">
        <f t="shared" si="44"/>
        <v>7</v>
      </c>
      <c r="O942" s="15" t="s">
        <v>328</v>
      </c>
      <c r="P942" s="15"/>
      <c r="Q942" s="15"/>
      <c r="S942" s="15"/>
      <c r="T942" s="15"/>
      <c r="U942" s="15"/>
      <c r="V942" s="15"/>
      <c r="W942" s="15" t="s">
        <v>328</v>
      </c>
      <c r="X942" s="15"/>
      <c r="Z942" s="127">
        <v>0.5</v>
      </c>
      <c r="AA942" s="249">
        <v>3</v>
      </c>
      <c r="AB942" s="250">
        <v>40000</v>
      </c>
      <c r="AC942" s="250">
        <v>70000</v>
      </c>
      <c r="AD942" s="250">
        <v>70000</v>
      </c>
      <c r="AE942" s="250">
        <v>130000</v>
      </c>
      <c r="AF942" s="250">
        <v>40000</v>
      </c>
    </row>
    <row r="943" spans="2:32" x14ac:dyDescent="0.25">
      <c r="B943" s="65" t="s">
        <v>1653</v>
      </c>
      <c r="C943" s="15" t="s">
        <v>337</v>
      </c>
      <c r="D943" s="15">
        <v>2008</v>
      </c>
      <c r="E943" s="13">
        <v>300000</v>
      </c>
      <c r="F943" s="15">
        <v>2.2999999999999998</v>
      </c>
      <c r="G943" s="15">
        <v>2.5</v>
      </c>
      <c r="H943" s="15" t="s">
        <v>340</v>
      </c>
      <c r="I943" s="249">
        <f t="shared" si="42"/>
        <v>1</v>
      </c>
      <c r="J943" s="143">
        <v>5000</v>
      </c>
      <c r="K943" s="249" t="s">
        <v>2378</v>
      </c>
      <c r="M943" s="249">
        <f t="shared" si="43"/>
        <v>7</v>
      </c>
      <c r="N943" s="249">
        <f t="shared" si="44"/>
        <v>6</v>
      </c>
      <c r="O943" s="15" t="s">
        <v>328</v>
      </c>
      <c r="P943" s="15"/>
      <c r="Q943" s="15"/>
      <c r="S943" s="15"/>
      <c r="T943" s="15"/>
      <c r="U943" s="15"/>
      <c r="V943" s="15"/>
      <c r="W943" s="15" t="s">
        <v>328</v>
      </c>
      <c r="X943" s="15"/>
      <c r="Z943" s="127">
        <v>0.5</v>
      </c>
      <c r="AA943" s="249">
        <v>3</v>
      </c>
      <c r="AB943" s="250">
        <v>40000</v>
      </c>
      <c r="AC943" s="250">
        <v>70000</v>
      </c>
      <c r="AD943" s="250">
        <v>70000</v>
      </c>
      <c r="AE943" s="250">
        <v>130000</v>
      </c>
      <c r="AF943" s="250">
        <v>40000</v>
      </c>
    </row>
    <row r="944" spans="2:32" x14ac:dyDescent="0.25">
      <c r="B944" s="65" t="s">
        <v>1654</v>
      </c>
      <c r="C944" s="15" t="s">
        <v>348</v>
      </c>
      <c r="D944" s="15">
        <v>1989</v>
      </c>
      <c r="E944" s="13">
        <v>921600</v>
      </c>
      <c r="F944" s="15">
        <v>3.2</v>
      </c>
      <c r="G944" s="15">
        <v>3.7</v>
      </c>
      <c r="H944" s="15" t="s">
        <v>340</v>
      </c>
      <c r="I944" s="249">
        <f t="shared" si="42"/>
        <v>1</v>
      </c>
      <c r="J944" s="143">
        <v>3200</v>
      </c>
      <c r="K944" s="249" t="s">
        <v>2378</v>
      </c>
      <c r="M944" s="249">
        <f t="shared" si="43"/>
        <v>26</v>
      </c>
      <c r="N944" s="249">
        <f t="shared" si="44"/>
        <v>25</v>
      </c>
      <c r="O944" s="15"/>
      <c r="P944" s="15"/>
      <c r="Q944" s="15" t="s">
        <v>328</v>
      </c>
      <c r="S944" s="15" t="s">
        <v>328</v>
      </c>
      <c r="T944" s="15"/>
      <c r="U944" s="15"/>
      <c r="V944" s="15"/>
      <c r="W944" s="15"/>
      <c r="X944" s="15"/>
      <c r="Z944" s="127">
        <v>0.2</v>
      </c>
      <c r="AA944" s="249">
        <v>1</v>
      </c>
      <c r="AB944" s="250">
        <v>20000</v>
      </c>
      <c r="AC944" s="250">
        <v>30000</v>
      </c>
      <c r="AD944" s="250">
        <v>60000</v>
      </c>
      <c r="AE944" s="250">
        <v>100000</v>
      </c>
      <c r="AF944" s="250">
        <v>20000</v>
      </c>
    </row>
    <row r="945" spans="2:32" x14ac:dyDescent="0.25">
      <c r="B945" s="65" t="s">
        <v>1655</v>
      </c>
      <c r="C945" s="15" t="s">
        <v>337</v>
      </c>
      <c r="D945" s="15">
        <v>1993</v>
      </c>
      <c r="E945" s="13">
        <v>1008000</v>
      </c>
      <c r="F945" s="15">
        <v>1.9</v>
      </c>
      <c r="G945" s="15">
        <v>2.5</v>
      </c>
      <c r="H945" s="15" t="s">
        <v>340</v>
      </c>
      <c r="I945" s="249">
        <f t="shared" si="42"/>
        <v>1</v>
      </c>
      <c r="J945" s="143">
        <v>4000</v>
      </c>
      <c r="K945" s="249" t="s">
        <v>2378</v>
      </c>
      <c r="M945" s="249">
        <f t="shared" si="43"/>
        <v>22</v>
      </c>
      <c r="N945" s="249">
        <f t="shared" si="44"/>
        <v>21</v>
      </c>
      <c r="O945" s="15"/>
      <c r="P945" s="15"/>
      <c r="Q945" s="15" t="s">
        <v>328</v>
      </c>
      <c r="S945" s="15"/>
      <c r="T945" s="15" t="s">
        <v>328</v>
      </c>
      <c r="U945" s="15"/>
      <c r="V945" s="15"/>
      <c r="W945" s="15"/>
      <c r="X945" s="15"/>
      <c r="Z945" s="127">
        <v>0.5</v>
      </c>
      <c r="AA945" s="249">
        <v>1</v>
      </c>
      <c r="AB945" s="250">
        <v>25000</v>
      </c>
      <c r="AC945" s="250">
        <v>40000</v>
      </c>
      <c r="AD945" s="250">
        <v>70000</v>
      </c>
      <c r="AE945" s="250">
        <v>140000</v>
      </c>
      <c r="AF945" s="250">
        <v>25000</v>
      </c>
    </row>
    <row r="946" spans="2:32" x14ac:dyDescent="0.25">
      <c r="B946" s="65" t="s">
        <v>1809</v>
      </c>
      <c r="C946" s="15" t="s">
        <v>337</v>
      </c>
      <c r="D946" s="15">
        <v>1995</v>
      </c>
      <c r="E946" s="13">
        <v>1140000</v>
      </c>
      <c r="F946" s="15">
        <v>2</v>
      </c>
      <c r="G946" s="15">
        <v>2.2000000000000002</v>
      </c>
      <c r="H946" s="15" t="s">
        <v>340</v>
      </c>
      <c r="I946" s="249">
        <f t="shared" si="42"/>
        <v>1</v>
      </c>
      <c r="J946" s="143">
        <v>5000</v>
      </c>
      <c r="K946" s="249" t="s">
        <v>2379</v>
      </c>
      <c r="M946" s="249">
        <f t="shared" si="43"/>
        <v>20</v>
      </c>
      <c r="N946" s="249">
        <f t="shared" si="44"/>
        <v>19</v>
      </c>
      <c r="O946" s="15" t="s">
        <v>328</v>
      </c>
      <c r="P946" s="15"/>
      <c r="Q946" s="15"/>
      <c r="S946" s="15" t="s">
        <v>328</v>
      </c>
      <c r="T946" s="15"/>
      <c r="U946" s="15"/>
      <c r="V946" s="15"/>
      <c r="W946" s="15"/>
      <c r="X946" s="15"/>
      <c r="Z946" s="127">
        <v>0.5</v>
      </c>
      <c r="AA946" s="249">
        <v>6</v>
      </c>
      <c r="AB946" s="250">
        <v>25000</v>
      </c>
      <c r="AC946" s="250">
        <v>30000</v>
      </c>
      <c r="AD946" s="250">
        <v>40000</v>
      </c>
      <c r="AE946" s="250">
        <v>130000</v>
      </c>
      <c r="AF946" s="250">
        <v>25000</v>
      </c>
    </row>
    <row r="947" spans="2:32" x14ac:dyDescent="0.25">
      <c r="B947" s="65" t="s">
        <v>1809</v>
      </c>
      <c r="C947" s="15" t="s">
        <v>337</v>
      </c>
      <c r="D947" s="15">
        <v>1995</v>
      </c>
      <c r="E947" s="13">
        <v>1140000</v>
      </c>
      <c r="F947" s="15">
        <v>2</v>
      </c>
      <c r="G947" s="15">
        <v>2.2000000000000002</v>
      </c>
      <c r="H947" s="15" t="s">
        <v>340</v>
      </c>
      <c r="I947" s="249">
        <f t="shared" si="42"/>
        <v>1</v>
      </c>
      <c r="J947" s="143">
        <v>5000</v>
      </c>
      <c r="K947" s="249" t="s">
        <v>2379</v>
      </c>
      <c r="M947" s="249">
        <f t="shared" si="43"/>
        <v>20</v>
      </c>
      <c r="N947" s="249">
        <f t="shared" si="44"/>
        <v>19</v>
      </c>
      <c r="O947" s="15" t="s">
        <v>328</v>
      </c>
      <c r="P947" s="15"/>
      <c r="Q947" s="15"/>
      <c r="S947" s="15" t="s">
        <v>328</v>
      </c>
      <c r="T947" s="15"/>
      <c r="U947" s="15"/>
      <c r="V947" s="15"/>
      <c r="W947" s="15"/>
      <c r="X947" s="15"/>
      <c r="Z947" s="127">
        <v>0.5</v>
      </c>
      <c r="AA947" s="249">
        <v>6</v>
      </c>
      <c r="AB947" s="250">
        <v>25000</v>
      </c>
      <c r="AC947" s="250">
        <v>30000</v>
      </c>
      <c r="AD947" s="250">
        <v>40000</v>
      </c>
      <c r="AE947" s="250">
        <v>130000</v>
      </c>
      <c r="AF947" s="250">
        <v>25000</v>
      </c>
    </row>
    <row r="948" spans="2:32" x14ac:dyDescent="0.25">
      <c r="B948" s="65" t="s">
        <v>1809</v>
      </c>
      <c r="C948" s="15" t="s">
        <v>337</v>
      </c>
      <c r="D948" s="15">
        <v>1998</v>
      </c>
      <c r="E948" s="13">
        <v>960000</v>
      </c>
      <c r="F948" s="15">
        <v>2.1</v>
      </c>
      <c r="G948" s="15">
        <v>2.2000000000000002</v>
      </c>
      <c r="H948" s="15" t="s">
        <v>340</v>
      </c>
      <c r="I948" s="249">
        <f t="shared" si="42"/>
        <v>1</v>
      </c>
      <c r="J948" s="143">
        <v>5000</v>
      </c>
      <c r="K948" s="249" t="s">
        <v>2379</v>
      </c>
      <c r="M948" s="249">
        <f t="shared" si="43"/>
        <v>17</v>
      </c>
      <c r="N948" s="249">
        <f t="shared" si="44"/>
        <v>16</v>
      </c>
      <c r="O948" s="15" t="s">
        <v>328</v>
      </c>
      <c r="P948" s="15"/>
      <c r="Q948" s="15"/>
      <c r="S948" s="15"/>
      <c r="T948" s="15" t="s">
        <v>328</v>
      </c>
      <c r="U948" s="15"/>
      <c r="V948" s="15"/>
      <c r="W948" s="15"/>
      <c r="X948" s="15"/>
      <c r="Z948" s="127">
        <v>0.5</v>
      </c>
      <c r="AA948" s="249">
        <v>6</v>
      </c>
      <c r="AB948" s="250">
        <v>25000</v>
      </c>
      <c r="AC948" s="250">
        <v>30000</v>
      </c>
      <c r="AD948" s="250">
        <v>40000</v>
      </c>
      <c r="AE948" s="250">
        <v>130000</v>
      </c>
      <c r="AF948" s="250">
        <v>25000</v>
      </c>
    </row>
    <row r="949" spans="2:32" x14ac:dyDescent="0.25">
      <c r="B949" s="65" t="s">
        <v>1809</v>
      </c>
      <c r="C949" s="15" t="s">
        <v>337</v>
      </c>
      <c r="D949" s="15">
        <v>1998</v>
      </c>
      <c r="E949" s="13">
        <v>960000</v>
      </c>
      <c r="F949" s="15">
        <v>2.1</v>
      </c>
      <c r="G949" s="15">
        <v>2.2000000000000002</v>
      </c>
      <c r="H949" s="15" t="s">
        <v>340</v>
      </c>
      <c r="I949" s="249">
        <f t="shared" si="42"/>
        <v>1</v>
      </c>
      <c r="J949" s="143">
        <v>5000</v>
      </c>
      <c r="K949" s="249" t="s">
        <v>2379</v>
      </c>
      <c r="M949" s="249">
        <f t="shared" si="43"/>
        <v>17</v>
      </c>
      <c r="N949" s="249">
        <f t="shared" si="44"/>
        <v>16</v>
      </c>
      <c r="O949" s="15" t="s">
        <v>328</v>
      </c>
      <c r="P949" s="15"/>
      <c r="Q949" s="15"/>
      <c r="S949" s="15"/>
      <c r="T949" s="15" t="s">
        <v>328</v>
      </c>
      <c r="U949" s="15"/>
      <c r="V949" s="15"/>
      <c r="W949" s="15"/>
      <c r="X949" s="15"/>
      <c r="Z949" s="127">
        <v>0.5</v>
      </c>
      <c r="AA949" s="249">
        <v>6</v>
      </c>
      <c r="AB949" s="250">
        <v>25000</v>
      </c>
      <c r="AC949" s="250">
        <v>30000</v>
      </c>
      <c r="AD949" s="250">
        <v>40000</v>
      </c>
      <c r="AE949" s="250">
        <v>130000</v>
      </c>
      <c r="AF949" s="250">
        <v>25000</v>
      </c>
    </row>
    <row r="950" spans="2:32" x14ac:dyDescent="0.25">
      <c r="B950" s="65" t="s">
        <v>1809</v>
      </c>
      <c r="C950" s="15" t="s">
        <v>337</v>
      </c>
      <c r="D950" s="15">
        <v>2000</v>
      </c>
      <c r="E950" s="13">
        <v>840000</v>
      </c>
      <c r="F950" s="15">
        <v>2.2999999999999998</v>
      </c>
      <c r="G950" s="15">
        <v>2.5</v>
      </c>
      <c r="H950" s="15" t="s">
        <v>340</v>
      </c>
      <c r="I950" s="249">
        <f t="shared" si="42"/>
        <v>1</v>
      </c>
      <c r="J950" s="143">
        <v>5000</v>
      </c>
      <c r="K950" s="249" t="s">
        <v>2379</v>
      </c>
      <c r="M950" s="249">
        <f t="shared" si="43"/>
        <v>15</v>
      </c>
      <c r="N950" s="249">
        <f t="shared" si="44"/>
        <v>14</v>
      </c>
      <c r="O950" s="15" t="s">
        <v>328</v>
      </c>
      <c r="P950" s="15"/>
      <c r="Q950" s="15"/>
      <c r="S950" s="15"/>
      <c r="T950" s="15" t="s">
        <v>328</v>
      </c>
      <c r="U950" s="15"/>
      <c r="V950" s="15"/>
      <c r="W950" s="15"/>
      <c r="X950" s="15"/>
      <c r="Z950" s="127">
        <v>0.5</v>
      </c>
      <c r="AA950" s="249">
        <v>6</v>
      </c>
      <c r="AB950" s="250">
        <v>25000</v>
      </c>
      <c r="AC950" s="250">
        <v>30000</v>
      </c>
      <c r="AD950" s="250">
        <v>40000</v>
      </c>
      <c r="AE950" s="250">
        <v>130000</v>
      </c>
      <c r="AF950" s="250">
        <v>25000</v>
      </c>
    </row>
    <row r="951" spans="2:32" x14ac:dyDescent="0.25">
      <c r="B951" s="65" t="s">
        <v>1809</v>
      </c>
      <c r="C951" s="15" t="s">
        <v>337</v>
      </c>
      <c r="D951" s="15">
        <v>2000</v>
      </c>
      <c r="E951" s="13">
        <v>840000</v>
      </c>
      <c r="F951" s="15">
        <v>2.2999999999999998</v>
      </c>
      <c r="G951" s="15">
        <v>2.5</v>
      </c>
      <c r="H951" s="15" t="s">
        <v>340</v>
      </c>
      <c r="I951" s="249">
        <f t="shared" si="42"/>
        <v>1</v>
      </c>
      <c r="J951" s="143">
        <v>5000</v>
      </c>
      <c r="K951" s="249" t="s">
        <v>2379</v>
      </c>
      <c r="M951" s="249">
        <f t="shared" si="43"/>
        <v>15</v>
      </c>
      <c r="N951" s="249">
        <f t="shared" si="44"/>
        <v>14</v>
      </c>
      <c r="O951" s="15" t="s">
        <v>328</v>
      </c>
      <c r="P951" s="15"/>
      <c r="Q951" s="15"/>
      <c r="S951" s="15"/>
      <c r="T951" s="15"/>
      <c r="U951" s="15"/>
      <c r="V951" s="15"/>
      <c r="W951" s="15" t="s">
        <v>328</v>
      </c>
      <c r="X951" s="15"/>
      <c r="Z951" s="127">
        <v>0.5</v>
      </c>
      <c r="AA951" s="249">
        <v>6</v>
      </c>
      <c r="AB951" s="250">
        <v>25000</v>
      </c>
      <c r="AC951" s="250">
        <v>30000</v>
      </c>
      <c r="AD951" s="250">
        <v>40000</v>
      </c>
      <c r="AE951" s="250">
        <v>130000</v>
      </c>
      <c r="AF951" s="250">
        <v>25000</v>
      </c>
    </row>
    <row r="952" spans="2:32" x14ac:dyDescent="0.25">
      <c r="B952" s="65" t="s">
        <v>1810</v>
      </c>
      <c r="C952" s="15" t="s">
        <v>348</v>
      </c>
      <c r="D952" s="15">
        <v>1980</v>
      </c>
      <c r="E952" s="16">
        <v>2300000</v>
      </c>
      <c r="F952" s="15">
        <v>3</v>
      </c>
      <c r="G952" s="15">
        <v>3.1</v>
      </c>
      <c r="H952" s="15" t="s">
        <v>340</v>
      </c>
      <c r="I952" s="249">
        <f t="shared" si="42"/>
        <v>1</v>
      </c>
      <c r="J952" s="143">
        <v>4000</v>
      </c>
      <c r="K952" s="249" t="s">
        <v>2378</v>
      </c>
      <c r="M952" s="249">
        <f t="shared" si="43"/>
        <v>35</v>
      </c>
      <c r="N952" s="249">
        <f t="shared" si="44"/>
        <v>34</v>
      </c>
      <c r="O952" s="15"/>
      <c r="P952" s="15"/>
      <c r="Q952" s="15" t="s">
        <v>328</v>
      </c>
      <c r="S952" s="15"/>
      <c r="T952" s="15"/>
      <c r="U952" s="15"/>
      <c r="V952" s="15"/>
      <c r="W952" s="15" t="s">
        <v>328</v>
      </c>
      <c r="X952" s="15"/>
      <c r="Z952" s="127">
        <v>0.5</v>
      </c>
      <c r="AA952" s="249">
        <v>1</v>
      </c>
      <c r="AB952" s="250">
        <v>10000</v>
      </c>
      <c r="AC952" s="250">
        <v>12000</v>
      </c>
      <c r="AD952" s="250">
        <v>40000</v>
      </c>
      <c r="AE952" s="250">
        <v>120000</v>
      </c>
      <c r="AF952" s="250">
        <v>12000</v>
      </c>
    </row>
    <row r="953" spans="2:32" x14ac:dyDescent="0.25">
      <c r="B953" s="65" t="s">
        <v>1811</v>
      </c>
      <c r="C953" s="15" t="s">
        <v>348</v>
      </c>
      <c r="D953" s="15">
        <v>2003</v>
      </c>
      <c r="E953" s="16">
        <v>620415</v>
      </c>
      <c r="F953" s="15">
        <v>3.9</v>
      </c>
      <c r="G953" s="15">
        <v>4.3</v>
      </c>
      <c r="H953" s="15" t="s">
        <v>340</v>
      </c>
      <c r="I953" s="249">
        <f t="shared" si="42"/>
        <v>1</v>
      </c>
      <c r="J953" s="143">
        <v>4000</v>
      </c>
      <c r="K953" s="249" t="s">
        <v>2378</v>
      </c>
      <c r="M953" s="249">
        <f t="shared" si="43"/>
        <v>12</v>
      </c>
      <c r="N953" s="249">
        <f t="shared" si="44"/>
        <v>11</v>
      </c>
      <c r="O953" s="15"/>
      <c r="P953" s="15" t="s">
        <v>328</v>
      </c>
      <c r="Q953" s="15"/>
      <c r="S953" s="15"/>
      <c r="T953" s="15" t="s">
        <v>328</v>
      </c>
      <c r="U953" s="15"/>
      <c r="V953" s="15"/>
      <c r="W953" s="15"/>
      <c r="X953" s="15"/>
      <c r="Z953" s="127">
        <v>0.25</v>
      </c>
      <c r="AA953" s="249">
        <v>2</v>
      </c>
      <c r="AB953" s="250">
        <v>20000</v>
      </c>
      <c r="AC953" s="250">
        <v>20000</v>
      </c>
      <c r="AD953" s="250">
        <v>40000</v>
      </c>
      <c r="AE953" s="250">
        <v>125000</v>
      </c>
      <c r="AF953" s="250">
        <v>20000</v>
      </c>
    </row>
    <row r="954" spans="2:32" x14ac:dyDescent="0.25">
      <c r="B954" s="65" t="s">
        <v>1811</v>
      </c>
      <c r="C954" s="15" t="s">
        <v>348</v>
      </c>
      <c r="D954" s="15">
        <v>2003</v>
      </c>
      <c r="E954" s="16">
        <v>593810</v>
      </c>
      <c r="F954" s="15">
        <v>3.9</v>
      </c>
      <c r="G954" s="15">
        <v>4.3</v>
      </c>
      <c r="H954" s="15" t="s">
        <v>340</v>
      </c>
      <c r="I954" s="249">
        <f t="shared" si="42"/>
        <v>1</v>
      </c>
      <c r="J954" s="143">
        <v>4000</v>
      </c>
      <c r="K954" s="249" t="s">
        <v>2378</v>
      </c>
      <c r="M954" s="249">
        <f t="shared" si="43"/>
        <v>12</v>
      </c>
      <c r="N954" s="249">
        <f t="shared" si="44"/>
        <v>11</v>
      </c>
      <c r="O954" s="15"/>
      <c r="P954" s="15" t="s">
        <v>328</v>
      </c>
      <c r="Q954" s="15"/>
      <c r="S954" s="15"/>
      <c r="T954" s="15"/>
      <c r="U954" s="15"/>
      <c r="V954" s="15"/>
      <c r="W954" s="15" t="s">
        <v>328</v>
      </c>
      <c r="X954" s="15"/>
      <c r="Z954" s="127">
        <v>0.25</v>
      </c>
      <c r="AA954" s="249">
        <v>2</v>
      </c>
      <c r="AB954" s="250">
        <v>20000</v>
      </c>
      <c r="AC954" s="250">
        <v>20000</v>
      </c>
      <c r="AD954" s="250">
        <v>40000</v>
      </c>
      <c r="AE954" s="250">
        <v>125000</v>
      </c>
      <c r="AF954" s="250">
        <v>20000</v>
      </c>
    </row>
    <row r="955" spans="2:32" x14ac:dyDescent="0.25">
      <c r="B955" s="65" t="s">
        <v>1812</v>
      </c>
      <c r="C955" s="14" t="s">
        <v>337</v>
      </c>
      <c r="D955" s="14">
        <v>1984</v>
      </c>
      <c r="E955" s="13">
        <v>2088000</v>
      </c>
      <c r="F955" s="14">
        <v>1.8</v>
      </c>
      <c r="G955" s="14">
        <v>2</v>
      </c>
      <c r="H955" s="14" t="s">
        <v>340</v>
      </c>
      <c r="I955" s="249">
        <f t="shared" si="42"/>
        <v>1</v>
      </c>
      <c r="J955" s="143">
        <v>6000</v>
      </c>
      <c r="K955" s="249" t="s">
        <v>2378</v>
      </c>
      <c r="M955" s="249">
        <f t="shared" si="43"/>
        <v>31</v>
      </c>
      <c r="N955" s="249">
        <f t="shared" si="44"/>
        <v>30</v>
      </c>
      <c r="O955" s="14"/>
      <c r="P955" s="14"/>
      <c r="Q955" s="14" t="s">
        <v>328</v>
      </c>
      <c r="S955" s="14"/>
      <c r="T955" s="14"/>
      <c r="U955" s="14"/>
      <c r="V955" s="14"/>
      <c r="W955" s="14" t="s">
        <v>328</v>
      </c>
      <c r="X955" s="14"/>
      <c r="Z955" s="126">
        <v>0.5</v>
      </c>
      <c r="AA955" s="249">
        <v>1</v>
      </c>
      <c r="AB955" s="250">
        <v>10000</v>
      </c>
      <c r="AC955" s="250">
        <v>16000</v>
      </c>
      <c r="AD955" s="250">
        <v>16000</v>
      </c>
      <c r="AE955" s="250">
        <v>100000</v>
      </c>
      <c r="AF955" s="250">
        <v>16000</v>
      </c>
    </row>
    <row r="956" spans="2:32" x14ac:dyDescent="0.25">
      <c r="B956" s="65" t="s">
        <v>1813</v>
      </c>
      <c r="C956" s="14" t="s">
        <v>351</v>
      </c>
      <c r="D956" s="14">
        <v>1994</v>
      </c>
      <c r="E956" s="13">
        <v>684000</v>
      </c>
      <c r="F956" s="14">
        <v>1.7</v>
      </c>
      <c r="G956" s="14">
        <v>2.1</v>
      </c>
      <c r="H956" s="14" t="s">
        <v>340</v>
      </c>
      <c r="I956" s="249">
        <f t="shared" si="42"/>
        <v>1</v>
      </c>
      <c r="J956" s="143">
        <v>3000</v>
      </c>
      <c r="K956" s="249" t="s">
        <v>2378</v>
      </c>
      <c r="M956" s="249">
        <f t="shared" si="43"/>
        <v>21</v>
      </c>
      <c r="N956" s="249">
        <f t="shared" si="44"/>
        <v>20</v>
      </c>
      <c r="O956" s="14" t="s">
        <v>328</v>
      </c>
      <c r="P956" s="14"/>
      <c r="Q956" s="14"/>
      <c r="S956" s="14"/>
      <c r="T956" s="14"/>
      <c r="U956" s="14"/>
      <c r="V956" s="14"/>
      <c r="W956" s="14" t="s">
        <v>328</v>
      </c>
      <c r="X956" s="14"/>
      <c r="Z956" s="126">
        <v>0.3</v>
      </c>
      <c r="AA956" s="249">
        <v>2</v>
      </c>
      <c r="AB956" s="250">
        <v>15000</v>
      </c>
      <c r="AC956" s="250">
        <v>15000</v>
      </c>
      <c r="AD956" s="250">
        <v>30000</v>
      </c>
      <c r="AE956" s="250">
        <v>90000</v>
      </c>
      <c r="AF956" s="250">
        <v>15000</v>
      </c>
    </row>
    <row r="957" spans="2:32" x14ac:dyDescent="0.25">
      <c r="B957" s="65" t="s">
        <v>1813</v>
      </c>
      <c r="C957" s="14" t="s">
        <v>351</v>
      </c>
      <c r="D957" s="14">
        <v>1994</v>
      </c>
      <c r="E957" s="13">
        <v>684000</v>
      </c>
      <c r="F957" s="14">
        <v>1.7</v>
      </c>
      <c r="G957" s="14">
        <v>2.1</v>
      </c>
      <c r="H957" s="14" t="s">
        <v>340</v>
      </c>
      <c r="I957" s="249">
        <f t="shared" si="42"/>
        <v>1</v>
      </c>
      <c r="J957" s="143">
        <v>3000</v>
      </c>
      <c r="K957" s="249" t="s">
        <v>2378</v>
      </c>
      <c r="M957" s="249">
        <f t="shared" si="43"/>
        <v>21</v>
      </c>
      <c r="N957" s="249">
        <f t="shared" si="44"/>
        <v>20</v>
      </c>
      <c r="O957" s="14" t="s">
        <v>328</v>
      </c>
      <c r="P957" s="14"/>
      <c r="Q957" s="14"/>
      <c r="S957" s="14"/>
      <c r="T957" s="14"/>
      <c r="U957" s="14"/>
      <c r="V957" s="14"/>
      <c r="W957" s="14" t="s">
        <v>328</v>
      </c>
      <c r="X957" s="14"/>
      <c r="Z957" s="126">
        <v>0.3</v>
      </c>
      <c r="AA957" s="249">
        <v>2</v>
      </c>
      <c r="AB957" s="250">
        <v>15000</v>
      </c>
      <c r="AC957" s="250">
        <v>15000</v>
      </c>
      <c r="AD957" s="250">
        <v>30000</v>
      </c>
      <c r="AE957" s="250">
        <v>90000</v>
      </c>
      <c r="AF957" s="250">
        <v>15000</v>
      </c>
    </row>
    <row r="958" spans="2:32" x14ac:dyDescent="0.25">
      <c r="B958" s="65" t="s">
        <v>1814</v>
      </c>
      <c r="C958" s="15" t="s">
        <v>337</v>
      </c>
      <c r="D958" s="15">
        <v>2013</v>
      </c>
      <c r="E958" s="16">
        <v>45300</v>
      </c>
      <c r="F958" s="15">
        <v>2.5</v>
      </c>
      <c r="G958" s="15">
        <v>3</v>
      </c>
      <c r="H958" s="14" t="s">
        <v>340</v>
      </c>
      <c r="I958" s="249">
        <f t="shared" si="42"/>
        <v>1</v>
      </c>
      <c r="J958" s="143">
        <v>3300</v>
      </c>
      <c r="K958" s="249" t="s">
        <v>2378</v>
      </c>
      <c r="M958" s="249">
        <f t="shared" si="43"/>
        <v>2</v>
      </c>
      <c r="N958" s="249">
        <f t="shared" si="44"/>
        <v>1</v>
      </c>
      <c r="O958" s="15" t="s">
        <v>328</v>
      </c>
      <c r="P958" s="15"/>
      <c r="Q958" s="15"/>
      <c r="S958" s="15"/>
      <c r="T958" s="15" t="s">
        <v>328</v>
      </c>
      <c r="U958" s="15"/>
      <c r="V958" s="15"/>
      <c r="W958" s="15"/>
      <c r="X958" s="15"/>
      <c r="Z958" s="127">
        <v>0.2</v>
      </c>
      <c r="AA958" s="249">
        <v>1</v>
      </c>
      <c r="AB958" s="250">
        <v>20000</v>
      </c>
      <c r="AC958" s="250">
        <v>20000</v>
      </c>
      <c r="AD958" s="250">
        <v>42000</v>
      </c>
      <c r="AE958" s="250">
        <v>10000</v>
      </c>
      <c r="AF958" s="250">
        <v>20000</v>
      </c>
    </row>
    <row r="959" spans="2:32" x14ac:dyDescent="0.25">
      <c r="B959" s="65" t="s">
        <v>1815</v>
      </c>
      <c r="C959" s="15" t="s">
        <v>337</v>
      </c>
      <c r="D959" s="15">
        <v>2009</v>
      </c>
      <c r="E959" s="13">
        <v>384000</v>
      </c>
      <c r="F959" s="15">
        <v>2.2999999999999998</v>
      </c>
      <c r="G959" s="15">
        <v>2.5</v>
      </c>
      <c r="H959" s="15" t="s">
        <v>340</v>
      </c>
      <c r="I959" s="249">
        <f t="shared" si="42"/>
        <v>1</v>
      </c>
      <c r="J959" s="143">
        <v>8000</v>
      </c>
      <c r="K959" s="249" t="s">
        <v>2378</v>
      </c>
      <c r="M959" s="249">
        <f t="shared" si="43"/>
        <v>6</v>
      </c>
      <c r="N959" s="249">
        <f t="shared" si="44"/>
        <v>5</v>
      </c>
      <c r="O959" s="15" t="s">
        <v>328</v>
      </c>
      <c r="P959" s="15"/>
      <c r="Q959" s="15"/>
      <c r="S959" s="15"/>
      <c r="T959" s="15"/>
      <c r="U959" s="15"/>
      <c r="V959" s="15"/>
      <c r="W959" s="15" t="s">
        <v>328</v>
      </c>
      <c r="X959" s="15"/>
      <c r="Z959" s="127">
        <v>0.5</v>
      </c>
      <c r="AA959" s="249">
        <v>1</v>
      </c>
      <c r="AB959" s="250">
        <v>24000</v>
      </c>
      <c r="AC959" s="250">
        <v>24000</v>
      </c>
      <c r="AD959" s="250">
        <v>80000</v>
      </c>
      <c r="AE959" s="250">
        <v>110000</v>
      </c>
      <c r="AF959" s="250">
        <v>24000</v>
      </c>
    </row>
    <row r="960" spans="2:32" x14ac:dyDescent="0.25">
      <c r="B960" s="65" t="s">
        <v>1816</v>
      </c>
      <c r="C960" s="14" t="s">
        <v>348</v>
      </c>
      <c r="D960" s="14">
        <v>1985</v>
      </c>
      <c r="E960" s="13">
        <v>1680000</v>
      </c>
      <c r="F960" s="14">
        <v>1.9</v>
      </c>
      <c r="G960" s="14">
        <v>2.2999999999999998</v>
      </c>
      <c r="H960" s="14" t="s">
        <v>340</v>
      </c>
      <c r="I960" s="249">
        <f t="shared" si="42"/>
        <v>1</v>
      </c>
      <c r="J960" s="143">
        <v>5000</v>
      </c>
      <c r="K960" s="249" t="s">
        <v>2378</v>
      </c>
      <c r="M960" s="249">
        <f t="shared" si="43"/>
        <v>30</v>
      </c>
      <c r="N960" s="249">
        <f t="shared" si="44"/>
        <v>29</v>
      </c>
      <c r="O960" s="14"/>
      <c r="P960" s="14"/>
      <c r="Q960" s="14" t="s">
        <v>328</v>
      </c>
      <c r="S960" s="14"/>
      <c r="T960" s="14"/>
      <c r="U960" s="14"/>
      <c r="V960" s="14"/>
      <c r="W960" s="14" t="s">
        <v>328</v>
      </c>
      <c r="X960" s="14"/>
      <c r="Z960" s="126">
        <v>0.3</v>
      </c>
      <c r="AA960" s="249">
        <v>2</v>
      </c>
      <c r="AB960" s="250">
        <v>12000</v>
      </c>
      <c r="AC960" s="250">
        <v>15000</v>
      </c>
      <c r="AD960" s="250">
        <v>70000</v>
      </c>
      <c r="AE960" s="250">
        <v>100000</v>
      </c>
      <c r="AF960" s="250">
        <v>15000</v>
      </c>
    </row>
    <row r="961" spans="2:32" x14ac:dyDescent="0.25">
      <c r="B961" s="65" t="s">
        <v>1816</v>
      </c>
      <c r="C961" s="14" t="s">
        <v>348</v>
      </c>
      <c r="D961" s="14">
        <v>1992</v>
      </c>
      <c r="E961" s="13">
        <v>1260000</v>
      </c>
      <c r="F961" s="14">
        <v>1.9</v>
      </c>
      <c r="G961" s="14">
        <v>2.2999999999999998</v>
      </c>
      <c r="H961" s="14" t="s">
        <v>340</v>
      </c>
      <c r="I961" s="249">
        <f t="shared" si="42"/>
        <v>1</v>
      </c>
      <c r="J961" s="143">
        <v>5000</v>
      </c>
      <c r="K961" s="249" t="s">
        <v>2378</v>
      </c>
      <c r="M961" s="249">
        <f t="shared" si="43"/>
        <v>23</v>
      </c>
      <c r="N961" s="249">
        <f t="shared" si="44"/>
        <v>22</v>
      </c>
      <c r="O961" s="14"/>
      <c r="P961" s="14" t="s">
        <v>328</v>
      </c>
      <c r="Q961" s="14"/>
      <c r="S961" s="14"/>
      <c r="T961" s="14"/>
      <c r="U961" s="14"/>
      <c r="V961" s="14"/>
      <c r="W961" s="14" t="s">
        <v>328</v>
      </c>
      <c r="X961" s="14"/>
      <c r="Z961" s="126">
        <v>0.3</v>
      </c>
      <c r="AA961" s="249">
        <v>2</v>
      </c>
      <c r="AB961" s="250">
        <v>12000</v>
      </c>
      <c r="AC961" s="250">
        <v>15000</v>
      </c>
      <c r="AD961" s="250">
        <v>70000</v>
      </c>
      <c r="AE961" s="250">
        <v>100000</v>
      </c>
      <c r="AF961" s="250">
        <v>15000</v>
      </c>
    </row>
    <row r="962" spans="2:32" x14ac:dyDescent="0.25">
      <c r="B962" s="65" t="s">
        <v>1817</v>
      </c>
      <c r="C962" s="14" t="s">
        <v>337</v>
      </c>
      <c r="D962" s="14">
        <v>1984</v>
      </c>
      <c r="E962" s="13">
        <v>2088000</v>
      </c>
      <c r="F962" s="14">
        <v>1.9</v>
      </c>
      <c r="G962" s="14">
        <v>2.2000000000000002</v>
      </c>
      <c r="H962" s="14" t="s">
        <v>340</v>
      </c>
      <c r="I962" s="249">
        <f t="shared" si="42"/>
        <v>1</v>
      </c>
      <c r="J962" s="143">
        <v>6000</v>
      </c>
      <c r="K962" s="249" t="s">
        <v>2379</v>
      </c>
      <c r="M962" s="249">
        <f t="shared" si="43"/>
        <v>31</v>
      </c>
      <c r="N962" s="249">
        <f t="shared" si="44"/>
        <v>30</v>
      </c>
      <c r="O962" s="14"/>
      <c r="P962" s="14" t="s">
        <v>328</v>
      </c>
      <c r="Q962" s="14"/>
      <c r="S962" s="14"/>
      <c r="T962" s="14" t="s">
        <v>328</v>
      </c>
      <c r="U962" s="14"/>
      <c r="V962" s="14"/>
      <c r="W962" s="14"/>
      <c r="X962" s="14"/>
      <c r="Z962" s="126">
        <v>0.5</v>
      </c>
      <c r="AA962" s="249">
        <v>6</v>
      </c>
      <c r="AB962" s="250">
        <v>24000</v>
      </c>
      <c r="AC962" s="250">
        <v>50000</v>
      </c>
      <c r="AD962" s="250">
        <v>50000</v>
      </c>
      <c r="AE962" s="250">
        <v>90000</v>
      </c>
      <c r="AF962" s="250">
        <v>24000</v>
      </c>
    </row>
    <row r="963" spans="2:32" x14ac:dyDescent="0.25">
      <c r="B963" s="65" t="s">
        <v>1817</v>
      </c>
      <c r="C963" s="14" t="s">
        <v>337</v>
      </c>
      <c r="D963" s="14">
        <v>1984</v>
      </c>
      <c r="E963" s="13">
        <v>2088000</v>
      </c>
      <c r="F963" s="14">
        <v>1.9</v>
      </c>
      <c r="G963" s="14">
        <v>2.2000000000000002</v>
      </c>
      <c r="H963" s="14" t="s">
        <v>340</v>
      </c>
      <c r="I963" s="249">
        <f t="shared" si="42"/>
        <v>1</v>
      </c>
      <c r="J963" s="143">
        <v>6000</v>
      </c>
      <c r="K963" s="249" t="s">
        <v>2379</v>
      </c>
      <c r="M963" s="249">
        <f t="shared" si="43"/>
        <v>31</v>
      </c>
      <c r="N963" s="249">
        <f t="shared" si="44"/>
        <v>30</v>
      </c>
      <c r="O963" s="14"/>
      <c r="P963" s="14" t="s">
        <v>328</v>
      </c>
      <c r="Q963" s="14"/>
      <c r="S963" s="14"/>
      <c r="T963" s="14" t="s">
        <v>328</v>
      </c>
      <c r="U963" s="14"/>
      <c r="V963" s="14"/>
      <c r="W963" s="14"/>
      <c r="X963" s="14"/>
      <c r="Z963" s="126">
        <v>0.5</v>
      </c>
      <c r="AA963" s="249">
        <v>6</v>
      </c>
      <c r="AB963" s="250">
        <v>24000</v>
      </c>
      <c r="AC963" s="250">
        <v>50000</v>
      </c>
      <c r="AD963" s="250">
        <v>50000</v>
      </c>
      <c r="AE963" s="250">
        <v>90000</v>
      </c>
      <c r="AF963" s="250">
        <v>24000</v>
      </c>
    </row>
    <row r="964" spans="2:32" x14ac:dyDescent="0.25">
      <c r="B964" s="65" t="s">
        <v>1817</v>
      </c>
      <c r="C964" s="14" t="s">
        <v>337</v>
      </c>
      <c r="D964" s="14">
        <v>1987</v>
      </c>
      <c r="E964" s="13">
        <v>1872000</v>
      </c>
      <c r="F964" s="14">
        <v>1.9</v>
      </c>
      <c r="G964" s="14">
        <v>2.2000000000000002</v>
      </c>
      <c r="H964" s="14" t="s">
        <v>340</v>
      </c>
      <c r="I964" s="249">
        <f t="shared" si="42"/>
        <v>1</v>
      </c>
      <c r="J964" s="143">
        <v>6000</v>
      </c>
      <c r="K964" s="249" t="s">
        <v>2379</v>
      </c>
      <c r="M964" s="249">
        <f t="shared" si="43"/>
        <v>28</v>
      </c>
      <c r="N964" s="249">
        <f t="shared" si="44"/>
        <v>27</v>
      </c>
      <c r="O964" s="14"/>
      <c r="P964" s="14" t="s">
        <v>328</v>
      </c>
      <c r="Q964" s="14"/>
      <c r="S964" s="14"/>
      <c r="T964" s="14" t="s">
        <v>328</v>
      </c>
      <c r="U964" s="14"/>
      <c r="V964" s="14"/>
      <c r="W964" s="14"/>
      <c r="X964" s="14"/>
      <c r="Z964" s="126">
        <v>0.5</v>
      </c>
      <c r="AA964" s="249">
        <v>6</v>
      </c>
      <c r="AB964" s="250">
        <v>24000</v>
      </c>
      <c r="AC964" s="250">
        <v>50000</v>
      </c>
      <c r="AD964" s="250">
        <v>50000</v>
      </c>
      <c r="AE964" s="250">
        <v>90000</v>
      </c>
      <c r="AF964" s="250">
        <v>24000</v>
      </c>
    </row>
    <row r="965" spans="2:32" x14ac:dyDescent="0.25">
      <c r="B965" s="65" t="s">
        <v>1817</v>
      </c>
      <c r="C965" s="14" t="s">
        <v>337</v>
      </c>
      <c r="D965" s="14">
        <v>1987</v>
      </c>
      <c r="E965" s="13">
        <v>1872000</v>
      </c>
      <c r="F965" s="14">
        <v>1.9</v>
      </c>
      <c r="G965" s="14">
        <v>2.2000000000000002</v>
      </c>
      <c r="H965" s="14" t="s">
        <v>340</v>
      </c>
      <c r="I965" s="249">
        <f t="shared" si="42"/>
        <v>1</v>
      </c>
      <c r="J965" s="143">
        <v>6000</v>
      </c>
      <c r="K965" s="249" t="s">
        <v>2379</v>
      </c>
      <c r="M965" s="249">
        <f t="shared" si="43"/>
        <v>28</v>
      </c>
      <c r="N965" s="249">
        <f t="shared" si="44"/>
        <v>27</v>
      </c>
      <c r="O965" s="14"/>
      <c r="P965" s="14" t="s">
        <v>328</v>
      </c>
      <c r="Q965" s="14"/>
      <c r="S965" s="14"/>
      <c r="T965" s="14" t="s">
        <v>328</v>
      </c>
      <c r="U965" s="14"/>
      <c r="V965" s="14"/>
      <c r="W965" s="14"/>
      <c r="X965" s="14"/>
      <c r="Z965" s="126">
        <v>0.5</v>
      </c>
      <c r="AA965" s="249">
        <v>6</v>
      </c>
      <c r="AB965" s="250">
        <v>24000</v>
      </c>
      <c r="AC965" s="250">
        <v>50000</v>
      </c>
      <c r="AD965" s="250">
        <v>50000</v>
      </c>
      <c r="AE965" s="250">
        <v>90000</v>
      </c>
      <c r="AF965" s="250">
        <v>24000</v>
      </c>
    </row>
    <row r="966" spans="2:32" x14ac:dyDescent="0.25">
      <c r="B966" s="65" t="s">
        <v>1817</v>
      </c>
      <c r="C966" s="14" t="s">
        <v>337</v>
      </c>
      <c r="D966" s="14">
        <v>1988</v>
      </c>
      <c r="E966" s="13">
        <v>1800000</v>
      </c>
      <c r="F966" s="14">
        <v>1.9</v>
      </c>
      <c r="G966" s="14">
        <v>2.2000000000000002</v>
      </c>
      <c r="H966" s="14" t="s">
        <v>340</v>
      </c>
      <c r="I966" s="249">
        <f t="shared" ref="I966:I1029" si="45">IF(F966&gt;G966,0,1)</f>
        <v>1</v>
      </c>
      <c r="J966" s="143">
        <v>6000</v>
      </c>
      <c r="K966" s="249" t="s">
        <v>2379</v>
      </c>
      <c r="M966" s="249">
        <f t="shared" ref="M966:M1029" si="46">2015-D966</f>
        <v>27</v>
      </c>
      <c r="N966" s="249">
        <f t="shared" ref="N966:N1029" si="47">2014-$D966</f>
        <v>26</v>
      </c>
      <c r="O966" s="14"/>
      <c r="P966" s="14" t="s">
        <v>328</v>
      </c>
      <c r="Q966" s="14"/>
      <c r="S966" s="14"/>
      <c r="T966" s="14" t="s">
        <v>328</v>
      </c>
      <c r="U966" s="14"/>
      <c r="V966" s="14"/>
      <c r="W966" s="14"/>
      <c r="X966" s="14"/>
      <c r="Z966" s="126">
        <v>0.5</v>
      </c>
      <c r="AA966" s="249">
        <v>6</v>
      </c>
      <c r="AB966" s="250">
        <v>24000</v>
      </c>
      <c r="AC966" s="250">
        <v>50000</v>
      </c>
      <c r="AD966" s="250">
        <v>50000</v>
      </c>
      <c r="AE966" s="250">
        <v>90000</v>
      </c>
      <c r="AF966" s="250">
        <v>24000</v>
      </c>
    </row>
    <row r="967" spans="2:32" x14ac:dyDescent="0.25">
      <c r="B967" s="65" t="s">
        <v>1817</v>
      </c>
      <c r="C967" s="14" t="s">
        <v>337</v>
      </c>
      <c r="D967" s="14">
        <v>2000</v>
      </c>
      <c r="E967" s="13">
        <v>936000</v>
      </c>
      <c r="F967" s="14">
        <v>1.9</v>
      </c>
      <c r="G967" s="14">
        <v>2.2000000000000002</v>
      </c>
      <c r="H967" s="14" t="s">
        <v>340</v>
      </c>
      <c r="I967" s="249">
        <f t="shared" si="45"/>
        <v>1</v>
      </c>
      <c r="J967" s="143">
        <v>6000</v>
      </c>
      <c r="K967" s="249" t="s">
        <v>2379</v>
      </c>
      <c r="M967" s="249">
        <f t="shared" si="46"/>
        <v>15</v>
      </c>
      <c r="N967" s="249">
        <f t="shared" si="47"/>
        <v>14</v>
      </c>
      <c r="O967" s="14"/>
      <c r="P967" s="14" t="s">
        <v>328</v>
      </c>
      <c r="Q967" s="14"/>
      <c r="S967" s="14"/>
      <c r="T967" s="14"/>
      <c r="U967" s="14"/>
      <c r="V967" s="14"/>
      <c r="W967" s="14" t="s">
        <v>328</v>
      </c>
      <c r="X967" s="14"/>
      <c r="Z967" s="126">
        <v>0.5</v>
      </c>
      <c r="AA967" s="249">
        <v>6</v>
      </c>
      <c r="AB967" s="250">
        <v>24000</v>
      </c>
      <c r="AC967" s="250">
        <v>50000</v>
      </c>
      <c r="AD967" s="250">
        <v>50000</v>
      </c>
      <c r="AE967" s="250">
        <v>90000</v>
      </c>
      <c r="AF967" s="250">
        <v>24000</v>
      </c>
    </row>
    <row r="968" spans="2:32" x14ac:dyDescent="0.25">
      <c r="B968" s="65" t="s">
        <v>1818</v>
      </c>
      <c r="C968" s="15" t="s">
        <v>337</v>
      </c>
      <c r="D968" s="15">
        <v>2005</v>
      </c>
      <c r="E968" s="16">
        <v>672000</v>
      </c>
      <c r="F968" s="14">
        <v>1.9</v>
      </c>
      <c r="G968" s="14">
        <v>2.2000000000000002</v>
      </c>
      <c r="H968" s="15" t="s">
        <v>340</v>
      </c>
      <c r="I968" s="249">
        <f t="shared" si="45"/>
        <v>1</v>
      </c>
      <c r="J968" s="143">
        <v>7000</v>
      </c>
      <c r="K968" s="249" t="s">
        <v>2378</v>
      </c>
      <c r="M968" s="249">
        <f t="shared" si="46"/>
        <v>10</v>
      </c>
      <c r="N968" s="249">
        <f t="shared" si="47"/>
        <v>9</v>
      </c>
      <c r="O968" s="15" t="s">
        <v>328</v>
      </c>
      <c r="P968" s="15"/>
      <c r="Q968" s="15"/>
      <c r="S968" s="15"/>
      <c r="T968" s="15" t="s">
        <v>328</v>
      </c>
      <c r="U968" s="15"/>
      <c r="V968" s="15"/>
      <c r="W968" s="15"/>
      <c r="X968" s="15"/>
      <c r="Z968" s="127">
        <v>0.5</v>
      </c>
      <c r="AA968" s="249">
        <v>1</v>
      </c>
      <c r="AB968" s="250">
        <v>20000</v>
      </c>
      <c r="AC968" s="250">
        <v>30000</v>
      </c>
      <c r="AD968" s="250">
        <v>40000</v>
      </c>
      <c r="AE968" s="250">
        <v>120000</v>
      </c>
      <c r="AF968" s="250">
        <v>20000</v>
      </c>
    </row>
    <row r="969" spans="2:32" x14ac:dyDescent="0.25">
      <c r="B969" s="65" t="s">
        <v>1819</v>
      </c>
      <c r="C969" s="14" t="s">
        <v>337</v>
      </c>
      <c r="D969" s="14">
        <v>2013</v>
      </c>
      <c r="E969" s="16">
        <v>86400</v>
      </c>
      <c r="F969" s="15">
        <v>2.2999999999999998</v>
      </c>
      <c r="G969" s="15">
        <v>2.5</v>
      </c>
      <c r="H969" s="14" t="s">
        <v>340</v>
      </c>
      <c r="I969" s="249">
        <f t="shared" si="45"/>
        <v>1</v>
      </c>
      <c r="J969" s="143">
        <v>7000</v>
      </c>
      <c r="K969" s="249" t="s">
        <v>2378</v>
      </c>
      <c r="M969" s="249">
        <f t="shared" si="46"/>
        <v>2</v>
      </c>
      <c r="N969" s="249">
        <f t="shared" si="47"/>
        <v>1</v>
      </c>
      <c r="O969" s="14" t="s">
        <v>328</v>
      </c>
      <c r="P969" s="14"/>
      <c r="Q969" s="14"/>
      <c r="S969" s="14"/>
      <c r="T969" s="14"/>
      <c r="U969" s="14"/>
      <c r="V969" s="14"/>
      <c r="W969" s="14"/>
      <c r="X969" s="14" t="s">
        <v>328</v>
      </c>
      <c r="Z969" s="127">
        <v>0.4</v>
      </c>
      <c r="AA969" s="249">
        <v>1</v>
      </c>
      <c r="AB969" s="250">
        <v>15000</v>
      </c>
      <c r="AC969" s="250">
        <v>20000</v>
      </c>
      <c r="AD969" s="250">
        <v>50000</v>
      </c>
      <c r="AE969" s="250">
        <v>90000</v>
      </c>
      <c r="AF969" s="250">
        <v>15000</v>
      </c>
    </row>
    <row r="970" spans="2:32" x14ac:dyDescent="0.25">
      <c r="B970" s="65" t="s">
        <v>1820</v>
      </c>
      <c r="C970" s="15" t="s">
        <v>337</v>
      </c>
      <c r="D970" s="15">
        <v>2001</v>
      </c>
      <c r="E970" s="16">
        <v>691200</v>
      </c>
      <c r="F970" s="15">
        <v>2.4</v>
      </c>
      <c r="G970" s="15">
        <v>2.7</v>
      </c>
      <c r="H970" s="15" t="s">
        <v>340</v>
      </c>
      <c r="I970" s="249">
        <f t="shared" si="45"/>
        <v>1</v>
      </c>
      <c r="J970" s="143">
        <v>4800</v>
      </c>
      <c r="K970" s="249" t="s">
        <v>2378</v>
      </c>
      <c r="M970" s="249">
        <f t="shared" si="46"/>
        <v>14</v>
      </c>
      <c r="N970" s="249">
        <f t="shared" si="47"/>
        <v>13</v>
      </c>
      <c r="O970" s="15" t="s">
        <v>328</v>
      </c>
      <c r="P970" s="15"/>
      <c r="Q970" s="15"/>
      <c r="S970" s="15"/>
      <c r="T970" s="15"/>
      <c r="U970" s="15"/>
      <c r="V970" s="15"/>
      <c r="W970" s="15" t="s">
        <v>328</v>
      </c>
      <c r="X970" s="15"/>
      <c r="Z970" s="127">
        <v>0.3</v>
      </c>
      <c r="AA970" s="249">
        <v>1</v>
      </c>
      <c r="AB970" s="250">
        <v>25000</v>
      </c>
      <c r="AC970" s="250">
        <v>25000</v>
      </c>
      <c r="AD970" s="250">
        <v>60000</v>
      </c>
      <c r="AE970" s="250">
        <v>100000</v>
      </c>
      <c r="AF970" s="250">
        <v>25000</v>
      </c>
    </row>
    <row r="971" spans="2:32" x14ac:dyDescent="0.25">
      <c r="B971" s="65" t="s">
        <v>1821</v>
      </c>
      <c r="C971" s="15" t="s">
        <v>337</v>
      </c>
      <c r="D971" s="15">
        <v>2010</v>
      </c>
      <c r="E971" s="16">
        <v>288000</v>
      </c>
      <c r="F971" s="15">
        <v>2.2999999999999998</v>
      </c>
      <c r="G971" s="15">
        <v>2.5</v>
      </c>
      <c r="H971" s="15" t="s">
        <v>340</v>
      </c>
      <c r="I971" s="249">
        <f t="shared" si="45"/>
        <v>1</v>
      </c>
      <c r="J971" s="143">
        <v>8000</v>
      </c>
      <c r="K971" s="249" t="s">
        <v>2378</v>
      </c>
      <c r="M971" s="249">
        <f t="shared" si="46"/>
        <v>5</v>
      </c>
      <c r="N971" s="249">
        <f t="shared" si="47"/>
        <v>4</v>
      </c>
      <c r="O971" s="15" t="s">
        <v>328</v>
      </c>
      <c r="P971" s="15"/>
      <c r="Q971" s="15"/>
      <c r="S971" s="15"/>
      <c r="T971" s="15"/>
      <c r="U971" s="15"/>
      <c r="V971" s="15"/>
      <c r="W971" s="15" t="s">
        <v>328</v>
      </c>
      <c r="X971" s="15"/>
      <c r="Z971" s="127">
        <v>0.5</v>
      </c>
      <c r="AA971" s="249">
        <v>2</v>
      </c>
      <c r="AB971" s="250">
        <v>18000</v>
      </c>
      <c r="AC971" s="250">
        <v>20000</v>
      </c>
      <c r="AD971" s="250">
        <v>50000</v>
      </c>
      <c r="AE971" s="250">
        <v>110000</v>
      </c>
      <c r="AF971" s="250">
        <v>20000</v>
      </c>
    </row>
    <row r="972" spans="2:32" x14ac:dyDescent="0.25">
      <c r="B972" s="65" t="s">
        <v>1821</v>
      </c>
      <c r="C972" s="15" t="s">
        <v>337</v>
      </c>
      <c r="D972" s="15">
        <v>2010</v>
      </c>
      <c r="E972" s="16">
        <v>288000</v>
      </c>
      <c r="F972" s="15">
        <v>2.2999999999999998</v>
      </c>
      <c r="G972" s="15">
        <v>2.5</v>
      </c>
      <c r="H972" s="15" t="s">
        <v>340</v>
      </c>
      <c r="I972" s="249">
        <f t="shared" si="45"/>
        <v>1</v>
      </c>
      <c r="J972" s="143">
        <v>8000</v>
      </c>
      <c r="K972" s="249" t="s">
        <v>2378</v>
      </c>
      <c r="M972" s="249">
        <f t="shared" si="46"/>
        <v>5</v>
      </c>
      <c r="N972" s="249">
        <f t="shared" si="47"/>
        <v>4</v>
      </c>
      <c r="O972" s="15" t="s">
        <v>328</v>
      </c>
      <c r="P972" s="15"/>
      <c r="Q972" s="15"/>
      <c r="S972" s="15"/>
      <c r="T972" s="15"/>
      <c r="U972" s="15"/>
      <c r="V972" s="15"/>
      <c r="W972" s="15" t="s">
        <v>328</v>
      </c>
      <c r="X972" s="15"/>
      <c r="Z972" s="127">
        <v>0.5</v>
      </c>
      <c r="AA972" s="249">
        <v>2</v>
      </c>
      <c r="AB972" s="250">
        <v>18000</v>
      </c>
      <c r="AC972" s="250">
        <v>20000</v>
      </c>
      <c r="AD972" s="250">
        <v>50000</v>
      </c>
      <c r="AE972" s="250">
        <v>110000</v>
      </c>
      <c r="AF972" s="250">
        <v>20000</v>
      </c>
    </row>
    <row r="973" spans="2:32" x14ac:dyDescent="0.25">
      <c r="B973" s="65" t="s">
        <v>1822</v>
      </c>
      <c r="C973" s="14" t="s">
        <v>351</v>
      </c>
      <c r="D973" s="15">
        <v>1978</v>
      </c>
      <c r="E973" s="16">
        <v>1260000</v>
      </c>
      <c r="F973" s="14">
        <v>1.9</v>
      </c>
      <c r="G973" s="14">
        <v>2.2000000000000002</v>
      </c>
      <c r="H973" s="15" t="s">
        <v>340</v>
      </c>
      <c r="I973" s="249">
        <f t="shared" si="45"/>
        <v>1</v>
      </c>
      <c r="J973" s="143">
        <v>3000</v>
      </c>
      <c r="K973" s="249" t="s">
        <v>2378</v>
      </c>
      <c r="M973" s="249">
        <f t="shared" si="46"/>
        <v>37</v>
      </c>
      <c r="N973" s="249">
        <f t="shared" si="47"/>
        <v>36</v>
      </c>
      <c r="O973" s="15"/>
      <c r="P973" s="15"/>
      <c r="Q973" s="15" t="s">
        <v>328</v>
      </c>
      <c r="S973" s="15"/>
      <c r="T973" s="15"/>
      <c r="U973" s="15"/>
      <c r="V973" s="15" t="s">
        <v>328</v>
      </c>
      <c r="W973" s="15"/>
      <c r="X973" s="15"/>
      <c r="Z973" s="127">
        <v>0.5</v>
      </c>
      <c r="AA973" s="249">
        <v>1</v>
      </c>
      <c r="AB973" s="250">
        <v>20000</v>
      </c>
      <c r="AC973" s="250">
        <v>35000</v>
      </c>
      <c r="AD973" s="250">
        <v>35000</v>
      </c>
      <c r="AE973" s="250">
        <v>120000</v>
      </c>
      <c r="AF973" s="250">
        <v>20000</v>
      </c>
    </row>
    <row r="974" spans="2:32" x14ac:dyDescent="0.25">
      <c r="B974" s="65" t="s">
        <v>1823</v>
      </c>
      <c r="C974" s="14" t="s">
        <v>337</v>
      </c>
      <c r="D974" s="14">
        <v>1982</v>
      </c>
      <c r="E974" s="16">
        <v>1860000</v>
      </c>
      <c r="F974" s="14">
        <v>2</v>
      </c>
      <c r="G974" s="14">
        <v>3</v>
      </c>
      <c r="H974" s="14" t="s">
        <v>340</v>
      </c>
      <c r="I974" s="249">
        <f t="shared" si="45"/>
        <v>1</v>
      </c>
      <c r="J974" s="143">
        <v>5000</v>
      </c>
      <c r="K974" s="249" t="s">
        <v>2378</v>
      </c>
      <c r="M974" s="249">
        <f t="shared" si="46"/>
        <v>33</v>
      </c>
      <c r="N974" s="249">
        <f t="shared" si="47"/>
        <v>32</v>
      </c>
      <c r="O974" s="14"/>
      <c r="P974" s="14"/>
      <c r="Q974" s="14" t="s">
        <v>328</v>
      </c>
      <c r="S974" s="14"/>
      <c r="T974" s="14" t="s">
        <v>328</v>
      </c>
      <c r="U974" s="14"/>
      <c r="V974" s="14"/>
      <c r="W974" s="14"/>
      <c r="X974" s="14"/>
      <c r="Z974" s="126">
        <v>0.5</v>
      </c>
      <c r="AA974" s="249">
        <v>3</v>
      </c>
      <c r="AB974" s="250">
        <v>15000</v>
      </c>
      <c r="AC974" s="250">
        <v>30000</v>
      </c>
      <c r="AD974" s="250">
        <v>60000</v>
      </c>
      <c r="AE974" s="250">
        <v>90000</v>
      </c>
      <c r="AF974" s="250">
        <v>15000</v>
      </c>
    </row>
    <row r="975" spans="2:32" x14ac:dyDescent="0.25">
      <c r="B975" s="65" t="s">
        <v>1823</v>
      </c>
      <c r="C975" s="14" t="s">
        <v>337</v>
      </c>
      <c r="D975" s="14">
        <v>1980</v>
      </c>
      <c r="E975" s="16">
        <v>1980000</v>
      </c>
      <c r="F975" s="14">
        <v>2</v>
      </c>
      <c r="G975" s="14">
        <v>3</v>
      </c>
      <c r="H975" s="14" t="s">
        <v>340</v>
      </c>
      <c r="I975" s="249">
        <f t="shared" si="45"/>
        <v>1</v>
      </c>
      <c r="J975" s="143">
        <v>5000</v>
      </c>
      <c r="K975" s="249" t="s">
        <v>2378</v>
      </c>
      <c r="M975" s="249">
        <f t="shared" si="46"/>
        <v>35</v>
      </c>
      <c r="N975" s="249">
        <f t="shared" si="47"/>
        <v>34</v>
      </c>
      <c r="O975" s="14"/>
      <c r="P975" s="14"/>
      <c r="Q975" s="14" t="s">
        <v>328</v>
      </c>
      <c r="S975" s="14"/>
      <c r="T975" s="14" t="s">
        <v>328</v>
      </c>
      <c r="U975" s="14"/>
      <c r="V975" s="14"/>
      <c r="W975" s="14"/>
      <c r="X975" s="14"/>
      <c r="Z975" s="126">
        <v>0.5</v>
      </c>
      <c r="AA975" s="249">
        <v>3</v>
      </c>
      <c r="AB975" s="250">
        <v>15000</v>
      </c>
      <c r="AC975" s="250">
        <v>30000</v>
      </c>
      <c r="AD975" s="250">
        <v>60000</v>
      </c>
      <c r="AE975" s="250">
        <v>90000</v>
      </c>
      <c r="AF975" s="250">
        <v>15000</v>
      </c>
    </row>
    <row r="976" spans="2:32" x14ac:dyDescent="0.25">
      <c r="B976" s="65" t="s">
        <v>1823</v>
      </c>
      <c r="C976" s="14" t="s">
        <v>337</v>
      </c>
      <c r="D976" s="14">
        <v>1985</v>
      </c>
      <c r="E976" s="16">
        <v>1680000</v>
      </c>
      <c r="F976" s="14">
        <v>2</v>
      </c>
      <c r="G976" s="14">
        <v>3</v>
      </c>
      <c r="H976" s="14" t="s">
        <v>340</v>
      </c>
      <c r="I976" s="249">
        <f t="shared" si="45"/>
        <v>1</v>
      </c>
      <c r="J976" s="143">
        <v>5000</v>
      </c>
      <c r="K976" s="249" t="s">
        <v>2378</v>
      </c>
      <c r="M976" s="249">
        <f t="shared" si="46"/>
        <v>30</v>
      </c>
      <c r="N976" s="249">
        <f t="shared" si="47"/>
        <v>29</v>
      </c>
      <c r="O976" s="14"/>
      <c r="P976" s="14"/>
      <c r="Q976" s="14" t="s">
        <v>328</v>
      </c>
      <c r="S976" s="14"/>
      <c r="T976" s="14" t="s">
        <v>328</v>
      </c>
      <c r="U976" s="14"/>
      <c r="V976" s="14"/>
      <c r="W976" s="14"/>
      <c r="X976" s="14"/>
      <c r="Z976" s="126">
        <v>0.5</v>
      </c>
      <c r="AA976" s="249">
        <v>3</v>
      </c>
      <c r="AB976" s="250">
        <v>15000</v>
      </c>
      <c r="AC976" s="250">
        <v>30000</v>
      </c>
      <c r="AD976" s="250">
        <v>60000</v>
      </c>
      <c r="AE976" s="250">
        <v>90000</v>
      </c>
      <c r="AF976" s="250">
        <v>15000</v>
      </c>
    </row>
    <row r="977" spans="2:32" x14ac:dyDescent="0.25">
      <c r="B977" s="65" t="s">
        <v>1826</v>
      </c>
      <c r="C977" s="14" t="s">
        <v>351</v>
      </c>
      <c r="D977" s="15">
        <v>1982</v>
      </c>
      <c r="E977" s="16">
        <v>1488000</v>
      </c>
      <c r="F977" s="15">
        <v>3</v>
      </c>
      <c r="G977" s="15">
        <v>3.2</v>
      </c>
      <c r="H977" s="15" t="s">
        <v>340</v>
      </c>
      <c r="I977" s="249">
        <f t="shared" si="45"/>
        <v>1</v>
      </c>
      <c r="J977" s="143">
        <v>4000</v>
      </c>
      <c r="K977" s="249" t="s">
        <v>2378</v>
      </c>
      <c r="M977" s="249">
        <f t="shared" si="46"/>
        <v>33</v>
      </c>
      <c r="N977" s="249">
        <f t="shared" si="47"/>
        <v>32</v>
      </c>
      <c r="O977" s="15"/>
      <c r="P977" s="15"/>
      <c r="Q977" s="15" t="s">
        <v>328</v>
      </c>
      <c r="S977" s="15" t="s">
        <v>328</v>
      </c>
      <c r="T977" s="15"/>
      <c r="U977" s="15"/>
      <c r="V977" s="15"/>
      <c r="W977" s="15"/>
      <c r="X977" s="15"/>
      <c r="Z977" s="127">
        <v>0.5</v>
      </c>
      <c r="AA977" s="249">
        <v>1</v>
      </c>
      <c r="AB977" s="250">
        <v>20000</v>
      </c>
      <c r="AC977" s="250">
        <v>40000</v>
      </c>
      <c r="AD977" s="250">
        <v>40000</v>
      </c>
      <c r="AE977" s="250">
        <v>110000</v>
      </c>
      <c r="AF977" s="250">
        <v>20000</v>
      </c>
    </row>
    <row r="978" spans="2:32" x14ac:dyDescent="0.25">
      <c r="B978" s="65" t="s">
        <v>1829</v>
      </c>
      <c r="C978" s="14" t="s">
        <v>351</v>
      </c>
      <c r="D978" s="14">
        <v>1998</v>
      </c>
      <c r="E978" s="16">
        <v>900000</v>
      </c>
      <c r="F978" s="14">
        <v>1.9</v>
      </c>
      <c r="G978" s="14">
        <v>2.2000000000000002</v>
      </c>
      <c r="H978" s="14" t="s">
        <v>340</v>
      </c>
      <c r="I978" s="249">
        <f t="shared" si="45"/>
        <v>1</v>
      </c>
      <c r="J978" s="143">
        <v>5000</v>
      </c>
      <c r="K978" s="249" t="s">
        <v>2378</v>
      </c>
      <c r="M978" s="249">
        <f t="shared" si="46"/>
        <v>17</v>
      </c>
      <c r="N978" s="249">
        <f t="shared" si="47"/>
        <v>16</v>
      </c>
      <c r="O978" s="14" t="s">
        <v>328</v>
      </c>
      <c r="P978" s="14"/>
      <c r="Q978" s="14"/>
      <c r="S978" s="14"/>
      <c r="T978" s="14"/>
      <c r="U978" s="14"/>
      <c r="V978" s="14"/>
      <c r="W978" s="14" t="s">
        <v>328</v>
      </c>
      <c r="X978" s="14"/>
      <c r="Z978" s="126">
        <v>0.5</v>
      </c>
      <c r="AA978" s="249">
        <v>1</v>
      </c>
      <c r="AB978" s="250">
        <v>15000</v>
      </c>
      <c r="AC978" s="250">
        <v>30000</v>
      </c>
      <c r="AD978" s="250">
        <v>30000</v>
      </c>
      <c r="AE978" s="250">
        <v>95000</v>
      </c>
      <c r="AF978" s="250">
        <v>30000</v>
      </c>
    </row>
    <row r="979" spans="2:32" x14ac:dyDescent="0.25">
      <c r="B979" s="65" t="s">
        <v>1830</v>
      </c>
      <c r="C979" s="14" t="s">
        <v>337</v>
      </c>
      <c r="D979" s="14">
        <v>2010</v>
      </c>
      <c r="E979" s="16">
        <v>108000</v>
      </c>
      <c r="F979" s="15">
        <v>2</v>
      </c>
      <c r="G979" s="15">
        <v>2.2000000000000002</v>
      </c>
      <c r="H979" s="14" t="s">
        <v>340</v>
      </c>
      <c r="I979" s="249">
        <f t="shared" si="45"/>
        <v>1</v>
      </c>
      <c r="J979" s="143">
        <v>3000</v>
      </c>
      <c r="K979" s="249" t="s">
        <v>2378</v>
      </c>
      <c r="M979" s="249">
        <f t="shared" si="46"/>
        <v>5</v>
      </c>
      <c r="N979" s="249">
        <f t="shared" si="47"/>
        <v>4</v>
      </c>
      <c r="O979" s="14" t="s">
        <v>328</v>
      </c>
      <c r="P979" s="14"/>
      <c r="Q979" s="14"/>
      <c r="S979" s="14"/>
      <c r="T979" s="14"/>
      <c r="U979" s="14"/>
      <c r="V979" s="14"/>
      <c r="W979" s="14"/>
      <c r="X979" s="14" t="s">
        <v>328</v>
      </c>
      <c r="Z979" s="126">
        <v>0.5</v>
      </c>
      <c r="AA979" s="249">
        <v>1</v>
      </c>
      <c r="AB979" s="250">
        <v>10000</v>
      </c>
      <c r="AC979" s="250">
        <v>20000</v>
      </c>
      <c r="AD979" s="250">
        <v>50000</v>
      </c>
      <c r="AE979" s="250">
        <v>90000</v>
      </c>
      <c r="AF979" s="250">
        <v>10000</v>
      </c>
    </row>
    <row r="980" spans="2:32" x14ac:dyDescent="0.25">
      <c r="B980" s="65" t="s">
        <v>1831</v>
      </c>
      <c r="C980" s="14" t="s">
        <v>348</v>
      </c>
      <c r="D980" s="14">
        <v>1992</v>
      </c>
      <c r="E980" s="16">
        <v>2520000</v>
      </c>
      <c r="F980" s="14">
        <v>1.7</v>
      </c>
      <c r="G980" s="14">
        <v>2.1</v>
      </c>
      <c r="H980" s="14" t="s">
        <v>340</v>
      </c>
      <c r="I980" s="249">
        <f t="shared" si="45"/>
        <v>1</v>
      </c>
      <c r="J980" s="143">
        <v>10000</v>
      </c>
      <c r="K980" s="249" t="s">
        <v>2378</v>
      </c>
      <c r="M980" s="249">
        <f t="shared" si="46"/>
        <v>23</v>
      </c>
      <c r="N980" s="249">
        <f t="shared" si="47"/>
        <v>22</v>
      </c>
      <c r="O980" s="14"/>
      <c r="P980" s="14"/>
      <c r="Q980" s="14" t="s">
        <v>328</v>
      </c>
      <c r="S980" s="14" t="s">
        <v>328</v>
      </c>
      <c r="T980" s="14"/>
      <c r="U980" s="14"/>
      <c r="V980" s="14"/>
      <c r="W980" s="14"/>
      <c r="X980" s="14"/>
      <c r="Z980" s="126">
        <v>0.5</v>
      </c>
      <c r="AA980" s="249">
        <v>1</v>
      </c>
      <c r="AB980" s="250">
        <v>11000</v>
      </c>
      <c r="AC980" s="250">
        <v>35000</v>
      </c>
      <c r="AD980" s="250">
        <v>60000</v>
      </c>
      <c r="AE980" s="250">
        <v>120000</v>
      </c>
      <c r="AF980" s="250">
        <v>11000</v>
      </c>
    </row>
    <row r="981" spans="2:32" x14ac:dyDescent="0.25">
      <c r="B981" s="65" t="s">
        <v>1832</v>
      </c>
      <c r="C981" s="14" t="s">
        <v>351</v>
      </c>
      <c r="D981" s="15">
        <v>1988</v>
      </c>
      <c r="E981" s="16">
        <v>1350000</v>
      </c>
      <c r="F981" s="15">
        <v>3.1</v>
      </c>
      <c r="G981" s="15">
        <v>3.4</v>
      </c>
      <c r="H981" s="15" t="s">
        <v>340</v>
      </c>
      <c r="I981" s="249">
        <f t="shared" si="45"/>
        <v>1</v>
      </c>
      <c r="J981" s="143">
        <v>4500</v>
      </c>
      <c r="K981" s="249" t="s">
        <v>2378</v>
      </c>
      <c r="M981" s="249">
        <f t="shared" si="46"/>
        <v>27</v>
      </c>
      <c r="N981" s="249">
        <f t="shared" si="47"/>
        <v>26</v>
      </c>
      <c r="O981" s="15"/>
      <c r="P981" s="15"/>
      <c r="Q981" s="15" t="s">
        <v>328</v>
      </c>
      <c r="S981" s="15"/>
      <c r="T981" s="15"/>
      <c r="U981" s="15"/>
      <c r="V981" s="15"/>
      <c r="W981" s="15" t="s">
        <v>328</v>
      </c>
      <c r="X981" s="15"/>
      <c r="Z981" s="127">
        <v>0.2</v>
      </c>
      <c r="AA981" s="249">
        <v>1</v>
      </c>
      <c r="AB981" s="250">
        <v>24500</v>
      </c>
      <c r="AC981" s="250">
        <v>24500</v>
      </c>
      <c r="AD981" s="250">
        <v>70000</v>
      </c>
      <c r="AE981" s="250">
        <v>100000</v>
      </c>
      <c r="AF981" s="250">
        <v>24500</v>
      </c>
    </row>
    <row r="982" spans="2:32" x14ac:dyDescent="0.25">
      <c r="B982" s="65" t="s">
        <v>1833</v>
      </c>
      <c r="C982" s="14" t="s">
        <v>359</v>
      </c>
      <c r="D982" s="15">
        <v>2010</v>
      </c>
      <c r="E982" s="16">
        <v>216000</v>
      </c>
      <c r="F982" s="15">
        <v>2.8</v>
      </c>
      <c r="G982" s="15">
        <v>3.2</v>
      </c>
      <c r="H982" s="14" t="s">
        <v>340</v>
      </c>
      <c r="I982" s="249">
        <f t="shared" si="45"/>
        <v>1</v>
      </c>
      <c r="J982" s="143">
        <v>6000</v>
      </c>
      <c r="K982" s="249" t="s">
        <v>2378</v>
      </c>
      <c r="M982" s="249">
        <f t="shared" si="46"/>
        <v>5</v>
      </c>
      <c r="N982" s="249">
        <f t="shared" si="47"/>
        <v>4</v>
      </c>
      <c r="O982" s="15" t="s">
        <v>328</v>
      </c>
      <c r="P982" s="15"/>
      <c r="Q982" s="15"/>
      <c r="S982" s="15"/>
      <c r="T982" s="15" t="s">
        <v>328</v>
      </c>
      <c r="U982" s="15"/>
      <c r="V982" s="15"/>
      <c r="W982" s="15"/>
      <c r="X982" s="15"/>
      <c r="Z982" s="127">
        <v>0.3</v>
      </c>
      <c r="AA982" s="249">
        <v>2</v>
      </c>
      <c r="AB982" s="250">
        <v>15000</v>
      </c>
      <c r="AC982" s="250">
        <v>18000</v>
      </c>
      <c r="AD982" s="250">
        <v>25000</v>
      </c>
      <c r="AE982" s="250">
        <v>90000</v>
      </c>
      <c r="AF982" s="250">
        <v>15000</v>
      </c>
    </row>
    <row r="983" spans="2:32" x14ac:dyDescent="0.25">
      <c r="B983" s="65" t="s">
        <v>1833</v>
      </c>
      <c r="C983" s="14" t="s">
        <v>359</v>
      </c>
      <c r="D983" s="15">
        <v>2010</v>
      </c>
      <c r="E983" s="16">
        <v>216000</v>
      </c>
      <c r="F983" s="15">
        <v>2.8</v>
      </c>
      <c r="G983" s="15">
        <v>3.2</v>
      </c>
      <c r="H983" s="14" t="s">
        <v>340</v>
      </c>
      <c r="I983" s="249">
        <f t="shared" si="45"/>
        <v>1</v>
      </c>
      <c r="J983" s="143">
        <v>6000</v>
      </c>
      <c r="K983" s="249" t="s">
        <v>2378</v>
      </c>
      <c r="M983" s="249">
        <f t="shared" si="46"/>
        <v>5</v>
      </c>
      <c r="N983" s="249">
        <f t="shared" si="47"/>
        <v>4</v>
      </c>
      <c r="O983" s="15" t="s">
        <v>328</v>
      </c>
      <c r="P983" s="15"/>
      <c r="Q983" s="15"/>
      <c r="S983" s="15"/>
      <c r="T983" s="15" t="s">
        <v>328</v>
      </c>
      <c r="U983" s="15"/>
      <c r="V983" s="15"/>
      <c r="W983" s="15"/>
      <c r="X983" s="15"/>
      <c r="Z983" s="127">
        <v>0.3</v>
      </c>
      <c r="AA983" s="249">
        <v>2</v>
      </c>
      <c r="AB983" s="250">
        <v>15000</v>
      </c>
      <c r="AC983" s="250">
        <v>18000</v>
      </c>
      <c r="AD983" s="250">
        <v>25000</v>
      </c>
      <c r="AE983" s="250">
        <v>90000</v>
      </c>
      <c r="AF983" s="250">
        <v>15000</v>
      </c>
    </row>
    <row r="984" spans="2:32" ht="15.75" thickBot="1" x14ac:dyDescent="0.3">
      <c r="B984" s="67" t="s">
        <v>1836</v>
      </c>
      <c r="C984" s="68" t="s">
        <v>348</v>
      </c>
      <c r="D984" s="68">
        <v>1997</v>
      </c>
      <c r="E984" s="69">
        <v>960000</v>
      </c>
      <c r="F984" s="68">
        <v>4</v>
      </c>
      <c r="G984" s="68">
        <v>5</v>
      </c>
      <c r="H984" s="68" t="s">
        <v>371</v>
      </c>
      <c r="I984" s="249">
        <f t="shared" si="45"/>
        <v>1</v>
      </c>
      <c r="J984" s="143">
        <v>5000</v>
      </c>
      <c r="K984" s="249" t="s">
        <v>2378</v>
      </c>
      <c r="M984" s="249">
        <f t="shared" si="46"/>
        <v>18</v>
      </c>
      <c r="N984" s="249">
        <f t="shared" si="47"/>
        <v>17</v>
      </c>
      <c r="O984" s="68"/>
      <c r="P984" s="68"/>
      <c r="Q984" s="68" t="s">
        <v>328</v>
      </c>
      <c r="S984" s="68"/>
      <c r="T984" s="68" t="s">
        <v>328</v>
      </c>
      <c r="U984" s="68"/>
      <c r="V984" s="68"/>
      <c r="W984" s="68"/>
      <c r="X984" s="68"/>
      <c r="Z984" s="128">
        <v>0.5</v>
      </c>
      <c r="AA984" s="249">
        <v>1</v>
      </c>
      <c r="AB984" s="250">
        <v>30000</v>
      </c>
      <c r="AC984" s="250">
        <v>30000</v>
      </c>
      <c r="AD984" s="250">
        <v>30000</v>
      </c>
      <c r="AE984" s="250">
        <v>60000</v>
      </c>
      <c r="AF984" s="250" t="s">
        <v>385</v>
      </c>
    </row>
    <row r="985" spans="2:32" x14ac:dyDescent="0.25">
      <c r="B985" s="54" t="s">
        <v>1901</v>
      </c>
      <c r="C985" s="249" t="str">
        <f t="shared" ref="C985:C1048" si="48">IF(E1441="X","C2",IF(F1441="X","C3",IF(G1441="X","T2",IF(H1441="X","T3",0))))</f>
        <v>C3</v>
      </c>
      <c r="D985" s="55">
        <v>1978</v>
      </c>
      <c r="E985" s="56">
        <v>2150000</v>
      </c>
      <c r="F985" s="249">
        <v>1.7</v>
      </c>
      <c r="G985" s="249">
        <v>2</v>
      </c>
      <c r="H985" s="249" t="str">
        <f t="shared" ref="H985:H1048" si="49">IF(B1441="X","G",IF(C1441="X","GAS",IF(D1441="X","D",0)))</f>
        <v>D</v>
      </c>
      <c r="I985" s="249">
        <f t="shared" si="45"/>
        <v>1</v>
      </c>
      <c r="J985" s="143">
        <v>4300</v>
      </c>
      <c r="K985" s="249" t="str">
        <f t="shared" ref="K985:K1048" si="50">IF(L1441="X","PT","HC")</f>
        <v>HC</v>
      </c>
      <c r="M985" s="249">
        <f t="shared" si="46"/>
        <v>37</v>
      </c>
      <c r="N985" s="249">
        <f t="shared" si="47"/>
        <v>36</v>
      </c>
      <c r="Z985" s="129">
        <v>0.5</v>
      </c>
      <c r="AA985" s="249">
        <v>2</v>
      </c>
      <c r="AB985" s="250">
        <v>6000</v>
      </c>
      <c r="AC985" s="250">
        <v>7000</v>
      </c>
      <c r="AD985" s="250">
        <v>15000</v>
      </c>
      <c r="AE985" s="250">
        <v>80000</v>
      </c>
      <c r="AF985" s="250">
        <v>15000</v>
      </c>
    </row>
    <row r="986" spans="2:32" x14ac:dyDescent="0.25">
      <c r="B986" s="61" t="s">
        <v>1902</v>
      </c>
      <c r="C986" s="249" t="str">
        <f t="shared" si="48"/>
        <v>C3</v>
      </c>
      <c r="D986" s="14">
        <v>1986</v>
      </c>
      <c r="E986" s="13">
        <v>980000</v>
      </c>
      <c r="F986" s="249">
        <v>1.5</v>
      </c>
      <c r="G986" s="249">
        <v>1.8</v>
      </c>
      <c r="H986" s="249" t="str">
        <f t="shared" si="49"/>
        <v>D</v>
      </c>
      <c r="I986" s="249">
        <f t="shared" si="45"/>
        <v>1</v>
      </c>
      <c r="J986" s="143">
        <v>3000</v>
      </c>
      <c r="K986" s="249" t="str">
        <f t="shared" si="50"/>
        <v>HC</v>
      </c>
      <c r="M986" s="249">
        <f t="shared" si="46"/>
        <v>29</v>
      </c>
      <c r="N986" s="249">
        <f t="shared" si="47"/>
        <v>28</v>
      </c>
      <c r="Z986" s="130">
        <v>0.5</v>
      </c>
      <c r="AA986" s="249">
        <v>3</v>
      </c>
      <c r="AB986" s="250">
        <v>8000</v>
      </c>
      <c r="AC986" s="250">
        <v>6000</v>
      </c>
      <c r="AD986" s="250">
        <v>10000</v>
      </c>
      <c r="AE986" s="250">
        <v>90000</v>
      </c>
      <c r="AF986" s="250">
        <v>10000</v>
      </c>
    </row>
    <row r="987" spans="2:32" x14ac:dyDescent="0.25">
      <c r="B987" s="61" t="s">
        <v>1903</v>
      </c>
      <c r="C987" s="249" t="str">
        <f t="shared" si="48"/>
        <v>C2</v>
      </c>
      <c r="D987" s="14">
        <v>2000</v>
      </c>
      <c r="E987" s="13">
        <v>780000</v>
      </c>
      <c r="F987" s="249">
        <v>1.8</v>
      </c>
      <c r="G987" s="249">
        <v>2.2000000000000002</v>
      </c>
      <c r="H987" s="249" t="str">
        <f t="shared" si="49"/>
        <v>D</v>
      </c>
      <c r="I987" s="249">
        <f t="shared" si="45"/>
        <v>1</v>
      </c>
      <c r="J987" s="143">
        <v>5000</v>
      </c>
      <c r="K987" s="249" t="str">
        <f t="shared" si="50"/>
        <v>HC</v>
      </c>
      <c r="M987" s="249">
        <f t="shared" si="46"/>
        <v>15</v>
      </c>
      <c r="N987" s="249">
        <f t="shared" si="47"/>
        <v>14</v>
      </c>
      <c r="Z987" s="130">
        <v>0.4</v>
      </c>
      <c r="AA987" s="249">
        <v>3</v>
      </c>
      <c r="AB987" s="250">
        <v>7500</v>
      </c>
      <c r="AC987" s="250">
        <v>7000</v>
      </c>
      <c r="AD987" s="250">
        <v>15000</v>
      </c>
      <c r="AE987" s="250">
        <v>100000</v>
      </c>
      <c r="AF987" s="250">
        <v>15000</v>
      </c>
    </row>
    <row r="988" spans="2:32" x14ac:dyDescent="0.25">
      <c r="B988" s="61" t="s">
        <v>1904</v>
      </c>
      <c r="C988" s="249" t="str">
        <f t="shared" si="48"/>
        <v>C3</v>
      </c>
      <c r="D988" s="14">
        <v>1982</v>
      </c>
      <c r="E988" s="13">
        <v>520000</v>
      </c>
      <c r="F988" s="249">
        <v>1.5</v>
      </c>
      <c r="G988" s="249">
        <v>2</v>
      </c>
      <c r="H988" s="249" t="str">
        <f t="shared" si="49"/>
        <v>D</v>
      </c>
      <c r="I988" s="249">
        <f t="shared" si="45"/>
        <v>1</v>
      </c>
      <c r="J988" s="143">
        <v>2500</v>
      </c>
      <c r="K988" s="249" t="str">
        <f t="shared" si="50"/>
        <v>HC</v>
      </c>
      <c r="M988" s="249">
        <f t="shared" si="46"/>
        <v>33</v>
      </c>
      <c r="N988" s="249">
        <f t="shared" si="47"/>
        <v>32</v>
      </c>
      <c r="Z988" s="130">
        <v>0.5</v>
      </c>
      <c r="AA988" s="249">
        <v>1</v>
      </c>
      <c r="AB988" s="250">
        <v>6000</v>
      </c>
      <c r="AC988" s="250">
        <v>5000</v>
      </c>
      <c r="AD988" s="250">
        <v>10000</v>
      </c>
      <c r="AE988" s="250">
        <v>70000</v>
      </c>
      <c r="AF988" s="250">
        <v>10000</v>
      </c>
    </row>
    <row r="989" spans="2:32" x14ac:dyDescent="0.25">
      <c r="B989" s="61" t="s">
        <v>1905</v>
      </c>
      <c r="C989" s="249" t="str">
        <f t="shared" si="48"/>
        <v>C3</v>
      </c>
      <c r="D989" s="14">
        <v>1987</v>
      </c>
      <c r="E989" s="13">
        <v>1550000</v>
      </c>
      <c r="F989" s="249">
        <v>1.8</v>
      </c>
      <c r="G989" s="249">
        <v>2.1</v>
      </c>
      <c r="H989" s="249" t="str">
        <f t="shared" si="49"/>
        <v>D</v>
      </c>
      <c r="I989" s="249">
        <f t="shared" si="45"/>
        <v>1</v>
      </c>
      <c r="J989" s="143">
        <v>3500</v>
      </c>
      <c r="K989" s="249" t="str">
        <f t="shared" si="50"/>
        <v>HC</v>
      </c>
      <c r="M989" s="249">
        <f t="shared" si="46"/>
        <v>28</v>
      </c>
      <c r="N989" s="249">
        <f t="shared" si="47"/>
        <v>27</v>
      </c>
      <c r="Z989" s="130">
        <v>0.5</v>
      </c>
      <c r="AA989" s="249">
        <v>3</v>
      </c>
      <c r="AB989" s="250">
        <v>7500</v>
      </c>
      <c r="AC989" s="250">
        <v>7000</v>
      </c>
      <c r="AD989" s="250">
        <v>10000</v>
      </c>
      <c r="AE989" s="250">
        <v>80000</v>
      </c>
      <c r="AF989" s="250">
        <v>10000</v>
      </c>
    </row>
    <row r="990" spans="2:32" x14ac:dyDescent="0.25">
      <c r="B990" s="61" t="s">
        <v>1906</v>
      </c>
      <c r="C990" s="249" t="str">
        <f t="shared" si="48"/>
        <v>T3</v>
      </c>
      <c r="D990" s="14">
        <v>1990</v>
      </c>
      <c r="E990" s="13">
        <v>1000000</v>
      </c>
      <c r="F990" s="249">
        <v>1.6</v>
      </c>
      <c r="G990" s="249">
        <v>2.1</v>
      </c>
      <c r="H990" s="249" t="str">
        <f t="shared" si="49"/>
        <v>D</v>
      </c>
      <c r="I990" s="249">
        <f t="shared" si="45"/>
        <v>1</v>
      </c>
      <c r="J990" s="143">
        <v>4000</v>
      </c>
      <c r="K990" s="249" t="str">
        <f t="shared" si="50"/>
        <v>HC</v>
      </c>
      <c r="M990" s="249">
        <f t="shared" si="46"/>
        <v>25</v>
      </c>
      <c r="N990" s="249">
        <f t="shared" si="47"/>
        <v>24</v>
      </c>
      <c r="Z990" s="130">
        <v>0.5</v>
      </c>
      <c r="AA990" s="249">
        <v>2</v>
      </c>
      <c r="AB990" s="250">
        <v>6000</v>
      </c>
      <c r="AC990" s="250">
        <v>8000</v>
      </c>
      <c r="AD990" s="250">
        <v>15000</v>
      </c>
      <c r="AE990" s="250">
        <v>100000</v>
      </c>
      <c r="AF990" s="250">
        <v>15000</v>
      </c>
    </row>
    <row r="991" spans="2:32" x14ac:dyDescent="0.25">
      <c r="B991" s="61" t="s">
        <v>1907</v>
      </c>
      <c r="C991" s="249" t="str">
        <f t="shared" si="48"/>
        <v>T3</v>
      </c>
      <c r="D991" s="14">
        <v>1992</v>
      </c>
      <c r="E991" s="13">
        <v>1100000</v>
      </c>
      <c r="F991" s="249">
        <v>1.7</v>
      </c>
      <c r="G991" s="249">
        <v>2</v>
      </c>
      <c r="H991" s="249" t="str">
        <f t="shared" si="49"/>
        <v>D</v>
      </c>
      <c r="I991" s="249">
        <f t="shared" si="45"/>
        <v>1</v>
      </c>
      <c r="J991" s="143">
        <v>5500</v>
      </c>
      <c r="K991" s="249" t="str">
        <f t="shared" si="50"/>
        <v>PT</v>
      </c>
      <c r="M991" s="249">
        <f t="shared" si="46"/>
        <v>23</v>
      </c>
      <c r="N991" s="249">
        <f t="shared" si="47"/>
        <v>22</v>
      </c>
      <c r="Z991" s="130">
        <v>0.3</v>
      </c>
      <c r="AA991" s="249">
        <v>7</v>
      </c>
      <c r="AB991" s="250">
        <v>7000</v>
      </c>
      <c r="AC991" s="250">
        <v>8500</v>
      </c>
      <c r="AD991" s="250">
        <v>15000</v>
      </c>
      <c r="AE991" s="250">
        <v>100000</v>
      </c>
      <c r="AF991" s="250">
        <v>15000</v>
      </c>
    </row>
    <row r="992" spans="2:32" x14ac:dyDescent="0.25">
      <c r="B992" s="61" t="s">
        <v>1908</v>
      </c>
      <c r="C992" s="249" t="str">
        <f t="shared" si="48"/>
        <v>C3</v>
      </c>
      <c r="D992" s="14">
        <v>1976</v>
      </c>
      <c r="E992" s="13">
        <v>2350000</v>
      </c>
      <c r="F992" s="249">
        <v>1.7</v>
      </c>
      <c r="G992" s="249">
        <v>1.9</v>
      </c>
      <c r="H992" s="249" t="str">
        <f t="shared" si="49"/>
        <v>D</v>
      </c>
      <c r="I992" s="249">
        <f t="shared" si="45"/>
        <v>1</v>
      </c>
      <c r="J992" s="143">
        <v>6000</v>
      </c>
      <c r="K992" s="249" t="str">
        <f t="shared" si="50"/>
        <v>HC</v>
      </c>
      <c r="M992" s="249">
        <f t="shared" si="46"/>
        <v>39</v>
      </c>
      <c r="N992" s="249">
        <f t="shared" si="47"/>
        <v>38</v>
      </c>
      <c r="Z992" s="130">
        <v>0.5</v>
      </c>
      <c r="AA992" s="249">
        <v>2</v>
      </c>
      <c r="AB992" s="250">
        <v>8000</v>
      </c>
      <c r="AC992" s="250">
        <v>10000</v>
      </c>
      <c r="AD992" s="250">
        <v>15000</v>
      </c>
      <c r="AE992" s="250">
        <v>90000</v>
      </c>
      <c r="AF992" s="250">
        <v>15000</v>
      </c>
    </row>
    <row r="993" spans="2:32" x14ac:dyDescent="0.25">
      <c r="B993" s="61" t="s">
        <v>1909</v>
      </c>
      <c r="C993" s="249" t="str">
        <f t="shared" si="48"/>
        <v>T3</v>
      </c>
      <c r="D993" s="14">
        <v>1985</v>
      </c>
      <c r="E993" s="13">
        <v>2850000</v>
      </c>
      <c r="F993" s="249">
        <v>1.6</v>
      </c>
      <c r="G993" s="249">
        <v>1.8</v>
      </c>
      <c r="H993" s="249" t="str">
        <f t="shared" si="49"/>
        <v>D</v>
      </c>
      <c r="I993" s="249">
        <f t="shared" si="45"/>
        <v>1</v>
      </c>
      <c r="J993" s="143">
        <v>10000</v>
      </c>
      <c r="K993" s="249" t="str">
        <f t="shared" si="50"/>
        <v>HC</v>
      </c>
      <c r="M993" s="249">
        <f t="shared" si="46"/>
        <v>30</v>
      </c>
      <c r="N993" s="249">
        <f t="shared" si="47"/>
        <v>29</v>
      </c>
      <c r="Z993" s="130">
        <v>0.25</v>
      </c>
      <c r="AA993" s="249">
        <v>3</v>
      </c>
      <c r="AB993" s="250">
        <v>6000</v>
      </c>
      <c r="AC993" s="250">
        <v>10000</v>
      </c>
      <c r="AD993" s="250">
        <v>15000</v>
      </c>
      <c r="AE993" s="250">
        <v>110000</v>
      </c>
      <c r="AF993" s="250">
        <v>15000</v>
      </c>
    </row>
    <row r="994" spans="2:32" x14ac:dyDescent="0.25">
      <c r="B994" s="61" t="s">
        <v>1910</v>
      </c>
      <c r="C994" s="249" t="str">
        <f t="shared" si="48"/>
        <v>C2</v>
      </c>
      <c r="D994" s="14">
        <v>1997</v>
      </c>
      <c r="E994" s="13">
        <v>995000</v>
      </c>
      <c r="F994" s="249">
        <v>1.8</v>
      </c>
      <c r="G994" s="249">
        <v>2</v>
      </c>
      <c r="H994" s="249" t="str">
        <f t="shared" si="49"/>
        <v>D</v>
      </c>
      <c r="I994" s="249">
        <f t="shared" si="45"/>
        <v>1</v>
      </c>
      <c r="J994" s="143">
        <v>7000</v>
      </c>
      <c r="K994" s="249" t="str">
        <f t="shared" si="50"/>
        <v>HC</v>
      </c>
      <c r="M994" s="249">
        <f t="shared" si="46"/>
        <v>18</v>
      </c>
      <c r="N994" s="249">
        <f t="shared" si="47"/>
        <v>17</v>
      </c>
      <c r="Z994" s="130">
        <v>0.5</v>
      </c>
      <c r="AA994" s="249">
        <v>2</v>
      </c>
      <c r="AB994" s="250">
        <v>7000</v>
      </c>
      <c r="AC994" s="250">
        <v>8000</v>
      </c>
      <c r="AD994" s="250">
        <v>10000</v>
      </c>
      <c r="AE994" s="250">
        <v>90000</v>
      </c>
      <c r="AF994" s="250" t="s">
        <v>2462</v>
      </c>
    </row>
    <row r="995" spans="2:32" x14ac:dyDescent="0.25">
      <c r="B995" s="61" t="s">
        <v>1911</v>
      </c>
      <c r="C995" s="249" t="str">
        <f t="shared" si="48"/>
        <v>T3</v>
      </c>
      <c r="D995" s="14">
        <v>2004</v>
      </c>
      <c r="E995" s="13">
        <v>1050000</v>
      </c>
      <c r="F995" s="249">
        <v>1.9</v>
      </c>
      <c r="G995" s="249">
        <v>2.2000000000000002</v>
      </c>
      <c r="H995" s="249" t="str">
        <f t="shared" si="49"/>
        <v>D</v>
      </c>
      <c r="I995" s="249">
        <f t="shared" si="45"/>
        <v>1</v>
      </c>
      <c r="J995" s="143">
        <v>9000</v>
      </c>
      <c r="K995" s="249" t="str">
        <f t="shared" si="50"/>
        <v>HC</v>
      </c>
      <c r="M995" s="249">
        <f t="shared" si="46"/>
        <v>11</v>
      </c>
      <c r="N995" s="249">
        <f t="shared" si="47"/>
        <v>10</v>
      </c>
      <c r="Z995" s="130">
        <v>0.3</v>
      </c>
      <c r="AA995" s="249">
        <v>3</v>
      </c>
      <c r="AB995" s="250">
        <v>10000</v>
      </c>
      <c r="AC995" s="250">
        <v>9000</v>
      </c>
      <c r="AD995" s="250">
        <v>10000</v>
      </c>
      <c r="AE995" s="250">
        <v>100000</v>
      </c>
      <c r="AF995" s="250">
        <v>10000</v>
      </c>
    </row>
    <row r="996" spans="2:32" x14ac:dyDescent="0.25">
      <c r="B996" s="61" t="s">
        <v>1912</v>
      </c>
      <c r="C996" s="249" t="str">
        <f t="shared" si="48"/>
        <v>C3</v>
      </c>
      <c r="D996" s="14">
        <v>2002</v>
      </c>
      <c r="E996" s="13">
        <v>792000</v>
      </c>
      <c r="F996" s="249">
        <v>1.8</v>
      </c>
      <c r="G996" s="249">
        <v>2.2000000000000002</v>
      </c>
      <c r="H996" s="249" t="str">
        <f t="shared" si="49"/>
        <v>D</v>
      </c>
      <c r="I996" s="249">
        <f t="shared" si="45"/>
        <v>1</v>
      </c>
      <c r="J996" s="143">
        <v>6000</v>
      </c>
      <c r="K996" s="249" t="str">
        <f t="shared" si="50"/>
        <v>HC</v>
      </c>
      <c r="M996" s="249">
        <f t="shared" si="46"/>
        <v>13</v>
      </c>
      <c r="N996" s="249">
        <f t="shared" si="47"/>
        <v>12</v>
      </c>
      <c r="Z996" s="130">
        <v>0.5</v>
      </c>
      <c r="AA996" s="249">
        <v>2</v>
      </c>
      <c r="AB996" s="250">
        <v>8000</v>
      </c>
      <c r="AC996" s="250">
        <v>8000</v>
      </c>
      <c r="AD996" s="250">
        <v>12000</v>
      </c>
      <c r="AE996" s="250">
        <v>90000</v>
      </c>
      <c r="AF996" s="250">
        <v>12000</v>
      </c>
    </row>
    <row r="997" spans="2:32" x14ac:dyDescent="0.25">
      <c r="B997" s="61" t="s">
        <v>1913</v>
      </c>
      <c r="C997" s="249" t="str">
        <f t="shared" si="48"/>
        <v>C2</v>
      </c>
      <c r="D997" s="14">
        <v>1998</v>
      </c>
      <c r="E997" s="13">
        <v>545000</v>
      </c>
      <c r="F997" s="249">
        <v>2.2000000000000002</v>
      </c>
      <c r="G997" s="249">
        <v>3.5</v>
      </c>
      <c r="H997" s="249" t="str">
        <f t="shared" si="49"/>
        <v>G</v>
      </c>
      <c r="I997" s="249">
        <f t="shared" si="45"/>
        <v>1</v>
      </c>
      <c r="J997" s="143">
        <v>3000</v>
      </c>
      <c r="K997" s="249" t="str">
        <f t="shared" si="50"/>
        <v>HC</v>
      </c>
      <c r="M997" s="249">
        <f t="shared" si="46"/>
        <v>17</v>
      </c>
      <c r="N997" s="249">
        <f t="shared" si="47"/>
        <v>16</v>
      </c>
      <c r="Z997" s="130">
        <v>0.5</v>
      </c>
      <c r="AA997" s="249">
        <v>1</v>
      </c>
      <c r="AB997" s="250">
        <v>5000</v>
      </c>
      <c r="AC997" s="250">
        <v>6000</v>
      </c>
      <c r="AD997" s="250">
        <v>10000</v>
      </c>
      <c r="AE997" s="250">
        <v>100000</v>
      </c>
      <c r="AF997" s="250" t="s">
        <v>2462</v>
      </c>
    </row>
    <row r="998" spans="2:32" x14ac:dyDescent="0.25">
      <c r="B998" s="61" t="s">
        <v>1914</v>
      </c>
      <c r="C998" s="249" t="str">
        <f t="shared" si="48"/>
        <v>T3</v>
      </c>
      <c r="D998" s="14">
        <v>2000</v>
      </c>
      <c r="E998" s="13">
        <v>1050000</v>
      </c>
      <c r="F998" s="249">
        <v>1.8</v>
      </c>
      <c r="G998" s="249">
        <v>2.1</v>
      </c>
      <c r="H998" s="249" t="str">
        <f t="shared" si="49"/>
        <v>D</v>
      </c>
      <c r="I998" s="249">
        <f t="shared" si="45"/>
        <v>1</v>
      </c>
      <c r="J998" s="143">
        <v>8000</v>
      </c>
      <c r="K998" s="249" t="str">
        <f t="shared" si="50"/>
        <v>HC</v>
      </c>
      <c r="M998" s="249">
        <f t="shared" si="46"/>
        <v>15</v>
      </c>
      <c r="N998" s="249">
        <f t="shared" si="47"/>
        <v>14</v>
      </c>
      <c r="Z998" s="130">
        <v>0.5</v>
      </c>
      <c r="AA998" s="249">
        <v>3</v>
      </c>
      <c r="AB998" s="250">
        <v>7500</v>
      </c>
      <c r="AC998" s="250">
        <v>8000</v>
      </c>
      <c r="AD998" s="250">
        <v>11000</v>
      </c>
      <c r="AE998" s="250">
        <v>110000</v>
      </c>
      <c r="AF998" s="250">
        <v>11000</v>
      </c>
    </row>
    <row r="999" spans="2:32" x14ac:dyDescent="0.25">
      <c r="B999" s="61" t="s">
        <v>1915</v>
      </c>
      <c r="C999" s="249" t="str">
        <f t="shared" si="48"/>
        <v>C3</v>
      </c>
      <c r="D999" s="14">
        <v>2001</v>
      </c>
      <c r="E999" s="13">
        <v>920000</v>
      </c>
      <c r="F999" s="249">
        <v>2.8</v>
      </c>
      <c r="G999" s="249">
        <v>4</v>
      </c>
      <c r="H999" s="249" t="str">
        <f t="shared" si="49"/>
        <v>G</v>
      </c>
      <c r="I999" s="249">
        <f t="shared" si="45"/>
        <v>1</v>
      </c>
      <c r="J999" s="143">
        <v>6600</v>
      </c>
      <c r="K999" s="249" t="str">
        <f t="shared" si="50"/>
        <v>HC</v>
      </c>
      <c r="M999" s="249">
        <f t="shared" si="46"/>
        <v>14</v>
      </c>
      <c r="N999" s="249">
        <f t="shared" si="47"/>
        <v>13</v>
      </c>
      <c r="Z999" s="130">
        <v>0.5</v>
      </c>
      <c r="AA999" s="249">
        <v>3</v>
      </c>
      <c r="AB999" s="250">
        <v>6000</v>
      </c>
      <c r="AC999" s="250">
        <v>7000</v>
      </c>
      <c r="AD999" s="250">
        <v>10000</v>
      </c>
      <c r="AE999" s="250">
        <v>85000</v>
      </c>
      <c r="AF999" s="250">
        <v>10000</v>
      </c>
    </row>
    <row r="1000" spans="2:32" x14ac:dyDescent="0.25">
      <c r="B1000" s="61" t="s">
        <v>1916</v>
      </c>
      <c r="C1000" s="249" t="str">
        <f t="shared" si="48"/>
        <v>T3</v>
      </c>
      <c r="D1000" s="14">
        <v>2003</v>
      </c>
      <c r="E1000" s="13">
        <v>932000</v>
      </c>
      <c r="F1000" s="249">
        <v>1.9</v>
      </c>
      <c r="G1000" s="249">
        <v>2.2000000000000002</v>
      </c>
      <c r="H1000" s="249" t="str">
        <f t="shared" si="49"/>
        <v>D</v>
      </c>
      <c r="I1000" s="249">
        <f t="shared" si="45"/>
        <v>1</v>
      </c>
      <c r="J1000" s="143">
        <v>7600</v>
      </c>
      <c r="K1000" s="249" t="str">
        <f t="shared" si="50"/>
        <v>PT</v>
      </c>
      <c r="M1000" s="249">
        <f t="shared" si="46"/>
        <v>12</v>
      </c>
      <c r="N1000" s="249">
        <f t="shared" si="47"/>
        <v>11</v>
      </c>
      <c r="Z1000" s="130">
        <v>0.5</v>
      </c>
      <c r="AA1000" s="249">
        <v>7</v>
      </c>
      <c r="AB1000" s="250">
        <v>7500</v>
      </c>
      <c r="AC1000" s="250">
        <v>6500</v>
      </c>
      <c r="AD1000" s="250">
        <v>12000</v>
      </c>
      <c r="AE1000" s="250">
        <v>95000</v>
      </c>
      <c r="AF1000" s="250">
        <v>12000</v>
      </c>
    </row>
    <row r="1001" spans="2:32" x14ac:dyDescent="0.25">
      <c r="B1001" s="61" t="s">
        <v>1917</v>
      </c>
      <c r="C1001" s="249" t="str">
        <f t="shared" si="48"/>
        <v>C3</v>
      </c>
      <c r="D1001" s="14">
        <v>1979</v>
      </c>
      <c r="E1001" s="13">
        <v>2455000</v>
      </c>
      <c r="F1001" s="249">
        <v>2.1</v>
      </c>
      <c r="G1001" s="249">
        <v>3</v>
      </c>
      <c r="H1001" s="249" t="str">
        <f t="shared" si="49"/>
        <v>G</v>
      </c>
      <c r="I1001" s="249">
        <f t="shared" si="45"/>
        <v>1</v>
      </c>
      <c r="J1001" s="143">
        <v>4100</v>
      </c>
      <c r="K1001" s="249" t="str">
        <f t="shared" si="50"/>
        <v>HC</v>
      </c>
      <c r="M1001" s="249">
        <f t="shared" si="46"/>
        <v>36</v>
      </c>
      <c r="N1001" s="249">
        <f t="shared" si="47"/>
        <v>35</v>
      </c>
      <c r="Z1001" s="130">
        <v>0.5</v>
      </c>
      <c r="AA1001" s="249">
        <v>2</v>
      </c>
      <c r="AB1001" s="250">
        <v>6000</v>
      </c>
      <c r="AC1001" s="250">
        <v>8000</v>
      </c>
      <c r="AD1001" s="250">
        <v>8000</v>
      </c>
      <c r="AE1001" s="250">
        <v>80000</v>
      </c>
      <c r="AF1001" s="250" t="s">
        <v>2462</v>
      </c>
    </row>
    <row r="1002" spans="2:32" x14ac:dyDescent="0.25">
      <c r="B1002" s="61" t="s">
        <v>1918</v>
      </c>
      <c r="C1002" s="249" t="str">
        <f t="shared" si="48"/>
        <v>C3</v>
      </c>
      <c r="D1002" s="14">
        <v>1984</v>
      </c>
      <c r="E1002" s="13">
        <v>1975000</v>
      </c>
      <c r="F1002" s="249">
        <v>1.6</v>
      </c>
      <c r="G1002" s="249">
        <v>1.9</v>
      </c>
      <c r="H1002" s="249" t="str">
        <f t="shared" si="49"/>
        <v>D</v>
      </c>
      <c r="I1002" s="249">
        <f t="shared" si="45"/>
        <v>1</v>
      </c>
      <c r="J1002" s="143">
        <v>2800</v>
      </c>
      <c r="K1002" s="249" t="str">
        <f t="shared" si="50"/>
        <v>HC</v>
      </c>
      <c r="M1002" s="249">
        <f t="shared" si="46"/>
        <v>31</v>
      </c>
      <c r="N1002" s="249">
        <f t="shared" si="47"/>
        <v>30</v>
      </c>
      <c r="Z1002" s="130">
        <v>0.5</v>
      </c>
      <c r="AA1002" s="249">
        <v>3</v>
      </c>
      <c r="AB1002" s="250">
        <v>6000</v>
      </c>
      <c r="AC1002" s="250">
        <v>6500</v>
      </c>
      <c r="AD1002" s="250">
        <v>12000</v>
      </c>
      <c r="AE1002" s="250">
        <v>85000</v>
      </c>
      <c r="AF1002" s="250">
        <v>12000</v>
      </c>
    </row>
    <row r="1003" spans="2:32" x14ac:dyDescent="0.25">
      <c r="B1003" s="61" t="s">
        <v>1919</v>
      </c>
      <c r="C1003" s="249" t="str">
        <f t="shared" si="48"/>
        <v>C2</v>
      </c>
      <c r="D1003" s="14">
        <v>1990</v>
      </c>
      <c r="E1003" s="13">
        <v>414000</v>
      </c>
      <c r="F1003" s="249">
        <v>2.8</v>
      </c>
      <c r="G1003" s="249">
        <v>3.5</v>
      </c>
      <c r="H1003" s="249" t="str">
        <f t="shared" si="49"/>
        <v>G</v>
      </c>
      <c r="I1003" s="249">
        <f t="shared" si="45"/>
        <v>1</v>
      </c>
      <c r="J1003" s="143">
        <v>1500</v>
      </c>
      <c r="K1003" s="249" t="str">
        <f t="shared" si="50"/>
        <v>HC</v>
      </c>
      <c r="M1003" s="249">
        <f t="shared" si="46"/>
        <v>25</v>
      </c>
      <c r="N1003" s="249">
        <f t="shared" si="47"/>
        <v>24</v>
      </c>
      <c r="Z1003" s="130">
        <v>0.5</v>
      </c>
      <c r="AA1003" s="249">
        <v>2</v>
      </c>
      <c r="AB1003" s="250">
        <v>5000</v>
      </c>
      <c r="AC1003" s="250">
        <v>7500</v>
      </c>
      <c r="AD1003" s="250">
        <v>5000</v>
      </c>
      <c r="AE1003" s="250">
        <v>70000</v>
      </c>
      <c r="AF1003" s="250" t="s">
        <v>2462</v>
      </c>
    </row>
    <row r="1004" spans="2:32" x14ac:dyDescent="0.25">
      <c r="B1004" s="61" t="s">
        <v>1920</v>
      </c>
      <c r="C1004" s="249" t="str">
        <f t="shared" si="48"/>
        <v>C3</v>
      </c>
      <c r="D1004" s="14">
        <v>2006</v>
      </c>
      <c r="E1004" s="13">
        <v>334000</v>
      </c>
      <c r="F1004" s="249">
        <v>1.9</v>
      </c>
      <c r="G1004" s="249">
        <v>2.2999999999999998</v>
      </c>
      <c r="H1004" s="249" t="str">
        <f t="shared" si="49"/>
        <v>D</v>
      </c>
      <c r="I1004" s="249">
        <f t="shared" si="45"/>
        <v>1</v>
      </c>
      <c r="J1004" s="143">
        <v>4000</v>
      </c>
      <c r="K1004" s="249" t="str">
        <f t="shared" si="50"/>
        <v>HC</v>
      </c>
      <c r="M1004" s="249">
        <f t="shared" si="46"/>
        <v>9</v>
      </c>
      <c r="N1004" s="249">
        <f t="shared" si="47"/>
        <v>8</v>
      </c>
      <c r="Z1004" s="130">
        <v>0.5</v>
      </c>
      <c r="AA1004" s="249">
        <v>3</v>
      </c>
      <c r="AB1004" s="250">
        <v>7500</v>
      </c>
      <c r="AC1004" s="250">
        <v>10000</v>
      </c>
      <c r="AD1004" s="250">
        <v>12000</v>
      </c>
      <c r="AE1004" s="250">
        <v>95000</v>
      </c>
      <c r="AF1004" s="250">
        <v>12000</v>
      </c>
    </row>
    <row r="1005" spans="2:32" x14ac:dyDescent="0.25">
      <c r="B1005" s="61" t="s">
        <v>1921</v>
      </c>
      <c r="C1005" s="249" t="str">
        <f t="shared" si="48"/>
        <v>T3</v>
      </c>
      <c r="D1005" s="14">
        <v>1998</v>
      </c>
      <c r="E1005" s="13">
        <v>1125000</v>
      </c>
      <c r="F1005" s="249">
        <v>1.7</v>
      </c>
      <c r="G1005" s="249">
        <v>2.1</v>
      </c>
      <c r="H1005" s="249" t="str">
        <f t="shared" si="49"/>
        <v>D</v>
      </c>
      <c r="I1005" s="249">
        <f t="shared" si="45"/>
        <v>1</v>
      </c>
      <c r="J1005" s="143">
        <v>6250</v>
      </c>
      <c r="K1005" s="249" t="str">
        <f t="shared" si="50"/>
        <v>HC</v>
      </c>
      <c r="M1005" s="249">
        <f t="shared" si="46"/>
        <v>17</v>
      </c>
      <c r="N1005" s="249">
        <f t="shared" si="47"/>
        <v>16</v>
      </c>
      <c r="Z1005" s="130">
        <v>0.5</v>
      </c>
      <c r="AA1005" s="249">
        <v>3</v>
      </c>
      <c r="AB1005" s="250">
        <v>8000</v>
      </c>
      <c r="AC1005" s="250">
        <v>12000</v>
      </c>
      <c r="AD1005" s="250">
        <v>15000</v>
      </c>
      <c r="AE1005" s="250">
        <v>90000</v>
      </c>
      <c r="AF1005" s="250">
        <v>12000</v>
      </c>
    </row>
    <row r="1006" spans="2:32" x14ac:dyDescent="0.25">
      <c r="B1006" s="61" t="s">
        <v>1922</v>
      </c>
      <c r="C1006" s="249" t="str">
        <f t="shared" si="48"/>
        <v>T3</v>
      </c>
      <c r="D1006" s="14">
        <v>1986</v>
      </c>
      <c r="E1006" s="13">
        <v>985000</v>
      </c>
      <c r="F1006" s="249">
        <v>1.6</v>
      </c>
      <c r="G1006" s="249">
        <v>1.9</v>
      </c>
      <c r="H1006" s="249" t="str">
        <f t="shared" si="49"/>
        <v>D</v>
      </c>
      <c r="I1006" s="249">
        <f t="shared" si="45"/>
        <v>1</v>
      </c>
      <c r="J1006" s="143">
        <v>3200</v>
      </c>
      <c r="K1006" s="249" t="str">
        <f t="shared" si="50"/>
        <v>HC</v>
      </c>
      <c r="M1006" s="249">
        <f t="shared" si="46"/>
        <v>29</v>
      </c>
      <c r="N1006" s="249">
        <f t="shared" si="47"/>
        <v>28</v>
      </c>
      <c r="Z1006" s="130">
        <v>0.5</v>
      </c>
      <c r="AA1006" s="249">
        <v>3</v>
      </c>
      <c r="AB1006" s="250">
        <v>6000</v>
      </c>
      <c r="AC1006" s="250">
        <v>10000</v>
      </c>
      <c r="AD1006" s="250">
        <v>12000</v>
      </c>
      <c r="AE1006" s="250">
        <v>100000</v>
      </c>
      <c r="AF1006" s="250">
        <v>12000</v>
      </c>
    </row>
    <row r="1007" spans="2:32" x14ac:dyDescent="0.25">
      <c r="B1007" s="61" t="s">
        <v>1923</v>
      </c>
      <c r="C1007" s="249" t="str">
        <f t="shared" si="48"/>
        <v>C3</v>
      </c>
      <c r="D1007" s="14">
        <v>1976</v>
      </c>
      <c r="E1007" s="13">
        <v>2325000</v>
      </c>
      <c r="F1007" s="249">
        <v>1.7</v>
      </c>
      <c r="G1007" s="249">
        <v>2</v>
      </c>
      <c r="H1007" s="249" t="str">
        <f t="shared" si="49"/>
        <v>D</v>
      </c>
      <c r="I1007" s="249">
        <f t="shared" si="45"/>
        <v>1</v>
      </c>
      <c r="J1007" s="143">
        <v>4000</v>
      </c>
      <c r="K1007" s="249" t="str">
        <f t="shared" si="50"/>
        <v>HC</v>
      </c>
      <c r="M1007" s="249">
        <f t="shared" si="46"/>
        <v>39</v>
      </c>
      <c r="N1007" s="249">
        <f t="shared" si="47"/>
        <v>38</v>
      </c>
      <c r="Z1007" s="130">
        <v>0.5</v>
      </c>
      <c r="AA1007" s="249">
        <v>3</v>
      </c>
      <c r="AB1007" s="250">
        <v>7000</v>
      </c>
      <c r="AC1007" s="250">
        <v>10000</v>
      </c>
      <c r="AD1007" s="250">
        <v>10000</v>
      </c>
      <c r="AE1007" s="250">
        <v>95000</v>
      </c>
      <c r="AF1007" s="250">
        <v>10000</v>
      </c>
    </row>
    <row r="1008" spans="2:32" x14ac:dyDescent="0.25">
      <c r="B1008" s="61" t="s">
        <v>1924</v>
      </c>
      <c r="C1008" s="249" t="str">
        <f t="shared" si="48"/>
        <v>C2</v>
      </c>
      <c r="D1008" s="14">
        <v>1995</v>
      </c>
      <c r="E1008" s="13">
        <v>1525000</v>
      </c>
      <c r="F1008" s="249">
        <v>2.9</v>
      </c>
      <c r="G1008" s="249">
        <v>4</v>
      </c>
      <c r="H1008" s="249" t="str">
        <f t="shared" si="49"/>
        <v>G</v>
      </c>
      <c r="I1008" s="249">
        <f t="shared" si="45"/>
        <v>1</v>
      </c>
      <c r="J1008" s="143">
        <v>4500</v>
      </c>
      <c r="K1008" s="249" t="str">
        <f t="shared" si="50"/>
        <v>HC</v>
      </c>
      <c r="M1008" s="249">
        <f t="shared" si="46"/>
        <v>20</v>
      </c>
      <c r="N1008" s="249">
        <f t="shared" si="47"/>
        <v>19</v>
      </c>
      <c r="Z1008" s="130">
        <v>0.5</v>
      </c>
      <c r="AA1008" s="249">
        <v>2</v>
      </c>
      <c r="AB1008" s="250">
        <v>5000</v>
      </c>
      <c r="AC1008" s="250">
        <v>10000</v>
      </c>
      <c r="AD1008" s="250">
        <v>10000</v>
      </c>
      <c r="AE1008" s="250">
        <v>70000</v>
      </c>
      <c r="AF1008" s="250" t="s">
        <v>2462</v>
      </c>
    </row>
    <row r="1009" spans="2:32" x14ac:dyDescent="0.25">
      <c r="B1009" s="61" t="s">
        <v>1925</v>
      </c>
      <c r="C1009" s="249" t="str">
        <f t="shared" si="48"/>
        <v>C3</v>
      </c>
      <c r="D1009" s="14">
        <v>1981</v>
      </c>
      <c r="E1009" s="13">
        <v>2050000</v>
      </c>
      <c r="F1009" s="249">
        <v>1.5</v>
      </c>
      <c r="G1009" s="249">
        <v>1.8</v>
      </c>
      <c r="H1009" s="249" t="str">
        <f t="shared" si="49"/>
        <v>D</v>
      </c>
      <c r="I1009" s="249">
        <f t="shared" si="45"/>
        <v>1</v>
      </c>
      <c r="J1009" s="143">
        <v>5500</v>
      </c>
      <c r="K1009" s="249" t="str">
        <f t="shared" si="50"/>
        <v>HC</v>
      </c>
      <c r="M1009" s="249">
        <f t="shared" si="46"/>
        <v>34</v>
      </c>
      <c r="N1009" s="249">
        <f t="shared" si="47"/>
        <v>33</v>
      </c>
      <c r="Z1009" s="130">
        <v>0.5</v>
      </c>
      <c r="AA1009" s="249">
        <v>3</v>
      </c>
      <c r="AB1009" s="250">
        <v>7000</v>
      </c>
      <c r="AC1009" s="250">
        <v>12000</v>
      </c>
      <c r="AD1009" s="250">
        <v>10000</v>
      </c>
      <c r="AE1009" s="250">
        <v>85000</v>
      </c>
      <c r="AF1009" s="250">
        <v>10000</v>
      </c>
    </row>
    <row r="1010" spans="2:32" x14ac:dyDescent="0.25">
      <c r="B1010" s="61" t="s">
        <v>1926</v>
      </c>
      <c r="C1010" s="249" t="str">
        <f t="shared" si="48"/>
        <v>T3</v>
      </c>
      <c r="D1010" s="14">
        <v>1998</v>
      </c>
      <c r="E1010" s="13">
        <v>1750000</v>
      </c>
      <c r="F1010" s="249">
        <v>1.6</v>
      </c>
      <c r="G1010" s="249">
        <v>1.9</v>
      </c>
      <c r="H1010" s="249" t="str">
        <f t="shared" si="49"/>
        <v>D</v>
      </c>
      <c r="I1010" s="249">
        <f t="shared" si="45"/>
        <v>1</v>
      </c>
      <c r="J1010" s="143">
        <v>5800</v>
      </c>
      <c r="K1010" s="249" t="str">
        <f t="shared" si="50"/>
        <v>PT</v>
      </c>
      <c r="M1010" s="249">
        <f t="shared" si="46"/>
        <v>17</v>
      </c>
      <c r="N1010" s="249">
        <f t="shared" si="47"/>
        <v>16</v>
      </c>
      <c r="Z1010" s="130">
        <v>0.5</v>
      </c>
      <c r="AA1010" s="249">
        <v>7</v>
      </c>
      <c r="AB1010" s="250">
        <v>7500</v>
      </c>
      <c r="AC1010" s="250">
        <v>10000</v>
      </c>
      <c r="AD1010" s="250">
        <v>10000</v>
      </c>
      <c r="AE1010" s="250">
        <v>90000</v>
      </c>
      <c r="AF1010" s="250">
        <v>10000</v>
      </c>
    </row>
    <row r="1011" spans="2:32" x14ac:dyDescent="0.25">
      <c r="B1011" s="61" t="s">
        <v>1927</v>
      </c>
      <c r="C1011" s="249" t="str">
        <f t="shared" si="48"/>
        <v>C3</v>
      </c>
      <c r="D1011" s="14">
        <v>1977</v>
      </c>
      <c r="E1011" s="13" t="s">
        <v>352</v>
      </c>
      <c r="F1011" s="249">
        <v>1.4</v>
      </c>
      <c r="G1011" s="249">
        <v>1.7</v>
      </c>
      <c r="H1011" s="249" t="str">
        <f t="shared" si="49"/>
        <v>D</v>
      </c>
      <c r="I1011" s="249">
        <f t="shared" si="45"/>
        <v>1</v>
      </c>
      <c r="J1011" s="143">
        <v>7500</v>
      </c>
      <c r="K1011" s="249" t="str">
        <f t="shared" si="50"/>
        <v>HC</v>
      </c>
      <c r="M1011" s="249">
        <f t="shared" si="46"/>
        <v>38</v>
      </c>
      <c r="N1011" s="249">
        <f t="shared" si="47"/>
        <v>37</v>
      </c>
      <c r="Z1011" s="130">
        <v>0.5</v>
      </c>
      <c r="AA1011" s="249">
        <v>3</v>
      </c>
      <c r="AB1011" s="250">
        <v>5000</v>
      </c>
      <c r="AC1011" s="250">
        <v>10000</v>
      </c>
      <c r="AD1011" s="250">
        <v>12000</v>
      </c>
      <c r="AE1011" s="250">
        <v>90000</v>
      </c>
      <c r="AF1011" s="250">
        <v>12000</v>
      </c>
    </row>
    <row r="1012" spans="2:32" x14ac:dyDescent="0.25">
      <c r="B1012" s="61" t="s">
        <v>1928</v>
      </c>
      <c r="C1012" s="249" t="str">
        <f t="shared" si="48"/>
        <v>C3</v>
      </c>
      <c r="D1012" s="14">
        <v>1984</v>
      </c>
      <c r="E1012" s="13">
        <v>1795000</v>
      </c>
      <c r="F1012" s="249">
        <v>1.6</v>
      </c>
      <c r="G1012" s="249">
        <v>1.8</v>
      </c>
      <c r="H1012" s="249" t="str">
        <f t="shared" si="49"/>
        <v>D</v>
      </c>
      <c r="I1012" s="249">
        <f t="shared" si="45"/>
        <v>1</v>
      </c>
      <c r="J1012" s="143">
        <v>4000</v>
      </c>
      <c r="K1012" s="249" t="str">
        <f t="shared" si="50"/>
        <v>HC</v>
      </c>
      <c r="M1012" s="249">
        <f t="shared" si="46"/>
        <v>31</v>
      </c>
      <c r="N1012" s="249">
        <f t="shared" si="47"/>
        <v>30</v>
      </c>
      <c r="Z1012" s="130">
        <v>0.5</v>
      </c>
      <c r="AA1012" s="249">
        <v>3</v>
      </c>
      <c r="AB1012" s="250">
        <v>6000</v>
      </c>
      <c r="AC1012" s="250">
        <v>9000</v>
      </c>
      <c r="AD1012" s="250">
        <v>12000</v>
      </c>
      <c r="AE1012" s="250">
        <v>80000</v>
      </c>
      <c r="AF1012" s="250">
        <v>12000</v>
      </c>
    </row>
    <row r="1013" spans="2:32" x14ac:dyDescent="0.25">
      <c r="B1013" s="61" t="s">
        <v>1929</v>
      </c>
      <c r="C1013" s="249" t="str">
        <f t="shared" si="48"/>
        <v>T3</v>
      </c>
      <c r="D1013" s="14">
        <v>2013</v>
      </c>
      <c r="E1013" s="13">
        <v>20700</v>
      </c>
      <c r="F1013" s="249">
        <v>2.2000000000000002</v>
      </c>
      <c r="G1013" s="249">
        <v>2.8</v>
      </c>
      <c r="H1013" s="249" t="str">
        <f t="shared" si="49"/>
        <v>D</v>
      </c>
      <c r="I1013" s="249">
        <f t="shared" si="45"/>
        <v>1</v>
      </c>
      <c r="J1013" s="143">
        <v>2400</v>
      </c>
      <c r="K1013" s="249" t="str">
        <f t="shared" si="50"/>
        <v>HC</v>
      </c>
      <c r="M1013" s="249">
        <f t="shared" si="46"/>
        <v>2</v>
      </c>
      <c r="N1013" s="249">
        <f t="shared" si="47"/>
        <v>1</v>
      </c>
      <c r="Z1013" s="130">
        <v>0.1</v>
      </c>
      <c r="AA1013" s="249">
        <v>1</v>
      </c>
      <c r="AB1013" s="250">
        <v>10000</v>
      </c>
      <c r="AC1013" s="250">
        <v>20000</v>
      </c>
      <c r="AD1013" s="250">
        <v>10000</v>
      </c>
      <c r="AE1013" s="250" t="s">
        <v>352</v>
      </c>
      <c r="AF1013" s="250">
        <v>10000</v>
      </c>
    </row>
    <row r="1014" spans="2:32" x14ac:dyDescent="0.25">
      <c r="B1014" s="61" t="s">
        <v>1930</v>
      </c>
      <c r="C1014" s="249" t="str">
        <f t="shared" si="48"/>
        <v>C2</v>
      </c>
      <c r="D1014" s="14">
        <v>2000</v>
      </c>
      <c r="E1014" s="13">
        <v>2000000</v>
      </c>
      <c r="F1014" s="249">
        <v>2</v>
      </c>
      <c r="G1014" s="249">
        <v>2.8</v>
      </c>
      <c r="H1014" s="249" t="str">
        <f t="shared" si="49"/>
        <v>D</v>
      </c>
      <c r="I1014" s="249">
        <f t="shared" si="45"/>
        <v>1</v>
      </c>
      <c r="J1014" s="143">
        <v>5000</v>
      </c>
      <c r="K1014" s="249" t="str">
        <f t="shared" si="50"/>
        <v>PT</v>
      </c>
      <c r="M1014" s="249">
        <f t="shared" si="46"/>
        <v>15</v>
      </c>
      <c r="N1014" s="249">
        <f t="shared" si="47"/>
        <v>14</v>
      </c>
      <c r="Z1014" s="130">
        <v>0.1</v>
      </c>
      <c r="AA1014" s="249">
        <v>7</v>
      </c>
      <c r="AB1014" s="250">
        <v>3000</v>
      </c>
      <c r="AC1014" s="250">
        <v>15000</v>
      </c>
      <c r="AD1014" s="250">
        <v>15000</v>
      </c>
      <c r="AE1014" s="250">
        <v>80000</v>
      </c>
      <c r="AF1014" s="250">
        <v>15000</v>
      </c>
    </row>
    <row r="1015" spans="2:32" x14ac:dyDescent="0.25">
      <c r="B1015" s="61" t="s">
        <v>1931</v>
      </c>
      <c r="C1015" s="249" t="str">
        <f t="shared" si="48"/>
        <v>T3</v>
      </c>
      <c r="D1015" s="14">
        <v>2001</v>
      </c>
      <c r="E1015" s="13">
        <v>1800000</v>
      </c>
      <c r="F1015" s="249">
        <v>3</v>
      </c>
      <c r="G1015" s="249">
        <v>5</v>
      </c>
      <c r="H1015" s="249" t="str">
        <f t="shared" si="49"/>
        <v>D</v>
      </c>
      <c r="I1015" s="249">
        <f t="shared" si="45"/>
        <v>1</v>
      </c>
      <c r="J1015" s="143">
        <v>12000</v>
      </c>
      <c r="K1015" s="249" t="str">
        <f t="shared" si="50"/>
        <v>HC</v>
      </c>
      <c r="M1015" s="249">
        <f t="shared" si="46"/>
        <v>14</v>
      </c>
      <c r="N1015" s="249">
        <f t="shared" si="47"/>
        <v>13</v>
      </c>
      <c r="Z1015" s="130">
        <v>0.1</v>
      </c>
      <c r="AA1015" s="249">
        <v>1</v>
      </c>
      <c r="AB1015" s="250">
        <v>5000</v>
      </c>
      <c r="AC1015" s="250">
        <v>12000</v>
      </c>
      <c r="AD1015" s="250">
        <v>12000</v>
      </c>
      <c r="AE1015" s="250">
        <v>120000</v>
      </c>
      <c r="AF1015" s="250">
        <v>12000</v>
      </c>
    </row>
    <row r="1016" spans="2:32" x14ac:dyDescent="0.25">
      <c r="B1016" s="61" t="s">
        <v>1932</v>
      </c>
      <c r="C1016" s="249" t="str">
        <f t="shared" si="48"/>
        <v>T3</v>
      </c>
      <c r="D1016" s="14">
        <v>1982</v>
      </c>
      <c r="E1016" s="13" t="s">
        <v>908</v>
      </c>
      <c r="F1016" s="249">
        <v>1.3</v>
      </c>
      <c r="G1016" s="249">
        <v>2</v>
      </c>
      <c r="H1016" s="249" t="str">
        <f t="shared" si="49"/>
        <v>D</v>
      </c>
      <c r="I1016" s="249">
        <f t="shared" si="45"/>
        <v>1</v>
      </c>
      <c r="J1016" s="143">
        <v>6000</v>
      </c>
      <c r="K1016" s="249" t="str">
        <f t="shared" si="50"/>
        <v>PT</v>
      </c>
      <c r="M1016" s="249">
        <f t="shared" si="46"/>
        <v>33</v>
      </c>
      <c r="N1016" s="249">
        <f t="shared" si="47"/>
        <v>32</v>
      </c>
      <c r="Z1016" s="130">
        <v>0.5</v>
      </c>
      <c r="AA1016" s="249">
        <v>7</v>
      </c>
      <c r="AB1016" s="250">
        <v>5000</v>
      </c>
      <c r="AC1016" s="250">
        <v>8000</v>
      </c>
      <c r="AD1016" s="250">
        <v>10000</v>
      </c>
      <c r="AE1016" s="250" t="s">
        <v>352</v>
      </c>
      <c r="AF1016" s="250">
        <v>10000</v>
      </c>
    </row>
    <row r="1017" spans="2:32" x14ac:dyDescent="0.25">
      <c r="B1017" s="61" t="s">
        <v>1933</v>
      </c>
      <c r="C1017" s="249" t="str">
        <f t="shared" si="48"/>
        <v>C3</v>
      </c>
      <c r="D1017" s="14">
        <v>2008</v>
      </c>
      <c r="E1017" s="13">
        <v>450000</v>
      </c>
      <c r="F1017" s="249">
        <v>3.8</v>
      </c>
      <c r="G1017" s="249">
        <v>4</v>
      </c>
      <c r="H1017" s="249" t="str">
        <f t="shared" si="49"/>
        <v>D</v>
      </c>
      <c r="I1017" s="249">
        <f t="shared" si="45"/>
        <v>1</v>
      </c>
      <c r="J1017" s="143">
        <v>5000</v>
      </c>
      <c r="K1017" s="249" t="str">
        <f t="shared" si="50"/>
        <v>PT</v>
      </c>
      <c r="M1017" s="249">
        <f t="shared" si="46"/>
        <v>7</v>
      </c>
      <c r="N1017" s="249">
        <f t="shared" si="47"/>
        <v>6</v>
      </c>
      <c r="Z1017" s="130">
        <v>0.5</v>
      </c>
      <c r="AA1017" s="249">
        <v>7</v>
      </c>
      <c r="AB1017" s="250">
        <v>10000</v>
      </c>
      <c r="AC1017" s="250">
        <v>12000</v>
      </c>
      <c r="AD1017" s="250">
        <v>10000</v>
      </c>
      <c r="AE1017" s="250">
        <v>60000</v>
      </c>
      <c r="AF1017" s="250">
        <v>10000</v>
      </c>
    </row>
    <row r="1018" spans="2:32" x14ac:dyDescent="0.25">
      <c r="B1018" s="61" t="s">
        <v>1934</v>
      </c>
      <c r="C1018" s="249" t="str">
        <f t="shared" si="48"/>
        <v>C2</v>
      </c>
      <c r="D1018" s="14">
        <v>2002</v>
      </c>
      <c r="E1018" s="13">
        <v>1830000</v>
      </c>
      <c r="F1018" s="249">
        <v>2.8</v>
      </c>
      <c r="G1018" s="249">
        <v>3.5</v>
      </c>
      <c r="H1018" s="249" t="str">
        <f t="shared" si="49"/>
        <v>D</v>
      </c>
      <c r="I1018" s="249">
        <f t="shared" si="45"/>
        <v>1</v>
      </c>
      <c r="J1018" s="143">
        <v>7500</v>
      </c>
      <c r="K1018" s="249" t="str">
        <f t="shared" si="50"/>
        <v>PT</v>
      </c>
      <c r="M1018" s="249">
        <f t="shared" si="46"/>
        <v>13</v>
      </c>
      <c r="N1018" s="249">
        <f t="shared" si="47"/>
        <v>12</v>
      </c>
      <c r="Z1018" s="130">
        <v>0.5</v>
      </c>
      <c r="AA1018" s="249">
        <v>7</v>
      </c>
      <c r="AB1018" s="250">
        <v>6000</v>
      </c>
      <c r="AC1018" s="250">
        <v>6000</v>
      </c>
      <c r="AD1018" s="250">
        <v>10000</v>
      </c>
      <c r="AE1018" s="250">
        <v>60000</v>
      </c>
      <c r="AF1018" s="250">
        <v>6000</v>
      </c>
    </row>
    <row r="1019" spans="2:32" x14ac:dyDescent="0.25">
      <c r="B1019" s="61" t="s">
        <v>1935</v>
      </c>
      <c r="C1019" s="249" t="str">
        <f t="shared" si="48"/>
        <v>C2</v>
      </c>
      <c r="D1019" s="14">
        <v>2005</v>
      </c>
      <c r="E1019" s="13">
        <v>1800000</v>
      </c>
      <c r="F1019" s="249">
        <v>2.2999999999999998</v>
      </c>
      <c r="G1019" s="249">
        <v>2.8</v>
      </c>
      <c r="H1019" s="249" t="str">
        <f t="shared" si="49"/>
        <v>D</v>
      </c>
      <c r="I1019" s="249">
        <f t="shared" si="45"/>
        <v>1</v>
      </c>
      <c r="J1019" s="143">
        <v>8200</v>
      </c>
      <c r="K1019" s="249" t="str">
        <f t="shared" si="50"/>
        <v>PT</v>
      </c>
      <c r="M1019" s="249">
        <f t="shared" si="46"/>
        <v>10</v>
      </c>
      <c r="N1019" s="249">
        <f t="shared" si="47"/>
        <v>9</v>
      </c>
      <c r="Z1019" s="130">
        <v>0.5</v>
      </c>
      <c r="AA1019" s="249">
        <v>7</v>
      </c>
      <c r="AB1019" s="250">
        <v>12000</v>
      </c>
      <c r="AC1019" s="250">
        <v>10000</v>
      </c>
      <c r="AD1019" s="250">
        <v>12000</v>
      </c>
      <c r="AE1019" s="250">
        <v>95000</v>
      </c>
      <c r="AF1019" s="250">
        <v>12000</v>
      </c>
    </row>
    <row r="1020" spans="2:32" x14ac:dyDescent="0.25">
      <c r="B1020" s="61" t="s">
        <v>1936</v>
      </c>
      <c r="C1020" s="249" t="str">
        <f t="shared" si="48"/>
        <v>C2</v>
      </c>
      <c r="D1020" s="14">
        <v>2012</v>
      </c>
      <c r="E1020" s="13">
        <v>240000</v>
      </c>
      <c r="F1020" s="249">
        <v>1.1000000000000001</v>
      </c>
      <c r="G1020" s="249">
        <v>1.5</v>
      </c>
      <c r="H1020" s="249" t="str">
        <f t="shared" si="49"/>
        <v>D</v>
      </c>
      <c r="I1020" s="249">
        <f t="shared" si="45"/>
        <v>1</v>
      </c>
      <c r="J1020" s="143">
        <v>7500</v>
      </c>
      <c r="K1020" s="249" t="str">
        <f t="shared" si="50"/>
        <v>PT</v>
      </c>
      <c r="M1020" s="249">
        <f t="shared" si="46"/>
        <v>3</v>
      </c>
      <c r="N1020" s="249">
        <f t="shared" si="47"/>
        <v>2</v>
      </c>
      <c r="Z1020" s="130">
        <v>0.5</v>
      </c>
      <c r="AA1020" s="249">
        <v>7</v>
      </c>
      <c r="AB1020" s="250">
        <v>10000</v>
      </c>
      <c r="AC1020" s="250">
        <v>10000</v>
      </c>
      <c r="AD1020" s="250">
        <v>10000</v>
      </c>
      <c r="AE1020" s="250" t="s">
        <v>352</v>
      </c>
      <c r="AF1020" s="250">
        <v>10000</v>
      </c>
    </row>
    <row r="1021" spans="2:32" x14ac:dyDescent="0.25">
      <c r="B1021" s="113" t="s">
        <v>1937</v>
      </c>
      <c r="C1021" s="249" t="str">
        <f t="shared" si="48"/>
        <v>T2</v>
      </c>
      <c r="D1021" s="117">
        <v>2000</v>
      </c>
      <c r="E1021" s="118">
        <v>1500000</v>
      </c>
      <c r="F1021" s="249">
        <v>2.7</v>
      </c>
      <c r="G1021" s="249">
        <v>3</v>
      </c>
      <c r="H1021" s="249" t="str">
        <f t="shared" si="49"/>
        <v>D</v>
      </c>
      <c r="I1021" s="249">
        <f t="shared" si="45"/>
        <v>1</v>
      </c>
      <c r="J1021" s="143">
        <v>3000</v>
      </c>
      <c r="K1021" s="249" t="str">
        <f t="shared" si="50"/>
        <v>PT</v>
      </c>
      <c r="M1021" s="249">
        <f t="shared" si="46"/>
        <v>15</v>
      </c>
      <c r="N1021" s="249">
        <f t="shared" si="47"/>
        <v>14</v>
      </c>
      <c r="Z1021" s="131">
        <v>0.1</v>
      </c>
      <c r="AA1021" s="249">
        <v>7</v>
      </c>
      <c r="AB1021" s="250">
        <v>3000</v>
      </c>
      <c r="AC1021" s="250">
        <v>7500</v>
      </c>
      <c r="AD1021" s="250">
        <v>10000</v>
      </c>
      <c r="AE1021" s="250">
        <v>120000</v>
      </c>
      <c r="AF1021" s="250">
        <v>10000</v>
      </c>
    </row>
    <row r="1022" spans="2:32" x14ac:dyDescent="0.25">
      <c r="B1022" s="61" t="s">
        <v>1938</v>
      </c>
      <c r="C1022" s="249" t="str">
        <f t="shared" si="48"/>
        <v>T3</v>
      </c>
      <c r="D1022" s="14">
        <v>2005</v>
      </c>
      <c r="E1022" s="13">
        <v>1100000</v>
      </c>
      <c r="F1022" s="249">
        <v>2.2000000000000002</v>
      </c>
      <c r="G1022" s="249">
        <v>2.8</v>
      </c>
      <c r="H1022" s="249" t="str">
        <f t="shared" si="49"/>
        <v>D</v>
      </c>
      <c r="I1022" s="249">
        <f t="shared" si="45"/>
        <v>1</v>
      </c>
      <c r="J1022" s="143">
        <v>10000</v>
      </c>
      <c r="K1022" s="249" t="str">
        <f t="shared" si="50"/>
        <v>HC</v>
      </c>
      <c r="M1022" s="249">
        <f t="shared" si="46"/>
        <v>10</v>
      </c>
      <c r="N1022" s="249">
        <f t="shared" si="47"/>
        <v>9</v>
      </c>
      <c r="Z1022" s="130">
        <v>0.5</v>
      </c>
      <c r="AA1022" s="249">
        <v>3</v>
      </c>
      <c r="AB1022" s="250">
        <v>4000</v>
      </c>
      <c r="AC1022" s="250">
        <v>20000</v>
      </c>
      <c r="AD1022" s="250">
        <v>30000</v>
      </c>
      <c r="AE1022" s="250">
        <v>120000</v>
      </c>
      <c r="AF1022" s="250">
        <v>20000</v>
      </c>
    </row>
    <row r="1023" spans="2:32" x14ac:dyDescent="0.25">
      <c r="B1023" s="61" t="s">
        <v>1939</v>
      </c>
      <c r="C1023" s="249" t="str">
        <f t="shared" si="48"/>
        <v>T3</v>
      </c>
      <c r="D1023" s="14">
        <v>1999</v>
      </c>
      <c r="E1023" s="13">
        <v>1560000</v>
      </c>
      <c r="F1023" s="249">
        <v>2.2000000000000002</v>
      </c>
      <c r="G1023" s="249">
        <v>2.7</v>
      </c>
      <c r="H1023" s="249" t="str">
        <f t="shared" si="49"/>
        <v>D</v>
      </c>
      <c r="I1023" s="249">
        <f t="shared" si="45"/>
        <v>1</v>
      </c>
      <c r="J1023" s="143">
        <v>8500</v>
      </c>
      <c r="K1023" s="249" t="str">
        <f t="shared" si="50"/>
        <v>HC</v>
      </c>
      <c r="M1023" s="249">
        <f t="shared" si="46"/>
        <v>16</v>
      </c>
      <c r="N1023" s="249">
        <f t="shared" si="47"/>
        <v>15</v>
      </c>
      <c r="Z1023" s="130">
        <v>0.2</v>
      </c>
      <c r="AA1023" s="249">
        <v>1</v>
      </c>
      <c r="AB1023" s="250">
        <v>15000</v>
      </c>
      <c r="AC1023" s="250">
        <v>30000</v>
      </c>
      <c r="AD1023" s="250">
        <v>30000</v>
      </c>
      <c r="AE1023" s="250">
        <v>100000</v>
      </c>
      <c r="AF1023" s="250">
        <v>30000</v>
      </c>
    </row>
    <row r="1024" spans="2:32" x14ac:dyDescent="0.25">
      <c r="B1024" s="61" t="s">
        <v>1940</v>
      </c>
      <c r="C1024" s="249" t="str">
        <f t="shared" si="48"/>
        <v>T3</v>
      </c>
      <c r="D1024" s="14">
        <v>1982</v>
      </c>
      <c r="E1024" s="13">
        <v>2000000</v>
      </c>
      <c r="F1024" s="249">
        <v>1.8</v>
      </c>
      <c r="G1024" s="249">
        <v>2.2000000000000002</v>
      </c>
      <c r="H1024" s="249" t="str">
        <f t="shared" si="49"/>
        <v>D</v>
      </c>
      <c r="I1024" s="249">
        <f t="shared" si="45"/>
        <v>1</v>
      </c>
      <c r="J1024" s="143">
        <v>7500</v>
      </c>
      <c r="K1024" s="249" t="str">
        <f t="shared" si="50"/>
        <v>HC</v>
      </c>
      <c r="M1024" s="249">
        <f t="shared" si="46"/>
        <v>33</v>
      </c>
      <c r="N1024" s="249">
        <f t="shared" si="47"/>
        <v>32</v>
      </c>
      <c r="Z1024" s="130">
        <v>0.5</v>
      </c>
      <c r="AA1024" s="249">
        <v>1</v>
      </c>
      <c r="AB1024" s="250">
        <v>8000</v>
      </c>
      <c r="AC1024" s="250">
        <v>6000</v>
      </c>
      <c r="AD1024" s="250">
        <v>15000</v>
      </c>
      <c r="AE1024" s="250">
        <v>100000</v>
      </c>
      <c r="AF1024" s="250">
        <v>15000</v>
      </c>
    </row>
    <row r="1025" spans="2:32" x14ac:dyDescent="0.25">
      <c r="B1025" s="61" t="s">
        <v>1941</v>
      </c>
      <c r="C1025" s="249" t="str">
        <f t="shared" si="48"/>
        <v>T3</v>
      </c>
      <c r="D1025" s="14">
        <v>2001</v>
      </c>
      <c r="E1025" s="13">
        <v>1750000</v>
      </c>
      <c r="F1025" s="249">
        <v>1.7</v>
      </c>
      <c r="G1025" s="249">
        <v>2.7</v>
      </c>
      <c r="H1025" s="249" t="str">
        <f t="shared" si="49"/>
        <v>D</v>
      </c>
      <c r="I1025" s="249">
        <f t="shared" si="45"/>
        <v>1</v>
      </c>
      <c r="J1025" s="143">
        <v>10000</v>
      </c>
      <c r="K1025" s="249" t="str">
        <f t="shared" si="50"/>
        <v>HC</v>
      </c>
      <c r="M1025" s="249">
        <f t="shared" si="46"/>
        <v>14</v>
      </c>
      <c r="N1025" s="249">
        <f t="shared" si="47"/>
        <v>13</v>
      </c>
      <c r="Z1025" s="130">
        <v>0.3</v>
      </c>
      <c r="AA1025" s="249">
        <v>3</v>
      </c>
      <c r="AB1025" s="250">
        <v>10000</v>
      </c>
      <c r="AC1025" s="250">
        <v>12000</v>
      </c>
      <c r="AD1025" s="250">
        <v>10000</v>
      </c>
      <c r="AE1025" s="250">
        <v>160000</v>
      </c>
      <c r="AF1025" s="250">
        <v>10000</v>
      </c>
    </row>
    <row r="1026" spans="2:32" x14ac:dyDescent="0.25">
      <c r="B1026" s="61" t="s">
        <v>1942</v>
      </c>
      <c r="C1026" s="249" t="str">
        <f t="shared" si="48"/>
        <v>T3</v>
      </c>
      <c r="D1026" s="14">
        <v>2011</v>
      </c>
      <c r="E1026" s="13">
        <v>300000</v>
      </c>
      <c r="F1026" s="249">
        <v>3</v>
      </c>
      <c r="G1026" s="249">
        <v>3.2</v>
      </c>
      <c r="H1026" s="249" t="str">
        <f t="shared" si="49"/>
        <v>D</v>
      </c>
      <c r="I1026" s="249">
        <f t="shared" si="45"/>
        <v>1</v>
      </c>
      <c r="J1026" s="143">
        <v>8000</v>
      </c>
      <c r="K1026" s="249" t="str">
        <f t="shared" si="50"/>
        <v>HC</v>
      </c>
      <c r="M1026" s="249">
        <f t="shared" si="46"/>
        <v>4</v>
      </c>
      <c r="N1026" s="249">
        <f t="shared" si="47"/>
        <v>3</v>
      </c>
      <c r="Z1026" s="130">
        <v>0.5</v>
      </c>
      <c r="AA1026" s="249">
        <v>3</v>
      </c>
      <c r="AB1026" s="250">
        <v>10000</v>
      </c>
      <c r="AC1026" s="250">
        <v>10000</v>
      </c>
      <c r="AD1026" s="250">
        <v>10000</v>
      </c>
      <c r="AE1026" s="250">
        <v>190000</v>
      </c>
      <c r="AF1026" s="250">
        <v>10000</v>
      </c>
    </row>
    <row r="1027" spans="2:32" x14ac:dyDescent="0.25">
      <c r="B1027" s="61" t="s">
        <v>1943</v>
      </c>
      <c r="C1027" s="249" t="str">
        <f t="shared" si="48"/>
        <v>T3</v>
      </c>
      <c r="D1027" s="14">
        <v>1975</v>
      </c>
      <c r="E1027" s="13" t="s">
        <v>352</v>
      </c>
      <c r="F1027" s="249">
        <v>2.7</v>
      </c>
      <c r="G1027" s="249">
        <v>3.5</v>
      </c>
      <c r="H1027" s="249" t="str">
        <f t="shared" si="49"/>
        <v>D</v>
      </c>
      <c r="I1027" s="249">
        <f t="shared" si="45"/>
        <v>1</v>
      </c>
      <c r="J1027" s="143">
        <v>6000</v>
      </c>
      <c r="K1027" s="249" t="str">
        <f t="shared" si="50"/>
        <v>HC</v>
      </c>
      <c r="M1027" s="249">
        <f t="shared" si="46"/>
        <v>40</v>
      </c>
      <c r="N1027" s="249">
        <f t="shared" si="47"/>
        <v>39</v>
      </c>
      <c r="Z1027" s="130">
        <v>0.2</v>
      </c>
      <c r="AA1027" s="249">
        <v>3</v>
      </c>
      <c r="AB1027" s="250">
        <v>16000</v>
      </c>
      <c r="AC1027" s="250">
        <v>32000</v>
      </c>
      <c r="AD1027" s="250">
        <v>36000</v>
      </c>
      <c r="AE1027" s="250">
        <v>80000</v>
      </c>
      <c r="AF1027" s="250">
        <v>36000</v>
      </c>
    </row>
    <row r="1028" spans="2:32" x14ac:dyDescent="0.25">
      <c r="B1028" s="61" t="s">
        <v>1944</v>
      </c>
      <c r="C1028" s="249" t="str">
        <f t="shared" si="48"/>
        <v>T3</v>
      </c>
      <c r="D1028" s="14">
        <v>2000</v>
      </c>
      <c r="E1028" s="13">
        <v>1700000</v>
      </c>
      <c r="F1028" s="249">
        <v>2</v>
      </c>
      <c r="G1028" s="249">
        <v>2.8</v>
      </c>
      <c r="H1028" s="249" t="str">
        <f t="shared" si="49"/>
        <v>D</v>
      </c>
      <c r="I1028" s="249">
        <f t="shared" si="45"/>
        <v>1</v>
      </c>
      <c r="J1028" s="143">
        <v>10000</v>
      </c>
      <c r="K1028" s="249" t="str">
        <f t="shared" si="50"/>
        <v>HC</v>
      </c>
      <c r="M1028" s="249">
        <f t="shared" si="46"/>
        <v>15</v>
      </c>
      <c r="N1028" s="249">
        <f t="shared" si="47"/>
        <v>14</v>
      </c>
      <c r="Z1028" s="130">
        <v>0.2</v>
      </c>
      <c r="AA1028" s="249">
        <v>3</v>
      </c>
      <c r="AB1028" s="250">
        <v>12000</v>
      </c>
      <c r="AC1028" s="250">
        <v>60000</v>
      </c>
      <c r="AD1028" s="250">
        <v>25000</v>
      </c>
      <c r="AE1028" s="250">
        <v>190000</v>
      </c>
      <c r="AF1028" s="250">
        <v>25000</v>
      </c>
    </row>
    <row r="1029" spans="2:32" x14ac:dyDescent="0.25">
      <c r="B1029" s="61" t="s">
        <v>1945</v>
      </c>
      <c r="C1029" s="249" t="str">
        <f t="shared" si="48"/>
        <v>C2</v>
      </c>
      <c r="D1029" s="14">
        <v>2005</v>
      </c>
      <c r="E1029" s="13">
        <v>1500000</v>
      </c>
      <c r="F1029" s="249">
        <v>2.8</v>
      </c>
      <c r="G1029" s="249">
        <v>3.1</v>
      </c>
      <c r="H1029" s="249" t="str">
        <f t="shared" si="49"/>
        <v>D</v>
      </c>
      <c r="I1029" s="249">
        <f t="shared" si="45"/>
        <v>1</v>
      </c>
      <c r="J1029" s="143">
        <v>16000</v>
      </c>
      <c r="K1029" s="249" t="str">
        <f t="shared" si="50"/>
        <v>HC</v>
      </c>
      <c r="M1029" s="249">
        <f t="shared" si="46"/>
        <v>10</v>
      </c>
      <c r="N1029" s="249">
        <f t="shared" si="47"/>
        <v>9</v>
      </c>
      <c r="Z1029" s="130">
        <v>0.5</v>
      </c>
      <c r="AA1029" s="249">
        <v>3</v>
      </c>
      <c r="AB1029" s="250">
        <v>10000</v>
      </c>
      <c r="AC1029" s="250">
        <v>30000</v>
      </c>
      <c r="AD1029" s="250">
        <v>30000</v>
      </c>
      <c r="AE1029" s="250">
        <v>125000</v>
      </c>
      <c r="AF1029" s="250">
        <v>30000</v>
      </c>
    </row>
    <row r="1030" spans="2:32" x14ac:dyDescent="0.25">
      <c r="B1030" s="61" t="s">
        <v>1946</v>
      </c>
      <c r="C1030" s="249" t="str">
        <f t="shared" si="48"/>
        <v>T3</v>
      </c>
      <c r="D1030" s="14">
        <v>1983</v>
      </c>
      <c r="E1030" s="13">
        <v>1600000</v>
      </c>
      <c r="F1030" s="249">
        <v>1.3</v>
      </c>
      <c r="G1030" s="249">
        <v>2.2999999999999998</v>
      </c>
      <c r="H1030" s="249" t="str">
        <f t="shared" si="49"/>
        <v>D</v>
      </c>
      <c r="I1030" s="249">
        <f t="shared" ref="I1030:I1093" si="51">IF(F1030&gt;G1030,0,1)</f>
        <v>1</v>
      </c>
      <c r="J1030" s="143">
        <v>6500</v>
      </c>
      <c r="K1030" s="249" t="str">
        <f t="shared" si="50"/>
        <v>HC</v>
      </c>
      <c r="M1030" s="249">
        <f t="shared" ref="M1030:M1093" si="52">2015-D1030</f>
        <v>32</v>
      </c>
      <c r="N1030" s="249">
        <f t="shared" ref="N1030:N1093" si="53">2014-$D1030</f>
        <v>31</v>
      </c>
      <c r="Z1030" s="130">
        <v>0.5</v>
      </c>
      <c r="AA1030" s="249">
        <v>1</v>
      </c>
      <c r="AB1030" s="250">
        <v>15000</v>
      </c>
      <c r="AC1030" s="250">
        <v>60000</v>
      </c>
      <c r="AD1030" s="250">
        <v>60000</v>
      </c>
      <c r="AE1030" s="250">
        <v>120000</v>
      </c>
      <c r="AF1030" s="250">
        <v>60000</v>
      </c>
    </row>
    <row r="1031" spans="2:32" x14ac:dyDescent="0.25">
      <c r="B1031" s="61" t="s">
        <v>1947</v>
      </c>
      <c r="C1031" s="249" t="str">
        <f t="shared" si="48"/>
        <v>T3</v>
      </c>
      <c r="D1031" s="14">
        <v>2006</v>
      </c>
      <c r="E1031" s="13">
        <v>1150000</v>
      </c>
      <c r="F1031" s="249">
        <v>2.8</v>
      </c>
      <c r="G1031" s="249">
        <v>3.2</v>
      </c>
      <c r="H1031" s="249" t="str">
        <f t="shared" si="49"/>
        <v>D</v>
      </c>
      <c r="I1031" s="249">
        <f t="shared" si="51"/>
        <v>1</v>
      </c>
      <c r="J1031" s="143">
        <v>14000</v>
      </c>
      <c r="K1031" s="249" t="str">
        <f t="shared" si="50"/>
        <v>PT</v>
      </c>
      <c r="M1031" s="249">
        <f t="shared" si="52"/>
        <v>9</v>
      </c>
      <c r="N1031" s="249">
        <f t="shared" si="53"/>
        <v>8</v>
      </c>
      <c r="Z1031" s="130">
        <v>0.2</v>
      </c>
      <c r="AA1031" s="249">
        <v>7</v>
      </c>
      <c r="AB1031" s="250">
        <v>30000</v>
      </c>
      <c r="AC1031" s="250">
        <v>30000</v>
      </c>
      <c r="AD1031" s="250">
        <v>30000</v>
      </c>
      <c r="AE1031" s="250">
        <v>160000</v>
      </c>
      <c r="AF1031" s="250">
        <v>30000</v>
      </c>
    </row>
    <row r="1032" spans="2:32" x14ac:dyDescent="0.25">
      <c r="B1032" s="61" t="s">
        <v>1948</v>
      </c>
      <c r="C1032" s="249" t="str">
        <f t="shared" si="48"/>
        <v>C2</v>
      </c>
      <c r="D1032" s="14">
        <v>1995</v>
      </c>
      <c r="E1032" s="13">
        <v>1450000</v>
      </c>
      <c r="F1032" s="249">
        <v>3</v>
      </c>
      <c r="G1032" s="249">
        <v>3.5</v>
      </c>
      <c r="H1032" s="249" t="str">
        <f t="shared" si="49"/>
        <v>D</v>
      </c>
      <c r="I1032" s="249">
        <f t="shared" si="51"/>
        <v>1</v>
      </c>
      <c r="J1032" s="143">
        <v>6500</v>
      </c>
      <c r="K1032" s="249" t="str">
        <f t="shared" si="50"/>
        <v>PT</v>
      </c>
      <c r="M1032" s="249">
        <f t="shared" si="52"/>
        <v>20</v>
      </c>
      <c r="N1032" s="249">
        <f t="shared" si="53"/>
        <v>19</v>
      </c>
      <c r="Z1032" s="130">
        <v>0.5</v>
      </c>
      <c r="AA1032" s="249">
        <v>7</v>
      </c>
      <c r="AB1032" s="250">
        <v>10000</v>
      </c>
      <c r="AC1032" s="250">
        <v>25000</v>
      </c>
      <c r="AD1032" s="250">
        <v>10000</v>
      </c>
      <c r="AE1032" s="250">
        <v>80000</v>
      </c>
      <c r="AF1032" s="250">
        <v>10000</v>
      </c>
    </row>
    <row r="1033" spans="2:32" x14ac:dyDescent="0.25">
      <c r="B1033" s="61" t="s">
        <v>1949</v>
      </c>
      <c r="C1033" s="249" t="str">
        <f t="shared" si="48"/>
        <v>T3</v>
      </c>
      <c r="D1033" s="14">
        <v>2000</v>
      </c>
      <c r="E1033" s="13" t="s">
        <v>908</v>
      </c>
      <c r="F1033" s="249">
        <v>2</v>
      </c>
      <c r="G1033" s="249">
        <v>2.5</v>
      </c>
      <c r="H1033" s="249" t="str">
        <f t="shared" si="49"/>
        <v>D</v>
      </c>
      <c r="I1033" s="249">
        <f t="shared" si="51"/>
        <v>1</v>
      </c>
      <c r="J1033" s="143">
        <v>20000</v>
      </c>
      <c r="K1033" s="249" t="str">
        <f t="shared" si="50"/>
        <v>HC</v>
      </c>
      <c r="M1033" s="249">
        <f t="shared" si="52"/>
        <v>15</v>
      </c>
      <c r="N1033" s="249">
        <f t="shared" si="53"/>
        <v>14</v>
      </c>
      <c r="Z1033" s="130">
        <v>0.5</v>
      </c>
      <c r="AA1033" s="249">
        <v>3</v>
      </c>
      <c r="AB1033" s="250">
        <v>20000</v>
      </c>
      <c r="AC1033" s="250">
        <v>120000</v>
      </c>
      <c r="AD1033" s="250">
        <v>20000</v>
      </c>
      <c r="AE1033" s="250">
        <v>180000</v>
      </c>
      <c r="AF1033" s="250">
        <v>20000</v>
      </c>
    </row>
    <row r="1034" spans="2:32" x14ac:dyDescent="0.25">
      <c r="B1034" s="61" t="s">
        <v>1950</v>
      </c>
      <c r="C1034" s="249" t="str">
        <f t="shared" si="48"/>
        <v>T3</v>
      </c>
      <c r="D1034" s="14">
        <v>2007</v>
      </c>
      <c r="E1034" s="13">
        <v>1700000</v>
      </c>
      <c r="F1034" s="249">
        <v>2.5</v>
      </c>
      <c r="G1034" s="249">
        <v>3</v>
      </c>
      <c r="H1034" s="249" t="str">
        <f t="shared" si="49"/>
        <v>D</v>
      </c>
      <c r="I1034" s="249">
        <f t="shared" si="51"/>
        <v>1</v>
      </c>
      <c r="J1034" s="143">
        <v>20000</v>
      </c>
      <c r="K1034" s="249" t="str">
        <f t="shared" si="50"/>
        <v>PT</v>
      </c>
      <c r="M1034" s="249">
        <f t="shared" si="52"/>
        <v>8</v>
      </c>
      <c r="N1034" s="249">
        <f t="shared" si="53"/>
        <v>7</v>
      </c>
      <c r="Z1034" s="130">
        <v>0.1</v>
      </c>
      <c r="AA1034" s="249">
        <v>7</v>
      </c>
      <c r="AB1034" s="250">
        <v>60000</v>
      </c>
      <c r="AC1034" s="250">
        <v>120000</v>
      </c>
      <c r="AD1034" s="250">
        <v>60000</v>
      </c>
      <c r="AE1034" s="250">
        <v>200000</v>
      </c>
      <c r="AF1034" s="250">
        <v>60000</v>
      </c>
    </row>
    <row r="1035" spans="2:32" x14ac:dyDescent="0.25">
      <c r="B1035" s="61" t="s">
        <v>1951</v>
      </c>
      <c r="C1035" s="249" t="str">
        <f t="shared" si="48"/>
        <v>C2</v>
      </c>
      <c r="D1035" s="14">
        <v>1989</v>
      </c>
      <c r="E1035" s="13" t="s">
        <v>908</v>
      </c>
      <c r="F1035" s="249">
        <v>2.5</v>
      </c>
      <c r="G1035" s="249">
        <v>2.8</v>
      </c>
      <c r="H1035" s="249" t="str">
        <f t="shared" si="49"/>
        <v>G</v>
      </c>
      <c r="I1035" s="249">
        <f t="shared" si="51"/>
        <v>1</v>
      </c>
      <c r="J1035" s="143">
        <v>10000</v>
      </c>
      <c r="K1035" s="249" t="str">
        <f t="shared" si="50"/>
        <v>HC</v>
      </c>
      <c r="M1035" s="249">
        <f t="shared" si="52"/>
        <v>26</v>
      </c>
      <c r="N1035" s="249">
        <f t="shared" si="53"/>
        <v>25</v>
      </c>
      <c r="Z1035" s="130">
        <v>0.5</v>
      </c>
      <c r="AA1035" s="249">
        <v>2</v>
      </c>
      <c r="AB1035" s="250">
        <v>10000</v>
      </c>
      <c r="AC1035" s="250">
        <v>50000</v>
      </c>
      <c r="AD1035" s="250">
        <v>10000</v>
      </c>
      <c r="AE1035" s="250">
        <v>100000</v>
      </c>
      <c r="AF1035" s="250" t="s">
        <v>2462</v>
      </c>
    </row>
    <row r="1036" spans="2:32" x14ac:dyDescent="0.25">
      <c r="B1036" s="61" t="s">
        <v>1952</v>
      </c>
      <c r="C1036" s="249" t="str">
        <f t="shared" si="48"/>
        <v>C2</v>
      </c>
      <c r="D1036" s="14">
        <v>1995</v>
      </c>
      <c r="E1036" s="13">
        <v>900000</v>
      </c>
      <c r="F1036" s="249">
        <v>2</v>
      </c>
      <c r="G1036" s="249">
        <v>2.5</v>
      </c>
      <c r="H1036" s="249" t="str">
        <f t="shared" si="49"/>
        <v>GAS</v>
      </c>
      <c r="I1036" s="249">
        <f t="shared" si="51"/>
        <v>1</v>
      </c>
      <c r="J1036" s="143">
        <v>4000</v>
      </c>
      <c r="K1036" s="249" t="str">
        <f t="shared" si="50"/>
        <v>HC</v>
      </c>
      <c r="M1036" s="249">
        <f t="shared" si="52"/>
        <v>20</v>
      </c>
      <c r="N1036" s="249">
        <f t="shared" si="53"/>
        <v>19</v>
      </c>
      <c r="Z1036" s="130">
        <v>0.5</v>
      </c>
      <c r="AA1036" s="249">
        <v>3</v>
      </c>
      <c r="AB1036" s="250">
        <v>6000</v>
      </c>
      <c r="AC1036" s="250">
        <v>10000</v>
      </c>
      <c r="AD1036" s="250">
        <v>15000</v>
      </c>
      <c r="AE1036" s="250">
        <v>90000</v>
      </c>
      <c r="AF1036" s="250" t="s">
        <v>2462</v>
      </c>
    </row>
    <row r="1037" spans="2:32" x14ac:dyDescent="0.25">
      <c r="B1037" s="61" t="s">
        <v>1953</v>
      </c>
      <c r="C1037" s="249" t="str">
        <f t="shared" si="48"/>
        <v>T2</v>
      </c>
      <c r="D1037" s="14">
        <v>2009</v>
      </c>
      <c r="E1037" s="13">
        <v>300000</v>
      </c>
      <c r="F1037" s="249">
        <v>2.8</v>
      </c>
      <c r="G1037" s="249">
        <v>3</v>
      </c>
      <c r="H1037" s="249" t="str">
        <f t="shared" si="49"/>
        <v>D</v>
      </c>
      <c r="I1037" s="249">
        <f t="shared" si="51"/>
        <v>1</v>
      </c>
      <c r="J1037" s="143">
        <v>6000</v>
      </c>
      <c r="K1037" s="249" t="str">
        <f t="shared" si="50"/>
        <v>PT</v>
      </c>
      <c r="M1037" s="249">
        <f t="shared" si="52"/>
        <v>6</v>
      </c>
      <c r="N1037" s="249">
        <f t="shared" si="53"/>
        <v>5</v>
      </c>
      <c r="Z1037" s="130">
        <v>0.5</v>
      </c>
      <c r="AA1037" s="249">
        <v>7</v>
      </c>
      <c r="AB1037" s="250">
        <v>12000</v>
      </c>
      <c r="AC1037" s="250">
        <v>12000</v>
      </c>
      <c r="AD1037" s="250">
        <v>12000</v>
      </c>
      <c r="AE1037" s="250">
        <v>100000</v>
      </c>
      <c r="AF1037" s="250">
        <v>12000</v>
      </c>
    </row>
    <row r="1038" spans="2:32" x14ac:dyDescent="0.25">
      <c r="B1038" s="61" t="s">
        <v>1954</v>
      </c>
      <c r="C1038" s="249" t="str">
        <f t="shared" si="48"/>
        <v>T3</v>
      </c>
      <c r="D1038" s="14">
        <v>2007</v>
      </c>
      <c r="E1038" s="13">
        <v>600000</v>
      </c>
      <c r="F1038" s="249">
        <v>2</v>
      </c>
      <c r="G1038" s="249">
        <v>2.5</v>
      </c>
      <c r="H1038" s="249" t="str">
        <f t="shared" si="49"/>
        <v>D</v>
      </c>
      <c r="I1038" s="249">
        <f t="shared" si="51"/>
        <v>1</v>
      </c>
      <c r="J1038" s="143">
        <v>8000</v>
      </c>
      <c r="K1038" s="249" t="str">
        <f t="shared" si="50"/>
        <v>HC</v>
      </c>
      <c r="M1038" s="249">
        <f t="shared" si="52"/>
        <v>8</v>
      </c>
      <c r="N1038" s="249">
        <f t="shared" si="53"/>
        <v>7</v>
      </c>
      <c r="Z1038" s="130">
        <v>0.5</v>
      </c>
      <c r="AA1038" s="249">
        <v>3</v>
      </c>
      <c r="AB1038" s="250">
        <v>24000</v>
      </c>
      <c r="AC1038" s="250">
        <v>30000</v>
      </c>
      <c r="AD1038" s="250">
        <v>24000</v>
      </c>
      <c r="AE1038" s="250">
        <v>90000</v>
      </c>
      <c r="AF1038" s="250">
        <v>24000</v>
      </c>
    </row>
    <row r="1039" spans="2:32" x14ac:dyDescent="0.25">
      <c r="B1039" s="61" t="s">
        <v>1955</v>
      </c>
      <c r="C1039" s="249" t="str">
        <f t="shared" si="48"/>
        <v>C3</v>
      </c>
      <c r="D1039" s="14">
        <v>2013</v>
      </c>
      <c r="E1039" s="13">
        <v>300000</v>
      </c>
      <c r="F1039" s="249">
        <v>2.8</v>
      </c>
      <c r="G1039" s="249">
        <v>3</v>
      </c>
      <c r="H1039" s="249" t="str">
        <f t="shared" si="49"/>
        <v>D</v>
      </c>
      <c r="I1039" s="249">
        <f t="shared" si="51"/>
        <v>1</v>
      </c>
      <c r="J1039" s="143">
        <v>25000</v>
      </c>
      <c r="K1039" s="249" t="str">
        <f t="shared" si="50"/>
        <v>PT</v>
      </c>
      <c r="M1039" s="249">
        <f t="shared" si="52"/>
        <v>2</v>
      </c>
      <c r="N1039" s="249">
        <f t="shared" si="53"/>
        <v>1</v>
      </c>
      <c r="Z1039" s="130">
        <v>0.1</v>
      </c>
      <c r="AA1039" s="249">
        <v>7</v>
      </c>
      <c r="AB1039" s="250">
        <v>20000</v>
      </c>
      <c r="AC1039" s="250">
        <v>25000</v>
      </c>
      <c r="AD1039" s="250">
        <v>20000</v>
      </c>
      <c r="AE1039" s="250">
        <v>200000</v>
      </c>
      <c r="AF1039" s="250">
        <v>20000</v>
      </c>
    </row>
    <row r="1040" spans="2:32" x14ac:dyDescent="0.25">
      <c r="B1040" s="61" t="s">
        <v>1956</v>
      </c>
      <c r="C1040" s="249" t="str">
        <f t="shared" si="48"/>
        <v>C2</v>
      </c>
      <c r="D1040" s="14">
        <v>2007</v>
      </c>
      <c r="E1040" s="13">
        <v>800000</v>
      </c>
      <c r="F1040" s="249">
        <v>2.5</v>
      </c>
      <c r="G1040" s="249">
        <v>3</v>
      </c>
      <c r="H1040" s="249" t="str">
        <f t="shared" si="49"/>
        <v>D</v>
      </c>
      <c r="I1040" s="249">
        <f t="shared" si="51"/>
        <v>1</v>
      </c>
      <c r="J1040" s="143">
        <v>10000</v>
      </c>
      <c r="K1040" s="249" t="str">
        <f t="shared" si="50"/>
        <v>PT</v>
      </c>
      <c r="M1040" s="249">
        <f t="shared" si="52"/>
        <v>8</v>
      </c>
      <c r="N1040" s="249">
        <f t="shared" si="53"/>
        <v>7</v>
      </c>
      <c r="Z1040" s="130">
        <v>0.5</v>
      </c>
      <c r="AA1040" s="249">
        <v>7</v>
      </c>
      <c r="AB1040" s="250">
        <v>12000</v>
      </c>
      <c r="AC1040" s="250">
        <v>25000</v>
      </c>
      <c r="AD1040" s="250">
        <v>10000</v>
      </c>
      <c r="AE1040" s="250">
        <v>100000</v>
      </c>
      <c r="AF1040" s="250">
        <v>10000</v>
      </c>
    </row>
    <row r="1041" spans="2:32" x14ac:dyDescent="0.25">
      <c r="B1041" s="61" t="s">
        <v>1957</v>
      </c>
      <c r="C1041" s="249" t="str">
        <f t="shared" si="48"/>
        <v>T3</v>
      </c>
      <c r="D1041" s="14">
        <v>2012</v>
      </c>
      <c r="E1041" s="13">
        <v>350000</v>
      </c>
      <c r="F1041" s="249">
        <v>2</v>
      </c>
      <c r="G1041" s="249">
        <v>2.9</v>
      </c>
      <c r="H1041" s="249" t="str">
        <f t="shared" si="49"/>
        <v>D</v>
      </c>
      <c r="I1041" s="249">
        <f t="shared" si="51"/>
        <v>1</v>
      </c>
      <c r="J1041" s="143">
        <v>15000</v>
      </c>
      <c r="K1041" s="249" t="str">
        <f t="shared" si="50"/>
        <v>HC</v>
      </c>
      <c r="M1041" s="249">
        <f t="shared" si="52"/>
        <v>3</v>
      </c>
      <c r="N1041" s="249">
        <f t="shared" si="53"/>
        <v>2</v>
      </c>
      <c r="Z1041" s="130">
        <v>0.1</v>
      </c>
      <c r="AA1041" s="249">
        <v>3</v>
      </c>
      <c r="AB1041" s="250">
        <v>25000</v>
      </c>
      <c r="AC1041" s="250">
        <v>90000</v>
      </c>
      <c r="AD1041" s="250">
        <v>25000</v>
      </c>
      <c r="AE1041" s="250">
        <v>180000</v>
      </c>
      <c r="AF1041" s="250">
        <v>25000</v>
      </c>
    </row>
    <row r="1042" spans="2:32" x14ac:dyDescent="0.25">
      <c r="B1042" s="61" t="s">
        <v>1958</v>
      </c>
      <c r="C1042" s="249" t="str">
        <f t="shared" si="48"/>
        <v>C3</v>
      </c>
      <c r="D1042" s="14">
        <v>2013</v>
      </c>
      <c r="E1042" s="13">
        <v>150000</v>
      </c>
      <c r="F1042" s="249">
        <v>2</v>
      </c>
      <c r="G1042" s="249">
        <v>2.8</v>
      </c>
      <c r="H1042" s="249" t="str">
        <f t="shared" si="49"/>
        <v>D</v>
      </c>
      <c r="I1042" s="249">
        <f t="shared" si="51"/>
        <v>1</v>
      </c>
      <c r="J1042" s="143">
        <v>15000</v>
      </c>
      <c r="K1042" s="249" t="str">
        <f t="shared" si="50"/>
        <v>PT</v>
      </c>
      <c r="M1042" s="249">
        <f t="shared" si="52"/>
        <v>2</v>
      </c>
      <c r="N1042" s="249">
        <f t="shared" si="53"/>
        <v>1</v>
      </c>
      <c r="Z1042" s="130">
        <v>0.2</v>
      </c>
      <c r="AA1042" s="249">
        <v>7</v>
      </c>
      <c r="AB1042" s="250">
        <v>10000</v>
      </c>
      <c r="AC1042" s="250">
        <v>90000</v>
      </c>
      <c r="AD1042" s="250">
        <v>10000</v>
      </c>
      <c r="AE1042" s="250">
        <v>180000</v>
      </c>
      <c r="AF1042" s="250">
        <v>10000</v>
      </c>
    </row>
    <row r="1043" spans="2:32" x14ac:dyDescent="0.25">
      <c r="B1043" s="61" t="s">
        <v>1959</v>
      </c>
      <c r="C1043" s="249" t="str">
        <f t="shared" si="48"/>
        <v>T3</v>
      </c>
      <c r="D1043" s="14">
        <v>2002</v>
      </c>
      <c r="E1043" s="13">
        <v>1000000</v>
      </c>
      <c r="F1043" s="249">
        <v>1.5</v>
      </c>
      <c r="G1043" s="249">
        <v>1.8</v>
      </c>
      <c r="H1043" s="249" t="str">
        <f t="shared" si="49"/>
        <v>D</v>
      </c>
      <c r="I1043" s="249">
        <f t="shared" si="51"/>
        <v>1</v>
      </c>
      <c r="J1043" s="143">
        <v>5000</v>
      </c>
      <c r="K1043" s="249" t="str">
        <f t="shared" si="50"/>
        <v>HC</v>
      </c>
      <c r="M1043" s="249">
        <f t="shared" si="52"/>
        <v>13</v>
      </c>
      <c r="N1043" s="249">
        <f t="shared" si="53"/>
        <v>12</v>
      </c>
      <c r="Z1043" s="130">
        <v>0.5</v>
      </c>
      <c r="AA1043" s="249">
        <v>2</v>
      </c>
      <c r="AB1043" s="250">
        <v>15000</v>
      </c>
      <c r="AC1043" s="250">
        <v>30000</v>
      </c>
      <c r="AD1043" s="250">
        <v>15000</v>
      </c>
      <c r="AE1043" s="250">
        <v>120000</v>
      </c>
      <c r="AF1043" s="250">
        <v>15000</v>
      </c>
    </row>
    <row r="1044" spans="2:32" x14ac:dyDescent="0.25">
      <c r="B1044" s="61" t="s">
        <v>1960</v>
      </c>
      <c r="C1044" s="249" t="str">
        <f t="shared" si="48"/>
        <v>T3</v>
      </c>
      <c r="D1044" s="14">
        <v>2004</v>
      </c>
      <c r="E1044" s="13">
        <v>500000</v>
      </c>
      <c r="F1044" s="249">
        <v>2.8</v>
      </c>
      <c r="G1044" s="249">
        <v>3</v>
      </c>
      <c r="H1044" s="249" t="str">
        <f t="shared" si="49"/>
        <v>D</v>
      </c>
      <c r="I1044" s="249">
        <f t="shared" si="51"/>
        <v>1</v>
      </c>
      <c r="J1044" s="143">
        <v>4000</v>
      </c>
      <c r="K1044" s="249" t="str">
        <f t="shared" si="50"/>
        <v>PT</v>
      </c>
      <c r="M1044" s="249">
        <f t="shared" si="52"/>
        <v>11</v>
      </c>
      <c r="N1044" s="249">
        <f t="shared" si="53"/>
        <v>10</v>
      </c>
      <c r="Z1044" s="130">
        <v>0.5</v>
      </c>
      <c r="AA1044" s="249">
        <v>7</v>
      </c>
      <c r="AB1044" s="250">
        <v>60000</v>
      </c>
      <c r="AC1044" s="250">
        <v>40000</v>
      </c>
      <c r="AD1044" s="250">
        <v>20000</v>
      </c>
      <c r="AE1044" s="250">
        <v>80000</v>
      </c>
      <c r="AF1044" s="250">
        <v>20000</v>
      </c>
    </row>
    <row r="1045" spans="2:32" x14ac:dyDescent="0.25">
      <c r="B1045" s="61" t="s">
        <v>1961</v>
      </c>
      <c r="C1045" s="249" t="str">
        <f t="shared" si="48"/>
        <v>T3</v>
      </c>
      <c r="D1045" s="14">
        <v>2001</v>
      </c>
      <c r="E1045" s="13">
        <v>1750000</v>
      </c>
      <c r="F1045" s="249">
        <v>2.2000000000000002</v>
      </c>
      <c r="G1045" s="249">
        <v>3.1</v>
      </c>
      <c r="H1045" s="249" t="str">
        <f t="shared" si="49"/>
        <v>D</v>
      </c>
      <c r="I1045" s="249">
        <f t="shared" si="51"/>
        <v>1</v>
      </c>
      <c r="J1045" s="143">
        <v>12000</v>
      </c>
      <c r="K1045" s="249" t="str">
        <f t="shared" si="50"/>
        <v>PT</v>
      </c>
      <c r="M1045" s="249">
        <f t="shared" si="52"/>
        <v>14</v>
      </c>
      <c r="N1045" s="249">
        <f t="shared" si="53"/>
        <v>13</v>
      </c>
      <c r="Z1045" s="130">
        <v>0.2</v>
      </c>
      <c r="AA1045" s="249">
        <v>7</v>
      </c>
      <c r="AB1045" s="250">
        <v>15000</v>
      </c>
      <c r="AC1045" s="250">
        <v>72000</v>
      </c>
      <c r="AD1045" s="250">
        <v>15000</v>
      </c>
      <c r="AE1045" s="250">
        <v>72000</v>
      </c>
      <c r="AF1045" s="250">
        <v>15000</v>
      </c>
    </row>
    <row r="1046" spans="2:32" x14ac:dyDescent="0.25">
      <c r="B1046" s="61" t="s">
        <v>1962</v>
      </c>
      <c r="C1046" s="249" t="str">
        <f t="shared" si="48"/>
        <v>T2</v>
      </c>
      <c r="D1046" s="14">
        <v>1994</v>
      </c>
      <c r="E1046" s="13">
        <v>1800000</v>
      </c>
      <c r="F1046" s="249">
        <v>2.9</v>
      </c>
      <c r="G1046" s="249">
        <v>3.2</v>
      </c>
      <c r="H1046" s="249" t="str">
        <f t="shared" si="49"/>
        <v>D</v>
      </c>
      <c r="I1046" s="249">
        <f t="shared" si="51"/>
        <v>1</v>
      </c>
      <c r="J1046" s="143">
        <v>10000</v>
      </c>
      <c r="K1046" s="249" t="str">
        <f t="shared" si="50"/>
        <v>HC</v>
      </c>
      <c r="M1046" s="249">
        <f t="shared" si="52"/>
        <v>21</v>
      </c>
      <c r="N1046" s="249">
        <f t="shared" si="53"/>
        <v>20</v>
      </c>
      <c r="Z1046" s="130">
        <v>0.5</v>
      </c>
      <c r="AA1046" s="249">
        <v>3</v>
      </c>
      <c r="AB1046" s="250">
        <v>12000</v>
      </c>
      <c r="AC1046" s="250">
        <v>15000</v>
      </c>
      <c r="AD1046" s="250">
        <v>12000</v>
      </c>
      <c r="AE1046" s="250">
        <v>100000</v>
      </c>
      <c r="AF1046" s="250">
        <v>12000</v>
      </c>
    </row>
    <row r="1047" spans="2:32" x14ac:dyDescent="0.25">
      <c r="B1047" s="61" t="s">
        <v>1963</v>
      </c>
      <c r="C1047" s="249" t="str">
        <f t="shared" si="48"/>
        <v>C2</v>
      </c>
      <c r="D1047" s="14">
        <v>2005</v>
      </c>
      <c r="E1047" s="13">
        <v>1000000</v>
      </c>
      <c r="F1047" s="249">
        <v>2.2999999999999998</v>
      </c>
      <c r="G1047" s="249">
        <v>2.8</v>
      </c>
      <c r="H1047" s="249" t="str">
        <f t="shared" si="49"/>
        <v>D</v>
      </c>
      <c r="I1047" s="249">
        <f t="shared" si="51"/>
        <v>1</v>
      </c>
      <c r="J1047" s="143">
        <v>10000</v>
      </c>
      <c r="K1047" s="249" t="str">
        <f t="shared" si="50"/>
        <v>HC</v>
      </c>
      <c r="M1047" s="249">
        <f t="shared" si="52"/>
        <v>10</v>
      </c>
      <c r="N1047" s="249">
        <f t="shared" si="53"/>
        <v>9</v>
      </c>
      <c r="Z1047" s="130">
        <v>0.5</v>
      </c>
      <c r="AA1047" s="249">
        <v>3</v>
      </c>
      <c r="AB1047" s="250">
        <v>12000</v>
      </c>
      <c r="AC1047" s="250">
        <v>60000</v>
      </c>
      <c r="AD1047" s="250">
        <v>12000</v>
      </c>
      <c r="AE1047" s="250">
        <v>120000</v>
      </c>
      <c r="AF1047" s="250">
        <v>12000</v>
      </c>
    </row>
    <row r="1048" spans="2:32" x14ac:dyDescent="0.25">
      <c r="B1048" s="61" t="s">
        <v>1964</v>
      </c>
      <c r="C1048" s="249" t="str">
        <f t="shared" si="48"/>
        <v>T2</v>
      </c>
      <c r="D1048" s="14">
        <v>2000</v>
      </c>
      <c r="E1048" s="13">
        <v>1850000</v>
      </c>
      <c r="F1048" s="249">
        <v>2.5</v>
      </c>
      <c r="G1048" s="249">
        <v>3</v>
      </c>
      <c r="H1048" s="249" t="str">
        <f t="shared" si="49"/>
        <v>D</v>
      </c>
      <c r="I1048" s="249">
        <f t="shared" si="51"/>
        <v>1</v>
      </c>
      <c r="J1048" s="143">
        <v>12000</v>
      </c>
      <c r="K1048" s="249" t="str">
        <f t="shared" si="50"/>
        <v>HC</v>
      </c>
      <c r="M1048" s="249">
        <f t="shared" si="52"/>
        <v>15</v>
      </c>
      <c r="N1048" s="249">
        <f t="shared" si="53"/>
        <v>14</v>
      </c>
      <c r="Z1048" s="130">
        <v>0.5</v>
      </c>
      <c r="AA1048" s="249">
        <v>3</v>
      </c>
      <c r="AB1048" s="250">
        <v>20000</v>
      </c>
      <c r="AC1048" s="250">
        <v>20000</v>
      </c>
      <c r="AD1048" s="250">
        <v>10000</v>
      </c>
      <c r="AE1048" s="250">
        <v>144000</v>
      </c>
      <c r="AF1048" s="250">
        <v>10000</v>
      </c>
    </row>
    <row r="1049" spans="2:32" x14ac:dyDescent="0.25">
      <c r="B1049" s="61" t="s">
        <v>1965</v>
      </c>
      <c r="C1049" s="249" t="str">
        <f t="shared" ref="C1049:C1112" si="54">IF(E1505="X","C2",IF(F1505="X","C3",IF(G1505="X","T2",IF(H1505="X","T3",0))))</f>
        <v>C2</v>
      </c>
      <c r="D1049" s="14">
        <v>2011</v>
      </c>
      <c r="E1049" s="13">
        <v>500000</v>
      </c>
      <c r="F1049" s="249">
        <v>3.2</v>
      </c>
      <c r="G1049" s="249">
        <v>3.8</v>
      </c>
      <c r="H1049" s="249" t="str">
        <f t="shared" ref="H1049:H1112" si="55">IF(B1505="X","G",IF(C1505="X","GAS",IF(D1505="X","D",0)))</f>
        <v>D</v>
      </c>
      <c r="I1049" s="249">
        <f t="shared" si="51"/>
        <v>1</v>
      </c>
      <c r="J1049" s="143">
        <v>15000</v>
      </c>
      <c r="K1049" s="249" t="str">
        <f t="shared" ref="K1049:K1112" si="56">IF(L1505="X","PT","HC")</f>
        <v>HC</v>
      </c>
      <c r="M1049" s="249">
        <f t="shared" si="52"/>
        <v>4</v>
      </c>
      <c r="N1049" s="249">
        <f t="shared" si="53"/>
        <v>3</v>
      </c>
      <c r="Z1049" s="130">
        <v>0.5</v>
      </c>
      <c r="AA1049" s="249">
        <v>3</v>
      </c>
      <c r="AB1049" s="250">
        <v>16000</v>
      </c>
      <c r="AC1049" s="250">
        <v>40000</v>
      </c>
      <c r="AD1049" s="250">
        <v>16000</v>
      </c>
      <c r="AE1049" s="250">
        <v>100000</v>
      </c>
      <c r="AF1049" s="250">
        <v>16000</v>
      </c>
    </row>
    <row r="1050" spans="2:32" x14ac:dyDescent="0.25">
      <c r="B1050" s="61" t="s">
        <v>1966</v>
      </c>
      <c r="C1050" s="249" t="str">
        <f t="shared" si="54"/>
        <v>C2</v>
      </c>
      <c r="D1050" s="14">
        <v>2010</v>
      </c>
      <c r="E1050" s="13">
        <v>540000</v>
      </c>
      <c r="F1050" s="249">
        <v>2.8</v>
      </c>
      <c r="G1050" s="249">
        <v>3</v>
      </c>
      <c r="H1050" s="249" t="str">
        <f t="shared" si="55"/>
        <v>D</v>
      </c>
      <c r="I1050" s="249">
        <f t="shared" si="51"/>
        <v>1</v>
      </c>
      <c r="J1050" s="143">
        <v>15000</v>
      </c>
      <c r="K1050" s="249" t="str">
        <f t="shared" si="56"/>
        <v>PT</v>
      </c>
      <c r="M1050" s="249">
        <f t="shared" si="52"/>
        <v>5</v>
      </c>
      <c r="N1050" s="249">
        <f t="shared" si="53"/>
        <v>4</v>
      </c>
      <c r="Z1050" s="130">
        <v>0.5</v>
      </c>
      <c r="AA1050" s="249">
        <v>7</v>
      </c>
      <c r="AB1050" s="250">
        <v>25000</v>
      </c>
      <c r="AC1050" s="250">
        <v>60000</v>
      </c>
      <c r="AD1050" s="250">
        <v>25000</v>
      </c>
      <c r="AE1050" s="250">
        <v>180000</v>
      </c>
      <c r="AF1050" s="250">
        <v>25000</v>
      </c>
    </row>
    <row r="1051" spans="2:32" x14ac:dyDescent="0.25">
      <c r="B1051" s="61" t="s">
        <v>1967</v>
      </c>
      <c r="C1051" s="249" t="str">
        <f t="shared" si="54"/>
        <v>T3</v>
      </c>
      <c r="D1051" s="14">
        <v>2008</v>
      </c>
      <c r="E1051" s="13">
        <v>700000</v>
      </c>
      <c r="F1051" s="249">
        <v>2.1</v>
      </c>
      <c r="G1051" s="249">
        <v>2.8</v>
      </c>
      <c r="H1051" s="249" t="str">
        <f t="shared" si="55"/>
        <v>D</v>
      </c>
      <c r="I1051" s="249">
        <f t="shared" si="51"/>
        <v>1</v>
      </c>
      <c r="J1051" s="143">
        <v>10000</v>
      </c>
      <c r="K1051" s="249" t="str">
        <f t="shared" si="56"/>
        <v>HC</v>
      </c>
      <c r="M1051" s="249">
        <f t="shared" si="52"/>
        <v>7</v>
      </c>
      <c r="N1051" s="249">
        <f t="shared" si="53"/>
        <v>6</v>
      </c>
      <c r="Z1051" s="130">
        <v>0.5</v>
      </c>
      <c r="AA1051" s="249">
        <v>3</v>
      </c>
      <c r="AB1051" s="250">
        <v>30000</v>
      </c>
      <c r="AC1051" s="250">
        <v>40000</v>
      </c>
      <c r="AD1051" s="250">
        <v>12000</v>
      </c>
      <c r="AE1051" s="250">
        <v>100000</v>
      </c>
      <c r="AF1051" s="250">
        <v>12000</v>
      </c>
    </row>
    <row r="1052" spans="2:32" x14ac:dyDescent="0.25">
      <c r="B1052" s="61" t="s">
        <v>1968</v>
      </c>
      <c r="C1052" s="249" t="str">
        <f t="shared" si="54"/>
        <v>C3</v>
      </c>
      <c r="D1052" s="14">
        <v>2000</v>
      </c>
      <c r="E1052" s="13">
        <v>2300000</v>
      </c>
      <c r="F1052" s="249">
        <v>2</v>
      </c>
      <c r="G1052" s="249">
        <v>2.8</v>
      </c>
      <c r="H1052" s="249" t="str">
        <f t="shared" si="55"/>
        <v>D</v>
      </c>
      <c r="I1052" s="249">
        <f t="shared" si="51"/>
        <v>1</v>
      </c>
      <c r="J1052" s="143">
        <v>15000</v>
      </c>
      <c r="K1052" s="249" t="str">
        <f t="shared" si="56"/>
        <v>PT</v>
      </c>
      <c r="M1052" s="249">
        <f t="shared" si="52"/>
        <v>15</v>
      </c>
      <c r="N1052" s="249">
        <f t="shared" si="53"/>
        <v>14</v>
      </c>
      <c r="Z1052" s="130">
        <v>0.5</v>
      </c>
      <c r="AA1052" s="249">
        <v>7</v>
      </c>
      <c r="AB1052" s="250">
        <v>20000</v>
      </c>
      <c r="AC1052" s="250">
        <v>25000</v>
      </c>
      <c r="AD1052" s="250">
        <v>20000</v>
      </c>
      <c r="AE1052" s="250">
        <v>80000</v>
      </c>
      <c r="AF1052" s="250">
        <v>20000</v>
      </c>
    </row>
    <row r="1053" spans="2:32" x14ac:dyDescent="0.25">
      <c r="B1053" s="61" t="s">
        <v>1969</v>
      </c>
      <c r="C1053" s="249" t="str">
        <f t="shared" si="54"/>
        <v>T3</v>
      </c>
      <c r="D1053" s="14">
        <v>2014</v>
      </c>
      <c r="E1053" s="13">
        <v>10000</v>
      </c>
      <c r="F1053" s="249">
        <v>2</v>
      </c>
      <c r="G1053" s="249">
        <v>2.5</v>
      </c>
      <c r="H1053" s="249" t="str">
        <f t="shared" si="55"/>
        <v>D</v>
      </c>
      <c r="I1053" s="249">
        <f t="shared" si="51"/>
        <v>1</v>
      </c>
      <c r="J1053" s="143">
        <v>15000</v>
      </c>
      <c r="K1053" s="249" t="str">
        <f t="shared" si="56"/>
        <v>PT</v>
      </c>
      <c r="M1053" s="249">
        <f t="shared" si="52"/>
        <v>1</v>
      </c>
      <c r="N1053" s="249">
        <f t="shared" si="53"/>
        <v>0</v>
      </c>
      <c r="Z1053" s="130">
        <v>0.5</v>
      </c>
      <c r="AA1053" s="249">
        <v>7</v>
      </c>
      <c r="AB1053" s="250">
        <v>40000</v>
      </c>
      <c r="AC1053" s="250">
        <v>40000</v>
      </c>
      <c r="AD1053" s="250">
        <v>40000</v>
      </c>
      <c r="AE1053" s="250" t="s">
        <v>352</v>
      </c>
      <c r="AF1053" s="250">
        <v>40000</v>
      </c>
    </row>
    <row r="1054" spans="2:32" x14ac:dyDescent="0.25">
      <c r="B1054" s="61" t="s">
        <v>1970</v>
      </c>
      <c r="C1054" s="249" t="str">
        <f t="shared" si="54"/>
        <v>T3</v>
      </c>
      <c r="D1054" s="14">
        <v>2007</v>
      </c>
      <c r="E1054" s="13">
        <v>1400000</v>
      </c>
      <c r="F1054" s="249">
        <v>1.5</v>
      </c>
      <c r="G1054" s="249">
        <v>2.5</v>
      </c>
      <c r="H1054" s="249" t="str">
        <f t="shared" si="55"/>
        <v>D</v>
      </c>
      <c r="I1054" s="249">
        <f t="shared" si="51"/>
        <v>1</v>
      </c>
      <c r="J1054" s="143">
        <v>20000</v>
      </c>
      <c r="K1054" s="249" t="str">
        <f t="shared" si="56"/>
        <v>HC</v>
      </c>
      <c r="M1054" s="249">
        <f t="shared" si="52"/>
        <v>8</v>
      </c>
      <c r="N1054" s="249">
        <f t="shared" si="53"/>
        <v>7</v>
      </c>
      <c r="Z1054" s="130">
        <v>0.15</v>
      </c>
      <c r="AA1054" s="249">
        <v>3</v>
      </c>
      <c r="AB1054" s="250">
        <v>30000</v>
      </c>
      <c r="AC1054" s="250">
        <v>25000</v>
      </c>
      <c r="AD1054" s="250">
        <v>30000</v>
      </c>
      <c r="AE1054" s="250">
        <v>240000</v>
      </c>
      <c r="AF1054" s="250">
        <v>30000</v>
      </c>
    </row>
    <row r="1055" spans="2:32" x14ac:dyDescent="0.25">
      <c r="B1055" s="61" t="s">
        <v>1971</v>
      </c>
      <c r="C1055" s="249" t="str">
        <f t="shared" si="54"/>
        <v>T3</v>
      </c>
      <c r="D1055" s="14">
        <v>2007</v>
      </c>
      <c r="E1055" s="13">
        <v>1700000</v>
      </c>
      <c r="F1055" s="249">
        <v>2.8</v>
      </c>
      <c r="G1055" s="249">
        <v>3.2</v>
      </c>
      <c r="H1055" s="249" t="str">
        <f t="shared" si="55"/>
        <v>D</v>
      </c>
      <c r="I1055" s="249">
        <f t="shared" si="51"/>
        <v>1</v>
      </c>
      <c r="J1055" s="143">
        <v>26000</v>
      </c>
      <c r="K1055" s="249" t="str">
        <f t="shared" si="56"/>
        <v>HC</v>
      </c>
      <c r="M1055" s="249">
        <f t="shared" si="52"/>
        <v>8</v>
      </c>
      <c r="N1055" s="249">
        <f t="shared" si="53"/>
        <v>7</v>
      </c>
      <c r="Z1055" s="130">
        <v>0.3</v>
      </c>
      <c r="AA1055" s="249">
        <v>2</v>
      </c>
      <c r="AB1055" s="250">
        <v>25000</v>
      </c>
      <c r="AC1055" s="250">
        <v>18000</v>
      </c>
      <c r="AD1055" s="250">
        <v>18000</v>
      </c>
      <c r="AE1055" s="250">
        <v>150000</v>
      </c>
      <c r="AF1055" s="250">
        <v>18000</v>
      </c>
    </row>
    <row r="1056" spans="2:32" x14ac:dyDescent="0.25">
      <c r="B1056" s="61" t="s">
        <v>1972</v>
      </c>
      <c r="C1056" s="249" t="str">
        <f t="shared" si="54"/>
        <v>C2</v>
      </c>
      <c r="D1056" s="14">
        <v>1986</v>
      </c>
      <c r="E1056" s="13">
        <v>800000</v>
      </c>
      <c r="F1056" s="249">
        <v>1.8</v>
      </c>
      <c r="G1056" s="249">
        <v>2</v>
      </c>
      <c r="H1056" s="249" t="str">
        <f t="shared" si="55"/>
        <v>D</v>
      </c>
      <c r="I1056" s="249">
        <f t="shared" si="51"/>
        <v>1</v>
      </c>
      <c r="J1056" s="143">
        <v>3000</v>
      </c>
      <c r="K1056" s="249" t="str">
        <f t="shared" si="56"/>
        <v>HC</v>
      </c>
      <c r="M1056" s="249">
        <f t="shared" si="52"/>
        <v>29</v>
      </c>
      <c r="N1056" s="249">
        <f t="shared" si="53"/>
        <v>28</v>
      </c>
      <c r="Z1056" s="130">
        <v>0.5</v>
      </c>
      <c r="AA1056" s="249">
        <v>1</v>
      </c>
      <c r="AB1056" s="250">
        <v>12000</v>
      </c>
      <c r="AC1056" s="250">
        <v>25000</v>
      </c>
      <c r="AD1056" s="250">
        <v>12000</v>
      </c>
      <c r="AE1056" s="250">
        <v>72000</v>
      </c>
      <c r="AF1056" s="250">
        <v>12000</v>
      </c>
    </row>
    <row r="1057" spans="2:32" x14ac:dyDescent="0.25">
      <c r="B1057" s="61" t="s">
        <v>1973</v>
      </c>
      <c r="C1057" s="249" t="str">
        <f t="shared" si="54"/>
        <v>C3</v>
      </c>
      <c r="D1057" s="14">
        <v>2000</v>
      </c>
      <c r="E1057" s="13">
        <v>2350000</v>
      </c>
      <c r="F1057" s="249">
        <v>1.5</v>
      </c>
      <c r="G1057" s="249">
        <v>2</v>
      </c>
      <c r="H1057" s="249" t="str">
        <f t="shared" si="55"/>
        <v>D</v>
      </c>
      <c r="I1057" s="249">
        <f t="shared" si="51"/>
        <v>1</v>
      </c>
      <c r="J1057" s="143">
        <v>15000</v>
      </c>
      <c r="K1057" s="249" t="str">
        <f t="shared" si="56"/>
        <v>HC</v>
      </c>
      <c r="M1057" s="249">
        <f t="shared" si="52"/>
        <v>15</v>
      </c>
      <c r="N1057" s="249">
        <f t="shared" si="53"/>
        <v>14</v>
      </c>
      <c r="Z1057" s="130">
        <v>0.5</v>
      </c>
      <c r="AA1057" s="249">
        <v>3</v>
      </c>
      <c r="AB1057" s="250">
        <v>7000</v>
      </c>
      <c r="AC1057" s="250">
        <v>15000</v>
      </c>
      <c r="AD1057" s="250">
        <v>15000</v>
      </c>
      <c r="AE1057" s="250">
        <v>90000</v>
      </c>
      <c r="AF1057" s="250">
        <v>15000</v>
      </c>
    </row>
    <row r="1058" spans="2:32" x14ac:dyDescent="0.25">
      <c r="B1058" s="61" t="s">
        <v>1974</v>
      </c>
      <c r="C1058" s="249" t="str">
        <f t="shared" si="54"/>
        <v>T2</v>
      </c>
      <c r="D1058" s="14">
        <v>2005</v>
      </c>
      <c r="E1058" s="13">
        <v>450000</v>
      </c>
      <c r="F1058" s="249">
        <v>1.5</v>
      </c>
      <c r="G1058" s="249">
        <v>1.8</v>
      </c>
      <c r="H1058" s="249" t="str">
        <f t="shared" si="55"/>
        <v>D</v>
      </c>
      <c r="I1058" s="249">
        <f t="shared" si="51"/>
        <v>1</v>
      </c>
      <c r="J1058" s="143">
        <v>4500</v>
      </c>
      <c r="K1058" s="249" t="str">
        <f t="shared" si="56"/>
        <v>HC</v>
      </c>
      <c r="M1058" s="249">
        <f t="shared" si="52"/>
        <v>10</v>
      </c>
      <c r="N1058" s="249">
        <f t="shared" si="53"/>
        <v>9</v>
      </c>
      <c r="Z1058" s="130">
        <v>0.5</v>
      </c>
      <c r="AA1058" s="249">
        <v>3</v>
      </c>
      <c r="AB1058" s="250">
        <v>10000</v>
      </c>
      <c r="AC1058" s="250">
        <v>10000</v>
      </c>
      <c r="AD1058" s="250">
        <v>10000</v>
      </c>
      <c r="AE1058" s="250">
        <v>120000</v>
      </c>
      <c r="AF1058" s="250">
        <v>10000</v>
      </c>
    </row>
    <row r="1059" spans="2:32" x14ac:dyDescent="0.25">
      <c r="B1059" s="61" t="s">
        <v>1975</v>
      </c>
      <c r="C1059" s="249" t="str">
        <f t="shared" si="54"/>
        <v>C2</v>
      </c>
      <c r="D1059" s="14">
        <v>2012</v>
      </c>
      <c r="E1059" s="13">
        <v>255000</v>
      </c>
      <c r="F1059" s="249">
        <v>1.5</v>
      </c>
      <c r="G1059" s="249">
        <v>1.8</v>
      </c>
      <c r="H1059" s="249" t="str">
        <f t="shared" si="55"/>
        <v>G</v>
      </c>
      <c r="I1059" s="249">
        <f t="shared" si="51"/>
        <v>1</v>
      </c>
      <c r="J1059" s="143">
        <v>15000</v>
      </c>
      <c r="K1059" s="249" t="str">
        <f t="shared" si="56"/>
        <v>PT</v>
      </c>
      <c r="M1059" s="249">
        <f t="shared" si="52"/>
        <v>3</v>
      </c>
      <c r="N1059" s="249">
        <f t="shared" si="53"/>
        <v>2</v>
      </c>
      <c r="Z1059" s="130">
        <v>0.5</v>
      </c>
      <c r="AA1059" s="249">
        <v>7</v>
      </c>
      <c r="AB1059" s="250">
        <v>12000</v>
      </c>
      <c r="AC1059" s="250">
        <v>50000</v>
      </c>
      <c r="AD1059" s="250">
        <v>30000</v>
      </c>
      <c r="AE1059" s="250">
        <v>200000</v>
      </c>
      <c r="AF1059" s="250" t="s">
        <v>2462</v>
      </c>
    </row>
    <row r="1060" spans="2:32" x14ac:dyDescent="0.25">
      <c r="B1060" s="61" t="s">
        <v>1976</v>
      </c>
      <c r="C1060" s="249" t="str">
        <f t="shared" si="54"/>
        <v>C2</v>
      </c>
      <c r="D1060" s="14">
        <v>2003</v>
      </c>
      <c r="E1060" s="13">
        <v>450000</v>
      </c>
      <c r="F1060" s="249">
        <v>3</v>
      </c>
      <c r="G1060" s="249">
        <v>4</v>
      </c>
      <c r="H1060" s="249" t="str">
        <f t="shared" si="55"/>
        <v>GAS</v>
      </c>
      <c r="I1060" s="249">
        <f t="shared" si="51"/>
        <v>1</v>
      </c>
      <c r="J1060" s="143">
        <v>3500</v>
      </c>
      <c r="K1060" s="249" t="str">
        <f t="shared" si="56"/>
        <v>PT</v>
      </c>
      <c r="M1060" s="249">
        <f t="shared" si="52"/>
        <v>12</v>
      </c>
      <c r="N1060" s="249">
        <f t="shared" si="53"/>
        <v>11</v>
      </c>
      <c r="Z1060" s="130">
        <v>0.5</v>
      </c>
      <c r="AA1060" s="249">
        <v>7</v>
      </c>
      <c r="AB1060" s="250">
        <v>30000</v>
      </c>
      <c r="AC1060" s="250">
        <v>10000</v>
      </c>
      <c r="AD1060" s="250">
        <v>100000</v>
      </c>
      <c r="AE1060" s="250">
        <v>300000</v>
      </c>
      <c r="AF1060" s="250" t="s">
        <v>2462</v>
      </c>
    </row>
    <row r="1061" spans="2:32" x14ac:dyDescent="0.25">
      <c r="B1061" s="61" t="s">
        <v>1977</v>
      </c>
      <c r="C1061" s="249" t="str">
        <f t="shared" si="54"/>
        <v>T3</v>
      </c>
      <c r="D1061" s="14">
        <v>2013</v>
      </c>
      <c r="E1061" s="13">
        <v>200000</v>
      </c>
      <c r="F1061" s="249">
        <v>2</v>
      </c>
      <c r="G1061" s="249">
        <v>2.8</v>
      </c>
      <c r="H1061" s="249" t="str">
        <f t="shared" si="55"/>
        <v>D</v>
      </c>
      <c r="I1061" s="249">
        <f t="shared" si="51"/>
        <v>1</v>
      </c>
      <c r="J1061" s="143">
        <v>20000</v>
      </c>
      <c r="K1061" s="249" t="str">
        <f t="shared" si="56"/>
        <v>PT</v>
      </c>
      <c r="M1061" s="249">
        <f t="shared" si="52"/>
        <v>2</v>
      </c>
      <c r="N1061" s="249">
        <f t="shared" si="53"/>
        <v>1</v>
      </c>
      <c r="Z1061" s="130">
        <v>0.1</v>
      </c>
      <c r="AA1061" s="249">
        <v>7</v>
      </c>
      <c r="AB1061" s="250">
        <v>20000</v>
      </c>
      <c r="AC1061" s="250">
        <v>40000</v>
      </c>
      <c r="AD1061" s="250">
        <v>30000</v>
      </c>
      <c r="AE1061" s="250" t="s">
        <v>352</v>
      </c>
      <c r="AF1061" s="250">
        <v>20000</v>
      </c>
    </row>
    <row r="1062" spans="2:32" x14ac:dyDescent="0.25">
      <c r="B1062" s="61" t="s">
        <v>1978</v>
      </c>
      <c r="C1062" s="249" t="str">
        <f t="shared" si="54"/>
        <v>T3</v>
      </c>
      <c r="D1062" s="14">
        <v>2012</v>
      </c>
      <c r="E1062" s="13">
        <v>190000</v>
      </c>
      <c r="F1062" s="249">
        <v>2.4</v>
      </c>
      <c r="G1062" s="249">
        <v>2.6</v>
      </c>
      <c r="H1062" s="249" t="str">
        <f t="shared" si="55"/>
        <v>D</v>
      </c>
      <c r="I1062" s="249">
        <f t="shared" si="51"/>
        <v>1</v>
      </c>
      <c r="J1062" s="143">
        <v>15000</v>
      </c>
      <c r="K1062" s="249" t="str">
        <f t="shared" si="56"/>
        <v>HC</v>
      </c>
      <c r="M1062" s="249">
        <f t="shared" si="52"/>
        <v>3</v>
      </c>
      <c r="N1062" s="249">
        <f t="shared" si="53"/>
        <v>2</v>
      </c>
      <c r="Z1062" s="130">
        <v>0.5</v>
      </c>
      <c r="AA1062" s="249">
        <v>2</v>
      </c>
      <c r="AB1062" s="250">
        <v>6000</v>
      </c>
      <c r="AC1062" s="250">
        <v>18000</v>
      </c>
      <c r="AD1062" s="250">
        <v>6000</v>
      </c>
      <c r="AE1062" s="250">
        <v>70000</v>
      </c>
      <c r="AF1062" s="250">
        <v>6000</v>
      </c>
    </row>
    <row r="1063" spans="2:32" x14ac:dyDescent="0.25">
      <c r="B1063" s="61" t="s">
        <v>1979</v>
      </c>
      <c r="C1063" s="249" t="str">
        <f t="shared" si="54"/>
        <v>C3</v>
      </c>
      <c r="D1063" s="14">
        <v>2001</v>
      </c>
      <c r="E1063" s="13">
        <v>865000</v>
      </c>
      <c r="F1063" s="249">
        <v>3</v>
      </c>
      <c r="G1063" s="249">
        <v>3.5</v>
      </c>
      <c r="H1063" s="249" t="str">
        <f t="shared" si="55"/>
        <v>D</v>
      </c>
      <c r="I1063" s="249">
        <f t="shared" si="51"/>
        <v>1</v>
      </c>
      <c r="J1063" s="143">
        <v>6000</v>
      </c>
      <c r="K1063" s="249" t="str">
        <f t="shared" si="56"/>
        <v>HC</v>
      </c>
      <c r="M1063" s="249">
        <f t="shared" si="52"/>
        <v>14</v>
      </c>
      <c r="N1063" s="249">
        <f t="shared" si="53"/>
        <v>13</v>
      </c>
      <c r="Z1063" s="130">
        <v>0.5</v>
      </c>
      <c r="AA1063" s="249">
        <v>1</v>
      </c>
      <c r="AB1063" s="250">
        <v>18000</v>
      </c>
      <c r="AC1063" s="250">
        <v>12000</v>
      </c>
      <c r="AD1063" s="250">
        <v>18000</v>
      </c>
      <c r="AE1063" s="250">
        <v>90000</v>
      </c>
      <c r="AF1063" s="250">
        <v>18000</v>
      </c>
    </row>
    <row r="1064" spans="2:32" x14ac:dyDescent="0.25">
      <c r="B1064" s="61" t="s">
        <v>1980</v>
      </c>
      <c r="C1064" s="249" t="str">
        <f t="shared" si="54"/>
        <v>T3</v>
      </c>
      <c r="D1064" s="14">
        <v>1998</v>
      </c>
      <c r="E1064" s="13">
        <v>2000000</v>
      </c>
      <c r="F1064" s="249">
        <v>1.8</v>
      </c>
      <c r="G1064" s="249">
        <v>2</v>
      </c>
      <c r="H1064" s="249" t="str">
        <f t="shared" si="55"/>
        <v>D</v>
      </c>
      <c r="I1064" s="249">
        <f t="shared" si="51"/>
        <v>1</v>
      </c>
      <c r="J1064" s="143">
        <v>12000</v>
      </c>
      <c r="K1064" s="249" t="str">
        <f t="shared" si="56"/>
        <v>HC</v>
      </c>
      <c r="M1064" s="249">
        <f t="shared" si="52"/>
        <v>17</v>
      </c>
      <c r="N1064" s="249">
        <f t="shared" si="53"/>
        <v>16</v>
      </c>
      <c r="Z1064" s="130">
        <v>0.5</v>
      </c>
      <c r="AA1064" s="249">
        <v>3</v>
      </c>
      <c r="AB1064" s="250">
        <v>10000</v>
      </c>
      <c r="AC1064" s="250">
        <v>36000</v>
      </c>
      <c r="AD1064" s="250">
        <v>10000</v>
      </c>
      <c r="AE1064" s="250">
        <v>72000</v>
      </c>
      <c r="AF1064" s="250">
        <v>10000</v>
      </c>
    </row>
    <row r="1065" spans="2:32" x14ac:dyDescent="0.25">
      <c r="B1065" s="61" t="s">
        <v>1981</v>
      </c>
      <c r="C1065" s="249" t="str">
        <f t="shared" si="54"/>
        <v>T3</v>
      </c>
      <c r="D1065" s="14">
        <v>2000</v>
      </c>
      <c r="E1065" s="13">
        <v>1000000</v>
      </c>
      <c r="F1065" s="249">
        <v>1.5</v>
      </c>
      <c r="G1065" s="249">
        <v>2.2999999999999998</v>
      </c>
      <c r="H1065" s="249" t="str">
        <f t="shared" si="55"/>
        <v>D</v>
      </c>
      <c r="I1065" s="249">
        <f t="shared" si="51"/>
        <v>1</v>
      </c>
      <c r="J1065" s="143">
        <v>6400</v>
      </c>
      <c r="K1065" s="249" t="str">
        <f t="shared" si="56"/>
        <v>HC</v>
      </c>
      <c r="M1065" s="249">
        <f t="shared" si="52"/>
        <v>15</v>
      </c>
      <c r="N1065" s="249">
        <f t="shared" si="53"/>
        <v>14</v>
      </c>
      <c r="Z1065" s="130">
        <v>0.5</v>
      </c>
      <c r="AA1065" s="249">
        <v>1</v>
      </c>
      <c r="AB1065" s="250">
        <v>10000</v>
      </c>
      <c r="AC1065" s="250">
        <v>12000</v>
      </c>
      <c r="AD1065" s="250">
        <v>10000</v>
      </c>
      <c r="AE1065" s="250">
        <v>36000</v>
      </c>
      <c r="AF1065" s="250">
        <v>10000</v>
      </c>
    </row>
    <row r="1066" spans="2:32" x14ac:dyDescent="0.25">
      <c r="B1066" s="61" t="s">
        <v>1982</v>
      </c>
      <c r="C1066" s="249" t="str">
        <f t="shared" si="54"/>
        <v>T3</v>
      </c>
      <c r="D1066" s="14">
        <v>2003</v>
      </c>
      <c r="E1066" s="13">
        <v>1000000</v>
      </c>
      <c r="F1066" s="249">
        <v>1.8</v>
      </c>
      <c r="G1066" s="249">
        <v>2.2000000000000002</v>
      </c>
      <c r="H1066" s="249" t="str">
        <f t="shared" si="55"/>
        <v>D</v>
      </c>
      <c r="I1066" s="249">
        <f t="shared" si="51"/>
        <v>1</v>
      </c>
      <c r="J1066" s="143">
        <v>8500</v>
      </c>
      <c r="K1066" s="249" t="str">
        <f t="shared" si="56"/>
        <v>HC</v>
      </c>
      <c r="M1066" s="249">
        <f t="shared" si="52"/>
        <v>12</v>
      </c>
      <c r="N1066" s="249">
        <f t="shared" si="53"/>
        <v>11</v>
      </c>
      <c r="Z1066" s="130">
        <v>0.5</v>
      </c>
      <c r="AA1066" s="249">
        <v>2</v>
      </c>
      <c r="AB1066" s="250">
        <v>16000</v>
      </c>
      <c r="AC1066" s="250">
        <v>32000</v>
      </c>
      <c r="AD1066" s="250">
        <v>16000</v>
      </c>
      <c r="AE1066" s="250">
        <v>80000</v>
      </c>
      <c r="AF1066" s="250">
        <v>32000</v>
      </c>
    </row>
    <row r="1067" spans="2:32" x14ac:dyDescent="0.25">
      <c r="B1067" s="61" t="s">
        <v>1983</v>
      </c>
      <c r="C1067" s="249" t="str">
        <f t="shared" si="54"/>
        <v>T3</v>
      </c>
      <c r="D1067" s="14">
        <v>1999</v>
      </c>
      <c r="E1067" s="13">
        <v>400000</v>
      </c>
      <c r="F1067" s="249">
        <v>1</v>
      </c>
      <c r="G1067" s="249">
        <v>1.5</v>
      </c>
      <c r="H1067" s="249" t="str">
        <f t="shared" si="55"/>
        <v>D</v>
      </c>
      <c r="I1067" s="249">
        <f t="shared" si="51"/>
        <v>1</v>
      </c>
      <c r="J1067" s="143">
        <v>2500</v>
      </c>
      <c r="K1067" s="249" t="str">
        <f t="shared" si="56"/>
        <v>HC</v>
      </c>
      <c r="M1067" s="249">
        <f t="shared" si="52"/>
        <v>16</v>
      </c>
      <c r="N1067" s="249">
        <f t="shared" si="53"/>
        <v>15</v>
      </c>
      <c r="Z1067" s="130">
        <v>0.5</v>
      </c>
      <c r="AA1067" s="249">
        <v>1</v>
      </c>
      <c r="AB1067" s="250">
        <v>10000</v>
      </c>
      <c r="AC1067" s="250">
        <v>10000</v>
      </c>
      <c r="AD1067" s="250">
        <v>10000</v>
      </c>
      <c r="AE1067" s="250">
        <v>100000</v>
      </c>
      <c r="AF1067" s="250">
        <v>10000</v>
      </c>
    </row>
    <row r="1068" spans="2:32" x14ac:dyDescent="0.25">
      <c r="B1068" s="61" t="s">
        <v>1984</v>
      </c>
      <c r="C1068" s="249" t="str">
        <f t="shared" si="54"/>
        <v>T3</v>
      </c>
      <c r="D1068" s="14">
        <v>2004</v>
      </c>
      <c r="E1068" s="13">
        <v>1000000</v>
      </c>
      <c r="F1068" s="249">
        <v>2</v>
      </c>
      <c r="G1068" s="249">
        <v>2.5</v>
      </c>
      <c r="H1068" s="249" t="str">
        <f t="shared" si="55"/>
        <v>D</v>
      </c>
      <c r="I1068" s="249">
        <f t="shared" si="51"/>
        <v>1</v>
      </c>
      <c r="J1068" s="143">
        <v>8000</v>
      </c>
      <c r="K1068" s="249" t="str">
        <f t="shared" si="56"/>
        <v>HC</v>
      </c>
      <c r="M1068" s="249">
        <f t="shared" si="52"/>
        <v>11</v>
      </c>
      <c r="N1068" s="249">
        <f t="shared" si="53"/>
        <v>10</v>
      </c>
      <c r="Z1068" s="130">
        <v>0.5</v>
      </c>
      <c r="AA1068" s="249">
        <v>2</v>
      </c>
      <c r="AB1068" s="250">
        <v>24000</v>
      </c>
      <c r="AC1068" s="250">
        <v>24000</v>
      </c>
      <c r="AD1068" s="250">
        <v>24000</v>
      </c>
      <c r="AE1068" s="250">
        <v>96000</v>
      </c>
      <c r="AF1068" s="250">
        <v>24000</v>
      </c>
    </row>
    <row r="1069" spans="2:32" x14ac:dyDescent="0.25">
      <c r="B1069" s="61" t="s">
        <v>1985</v>
      </c>
      <c r="C1069" s="249" t="str">
        <f t="shared" si="54"/>
        <v>C2</v>
      </c>
      <c r="D1069" s="14">
        <v>2008</v>
      </c>
      <c r="E1069" s="13">
        <v>900000</v>
      </c>
      <c r="F1069" s="249">
        <v>2.5</v>
      </c>
      <c r="G1069" s="249">
        <v>3</v>
      </c>
      <c r="H1069" s="249" t="str">
        <f t="shared" si="55"/>
        <v>D</v>
      </c>
      <c r="I1069" s="249">
        <f t="shared" si="51"/>
        <v>1</v>
      </c>
      <c r="J1069" s="143">
        <v>12000</v>
      </c>
      <c r="K1069" s="249" t="str">
        <f t="shared" si="56"/>
        <v>HC</v>
      </c>
      <c r="M1069" s="249">
        <f t="shared" si="52"/>
        <v>7</v>
      </c>
      <c r="N1069" s="249">
        <f t="shared" si="53"/>
        <v>6</v>
      </c>
      <c r="Z1069" s="130">
        <v>0.3</v>
      </c>
      <c r="AA1069" s="249">
        <v>3</v>
      </c>
      <c r="AB1069" s="250">
        <v>12000</v>
      </c>
      <c r="AC1069" s="250">
        <v>35000</v>
      </c>
      <c r="AD1069" s="250">
        <v>20000</v>
      </c>
      <c r="AE1069" s="250">
        <v>120000</v>
      </c>
      <c r="AF1069" s="250">
        <v>20000</v>
      </c>
    </row>
    <row r="1070" spans="2:32" x14ac:dyDescent="0.25">
      <c r="B1070" s="61" t="s">
        <v>1986</v>
      </c>
      <c r="C1070" s="249" t="str">
        <f t="shared" si="54"/>
        <v>C2</v>
      </c>
      <c r="D1070" s="14">
        <v>2004</v>
      </c>
      <c r="E1070" s="13">
        <v>800000</v>
      </c>
      <c r="F1070" s="249">
        <v>3</v>
      </c>
      <c r="G1070" s="249">
        <v>3.8</v>
      </c>
      <c r="H1070" s="249" t="str">
        <f t="shared" si="55"/>
        <v>D</v>
      </c>
      <c r="I1070" s="249">
        <f t="shared" si="51"/>
        <v>1</v>
      </c>
      <c r="J1070" s="143">
        <v>6500</v>
      </c>
      <c r="K1070" s="249" t="str">
        <f t="shared" si="56"/>
        <v>PT</v>
      </c>
      <c r="M1070" s="249">
        <f t="shared" si="52"/>
        <v>11</v>
      </c>
      <c r="N1070" s="249">
        <f t="shared" si="53"/>
        <v>10</v>
      </c>
      <c r="Z1070" s="130">
        <v>0.5</v>
      </c>
      <c r="AA1070" s="249">
        <v>7</v>
      </c>
      <c r="AB1070" s="250">
        <v>6000</v>
      </c>
      <c r="AC1070" s="250">
        <v>6000</v>
      </c>
      <c r="AD1070" s="250">
        <v>6000</v>
      </c>
      <c r="AE1070" s="250">
        <v>60000</v>
      </c>
      <c r="AF1070" s="250">
        <v>6000</v>
      </c>
    </row>
    <row r="1071" spans="2:32" x14ac:dyDescent="0.25">
      <c r="B1071" s="61" t="s">
        <v>1987</v>
      </c>
      <c r="C1071" s="249" t="str">
        <f t="shared" si="54"/>
        <v>C3</v>
      </c>
      <c r="D1071" s="14">
        <v>2005</v>
      </c>
      <c r="E1071" s="13">
        <v>1200000</v>
      </c>
      <c r="F1071" s="249">
        <v>1.8</v>
      </c>
      <c r="G1071" s="249">
        <v>2</v>
      </c>
      <c r="H1071" s="249" t="str">
        <f t="shared" si="55"/>
        <v>D</v>
      </c>
      <c r="I1071" s="249">
        <f t="shared" si="51"/>
        <v>1</v>
      </c>
      <c r="J1071" s="143">
        <v>12000</v>
      </c>
      <c r="K1071" s="249" t="str">
        <f t="shared" si="56"/>
        <v>HC</v>
      </c>
      <c r="M1071" s="249">
        <f t="shared" si="52"/>
        <v>10</v>
      </c>
      <c r="N1071" s="249">
        <f t="shared" si="53"/>
        <v>9</v>
      </c>
      <c r="Z1071" s="130">
        <v>0.5</v>
      </c>
      <c r="AA1071" s="249">
        <v>1</v>
      </c>
      <c r="AB1071" s="250">
        <v>12000</v>
      </c>
      <c r="AC1071" s="250">
        <v>72000</v>
      </c>
      <c r="AD1071" s="250">
        <v>24000</v>
      </c>
      <c r="AE1071" s="250">
        <v>72000</v>
      </c>
      <c r="AF1071" s="250">
        <v>36000</v>
      </c>
    </row>
    <row r="1072" spans="2:32" x14ac:dyDescent="0.25">
      <c r="B1072" s="61" t="s">
        <v>1988</v>
      </c>
      <c r="C1072" s="249" t="str">
        <f t="shared" si="54"/>
        <v>T3</v>
      </c>
      <c r="D1072" s="14">
        <v>2010</v>
      </c>
      <c r="E1072" s="13">
        <v>600000</v>
      </c>
      <c r="F1072" s="249">
        <v>2.2000000000000002</v>
      </c>
      <c r="G1072" s="249">
        <v>2.8</v>
      </c>
      <c r="H1072" s="249" t="str">
        <f t="shared" si="55"/>
        <v>D</v>
      </c>
      <c r="I1072" s="249">
        <f t="shared" si="51"/>
        <v>1</v>
      </c>
      <c r="J1072" s="143">
        <v>12500</v>
      </c>
      <c r="K1072" s="249" t="str">
        <f t="shared" si="56"/>
        <v>HC</v>
      </c>
      <c r="M1072" s="249">
        <f t="shared" si="52"/>
        <v>5</v>
      </c>
      <c r="N1072" s="249">
        <f t="shared" si="53"/>
        <v>4</v>
      </c>
      <c r="Z1072" s="130">
        <v>0.5</v>
      </c>
      <c r="AA1072" s="249">
        <v>3</v>
      </c>
      <c r="AB1072" s="250">
        <v>12000</v>
      </c>
      <c r="AC1072" s="250">
        <v>8000</v>
      </c>
      <c r="AD1072" s="250">
        <v>12000</v>
      </c>
      <c r="AE1072" s="250">
        <v>120000</v>
      </c>
      <c r="AF1072" s="250">
        <v>12000</v>
      </c>
    </row>
    <row r="1073" spans="2:32" x14ac:dyDescent="0.25">
      <c r="B1073" s="61" t="s">
        <v>1989</v>
      </c>
      <c r="C1073" s="249" t="str">
        <f t="shared" si="54"/>
        <v>C2</v>
      </c>
      <c r="D1073" s="14">
        <v>2000</v>
      </c>
      <c r="E1073" s="13">
        <v>2340000</v>
      </c>
      <c r="F1073" s="249">
        <v>2.8</v>
      </c>
      <c r="G1073" s="249">
        <v>3</v>
      </c>
      <c r="H1073" s="249" t="str">
        <f t="shared" si="55"/>
        <v>D</v>
      </c>
      <c r="I1073" s="249">
        <f t="shared" si="51"/>
        <v>1</v>
      </c>
      <c r="J1073" s="143">
        <v>15000</v>
      </c>
      <c r="K1073" s="249" t="str">
        <f t="shared" si="56"/>
        <v>HC</v>
      </c>
      <c r="M1073" s="249">
        <f t="shared" si="52"/>
        <v>15</v>
      </c>
      <c r="N1073" s="249">
        <f t="shared" si="53"/>
        <v>14</v>
      </c>
      <c r="Z1073" s="130">
        <v>0.5</v>
      </c>
      <c r="AA1073" s="249">
        <v>2</v>
      </c>
      <c r="AB1073" s="250">
        <v>45000</v>
      </c>
      <c r="AC1073" s="250">
        <v>90000</v>
      </c>
      <c r="AD1073" s="250">
        <v>45000</v>
      </c>
      <c r="AE1073" s="250">
        <v>180000</v>
      </c>
      <c r="AF1073" s="250">
        <v>45000</v>
      </c>
    </row>
    <row r="1074" spans="2:32" x14ac:dyDescent="0.25">
      <c r="B1074" s="61" t="s">
        <v>1990</v>
      </c>
      <c r="C1074" s="249" t="str">
        <f t="shared" si="54"/>
        <v>C2</v>
      </c>
      <c r="D1074" s="14">
        <v>2001</v>
      </c>
      <c r="E1074" s="13">
        <v>2800000</v>
      </c>
      <c r="F1074" s="249">
        <v>3</v>
      </c>
      <c r="G1074" s="249">
        <v>3.8</v>
      </c>
      <c r="H1074" s="249" t="str">
        <f t="shared" si="55"/>
        <v>D</v>
      </c>
      <c r="I1074" s="249">
        <f t="shared" si="51"/>
        <v>1</v>
      </c>
      <c r="J1074" s="143">
        <v>20000</v>
      </c>
      <c r="K1074" s="249" t="str">
        <f t="shared" si="56"/>
        <v>HC</v>
      </c>
      <c r="M1074" s="249">
        <f t="shared" si="52"/>
        <v>14</v>
      </c>
      <c r="N1074" s="249">
        <f t="shared" si="53"/>
        <v>13</v>
      </c>
      <c r="Z1074" s="130">
        <v>0.5</v>
      </c>
      <c r="AA1074" s="249">
        <v>3</v>
      </c>
      <c r="AB1074" s="250">
        <v>20000</v>
      </c>
      <c r="AC1074" s="250">
        <v>120000</v>
      </c>
      <c r="AD1074" s="250">
        <v>20000</v>
      </c>
      <c r="AE1074" s="250">
        <v>160000</v>
      </c>
      <c r="AF1074" s="250">
        <v>20000</v>
      </c>
    </row>
    <row r="1075" spans="2:32" x14ac:dyDescent="0.25">
      <c r="B1075" s="61" t="s">
        <v>1991</v>
      </c>
      <c r="C1075" s="249" t="str">
        <f t="shared" si="54"/>
        <v>C2</v>
      </c>
      <c r="D1075" s="14">
        <v>1980</v>
      </c>
      <c r="E1075" s="13">
        <v>3500000</v>
      </c>
      <c r="F1075" s="249">
        <v>1.8</v>
      </c>
      <c r="G1075" s="249">
        <v>2</v>
      </c>
      <c r="H1075" s="249" t="str">
        <f t="shared" si="55"/>
        <v>D</v>
      </c>
      <c r="I1075" s="249">
        <f t="shared" si="51"/>
        <v>1</v>
      </c>
      <c r="J1075" s="143">
        <v>10000</v>
      </c>
      <c r="K1075" s="249" t="str">
        <f t="shared" si="56"/>
        <v>HC</v>
      </c>
      <c r="M1075" s="249">
        <f t="shared" si="52"/>
        <v>35</v>
      </c>
      <c r="N1075" s="249">
        <f t="shared" si="53"/>
        <v>34</v>
      </c>
      <c r="Z1075" s="130">
        <v>0.5</v>
      </c>
      <c r="AA1075" s="249">
        <v>3</v>
      </c>
      <c r="AB1075" s="250">
        <v>50000</v>
      </c>
      <c r="AC1075" s="250">
        <v>60000</v>
      </c>
      <c r="AD1075" s="250">
        <v>12000</v>
      </c>
      <c r="AE1075" s="250">
        <v>60000</v>
      </c>
      <c r="AF1075" s="250">
        <v>30000</v>
      </c>
    </row>
    <row r="1076" spans="2:32" x14ac:dyDescent="0.25">
      <c r="B1076" s="61" t="s">
        <v>1992</v>
      </c>
      <c r="C1076" s="249" t="str">
        <f t="shared" si="54"/>
        <v>C2</v>
      </c>
      <c r="D1076" s="14">
        <v>2011</v>
      </c>
      <c r="E1076" s="13">
        <v>70000</v>
      </c>
      <c r="F1076" s="249">
        <v>2.7</v>
      </c>
      <c r="G1076" s="249">
        <v>3</v>
      </c>
      <c r="H1076" s="249" t="str">
        <f t="shared" si="55"/>
        <v>D</v>
      </c>
      <c r="I1076" s="249">
        <f t="shared" si="51"/>
        <v>1</v>
      </c>
      <c r="J1076" s="143">
        <v>3000</v>
      </c>
      <c r="K1076" s="249" t="str">
        <f t="shared" si="56"/>
        <v>PT</v>
      </c>
      <c r="M1076" s="249">
        <f t="shared" si="52"/>
        <v>4</v>
      </c>
      <c r="N1076" s="249">
        <f t="shared" si="53"/>
        <v>3</v>
      </c>
      <c r="Z1076" s="130">
        <v>0.5</v>
      </c>
      <c r="AA1076" s="249">
        <v>7</v>
      </c>
      <c r="AB1076" s="250">
        <v>8000</v>
      </c>
      <c r="AC1076" s="250">
        <v>18000</v>
      </c>
      <c r="AD1076" s="250">
        <v>10000</v>
      </c>
      <c r="AE1076" s="250">
        <v>36000</v>
      </c>
      <c r="AF1076" s="250">
        <v>8000</v>
      </c>
    </row>
    <row r="1077" spans="2:32" x14ac:dyDescent="0.25">
      <c r="B1077" s="61" t="s">
        <v>1993</v>
      </c>
      <c r="C1077" s="249" t="str">
        <f t="shared" si="54"/>
        <v>C2</v>
      </c>
      <c r="D1077" s="14">
        <v>2004</v>
      </c>
      <c r="E1077" s="13">
        <v>300000</v>
      </c>
      <c r="F1077" s="249">
        <v>2.5</v>
      </c>
      <c r="G1077" s="249">
        <v>3</v>
      </c>
      <c r="H1077" s="249" t="str">
        <f t="shared" si="55"/>
        <v>D</v>
      </c>
      <c r="I1077" s="249">
        <f t="shared" si="51"/>
        <v>1</v>
      </c>
      <c r="J1077" s="143">
        <v>2000</v>
      </c>
      <c r="K1077" s="249" t="str">
        <f t="shared" si="56"/>
        <v>HC</v>
      </c>
      <c r="M1077" s="249">
        <f t="shared" si="52"/>
        <v>11</v>
      </c>
      <c r="N1077" s="249">
        <f t="shared" si="53"/>
        <v>10</v>
      </c>
      <c r="Z1077" s="130">
        <v>0.5</v>
      </c>
      <c r="AA1077" s="249">
        <v>2</v>
      </c>
      <c r="AB1077" s="250">
        <v>10000</v>
      </c>
      <c r="AC1077" s="250">
        <v>20000</v>
      </c>
      <c r="AD1077" s="250">
        <v>20000</v>
      </c>
      <c r="AE1077" s="250">
        <v>120000</v>
      </c>
      <c r="AF1077" s="250">
        <v>10000</v>
      </c>
    </row>
    <row r="1078" spans="2:32" x14ac:dyDescent="0.25">
      <c r="B1078" s="61" t="s">
        <v>1994</v>
      </c>
      <c r="C1078" s="249" t="str">
        <f t="shared" si="54"/>
        <v>C2</v>
      </c>
      <c r="D1078" s="14">
        <v>2004</v>
      </c>
      <c r="E1078" s="13">
        <v>800000</v>
      </c>
      <c r="F1078" s="249">
        <v>1.5</v>
      </c>
      <c r="G1078" s="249">
        <v>1.8</v>
      </c>
      <c r="H1078" s="249" t="str">
        <f t="shared" si="55"/>
        <v>D</v>
      </c>
      <c r="I1078" s="249">
        <f t="shared" si="51"/>
        <v>1</v>
      </c>
      <c r="J1078" s="143">
        <v>6500</v>
      </c>
      <c r="K1078" s="249" t="str">
        <f t="shared" si="56"/>
        <v>HC</v>
      </c>
      <c r="M1078" s="249">
        <f t="shared" si="52"/>
        <v>11</v>
      </c>
      <c r="N1078" s="249">
        <f t="shared" si="53"/>
        <v>10</v>
      </c>
      <c r="Z1078" s="130">
        <v>0.5</v>
      </c>
      <c r="AA1078" s="249">
        <v>2</v>
      </c>
      <c r="AB1078" s="250">
        <v>15000</v>
      </c>
      <c r="AC1078" s="250">
        <v>10000</v>
      </c>
      <c r="AD1078" s="250">
        <v>15000</v>
      </c>
      <c r="AE1078" s="250">
        <v>100000</v>
      </c>
      <c r="AF1078" s="250">
        <v>15000</v>
      </c>
    </row>
    <row r="1079" spans="2:32" x14ac:dyDescent="0.25">
      <c r="B1079" s="61" t="s">
        <v>1995</v>
      </c>
      <c r="C1079" s="249" t="str">
        <f t="shared" si="54"/>
        <v>T3</v>
      </c>
      <c r="D1079" s="14">
        <v>2010</v>
      </c>
      <c r="E1079" s="13">
        <v>750000</v>
      </c>
      <c r="F1079" s="249">
        <v>1.7</v>
      </c>
      <c r="G1079" s="249">
        <v>2.2000000000000002</v>
      </c>
      <c r="H1079" s="249" t="str">
        <f t="shared" si="55"/>
        <v>D</v>
      </c>
      <c r="I1079" s="249">
        <f t="shared" si="51"/>
        <v>1</v>
      </c>
      <c r="J1079" s="143">
        <v>16000</v>
      </c>
      <c r="K1079" s="249" t="str">
        <f t="shared" si="56"/>
        <v>HC</v>
      </c>
      <c r="M1079" s="249">
        <f t="shared" si="52"/>
        <v>5</v>
      </c>
      <c r="N1079" s="249">
        <f t="shared" si="53"/>
        <v>4</v>
      </c>
      <c r="Z1079" s="130">
        <v>0.5</v>
      </c>
      <c r="AA1079" s="249">
        <v>2</v>
      </c>
      <c r="AB1079" s="250">
        <v>10000</v>
      </c>
      <c r="AC1079" s="250">
        <v>12000</v>
      </c>
      <c r="AD1079" s="250">
        <v>10000</v>
      </c>
      <c r="AE1079" s="250">
        <v>76000</v>
      </c>
      <c r="AF1079" s="250">
        <v>10000</v>
      </c>
    </row>
    <row r="1080" spans="2:32" x14ac:dyDescent="0.25">
      <c r="B1080" s="61" t="s">
        <v>1996</v>
      </c>
      <c r="C1080" s="249" t="str">
        <f t="shared" si="54"/>
        <v>C2</v>
      </c>
      <c r="D1080" s="14">
        <v>2005</v>
      </c>
      <c r="E1080" s="13">
        <v>1100000</v>
      </c>
      <c r="F1080" s="249">
        <v>2</v>
      </c>
      <c r="G1080" s="249">
        <v>2.5</v>
      </c>
      <c r="H1080" s="249" t="str">
        <f t="shared" si="55"/>
        <v>D</v>
      </c>
      <c r="I1080" s="249">
        <f t="shared" si="51"/>
        <v>1</v>
      </c>
      <c r="J1080" s="143">
        <v>10000</v>
      </c>
      <c r="K1080" s="249" t="str">
        <f t="shared" si="56"/>
        <v>HC</v>
      </c>
      <c r="M1080" s="249">
        <f t="shared" si="52"/>
        <v>10</v>
      </c>
      <c r="N1080" s="249">
        <f t="shared" si="53"/>
        <v>9</v>
      </c>
      <c r="Z1080" s="130">
        <v>0.5</v>
      </c>
      <c r="AA1080" s="249">
        <v>3</v>
      </c>
      <c r="AB1080" s="250">
        <v>30000</v>
      </c>
      <c r="AC1080" s="250">
        <v>30000</v>
      </c>
      <c r="AD1080" s="250">
        <v>30000</v>
      </c>
      <c r="AE1080" s="250">
        <v>60000</v>
      </c>
      <c r="AF1080" s="250">
        <v>30000</v>
      </c>
    </row>
    <row r="1081" spans="2:32" x14ac:dyDescent="0.25">
      <c r="B1081" s="61" t="s">
        <v>1997</v>
      </c>
      <c r="C1081" s="249" t="str">
        <f t="shared" si="54"/>
        <v>T3</v>
      </c>
      <c r="D1081" s="14">
        <v>2000</v>
      </c>
      <c r="E1081" s="13">
        <v>1000000</v>
      </c>
      <c r="F1081" s="249">
        <v>1.8</v>
      </c>
      <c r="G1081" s="249">
        <v>2</v>
      </c>
      <c r="H1081" s="249" t="str">
        <f t="shared" si="55"/>
        <v>D</v>
      </c>
      <c r="I1081" s="249">
        <f t="shared" si="51"/>
        <v>1</v>
      </c>
      <c r="J1081" s="143">
        <v>6500</v>
      </c>
      <c r="K1081" s="249" t="str">
        <f t="shared" si="56"/>
        <v>HC</v>
      </c>
      <c r="M1081" s="249">
        <f t="shared" si="52"/>
        <v>15</v>
      </c>
      <c r="N1081" s="249">
        <f t="shared" si="53"/>
        <v>14</v>
      </c>
      <c r="Z1081" s="130">
        <v>0.5</v>
      </c>
      <c r="AA1081" s="249">
        <v>2</v>
      </c>
      <c r="AB1081" s="250">
        <v>18000</v>
      </c>
      <c r="AC1081" s="250">
        <v>10000</v>
      </c>
      <c r="AD1081" s="250">
        <v>18000</v>
      </c>
      <c r="AE1081" s="250">
        <v>120000</v>
      </c>
      <c r="AF1081" s="250">
        <v>18000</v>
      </c>
    </row>
    <row r="1082" spans="2:32" x14ac:dyDescent="0.25">
      <c r="B1082" s="61" t="s">
        <v>1998</v>
      </c>
      <c r="C1082" s="249" t="str">
        <f t="shared" si="54"/>
        <v>C2</v>
      </c>
      <c r="D1082" s="14">
        <v>2012</v>
      </c>
      <c r="E1082" s="13">
        <v>250000</v>
      </c>
      <c r="F1082" s="249">
        <v>1.9</v>
      </c>
      <c r="G1082" s="249">
        <v>2.2000000000000002</v>
      </c>
      <c r="H1082" s="249" t="str">
        <f t="shared" si="55"/>
        <v>D</v>
      </c>
      <c r="I1082" s="249">
        <f t="shared" si="51"/>
        <v>1</v>
      </c>
      <c r="J1082" s="143">
        <v>10000</v>
      </c>
      <c r="K1082" s="249" t="str">
        <f t="shared" si="56"/>
        <v>HC</v>
      </c>
      <c r="M1082" s="249">
        <f t="shared" si="52"/>
        <v>3</v>
      </c>
      <c r="N1082" s="249">
        <f t="shared" si="53"/>
        <v>2</v>
      </c>
      <c r="Z1082" s="130">
        <v>0.5</v>
      </c>
      <c r="AA1082" s="249">
        <v>3</v>
      </c>
      <c r="AB1082" s="250">
        <v>17000</v>
      </c>
      <c r="AC1082" s="250">
        <v>30000</v>
      </c>
      <c r="AD1082" s="250">
        <v>17000</v>
      </c>
      <c r="AE1082" s="250">
        <v>120000</v>
      </c>
      <c r="AF1082" s="250">
        <v>17000</v>
      </c>
    </row>
    <row r="1083" spans="2:32" x14ac:dyDescent="0.25">
      <c r="B1083" s="61" t="s">
        <v>1999</v>
      </c>
      <c r="C1083" s="249" t="str">
        <f t="shared" si="54"/>
        <v>T3</v>
      </c>
      <c r="D1083" s="14">
        <v>2000</v>
      </c>
      <c r="E1083" s="13">
        <v>1100000</v>
      </c>
      <c r="F1083" s="249">
        <v>1.3</v>
      </c>
      <c r="G1083" s="249">
        <v>1.8</v>
      </c>
      <c r="H1083" s="249" t="str">
        <f t="shared" si="55"/>
        <v>D</v>
      </c>
      <c r="I1083" s="249">
        <f t="shared" si="51"/>
        <v>1</v>
      </c>
      <c r="J1083" s="143">
        <v>8000</v>
      </c>
      <c r="K1083" s="249" t="str">
        <f t="shared" si="56"/>
        <v>HC</v>
      </c>
      <c r="M1083" s="249">
        <f t="shared" si="52"/>
        <v>15</v>
      </c>
      <c r="N1083" s="249">
        <f t="shared" si="53"/>
        <v>14</v>
      </c>
      <c r="Z1083" s="130">
        <v>0.5</v>
      </c>
      <c r="AA1083" s="249">
        <v>3</v>
      </c>
      <c r="AB1083" s="250">
        <v>15000</v>
      </c>
      <c r="AC1083" s="250">
        <v>15000</v>
      </c>
      <c r="AD1083" s="250">
        <v>15000</v>
      </c>
      <c r="AE1083" s="250">
        <v>70000</v>
      </c>
      <c r="AF1083" s="250">
        <v>15000</v>
      </c>
    </row>
    <row r="1084" spans="2:32" x14ac:dyDescent="0.25">
      <c r="B1084" s="61" t="s">
        <v>2000</v>
      </c>
      <c r="C1084" s="249" t="str">
        <f t="shared" si="54"/>
        <v>C2</v>
      </c>
      <c r="D1084" s="14">
        <v>2009</v>
      </c>
      <c r="E1084" s="13">
        <v>540000</v>
      </c>
      <c r="F1084" s="249">
        <v>2.5</v>
      </c>
      <c r="G1084" s="249">
        <v>3</v>
      </c>
      <c r="H1084" s="249" t="str">
        <f t="shared" si="55"/>
        <v>D</v>
      </c>
      <c r="I1084" s="249">
        <f t="shared" si="51"/>
        <v>1</v>
      </c>
      <c r="J1084" s="143">
        <v>15000</v>
      </c>
      <c r="K1084" s="249" t="str">
        <f t="shared" si="56"/>
        <v>HC</v>
      </c>
      <c r="M1084" s="249">
        <f t="shared" si="52"/>
        <v>6</v>
      </c>
      <c r="N1084" s="249">
        <f t="shared" si="53"/>
        <v>5</v>
      </c>
      <c r="Z1084" s="130">
        <v>0.5</v>
      </c>
      <c r="AA1084" s="249">
        <v>2</v>
      </c>
      <c r="AB1084" s="250">
        <v>10000</v>
      </c>
      <c r="AC1084" s="250">
        <v>40000</v>
      </c>
      <c r="AD1084" s="250">
        <v>40000</v>
      </c>
      <c r="AE1084" s="250">
        <v>100000</v>
      </c>
      <c r="AF1084" s="250">
        <v>40000</v>
      </c>
    </row>
    <row r="1085" spans="2:32" x14ac:dyDescent="0.25">
      <c r="B1085" s="61" t="s">
        <v>2001</v>
      </c>
      <c r="C1085" s="249" t="str">
        <f t="shared" si="54"/>
        <v>C2</v>
      </c>
      <c r="D1085" s="14">
        <v>2003</v>
      </c>
      <c r="E1085" s="13">
        <v>900000</v>
      </c>
      <c r="F1085" s="249">
        <v>1.5</v>
      </c>
      <c r="G1085" s="249">
        <v>2.8</v>
      </c>
      <c r="H1085" s="249" t="str">
        <f t="shared" si="55"/>
        <v>D</v>
      </c>
      <c r="I1085" s="249">
        <f t="shared" si="51"/>
        <v>1</v>
      </c>
      <c r="J1085" s="143">
        <v>8000</v>
      </c>
      <c r="K1085" s="249" t="str">
        <f t="shared" si="56"/>
        <v>HC</v>
      </c>
      <c r="M1085" s="249">
        <f t="shared" si="52"/>
        <v>12</v>
      </c>
      <c r="N1085" s="249">
        <f t="shared" si="53"/>
        <v>11</v>
      </c>
      <c r="Z1085" s="130">
        <v>0.5</v>
      </c>
      <c r="AA1085" s="249">
        <v>3</v>
      </c>
      <c r="AB1085" s="250">
        <v>10000</v>
      </c>
      <c r="AC1085" s="250">
        <v>60000</v>
      </c>
      <c r="AD1085" s="250">
        <v>10000</v>
      </c>
      <c r="AE1085" s="250">
        <v>200000</v>
      </c>
      <c r="AF1085" s="250">
        <v>10000</v>
      </c>
    </row>
    <row r="1086" spans="2:32" x14ac:dyDescent="0.25">
      <c r="B1086" s="61" t="s">
        <v>2002</v>
      </c>
      <c r="C1086" s="249" t="str">
        <f t="shared" si="54"/>
        <v>T3</v>
      </c>
      <c r="D1086" s="14">
        <v>2009</v>
      </c>
      <c r="E1086" s="13">
        <v>320000</v>
      </c>
      <c r="F1086" s="249">
        <v>2</v>
      </c>
      <c r="G1086" s="249">
        <v>2.2000000000000002</v>
      </c>
      <c r="H1086" s="249" t="str">
        <f t="shared" si="55"/>
        <v>D</v>
      </c>
      <c r="I1086" s="249">
        <f t="shared" si="51"/>
        <v>1</v>
      </c>
      <c r="J1086" s="143">
        <v>6000</v>
      </c>
      <c r="K1086" s="249" t="str">
        <f t="shared" si="56"/>
        <v>HC</v>
      </c>
      <c r="M1086" s="249">
        <f t="shared" si="52"/>
        <v>6</v>
      </c>
      <c r="N1086" s="249">
        <f t="shared" si="53"/>
        <v>5</v>
      </c>
      <c r="Z1086" s="130">
        <v>0.5</v>
      </c>
      <c r="AA1086" s="249">
        <v>1</v>
      </c>
      <c r="AB1086" s="250">
        <v>10000</v>
      </c>
      <c r="AC1086" s="250">
        <v>15000</v>
      </c>
      <c r="AD1086" s="250">
        <v>10000</v>
      </c>
      <c r="AE1086" s="250">
        <v>72000</v>
      </c>
      <c r="AF1086" s="250">
        <v>10000</v>
      </c>
    </row>
    <row r="1087" spans="2:32" x14ac:dyDescent="0.25">
      <c r="B1087" s="61" t="s">
        <v>2003</v>
      </c>
      <c r="C1087" s="249" t="str">
        <f t="shared" si="54"/>
        <v>C2</v>
      </c>
      <c r="D1087" s="14">
        <v>2014</v>
      </c>
      <c r="E1087" s="13">
        <v>16000</v>
      </c>
      <c r="F1087" s="249">
        <v>3</v>
      </c>
      <c r="G1087" s="249">
        <v>4</v>
      </c>
      <c r="H1087" s="249" t="str">
        <f t="shared" si="55"/>
        <v>D</v>
      </c>
      <c r="I1087" s="249">
        <f t="shared" si="51"/>
        <v>1</v>
      </c>
      <c r="J1087" s="143">
        <v>15000</v>
      </c>
      <c r="K1087" s="249" t="str">
        <f t="shared" si="56"/>
        <v>PT</v>
      </c>
      <c r="M1087" s="249">
        <f t="shared" si="52"/>
        <v>1</v>
      </c>
      <c r="N1087" s="249">
        <f t="shared" si="53"/>
        <v>0</v>
      </c>
      <c r="Z1087" s="130">
        <v>0.3</v>
      </c>
      <c r="AA1087" s="249">
        <v>7</v>
      </c>
      <c r="AB1087" s="250">
        <v>24000</v>
      </c>
      <c r="AC1087" s="250">
        <v>120000</v>
      </c>
      <c r="AD1087" s="250">
        <v>24000</v>
      </c>
      <c r="AE1087" s="250">
        <v>120000</v>
      </c>
      <c r="AF1087" s="250">
        <v>24000</v>
      </c>
    </row>
    <row r="1088" spans="2:32" x14ac:dyDescent="0.25">
      <c r="B1088" s="61" t="s">
        <v>2004</v>
      </c>
      <c r="C1088" s="249" t="str">
        <f t="shared" si="54"/>
        <v>T3</v>
      </c>
      <c r="D1088" s="14">
        <v>2007</v>
      </c>
      <c r="E1088" s="13">
        <v>1500000</v>
      </c>
      <c r="F1088" s="249">
        <v>2</v>
      </c>
      <c r="G1088" s="249">
        <v>2.1</v>
      </c>
      <c r="H1088" s="249" t="str">
        <f t="shared" si="55"/>
        <v>D</v>
      </c>
      <c r="I1088" s="249">
        <f t="shared" si="51"/>
        <v>1</v>
      </c>
      <c r="J1088" s="143">
        <v>20000</v>
      </c>
      <c r="K1088" s="249" t="str">
        <f t="shared" si="56"/>
        <v>HC</v>
      </c>
      <c r="M1088" s="249">
        <f t="shared" si="52"/>
        <v>8</v>
      </c>
      <c r="N1088" s="249">
        <f t="shared" si="53"/>
        <v>7</v>
      </c>
      <c r="Z1088" s="130">
        <v>0.5</v>
      </c>
      <c r="AA1088" s="249">
        <v>3</v>
      </c>
      <c r="AB1088" s="250">
        <v>25000</v>
      </c>
      <c r="AC1088" s="250">
        <v>25000</v>
      </c>
      <c r="AD1088" s="250">
        <v>48000</v>
      </c>
      <c r="AE1088" s="250">
        <v>250000</v>
      </c>
      <c r="AF1088" s="250">
        <v>25000</v>
      </c>
    </row>
    <row r="1089" spans="2:32" x14ac:dyDescent="0.25">
      <c r="B1089" s="61" t="s">
        <v>2005</v>
      </c>
      <c r="C1089" s="249" t="str">
        <f t="shared" si="54"/>
        <v>T3</v>
      </c>
      <c r="D1089" s="14">
        <v>2008</v>
      </c>
      <c r="E1089" s="13" t="s">
        <v>352</v>
      </c>
      <c r="F1089" s="249">
        <v>2.2999999999999998</v>
      </c>
      <c r="G1089" s="249">
        <v>2.5</v>
      </c>
      <c r="H1089" s="249" t="str">
        <f t="shared" si="55"/>
        <v>D</v>
      </c>
      <c r="I1089" s="249">
        <f t="shared" si="51"/>
        <v>1</v>
      </c>
      <c r="J1089" s="143">
        <v>10000</v>
      </c>
      <c r="K1089" s="249" t="str">
        <f t="shared" si="56"/>
        <v>HC</v>
      </c>
      <c r="M1089" s="249">
        <f t="shared" si="52"/>
        <v>7</v>
      </c>
      <c r="N1089" s="249">
        <f t="shared" si="53"/>
        <v>6</v>
      </c>
      <c r="Z1089" s="130">
        <v>0.5</v>
      </c>
      <c r="AA1089" s="249">
        <v>2</v>
      </c>
      <c r="AB1089" s="250">
        <v>50000</v>
      </c>
      <c r="AC1089" s="250">
        <v>100000</v>
      </c>
      <c r="AD1089" s="250">
        <v>100000</v>
      </c>
      <c r="AE1089" s="250">
        <v>100000</v>
      </c>
      <c r="AF1089" s="250">
        <v>100000</v>
      </c>
    </row>
    <row r="1090" spans="2:32" x14ac:dyDescent="0.25">
      <c r="B1090" s="61" t="s">
        <v>2006</v>
      </c>
      <c r="C1090" s="249" t="str">
        <f t="shared" si="54"/>
        <v>T3</v>
      </c>
      <c r="D1090" s="14">
        <v>2009</v>
      </c>
      <c r="E1090" s="13">
        <v>600000</v>
      </c>
      <c r="F1090" s="249">
        <v>1.5</v>
      </c>
      <c r="G1090" s="249">
        <v>2</v>
      </c>
      <c r="H1090" s="249" t="str">
        <f t="shared" si="55"/>
        <v>D</v>
      </c>
      <c r="I1090" s="249">
        <f t="shared" si="51"/>
        <v>1</v>
      </c>
      <c r="J1090" s="143">
        <v>15000</v>
      </c>
      <c r="K1090" s="249" t="str">
        <f t="shared" si="56"/>
        <v>PT</v>
      </c>
      <c r="M1090" s="249">
        <f t="shared" si="52"/>
        <v>6</v>
      </c>
      <c r="N1090" s="249">
        <f t="shared" si="53"/>
        <v>5</v>
      </c>
      <c r="Z1090" s="130">
        <v>0.5</v>
      </c>
      <c r="AA1090" s="249">
        <v>7</v>
      </c>
      <c r="AB1090" s="250">
        <v>15000</v>
      </c>
      <c r="AC1090" s="250">
        <v>15000</v>
      </c>
      <c r="AD1090" s="250">
        <v>15000</v>
      </c>
      <c r="AE1090" s="250">
        <v>180000</v>
      </c>
      <c r="AF1090" s="250">
        <v>15000</v>
      </c>
    </row>
    <row r="1091" spans="2:32" x14ac:dyDescent="0.25">
      <c r="B1091" s="61" t="s">
        <v>2007</v>
      </c>
      <c r="C1091" s="249" t="str">
        <f t="shared" si="54"/>
        <v>C2</v>
      </c>
      <c r="D1091" s="14">
        <v>2014</v>
      </c>
      <c r="E1091" s="13">
        <v>1500</v>
      </c>
      <c r="F1091" s="249">
        <v>3</v>
      </c>
      <c r="G1091" s="249">
        <v>3.2</v>
      </c>
      <c r="H1091" s="249" t="str">
        <f t="shared" si="55"/>
        <v>D</v>
      </c>
      <c r="I1091" s="249">
        <f t="shared" si="51"/>
        <v>1</v>
      </c>
      <c r="J1091" s="143">
        <v>250</v>
      </c>
      <c r="K1091" s="249" t="str">
        <f t="shared" si="56"/>
        <v>HC</v>
      </c>
      <c r="M1091" s="249">
        <f t="shared" si="52"/>
        <v>1</v>
      </c>
      <c r="N1091" s="249">
        <f t="shared" si="53"/>
        <v>0</v>
      </c>
      <c r="Z1091" s="130">
        <v>0.2</v>
      </c>
      <c r="AA1091" s="249">
        <v>2</v>
      </c>
      <c r="AB1091" s="250" t="s">
        <v>352</v>
      </c>
      <c r="AC1091" s="250" t="s">
        <v>352</v>
      </c>
      <c r="AD1091" s="250" t="s">
        <v>352</v>
      </c>
      <c r="AE1091" s="250" t="s">
        <v>352</v>
      </c>
      <c r="AF1091" s="250" t="s">
        <v>352</v>
      </c>
    </row>
    <row r="1092" spans="2:32" x14ac:dyDescent="0.25">
      <c r="B1092" s="61" t="s">
        <v>2008</v>
      </c>
      <c r="C1092" s="249" t="str">
        <f t="shared" si="54"/>
        <v>C2</v>
      </c>
      <c r="D1092" s="14">
        <v>2014</v>
      </c>
      <c r="E1092" s="13">
        <v>41000</v>
      </c>
      <c r="F1092" s="249">
        <v>1.3</v>
      </c>
      <c r="G1092" s="249">
        <v>2.2000000000000002</v>
      </c>
      <c r="H1092" s="249" t="str">
        <f t="shared" si="55"/>
        <v>D</v>
      </c>
      <c r="I1092" s="249">
        <f t="shared" si="51"/>
        <v>1</v>
      </c>
      <c r="J1092" s="143">
        <v>10000</v>
      </c>
      <c r="K1092" s="249" t="str">
        <f t="shared" si="56"/>
        <v>HC</v>
      </c>
      <c r="M1092" s="249">
        <f t="shared" si="52"/>
        <v>1</v>
      </c>
      <c r="N1092" s="249">
        <f t="shared" si="53"/>
        <v>0</v>
      </c>
      <c r="Z1092" s="130">
        <v>0.3</v>
      </c>
      <c r="AA1092" s="249">
        <v>3</v>
      </c>
      <c r="AB1092" s="250">
        <v>26000</v>
      </c>
      <c r="AC1092" s="250">
        <v>26000</v>
      </c>
      <c r="AD1092" s="250">
        <v>26000</v>
      </c>
      <c r="AE1092" s="250" t="s">
        <v>352</v>
      </c>
      <c r="AF1092" s="250">
        <v>26000</v>
      </c>
    </row>
    <row r="1093" spans="2:32" x14ac:dyDescent="0.25">
      <c r="B1093" s="61" t="s">
        <v>2009</v>
      </c>
      <c r="C1093" s="249" t="str">
        <f t="shared" si="54"/>
        <v>C2</v>
      </c>
      <c r="D1093" s="14">
        <v>1998</v>
      </c>
      <c r="E1093" s="13" t="s">
        <v>352</v>
      </c>
      <c r="F1093" s="249">
        <v>2</v>
      </c>
      <c r="G1093" s="249">
        <v>2.2999999999999998</v>
      </c>
      <c r="H1093" s="249" t="str">
        <f t="shared" si="55"/>
        <v>D</v>
      </c>
      <c r="I1093" s="249">
        <f t="shared" si="51"/>
        <v>1</v>
      </c>
      <c r="J1093" s="143">
        <v>11000</v>
      </c>
      <c r="K1093" s="249" t="str">
        <f t="shared" si="56"/>
        <v>HC</v>
      </c>
      <c r="M1093" s="249">
        <f t="shared" si="52"/>
        <v>17</v>
      </c>
      <c r="N1093" s="249">
        <f t="shared" si="53"/>
        <v>16</v>
      </c>
      <c r="Z1093" s="130">
        <v>0.2</v>
      </c>
      <c r="AA1093" s="249">
        <v>3</v>
      </c>
      <c r="AB1093" s="250">
        <v>22000</v>
      </c>
      <c r="AC1093" s="250">
        <v>22000</v>
      </c>
      <c r="AD1093" s="250">
        <v>22000</v>
      </c>
      <c r="AE1093" s="250" t="s">
        <v>352</v>
      </c>
      <c r="AF1093" s="250">
        <v>22000</v>
      </c>
    </row>
    <row r="1094" spans="2:32" x14ac:dyDescent="0.25">
      <c r="B1094" s="61" t="s">
        <v>2010</v>
      </c>
      <c r="C1094" s="249" t="str">
        <f t="shared" si="54"/>
        <v>T3</v>
      </c>
      <c r="D1094" s="14">
        <v>2001</v>
      </c>
      <c r="E1094" s="13">
        <v>4000000</v>
      </c>
      <c r="F1094" s="249">
        <v>1.5</v>
      </c>
      <c r="G1094" s="249">
        <v>2.1</v>
      </c>
      <c r="H1094" s="249" t="str">
        <f t="shared" si="55"/>
        <v>D</v>
      </c>
      <c r="I1094" s="249">
        <f t="shared" ref="I1094:I1157" si="57">IF(F1094&gt;G1094,0,1)</f>
        <v>1</v>
      </c>
      <c r="J1094" s="143">
        <v>30000</v>
      </c>
      <c r="K1094" s="249" t="str">
        <f t="shared" si="56"/>
        <v>HC</v>
      </c>
      <c r="M1094" s="249">
        <f t="shared" ref="M1094:M1157" si="58">2015-D1094</f>
        <v>14</v>
      </c>
      <c r="N1094" s="249">
        <f t="shared" ref="N1094:N1157" si="59">2014-$D1094</f>
        <v>13</v>
      </c>
      <c r="Z1094" s="130">
        <v>0.5</v>
      </c>
      <c r="AA1094" s="249">
        <v>1</v>
      </c>
      <c r="AB1094" s="250">
        <v>30000</v>
      </c>
      <c r="AC1094" s="250">
        <v>90000</v>
      </c>
      <c r="AD1094" s="250">
        <v>30000</v>
      </c>
      <c r="AE1094" s="250">
        <v>250000</v>
      </c>
      <c r="AF1094" s="250">
        <v>30000</v>
      </c>
    </row>
    <row r="1095" spans="2:32" x14ac:dyDescent="0.25">
      <c r="B1095" s="61" t="s">
        <v>2011</v>
      </c>
      <c r="C1095" s="249" t="str">
        <f t="shared" si="54"/>
        <v>T3</v>
      </c>
      <c r="D1095" s="14">
        <v>2011</v>
      </c>
      <c r="E1095" s="13">
        <v>50000</v>
      </c>
      <c r="F1095" s="249">
        <v>1.8</v>
      </c>
      <c r="G1095" s="249">
        <v>2.1</v>
      </c>
      <c r="H1095" s="249" t="str">
        <f t="shared" si="55"/>
        <v>D</v>
      </c>
      <c r="I1095" s="249">
        <f t="shared" si="57"/>
        <v>1</v>
      </c>
      <c r="J1095" s="143">
        <v>1800</v>
      </c>
      <c r="K1095" s="249" t="str">
        <f t="shared" si="56"/>
        <v>HC</v>
      </c>
      <c r="M1095" s="249">
        <f t="shared" si="58"/>
        <v>4</v>
      </c>
      <c r="N1095" s="249">
        <f t="shared" si="59"/>
        <v>3</v>
      </c>
      <c r="Z1095" s="130">
        <v>0.1</v>
      </c>
      <c r="AA1095" s="249">
        <v>2</v>
      </c>
      <c r="AB1095" s="250">
        <v>10800</v>
      </c>
      <c r="AC1095" s="250">
        <v>5400</v>
      </c>
      <c r="AD1095" s="250">
        <v>10800</v>
      </c>
      <c r="AE1095" s="250" t="s">
        <v>352</v>
      </c>
      <c r="AF1095" s="250">
        <v>10800</v>
      </c>
    </row>
    <row r="1096" spans="2:32" x14ac:dyDescent="0.25">
      <c r="B1096" s="61" t="s">
        <v>2012</v>
      </c>
      <c r="C1096" s="249" t="str">
        <f t="shared" si="54"/>
        <v>C2</v>
      </c>
      <c r="D1096" s="14">
        <v>2008</v>
      </c>
      <c r="E1096" s="13">
        <v>200000</v>
      </c>
      <c r="F1096" s="249">
        <v>3.5</v>
      </c>
      <c r="G1096" s="249">
        <v>4</v>
      </c>
      <c r="H1096" s="249" t="str">
        <f t="shared" si="55"/>
        <v>D</v>
      </c>
      <c r="I1096" s="249">
        <f t="shared" si="57"/>
        <v>1</v>
      </c>
      <c r="J1096" s="143">
        <v>2000</v>
      </c>
      <c r="K1096" s="249" t="str">
        <f t="shared" si="56"/>
        <v>HC</v>
      </c>
      <c r="M1096" s="249">
        <f t="shared" si="58"/>
        <v>7</v>
      </c>
      <c r="N1096" s="249">
        <f t="shared" si="59"/>
        <v>6</v>
      </c>
      <c r="Z1096" s="130">
        <v>0.3</v>
      </c>
      <c r="AA1096" s="249">
        <v>3</v>
      </c>
      <c r="AB1096" s="250" t="s">
        <v>352</v>
      </c>
      <c r="AC1096" s="250" t="s">
        <v>352</v>
      </c>
      <c r="AD1096" s="250" t="s">
        <v>352</v>
      </c>
      <c r="AE1096" s="250" t="s">
        <v>352</v>
      </c>
      <c r="AF1096" s="250" t="s">
        <v>352</v>
      </c>
    </row>
    <row r="1097" spans="2:32" x14ac:dyDescent="0.25">
      <c r="B1097" s="61" t="s">
        <v>2013</v>
      </c>
      <c r="C1097" s="249" t="str">
        <f t="shared" si="54"/>
        <v>C2</v>
      </c>
      <c r="D1097" s="14">
        <v>2012</v>
      </c>
      <c r="E1097" s="13">
        <v>300000</v>
      </c>
      <c r="F1097" s="249">
        <v>2.2999999999999998</v>
      </c>
      <c r="G1097" s="249">
        <v>2.5</v>
      </c>
      <c r="H1097" s="249" t="str">
        <f t="shared" si="55"/>
        <v>D</v>
      </c>
      <c r="I1097" s="249">
        <f t="shared" si="57"/>
        <v>1</v>
      </c>
      <c r="J1097" s="143">
        <v>7000</v>
      </c>
      <c r="K1097" s="249" t="str">
        <f t="shared" si="56"/>
        <v>HC</v>
      </c>
      <c r="M1097" s="249">
        <f t="shared" si="58"/>
        <v>3</v>
      </c>
      <c r="N1097" s="249">
        <f t="shared" si="59"/>
        <v>2</v>
      </c>
      <c r="Z1097" s="130">
        <v>0.5</v>
      </c>
      <c r="AA1097" s="249">
        <v>3</v>
      </c>
      <c r="AB1097" s="250">
        <v>40000</v>
      </c>
      <c r="AC1097" s="250">
        <v>20000</v>
      </c>
      <c r="AD1097" s="250">
        <v>40000</v>
      </c>
      <c r="AE1097" s="250">
        <v>85000</v>
      </c>
      <c r="AF1097" s="250">
        <v>40000</v>
      </c>
    </row>
    <row r="1098" spans="2:32" x14ac:dyDescent="0.25">
      <c r="B1098" s="61" t="s">
        <v>2014</v>
      </c>
      <c r="C1098" s="249" t="str">
        <f t="shared" si="54"/>
        <v>C2</v>
      </c>
      <c r="D1098" s="14">
        <v>2008</v>
      </c>
      <c r="E1098" s="13">
        <v>500000</v>
      </c>
      <c r="F1098" s="249">
        <v>2.2000000000000002</v>
      </c>
      <c r="G1098" s="249">
        <v>2.7</v>
      </c>
      <c r="H1098" s="249" t="str">
        <f t="shared" si="55"/>
        <v>D</v>
      </c>
      <c r="I1098" s="249">
        <f t="shared" si="57"/>
        <v>1</v>
      </c>
      <c r="J1098" s="143">
        <v>2500</v>
      </c>
      <c r="K1098" s="249" t="str">
        <f t="shared" si="56"/>
        <v>HC</v>
      </c>
      <c r="M1098" s="249">
        <f t="shared" si="58"/>
        <v>7</v>
      </c>
      <c r="N1098" s="249">
        <f t="shared" si="59"/>
        <v>6</v>
      </c>
      <c r="Z1098" s="130">
        <v>0.5</v>
      </c>
      <c r="AA1098" s="249">
        <v>3</v>
      </c>
      <c r="AB1098" s="250">
        <v>12500</v>
      </c>
      <c r="AC1098" s="250">
        <v>15000</v>
      </c>
      <c r="AD1098" s="250">
        <v>15000</v>
      </c>
      <c r="AE1098" s="250">
        <v>60000</v>
      </c>
      <c r="AF1098" s="250">
        <v>12500</v>
      </c>
    </row>
    <row r="1099" spans="2:32" x14ac:dyDescent="0.25">
      <c r="B1099" s="61" t="s">
        <v>2015</v>
      </c>
      <c r="C1099" s="249" t="str">
        <f t="shared" si="54"/>
        <v>C2</v>
      </c>
      <c r="D1099" s="14">
        <v>2010</v>
      </c>
      <c r="E1099" s="13">
        <v>750000</v>
      </c>
      <c r="F1099" s="249">
        <v>1.8</v>
      </c>
      <c r="G1099" s="249">
        <v>2.1</v>
      </c>
      <c r="H1099" s="249" t="str">
        <f t="shared" si="55"/>
        <v>D</v>
      </c>
      <c r="I1099" s="249">
        <f t="shared" si="57"/>
        <v>1</v>
      </c>
      <c r="J1099" s="143">
        <v>3000</v>
      </c>
      <c r="K1099" s="249" t="str">
        <f t="shared" si="56"/>
        <v>HC</v>
      </c>
      <c r="M1099" s="249">
        <f t="shared" si="58"/>
        <v>5</v>
      </c>
      <c r="N1099" s="249">
        <f t="shared" si="59"/>
        <v>4</v>
      </c>
      <c r="Z1099" s="130">
        <v>0.5</v>
      </c>
      <c r="AA1099" s="249">
        <v>3</v>
      </c>
      <c r="AB1099" s="250">
        <v>12000</v>
      </c>
      <c r="AC1099" s="250">
        <v>18000</v>
      </c>
      <c r="AD1099" s="250">
        <v>12000</v>
      </c>
      <c r="AE1099" s="250">
        <v>70000</v>
      </c>
      <c r="AF1099" s="250">
        <v>12000</v>
      </c>
    </row>
    <row r="1100" spans="2:32" x14ac:dyDescent="0.25">
      <c r="B1100" s="61" t="s">
        <v>2016</v>
      </c>
      <c r="C1100" s="249" t="str">
        <f t="shared" si="54"/>
        <v>T3</v>
      </c>
      <c r="D1100" s="14">
        <v>1999</v>
      </c>
      <c r="E1100" s="13">
        <v>1000000</v>
      </c>
      <c r="F1100" s="249">
        <v>1.7</v>
      </c>
      <c r="G1100" s="249">
        <v>2.2999999999999998</v>
      </c>
      <c r="H1100" s="249" t="str">
        <f t="shared" si="55"/>
        <v>D</v>
      </c>
      <c r="I1100" s="249">
        <f t="shared" si="57"/>
        <v>1</v>
      </c>
      <c r="J1100" s="143">
        <v>3000</v>
      </c>
      <c r="K1100" s="249" t="str">
        <f t="shared" si="56"/>
        <v>HC</v>
      </c>
      <c r="M1100" s="249">
        <f t="shared" si="58"/>
        <v>16</v>
      </c>
      <c r="N1100" s="249">
        <f t="shared" si="59"/>
        <v>15</v>
      </c>
      <c r="Z1100" s="130">
        <v>0.5</v>
      </c>
      <c r="AA1100" s="249">
        <v>2</v>
      </c>
      <c r="AB1100" s="250">
        <v>12000</v>
      </c>
      <c r="AC1100" s="250">
        <v>15000</v>
      </c>
      <c r="AD1100" s="250">
        <v>12000</v>
      </c>
      <c r="AE1100" s="250">
        <v>70000</v>
      </c>
      <c r="AF1100" s="250">
        <v>12000</v>
      </c>
    </row>
    <row r="1101" spans="2:32" x14ac:dyDescent="0.25">
      <c r="B1101" s="61" t="s">
        <v>2017</v>
      </c>
      <c r="C1101" s="249" t="str">
        <f t="shared" si="54"/>
        <v>C2</v>
      </c>
      <c r="D1101" s="14">
        <v>2010</v>
      </c>
      <c r="E1101" s="13">
        <v>220000</v>
      </c>
      <c r="F1101" s="249">
        <v>6</v>
      </c>
      <c r="G1101" s="249">
        <v>7.5</v>
      </c>
      <c r="H1101" s="249" t="str">
        <f t="shared" si="55"/>
        <v>G</v>
      </c>
      <c r="I1101" s="249">
        <f t="shared" si="57"/>
        <v>1</v>
      </c>
      <c r="J1101" s="143">
        <v>800</v>
      </c>
      <c r="K1101" s="249" t="str">
        <f t="shared" si="56"/>
        <v>PT</v>
      </c>
      <c r="M1101" s="249">
        <f t="shared" si="58"/>
        <v>5</v>
      </c>
      <c r="N1101" s="249">
        <f t="shared" si="59"/>
        <v>4</v>
      </c>
      <c r="Z1101" s="130">
        <v>0.1</v>
      </c>
      <c r="AA1101" s="249">
        <v>7</v>
      </c>
      <c r="AB1101" s="250">
        <v>1000</v>
      </c>
      <c r="AC1101" s="250">
        <v>4800</v>
      </c>
      <c r="AD1101" s="250">
        <v>1000</v>
      </c>
      <c r="AE1101" s="250" t="s">
        <v>352</v>
      </c>
      <c r="AF1101" s="250" t="s">
        <v>2462</v>
      </c>
    </row>
    <row r="1102" spans="2:32" x14ac:dyDescent="0.25">
      <c r="B1102" s="61" t="s">
        <v>2018</v>
      </c>
      <c r="C1102" s="249" t="str">
        <f t="shared" si="54"/>
        <v>C2</v>
      </c>
      <c r="D1102" s="14">
        <v>2006</v>
      </c>
      <c r="E1102" s="13">
        <v>600000</v>
      </c>
      <c r="F1102" s="249">
        <v>2.2000000000000002</v>
      </c>
      <c r="G1102" s="249">
        <v>3</v>
      </c>
      <c r="H1102" s="249" t="str">
        <f t="shared" si="55"/>
        <v>D</v>
      </c>
      <c r="I1102" s="249">
        <f t="shared" si="57"/>
        <v>1</v>
      </c>
      <c r="J1102" s="143">
        <v>6666.666666666667</v>
      </c>
      <c r="K1102" s="249" t="str">
        <f t="shared" si="56"/>
        <v>HC</v>
      </c>
      <c r="M1102" s="249">
        <f t="shared" si="58"/>
        <v>9</v>
      </c>
      <c r="N1102" s="249">
        <f t="shared" si="59"/>
        <v>8</v>
      </c>
      <c r="Z1102" s="130">
        <v>0.5</v>
      </c>
      <c r="AA1102" s="249">
        <v>2</v>
      </c>
      <c r="AB1102" s="250">
        <v>3000</v>
      </c>
      <c r="AC1102" s="250">
        <v>3000</v>
      </c>
      <c r="AD1102" s="250">
        <v>3000</v>
      </c>
      <c r="AE1102" s="250">
        <v>75000</v>
      </c>
      <c r="AF1102" s="250">
        <v>3000</v>
      </c>
    </row>
    <row r="1103" spans="2:32" x14ac:dyDescent="0.25">
      <c r="B1103" s="61" t="s">
        <v>2019</v>
      </c>
      <c r="C1103" s="249" t="str">
        <f t="shared" si="54"/>
        <v>C2</v>
      </c>
      <c r="D1103" s="14">
        <v>2001</v>
      </c>
      <c r="E1103" s="13">
        <v>500000</v>
      </c>
      <c r="F1103" s="249">
        <v>1.7</v>
      </c>
      <c r="G1103" s="249">
        <v>2.2999999999999998</v>
      </c>
      <c r="H1103" s="249" t="str">
        <f t="shared" si="55"/>
        <v>D</v>
      </c>
      <c r="I1103" s="249">
        <f t="shared" si="57"/>
        <v>1</v>
      </c>
      <c r="J1103" s="143">
        <v>6000</v>
      </c>
      <c r="K1103" s="249" t="str">
        <f t="shared" si="56"/>
        <v>HC</v>
      </c>
      <c r="M1103" s="249">
        <f t="shared" si="58"/>
        <v>14</v>
      </c>
      <c r="N1103" s="249">
        <f t="shared" si="59"/>
        <v>13</v>
      </c>
      <c r="Z1103" s="130">
        <v>0.5</v>
      </c>
      <c r="AA1103" s="249">
        <v>3</v>
      </c>
      <c r="AB1103" s="250">
        <v>20000</v>
      </c>
      <c r="AC1103" s="250" t="s">
        <v>352</v>
      </c>
      <c r="AD1103" s="250">
        <v>20000</v>
      </c>
      <c r="AE1103" s="250" t="s">
        <v>352</v>
      </c>
      <c r="AF1103" s="250">
        <v>20000</v>
      </c>
    </row>
    <row r="1104" spans="2:32" x14ac:dyDescent="0.25">
      <c r="B1104" s="61" t="s">
        <v>2020</v>
      </c>
      <c r="C1104" s="249" t="str">
        <f t="shared" si="54"/>
        <v>C2</v>
      </c>
      <c r="D1104" s="14">
        <v>1992</v>
      </c>
      <c r="E1104" s="13">
        <v>2200000</v>
      </c>
      <c r="F1104" s="249">
        <v>2.8</v>
      </c>
      <c r="G1104" s="249">
        <v>3</v>
      </c>
      <c r="H1104" s="249" t="str">
        <f t="shared" si="55"/>
        <v>D</v>
      </c>
      <c r="I1104" s="249">
        <f t="shared" si="57"/>
        <v>1</v>
      </c>
      <c r="J1104" s="143">
        <v>4200</v>
      </c>
      <c r="K1104" s="249" t="str">
        <f t="shared" si="56"/>
        <v>HC</v>
      </c>
      <c r="M1104" s="249">
        <f t="shared" si="58"/>
        <v>23</v>
      </c>
      <c r="N1104" s="249">
        <f t="shared" si="59"/>
        <v>22</v>
      </c>
      <c r="Z1104" s="130">
        <v>0.5</v>
      </c>
      <c r="AA1104" s="249">
        <v>2</v>
      </c>
      <c r="AB1104" s="250">
        <v>16000</v>
      </c>
      <c r="AC1104" s="250">
        <v>2100</v>
      </c>
      <c r="AD1104" s="250">
        <v>36000</v>
      </c>
      <c r="AE1104" s="250">
        <v>63000</v>
      </c>
      <c r="AF1104" s="250">
        <v>16000</v>
      </c>
    </row>
    <row r="1105" spans="2:32" x14ac:dyDescent="0.25">
      <c r="B1105" s="61" t="s">
        <v>2021</v>
      </c>
      <c r="C1105" s="249" t="str">
        <f t="shared" si="54"/>
        <v>C2</v>
      </c>
      <c r="D1105" s="14">
        <v>1988</v>
      </c>
      <c r="E1105" s="13">
        <v>500000</v>
      </c>
      <c r="F1105" s="249">
        <v>3.5</v>
      </c>
      <c r="G1105" s="249">
        <v>4</v>
      </c>
      <c r="H1105" s="249" t="str">
        <f t="shared" si="55"/>
        <v>D</v>
      </c>
      <c r="I1105" s="249">
        <f t="shared" si="57"/>
        <v>1</v>
      </c>
      <c r="J1105" s="143">
        <v>1000</v>
      </c>
      <c r="K1105" s="249" t="str">
        <f t="shared" si="56"/>
        <v>HC</v>
      </c>
      <c r="M1105" s="249">
        <f t="shared" si="58"/>
        <v>27</v>
      </c>
      <c r="N1105" s="249">
        <f t="shared" si="59"/>
        <v>26</v>
      </c>
      <c r="Z1105" s="130">
        <v>0.5</v>
      </c>
      <c r="AA1105" s="249">
        <v>3</v>
      </c>
      <c r="AB1105" s="250">
        <v>6000</v>
      </c>
      <c r="AC1105" s="250">
        <v>12000</v>
      </c>
      <c r="AD1105" s="250">
        <v>6000</v>
      </c>
      <c r="AE1105" s="250">
        <v>50000</v>
      </c>
      <c r="AF1105" s="250">
        <v>6000</v>
      </c>
    </row>
    <row r="1106" spans="2:32" x14ac:dyDescent="0.25">
      <c r="B1106" s="61" t="s">
        <v>2022</v>
      </c>
      <c r="C1106" s="249" t="str">
        <f t="shared" si="54"/>
        <v>C2</v>
      </c>
      <c r="D1106" s="14">
        <v>1989</v>
      </c>
      <c r="E1106" s="13" t="s">
        <v>908</v>
      </c>
      <c r="F1106" s="249">
        <v>2.2000000000000002</v>
      </c>
      <c r="G1106" s="249">
        <v>3</v>
      </c>
      <c r="H1106" s="249" t="str">
        <f t="shared" si="55"/>
        <v>D</v>
      </c>
      <c r="I1106" s="249">
        <f t="shared" si="57"/>
        <v>1</v>
      </c>
      <c r="J1106" s="143">
        <v>7000</v>
      </c>
      <c r="K1106" s="249" t="str">
        <f t="shared" si="56"/>
        <v>HC</v>
      </c>
      <c r="M1106" s="249">
        <f t="shared" si="58"/>
        <v>26</v>
      </c>
      <c r="N1106" s="249">
        <f t="shared" si="59"/>
        <v>25</v>
      </c>
      <c r="Z1106" s="130">
        <v>0.2</v>
      </c>
      <c r="AA1106" s="249">
        <v>2</v>
      </c>
      <c r="AB1106" s="250">
        <v>42000</v>
      </c>
      <c r="AC1106" s="250">
        <v>21000</v>
      </c>
      <c r="AD1106" s="250">
        <v>42000</v>
      </c>
      <c r="AE1106" s="250">
        <v>84000</v>
      </c>
      <c r="AF1106" s="250">
        <v>42000</v>
      </c>
    </row>
    <row r="1107" spans="2:32" x14ac:dyDescent="0.25">
      <c r="B1107" s="61" t="s">
        <v>2023</v>
      </c>
      <c r="C1107" s="249" t="str">
        <f t="shared" si="54"/>
        <v>C2</v>
      </c>
      <c r="D1107" s="14">
        <v>1999</v>
      </c>
      <c r="E1107" s="13">
        <v>1000000</v>
      </c>
      <c r="F1107" s="249">
        <v>1.9</v>
      </c>
      <c r="G1107" s="249">
        <v>2.5</v>
      </c>
      <c r="H1107" s="249" t="str">
        <f t="shared" si="55"/>
        <v>D</v>
      </c>
      <c r="I1107" s="249">
        <f t="shared" si="57"/>
        <v>1</v>
      </c>
      <c r="J1107" s="143">
        <v>2000</v>
      </c>
      <c r="K1107" s="249" t="str">
        <f t="shared" si="56"/>
        <v>HC</v>
      </c>
      <c r="M1107" s="249">
        <f t="shared" si="58"/>
        <v>16</v>
      </c>
      <c r="N1107" s="249">
        <f t="shared" si="59"/>
        <v>15</v>
      </c>
      <c r="Z1107" s="130">
        <v>0.5</v>
      </c>
      <c r="AA1107" s="249">
        <v>2</v>
      </c>
      <c r="AB1107" s="250">
        <v>13000</v>
      </c>
      <c r="AC1107" s="250" t="s">
        <v>352</v>
      </c>
      <c r="AD1107" s="250">
        <v>13000</v>
      </c>
      <c r="AE1107" s="250" t="s">
        <v>352</v>
      </c>
      <c r="AF1107" s="250">
        <v>13000</v>
      </c>
    </row>
    <row r="1108" spans="2:32" x14ac:dyDescent="0.25">
      <c r="B1108" s="61" t="s">
        <v>2024</v>
      </c>
      <c r="C1108" s="249" t="str">
        <f t="shared" si="54"/>
        <v>T3</v>
      </c>
      <c r="D1108" s="14">
        <v>2013</v>
      </c>
      <c r="E1108" s="13">
        <v>80000</v>
      </c>
      <c r="F1108" s="249">
        <v>2</v>
      </c>
      <c r="G1108" s="249">
        <v>2.8</v>
      </c>
      <c r="H1108" s="249" t="str">
        <f t="shared" si="55"/>
        <v>D</v>
      </c>
      <c r="I1108" s="249">
        <f t="shared" si="57"/>
        <v>1</v>
      </c>
      <c r="J1108" s="143">
        <v>3600</v>
      </c>
      <c r="K1108" s="249" t="str">
        <f t="shared" si="56"/>
        <v>HC</v>
      </c>
      <c r="M1108" s="249">
        <f t="shared" si="58"/>
        <v>2</v>
      </c>
      <c r="N1108" s="249">
        <f t="shared" si="59"/>
        <v>1</v>
      </c>
      <c r="Z1108" s="130">
        <v>0.3</v>
      </c>
      <c r="AA1108" s="249">
        <v>1</v>
      </c>
      <c r="AB1108" s="250">
        <v>11000</v>
      </c>
      <c r="AC1108" s="250">
        <v>15000</v>
      </c>
      <c r="AD1108" s="250">
        <v>11000</v>
      </c>
      <c r="AE1108" s="250">
        <v>65000</v>
      </c>
      <c r="AF1108" s="250">
        <v>11000</v>
      </c>
    </row>
    <row r="1109" spans="2:32" x14ac:dyDescent="0.25">
      <c r="B1109" s="61" t="s">
        <v>2025</v>
      </c>
      <c r="C1109" s="249" t="str">
        <f t="shared" si="54"/>
        <v>C2</v>
      </c>
      <c r="D1109" s="14">
        <v>2009</v>
      </c>
      <c r="E1109" s="13">
        <v>500000</v>
      </c>
      <c r="F1109" s="249">
        <v>2.4</v>
      </c>
      <c r="G1109" s="249">
        <v>2.7</v>
      </c>
      <c r="H1109" s="249" t="str">
        <f t="shared" si="55"/>
        <v>D</v>
      </c>
      <c r="I1109" s="249">
        <f t="shared" si="57"/>
        <v>1</v>
      </c>
      <c r="J1109" s="143">
        <v>2500</v>
      </c>
      <c r="K1109" s="249" t="str">
        <f t="shared" si="56"/>
        <v>HC</v>
      </c>
      <c r="M1109" s="249">
        <f t="shared" si="58"/>
        <v>6</v>
      </c>
      <c r="N1109" s="249">
        <f t="shared" si="59"/>
        <v>5</v>
      </c>
      <c r="Z1109" s="130">
        <v>0.5</v>
      </c>
      <c r="AA1109" s="249">
        <v>3</v>
      </c>
      <c r="AB1109" s="250">
        <v>10000</v>
      </c>
      <c r="AC1109" s="250">
        <v>7500</v>
      </c>
      <c r="AD1109" s="250">
        <v>10000</v>
      </c>
      <c r="AE1109" s="250">
        <v>30000</v>
      </c>
      <c r="AF1109" s="250">
        <v>10000</v>
      </c>
    </row>
    <row r="1110" spans="2:32" x14ac:dyDescent="0.25">
      <c r="B1110" s="61" t="s">
        <v>2026</v>
      </c>
      <c r="C1110" s="249" t="str">
        <f t="shared" si="54"/>
        <v>T3</v>
      </c>
      <c r="D1110" s="14">
        <v>2011</v>
      </c>
      <c r="E1110" s="13">
        <v>98000</v>
      </c>
      <c r="F1110" s="249">
        <v>1.5</v>
      </c>
      <c r="G1110" s="249">
        <v>1.8</v>
      </c>
      <c r="H1110" s="249" t="str">
        <f t="shared" si="55"/>
        <v>D</v>
      </c>
      <c r="I1110" s="249">
        <f t="shared" si="57"/>
        <v>1</v>
      </c>
      <c r="J1110" s="143">
        <v>9800</v>
      </c>
      <c r="K1110" s="249" t="str">
        <f t="shared" si="56"/>
        <v>HC</v>
      </c>
      <c r="M1110" s="249">
        <f t="shared" si="58"/>
        <v>4</v>
      </c>
      <c r="N1110" s="249">
        <f t="shared" si="59"/>
        <v>3</v>
      </c>
      <c r="Z1110" s="130">
        <v>0.5</v>
      </c>
      <c r="AA1110" s="249">
        <v>3</v>
      </c>
      <c r="AB1110" s="250">
        <v>10000</v>
      </c>
      <c r="AC1110" s="250">
        <v>8000</v>
      </c>
      <c r="AD1110" s="250">
        <v>10000</v>
      </c>
      <c r="AE1110" s="250">
        <v>100000</v>
      </c>
      <c r="AF1110" s="250">
        <v>10000</v>
      </c>
    </row>
    <row r="1111" spans="2:32" x14ac:dyDescent="0.25">
      <c r="B1111" s="61" t="s">
        <v>2027</v>
      </c>
      <c r="C1111" s="249" t="str">
        <f t="shared" si="54"/>
        <v>T3</v>
      </c>
      <c r="D1111" s="14">
        <v>1990</v>
      </c>
      <c r="E1111" s="13">
        <v>1195000</v>
      </c>
      <c r="F1111" s="249">
        <v>1.1000000000000001</v>
      </c>
      <c r="G1111" s="249">
        <v>2.5</v>
      </c>
      <c r="H1111" s="249" t="str">
        <f t="shared" si="55"/>
        <v>D</v>
      </c>
      <c r="I1111" s="249">
        <f t="shared" si="57"/>
        <v>1</v>
      </c>
      <c r="J1111" s="143">
        <v>6000</v>
      </c>
      <c r="K1111" s="249" t="str">
        <f t="shared" si="56"/>
        <v>HC</v>
      </c>
      <c r="M1111" s="249">
        <f t="shared" si="58"/>
        <v>25</v>
      </c>
      <c r="N1111" s="249">
        <f t="shared" si="59"/>
        <v>24</v>
      </c>
      <c r="Z1111" s="130">
        <v>0.2</v>
      </c>
      <c r="AA1111" s="249">
        <v>2</v>
      </c>
      <c r="AB1111" s="250">
        <v>3000</v>
      </c>
      <c r="AC1111" s="250">
        <v>72000</v>
      </c>
      <c r="AD1111" s="250">
        <v>36000</v>
      </c>
      <c r="AE1111" s="250">
        <v>110000</v>
      </c>
      <c r="AF1111" s="250">
        <v>36000</v>
      </c>
    </row>
    <row r="1112" spans="2:32" x14ac:dyDescent="0.25">
      <c r="B1112" s="61" t="s">
        <v>2028</v>
      </c>
      <c r="C1112" s="249" t="str">
        <f t="shared" si="54"/>
        <v>C2</v>
      </c>
      <c r="D1112" s="14">
        <v>2003</v>
      </c>
      <c r="E1112" s="13">
        <v>2600000</v>
      </c>
      <c r="F1112" s="249">
        <v>2.1</v>
      </c>
      <c r="G1112" s="249">
        <v>3.2</v>
      </c>
      <c r="H1112" s="249" t="str">
        <f t="shared" si="55"/>
        <v>D</v>
      </c>
      <c r="I1112" s="249">
        <f t="shared" si="57"/>
        <v>1</v>
      </c>
      <c r="J1112" s="143">
        <v>15400</v>
      </c>
      <c r="K1112" s="249" t="str">
        <f t="shared" si="56"/>
        <v>HC</v>
      </c>
      <c r="M1112" s="249">
        <f t="shared" si="58"/>
        <v>12</v>
      </c>
      <c r="N1112" s="249">
        <f t="shared" si="59"/>
        <v>11</v>
      </c>
      <c r="Z1112" s="130">
        <v>0.5</v>
      </c>
      <c r="AA1112" s="249">
        <v>3</v>
      </c>
      <c r="AB1112" s="250">
        <v>20000</v>
      </c>
      <c r="AC1112" s="250">
        <v>20000</v>
      </c>
      <c r="AD1112" s="250">
        <v>20000</v>
      </c>
      <c r="AE1112" s="250" t="s">
        <v>352</v>
      </c>
      <c r="AF1112" s="250">
        <v>20000</v>
      </c>
    </row>
    <row r="1113" spans="2:32" x14ac:dyDescent="0.25">
      <c r="B1113" s="61" t="s">
        <v>2029</v>
      </c>
      <c r="C1113" s="249" t="str">
        <f t="shared" ref="C1113:C1176" si="60">IF(E1569="X","C2",IF(F1569="X","C3",IF(G1569="X","T2",IF(H1569="X","T3",0))))</f>
        <v>T3</v>
      </c>
      <c r="D1113" s="14">
        <v>1994</v>
      </c>
      <c r="E1113" s="13" t="s">
        <v>352</v>
      </c>
      <c r="F1113" s="249">
        <v>2</v>
      </c>
      <c r="G1113" s="249">
        <v>2.1</v>
      </c>
      <c r="H1113" s="249" t="str">
        <f t="shared" ref="H1113:H1176" si="61">IF(B1569="X","G",IF(C1569="X","GAS",IF(D1569="X","D",0)))</f>
        <v>D</v>
      </c>
      <c r="I1113" s="249">
        <f t="shared" si="57"/>
        <v>1</v>
      </c>
      <c r="J1113" s="143">
        <v>15000</v>
      </c>
      <c r="K1113" s="249" t="str">
        <f t="shared" ref="K1113:K1176" si="62">IF(L1569="X","PT","HC")</f>
        <v>HC</v>
      </c>
      <c r="M1113" s="249">
        <f t="shared" si="58"/>
        <v>21</v>
      </c>
      <c r="N1113" s="249">
        <f t="shared" si="59"/>
        <v>20</v>
      </c>
      <c r="Z1113" s="130">
        <v>0.05</v>
      </c>
      <c r="AA1113" s="249">
        <v>3</v>
      </c>
      <c r="AB1113" s="250">
        <v>75000</v>
      </c>
      <c r="AC1113" s="250" t="s">
        <v>352</v>
      </c>
      <c r="AD1113" s="250">
        <v>75000</v>
      </c>
      <c r="AE1113" s="250">
        <v>180000</v>
      </c>
      <c r="AF1113" s="250">
        <v>75000</v>
      </c>
    </row>
    <row r="1114" spans="2:32" x14ac:dyDescent="0.25">
      <c r="B1114" s="61" t="s">
        <v>2030</v>
      </c>
      <c r="C1114" s="249" t="str">
        <f t="shared" si="60"/>
        <v>C2</v>
      </c>
      <c r="D1114" s="14">
        <v>2009</v>
      </c>
      <c r="E1114" s="13">
        <v>180000</v>
      </c>
      <c r="F1114" s="249">
        <v>6</v>
      </c>
      <c r="G1114" s="249">
        <v>7.5</v>
      </c>
      <c r="H1114" s="249" t="str">
        <f t="shared" si="61"/>
        <v>G</v>
      </c>
      <c r="I1114" s="249">
        <f t="shared" si="57"/>
        <v>1</v>
      </c>
      <c r="J1114" s="143">
        <v>6000</v>
      </c>
      <c r="K1114" s="249" t="str">
        <f t="shared" si="62"/>
        <v>HC</v>
      </c>
      <c r="M1114" s="249">
        <f t="shared" si="58"/>
        <v>6</v>
      </c>
      <c r="N1114" s="249">
        <f t="shared" si="59"/>
        <v>5</v>
      </c>
      <c r="Z1114" s="130">
        <v>0.5</v>
      </c>
      <c r="AA1114" s="249">
        <v>3</v>
      </c>
      <c r="AB1114" s="250">
        <v>6000</v>
      </c>
      <c r="AC1114" s="250">
        <v>18000</v>
      </c>
      <c r="AD1114" s="250">
        <v>18000</v>
      </c>
      <c r="AE1114" s="250">
        <v>70000</v>
      </c>
      <c r="AF1114" s="250" t="s">
        <v>2462</v>
      </c>
    </row>
    <row r="1115" spans="2:32" x14ac:dyDescent="0.25">
      <c r="B1115" s="61" t="s">
        <v>2031</v>
      </c>
      <c r="C1115" s="249" t="str">
        <f t="shared" si="60"/>
        <v>C2</v>
      </c>
      <c r="D1115" s="14">
        <v>2012</v>
      </c>
      <c r="E1115" s="13">
        <v>300000</v>
      </c>
      <c r="F1115" s="249">
        <v>2.2999999999999998</v>
      </c>
      <c r="G1115" s="249">
        <v>2.5</v>
      </c>
      <c r="H1115" s="249" t="str">
        <f t="shared" si="61"/>
        <v>D</v>
      </c>
      <c r="I1115" s="249">
        <f t="shared" si="57"/>
        <v>1</v>
      </c>
      <c r="J1115" s="143">
        <v>4000</v>
      </c>
      <c r="K1115" s="249" t="str">
        <f t="shared" si="62"/>
        <v>HC</v>
      </c>
      <c r="M1115" s="249">
        <f t="shared" si="58"/>
        <v>3</v>
      </c>
      <c r="N1115" s="249">
        <f t="shared" si="59"/>
        <v>2</v>
      </c>
      <c r="Z1115" s="130">
        <v>0.5</v>
      </c>
      <c r="AA1115" s="249">
        <v>3</v>
      </c>
      <c r="AB1115" s="250">
        <v>20000</v>
      </c>
      <c r="AC1115" s="250">
        <v>15000</v>
      </c>
      <c r="AD1115" s="250">
        <v>20000</v>
      </c>
      <c r="AE1115" s="250">
        <v>60000</v>
      </c>
      <c r="AF1115" s="250">
        <v>20000</v>
      </c>
    </row>
    <row r="1116" spans="2:32" x14ac:dyDescent="0.25">
      <c r="B1116" s="61" t="s">
        <v>2032</v>
      </c>
      <c r="C1116" s="249" t="str">
        <f t="shared" si="60"/>
        <v>T3</v>
      </c>
      <c r="D1116" s="14">
        <v>2008</v>
      </c>
      <c r="E1116" s="13">
        <v>300000</v>
      </c>
      <c r="F1116" s="249">
        <v>1.6</v>
      </c>
      <c r="G1116" s="249">
        <v>2</v>
      </c>
      <c r="H1116" s="249" t="str">
        <f t="shared" si="61"/>
        <v>D</v>
      </c>
      <c r="I1116" s="249">
        <f t="shared" si="57"/>
        <v>1</v>
      </c>
      <c r="J1116" s="143">
        <v>25000</v>
      </c>
      <c r="K1116" s="249" t="str">
        <f t="shared" si="62"/>
        <v>HC</v>
      </c>
      <c r="M1116" s="249">
        <f t="shared" si="58"/>
        <v>7</v>
      </c>
      <c r="N1116" s="249">
        <f t="shared" si="59"/>
        <v>6</v>
      </c>
      <c r="Z1116" s="130">
        <v>0.5</v>
      </c>
      <c r="AA1116" s="249">
        <v>1</v>
      </c>
      <c r="AB1116" s="250">
        <v>16000</v>
      </c>
      <c r="AC1116" s="250">
        <v>16000</v>
      </c>
      <c r="AD1116" s="250">
        <v>16000</v>
      </c>
      <c r="AE1116" s="250">
        <v>70000</v>
      </c>
      <c r="AF1116" s="250">
        <v>16000</v>
      </c>
    </row>
    <row r="1117" spans="2:32" x14ac:dyDescent="0.25">
      <c r="B1117" s="61" t="s">
        <v>2033</v>
      </c>
      <c r="C1117" s="249" t="str">
        <f t="shared" si="60"/>
        <v>T3</v>
      </c>
      <c r="D1117" s="14">
        <v>2006</v>
      </c>
      <c r="E1117" s="13" t="s">
        <v>352</v>
      </c>
      <c r="F1117" s="249">
        <v>1.9</v>
      </c>
      <c r="G1117" s="249">
        <v>2.1</v>
      </c>
      <c r="H1117" s="249" t="str">
        <f t="shared" si="61"/>
        <v>D</v>
      </c>
      <c r="I1117" s="249">
        <f t="shared" si="57"/>
        <v>1</v>
      </c>
      <c r="J1117" s="143">
        <v>25000</v>
      </c>
      <c r="K1117" s="249" t="str">
        <f t="shared" si="62"/>
        <v>HC</v>
      </c>
      <c r="M1117" s="249">
        <f t="shared" si="58"/>
        <v>9</v>
      </c>
      <c r="N1117" s="249">
        <f t="shared" si="59"/>
        <v>8</v>
      </c>
      <c r="Z1117" s="130">
        <v>0.1</v>
      </c>
      <c r="AA1117" s="249">
        <v>3</v>
      </c>
      <c r="AB1117" s="250">
        <v>26000</v>
      </c>
      <c r="AC1117" s="250">
        <v>60000</v>
      </c>
      <c r="AD1117" s="250">
        <v>26000</v>
      </c>
      <c r="AE1117" s="250">
        <v>100000</v>
      </c>
      <c r="AF1117" s="250">
        <v>26000</v>
      </c>
    </row>
    <row r="1118" spans="2:32" x14ac:dyDescent="0.25">
      <c r="B1118" s="61" t="s">
        <v>2034</v>
      </c>
      <c r="C1118" s="249" t="str">
        <f t="shared" si="60"/>
        <v>C3</v>
      </c>
      <c r="D1118" s="14">
        <v>2002</v>
      </c>
      <c r="E1118" s="13">
        <v>1800000</v>
      </c>
      <c r="F1118" s="249">
        <v>2.8</v>
      </c>
      <c r="G1118" s="249">
        <v>2.9</v>
      </c>
      <c r="H1118" s="249" t="str">
        <f t="shared" si="61"/>
        <v>D</v>
      </c>
      <c r="I1118" s="249">
        <f t="shared" si="57"/>
        <v>1</v>
      </c>
      <c r="J1118" s="143">
        <v>2500</v>
      </c>
      <c r="K1118" s="249" t="str">
        <f t="shared" si="62"/>
        <v>HC</v>
      </c>
      <c r="M1118" s="249">
        <f t="shared" si="58"/>
        <v>13</v>
      </c>
      <c r="N1118" s="249">
        <f t="shared" si="59"/>
        <v>12</v>
      </c>
      <c r="Z1118" s="130">
        <v>0.5</v>
      </c>
      <c r="AA1118" s="249">
        <v>3</v>
      </c>
      <c r="AB1118" s="250">
        <v>14000</v>
      </c>
      <c r="AC1118" s="250">
        <v>20000</v>
      </c>
      <c r="AD1118" s="250">
        <v>14000</v>
      </c>
      <c r="AE1118" s="250">
        <v>60000</v>
      </c>
      <c r="AF1118" s="250">
        <v>14000</v>
      </c>
    </row>
    <row r="1119" spans="2:32" x14ac:dyDescent="0.25">
      <c r="B1119" s="61" t="s">
        <v>2035</v>
      </c>
      <c r="C1119" s="249" t="str">
        <f t="shared" si="60"/>
        <v>T3</v>
      </c>
      <c r="D1119" s="14">
        <v>1990</v>
      </c>
      <c r="E1119" s="13">
        <v>1500000</v>
      </c>
      <c r="F1119" s="249">
        <v>2</v>
      </c>
      <c r="G1119" s="249">
        <v>2.6</v>
      </c>
      <c r="H1119" s="249" t="str">
        <f t="shared" si="61"/>
        <v>D</v>
      </c>
      <c r="I1119" s="249">
        <f t="shared" si="57"/>
        <v>1</v>
      </c>
      <c r="J1119" s="143">
        <v>9000</v>
      </c>
      <c r="K1119" s="249" t="str">
        <f t="shared" si="62"/>
        <v>HC</v>
      </c>
      <c r="M1119" s="249">
        <f t="shared" si="58"/>
        <v>25</v>
      </c>
      <c r="N1119" s="249">
        <f t="shared" si="59"/>
        <v>24</v>
      </c>
      <c r="Z1119" s="130">
        <v>0</v>
      </c>
      <c r="AA1119" s="249">
        <v>1</v>
      </c>
      <c r="AB1119" s="250">
        <v>27000</v>
      </c>
      <c r="AC1119" s="250">
        <v>54000</v>
      </c>
      <c r="AD1119" s="250">
        <v>27000</v>
      </c>
      <c r="AE1119" s="250" t="s">
        <v>352</v>
      </c>
      <c r="AF1119" s="250">
        <v>27000</v>
      </c>
    </row>
    <row r="1120" spans="2:32" x14ac:dyDescent="0.25">
      <c r="B1120" s="61" t="s">
        <v>2036</v>
      </c>
      <c r="C1120" s="249" t="str">
        <f t="shared" si="60"/>
        <v>T3</v>
      </c>
      <c r="D1120" s="14">
        <v>2013</v>
      </c>
      <c r="E1120" s="13">
        <v>172300</v>
      </c>
      <c r="F1120" s="249">
        <v>2</v>
      </c>
      <c r="G1120" s="249">
        <v>2.5</v>
      </c>
      <c r="H1120" s="249" t="str">
        <f t="shared" si="61"/>
        <v>D</v>
      </c>
      <c r="I1120" s="249">
        <f t="shared" si="57"/>
        <v>1</v>
      </c>
      <c r="J1120" s="143">
        <v>8000</v>
      </c>
      <c r="K1120" s="249" t="str">
        <f t="shared" si="62"/>
        <v>PT</v>
      </c>
      <c r="M1120" s="249">
        <f t="shared" si="58"/>
        <v>2</v>
      </c>
      <c r="N1120" s="249">
        <f t="shared" si="59"/>
        <v>1</v>
      </c>
      <c r="Z1120" s="130">
        <v>0.5</v>
      </c>
      <c r="AA1120" s="249">
        <v>7</v>
      </c>
      <c r="AB1120" s="250">
        <v>25000</v>
      </c>
      <c r="AC1120" s="250">
        <v>25000</v>
      </c>
      <c r="AD1120" s="250">
        <v>25000</v>
      </c>
      <c r="AE1120" s="250" t="s">
        <v>352</v>
      </c>
      <c r="AF1120" s="250">
        <v>25000</v>
      </c>
    </row>
    <row r="1121" spans="2:32" x14ac:dyDescent="0.25">
      <c r="B1121" s="61" t="s">
        <v>2037</v>
      </c>
      <c r="C1121" s="249" t="str">
        <f t="shared" si="60"/>
        <v>C2</v>
      </c>
      <c r="D1121" s="14">
        <v>2004</v>
      </c>
      <c r="E1121" s="13">
        <v>300000</v>
      </c>
      <c r="F1121" s="249">
        <v>2.5</v>
      </c>
      <c r="G1121" s="249">
        <v>3</v>
      </c>
      <c r="H1121" s="249" t="str">
        <f t="shared" si="61"/>
        <v>D</v>
      </c>
      <c r="I1121" s="249">
        <f t="shared" si="57"/>
        <v>1</v>
      </c>
      <c r="J1121" s="143">
        <v>2000</v>
      </c>
      <c r="K1121" s="249" t="str">
        <f t="shared" si="62"/>
        <v>HC</v>
      </c>
      <c r="M1121" s="249">
        <f t="shared" si="58"/>
        <v>11</v>
      </c>
      <c r="N1121" s="249">
        <f t="shared" si="59"/>
        <v>10</v>
      </c>
      <c r="Z1121" s="130">
        <v>0.5</v>
      </c>
      <c r="AA1121" s="249">
        <v>2</v>
      </c>
      <c r="AB1121" s="250">
        <v>4000</v>
      </c>
      <c r="AC1121" s="250">
        <v>2000</v>
      </c>
      <c r="AD1121" s="250">
        <v>2000</v>
      </c>
      <c r="AE1121" s="250" t="s">
        <v>352</v>
      </c>
      <c r="AF1121" s="250">
        <v>2000</v>
      </c>
    </row>
    <row r="1122" spans="2:32" x14ac:dyDescent="0.25">
      <c r="B1122" s="61" t="s">
        <v>2038</v>
      </c>
      <c r="C1122" s="249" t="str">
        <f t="shared" si="60"/>
        <v>C2</v>
      </c>
      <c r="D1122" s="14">
        <v>1999</v>
      </c>
      <c r="E1122" s="13" t="s">
        <v>352</v>
      </c>
      <c r="F1122" s="249">
        <v>2</v>
      </c>
      <c r="G1122" s="249">
        <v>3</v>
      </c>
      <c r="H1122" s="249" t="str">
        <f t="shared" si="61"/>
        <v>G</v>
      </c>
      <c r="I1122" s="249">
        <f t="shared" si="57"/>
        <v>1</v>
      </c>
      <c r="J1122" s="143">
        <v>3500</v>
      </c>
      <c r="K1122" s="249" t="str">
        <f t="shared" si="62"/>
        <v>HC</v>
      </c>
      <c r="M1122" s="249">
        <f t="shared" si="58"/>
        <v>16</v>
      </c>
      <c r="N1122" s="249">
        <f t="shared" si="59"/>
        <v>15</v>
      </c>
      <c r="Z1122" s="130">
        <v>0.5</v>
      </c>
      <c r="AA1122" s="249">
        <v>2</v>
      </c>
      <c r="AB1122" s="250">
        <v>21000</v>
      </c>
      <c r="AC1122" s="250">
        <v>21000</v>
      </c>
      <c r="AD1122" s="250">
        <v>21000</v>
      </c>
      <c r="AE1122" s="250" t="s">
        <v>352</v>
      </c>
      <c r="AF1122" s="250" t="s">
        <v>2462</v>
      </c>
    </row>
    <row r="1123" spans="2:32" x14ac:dyDescent="0.25">
      <c r="B1123" s="61" t="s">
        <v>2039</v>
      </c>
      <c r="C1123" s="249" t="str">
        <f t="shared" si="60"/>
        <v>T2</v>
      </c>
      <c r="D1123" s="14">
        <v>2013</v>
      </c>
      <c r="E1123" s="13">
        <v>72300</v>
      </c>
      <c r="F1123" s="249">
        <v>2.4</v>
      </c>
      <c r="G1123" s="249">
        <v>2.5</v>
      </c>
      <c r="H1123" s="249" t="str">
        <f t="shared" si="61"/>
        <v>D</v>
      </c>
      <c r="I1123" s="249">
        <f t="shared" si="57"/>
        <v>1</v>
      </c>
      <c r="J1123" s="143">
        <v>8000</v>
      </c>
      <c r="K1123" s="249" t="str">
        <f t="shared" si="62"/>
        <v>HC</v>
      </c>
      <c r="M1123" s="249">
        <f t="shared" si="58"/>
        <v>2</v>
      </c>
      <c r="N1123" s="249">
        <f t="shared" si="59"/>
        <v>1</v>
      </c>
      <c r="Z1123" s="130">
        <v>0.5</v>
      </c>
      <c r="AA1123" s="249">
        <v>3</v>
      </c>
      <c r="AB1123" s="250">
        <v>25000</v>
      </c>
      <c r="AC1123" s="250">
        <v>25000</v>
      </c>
      <c r="AD1123" s="250">
        <v>25000</v>
      </c>
      <c r="AE1123" s="250">
        <v>100000</v>
      </c>
      <c r="AF1123" s="250">
        <v>25000</v>
      </c>
    </row>
    <row r="1124" spans="2:32" x14ac:dyDescent="0.25">
      <c r="B1124" s="61" t="s">
        <v>2040</v>
      </c>
      <c r="C1124" s="249" t="str">
        <f t="shared" si="60"/>
        <v>C2</v>
      </c>
      <c r="D1124" s="14">
        <v>2009</v>
      </c>
      <c r="E1124" s="13">
        <v>300000</v>
      </c>
      <c r="F1124" s="249">
        <v>2</v>
      </c>
      <c r="G1124" s="249">
        <v>2.2999999999999998</v>
      </c>
      <c r="H1124" s="249" t="str">
        <f t="shared" si="61"/>
        <v>D</v>
      </c>
      <c r="I1124" s="249">
        <f t="shared" si="57"/>
        <v>1</v>
      </c>
      <c r="J1124" s="143">
        <v>3000</v>
      </c>
      <c r="K1124" s="249" t="str">
        <f t="shared" si="62"/>
        <v>HC</v>
      </c>
      <c r="M1124" s="249">
        <f t="shared" si="58"/>
        <v>6</v>
      </c>
      <c r="N1124" s="249">
        <f t="shared" si="59"/>
        <v>5</v>
      </c>
      <c r="Z1124" s="130">
        <v>0.5</v>
      </c>
      <c r="AA1124" s="249">
        <v>2</v>
      </c>
      <c r="AB1124" s="250">
        <v>18000</v>
      </c>
      <c r="AC1124" s="250">
        <v>18000</v>
      </c>
      <c r="AD1124" s="250">
        <v>18000</v>
      </c>
      <c r="AE1124" s="250" t="s">
        <v>352</v>
      </c>
      <c r="AF1124" s="250">
        <v>18000</v>
      </c>
    </row>
    <row r="1125" spans="2:32" x14ac:dyDescent="0.25">
      <c r="B1125" s="61" t="s">
        <v>2041</v>
      </c>
      <c r="C1125" s="249" t="str">
        <f t="shared" si="60"/>
        <v>T3</v>
      </c>
      <c r="D1125" s="14">
        <v>2013</v>
      </c>
      <c r="E1125" s="13">
        <v>400000</v>
      </c>
      <c r="F1125" s="249">
        <v>2.5</v>
      </c>
      <c r="G1125" s="249">
        <v>2.8</v>
      </c>
      <c r="H1125" s="249" t="str">
        <f t="shared" si="61"/>
        <v>D</v>
      </c>
      <c r="I1125" s="249">
        <f t="shared" si="57"/>
        <v>1</v>
      </c>
      <c r="J1125" s="143">
        <v>3000</v>
      </c>
      <c r="K1125" s="249" t="str">
        <f t="shared" si="62"/>
        <v>HC</v>
      </c>
      <c r="M1125" s="249">
        <f t="shared" si="58"/>
        <v>2</v>
      </c>
      <c r="N1125" s="249">
        <f t="shared" si="59"/>
        <v>1</v>
      </c>
      <c r="Z1125" s="130">
        <v>0.5</v>
      </c>
      <c r="AA1125" s="249">
        <v>3</v>
      </c>
      <c r="AB1125" s="250">
        <v>18000</v>
      </c>
      <c r="AC1125" s="250">
        <v>9000</v>
      </c>
      <c r="AD1125" s="250">
        <v>18000</v>
      </c>
      <c r="AE1125" s="250">
        <v>90000</v>
      </c>
      <c r="AF1125" s="250">
        <v>18000</v>
      </c>
    </row>
    <row r="1126" spans="2:32" x14ac:dyDescent="0.25">
      <c r="B1126" s="61" t="s">
        <v>2042</v>
      </c>
      <c r="C1126" s="249" t="str">
        <f t="shared" si="60"/>
        <v>C3</v>
      </c>
      <c r="D1126" s="14">
        <v>2007</v>
      </c>
      <c r="E1126" s="13">
        <v>900000</v>
      </c>
      <c r="F1126" s="249">
        <v>2.8</v>
      </c>
      <c r="G1126" s="249">
        <v>3.1</v>
      </c>
      <c r="H1126" s="249" t="str">
        <f t="shared" si="61"/>
        <v>D</v>
      </c>
      <c r="I1126" s="249">
        <f t="shared" si="57"/>
        <v>1</v>
      </c>
      <c r="J1126" s="143">
        <v>1500</v>
      </c>
      <c r="K1126" s="249" t="str">
        <f t="shared" si="62"/>
        <v>HC</v>
      </c>
      <c r="M1126" s="249">
        <f t="shared" si="58"/>
        <v>8</v>
      </c>
      <c r="N1126" s="249">
        <f t="shared" si="59"/>
        <v>7</v>
      </c>
      <c r="Z1126" s="130">
        <v>0.5</v>
      </c>
      <c r="AA1126" s="249">
        <v>3</v>
      </c>
      <c r="AB1126" s="250">
        <v>7500</v>
      </c>
      <c r="AC1126" s="250">
        <v>4500</v>
      </c>
      <c r="AD1126" s="250">
        <v>7500</v>
      </c>
      <c r="AE1126" s="250">
        <v>90000</v>
      </c>
      <c r="AF1126" s="250">
        <v>7500</v>
      </c>
    </row>
    <row r="1127" spans="2:32" x14ac:dyDescent="0.25">
      <c r="B1127" s="61" t="s">
        <v>2043</v>
      </c>
      <c r="C1127" s="249" t="str">
        <f t="shared" si="60"/>
        <v>T2</v>
      </c>
      <c r="D1127" s="14">
        <v>2010</v>
      </c>
      <c r="E1127" s="13">
        <v>70000</v>
      </c>
      <c r="F1127" s="249">
        <v>2</v>
      </c>
      <c r="G1127" s="249">
        <v>2.2000000000000002</v>
      </c>
      <c r="H1127" s="249" t="str">
        <f t="shared" si="61"/>
        <v>D</v>
      </c>
      <c r="I1127" s="249">
        <f t="shared" si="57"/>
        <v>1</v>
      </c>
      <c r="J1127" s="143">
        <v>2000</v>
      </c>
      <c r="K1127" s="249" t="str">
        <f t="shared" si="62"/>
        <v>PT</v>
      </c>
      <c r="M1127" s="249">
        <f t="shared" si="58"/>
        <v>5</v>
      </c>
      <c r="N1127" s="249">
        <f t="shared" si="59"/>
        <v>4</v>
      </c>
      <c r="Z1127" s="130">
        <v>0.5</v>
      </c>
      <c r="AA1127" s="249">
        <v>7</v>
      </c>
      <c r="AB1127" s="250">
        <v>12000</v>
      </c>
      <c r="AC1127" s="250">
        <v>60000</v>
      </c>
      <c r="AD1127" s="250">
        <v>12000</v>
      </c>
      <c r="AE1127" s="250">
        <v>100000</v>
      </c>
      <c r="AF1127" s="250">
        <v>12000</v>
      </c>
    </row>
    <row r="1128" spans="2:32" x14ac:dyDescent="0.25">
      <c r="B1128" s="61" t="s">
        <v>2044</v>
      </c>
      <c r="C1128" s="249" t="str">
        <f t="shared" si="60"/>
        <v>C2</v>
      </c>
      <c r="D1128" s="14">
        <v>2002</v>
      </c>
      <c r="E1128" s="13">
        <v>800000</v>
      </c>
      <c r="F1128" s="249">
        <v>2.7</v>
      </c>
      <c r="G1128" s="249">
        <v>3</v>
      </c>
      <c r="H1128" s="249" t="str">
        <f t="shared" si="61"/>
        <v>D</v>
      </c>
      <c r="I1128" s="249">
        <f t="shared" si="57"/>
        <v>1</v>
      </c>
      <c r="J1128" s="143">
        <v>2000</v>
      </c>
      <c r="K1128" s="249" t="str">
        <f t="shared" si="62"/>
        <v>PT</v>
      </c>
      <c r="M1128" s="249">
        <f t="shared" si="58"/>
        <v>13</v>
      </c>
      <c r="N1128" s="249">
        <f t="shared" si="59"/>
        <v>12</v>
      </c>
      <c r="Z1128" s="130">
        <v>0.2</v>
      </c>
      <c r="AA1128" s="249">
        <v>7</v>
      </c>
      <c r="AB1128" s="250">
        <v>8000</v>
      </c>
      <c r="AC1128" s="250">
        <v>6000</v>
      </c>
      <c r="AD1128" s="250">
        <v>8000</v>
      </c>
      <c r="AE1128" s="250">
        <v>72000</v>
      </c>
      <c r="AF1128" s="250">
        <v>8000</v>
      </c>
    </row>
    <row r="1129" spans="2:32" x14ac:dyDescent="0.25">
      <c r="B1129" s="61" t="s">
        <v>2045</v>
      </c>
      <c r="C1129" s="249" t="str">
        <f t="shared" si="60"/>
        <v>T3</v>
      </c>
      <c r="D1129" s="14">
        <v>2006</v>
      </c>
      <c r="E1129" s="13">
        <v>560000</v>
      </c>
      <c r="F1129" s="249">
        <v>3.2</v>
      </c>
      <c r="G1129" s="249">
        <v>3.5</v>
      </c>
      <c r="H1129" s="249" t="str">
        <f t="shared" si="61"/>
        <v>D</v>
      </c>
      <c r="I1129" s="249">
        <f t="shared" si="57"/>
        <v>1</v>
      </c>
      <c r="J1129" s="143">
        <v>15000</v>
      </c>
      <c r="K1129" s="249" t="str">
        <f t="shared" si="62"/>
        <v>HC</v>
      </c>
      <c r="M1129" s="249">
        <f t="shared" si="58"/>
        <v>9</v>
      </c>
      <c r="N1129" s="249">
        <f t="shared" si="59"/>
        <v>8</v>
      </c>
      <c r="Z1129" s="130">
        <v>0.05</v>
      </c>
      <c r="AA1129" s="249">
        <v>2</v>
      </c>
      <c r="AB1129" s="250">
        <v>30000</v>
      </c>
      <c r="AC1129" s="250" t="s">
        <v>352</v>
      </c>
      <c r="AD1129" s="250">
        <v>30000</v>
      </c>
      <c r="AE1129" s="250" t="s">
        <v>352</v>
      </c>
      <c r="AF1129" s="250">
        <v>30000</v>
      </c>
    </row>
    <row r="1130" spans="2:32" x14ac:dyDescent="0.25">
      <c r="B1130" s="61" t="s">
        <v>2046</v>
      </c>
      <c r="C1130" s="249" t="str">
        <f t="shared" si="60"/>
        <v>C2</v>
      </c>
      <c r="D1130" s="14">
        <v>1991</v>
      </c>
      <c r="E1130" s="13">
        <v>500000</v>
      </c>
      <c r="F1130" s="249">
        <v>2.5</v>
      </c>
      <c r="G1130" s="249">
        <v>3</v>
      </c>
      <c r="H1130" s="249" t="str">
        <f t="shared" si="61"/>
        <v>D</v>
      </c>
      <c r="I1130" s="249">
        <f t="shared" si="57"/>
        <v>1</v>
      </c>
      <c r="J1130" s="143">
        <v>2000</v>
      </c>
      <c r="K1130" s="249" t="str">
        <f t="shared" si="62"/>
        <v>HC</v>
      </c>
      <c r="M1130" s="249">
        <f t="shared" si="58"/>
        <v>24</v>
      </c>
      <c r="N1130" s="249">
        <f t="shared" si="59"/>
        <v>23</v>
      </c>
      <c r="Z1130" s="130">
        <v>0.5</v>
      </c>
      <c r="AA1130" s="249">
        <v>3</v>
      </c>
      <c r="AB1130" s="250">
        <v>6000</v>
      </c>
      <c r="AC1130" s="250">
        <v>12000</v>
      </c>
      <c r="AD1130" s="250">
        <v>6000</v>
      </c>
      <c r="AE1130" s="250">
        <v>72000</v>
      </c>
      <c r="AF1130" s="250">
        <v>6000</v>
      </c>
    </row>
    <row r="1131" spans="2:32" x14ac:dyDescent="0.25">
      <c r="B1131" s="61" t="s">
        <v>2047</v>
      </c>
      <c r="C1131" s="249" t="str">
        <f t="shared" si="60"/>
        <v>C2</v>
      </c>
      <c r="D1131" s="14">
        <v>2010</v>
      </c>
      <c r="E1131" s="13">
        <v>750000</v>
      </c>
      <c r="F1131" s="249">
        <v>2.1</v>
      </c>
      <c r="G1131" s="249">
        <v>2.8</v>
      </c>
      <c r="H1131" s="249" t="str">
        <f t="shared" si="61"/>
        <v>D</v>
      </c>
      <c r="I1131" s="249">
        <f t="shared" si="57"/>
        <v>1</v>
      </c>
      <c r="J1131" s="143">
        <v>3000</v>
      </c>
      <c r="K1131" s="249" t="str">
        <f t="shared" si="62"/>
        <v>HC</v>
      </c>
      <c r="M1131" s="249">
        <f t="shared" si="58"/>
        <v>5</v>
      </c>
      <c r="N1131" s="249">
        <f t="shared" si="59"/>
        <v>4</v>
      </c>
      <c r="Z1131" s="130">
        <v>0.3</v>
      </c>
      <c r="AA1131" s="249">
        <v>3</v>
      </c>
      <c r="AB1131" s="250">
        <v>12000</v>
      </c>
      <c r="AC1131" s="250">
        <v>9000</v>
      </c>
      <c r="AD1131" s="250">
        <v>12000</v>
      </c>
      <c r="AE1131" s="250">
        <v>100000</v>
      </c>
      <c r="AF1131" s="250">
        <v>12000</v>
      </c>
    </row>
    <row r="1132" spans="2:32" x14ac:dyDescent="0.25">
      <c r="B1132" s="61" t="s">
        <v>2048</v>
      </c>
      <c r="C1132" s="249" t="str">
        <f t="shared" si="60"/>
        <v>C2</v>
      </c>
      <c r="D1132" s="14">
        <v>1989</v>
      </c>
      <c r="E1132" s="13">
        <v>1200000</v>
      </c>
      <c r="F1132" s="249">
        <v>2.5</v>
      </c>
      <c r="G1132" s="249">
        <v>3</v>
      </c>
      <c r="H1132" s="249" t="str">
        <f t="shared" si="61"/>
        <v>D</v>
      </c>
      <c r="I1132" s="249">
        <f t="shared" si="57"/>
        <v>1</v>
      </c>
      <c r="J1132" s="143">
        <v>2500</v>
      </c>
      <c r="K1132" s="249" t="str">
        <f t="shared" si="62"/>
        <v>HC</v>
      </c>
      <c r="M1132" s="249">
        <f t="shared" si="58"/>
        <v>26</v>
      </c>
      <c r="N1132" s="249">
        <f t="shared" si="59"/>
        <v>25</v>
      </c>
      <c r="Z1132" s="130">
        <v>0.5</v>
      </c>
      <c r="AA1132" s="249">
        <v>3</v>
      </c>
      <c r="AB1132" s="250">
        <v>15000</v>
      </c>
      <c r="AC1132" s="250">
        <v>12500</v>
      </c>
      <c r="AD1132" s="250">
        <v>15000</v>
      </c>
      <c r="AE1132" s="250">
        <v>60000</v>
      </c>
      <c r="AF1132" s="250">
        <v>15000</v>
      </c>
    </row>
    <row r="1133" spans="2:32" x14ac:dyDescent="0.25">
      <c r="B1133" s="61" t="s">
        <v>2049</v>
      </c>
      <c r="C1133" s="249" t="str">
        <f t="shared" si="60"/>
        <v>C3</v>
      </c>
      <c r="D1133" s="14">
        <v>1994</v>
      </c>
      <c r="E1133" s="13" t="s">
        <v>352</v>
      </c>
      <c r="F1133" s="249">
        <v>2.5</v>
      </c>
      <c r="G1133" s="249">
        <v>3</v>
      </c>
      <c r="H1133" s="249" t="str">
        <f t="shared" si="61"/>
        <v>D</v>
      </c>
      <c r="I1133" s="249">
        <f t="shared" si="57"/>
        <v>1</v>
      </c>
      <c r="J1133" s="143">
        <v>15000</v>
      </c>
      <c r="K1133" s="249" t="str">
        <f t="shared" si="62"/>
        <v>PT</v>
      </c>
      <c r="M1133" s="249">
        <f t="shared" si="58"/>
        <v>21</v>
      </c>
      <c r="N1133" s="249">
        <f t="shared" si="59"/>
        <v>20</v>
      </c>
      <c r="Z1133" s="130">
        <v>0.5</v>
      </c>
      <c r="AA1133" s="249">
        <v>7</v>
      </c>
      <c r="AB1133" s="250">
        <v>25000</v>
      </c>
      <c r="AC1133" s="250">
        <v>30000</v>
      </c>
      <c r="AD1133" s="250">
        <v>25000</v>
      </c>
      <c r="AE1133" s="250">
        <v>72000</v>
      </c>
      <c r="AF1133" s="250">
        <v>10000</v>
      </c>
    </row>
    <row r="1134" spans="2:32" x14ac:dyDescent="0.25">
      <c r="B1134" s="61" t="s">
        <v>2050</v>
      </c>
      <c r="C1134" s="249" t="str">
        <f t="shared" si="60"/>
        <v>C2</v>
      </c>
      <c r="D1134" s="14">
        <v>2011</v>
      </c>
      <c r="E1134" s="13">
        <v>265000</v>
      </c>
      <c r="F1134" s="249">
        <v>2.5</v>
      </c>
      <c r="G1134" s="249">
        <v>3.2</v>
      </c>
      <c r="H1134" s="249" t="str">
        <f t="shared" si="61"/>
        <v>D</v>
      </c>
      <c r="I1134" s="249">
        <f t="shared" si="57"/>
        <v>1</v>
      </c>
      <c r="J1134" s="143">
        <v>10000</v>
      </c>
      <c r="K1134" s="249" t="str">
        <f t="shared" si="62"/>
        <v>HC</v>
      </c>
      <c r="M1134" s="249">
        <f t="shared" si="58"/>
        <v>4</v>
      </c>
      <c r="N1134" s="249">
        <f t="shared" si="59"/>
        <v>3</v>
      </c>
      <c r="Z1134" s="130">
        <v>0.5</v>
      </c>
      <c r="AA1134" s="249">
        <v>3</v>
      </c>
      <c r="AB1134" s="250">
        <v>40000</v>
      </c>
      <c r="AC1134" s="250">
        <v>40000</v>
      </c>
      <c r="AD1134" s="250">
        <v>40000</v>
      </c>
      <c r="AE1134" s="250">
        <v>120000</v>
      </c>
      <c r="AF1134" s="250">
        <v>40000</v>
      </c>
    </row>
    <row r="1135" spans="2:32" x14ac:dyDescent="0.25">
      <c r="B1135" s="61" t="s">
        <v>2051</v>
      </c>
      <c r="C1135" s="249" t="str">
        <f t="shared" si="60"/>
        <v>C2</v>
      </c>
      <c r="D1135" s="14">
        <v>1990</v>
      </c>
      <c r="E1135" s="13">
        <v>1200000</v>
      </c>
      <c r="F1135" s="249">
        <v>3</v>
      </c>
      <c r="G1135" s="249">
        <v>3.5</v>
      </c>
      <c r="H1135" s="249" t="str">
        <f t="shared" si="61"/>
        <v>D</v>
      </c>
      <c r="I1135" s="249">
        <f t="shared" si="57"/>
        <v>1</v>
      </c>
      <c r="J1135" s="143">
        <v>1500</v>
      </c>
      <c r="K1135" s="249" t="str">
        <f t="shared" si="62"/>
        <v>HC</v>
      </c>
      <c r="M1135" s="249">
        <f t="shared" si="58"/>
        <v>25</v>
      </c>
      <c r="N1135" s="249">
        <f t="shared" si="59"/>
        <v>24</v>
      </c>
      <c r="Z1135" s="130">
        <v>0.3</v>
      </c>
      <c r="AA1135" s="249">
        <v>1</v>
      </c>
      <c r="AB1135" s="250">
        <v>10000</v>
      </c>
      <c r="AC1135" s="250">
        <v>6000</v>
      </c>
      <c r="AD1135" s="250">
        <v>10000</v>
      </c>
      <c r="AE1135" s="250">
        <v>120000</v>
      </c>
      <c r="AF1135" s="250">
        <v>10000</v>
      </c>
    </row>
    <row r="1136" spans="2:32" x14ac:dyDescent="0.25">
      <c r="B1136" s="61" t="s">
        <v>2052</v>
      </c>
      <c r="C1136" s="249" t="str">
        <f t="shared" si="60"/>
        <v>C2</v>
      </c>
      <c r="D1136" s="14">
        <v>1980</v>
      </c>
      <c r="E1136" s="13">
        <v>1500000</v>
      </c>
      <c r="F1136" s="249">
        <v>2.5</v>
      </c>
      <c r="G1136" s="249">
        <v>3</v>
      </c>
      <c r="H1136" s="249" t="str">
        <f t="shared" si="61"/>
        <v>D</v>
      </c>
      <c r="I1136" s="249">
        <f t="shared" si="57"/>
        <v>1</v>
      </c>
      <c r="J1136" s="143">
        <v>2000</v>
      </c>
      <c r="K1136" s="249" t="str">
        <f t="shared" si="62"/>
        <v>HC</v>
      </c>
      <c r="M1136" s="249">
        <f t="shared" si="58"/>
        <v>35</v>
      </c>
      <c r="N1136" s="249">
        <f t="shared" si="59"/>
        <v>34</v>
      </c>
      <c r="Z1136" s="130">
        <v>0.3</v>
      </c>
      <c r="AA1136" s="249">
        <v>2</v>
      </c>
      <c r="AB1136" s="250">
        <v>4000</v>
      </c>
      <c r="AC1136" s="250">
        <v>24000</v>
      </c>
      <c r="AD1136" s="250">
        <v>4000</v>
      </c>
      <c r="AE1136" s="250">
        <v>24000</v>
      </c>
      <c r="AF1136" s="250">
        <v>4000</v>
      </c>
    </row>
    <row r="1137" spans="2:32" x14ac:dyDescent="0.25">
      <c r="B1137" s="61" t="s">
        <v>2053</v>
      </c>
      <c r="C1137" s="249" t="str">
        <f t="shared" si="60"/>
        <v>C2</v>
      </c>
      <c r="D1137" s="14">
        <v>2010</v>
      </c>
      <c r="E1137" s="13">
        <v>750000</v>
      </c>
      <c r="F1137" s="249">
        <v>2.7</v>
      </c>
      <c r="G1137" s="249">
        <v>3.3</v>
      </c>
      <c r="H1137" s="249" t="str">
        <f t="shared" si="61"/>
        <v>D</v>
      </c>
      <c r="I1137" s="249">
        <f t="shared" si="57"/>
        <v>1</v>
      </c>
      <c r="J1137" s="143">
        <v>3000</v>
      </c>
      <c r="K1137" s="249" t="str">
        <f t="shared" si="62"/>
        <v>PT</v>
      </c>
      <c r="M1137" s="249">
        <f t="shared" si="58"/>
        <v>5</v>
      </c>
      <c r="N1137" s="249">
        <f t="shared" si="59"/>
        <v>4</v>
      </c>
      <c r="Z1137" s="130">
        <v>0.3</v>
      </c>
      <c r="AA1137" s="249">
        <v>7</v>
      </c>
      <c r="AB1137" s="250">
        <v>10000</v>
      </c>
      <c r="AC1137" s="250">
        <v>15000</v>
      </c>
      <c r="AD1137" s="250">
        <v>10000</v>
      </c>
      <c r="AE1137" s="250">
        <v>72000</v>
      </c>
      <c r="AF1137" s="250">
        <v>10000</v>
      </c>
    </row>
    <row r="1138" spans="2:32" x14ac:dyDescent="0.25">
      <c r="B1138" s="61" t="s">
        <v>2054</v>
      </c>
      <c r="C1138" s="249" t="str">
        <f t="shared" si="60"/>
        <v>C2</v>
      </c>
      <c r="D1138" s="14">
        <v>1997</v>
      </c>
      <c r="E1138" s="13">
        <v>1000000</v>
      </c>
      <c r="F1138" s="249">
        <v>2.7</v>
      </c>
      <c r="G1138" s="249">
        <v>3</v>
      </c>
      <c r="H1138" s="249" t="str">
        <f t="shared" si="61"/>
        <v>D</v>
      </c>
      <c r="I1138" s="249">
        <f t="shared" si="57"/>
        <v>1</v>
      </c>
      <c r="J1138" s="143">
        <v>1500</v>
      </c>
      <c r="K1138" s="249" t="str">
        <f t="shared" si="62"/>
        <v>HC</v>
      </c>
      <c r="M1138" s="249">
        <f t="shared" si="58"/>
        <v>18</v>
      </c>
      <c r="N1138" s="249">
        <f t="shared" si="59"/>
        <v>17</v>
      </c>
      <c r="Z1138" s="130">
        <v>0.5</v>
      </c>
      <c r="AA1138" s="249">
        <v>3</v>
      </c>
      <c r="AB1138" s="250">
        <v>9000</v>
      </c>
      <c r="AC1138" s="250">
        <v>6000</v>
      </c>
      <c r="AD1138" s="250">
        <v>9000</v>
      </c>
      <c r="AE1138" s="250" t="s">
        <v>352</v>
      </c>
      <c r="AF1138" s="250">
        <v>9000</v>
      </c>
    </row>
    <row r="1139" spans="2:32" x14ac:dyDescent="0.25">
      <c r="B1139" s="61" t="s">
        <v>2055</v>
      </c>
      <c r="C1139" s="249" t="str">
        <f t="shared" si="60"/>
        <v>C2</v>
      </c>
      <c r="D1139" s="14">
        <v>2008</v>
      </c>
      <c r="E1139" s="13">
        <v>800000</v>
      </c>
      <c r="F1139" s="249">
        <v>2.8</v>
      </c>
      <c r="G1139" s="249">
        <v>3.1</v>
      </c>
      <c r="H1139" s="249" t="str">
        <f t="shared" si="61"/>
        <v>D</v>
      </c>
      <c r="I1139" s="249">
        <f t="shared" si="57"/>
        <v>1</v>
      </c>
      <c r="J1139" s="143">
        <v>2000</v>
      </c>
      <c r="K1139" s="249" t="str">
        <f t="shared" si="62"/>
        <v>HC</v>
      </c>
      <c r="M1139" s="249">
        <f t="shared" si="58"/>
        <v>7</v>
      </c>
      <c r="N1139" s="249">
        <f t="shared" si="59"/>
        <v>6</v>
      </c>
      <c r="Z1139" s="130">
        <v>0.5</v>
      </c>
      <c r="AA1139" s="249">
        <v>2</v>
      </c>
      <c r="AB1139" s="250">
        <v>4000</v>
      </c>
      <c r="AC1139" s="250">
        <v>6000</v>
      </c>
      <c r="AD1139" s="250">
        <v>4000</v>
      </c>
      <c r="AE1139" s="250" t="s">
        <v>352</v>
      </c>
      <c r="AF1139" s="250">
        <v>4000</v>
      </c>
    </row>
    <row r="1140" spans="2:32" x14ac:dyDescent="0.25">
      <c r="B1140" s="61" t="s">
        <v>2056</v>
      </c>
      <c r="C1140" s="249" t="str">
        <f t="shared" si="60"/>
        <v>T3</v>
      </c>
      <c r="D1140" s="14">
        <v>2010</v>
      </c>
      <c r="E1140" s="13">
        <v>600000</v>
      </c>
      <c r="F1140" s="249">
        <v>2.5</v>
      </c>
      <c r="G1140" s="249">
        <v>3.2</v>
      </c>
      <c r="H1140" s="249" t="str">
        <f t="shared" si="61"/>
        <v>D</v>
      </c>
      <c r="I1140" s="249">
        <f t="shared" si="57"/>
        <v>1</v>
      </c>
      <c r="J1140" s="143">
        <v>3000</v>
      </c>
      <c r="K1140" s="249" t="str">
        <f t="shared" si="62"/>
        <v>HC</v>
      </c>
      <c r="M1140" s="249">
        <f t="shared" si="58"/>
        <v>5</v>
      </c>
      <c r="N1140" s="249">
        <f t="shared" si="59"/>
        <v>4</v>
      </c>
      <c r="Z1140" s="130">
        <v>0.5</v>
      </c>
      <c r="AA1140" s="249">
        <v>3</v>
      </c>
      <c r="AB1140" s="250">
        <v>12000</v>
      </c>
      <c r="AC1140" s="250">
        <v>3000</v>
      </c>
      <c r="AD1140" s="250">
        <v>12000</v>
      </c>
      <c r="AE1140" s="250">
        <v>60000</v>
      </c>
      <c r="AF1140" s="250">
        <v>12000</v>
      </c>
    </row>
    <row r="1141" spans="2:32" x14ac:dyDescent="0.25">
      <c r="B1141" s="61" t="s">
        <v>2057</v>
      </c>
      <c r="C1141" s="249" t="str">
        <f t="shared" si="60"/>
        <v>C2</v>
      </c>
      <c r="D1141" s="14">
        <v>2012</v>
      </c>
      <c r="E1141" s="13">
        <v>100000</v>
      </c>
      <c r="F1141" s="249">
        <v>2.8</v>
      </c>
      <c r="G1141" s="249">
        <v>3</v>
      </c>
      <c r="H1141" s="249" t="str">
        <f t="shared" si="61"/>
        <v>D</v>
      </c>
      <c r="I1141" s="249">
        <f t="shared" si="57"/>
        <v>1</v>
      </c>
      <c r="J1141" s="143">
        <v>1000</v>
      </c>
      <c r="K1141" s="249" t="str">
        <f t="shared" si="62"/>
        <v>HC</v>
      </c>
      <c r="M1141" s="249">
        <f t="shared" si="58"/>
        <v>3</v>
      </c>
      <c r="N1141" s="249">
        <f t="shared" si="59"/>
        <v>2</v>
      </c>
      <c r="Z1141" s="130">
        <v>0.3</v>
      </c>
      <c r="AA1141" s="249">
        <v>2</v>
      </c>
      <c r="AB1141" s="250">
        <v>6000</v>
      </c>
      <c r="AC1141" s="250">
        <v>3000</v>
      </c>
      <c r="AD1141" s="250">
        <v>6000</v>
      </c>
      <c r="AE1141" s="250" t="s">
        <v>352</v>
      </c>
      <c r="AF1141" s="250">
        <v>6000</v>
      </c>
    </row>
    <row r="1142" spans="2:32" x14ac:dyDescent="0.25">
      <c r="B1142" s="61" t="s">
        <v>2058</v>
      </c>
      <c r="C1142" s="249" t="str">
        <f t="shared" si="60"/>
        <v>C2</v>
      </c>
      <c r="D1142" s="14">
        <v>2010</v>
      </c>
      <c r="E1142" s="13">
        <v>200000</v>
      </c>
      <c r="F1142" s="249">
        <v>3</v>
      </c>
      <c r="G1142" s="249">
        <v>5</v>
      </c>
      <c r="H1142" s="249" t="str">
        <f t="shared" si="61"/>
        <v>D</v>
      </c>
      <c r="I1142" s="249">
        <f t="shared" si="57"/>
        <v>1</v>
      </c>
      <c r="J1142" s="143">
        <v>4000</v>
      </c>
      <c r="K1142" s="249" t="str">
        <f t="shared" si="62"/>
        <v>PT</v>
      </c>
      <c r="M1142" s="249">
        <f t="shared" si="58"/>
        <v>5</v>
      </c>
      <c r="N1142" s="249">
        <f t="shared" si="59"/>
        <v>4</v>
      </c>
      <c r="Z1142" s="130">
        <v>0.5</v>
      </c>
      <c r="AA1142" s="249">
        <v>7</v>
      </c>
      <c r="AB1142" s="250">
        <v>24000</v>
      </c>
      <c r="AC1142" s="250">
        <v>48000</v>
      </c>
      <c r="AD1142" s="250">
        <v>24000</v>
      </c>
      <c r="AE1142" s="250">
        <v>100000</v>
      </c>
      <c r="AF1142" s="250">
        <v>24000</v>
      </c>
    </row>
    <row r="1143" spans="2:32" x14ac:dyDescent="0.25">
      <c r="B1143" s="61" t="s">
        <v>2059</v>
      </c>
      <c r="C1143" s="249" t="str">
        <f t="shared" si="60"/>
        <v>C2</v>
      </c>
      <c r="D1143" s="14">
        <v>1980</v>
      </c>
      <c r="E1143" s="13">
        <v>2000000</v>
      </c>
      <c r="F1143" s="249">
        <v>2</v>
      </c>
      <c r="G1143" s="249">
        <v>2.5</v>
      </c>
      <c r="H1143" s="249" t="str">
        <f t="shared" si="61"/>
        <v>D</v>
      </c>
      <c r="I1143" s="249">
        <f t="shared" si="57"/>
        <v>1</v>
      </c>
      <c r="J1143" s="143">
        <v>5000</v>
      </c>
      <c r="K1143" s="249" t="str">
        <f t="shared" si="62"/>
        <v>HC</v>
      </c>
      <c r="M1143" s="249">
        <f t="shared" si="58"/>
        <v>35</v>
      </c>
      <c r="N1143" s="249">
        <f t="shared" si="59"/>
        <v>34</v>
      </c>
      <c r="Z1143" s="130">
        <v>0.5</v>
      </c>
      <c r="AA1143" s="249">
        <v>2</v>
      </c>
      <c r="AB1143" s="250">
        <v>20000</v>
      </c>
      <c r="AC1143" s="250">
        <v>30000</v>
      </c>
      <c r="AD1143" s="250">
        <v>20000</v>
      </c>
      <c r="AE1143" s="250">
        <v>60000</v>
      </c>
      <c r="AF1143" s="250">
        <v>20000</v>
      </c>
    </row>
    <row r="1144" spans="2:32" x14ac:dyDescent="0.25">
      <c r="B1144" s="61" t="s">
        <v>2060</v>
      </c>
      <c r="C1144" s="249" t="str">
        <f t="shared" si="60"/>
        <v>T2</v>
      </c>
      <c r="D1144" s="14">
        <v>2000</v>
      </c>
      <c r="E1144" s="13">
        <v>5000000</v>
      </c>
      <c r="F1144" s="249">
        <v>2</v>
      </c>
      <c r="G1144" s="249">
        <v>2.2999999999999998</v>
      </c>
      <c r="H1144" s="249" t="str">
        <f t="shared" si="61"/>
        <v>D</v>
      </c>
      <c r="I1144" s="249">
        <f t="shared" si="57"/>
        <v>1</v>
      </c>
      <c r="J1144" s="143">
        <v>30000</v>
      </c>
      <c r="K1144" s="249" t="str">
        <f t="shared" si="62"/>
        <v>HC</v>
      </c>
      <c r="M1144" s="249">
        <f t="shared" si="58"/>
        <v>15</v>
      </c>
      <c r="N1144" s="249">
        <f t="shared" si="59"/>
        <v>14</v>
      </c>
      <c r="Z1144" s="130">
        <v>0.1</v>
      </c>
      <c r="AA1144" s="249">
        <v>1</v>
      </c>
      <c r="AB1144" s="250">
        <v>12000</v>
      </c>
      <c r="AC1144" s="250">
        <v>20000</v>
      </c>
      <c r="AD1144" s="250">
        <v>12000</v>
      </c>
      <c r="AE1144" s="250">
        <v>220000</v>
      </c>
      <c r="AF1144" s="250">
        <v>12000</v>
      </c>
    </row>
    <row r="1145" spans="2:32" x14ac:dyDescent="0.25">
      <c r="B1145" s="61" t="s">
        <v>2061</v>
      </c>
      <c r="C1145" s="249" t="str">
        <f t="shared" si="60"/>
        <v>T3</v>
      </c>
      <c r="D1145" s="14">
        <v>2010</v>
      </c>
      <c r="E1145" s="13">
        <v>300000</v>
      </c>
      <c r="F1145" s="249">
        <v>3.1</v>
      </c>
      <c r="G1145" s="249">
        <v>3.5</v>
      </c>
      <c r="H1145" s="249" t="str">
        <f t="shared" si="61"/>
        <v>D</v>
      </c>
      <c r="I1145" s="249">
        <f t="shared" si="57"/>
        <v>1</v>
      </c>
      <c r="J1145" s="143">
        <v>5000</v>
      </c>
      <c r="K1145" s="249" t="str">
        <f t="shared" si="62"/>
        <v>PT</v>
      </c>
      <c r="M1145" s="249">
        <f t="shared" si="58"/>
        <v>5</v>
      </c>
      <c r="N1145" s="249">
        <f t="shared" si="59"/>
        <v>4</v>
      </c>
      <c r="Z1145" s="130">
        <v>0.2</v>
      </c>
      <c r="AA1145" s="249">
        <v>7</v>
      </c>
      <c r="AB1145" s="250">
        <v>15000</v>
      </c>
      <c r="AC1145" s="250">
        <v>9000</v>
      </c>
      <c r="AD1145" s="250">
        <v>15000</v>
      </c>
      <c r="AE1145" s="250">
        <v>130000</v>
      </c>
      <c r="AF1145" s="250">
        <v>15000</v>
      </c>
    </row>
    <row r="1146" spans="2:32" x14ac:dyDescent="0.25">
      <c r="B1146" s="61" t="s">
        <v>2062</v>
      </c>
      <c r="C1146" s="249" t="str">
        <f t="shared" si="60"/>
        <v>C2</v>
      </c>
      <c r="D1146" s="14">
        <v>2008</v>
      </c>
      <c r="E1146" s="13">
        <v>200000</v>
      </c>
      <c r="F1146" s="249">
        <v>3.7</v>
      </c>
      <c r="G1146" s="249">
        <v>4</v>
      </c>
      <c r="H1146" s="249" t="str">
        <f t="shared" si="61"/>
        <v>G</v>
      </c>
      <c r="I1146" s="249">
        <f t="shared" si="57"/>
        <v>1</v>
      </c>
      <c r="J1146" s="143">
        <v>1000</v>
      </c>
      <c r="K1146" s="249" t="str">
        <f t="shared" si="62"/>
        <v>HC</v>
      </c>
      <c r="M1146" s="249">
        <f t="shared" si="58"/>
        <v>7</v>
      </c>
      <c r="N1146" s="249">
        <f t="shared" si="59"/>
        <v>6</v>
      </c>
      <c r="Z1146" s="130">
        <v>0.5</v>
      </c>
      <c r="AA1146" s="249">
        <v>3</v>
      </c>
      <c r="AB1146" s="250">
        <v>15000</v>
      </c>
      <c r="AC1146" s="250">
        <v>10000</v>
      </c>
      <c r="AD1146" s="250">
        <v>15000</v>
      </c>
      <c r="AE1146" s="250">
        <v>60000</v>
      </c>
      <c r="AF1146" s="250">
        <v>15000</v>
      </c>
    </row>
    <row r="1147" spans="2:32" x14ac:dyDescent="0.25">
      <c r="B1147" s="61" t="s">
        <v>2063</v>
      </c>
      <c r="C1147" s="249" t="str">
        <f t="shared" si="60"/>
        <v>T2</v>
      </c>
      <c r="D1147" s="14">
        <v>1988</v>
      </c>
      <c r="E1147" s="13">
        <v>1200000</v>
      </c>
      <c r="F1147" s="249">
        <v>2.2999999999999998</v>
      </c>
      <c r="G1147" s="249">
        <v>2.8</v>
      </c>
      <c r="H1147" s="249" t="str">
        <f t="shared" si="61"/>
        <v>D</v>
      </c>
      <c r="I1147" s="249">
        <f t="shared" si="57"/>
        <v>1</v>
      </c>
      <c r="J1147" s="143">
        <v>2000</v>
      </c>
      <c r="K1147" s="249" t="str">
        <f t="shared" si="62"/>
        <v>HC</v>
      </c>
      <c r="M1147" s="249">
        <f t="shared" si="58"/>
        <v>27</v>
      </c>
      <c r="N1147" s="249">
        <f t="shared" si="59"/>
        <v>26</v>
      </c>
      <c r="Z1147" s="130">
        <v>0.5</v>
      </c>
      <c r="AA1147" s="249">
        <v>3</v>
      </c>
      <c r="AB1147" s="250">
        <v>12000</v>
      </c>
      <c r="AC1147" s="250">
        <v>60000</v>
      </c>
      <c r="AD1147" s="250">
        <v>12000</v>
      </c>
      <c r="AE1147" s="250">
        <v>60000</v>
      </c>
      <c r="AF1147" s="250">
        <v>12000</v>
      </c>
    </row>
    <row r="1148" spans="2:32" x14ac:dyDescent="0.25">
      <c r="B1148" s="61" t="s">
        <v>2064</v>
      </c>
      <c r="C1148" s="249" t="str">
        <f t="shared" si="60"/>
        <v>T3</v>
      </c>
      <c r="D1148" s="14">
        <v>2003</v>
      </c>
      <c r="E1148" s="13">
        <v>915203</v>
      </c>
      <c r="F1148" s="249">
        <v>2.4</v>
      </c>
      <c r="G1148" s="249">
        <v>2.8</v>
      </c>
      <c r="H1148" s="249" t="str">
        <f t="shared" si="61"/>
        <v>D</v>
      </c>
      <c r="I1148" s="249">
        <f t="shared" si="57"/>
        <v>1</v>
      </c>
      <c r="J1148" s="143">
        <v>12000</v>
      </c>
      <c r="K1148" s="249" t="str">
        <f t="shared" si="62"/>
        <v>HC</v>
      </c>
      <c r="M1148" s="249">
        <f t="shared" si="58"/>
        <v>12</v>
      </c>
      <c r="N1148" s="249">
        <f t="shared" si="59"/>
        <v>11</v>
      </c>
      <c r="Z1148" s="130">
        <v>0</v>
      </c>
      <c r="AA1148" s="249">
        <v>3</v>
      </c>
      <c r="AB1148" s="250">
        <v>20000</v>
      </c>
      <c r="AC1148" s="250">
        <v>120000</v>
      </c>
      <c r="AD1148" s="250">
        <v>20000</v>
      </c>
      <c r="AE1148" s="250">
        <v>120000</v>
      </c>
      <c r="AF1148" s="250" t="s">
        <v>352</v>
      </c>
    </row>
    <row r="1149" spans="2:32" x14ac:dyDescent="0.25">
      <c r="B1149" s="61" t="s">
        <v>2065</v>
      </c>
      <c r="C1149" s="249" t="str">
        <f t="shared" si="60"/>
        <v>C3</v>
      </c>
      <c r="D1149" s="14">
        <v>1997</v>
      </c>
      <c r="E1149" s="13">
        <v>915534</v>
      </c>
      <c r="F1149" s="249">
        <v>3</v>
      </c>
      <c r="G1149" s="249">
        <v>4</v>
      </c>
      <c r="H1149" s="249" t="str">
        <f t="shared" si="61"/>
        <v>D</v>
      </c>
      <c r="I1149" s="249">
        <f t="shared" si="57"/>
        <v>1</v>
      </c>
      <c r="J1149" s="143">
        <v>4000</v>
      </c>
      <c r="K1149" s="249" t="str">
        <f t="shared" si="62"/>
        <v>HC</v>
      </c>
      <c r="M1149" s="249">
        <f t="shared" si="58"/>
        <v>18</v>
      </c>
      <c r="N1149" s="249">
        <f t="shared" si="59"/>
        <v>17</v>
      </c>
      <c r="Z1149" s="130">
        <v>0</v>
      </c>
      <c r="AA1149" s="249">
        <v>3</v>
      </c>
      <c r="AB1149" s="250">
        <v>20000</v>
      </c>
      <c r="AC1149" s="250">
        <v>20000</v>
      </c>
      <c r="AD1149" s="250">
        <v>20000</v>
      </c>
      <c r="AE1149" s="250">
        <v>120000</v>
      </c>
      <c r="AF1149" s="250">
        <v>20000</v>
      </c>
    </row>
    <row r="1150" spans="2:32" x14ac:dyDescent="0.25">
      <c r="B1150" s="61" t="s">
        <v>2066</v>
      </c>
      <c r="C1150" s="249" t="str">
        <f t="shared" si="60"/>
        <v>T3</v>
      </c>
      <c r="D1150" s="14">
        <v>2001</v>
      </c>
      <c r="E1150" s="13">
        <v>862417</v>
      </c>
      <c r="F1150" s="249">
        <v>2.4</v>
      </c>
      <c r="G1150" s="249">
        <v>2.7</v>
      </c>
      <c r="H1150" s="249" t="str">
        <f t="shared" si="61"/>
        <v>D</v>
      </c>
      <c r="I1150" s="249">
        <f t="shared" si="57"/>
        <v>1</v>
      </c>
      <c r="J1150" s="143">
        <v>9000</v>
      </c>
      <c r="K1150" s="249" t="str">
        <f t="shared" si="62"/>
        <v>PT</v>
      </c>
      <c r="M1150" s="249">
        <f t="shared" si="58"/>
        <v>14</v>
      </c>
      <c r="N1150" s="249">
        <f t="shared" si="59"/>
        <v>13</v>
      </c>
      <c r="Z1150" s="130">
        <v>0.05</v>
      </c>
      <c r="AA1150" s="249">
        <v>7</v>
      </c>
      <c r="AB1150" s="250">
        <v>23000</v>
      </c>
      <c r="AC1150" s="250">
        <v>100000</v>
      </c>
      <c r="AD1150" s="250">
        <v>23000</v>
      </c>
      <c r="AE1150" s="250">
        <v>100000</v>
      </c>
      <c r="AF1150" s="250" t="s">
        <v>352</v>
      </c>
    </row>
    <row r="1151" spans="2:32" x14ac:dyDescent="0.25">
      <c r="B1151" s="61" t="s">
        <v>2067</v>
      </c>
      <c r="C1151" s="249" t="str">
        <f t="shared" si="60"/>
        <v>T3</v>
      </c>
      <c r="D1151" s="14">
        <v>2005</v>
      </c>
      <c r="E1151" s="13">
        <v>718942</v>
      </c>
      <c r="F1151" s="249">
        <v>2.5</v>
      </c>
      <c r="G1151" s="249">
        <v>2.9</v>
      </c>
      <c r="H1151" s="249" t="str">
        <f t="shared" si="61"/>
        <v>D</v>
      </c>
      <c r="I1151" s="249">
        <f t="shared" si="57"/>
        <v>1</v>
      </c>
      <c r="J1151" s="143">
        <v>12000</v>
      </c>
      <c r="K1151" s="249" t="str">
        <f t="shared" si="62"/>
        <v>PT</v>
      </c>
      <c r="M1151" s="249">
        <f t="shared" si="58"/>
        <v>10</v>
      </c>
      <c r="N1151" s="249">
        <f t="shared" si="59"/>
        <v>9</v>
      </c>
      <c r="Z1151" s="130">
        <v>0.05</v>
      </c>
      <c r="AA1151" s="249">
        <v>7</v>
      </c>
      <c r="AB1151" s="250">
        <v>18000</v>
      </c>
      <c r="AC1151" s="250">
        <v>150000</v>
      </c>
      <c r="AD1151" s="250">
        <v>18000</v>
      </c>
      <c r="AE1151" s="250">
        <v>100000</v>
      </c>
      <c r="AF1151" s="250" t="s">
        <v>352</v>
      </c>
    </row>
    <row r="1152" spans="2:32" x14ac:dyDescent="0.25">
      <c r="B1152" s="61" t="s">
        <v>2068</v>
      </c>
      <c r="C1152" s="249" t="str">
        <f t="shared" si="60"/>
        <v>T3</v>
      </c>
      <c r="D1152" s="14">
        <v>2008</v>
      </c>
      <c r="E1152" s="13">
        <v>537655</v>
      </c>
      <c r="F1152" s="249">
        <v>2.5</v>
      </c>
      <c r="G1152" s="249">
        <v>2.9</v>
      </c>
      <c r="H1152" s="249" t="str">
        <f t="shared" si="61"/>
        <v>D</v>
      </c>
      <c r="I1152" s="249">
        <f t="shared" si="57"/>
        <v>1</v>
      </c>
      <c r="J1152" s="143">
        <v>10000</v>
      </c>
      <c r="K1152" s="249" t="str">
        <f t="shared" si="62"/>
        <v>HC</v>
      </c>
      <c r="M1152" s="249">
        <f t="shared" si="58"/>
        <v>7</v>
      </c>
      <c r="N1152" s="249">
        <f t="shared" si="59"/>
        <v>6</v>
      </c>
      <c r="Z1152" s="130">
        <v>0.1</v>
      </c>
      <c r="AA1152" s="249">
        <v>3</v>
      </c>
      <c r="AB1152" s="250">
        <v>19000</v>
      </c>
      <c r="AC1152" s="250">
        <v>120000</v>
      </c>
      <c r="AD1152" s="250">
        <v>25000</v>
      </c>
      <c r="AE1152" s="250">
        <v>120000</v>
      </c>
      <c r="AF1152" s="250" t="s">
        <v>352</v>
      </c>
    </row>
    <row r="1153" spans="2:32" x14ac:dyDescent="0.25">
      <c r="B1153" s="61" t="s">
        <v>2069</v>
      </c>
      <c r="C1153" s="249" t="str">
        <f t="shared" si="60"/>
        <v>T3</v>
      </c>
      <c r="D1153" s="14">
        <v>2002</v>
      </c>
      <c r="E1153" s="13">
        <v>897614</v>
      </c>
      <c r="F1153" s="249">
        <v>2.5</v>
      </c>
      <c r="G1153" s="249">
        <v>2.8</v>
      </c>
      <c r="H1153" s="249" t="str">
        <f t="shared" si="61"/>
        <v>D</v>
      </c>
      <c r="I1153" s="249">
        <f t="shared" si="57"/>
        <v>1</v>
      </c>
      <c r="J1153" s="143">
        <v>10000</v>
      </c>
      <c r="K1153" s="249" t="str">
        <f t="shared" si="62"/>
        <v>HC</v>
      </c>
      <c r="M1153" s="249">
        <f t="shared" si="58"/>
        <v>13</v>
      </c>
      <c r="N1153" s="249">
        <f t="shared" si="59"/>
        <v>12</v>
      </c>
      <c r="Z1153" s="130">
        <v>0.05</v>
      </c>
      <c r="AA1153" s="249">
        <v>3</v>
      </c>
      <c r="AB1153" s="250">
        <v>22000</v>
      </c>
      <c r="AC1153" s="250" t="s">
        <v>352</v>
      </c>
      <c r="AD1153" s="250">
        <v>22000</v>
      </c>
      <c r="AE1153" s="250">
        <v>120000</v>
      </c>
      <c r="AF1153" s="250" t="s">
        <v>352</v>
      </c>
    </row>
    <row r="1154" spans="2:32" x14ac:dyDescent="0.25">
      <c r="B1154" s="61" t="s">
        <v>2070</v>
      </c>
      <c r="C1154" s="249" t="str">
        <f t="shared" si="60"/>
        <v>T3</v>
      </c>
      <c r="D1154" s="14">
        <v>2006</v>
      </c>
      <c r="E1154" s="13">
        <v>752813</v>
      </c>
      <c r="F1154" s="249">
        <v>2.4</v>
      </c>
      <c r="G1154" s="249">
        <v>2.8</v>
      </c>
      <c r="H1154" s="249" t="str">
        <f t="shared" si="61"/>
        <v>D</v>
      </c>
      <c r="I1154" s="249">
        <f t="shared" si="57"/>
        <v>1</v>
      </c>
      <c r="J1154" s="143">
        <v>10000</v>
      </c>
      <c r="K1154" s="249" t="str">
        <f t="shared" si="62"/>
        <v>HC</v>
      </c>
      <c r="M1154" s="249">
        <f t="shared" si="58"/>
        <v>9</v>
      </c>
      <c r="N1154" s="249">
        <f t="shared" si="59"/>
        <v>8</v>
      </c>
      <c r="Z1154" s="130">
        <v>0</v>
      </c>
      <c r="AA1154" s="249">
        <v>3</v>
      </c>
      <c r="AB1154" s="250">
        <v>21000</v>
      </c>
      <c r="AC1154" s="250">
        <v>150000</v>
      </c>
      <c r="AD1154" s="250">
        <v>21000</v>
      </c>
      <c r="AE1154" s="250">
        <v>150000</v>
      </c>
      <c r="AF1154" s="250" t="s">
        <v>352</v>
      </c>
    </row>
    <row r="1155" spans="2:32" x14ac:dyDescent="0.25">
      <c r="B1155" s="61" t="s">
        <v>2071</v>
      </c>
      <c r="C1155" s="249" t="str">
        <f t="shared" si="60"/>
        <v>T3</v>
      </c>
      <c r="D1155" s="14">
        <v>2004</v>
      </c>
      <c r="E1155" s="13">
        <v>823617</v>
      </c>
      <c r="F1155" s="249">
        <v>2.5</v>
      </c>
      <c r="G1155" s="249">
        <v>2.7</v>
      </c>
      <c r="H1155" s="249" t="str">
        <f t="shared" si="61"/>
        <v>D</v>
      </c>
      <c r="I1155" s="249">
        <f t="shared" si="57"/>
        <v>1</v>
      </c>
      <c r="J1155" s="143">
        <v>8000</v>
      </c>
      <c r="K1155" s="249" t="str">
        <f t="shared" si="62"/>
        <v>HC</v>
      </c>
      <c r="M1155" s="249">
        <f t="shared" si="58"/>
        <v>11</v>
      </c>
      <c r="N1155" s="249">
        <f t="shared" si="59"/>
        <v>10</v>
      </c>
      <c r="Z1155" s="130">
        <v>0</v>
      </c>
      <c r="AA1155" s="249">
        <v>1</v>
      </c>
      <c r="AB1155" s="250">
        <v>16000</v>
      </c>
      <c r="AC1155" s="250">
        <v>160000</v>
      </c>
      <c r="AD1155" s="250">
        <v>24000</v>
      </c>
      <c r="AE1155" s="250">
        <v>100000</v>
      </c>
      <c r="AF1155" s="250" t="s">
        <v>352</v>
      </c>
    </row>
    <row r="1156" spans="2:32" x14ac:dyDescent="0.25">
      <c r="B1156" s="61" t="s">
        <v>2072</v>
      </c>
      <c r="C1156" s="249" t="str">
        <f t="shared" si="60"/>
        <v>T3</v>
      </c>
      <c r="D1156" s="14">
        <v>2005</v>
      </c>
      <c r="E1156" s="13">
        <v>752813</v>
      </c>
      <c r="F1156" s="249">
        <v>2.5</v>
      </c>
      <c r="G1156" s="249">
        <v>2.8</v>
      </c>
      <c r="H1156" s="249" t="str">
        <f t="shared" si="61"/>
        <v>D</v>
      </c>
      <c r="I1156" s="249">
        <f t="shared" si="57"/>
        <v>1</v>
      </c>
      <c r="J1156" s="143">
        <v>12000</v>
      </c>
      <c r="K1156" s="249" t="str">
        <f t="shared" si="62"/>
        <v>PT</v>
      </c>
      <c r="M1156" s="249">
        <f t="shared" si="58"/>
        <v>10</v>
      </c>
      <c r="N1156" s="249">
        <f t="shared" si="59"/>
        <v>9</v>
      </c>
      <c r="Z1156" s="130">
        <v>0.1</v>
      </c>
      <c r="AA1156" s="249">
        <v>7</v>
      </c>
      <c r="AB1156" s="250">
        <v>24000</v>
      </c>
      <c r="AC1156" s="250">
        <v>150000</v>
      </c>
      <c r="AD1156" s="250">
        <v>24000</v>
      </c>
      <c r="AE1156" s="250">
        <v>150000</v>
      </c>
      <c r="AF1156" s="250" t="s">
        <v>352</v>
      </c>
    </row>
    <row r="1157" spans="2:32" x14ac:dyDescent="0.25">
      <c r="B1157" s="61" t="s">
        <v>2073</v>
      </c>
      <c r="C1157" s="249" t="str">
        <f t="shared" si="60"/>
        <v>T3</v>
      </c>
      <c r="D1157" s="14">
        <v>1998</v>
      </c>
      <c r="E1157" s="13">
        <v>714206</v>
      </c>
      <c r="F1157" s="249">
        <v>2.7</v>
      </c>
      <c r="G1157" s="249">
        <v>3</v>
      </c>
      <c r="H1157" s="249" t="str">
        <f t="shared" si="61"/>
        <v>D</v>
      </c>
      <c r="I1157" s="249">
        <f t="shared" si="57"/>
        <v>1</v>
      </c>
      <c r="J1157" s="143">
        <v>3600</v>
      </c>
      <c r="K1157" s="249" t="str">
        <f t="shared" si="62"/>
        <v>PT</v>
      </c>
      <c r="M1157" s="249">
        <f t="shared" si="58"/>
        <v>17</v>
      </c>
      <c r="N1157" s="249">
        <f t="shared" si="59"/>
        <v>16</v>
      </c>
      <c r="Z1157" s="130">
        <v>0.5</v>
      </c>
      <c r="AA1157" s="249">
        <v>7</v>
      </c>
      <c r="AB1157" s="250">
        <v>30000</v>
      </c>
      <c r="AC1157" s="250" t="s">
        <v>352</v>
      </c>
      <c r="AD1157" s="250">
        <v>30000</v>
      </c>
      <c r="AE1157" s="250" t="s">
        <v>352</v>
      </c>
      <c r="AF1157" s="250" t="s">
        <v>352</v>
      </c>
    </row>
    <row r="1158" spans="2:32" x14ac:dyDescent="0.25">
      <c r="B1158" s="61" t="s">
        <v>2074</v>
      </c>
      <c r="C1158" s="249" t="str">
        <f t="shared" si="60"/>
        <v>T3</v>
      </c>
      <c r="D1158" s="14">
        <v>2007</v>
      </c>
      <c r="E1158" s="13">
        <v>581334</v>
      </c>
      <c r="F1158" s="249">
        <v>2.6</v>
      </c>
      <c r="G1158" s="249">
        <v>2.9</v>
      </c>
      <c r="H1158" s="249" t="str">
        <f t="shared" si="61"/>
        <v>D</v>
      </c>
      <c r="I1158" s="249">
        <f t="shared" ref="I1158:I1221" si="63">IF(F1158&gt;G1158,0,1)</f>
        <v>1</v>
      </c>
      <c r="J1158" s="143">
        <v>11000</v>
      </c>
      <c r="K1158" s="249" t="str">
        <f t="shared" si="62"/>
        <v>PT</v>
      </c>
      <c r="M1158" s="249">
        <f t="shared" ref="M1158:M1221" si="64">2015-D1158</f>
        <v>8</v>
      </c>
      <c r="N1158" s="249">
        <f t="shared" ref="N1158:N1221" si="65">2014-$D1158</f>
        <v>7</v>
      </c>
      <c r="Z1158" s="130">
        <v>0</v>
      </c>
      <c r="AA1158" s="249">
        <v>7</v>
      </c>
      <c r="AB1158" s="250">
        <v>20000</v>
      </c>
      <c r="AC1158" s="250">
        <v>100000</v>
      </c>
      <c r="AD1158" s="250">
        <v>20000</v>
      </c>
      <c r="AE1158" s="250">
        <v>100000</v>
      </c>
      <c r="AF1158" s="250" t="s">
        <v>352</v>
      </c>
    </row>
    <row r="1159" spans="2:32" x14ac:dyDescent="0.25">
      <c r="B1159" s="61" t="s">
        <v>2075</v>
      </c>
      <c r="C1159" s="249" t="str">
        <f t="shared" si="60"/>
        <v>T3</v>
      </c>
      <c r="D1159" s="14">
        <v>2000</v>
      </c>
      <c r="E1159" s="13">
        <v>967816</v>
      </c>
      <c r="F1159" s="249">
        <v>2.4</v>
      </c>
      <c r="G1159" s="249">
        <v>2.8</v>
      </c>
      <c r="H1159" s="249" t="str">
        <f t="shared" si="61"/>
        <v>D</v>
      </c>
      <c r="I1159" s="249">
        <f t="shared" si="63"/>
        <v>1</v>
      </c>
      <c r="J1159" s="143">
        <v>8000</v>
      </c>
      <c r="K1159" s="249" t="str">
        <f t="shared" si="62"/>
        <v>PT</v>
      </c>
      <c r="M1159" s="249">
        <f t="shared" si="64"/>
        <v>15</v>
      </c>
      <c r="N1159" s="249">
        <f t="shared" si="65"/>
        <v>14</v>
      </c>
      <c r="Z1159" s="130">
        <v>0.1</v>
      </c>
      <c r="AA1159" s="249">
        <v>7</v>
      </c>
      <c r="AB1159" s="250">
        <v>18000</v>
      </c>
      <c r="AC1159" s="250">
        <v>180000</v>
      </c>
      <c r="AD1159" s="250">
        <v>36000</v>
      </c>
      <c r="AE1159" s="250">
        <v>100000</v>
      </c>
      <c r="AF1159" s="250" t="s">
        <v>352</v>
      </c>
    </row>
    <row r="1160" spans="2:32" x14ac:dyDescent="0.25">
      <c r="B1160" s="61" t="s">
        <v>2076</v>
      </c>
      <c r="C1160" s="249" t="str">
        <f t="shared" si="60"/>
        <v>T3</v>
      </c>
      <c r="D1160" s="14">
        <v>2003</v>
      </c>
      <c r="E1160" s="13">
        <v>648717</v>
      </c>
      <c r="F1160" s="249">
        <v>2.4</v>
      </c>
      <c r="G1160" s="249">
        <v>2.9</v>
      </c>
      <c r="H1160" s="249" t="str">
        <f t="shared" si="61"/>
        <v>D</v>
      </c>
      <c r="I1160" s="249">
        <f t="shared" si="63"/>
        <v>1</v>
      </c>
      <c r="J1160" s="143">
        <v>12500</v>
      </c>
      <c r="K1160" s="249" t="str">
        <f t="shared" si="62"/>
        <v>HC</v>
      </c>
      <c r="M1160" s="249">
        <f t="shared" si="64"/>
        <v>12</v>
      </c>
      <c r="N1160" s="249">
        <f t="shared" si="65"/>
        <v>11</v>
      </c>
      <c r="Z1160" s="130">
        <v>0</v>
      </c>
      <c r="AA1160" s="249">
        <v>3</v>
      </c>
      <c r="AB1160" s="250">
        <v>25000</v>
      </c>
      <c r="AC1160" s="250">
        <v>200000</v>
      </c>
      <c r="AD1160" s="250">
        <v>25000</v>
      </c>
      <c r="AE1160" s="250">
        <v>200000</v>
      </c>
      <c r="AF1160" s="250" t="s">
        <v>352</v>
      </c>
    </row>
    <row r="1161" spans="2:32" x14ac:dyDescent="0.25">
      <c r="B1161" s="61" t="s">
        <v>2077</v>
      </c>
      <c r="C1161" s="249" t="str">
        <f t="shared" si="60"/>
        <v>C3</v>
      </c>
      <c r="D1161" s="14">
        <v>2009</v>
      </c>
      <c r="E1161" s="13">
        <v>361234</v>
      </c>
      <c r="F1161" s="249">
        <v>3.1</v>
      </c>
      <c r="G1161" s="249">
        <v>3.7</v>
      </c>
      <c r="H1161" s="249" t="str">
        <f t="shared" si="61"/>
        <v>D</v>
      </c>
      <c r="I1161" s="249">
        <f t="shared" si="63"/>
        <v>1</v>
      </c>
      <c r="J1161" s="143">
        <v>8000</v>
      </c>
      <c r="K1161" s="249" t="str">
        <f t="shared" si="62"/>
        <v>HC</v>
      </c>
      <c r="M1161" s="249">
        <f t="shared" si="64"/>
        <v>6</v>
      </c>
      <c r="N1161" s="249">
        <f t="shared" si="65"/>
        <v>5</v>
      </c>
      <c r="Z1161" s="130">
        <v>0</v>
      </c>
      <c r="AA1161" s="249">
        <v>1</v>
      </c>
      <c r="AB1161" s="250">
        <v>24000</v>
      </c>
      <c r="AC1161" s="250" t="s">
        <v>352</v>
      </c>
      <c r="AD1161" s="250">
        <v>24000</v>
      </c>
      <c r="AE1161" s="250">
        <v>120000</v>
      </c>
      <c r="AF1161" s="250" t="s">
        <v>352</v>
      </c>
    </row>
    <row r="1162" spans="2:32" x14ac:dyDescent="0.25">
      <c r="B1162" s="61" t="s">
        <v>2078</v>
      </c>
      <c r="C1162" s="249" t="str">
        <f t="shared" si="60"/>
        <v>T3</v>
      </c>
      <c r="D1162" s="14">
        <v>2007</v>
      </c>
      <c r="E1162" s="13">
        <v>298318</v>
      </c>
      <c r="F1162" s="249">
        <v>2</v>
      </c>
      <c r="G1162" s="249">
        <v>2.6</v>
      </c>
      <c r="H1162" s="249" t="str">
        <f t="shared" si="61"/>
        <v>D</v>
      </c>
      <c r="I1162" s="249">
        <f t="shared" si="63"/>
        <v>1</v>
      </c>
      <c r="J1162" s="143">
        <v>4000</v>
      </c>
      <c r="K1162" s="249" t="str">
        <f t="shared" si="62"/>
        <v>HC</v>
      </c>
      <c r="M1162" s="249">
        <f t="shared" si="64"/>
        <v>8</v>
      </c>
      <c r="N1162" s="249">
        <f t="shared" si="65"/>
        <v>7</v>
      </c>
      <c r="Z1162" s="130">
        <v>0.5</v>
      </c>
      <c r="AA1162" s="249">
        <v>3</v>
      </c>
      <c r="AB1162" s="250">
        <v>20000</v>
      </c>
      <c r="AC1162" s="250">
        <v>250000</v>
      </c>
      <c r="AD1162" s="250">
        <v>20000</v>
      </c>
      <c r="AE1162" s="250">
        <v>100000</v>
      </c>
      <c r="AF1162" s="250" t="s">
        <v>352</v>
      </c>
    </row>
    <row r="1163" spans="2:32" x14ac:dyDescent="0.25">
      <c r="B1163" s="61" t="s">
        <v>2079</v>
      </c>
      <c r="C1163" s="249" t="str">
        <f t="shared" si="60"/>
        <v>T3</v>
      </c>
      <c r="D1163" s="14">
        <v>1996</v>
      </c>
      <c r="E1163" s="13">
        <v>1152317</v>
      </c>
      <c r="F1163" s="249">
        <v>2.5</v>
      </c>
      <c r="G1163" s="249">
        <v>2.7</v>
      </c>
      <c r="H1163" s="249" t="str">
        <f t="shared" si="61"/>
        <v>D</v>
      </c>
      <c r="I1163" s="249">
        <f t="shared" si="63"/>
        <v>1</v>
      </c>
      <c r="J1163" s="143">
        <v>10000</v>
      </c>
      <c r="K1163" s="249" t="str">
        <f t="shared" si="62"/>
        <v>HC</v>
      </c>
      <c r="M1163" s="249">
        <f t="shared" si="64"/>
        <v>19</v>
      </c>
      <c r="N1163" s="249">
        <f t="shared" si="65"/>
        <v>18</v>
      </c>
      <c r="Z1163" s="130">
        <v>0</v>
      </c>
      <c r="AA1163" s="249">
        <v>2</v>
      </c>
      <c r="AB1163" s="250">
        <v>20000</v>
      </c>
      <c r="AC1163" s="250">
        <v>200000</v>
      </c>
      <c r="AD1163" s="250">
        <v>20000</v>
      </c>
      <c r="AE1163" s="250">
        <v>150000</v>
      </c>
      <c r="AF1163" s="250" t="s">
        <v>352</v>
      </c>
    </row>
    <row r="1164" spans="2:32" x14ac:dyDescent="0.25">
      <c r="B1164" s="61" t="s">
        <v>2080</v>
      </c>
      <c r="C1164" s="249" t="str">
        <f t="shared" si="60"/>
        <v>C3</v>
      </c>
      <c r="D1164" s="14">
        <v>2006</v>
      </c>
      <c r="E1164" s="13">
        <v>514488</v>
      </c>
      <c r="F1164" s="249">
        <v>3.7</v>
      </c>
      <c r="G1164" s="249">
        <v>4.3</v>
      </c>
      <c r="H1164" s="249" t="str">
        <f t="shared" si="61"/>
        <v>D</v>
      </c>
      <c r="I1164" s="249">
        <f t="shared" si="63"/>
        <v>1</v>
      </c>
      <c r="J1164" s="143">
        <v>8000</v>
      </c>
      <c r="K1164" s="249" t="str">
        <f t="shared" si="62"/>
        <v>HC</v>
      </c>
      <c r="M1164" s="249">
        <f t="shared" si="64"/>
        <v>9</v>
      </c>
      <c r="N1164" s="249">
        <f t="shared" si="65"/>
        <v>8</v>
      </c>
      <c r="Z1164" s="130">
        <v>0.2</v>
      </c>
      <c r="AA1164" s="249">
        <v>3</v>
      </c>
      <c r="AB1164" s="250">
        <v>24000</v>
      </c>
      <c r="AC1164" s="250">
        <v>180000</v>
      </c>
      <c r="AD1164" s="250">
        <v>24000</v>
      </c>
      <c r="AE1164" s="250">
        <v>180000</v>
      </c>
      <c r="AF1164" s="250" t="s">
        <v>352</v>
      </c>
    </row>
    <row r="1165" spans="2:32" x14ac:dyDescent="0.25">
      <c r="B1165" s="61" t="s">
        <v>2081</v>
      </c>
      <c r="C1165" s="249" t="str">
        <f t="shared" si="60"/>
        <v>T3</v>
      </c>
      <c r="D1165" s="14">
        <v>2008</v>
      </c>
      <c r="E1165" s="13">
        <v>603826</v>
      </c>
      <c r="F1165" s="249">
        <v>2.5</v>
      </c>
      <c r="G1165" s="249">
        <v>2.9</v>
      </c>
      <c r="H1165" s="249" t="str">
        <f t="shared" si="61"/>
        <v>D</v>
      </c>
      <c r="I1165" s="249">
        <f t="shared" si="63"/>
        <v>1</v>
      </c>
      <c r="J1165" s="143">
        <v>10000</v>
      </c>
      <c r="K1165" s="249" t="str">
        <f t="shared" si="62"/>
        <v>HC</v>
      </c>
      <c r="M1165" s="249">
        <f t="shared" si="64"/>
        <v>7</v>
      </c>
      <c r="N1165" s="249">
        <f t="shared" si="65"/>
        <v>6</v>
      </c>
      <c r="Z1165" s="130">
        <v>0.5</v>
      </c>
      <c r="AA1165" s="249">
        <v>3</v>
      </c>
      <c r="AB1165" s="250">
        <v>25000</v>
      </c>
      <c r="AC1165" s="250">
        <v>100000</v>
      </c>
      <c r="AD1165" s="250">
        <v>25000</v>
      </c>
      <c r="AE1165" s="250">
        <v>100000</v>
      </c>
      <c r="AF1165" s="250" t="s">
        <v>352</v>
      </c>
    </row>
    <row r="1166" spans="2:32" x14ac:dyDescent="0.25">
      <c r="B1166" s="61" t="s">
        <v>2082</v>
      </c>
      <c r="C1166" s="249" t="str">
        <f t="shared" si="60"/>
        <v>T3</v>
      </c>
      <c r="D1166" s="14">
        <v>2007</v>
      </c>
      <c r="E1166" s="13">
        <v>580175</v>
      </c>
      <c r="F1166" s="249">
        <v>2.5</v>
      </c>
      <c r="G1166" s="249">
        <v>2.75</v>
      </c>
      <c r="H1166" s="249" t="str">
        <f t="shared" si="61"/>
        <v>D</v>
      </c>
      <c r="I1166" s="249">
        <f t="shared" si="63"/>
        <v>1</v>
      </c>
      <c r="J1166" s="143">
        <v>12000</v>
      </c>
      <c r="K1166" s="249" t="str">
        <f t="shared" si="62"/>
        <v>PT</v>
      </c>
      <c r="M1166" s="249">
        <f t="shared" si="64"/>
        <v>8</v>
      </c>
      <c r="N1166" s="249">
        <f t="shared" si="65"/>
        <v>7</v>
      </c>
      <c r="Z1166" s="130">
        <v>0.5</v>
      </c>
      <c r="AA1166" s="249">
        <v>7</v>
      </c>
      <c r="AB1166" s="250">
        <v>24000</v>
      </c>
      <c r="AC1166" s="250">
        <v>120000</v>
      </c>
      <c r="AD1166" s="250">
        <v>24000</v>
      </c>
      <c r="AE1166" s="250">
        <v>120000</v>
      </c>
      <c r="AF1166" s="250" t="s">
        <v>352</v>
      </c>
    </row>
    <row r="1167" spans="2:32" x14ac:dyDescent="0.25">
      <c r="B1167" s="61" t="s">
        <v>2083</v>
      </c>
      <c r="C1167" s="249" t="str">
        <f t="shared" si="60"/>
        <v>T3</v>
      </c>
      <c r="D1167" s="14">
        <v>2007</v>
      </c>
      <c r="E1167" s="13">
        <v>615720</v>
      </c>
      <c r="F1167" s="249">
        <v>2.4</v>
      </c>
      <c r="G1167" s="249">
        <v>2.8</v>
      </c>
      <c r="H1167" s="249" t="str">
        <f t="shared" si="61"/>
        <v>D</v>
      </c>
      <c r="I1167" s="249">
        <f t="shared" si="63"/>
        <v>1</v>
      </c>
      <c r="J1167" s="143">
        <v>10000</v>
      </c>
      <c r="K1167" s="249" t="str">
        <f t="shared" si="62"/>
        <v>HC</v>
      </c>
      <c r="M1167" s="249">
        <f t="shared" si="64"/>
        <v>8</v>
      </c>
      <c r="N1167" s="249">
        <f t="shared" si="65"/>
        <v>7</v>
      </c>
      <c r="Z1167" s="130">
        <v>0.5</v>
      </c>
      <c r="AA1167" s="249">
        <v>2</v>
      </c>
      <c r="AB1167" s="250">
        <v>25000</v>
      </c>
      <c r="AC1167" s="250">
        <v>200000</v>
      </c>
      <c r="AD1167" s="250">
        <v>25000</v>
      </c>
      <c r="AE1167" s="250">
        <v>100000</v>
      </c>
      <c r="AF1167" s="250" t="s">
        <v>352</v>
      </c>
    </row>
    <row r="1168" spans="2:32" x14ac:dyDescent="0.25">
      <c r="B1168" s="61" t="s">
        <v>2084</v>
      </c>
      <c r="C1168" s="249" t="str">
        <f t="shared" si="60"/>
        <v>T3</v>
      </c>
      <c r="D1168" s="14">
        <v>2005</v>
      </c>
      <c r="E1168" s="13">
        <v>713384</v>
      </c>
      <c r="F1168" s="249">
        <v>2.4</v>
      </c>
      <c r="G1168" s="249">
        <v>2.8</v>
      </c>
      <c r="H1168" s="249" t="str">
        <f t="shared" si="61"/>
        <v>D</v>
      </c>
      <c r="I1168" s="249">
        <f t="shared" si="63"/>
        <v>1</v>
      </c>
      <c r="J1168" s="143">
        <v>8000</v>
      </c>
      <c r="K1168" s="249" t="str">
        <f t="shared" si="62"/>
        <v>HC</v>
      </c>
      <c r="M1168" s="249">
        <f t="shared" si="64"/>
        <v>10</v>
      </c>
      <c r="N1168" s="249">
        <f t="shared" si="65"/>
        <v>9</v>
      </c>
      <c r="Z1168" s="130">
        <v>0.5</v>
      </c>
      <c r="AA1168" s="249">
        <v>3</v>
      </c>
      <c r="AB1168" s="250">
        <v>16000</v>
      </c>
      <c r="AC1168" s="250" t="s">
        <v>352</v>
      </c>
      <c r="AD1168" s="250">
        <v>24000</v>
      </c>
      <c r="AE1168" s="250">
        <v>100000</v>
      </c>
      <c r="AF1168" s="250" t="s">
        <v>352</v>
      </c>
    </row>
    <row r="1169" spans="2:32" x14ac:dyDescent="0.25">
      <c r="B1169" s="61" t="s">
        <v>2085</v>
      </c>
      <c r="C1169" s="249" t="str">
        <f t="shared" si="60"/>
        <v>T3</v>
      </c>
      <c r="D1169" s="14">
        <v>2005</v>
      </c>
      <c r="E1169" s="13">
        <v>816670</v>
      </c>
      <c r="F1169" s="249">
        <v>2.4</v>
      </c>
      <c r="G1169" s="249">
        <v>2.7</v>
      </c>
      <c r="H1169" s="249" t="str">
        <f t="shared" si="61"/>
        <v>D</v>
      </c>
      <c r="I1169" s="249">
        <f t="shared" si="63"/>
        <v>1</v>
      </c>
      <c r="J1169" s="143">
        <v>8333.3333333333339</v>
      </c>
      <c r="K1169" s="249" t="str">
        <f t="shared" si="62"/>
        <v>PT</v>
      </c>
      <c r="M1169" s="249">
        <f t="shared" si="64"/>
        <v>10</v>
      </c>
      <c r="N1169" s="249">
        <f t="shared" si="65"/>
        <v>9</v>
      </c>
      <c r="Z1169" s="130">
        <v>0.5</v>
      </c>
      <c r="AA1169" s="249">
        <v>7</v>
      </c>
      <c r="AB1169" s="250">
        <v>25000</v>
      </c>
      <c r="AC1169" s="250">
        <v>100000</v>
      </c>
      <c r="AD1169" s="250">
        <v>25000</v>
      </c>
      <c r="AE1169" s="250">
        <v>100000</v>
      </c>
      <c r="AF1169" s="250" t="s">
        <v>352</v>
      </c>
    </row>
    <row r="1170" spans="2:32" x14ac:dyDescent="0.25">
      <c r="B1170" s="61" t="s">
        <v>2086</v>
      </c>
      <c r="C1170" s="249" t="str">
        <f t="shared" si="60"/>
        <v>T3</v>
      </c>
      <c r="D1170" s="14">
        <v>2010</v>
      </c>
      <c r="E1170" s="13">
        <v>219538</v>
      </c>
      <c r="F1170" s="249">
        <v>2.4500000000000002</v>
      </c>
      <c r="G1170" s="249">
        <v>2.75</v>
      </c>
      <c r="H1170" s="249" t="str">
        <f t="shared" si="61"/>
        <v>D</v>
      </c>
      <c r="I1170" s="249">
        <f t="shared" si="63"/>
        <v>1</v>
      </c>
      <c r="J1170" s="143">
        <v>6666.666666666667</v>
      </c>
      <c r="K1170" s="249" t="str">
        <f t="shared" si="62"/>
        <v>HC</v>
      </c>
      <c r="M1170" s="249">
        <f t="shared" si="64"/>
        <v>5</v>
      </c>
      <c r="N1170" s="249">
        <f t="shared" si="65"/>
        <v>4</v>
      </c>
      <c r="Z1170" s="130">
        <v>0.5</v>
      </c>
      <c r="AA1170" s="249">
        <v>3</v>
      </c>
      <c r="AB1170" s="250">
        <v>20000</v>
      </c>
      <c r="AC1170" s="250">
        <v>160000</v>
      </c>
      <c r="AD1170" s="250">
        <v>20000</v>
      </c>
      <c r="AE1170" s="250">
        <v>80000</v>
      </c>
      <c r="AF1170" s="250" t="s">
        <v>352</v>
      </c>
    </row>
    <row r="1171" spans="2:32" x14ac:dyDescent="0.25">
      <c r="B1171" s="61" t="s">
        <v>2087</v>
      </c>
      <c r="C1171" s="249" t="str">
        <f t="shared" si="60"/>
        <v>T3</v>
      </c>
      <c r="D1171" s="14">
        <v>2006</v>
      </c>
      <c r="E1171" s="13">
        <v>627453</v>
      </c>
      <c r="F1171" s="249">
        <v>2.5</v>
      </c>
      <c r="G1171" s="249">
        <v>2.8</v>
      </c>
      <c r="H1171" s="249" t="str">
        <f t="shared" si="61"/>
        <v>D</v>
      </c>
      <c r="I1171" s="249">
        <f t="shared" si="63"/>
        <v>1</v>
      </c>
      <c r="J1171" s="143">
        <v>8333.3333333333339</v>
      </c>
      <c r="K1171" s="249" t="str">
        <f t="shared" si="62"/>
        <v>HC</v>
      </c>
      <c r="M1171" s="249">
        <f t="shared" si="64"/>
        <v>9</v>
      </c>
      <c r="N1171" s="249">
        <f t="shared" si="65"/>
        <v>8</v>
      </c>
      <c r="Z1171" s="130">
        <v>0.5</v>
      </c>
      <c r="AA1171" s="249">
        <v>2</v>
      </c>
      <c r="AB1171" s="250">
        <v>25000</v>
      </c>
      <c r="AC1171" s="250">
        <v>100000</v>
      </c>
      <c r="AD1171" s="250">
        <v>25000</v>
      </c>
      <c r="AE1171" s="250">
        <v>100000</v>
      </c>
      <c r="AF1171" s="250" t="s">
        <v>352</v>
      </c>
    </row>
    <row r="1172" spans="2:32" x14ac:dyDescent="0.25">
      <c r="B1172" s="61" t="s">
        <v>2088</v>
      </c>
      <c r="C1172" s="249" t="str">
        <f t="shared" si="60"/>
        <v>T3</v>
      </c>
      <c r="D1172" s="14">
        <v>2008</v>
      </c>
      <c r="E1172" s="13">
        <v>521658</v>
      </c>
      <c r="F1172" s="249">
        <v>2.5</v>
      </c>
      <c r="G1172" s="249">
        <v>2.9</v>
      </c>
      <c r="H1172" s="249" t="str">
        <f t="shared" si="61"/>
        <v>D</v>
      </c>
      <c r="I1172" s="249">
        <f t="shared" si="63"/>
        <v>1</v>
      </c>
      <c r="J1172" s="143">
        <v>8333.3333333333339</v>
      </c>
      <c r="K1172" s="249" t="str">
        <f t="shared" si="62"/>
        <v>PT</v>
      </c>
      <c r="M1172" s="249">
        <f t="shared" si="64"/>
        <v>7</v>
      </c>
      <c r="N1172" s="249">
        <f t="shared" si="65"/>
        <v>6</v>
      </c>
      <c r="Z1172" s="130">
        <v>0.5</v>
      </c>
      <c r="AA1172" s="249">
        <v>7</v>
      </c>
      <c r="AB1172" s="250">
        <v>16000</v>
      </c>
      <c r="AC1172" s="250">
        <v>160000</v>
      </c>
      <c r="AD1172" s="250">
        <v>16000</v>
      </c>
      <c r="AE1172" s="250">
        <v>80000</v>
      </c>
      <c r="AF1172" s="250" t="s">
        <v>352</v>
      </c>
    </row>
    <row r="1173" spans="2:32" x14ac:dyDescent="0.25">
      <c r="B1173" s="61" t="s">
        <v>2089</v>
      </c>
      <c r="C1173" s="249" t="str">
        <f t="shared" si="60"/>
        <v>T3</v>
      </c>
      <c r="D1173" s="14">
        <v>2009</v>
      </c>
      <c r="E1173" s="13">
        <v>437611</v>
      </c>
      <c r="F1173" s="249">
        <v>2.6</v>
      </c>
      <c r="G1173" s="249">
        <v>2.9</v>
      </c>
      <c r="H1173" s="249" t="str">
        <f t="shared" si="61"/>
        <v>D</v>
      </c>
      <c r="I1173" s="249">
        <f t="shared" si="63"/>
        <v>1</v>
      </c>
      <c r="J1173" s="143">
        <v>10000</v>
      </c>
      <c r="K1173" s="249" t="str">
        <f t="shared" si="62"/>
        <v>PT</v>
      </c>
      <c r="M1173" s="249">
        <f t="shared" si="64"/>
        <v>6</v>
      </c>
      <c r="N1173" s="249">
        <f t="shared" si="65"/>
        <v>5</v>
      </c>
      <c r="Z1173" s="130">
        <v>0.5</v>
      </c>
      <c r="AA1173" s="249">
        <v>7</v>
      </c>
      <c r="AB1173" s="250">
        <v>18000</v>
      </c>
      <c r="AC1173" s="250">
        <v>200000</v>
      </c>
      <c r="AD1173" s="250">
        <v>36000</v>
      </c>
      <c r="AE1173" s="250">
        <v>100000</v>
      </c>
      <c r="AF1173" s="250" t="s">
        <v>352</v>
      </c>
    </row>
    <row r="1174" spans="2:32" x14ac:dyDescent="0.25">
      <c r="B1174" s="61" t="s">
        <v>2090</v>
      </c>
      <c r="C1174" s="249" t="str">
        <f t="shared" si="60"/>
        <v>T3</v>
      </c>
      <c r="D1174" s="14">
        <v>2007</v>
      </c>
      <c r="E1174" s="13">
        <v>678814</v>
      </c>
      <c r="F1174" s="249">
        <v>2.5</v>
      </c>
      <c r="G1174" s="249">
        <v>2.8</v>
      </c>
      <c r="H1174" s="249" t="str">
        <f t="shared" si="61"/>
        <v>D</v>
      </c>
      <c r="I1174" s="249">
        <f t="shared" si="63"/>
        <v>1</v>
      </c>
      <c r="J1174" s="143">
        <v>10000</v>
      </c>
      <c r="K1174" s="249" t="str">
        <f t="shared" si="62"/>
        <v>HC</v>
      </c>
      <c r="M1174" s="249">
        <f t="shared" si="64"/>
        <v>8</v>
      </c>
      <c r="N1174" s="249">
        <f t="shared" si="65"/>
        <v>7</v>
      </c>
      <c r="Z1174" s="130">
        <v>0.5</v>
      </c>
      <c r="AA1174" s="249">
        <v>2</v>
      </c>
      <c r="AB1174" s="250">
        <v>20000</v>
      </c>
      <c r="AC1174" s="250">
        <v>180000</v>
      </c>
      <c r="AD1174" s="250">
        <v>20000</v>
      </c>
      <c r="AE1174" s="250">
        <v>120000</v>
      </c>
      <c r="AF1174" s="250" t="s">
        <v>352</v>
      </c>
    </row>
    <row r="1175" spans="2:32" x14ac:dyDescent="0.25">
      <c r="B1175" s="61" t="s">
        <v>2091</v>
      </c>
      <c r="C1175" s="249" t="str">
        <f t="shared" si="60"/>
        <v>T3</v>
      </c>
      <c r="D1175" s="14">
        <v>2006</v>
      </c>
      <c r="E1175" s="13">
        <v>742821</v>
      </c>
      <c r="F1175" s="249">
        <v>2.4</v>
      </c>
      <c r="G1175" s="249">
        <v>2.7</v>
      </c>
      <c r="H1175" s="249" t="str">
        <f t="shared" si="61"/>
        <v>D</v>
      </c>
      <c r="I1175" s="249">
        <f t="shared" si="63"/>
        <v>1</v>
      </c>
      <c r="J1175" s="143">
        <v>12000</v>
      </c>
      <c r="K1175" s="249" t="str">
        <f t="shared" si="62"/>
        <v>HC</v>
      </c>
      <c r="M1175" s="249">
        <f t="shared" si="64"/>
        <v>9</v>
      </c>
      <c r="N1175" s="249">
        <f t="shared" si="65"/>
        <v>8</v>
      </c>
      <c r="Z1175" s="130">
        <v>0.5</v>
      </c>
      <c r="AA1175" s="249">
        <v>2</v>
      </c>
      <c r="AB1175" s="250">
        <v>24000</v>
      </c>
      <c r="AC1175" s="250" t="s">
        <v>352</v>
      </c>
      <c r="AD1175" s="250">
        <v>24000</v>
      </c>
      <c r="AE1175" s="250">
        <v>100000</v>
      </c>
      <c r="AF1175" s="250" t="s">
        <v>352</v>
      </c>
    </row>
    <row r="1176" spans="2:32" x14ac:dyDescent="0.25">
      <c r="B1176" s="114" t="s">
        <v>2092</v>
      </c>
      <c r="C1176" s="249" t="str">
        <f t="shared" si="60"/>
        <v>T3</v>
      </c>
      <c r="D1176" s="14">
        <v>2007</v>
      </c>
      <c r="E1176" s="13">
        <v>466213</v>
      </c>
      <c r="F1176" s="249">
        <v>2.4</v>
      </c>
      <c r="G1176" s="249">
        <v>2.85</v>
      </c>
      <c r="H1176" s="249" t="str">
        <f t="shared" si="61"/>
        <v>D</v>
      </c>
      <c r="I1176" s="249">
        <f t="shared" si="63"/>
        <v>1</v>
      </c>
      <c r="J1176" s="143">
        <v>10000</v>
      </c>
      <c r="K1176" s="249" t="str">
        <f t="shared" si="62"/>
        <v>HC</v>
      </c>
      <c r="M1176" s="249">
        <f t="shared" si="64"/>
        <v>8</v>
      </c>
      <c r="N1176" s="249">
        <f t="shared" si="65"/>
        <v>7</v>
      </c>
      <c r="Z1176" s="130">
        <v>0.5</v>
      </c>
      <c r="AA1176" s="249">
        <v>3</v>
      </c>
      <c r="AB1176" s="250">
        <v>16000</v>
      </c>
      <c r="AC1176" s="250">
        <v>180000</v>
      </c>
      <c r="AD1176" s="250">
        <v>25000</v>
      </c>
      <c r="AE1176" s="250">
        <v>100000</v>
      </c>
      <c r="AF1176" s="250" t="s">
        <v>352</v>
      </c>
    </row>
    <row r="1177" spans="2:32" x14ac:dyDescent="0.25">
      <c r="B1177" s="61" t="s">
        <v>2093</v>
      </c>
      <c r="C1177" s="249" t="str">
        <f t="shared" ref="C1177:C1240" si="66">IF(E1633="X","C2",IF(F1633="X","C3",IF(G1633="X","T2",IF(H1633="X","T3",0))))</f>
        <v>T3</v>
      </c>
      <c r="D1177" s="14">
        <v>2008</v>
      </c>
      <c r="E1177" s="13">
        <v>379858</v>
      </c>
      <c r="F1177" s="249">
        <v>2.4</v>
      </c>
      <c r="G1177" s="249">
        <v>2.8</v>
      </c>
      <c r="H1177" s="249" t="str">
        <f t="shared" ref="H1177:H1240" si="67">IF(B1633="X","G",IF(C1633="X","GAS",IF(D1633="X","D",0)))</f>
        <v>D</v>
      </c>
      <c r="I1177" s="249">
        <f t="shared" si="63"/>
        <v>1</v>
      </c>
      <c r="J1177" s="143">
        <v>8500</v>
      </c>
      <c r="K1177" s="249" t="str">
        <f t="shared" ref="K1177:K1240" si="68">IF(L1633="X","PT","HC")</f>
        <v>HC</v>
      </c>
      <c r="M1177" s="249">
        <f t="shared" si="64"/>
        <v>7</v>
      </c>
      <c r="N1177" s="249">
        <f t="shared" si="65"/>
        <v>6</v>
      </c>
      <c r="Z1177" s="130">
        <v>0.5</v>
      </c>
      <c r="AA1177" s="249">
        <v>1</v>
      </c>
      <c r="AB1177" s="250">
        <v>17000</v>
      </c>
      <c r="AC1177" s="250">
        <v>120000</v>
      </c>
      <c r="AD1177" s="250">
        <v>21000</v>
      </c>
      <c r="AE1177" s="250">
        <v>120000</v>
      </c>
      <c r="AF1177" s="250" t="s">
        <v>352</v>
      </c>
    </row>
    <row r="1178" spans="2:32" x14ac:dyDescent="0.25">
      <c r="B1178" s="61" t="s">
        <v>2094</v>
      </c>
      <c r="C1178" s="249" t="str">
        <f t="shared" si="66"/>
        <v>T2</v>
      </c>
      <c r="D1178" s="14">
        <v>2010</v>
      </c>
      <c r="E1178" s="13">
        <v>180000</v>
      </c>
      <c r="F1178" s="249">
        <v>2.8</v>
      </c>
      <c r="G1178" s="249">
        <v>3.5</v>
      </c>
      <c r="H1178" s="249" t="str">
        <f t="shared" si="67"/>
        <v>D</v>
      </c>
      <c r="I1178" s="249">
        <f t="shared" si="63"/>
        <v>1</v>
      </c>
      <c r="J1178" s="143">
        <v>5000</v>
      </c>
      <c r="K1178" s="249" t="str">
        <f t="shared" si="68"/>
        <v>HC</v>
      </c>
      <c r="M1178" s="249">
        <f t="shared" si="64"/>
        <v>5</v>
      </c>
      <c r="N1178" s="249">
        <f t="shared" si="65"/>
        <v>4</v>
      </c>
      <c r="Z1178" s="130">
        <v>0.5</v>
      </c>
      <c r="AA1178" s="249">
        <v>2</v>
      </c>
      <c r="AB1178" s="250">
        <v>20000</v>
      </c>
      <c r="AC1178" s="250">
        <v>60000</v>
      </c>
      <c r="AD1178" s="250">
        <v>20000</v>
      </c>
      <c r="AE1178" s="250">
        <v>90000</v>
      </c>
      <c r="AF1178" s="250">
        <v>20000</v>
      </c>
    </row>
    <row r="1179" spans="2:32" x14ac:dyDescent="0.25">
      <c r="B1179" s="61" t="s">
        <v>2095</v>
      </c>
      <c r="C1179" s="249" t="str">
        <f t="shared" si="66"/>
        <v>T3</v>
      </c>
      <c r="D1179" s="14">
        <v>1981</v>
      </c>
      <c r="E1179" s="13">
        <v>2500000</v>
      </c>
      <c r="F1179" s="249">
        <v>2.5</v>
      </c>
      <c r="G1179" s="249">
        <v>3</v>
      </c>
      <c r="H1179" s="249" t="str">
        <f t="shared" si="67"/>
        <v>D</v>
      </c>
      <c r="I1179" s="249">
        <f t="shared" si="63"/>
        <v>1</v>
      </c>
      <c r="J1179" s="143">
        <v>4000</v>
      </c>
      <c r="K1179" s="249" t="str">
        <f t="shared" si="68"/>
        <v>HC</v>
      </c>
      <c r="M1179" s="249">
        <f t="shared" si="64"/>
        <v>34</v>
      </c>
      <c r="N1179" s="249">
        <f t="shared" si="65"/>
        <v>33</v>
      </c>
      <c r="Z1179" s="130">
        <v>0.1</v>
      </c>
      <c r="AA1179" s="249">
        <v>1</v>
      </c>
      <c r="AB1179" s="250">
        <v>20000</v>
      </c>
      <c r="AC1179" s="250">
        <v>6000</v>
      </c>
      <c r="AD1179" s="250">
        <v>20000</v>
      </c>
      <c r="AE1179" s="250">
        <v>200000</v>
      </c>
      <c r="AF1179" s="250">
        <v>20000</v>
      </c>
    </row>
    <row r="1180" spans="2:32" x14ac:dyDescent="0.25">
      <c r="B1180" s="61" t="s">
        <v>2096</v>
      </c>
      <c r="C1180" s="249" t="str">
        <f t="shared" si="66"/>
        <v>C3</v>
      </c>
      <c r="D1180" s="14">
        <v>2009</v>
      </c>
      <c r="E1180" s="13">
        <v>480000</v>
      </c>
      <c r="F1180" s="249">
        <v>4</v>
      </c>
      <c r="G1180" s="249">
        <v>4.2</v>
      </c>
      <c r="H1180" s="249" t="str">
        <f t="shared" si="67"/>
        <v>D</v>
      </c>
      <c r="I1180" s="249">
        <f t="shared" si="63"/>
        <v>1</v>
      </c>
      <c r="J1180" s="143">
        <v>10000</v>
      </c>
      <c r="K1180" s="249" t="str">
        <f t="shared" si="68"/>
        <v>HC</v>
      </c>
      <c r="M1180" s="249">
        <f t="shared" si="64"/>
        <v>6</v>
      </c>
      <c r="N1180" s="249">
        <f t="shared" si="65"/>
        <v>5</v>
      </c>
      <c r="Z1180" s="130">
        <v>0.5</v>
      </c>
      <c r="AA1180" s="249">
        <v>3</v>
      </c>
      <c r="AB1180" s="250">
        <v>40000</v>
      </c>
      <c r="AC1180" s="250">
        <v>40000</v>
      </c>
      <c r="AD1180" s="250">
        <v>40000</v>
      </c>
      <c r="AE1180" s="250">
        <v>120000</v>
      </c>
      <c r="AF1180" s="250">
        <v>40000</v>
      </c>
    </row>
    <row r="1181" spans="2:32" x14ac:dyDescent="0.25">
      <c r="B1181" s="61" t="s">
        <v>2097</v>
      </c>
      <c r="C1181" s="249" t="str">
        <f t="shared" si="66"/>
        <v>C2</v>
      </c>
      <c r="D1181" s="14">
        <v>2005</v>
      </c>
      <c r="E1181" s="13">
        <v>450000</v>
      </c>
      <c r="F1181" s="249">
        <v>3</v>
      </c>
      <c r="G1181" s="249">
        <v>3.2</v>
      </c>
      <c r="H1181" s="249" t="str">
        <f t="shared" si="67"/>
        <v>D</v>
      </c>
      <c r="I1181" s="249">
        <f t="shared" si="63"/>
        <v>1</v>
      </c>
      <c r="J1181" s="143">
        <v>24000</v>
      </c>
      <c r="K1181" s="249" t="str">
        <f t="shared" si="68"/>
        <v>PT</v>
      </c>
      <c r="M1181" s="249">
        <f t="shared" si="64"/>
        <v>10</v>
      </c>
      <c r="N1181" s="249">
        <f t="shared" si="65"/>
        <v>9</v>
      </c>
      <c r="Z1181" s="130">
        <v>0.5</v>
      </c>
      <c r="AA1181" s="249">
        <v>7</v>
      </c>
      <c r="AB1181" s="250">
        <v>36000</v>
      </c>
      <c r="AC1181" s="250">
        <v>30000</v>
      </c>
      <c r="AD1181" s="250">
        <v>36000</v>
      </c>
      <c r="AE1181" s="250">
        <v>200000</v>
      </c>
      <c r="AF1181" s="250">
        <v>36000</v>
      </c>
    </row>
    <row r="1182" spans="2:32" x14ac:dyDescent="0.25">
      <c r="B1182" s="61" t="s">
        <v>2098</v>
      </c>
      <c r="C1182" s="249" t="str">
        <f t="shared" si="66"/>
        <v>T3</v>
      </c>
      <c r="D1182" s="14">
        <v>2003</v>
      </c>
      <c r="E1182" s="13" t="s">
        <v>908</v>
      </c>
      <c r="F1182" s="249">
        <v>2.2000000000000002</v>
      </c>
      <c r="G1182" s="249">
        <v>2.5</v>
      </c>
      <c r="H1182" s="249" t="str">
        <f t="shared" si="67"/>
        <v>D</v>
      </c>
      <c r="I1182" s="249">
        <f t="shared" si="63"/>
        <v>1</v>
      </c>
      <c r="J1182" s="143">
        <v>4000</v>
      </c>
      <c r="K1182" s="249" t="str">
        <f t="shared" si="68"/>
        <v>PT</v>
      </c>
      <c r="M1182" s="249">
        <f t="shared" si="64"/>
        <v>12</v>
      </c>
      <c r="N1182" s="249">
        <f t="shared" si="65"/>
        <v>11</v>
      </c>
      <c r="Z1182" s="130">
        <v>0.5</v>
      </c>
      <c r="AA1182" s="249">
        <v>7</v>
      </c>
      <c r="AB1182" s="250">
        <v>10000</v>
      </c>
      <c r="AC1182" s="250">
        <v>10000</v>
      </c>
      <c r="AD1182" s="250">
        <v>10000</v>
      </c>
      <c r="AE1182" s="250" t="s">
        <v>352</v>
      </c>
      <c r="AF1182" s="250">
        <v>10000</v>
      </c>
    </row>
    <row r="1183" spans="2:32" x14ac:dyDescent="0.25">
      <c r="B1183" s="61" t="s">
        <v>2099</v>
      </c>
      <c r="C1183" s="249" t="str">
        <f t="shared" si="66"/>
        <v>C2</v>
      </c>
      <c r="D1183" s="14">
        <v>2000</v>
      </c>
      <c r="E1183" s="13" t="s">
        <v>908</v>
      </c>
      <c r="F1183" s="249" t="s">
        <v>352</v>
      </c>
      <c r="G1183" s="249" t="s">
        <v>352</v>
      </c>
      <c r="H1183" s="249" t="str">
        <f t="shared" si="67"/>
        <v>D</v>
      </c>
      <c r="I1183" s="249">
        <f t="shared" si="63"/>
        <v>1</v>
      </c>
      <c r="J1183" s="143">
        <v>30000</v>
      </c>
      <c r="K1183" s="249" t="str">
        <f t="shared" si="68"/>
        <v>HC</v>
      </c>
      <c r="M1183" s="249">
        <f t="shared" si="64"/>
        <v>15</v>
      </c>
      <c r="N1183" s="249">
        <f t="shared" si="65"/>
        <v>14</v>
      </c>
      <c r="Z1183" s="130">
        <v>0.5</v>
      </c>
      <c r="AA1183" s="249">
        <v>3</v>
      </c>
      <c r="AB1183" s="250" t="s">
        <v>352</v>
      </c>
      <c r="AC1183" s="250" t="s">
        <v>352</v>
      </c>
      <c r="AD1183" s="250" t="s">
        <v>352</v>
      </c>
      <c r="AE1183" s="250" t="s">
        <v>352</v>
      </c>
      <c r="AF1183" s="250" t="s">
        <v>352</v>
      </c>
    </row>
    <row r="1184" spans="2:32" x14ac:dyDescent="0.25">
      <c r="B1184" s="61" t="s">
        <v>2100</v>
      </c>
      <c r="C1184" s="249" t="str">
        <f t="shared" si="66"/>
        <v>T3</v>
      </c>
      <c r="D1184" s="14">
        <v>2009</v>
      </c>
      <c r="E1184" s="13">
        <v>350000</v>
      </c>
      <c r="F1184" s="249">
        <v>1.3</v>
      </c>
      <c r="G1184" s="249">
        <v>1.9</v>
      </c>
      <c r="H1184" s="249" t="str">
        <f t="shared" si="67"/>
        <v>D</v>
      </c>
      <c r="I1184" s="249">
        <f t="shared" si="63"/>
        <v>1</v>
      </c>
      <c r="J1184" s="143">
        <v>8000</v>
      </c>
      <c r="K1184" s="249" t="str">
        <f t="shared" si="68"/>
        <v>PT</v>
      </c>
      <c r="M1184" s="249">
        <f t="shared" si="64"/>
        <v>6</v>
      </c>
      <c r="N1184" s="249">
        <f t="shared" si="65"/>
        <v>5</v>
      </c>
      <c r="Z1184" s="130">
        <v>0.2</v>
      </c>
      <c r="AA1184" s="249">
        <v>7</v>
      </c>
      <c r="AB1184" s="250">
        <v>13000</v>
      </c>
      <c r="AC1184" s="250">
        <v>8000</v>
      </c>
      <c r="AD1184" s="250">
        <v>13000</v>
      </c>
      <c r="AE1184" s="250">
        <v>100000</v>
      </c>
      <c r="AF1184" s="250">
        <v>13000</v>
      </c>
    </row>
    <row r="1185" spans="2:32" x14ac:dyDescent="0.25">
      <c r="B1185" s="61" t="s">
        <v>2101</v>
      </c>
      <c r="C1185" s="249" t="str">
        <f t="shared" si="66"/>
        <v>C3</v>
      </c>
      <c r="D1185" s="14">
        <v>2010</v>
      </c>
      <c r="E1185" s="13">
        <v>400000</v>
      </c>
      <c r="F1185" s="249">
        <v>2.2000000000000002</v>
      </c>
      <c r="G1185" s="249">
        <v>2.6</v>
      </c>
      <c r="H1185" s="249" t="str">
        <f t="shared" si="67"/>
        <v>D</v>
      </c>
      <c r="I1185" s="249">
        <f t="shared" si="63"/>
        <v>1</v>
      </c>
      <c r="J1185" s="143">
        <v>8000</v>
      </c>
      <c r="K1185" s="249" t="str">
        <f t="shared" si="68"/>
        <v>HC</v>
      </c>
      <c r="M1185" s="249">
        <f t="shared" si="64"/>
        <v>5</v>
      </c>
      <c r="N1185" s="249">
        <f t="shared" si="65"/>
        <v>4</v>
      </c>
      <c r="Z1185" s="130">
        <v>0.5</v>
      </c>
      <c r="AA1185" s="249">
        <v>3</v>
      </c>
      <c r="AB1185" s="250">
        <v>15000</v>
      </c>
      <c r="AC1185" s="250">
        <v>13000</v>
      </c>
      <c r="AD1185" s="250">
        <v>15000</v>
      </c>
      <c r="AE1185" s="250" t="s">
        <v>352</v>
      </c>
      <c r="AF1185" s="250">
        <v>15000</v>
      </c>
    </row>
    <row r="1186" spans="2:32" x14ac:dyDescent="0.25">
      <c r="B1186" s="61" t="s">
        <v>2102</v>
      </c>
      <c r="C1186" s="249" t="str">
        <f t="shared" si="66"/>
        <v>T3</v>
      </c>
      <c r="D1186" s="14">
        <v>2012</v>
      </c>
      <c r="E1186" s="13">
        <v>350000</v>
      </c>
      <c r="F1186" s="249">
        <v>1.6</v>
      </c>
      <c r="G1186" s="249">
        <v>2.1</v>
      </c>
      <c r="H1186" s="249" t="str">
        <f t="shared" si="67"/>
        <v>D</v>
      </c>
      <c r="I1186" s="249">
        <f t="shared" si="63"/>
        <v>1</v>
      </c>
      <c r="J1186" s="143">
        <v>18000</v>
      </c>
      <c r="K1186" s="249" t="str">
        <f t="shared" si="68"/>
        <v>HC</v>
      </c>
      <c r="M1186" s="249">
        <f t="shared" si="64"/>
        <v>3</v>
      </c>
      <c r="N1186" s="249">
        <f t="shared" si="65"/>
        <v>2</v>
      </c>
      <c r="Z1186" s="130">
        <v>0</v>
      </c>
      <c r="AA1186" s="249">
        <v>3</v>
      </c>
      <c r="AB1186" s="250">
        <v>15000</v>
      </c>
      <c r="AC1186" s="250">
        <v>18000</v>
      </c>
      <c r="AD1186" s="250">
        <v>15000</v>
      </c>
      <c r="AE1186" s="250" t="s">
        <v>352</v>
      </c>
      <c r="AF1186" s="250">
        <v>15000</v>
      </c>
    </row>
    <row r="1187" spans="2:32" x14ac:dyDescent="0.25">
      <c r="B1187" s="61" t="s">
        <v>2103</v>
      </c>
      <c r="C1187" s="249" t="str">
        <f t="shared" si="66"/>
        <v>T3</v>
      </c>
      <c r="D1187" s="14">
        <v>2010</v>
      </c>
      <c r="E1187" s="13">
        <v>350000</v>
      </c>
      <c r="F1187" s="249">
        <v>2.1</v>
      </c>
      <c r="G1187" s="249">
        <v>2.5</v>
      </c>
      <c r="H1187" s="249" t="str">
        <f t="shared" si="67"/>
        <v>D</v>
      </c>
      <c r="I1187" s="249">
        <f t="shared" si="63"/>
        <v>1</v>
      </c>
      <c r="J1187" s="143">
        <v>6000</v>
      </c>
      <c r="K1187" s="249" t="str">
        <f t="shared" si="68"/>
        <v>PT</v>
      </c>
      <c r="M1187" s="249">
        <f t="shared" si="64"/>
        <v>5</v>
      </c>
      <c r="N1187" s="249">
        <f t="shared" si="65"/>
        <v>4</v>
      </c>
      <c r="Z1187" s="130">
        <v>0.3</v>
      </c>
      <c r="AA1187" s="249">
        <v>7</v>
      </c>
      <c r="AB1187" s="250">
        <v>14000</v>
      </c>
      <c r="AC1187" s="250">
        <v>8000</v>
      </c>
      <c r="AD1187" s="250">
        <v>14000</v>
      </c>
      <c r="AE1187" s="250">
        <v>144000</v>
      </c>
      <c r="AF1187" s="250">
        <v>14000</v>
      </c>
    </row>
    <row r="1188" spans="2:32" x14ac:dyDescent="0.25">
      <c r="B1188" s="61" t="s">
        <v>2104</v>
      </c>
      <c r="C1188" s="249" t="str">
        <f t="shared" si="66"/>
        <v>C3</v>
      </c>
      <c r="D1188" s="14">
        <v>1979</v>
      </c>
      <c r="E1188" s="13">
        <v>835000</v>
      </c>
      <c r="F1188" s="249">
        <v>3</v>
      </c>
      <c r="G1188" s="249">
        <v>3.5</v>
      </c>
      <c r="H1188" s="249" t="str">
        <f t="shared" si="67"/>
        <v>D</v>
      </c>
      <c r="I1188" s="249">
        <f t="shared" si="63"/>
        <v>1</v>
      </c>
      <c r="J1188" s="143">
        <v>10000</v>
      </c>
      <c r="K1188" s="249" t="str">
        <f t="shared" si="68"/>
        <v>PT</v>
      </c>
      <c r="M1188" s="249">
        <f t="shared" si="64"/>
        <v>36</v>
      </c>
      <c r="N1188" s="249">
        <f t="shared" si="65"/>
        <v>35</v>
      </c>
      <c r="Z1188" s="130">
        <v>0</v>
      </c>
      <c r="AA1188" s="249">
        <v>7</v>
      </c>
      <c r="AB1188" s="250">
        <v>25000</v>
      </c>
      <c r="AC1188" s="250">
        <v>35000</v>
      </c>
      <c r="AD1188" s="250">
        <v>25000</v>
      </c>
      <c r="AE1188" s="250">
        <v>150000</v>
      </c>
      <c r="AF1188" s="250">
        <v>25000</v>
      </c>
    </row>
    <row r="1189" spans="2:32" x14ac:dyDescent="0.25">
      <c r="B1189" s="61" t="s">
        <v>2105</v>
      </c>
      <c r="C1189" s="249" t="str">
        <f t="shared" si="66"/>
        <v>T3</v>
      </c>
      <c r="D1189" s="14">
        <v>2008</v>
      </c>
      <c r="E1189" s="13">
        <v>600000</v>
      </c>
      <c r="F1189" s="249">
        <v>2.2999999999999998</v>
      </c>
      <c r="G1189" s="249">
        <v>2.6</v>
      </c>
      <c r="H1189" s="249" t="str">
        <f t="shared" si="67"/>
        <v>D</v>
      </c>
      <c r="I1189" s="249">
        <f t="shared" si="63"/>
        <v>1</v>
      </c>
      <c r="J1189" s="143">
        <v>16000</v>
      </c>
      <c r="K1189" s="249" t="str">
        <f t="shared" si="68"/>
        <v>PT</v>
      </c>
      <c r="M1189" s="249">
        <f t="shared" si="64"/>
        <v>7</v>
      </c>
      <c r="N1189" s="249">
        <f t="shared" si="65"/>
        <v>6</v>
      </c>
      <c r="Z1189" s="130">
        <v>0.3</v>
      </c>
      <c r="AA1189" s="249">
        <v>7</v>
      </c>
      <c r="AB1189" s="250">
        <v>20000</v>
      </c>
      <c r="AC1189" s="250">
        <v>50000</v>
      </c>
      <c r="AD1189" s="250">
        <v>30000</v>
      </c>
      <c r="AE1189" s="250" t="s">
        <v>352</v>
      </c>
      <c r="AF1189" s="250">
        <v>30000</v>
      </c>
    </row>
    <row r="1190" spans="2:32" x14ac:dyDescent="0.25">
      <c r="B1190" s="61" t="s">
        <v>2106</v>
      </c>
      <c r="C1190" s="249" t="str">
        <f t="shared" si="66"/>
        <v>C2</v>
      </c>
      <c r="D1190" s="14">
        <v>2011</v>
      </c>
      <c r="E1190" s="13">
        <v>150000</v>
      </c>
      <c r="F1190" s="249">
        <v>1.5</v>
      </c>
      <c r="G1190" s="249">
        <v>2</v>
      </c>
      <c r="H1190" s="249" t="str">
        <f t="shared" si="67"/>
        <v>D</v>
      </c>
      <c r="I1190" s="249">
        <f t="shared" si="63"/>
        <v>1</v>
      </c>
      <c r="J1190" s="143">
        <v>20000</v>
      </c>
      <c r="K1190" s="249" t="str">
        <f t="shared" si="68"/>
        <v>HC</v>
      </c>
      <c r="M1190" s="249">
        <f t="shared" si="64"/>
        <v>4</v>
      </c>
      <c r="N1190" s="249">
        <f t="shared" si="65"/>
        <v>3</v>
      </c>
      <c r="Z1190" s="130">
        <v>0.5</v>
      </c>
      <c r="AA1190" s="249">
        <v>3</v>
      </c>
      <c r="AB1190" s="250">
        <v>15000</v>
      </c>
      <c r="AC1190" s="250">
        <v>20000</v>
      </c>
      <c r="AD1190" s="250">
        <v>30000</v>
      </c>
      <c r="AE1190" s="250">
        <v>50000</v>
      </c>
      <c r="AF1190" s="250">
        <v>30000</v>
      </c>
    </row>
    <row r="1191" spans="2:32" x14ac:dyDescent="0.25">
      <c r="B1191" s="61" t="s">
        <v>2107</v>
      </c>
      <c r="C1191" s="249" t="str">
        <f t="shared" si="66"/>
        <v>T3</v>
      </c>
      <c r="D1191" s="14">
        <v>2004</v>
      </c>
      <c r="E1191" s="13">
        <v>500000</v>
      </c>
      <c r="F1191" s="249">
        <v>3</v>
      </c>
      <c r="G1191" s="249">
        <v>3.2</v>
      </c>
      <c r="H1191" s="249" t="str">
        <f t="shared" si="67"/>
        <v>D</v>
      </c>
      <c r="I1191" s="249">
        <f t="shared" si="63"/>
        <v>1</v>
      </c>
      <c r="J1191" s="143">
        <v>5000</v>
      </c>
      <c r="K1191" s="249" t="str">
        <f t="shared" si="68"/>
        <v>PT</v>
      </c>
      <c r="M1191" s="249">
        <f t="shared" si="64"/>
        <v>11</v>
      </c>
      <c r="N1191" s="249">
        <f t="shared" si="65"/>
        <v>10</v>
      </c>
      <c r="Z1191" s="130">
        <v>0.5</v>
      </c>
      <c r="AA1191" s="249">
        <v>7</v>
      </c>
      <c r="AB1191" s="250">
        <v>20000</v>
      </c>
      <c r="AC1191" s="250">
        <v>60000</v>
      </c>
      <c r="AD1191" s="250">
        <v>30000</v>
      </c>
      <c r="AE1191" s="250">
        <v>60000</v>
      </c>
      <c r="AF1191" s="250">
        <v>30000</v>
      </c>
    </row>
    <row r="1192" spans="2:32" x14ac:dyDescent="0.25">
      <c r="B1192" s="61" t="s">
        <v>2108</v>
      </c>
      <c r="C1192" s="249" t="str">
        <f t="shared" si="66"/>
        <v>C3</v>
      </c>
      <c r="D1192" s="14">
        <v>1987</v>
      </c>
      <c r="E1192" s="13" t="s">
        <v>908</v>
      </c>
      <c r="F1192" s="249">
        <v>3</v>
      </c>
      <c r="G1192" s="249">
        <v>3.5</v>
      </c>
      <c r="H1192" s="249" t="str">
        <f t="shared" si="67"/>
        <v>D</v>
      </c>
      <c r="I1192" s="249">
        <f t="shared" si="63"/>
        <v>1</v>
      </c>
      <c r="J1192" s="143">
        <v>2000</v>
      </c>
      <c r="K1192" s="249" t="str">
        <f t="shared" si="68"/>
        <v>PT</v>
      </c>
      <c r="M1192" s="249">
        <f t="shared" si="64"/>
        <v>28</v>
      </c>
      <c r="N1192" s="249">
        <f t="shared" si="65"/>
        <v>27</v>
      </c>
      <c r="Z1192" s="130">
        <v>0.5</v>
      </c>
      <c r="AA1192" s="249">
        <v>7</v>
      </c>
      <c r="AB1192" s="250">
        <v>10000</v>
      </c>
      <c r="AC1192" s="250" t="s">
        <v>352</v>
      </c>
      <c r="AD1192" s="250">
        <v>12000</v>
      </c>
      <c r="AE1192" s="250">
        <v>200000</v>
      </c>
      <c r="AF1192" s="250">
        <v>12000</v>
      </c>
    </row>
    <row r="1193" spans="2:32" x14ac:dyDescent="0.25">
      <c r="B1193" s="61" t="s">
        <v>2109</v>
      </c>
      <c r="C1193" s="249" t="str">
        <f t="shared" si="66"/>
        <v>C2</v>
      </c>
      <c r="D1193" s="14">
        <v>1978</v>
      </c>
      <c r="E1193" s="13">
        <v>1500000</v>
      </c>
      <c r="F1193" s="249">
        <v>2.5</v>
      </c>
      <c r="G1193" s="249">
        <v>3</v>
      </c>
      <c r="H1193" s="249" t="str">
        <f t="shared" si="67"/>
        <v>D</v>
      </c>
      <c r="I1193" s="249">
        <f t="shared" si="63"/>
        <v>1</v>
      </c>
      <c r="J1193" s="143">
        <v>3500</v>
      </c>
      <c r="K1193" s="249" t="str">
        <f t="shared" si="68"/>
        <v>HC</v>
      </c>
      <c r="M1193" s="249">
        <f t="shared" si="64"/>
        <v>37</v>
      </c>
      <c r="N1193" s="249">
        <f t="shared" si="65"/>
        <v>36</v>
      </c>
      <c r="Z1193" s="130">
        <v>0.2</v>
      </c>
      <c r="AA1193" s="249">
        <v>3</v>
      </c>
      <c r="AB1193" s="250">
        <v>10000</v>
      </c>
      <c r="AC1193" s="250">
        <v>21000</v>
      </c>
      <c r="AD1193" s="250">
        <v>12000</v>
      </c>
      <c r="AE1193" s="250">
        <v>84000</v>
      </c>
      <c r="AF1193" s="250">
        <v>12000</v>
      </c>
    </row>
    <row r="1194" spans="2:32" x14ac:dyDescent="0.25">
      <c r="B1194" s="61" t="s">
        <v>2110</v>
      </c>
      <c r="C1194" s="249" t="str">
        <f t="shared" si="66"/>
        <v>T3</v>
      </c>
      <c r="D1194" s="14">
        <v>2009</v>
      </c>
      <c r="E1194" s="13">
        <v>500000</v>
      </c>
      <c r="F1194" s="249">
        <v>2.5</v>
      </c>
      <c r="G1194" s="249">
        <v>3</v>
      </c>
      <c r="H1194" s="249" t="str">
        <f t="shared" si="67"/>
        <v>D</v>
      </c>
      <c r="I1194" s="249">
        <f t="shared" si="63"/>
        <v>1</v>
      </c>
      <c r="J1194" s="143">
        <v>10000</v>
      </c>
      <c r="K1194" s="249" t="str">
        <f t="shared" si="68"/>
        <v>HC</v>
      </c>
      <c r="M1194" s="249">
        <f t="shared" si="64"/>
        <v>6</v>
      </c>
      <c r="N1194" s="249">
        <f t="shared" si="65"/>
        <v>5</v>
      </c>
      <c r="Z1194" s="130">
        <v>0.5</v>
      </c>
      <c r="AA1194" s="249">
        <v>1</v>
      </c>
      <c r="AB1194" s="250">
        <v>8000</v>
      </c>
      <c r="AC1194" s="250">
        <v>80000</v>
      </c>
      <c r="AD1194" s="250">
        <v>20000</v>
      </c>
      <c r="AE1194" s="250">
        <v>200000</v>
      </c>
      <c r="AF1194" s="250">
        <v>20000</v>
      </c>
    </row>
    <row r="1195" spans="2:32" x14ac:dyDescent="0.25">
      <c r="B1195" s="61" t="s">
        <v>2111</v>
      </c>
      <c r="C1195" s="249" t="str">
        <f t="shared" si="66"/>
        <v>T3</v>
      </c>
      <c r="D1195" s="14">
        <v>2011</v>
      </c>
      <c r="E1195" s="13">
        <v>200000</v>
      </c>
      <c r="F1195" s="249">
        <v>2.7</v>
      </c>
      <c r="G1195" s="249">
        <v>3</v>
      </c>
      <c r="H1195" s="249" t="str">
        <f t="shared" si="67"/>
        <v>D</v>
      </c>
      <c r="I1195" s="249">
        <f t="shared" si="63"/>
        <v>1</v>
      </c>
      <c r="J1195" s="143">
        <v>15000</v>
      </c>
      <c r="K1195" s="249" t="str">
        <f t="shared" si="68"/>
        <v>PT</v>
      </c>
      <c r="M1195" s="249">
        <f t="shared" si="64"/>
        <v>4</v>
      </c>
      <c r="N1195" s="249">
        <f t="shared" si="65"/>
        <v>3</v>
      </c>
      <c r="Z1195" s="130">
        <v>0.5</v>
      </c>
      <c r="AA1195" s="249">
        <v>7</v>
      </c>
      <c r="AB1195" s="250">
        <v>20000</v>
      </c>
      <c r="AC1195" s="250">
        <v>28000</v>
      </c>
      <c r="AD1195" s="250">
        <v>40000</v>
      </c>
      <c r="AE1195" s="250">
        <v>23000</v>
      </c>
      <c r="AF1195" s="250">
        <v>40000</v>
      </c>
    </row>
    <row r="1196" spans="2:32" x14ac:dyDescent="0.25">
      <c r="B1196" s="61" t="s">
        <v>2112</v>
      </c>
      <c r="C1196" s="249" t="str">
        <f t="shared" si="66"/>
        <v>C3</v>
      </c>
      <c r="D1196" s="14">
        <v>2013</v>
      </c>
      <c r="E1196" s="13">
        <v>300000</v>
      </c>
      <c r="F1196" s="249">
        <v>2.5</v>
      </c>
      <c r="G1196" s="249">
        <v>3</v>
      </c>
      <c r="H1196" s="249" t="str">
        <f t="shared" si="67"/>
        <v>D</v>
      </c>
      <c r="I1196" s="249">
        <f t="shared" si="63"/>
        <v>1</v>
      </c>
      <c r="J1196" s="143">
        <v>20000</v>
      </c>
      <c r="K1196" s="249" t="str">
        <f t="shared" si="68"/>
        <v>PT</v>
      </c>
      <c r="M1196" s="249">
        <f t="shared" si="64"/>
        <v>2</v>
      </c>
      <c r="N1196" s="249">
        <f t="shared" si="65"/>
        <v>1</v>
      </c>
      <c r="Z1196" s="130">
        <v>0.1</v>
      </c>
      <c r="AA1196" s="249">
        <v>7</v>
      </c>
      <c r="AB1196" s="250">
        <v>40000</v>
      </c>
      <c r="AC1196" s="250">
        <v>20000</v>
      </c>
      <c r="AD1196" s="250">
        <v>40000</v>
      </c>
      <c r="AE1196" s="250">
        <v>240000</v>
      </c>
      <c r="AF1196" s="250">
        <v>40000</v>
      </c>
    </row>
    <row r="1197" spans="2:32" x14ac:dyDescent="0.25">
      <c r="B1197" s="61" t="s">
        <v>2113</v>
      </c>
      <c r="C1197" s="249" t="str">
        <f t="shared" si="66"/>
        <v>C3</v>
      </c>
      <c r="D1197" s="14">
        <v>2005</v>
      </c>
      <c r="E1197" s="13">
        <v>1400000</v>
      </c>
      <c r="F1197" s="249">
        <v>2.8</v>
      </c>
      <c r="G1197" s="249">
        <v>3</v>
      </c>
      <c r="H1197" s="249" t="str">
        <f t="shared" si="67"/>
        <v>D</v>
      </c>
      <c r="I1197" s="249">
        <f t="shared" si="63"/>
        <v>1</v>
      </c>
      <c r="J1197" s="143">
        <v>15000</v>
      </c>
      <c r="K1197" s="249" t="str">
        <f t="shared" si="68"/>
        <v>PT</v>
      </c>
      <c r="M1197" s="249">
        <f t="shared" si="64"/>
        <v>10</v>
      </c>
      <c r="N1197" s="249">
        <f t="shared" si="65"/>
        <v>9</v>
      </c>
      <c r="Z1197" s="130">
        <v>0.5</v>
      </c>
      <c r="AA1197" s="249">
        <v>7</v>
      </c>
      <c r="AB1197" s="250">
        <v>20000</v>
      </c>
      <c r="AC1197" s="250">
        <v>10000</v>
      </c>
      <c r="AD1197" s="250">
        <v>20000</v>
      </c>
      <c r="AE1197" s="250">
        <v>180000</v>
      </c>
      <c r="AF1197" s="250">
        <v>20000</v>
      </c>
    </row>
    <row r="1198" spans="2:32" x14ac:dyDescent="0.25">
      <c r="B1198" s="61" t="s">
        <v>2114</v>
      </c>
      <c r="C1198" s="249" t="str">
        <f t="shared" si="66"/>
        <v>C2</v>
      </c>
      <c r="D1198" s="14">
        <v>2010</v>
      </c>
      <c r="E1198" s="13">
        <v>600000</v>
      </c>
      <c r="F1198" s="249">
        <v>2.5</v>
      </c>
      <c r="G1198" s="249">
        <v>2.8</v>
      </c>
      <c r="H1198" s="249" t="str">
        <f t="shared" si="67"/>
        <v>D</v>
      </c>
      <c r="I1198" s="249">
        <f t="shared" si="63"/>
        <v>1</v>
      </c>
      <c r="J1198" s="143">
        <v>4000</v>
      </c>
      <c r="K1198" s="249" t="str">
        <f t="shared" si="68"/>
        <v>HC</v>
      </c>
      <c r="M1198" s="249">
        <f t="shared" si="64"/>
        <v>5</v>
      </c>
      <c r="N1198" s="249">
        <f t="shared" si="65"/>
        <v>4</v>
      </c>
      <c r="Z1198" s="130">
        <v>0.5</v>
      </c>
      <c r="AA1198" s="249">
        <v>3</v>
      </c>
      <c r="AB1198" s="250">
        <v>8000</v>
      </c>
      <c r="AC1198" s="250">
        <v>6000</v>
      </c>
      <c r="AD1198" s="250">
        <v>17000</v>
      </c>
      <c r="AE1198" s="250">
        <v>130000</v>
      </c>
      <c r="AF1198" s="250">
        <v>17000</v>
      </c>
    </row>
    <row r="1199" spans="2:32" x14ac:dyDescent="0.25">
      <c r="B1199" s="61" t="s">
        <v>2115</v>
      </c>
      <c r="C1199" s="249" t="str">
        <f t="shared" si="66"/>
        <v>T2</v>
      </c>
      <c r="D1199" s="14">
        <v>2010</v>
      </c>
      <c r="E1199" s="13">
        <v>100000</v>
      </c>
      <c r="F1199" s="249">
        <v>2</v>
      </c>
      <c r="G1199" s="249">
        <v>2.8</v>
      </c>
      <c r="H1199" s="249" t="str">
        <f t="shared" si="67"/>
        <v>D</v>
      </c>
      <c r="I1199" s="249">
        <f t="shared" si="63"/>
        <v>1</v>
      </c>
      <c r="J1199" s="143">
        <v>2500</v>
      </c>
      <c r="K1199" s="249" t="str">
        <f t="shared" si="68"/>
        <v>HC</v>
      </c>
      <c r="M1199" s="249">
        <f t="shared" si="64"/>
        <v>5</v>
      </c>
      <c r="N1199" s="249">
        <f t="shared" si="65"/>
        <v>4</v>
      </c>
      <c r="Z1199" s="130">
        <v>0.2</v>
      </c>
      <c r="AA1199" s="249">
        <v>2</v>
      </c>
      <c r="AB1199" s="250">
        <v>7000</v>
      </c>
      <c r="AC1199" s="250">
        <v>9000</v>
      </c>
      <c r="AD1199" s="250">
        <v>19000</v>
      </c>
      <c r="AE1199" s="250">
        <v>60000</v>
      </c>
      <c r="AF1199" s="250">
        <v>19000</v>
      </c>
    </row>
    <row r="1200" spans="2:32" x14ac:dyDescent="0.25">
      <c r="B1200" s="61" t="s">
        <v>2116</v>
      </c>
      <c r="C1200" s="249" t="str">
        <f t="shared" si="66"/>
        <v>C2</v>
      </c>
      <c r="D1200" s="14">
        <v>1991</v>
      </c>
      <c r="E1200" s="13" t="s">
        <v>352</v>
      </c>
      <c r="F1200" s="249">
        <v>2</v>
      </c>
      <c r="G1200" s="249">
        <v>2.2999999999999998</v>
      </c>
      <c r="H1200" s="249" t="str">
        <f t="shared" si="67"/>
        <v>D</v>
      </c>
      <c r="I1200" s="249">
        <f t="shared" si="63"/>
        <v>1</v>
      </c>
      <c r="J1200" s="143">
        <v>2000</v>
      </c>
      <c r="K1200" s="249" t="str">
        <f t="shared" si="68"/>
        <v>HC</v>
      </c>
      <c r="M1200" s="249">
        <f t="shared" si="64"/>
        <v>24</v>
      </c>
      <c r="N1200" s="249">
        <f t="shared" si="65"/>
        <v>23</v>
      </c>
      <c r="Z1200" s="130">
        <v>0.5</v>
      </c>
      <c r="AA1200" s="249">
        <v>2</v>
      </c>
      <c r="AB1200" s="250">
        <v>7000</v>
      </c>
      <c r="AC1200" s="250">
        <v>5000</v>
      </c>
      <c r="AD1200" s="250">
        <v>20000</v>
      </c>
      <c r="AE1200" s="250">
        <v>48000</v>
      </c>
      <c r="AF1200" s="250">
        <v>2000</v>
      </c>
    </row>
    <row r="1201" spans="2:32" x14ac:dyDescent="0.25">
      <c r="B1201" s="61" t="s">
        <v>2117</v>
      </c>
      <c r="C1201" s="249" t="str">
        <f t="shared" si="66"/>
        <v>T3</v>
      </c>
      <c r="D1201" s="14">
        <v>2012</v>
      </c>
      <c r="E1201" s="13">
        <v>250000</v>
      </c>
      <c r="F1201" s="249">
        <v>2</v>
      </c>
      <c r="G1201" s="249">
        <v>2.2999999999999998</v>
      </c>
      <c r="H1201" s="249" t="str">
        <f t="shared" si="67"/>
        <v>D</v>
      </c>
      <c r="I1201" s="249">
        <f t="shared" si="63"/>
        <v>1</v>
      </c>
      <c r="J1201" s="143">
        <v>5000</v>
      </c>
      <c r="K1201" s="249" t="str">
        <f t="shared" si="68"/>
        <v>HC</v>
      </c>
      <c r="M1201" s="249">
        <f t="shared" si="64"/>
        <v>3</v>
      </c>
      <c r="N1201" s="249">
        <f t="shared" si="65"/>
        <v>2</v>
      </c>
      <c r="Z1201" s="130">
        <v>0.5</v>
      </c>
      <c r="AA1201" s="249">
        <v>3</v>
      </c>
      <c r="AB1201" s="250">
        <v>7000</v>
      </c>
      <c r="AC1201" s="250">
        <v>11000</v>
      </c>
      <c r="AD1201" s="250">
        <v>15000</v>
      </c>
      <c r="AE1201" s="250">
        <v>90000</v>
      </c>
      <c r="AF1201" s="250">
        <v>15000</v>
      </c>
    </row>
    <row r="1202" spans="2:32" x14ac:dyDescent="0.25">
      <c r="B1202" s="61" t="s">
        <v>2118</v>
      </c>
      <c r="C1202" s="249" t="str">
        <f t="shared" si="66"/>
        <v>C3</v>
      </c>
      <c r="D1202" s="14">
        <v>1983</v>
      </c>
      <c r="E1202" s="13">
        <v>1500000</v>
      </c>
      <c r="F1202" s="249">
        <v>2</v>
      </c>
      <c r="G1202" s="249">
        <v>2.2000000000000002</v>
      </c>
      <c r="H1202" s="249" t="str">
        <f t="shared" si="67"/>
        <v>D</v>
      </c>
      <c r="I1202" s="249">
        <f t="shared" si="63"/>
        <v>1</v>
      </c>
      <c r="J1202" s="143">
        <v>5000</v>
      </c>
      <c r="K1202" s="249" t="str">
        <f t="shared" si="68"/>
        <v>PT</v>
      </c>
      <c r="M1202" s="249">
        <f t="shared" si="64"/>
        <v>32</v>
      </c>
      <c r="N1202" s="249">
        <f t="shared" si="65"/>
        <v>31</v>
      </c>
      <c r="Z1202" s="130">
        <v>0.5</v>
      </c>
      <c r="AA1202" s="249">
        <v>7</v>
      </c>
      <c r="AB1202" s="250">
        <v>10000</v>
      </c>
      <c r="AC1202" s="250">
        <v>8000</v>
      </c>
      <c r="AD1202" s="250">
        <v>12000</v>
      </c>
      <c r="AE1202" s="250">
        <v>60000</v>
      </c>
      <c r="AF1202" s="250">
        <v>12000</v>
      </c>
    </row>
    <row r="1203" spans="2:32" x14ac:dyDescent="0.25">
      <c r="B1203" s="61" t="s">
        <v>2119</v>
      </c>
      <c r="C1203" s="249" t="str">
        <f t="shared" si="66"/>
        <v>T3</v>
      </c>
      <c r="D1203" s="14">
        <v>2009</v>
      </c>
      <c r="E1203" s="13">
        <v>300000</v>
      </c>
      <c r="F1203" s="249">
        <v>2.2999999999999998</v>
      </c>
      <c r="G1203" s="249">
        <v>2.8</v>
      </c>
      <c r="H1203" s="249" t="str">
        <f t="shared" si="67"/>
        <v>D</v>
      </c>
      <c r="I1203" s="249">
        <f t="shared" si="63"/>
        <v>1</v>
      </c>
      <c r="J1203" s="143">
        <v>5000</v>
      </c>
      <c r="K1203" s="249" t="str">
        <f t="shared" si="68"/>
        <v>PT</v>
      </c>
      <c r="M1203" s="249">
        <f t="shared" si="64"/>
        <v>6</v>
      </c>
      <c r="N1203" s="249">
        <f t="shared" si="65"/>
        <v>5</v>
      </c>
      <c r="Z1203" s="130">
        <v>0.5</v>
      </c>
      <c r="AA1203" s="249">
        <v>7</v>
      </c>
      <c r="AB1203" s="250">
        <v>12000</v>
      </c>
      <c r="AC1203" s="250">
        <v>6000</v>
      </c>
      <c r="AD1203" s="250">
        <v>15000</v>
      </c>
      <c r="AE1203" s="250">
        <v>60000</v>
      </c>
      <c r="AF1203" s="250">
        <v>15000</v>
      </c>
    </row>
    <row r="1204" spans="2:32" x14ac:dyDescent="0.25">
      <c r="B1204" s="61" t="s">
        <v>2120</v>
      </c>
      <c r="C1204" s="249" t="str">
        <f t="shared" si="66"/>
        <v>T3</v>
      </c>
      <c r="D1204" s="14">
        <v>2012</v>
      </c>
      <c r="E1204" s="13">
        <v>200000</v>
      </c>
      <c r="F1204" s="249">
        <v>2</v>
      </c>
      <c r="G1204" s="249">
        <v>3</v>
      </c>
      <c r="H1204" s="249" t="str">
        <f t="shared" si="67"/>
        <v>D</v>
      </c>
      <c r="I1204" s="249">
        <f t="shared" si="63"/>
        <v>1</v>
      </c>
      <c r="J1204" s="143">
        <v>10000</v>
      </c>
      <c r="K1204" s="249" t="str">
        <f t="shared" si="68"/>
        <v>HC</v>
      </c>
      <c r="M1204" s="249">
        <f t="shared" si="64"/>
        <v>3</v>
      </c>
      <c r="N1204" s="249">
        <f t="shared" si="65"/>
        <v>2</v>
      </c>
      <c r="Z1204" s="130">
        <v>0.1</v>
      </c>
      <c r="AA1204" s="249">
        <v>1</v>
      </c>
      <c r="AB1204" s="250">
        <v>10000</v>
      </c>
      <c r="AC1204" s="250">
        <v>10000</v>
      </c>
      <c r="AD1204" s="250">
        <v>18000</v>
      </c>
      <c r="AE1204" s="250">
        <v>120000</v>
      </c>
      <c r="AF1204" s="250">
        <v>18000</v>
      </c>
    </row>
    <row r="1205" spans="2:32" x14ac:dyDescent="0.25">
      <c r="B1205" s="61" t="s">
        <v>2121</v>
      </c>
      <c r="C1205" s="249" t="str">
        <f t="shared" si="66"/>
        <v>C3</v>
      </c>
      <c r="D1205" s="14">
        <v>2010</v>
      </c>
      <c r="E1205" s="13">
        <v>500000</v>
      </c>
      <c r="F1205" s="249">
        <v>2.5</v>
      </c>
      <c r="G1205" s="249">
        <v>2.8</v>
      </c>
      <c r="H1205" s="249" t="str">
        <f t="shared" si="67"/>
        <v>D</v>
      </c>
      <c r="I1205" s="249">
        <f t="shared" si="63"/>
        <v>1</v>
      </c>
      <c r="J1205" s="143">
        <v>12000</v>
      </c>
      <c r="K1205" s="249" t="str">
        <f t="shared" si="68"/>
        <v>HC</v>
      </c>
      <c r="M1205" s="249">
        <f t="shared" si="64"/>
        <v>5</v>
      </c>
      <c r="N1205" s="249">
        <f t="shared" si="65"/>
        <v>4</v>
      </c>
      <c r="Z1205" s="130">
        <v>0.2</v>
      </c>
      <c r="AA1205" s="249">
        <v>3</v>
      </c>
      <c r="AB1205" s="250">
        <v>10000</v>
      </c>
      <c r="AC1205" s="250">
        <v>8000</v>
      </c>
      <c r="AD1205" s="250">
        <v>20000</v>
      </c>
      <c r="AE1205" s="250">
        <v>144000</v>
      </c>
      <c r="AF1205" s="250">
        <v>20000</v>
      </c>
    </row>
    <row r="1206" spans="2:32" x14ac:dyDescent="0.25">
      <c r="B1206" s="61" t="s">
        <v>2122</v>
      </c>
      <c r="C1206" s="249" t="str">
        <f t="shared" si="66"/>
        <v>C2</v>
      </c>
      <c r="D1206" s="14">
        <v>2011</v>
      </c>
      <c r="E1206" s="13">
        <v>120500</v>
      </c>
      <c r="F1206" s="249">
        <v>5</v>
      </c>
      <c r="G1206" s="249">
        <v>6</v>
      </c>
      <c r="H1206" s="249" t="str">
        <f t="shared" si="67"/>
        <v>G</v>
      </c>
      <c r="I1206" s="249">
        <f t="shared" si="63"/>
        <v>1</v>
      </c>
      <c r="J1206" s="143">
        <v>2000</v>
      </c>
      <c r="K1206" s="249" t="str">
        <f t="shared" si="68"/>
        <v>HC</v>
      </c>
      <c r="M1206" s="249">
        <f t="shared" si="64"/>
        <v>4</v>
      </c>
      <c r="N1206" s="249">
        <f t="shared" si="65"/>
        <v>3</v>
      </c>
      <c r="Z1206" s="130">
        <v>0.5</v>
      </c>
      <c r="AA1206" s="249">
        <v>3</v>
      </c>
      <c r="AB1206" s="250">
        <v>40000</v>
      </c>
      <c r="AC1206" s="250">
        <v>12000</v>
      </c>
      <c r="AD1206" s="250">
        <v>60000</v>
      </c>
      <c r="AE1206" s="250">
        <v>48000</v>
      </c>
      <c r="AF1206" s="250" t="s">
        <v>2462</v>
      </c>
    </row>
    <row r="1207" spans="2:32" x14ac:dyDescent="0.25">
      <c r="B1207" s="61" t="s">
        <v>2123</v>
      </c>
      <c r="C1207" s="249" t="str">
        <f t="shared" si="66"/>
        <v>T3</v>
      </c>
      <c r="D1207" s="14">
        <v>2005</v>
      </c>
      <c r="E1207" s="13">
        <v>600000</v>
      </c>
      <c r="F1207" s="249">
        <v>2.5</v>
      </c>
      <c r="G1207" s="249">
        <v>2.8</v>
      </c>
      <c r="H1207" s="249" t="str">
        <f t="shared" si="67"/>
        <v>D</v>
      </c>
      <c r="I1207" s="249">
        <f t="shared" si="63"/>
        <v>1</v>
      </c>
      <c r="J1207" s="143">
        <v>10000</v>
      </c>
      <c r="K1207" s="249" t="str">
        <f t="shared" si="68"/>
        <v>HC</v>
      </c>
      <c r="M1207" s="249">
        <f t="shared" si="64"/>
        <v>10</v>
      </c>
      <c r="N1207" s="249">
        <f t="shared" si="65"/>
        <v>9</v>
      </c>
      <c r="Z1207" s="130">
        <v>0.5</v>
      </c>
      <c r="AA1207" s="249">
        <v>2</v>
      </c>
      <c r="AB1207" s="250">
        <v>12000</v>
      </c>
      <c r="AC1207" s="250">
        <v>10000</v>
      </c>
      <c r="AD1207" s="250">
        <v>15000</v>
      </c>
      <c r="AE1207" s="250">
        <v>180000</v>
      </c>
      <c r="AF1207" s="250">
        <v>15000</v>
      </c>
    </row>
    <row r="1208" spans="2:32" x14ac:dyDescent="0.25">
      <c r="B1208" s="61" t="s">
        <v>2124</v>
      </c>
      <c r="C1208" s="249" t="str">
        <f t="shared" si="66"/>
        <v>T3</v>
      </c>
      <c r="D1208" s="14">
        <v>2007</v>
      </c>
      <c r="E1208" s="13">
        <v>500000</v>
      </c>
      <c r="F1208" s="249">
        <v>2.8</v>
      </c>
      <c r="G1208" s="249">
        <v>3.2</v>
      </c>
      <c r="H1208" s="249" t="str">
        <f t="shared" si="67"/>
        <v>D</v>
      </c>
      <c r="I1208" s="249">
        <f t="shared" si="63"/>
        <v>1</v>
      </c>
      <c r="J1208" s="143">
        <v>5000</v>
      </c>
      <c r="K1208" s="249" t="str">
        <f t="shared" si="68"/>
        <v>PT</v>
      </c>
      <c r="M1208" s="249">
        <f t="shared" si="64"/>
        <v>8</v>
      </c>
      <c r="N1208" s="249">
        <f t="shared" si="65"/>
        <v>7</v>
      </c>
      <c r="Z1208" s="130">
        <v>0.3</v>
      </c>
      <c r="AA1208" s="249">
        <v>7</v>
      </c>
      <c r="AB1208" s="250">
        <v>8000</v>
      </c>
      <c r="AC1208" s="250">
        <v>6000</v>
      </c>
      <c r="AD1208" s="250">
        <v>20000</v>
      </c>
      <c r="AE1208" s="250">
        <v>170000</v>
      </c>
      <c r="AF1208" s="250">
        <v>20000</v>
      </c>
    </row>
    <row r="1209" spans="2:32" x14ac:dyDescent="0.25">
      <c r="B1209" s="61" t="s">
        <v>2125</v>
      </c>
      <c r="C1209" s="249" t="str">
        <f t="shared" si="66"/>
        <v>T3</v>
      </c>
      <c r="D1209" s="14">
        <v>1980</v>
      </c>
      <c r="E1209" s="13" t="s">
        <v>908</v>
      </c>
      <c r="F1209" s="249">
        <v>1.9</v>
      </c>
      <c r="G1209" s="249">
        <v>2.2000000000000002</v>
      </c>
      <c r="H1209" s="249" t="str">
        <f t="shared" si="67"/>
        <v>D</v>
      </c>
      <c r="I1209" s="249">
        <f t="shared" si="63"/>
        <v>1</v>
      </c>
      <c r="J1209" s="143">
        <v>2000</v>
      </c>
      <c r="K1209" s="249" t="str">
        <f t="shared" si="68"/>
        <v>HC</v>
      </c>
      <c r="M1209" s="249">
        <f t="shared" si="64"/>
        <v>35</v>
      </c>
      <c r="N1209" s="249">
        <f t="shared" si="65"/>
        <v>34</v>
      </c>
      <c r="Z1209" s="130">
        <v>0.5</v>
      </c>
      <c r="AA1209" s="249">
        <v>3</v>
      </c>
      <c r="AB1209" s="250">
        <v>4000</v>
      </c>
      <c r="AC1209" s="250">
        <v>2000</v>
      </c>
      <c r="AD1209" s="250">
        <v>13000</v>
      </c>
      <c r="AE1209" s="250">
        <v>48000</v>
      </c>
      <c r="AF1209" s="250">
        <v>13000</v>
      </c>
    </row>
    <row r="1210" spans="2:32" x14ac:dyDescent="0.25">
      <c r="B1210" s="61" t="s">
        <v>2126</v>
      </c>
      <c r="C1210" s="249" t="str">
        <f t="shared" si="66"/>
        <v>T3</v>
      </c>
      <c r="D1210" s="14">
        <v>2009</v>
      </c>
      <c r="E1210" s="13" t="s">
        <v>908</v>
      </c>
      <c r="F1210" s="249">
        <v>1.7</v>
      </c>
      <c r="G1210" s="249">
        <v>2</v>
      </c>
      <c r="H1210" s="249" t="str">
        <f t="shared" si="67"/>
        <v>D</v>
      </c>
      <c r="I1210" s="249">
        <f t="shared" si="63"/>
        <v>1</v>
      </c>
      <c r="J1210" s="143">
        <v>5000</v>
      </c>
      <c r="K1210" s="249" t="str">
        <f t="shared" si="68"/>
        <v>PT</v>
      </c>
      <c r="M1210" s="249">
        <f t="shared" si="64"/>
        <v>6</v>
      </c>
      <c r="N1210" s="249">
        <f t="shared" si="65"/>
        <v>5</v>
      </c>
      <c r="Z1210" s="130">
        <v>0.5</v>
      </c>
      <c r="AA1210" s="249">
        <v>7</v>
      </c>
      <c r="AB1210" s="250">
        <v>15000</v>
      </c>
      <c r="AC1210" s="250">
        <v>10000</v>
      </c>
      <c r="AD1210" s="250">
        <v>12000</v>
      </c>
      <c r="AE1210" s="250">
        <v>150000</v>
      </c>
      <c r="AF1210" s="250">
        <v>12000</v>
      </c>
    </row>
    <row r="1211" spans="2:32" x14ac:dyDescent="0.25">
      <c r="B1211" s="61" t="s">
        <v>2127</v>
      </c>
      <c r="C1211" s="249" t="str">
        <f t="shared" si="66"/>
        <v>C2</v>
      </c>
      <c r="D1211" s="14">
        <v>2006</v>
      </c>
      <c r="E1211" s="13">
        <v>400000</v>
      </c>
      <c r="F1211" s="249">
        <v>2.2000000000000002</v>
      </c>
      <c r="G1211" s="249">
        <v>2.5</v>
      </c>
      <c r="H1211" s="249" t="str">
        <f t="shared" si="67"/>
        <v>D</v>
      </c>
      <c r="I1211" s="249">
        <f t="shared" si="63"/>
        <v>1</v>
      </c>
      <c r="J1211" s="143">
        <v>3000</v>
      </c>
      <c r="K1211" s="249" t="str">
        <f t="shared" si="68"/>
        <v>PT</v>
      </c>
      <c r="M1211" s="249">
        <f t="shared" si="64"/>
        <v>9</v>
      </c>
      <c r="N1211" s="249">
        <f t="shared" si="65"/>
        <v>8</v>
      </c>
      <c r="Z1211" s="130">
        <v>0.2</v>
      </c>
      <c r="AA1211" s="249">
        <v>7</v>
      </c>
      <c r="AB1211" s="250">
        <v>5000</v>
      </c>
      <c r="AC1211" s="250">
        <v>7000</v>
      </c>
      <c r="AD1211" s="250">
        <v>12000</v>
      </c>
      <c r="AE1211" s="250">
        <v>72000</v>
      </c>
      <c r="AF1211" s="250">
        <v>12000</v>
      </c>
    </row>
    <row r="1212" spans="2:32" x14ac:dyDescent="0.25">
      <c r="B1212" s="61" t="s">
        <v>2128</v>
      </c>
      <c r="C1212" s="249" t="str">
        <f t="shared" si="66"/>
        <v>C3</v>
      </c>
      <c r="D1212" s="14">
        <v>1979</v>
      </c>
      <c r="E1212" s="13">
        <v>852500</v>
      </c>
      <c r="F1212" s="249">
        <v>2.5</v>
      </c>
      <c r="G1212" s="249">
        <v>2.8</v>
      </c>
      <c r="H1212" s="249" t="str">
        <f t="shared" si="67"/>
        <v>D</v>
      </c>
      <c r="I1212" s="249">
        <f t="shared" si="63"/>
        <v>1</v>
      </c>
      <c r="J1212" s="143">
        <v>1500</v>
      </c>
      <c r="K1212" s="249" t="str">
        <f t="shared" si="68"/>
        <v>PT</v>
      </c>
      <c r="M1212" s="249">
        <f t="shared" si="64"/>
        <v>36</v>
      </c>
      <c r="N1212" s="249">
        <f t="shared" si="65"/>
        <v>35</v>
      </c>
      <c r="Z1212" s="130">
        <v>0.1</v>
      </c>
      <c r="AA1212" s="249">
        <v>7</v>
      </c>
      <c r="AB1212" s="250">
        <v>9000</v>
      </c>
      <c r="AC1212" s="250">
        <v>6000</v>
      </c>
      <c r="AD1212" s="250">
        <v>18000</v>
      </c>
      <c r="AE1212" s="250">
        <v>45000</v>
      </c>
      <c r="AF1212" s="250">
        <v>18000</v>
      </c>
    </row>
    <row r="1213" spans="2:32" x14ac:dyDescent="0.25">
      <c r="B1213" s="61" t="s">
        <v>2129</v>
      </c>
      <c r="C1213" s="249" t="str">
        <f t="shared" si="66"/>
        <v>C2</v>
      </c>
      <c r="D1213" s="14">
        <v>2008</v>
      </c>
      <c r="E1213" s="13">
        <v>300000</v>
      </c>
      <c r="F1213" s="249">
        <v>2.5</v>
      </c>
      <c r="G1213" s="249">
        <v>2.8</v>
      </c>
      <c r="H1213" s="249" t="str">
        <f t="shared" si="67"/>
        <v>D</v>
      </c>
      <c r="I1213" s="249">
        <f t="shared" si="63"/>
        <v>1</v>
      </c>
      <c r="J1213" s="143">
        <v>4000</v>
      </c>
      <c r="K1213" s="249" t="str">
        <f t="shared" si="68"/>
        <v>HC</v>
      </c>
      <c r="M1213" s="249">
        <f t="shared" si="64"/>
        <v>7</v>
      </c>
      <c r="N1213" s="249">
        <f t="shared" si="65"/>
        <v>6</v>
      </c>
      <c r="Z1213" s="130">
        <v>0.3</v>
      </c>
      <c r="AA1213" s="249">
        <v>3</v>
      </c>
      <c r="AB1213" s="250">
        <v>25000</v>
      </c>
      <c r="AC1213" s="250">
        <v>18000</v>
      </c>
      <c r="AD1213" s="250">
        <v>30000</v>
      </c>
      <c r="AE1213" s="250">
        <v>90000</v>
      </c>
      <c r="AF1213" s="250">
        <v>30000</v>
      </c>
    </row>
    <row r="1214" spans="2:32" x14ac:dyDescent="0.25">
      <c r="B1214" s="61" t="s">
        <v>2130</v>
      </c>
      <c r="C1214" s="249" t="str">
        <f t="shared" si="66"/>
        <v>C2</v>
      </c>
      <c r="D1214" s="14">
        <v>2000</v>
      </c>
      <c r="E1214" s="13">
        <v>700000</v>
      </c>
      <c r="F1214" s="249">
        <v>2</v>
      </c>
      <c r="G1214" s="249">
        <v>2.5</v>
      </c>
      <c r="H1214" s="249" t="str">
        <f t="shared" si="67"/>
        <v>D</v>
      </c>
      <c r="I1214" s="249">
        <f t="shared" si="63"/>
        <v>1</v>
      </c>
      <c r="J1214" s="143">
        <v>2500</v>
      </c>
      <c r="K1214" s="249" t="str">
        <f t="shared" si="68"/>
        <v>HC</v>
      </c>
      <c r="M1214" s="249">
        <f t="shared" si="64"/>
        <v>15</v>
      </c>
      <c r="N1214" s="249">
        <f t="shared" si="65"/>
        <v>14</v>
      </c>
      <c r="Z1214" s="130">
        <v>0.1</v>
      </c>
      <c r="AA1214" s="249">
        <v>1</v>
      </c>
      <c r="AB1214" s="250">
        <v>10000</v>
      </c>
      <c r="AC1214" s="250">
        <v>10000</v>
      </c>
      <c r="AD1214" s="250">
        <v>20000</v>
      </c>
      <c r="AE1214" s="250">
        <v>120000</v>
      </c>
      <c r="AF1214" s="250">
        <v>20000</v>
      </c>
    </row>
    <row r="1215" spans="2:32" x14ac:dyDescent="0.25">
      <c r="B1215" s="61" t="s">
        <v>2131</v>
      </c>
      <c r="C1215" s="249" t="str">
        <f t="shared" si="66"/>
        <v>T3</v>
      </c>
      <c r="D1215" s="14">
        <v>2009</v>
      </c>
      <c r="E1215" s="13">
        <v>600000</v>
      </c>
      <c r="F1215" s="249">
        <v>2.5</v>
      </c>
      <c r="G1215" s="249">
        <v>2.8</v>
      </c>
      <c r="H1215" s="249" t="str">
        <f t="shared" si="67"/>
        <v>D</v>
      </c>
      <c r="I1215" s="249">
        <f t="shared" si="63"/>
        <v>1</v>
      </c>
      <c r="J1215" s="143">
        <v>6000</v>
      </c>
      <c r="K1215" s="249" t="str">
        <f t="shared" si="68"/>
        <v>HC</v>
      </c>
      <c r="M1215" s="249">
        <f t="shared" si="64"/>
        <v>6</v>
      </c>
      <c r="N1215" s="249">
        <f t="shared" si="65"/>
        <v>5</v>
      </c>
      <c r="Z1215" s="130">
        <v>0.2</v>
      </c>
      <c r="AA1215" s="249">
        <v>3</v>
      </c>
      <c r="AB1215" s="250">
        <v>10000</v>
      </c>
      <c r="AC1215" s="250">
        <v>6000</v>
      </c>
      <c r="AD1215" s="250">
        <v>13000</v>
      </c>
      <c r="AE1215" s="250">
        <v>150000</v>
      </c>
      <c r="AF1215" s="250">
        <v>13000</v>
      </c>
    </row>
    <row r="1216" spans="2:32" x14ac:dyDescent="0.25">
      <c r="B1216" s="61" t="s">
        <v>2132</v>
      </c>
      <c r="C1216" s="249" t="str">
        <f t="shared" si="66"/>
        <v>C2</v>
      </c>
      <c r="D1216" s="14">
        <v>2003</v>
      </c>
      <c r="E1216" s="13">
        <v>700000</v>
      </c>
      <c r="F1216" s="249">
        <v>2.2999999999999998</v>
      </c>
      <c r="G1216" s="249">
        <v>3</v>
      </c>
      <c r="H1216" s="249" t="str">
        <f t="shared" si="67"/>
        <v>D</v>
      </c>
      <c r="I1216" s="249">
        <f t="shared" si="63"/>
        <v>1</v>
      </c>
      <c r="J1216" s="143">
        <v>2000</v>
      </c>
      <c r="K1216" s="249" t="str">
        <f t="shared" si="68"/>
        <v>HC</v>
      </c>
      <c r="M1216" s="249">
        <f t="shared" si="64"/>
        <v>12</v>
      </c>
      <c r="N1216" s="249">
        <f t="shared" si="65"/>
        <v>11</v>
      </c>
      <c r="Z1216" s="130">
        <v>0.2</v>
      </c>
      <c r="AA1216" s="249">
        <v>3</v>
      </c>
      <c r="AB1216" s="250">
        <v>17000</v>
      </c>
      <c r="AC1216" s="250">
        <v>10000</v>
      </c>
      <c r="AD1216" s="250">
        <v>23000</v>
      </c>
      <c r="AE1216" s="250">
        <v>60000</v>
      </c>
      <c r="AF1216" s="250">
        <v>23000</v>
      </c>
    </row>
    <row r="1217" spans="2:32" x14ac:dyDescent="0.25">
      <c r="B1217" s="61" t="s">
        <v>2133</v>
      </c>
      <c r="C1217" s="249" t="str">
        <f t="shared" si="66"/>
        <v>T3</v>
      </c>
      <c r="D1217" s="14">
        <v>2007</v>
      </c>
      <c r="E1217" s="13">
        <v>500000</v>
      </c>
      <c r="F1217" s="249">
        <v>2.2999999999999998</v>
      </c>
      <c r="G1217" s="249">
        <v>2.6</v>
      </c>
      <c r="H1217" s="249" t="str">
        <f t="shared" si="67"/>
        <v>D</v>
      </c>
      <c r="I1217" s="249">
        <f t="shared" si="63"/>
        <v>1</v>
      </c>
      <c r="J1217" s="143">
        <v>3500</v>
      </c>
      <c r="K1217" s="249" t="str">
        <f t="shared" si="68"/>
        <v>HC</v>
      </c>
      <c r="M1217" s="249">
        <f t="shared" si="64"/>
        <v>8</v>
      </c>
      <c r="N1217" s="249">
        <f t="shared" si="65"/>
        <v>7</v>
      </c>
      <c r="Z1217" s="130">
        <v>0.5</v>
      </c>
      <c r="AA1217" s="249">
        <v>3</v>
      </c>
      <c r="AB1217" s="250">
        <v>7000</v>
      </c>
      <c r="AC1217" s="250">
        <v>5000</v>
      </c>
      <c r="AD1217" s="250">
        <v>17000</v>
      </c>
      <c r="AE1217" s="250">
        <v>185000</v>
      </c>
      <c r="AF1217" s="250">
        <v>17000</v>
      </c>
    </row>
    <row r="1218" spans="2:32" x14ac:dyDescent="0.25">
      <c r="B1218" s="61" t="s">
        <v>2134</v>
      </c>
      <c r="C1218" s="249" t="str">
        <f t="shared" si="66"/>
        <v>T3</v>
      </c>
      <c r="D1218" s="14">
        <v>2007</v>
      </c>
      <c r="E1218" s="13">
        <v>230400</v>
      </c>
      <c r="F1218" s="249">
        <v>2.2000000000000002</v>
      </c>
      <c r="G1218" s="249">
        <v>2.8</v>
      </c>
      <c r="H1218" s="249" t="str">
        <f t="shared" si="67"/>
        <v>D</v>
      </c>
      <c r="I1218" s="249">
        <f t="shared" si="63"/>
        <v>1</v>
      </c>
      <c r="J1218" s="143">
        <v>3200</v>
      </c>
      <c r="K1218" s="249" t="str">
        <f t="shared" si="68"/>
        <v>HC</v>
      </c>
      <c r="M1218" s="249">
        <f t="shared" si="64"/>
        <v>8</v>
      </c>
      <c r="N1218" s="249">
        <f t="shared" si="65"/>
        <v>7</v>
      </c>
      <c r="Z1218" s="130">
        <v>0.2</v>
      </c>
      <c r="AA1218" s="249">
        <v>2</v>
      </c>
      <c r="AB1218" s="250">
        <v>8000</v>
      </c>
      <c r="AC1218" s="250">
        <v>10000</v>
      </c>
      <c r="AD1218" s="250">
        <v>20000</v>
      </c>
      <c r="AE1218" s="250">
        <v>76800</v>
      </c>
      <c r="AF1218" s="250">
        <v>20000</v>
      </c>
    </row>
    <row r="1219" spans="2:32" x14ac:dyDescent="0.25">
      <c r="B1219" s="61" t="s">
        <v>2135</v>
      </c>
      <c r="C1219" s="249" t="str">
        <f t="shared" si="66"/>
        <v>T3</v>
      </c>
      <c r="D1219" s="14">
        <v>1979</v>
      </c>
      <c r="E1219" s="13">
        <v>2052000</v>
      </c>
      <c r="F1219" s="249">
        <v>2.8</v>
      </c>
      <c r="G1219" s="249">
        <v>3.2</v>
      </c>
      <c r="H1219" s="249" t="str">
        <f t="shared" si="67"/>
        <v>D</v>
      </c>
      <c r="I1219" s="249">
        <f t="shared" si="63"/>
        <v>1</v>
      </c>
      <c r="J1219" s="143">
        <v>9000</v>
      </c>
      <c r="K1219" s="249" t="str">
        <f t="shared" si="68"/>
        <v>HC</v>
      </c>
      <c r="M1219" s="249">
        <f t="shared" si="64"/>
        <v>36</v>
      </c>
      <c r="N1219" s="249">
        <f t="shared" si="65"/>
        <v>35</v>
      </c>
      <c r="Z1219" s="130">
        <v>0.1</v>
      </c>
      <c r="AA1219" s="249">
        <v>1</v>
      </c>
      <c r="AB1219" s="250">
        <v>27000</v>
      </c>
      <c r="AC1219" s="250">
        <v>27000</v>
      </c>
      <c r="AD1219" s="250">
        <v>20000</v>
      </c>
      <c r="AE1219" s="250">
        <v>162000</v>
      </c>
      <c r="AF1219" s="250">
        <v>20000</v>
      </c>
    </row>
    <row r="1220" spans="2:32" x14ac:dyDescent="0.25">
      <c r="B1220" s="61" t="s">
        <v>2136</v>
      </c>
      <c r="C1220" s="249" t="str">
        <f t="shared" si="66"/>
        <v>C2</v>
      </c>
      <c r="D1220" s="14">
        <v>2010</v>
      </c>
      <c r="E1220" s="13">
        <v>100000</v>
      </c>
      <c r="F1220" s="249">
        <v>6</v>
      </c>
      <c r="G1220" s="249">
        <v>7</v>
      </c>
      <c r="H1220" s="249" t="str">
        <f t="shared" si="67"/>
        <v>G</v>
      </c>
      <c r="I1220" s="249">
        <f t="shared" si="63"/>
        <v>1</v>
      </c>
      <c r="J1220" s="143">
        <v>1000</v>
      </c>
      <c r="K1220" s="249" t="str">
        <f t="shared" si="68"/>
        <v>HC</v>
      </c>
      <c r="M1220" s="249">
        <f t="shared" si="64"/>
        <v>5</v>
      </c>
      <c r="N1220" s="249">
        <f t="shared" si="65"/>
        <v>4</v>
      </c>
      <c r="Z1220" s="130">
        <v>0.3</v>
      </c>
      <c r="AA1220" s="249">
        <v>3</v>
      </c>
      <c r="AB1220" s="250">
        <v>7000</v>
      </c>
      <c r="AC1220" s="250">
        <v>7000</v>
      </c>
      <c r="AD1220" s="250">
        <v>12000</v>
      </c>
      <c r="AE1220" s="250">
        <v>48000</v>
      </c>
      <c r="AF1220" s="250" t="s">
        <v>2462</v>
      </c>
    </row>
    <row r="1221" spans="2:32" x14ac:dyDescent="0.25">
      <c r="B1221" s="61" t="s">
        <v>2137</v>
      </c>
      <c r="C1221" s="249" t="str">
        <f t="shared" si="66"/>
        <v>C2</v>
      </c>
      <c r="D1221" s="14">
        <v>2013</v>
      </c>
      <c r="E1221" s="13">
        <v>10000</v>
      </c>
      <c r="F1221" s="249">
        <v>5</v>
      </c>
      <c r="G1221" s="249">
        <v>6</v>
      </c>
      <c r="H1221" s="249" t="str">
        <f t="shared" si="67"/>
        <v>G</v>
      </c>
      <c r="I1221" s="249">
        <f t="shared" si="63"/>
        <v>1</v>
      </c>
      <c r="J1221" s="143">
        <v>1500</v>
      </c>
      <c r="K1221" s="249" t="str">
        <f t="shared" si="68"/>
        <v>PT</v>
      </c>
      <c r="M1221" s="249">
        <f t="shared" si="64"/>
        <v>2</v>
      </c>
      <c r="N1221" s="249">
        <f t="shared" si="65"/>
        <v>1</v>
      </c>
      <c r="Z1221" s="130">
        <v>0.5</v>
      </c>
      <c r="AA1221" s="249">
        <v>7</v>
      </c>
      <c r="AB1221" s="250">
        <v>3000</v>
      </c>
      <c r="AC1221" s="250" t="s">
        <v>352</v>
      </c>
      <c r="AD1221" s="250">
        <v>5000</v>
      </c>
      <c r="AE1221" s="250" t="s">
        <v>352</v>
      </c>
      <c r="AF1221" s="250" t="s">
        <v>2462</v>
      </c>
    </row>
    <row r="1222" spans="2:32" x14ac:dyDescent="0.25">
      <c r="B1222" s="61" t="s">
        <v>2138</v>
      </c>
      <c r="C1222" s="249" t="str">
        <f t="shared" si="66"/>
        <v>C2</v>
      </c>
      <c r="D1222" s="14">
        <v>2009</v>
      </c>
      <c r="E1222" s="13">
        <v>1200000</v>
      </c>
      <c r="F1222" s="249">
        <v>1.9</v>
      </c>
      <c r="G1222" s="249">
        <v>2.2000000000000002</v>
      </c>
      <c r="H1222" s="249" t="str">
        <f t="shared" si="67"/>
        <v>D</v>
      </c>
      <c r="I1222" s="249">
        <f t="shared" ref="I1222:I1285" si="69">IF(F1222&gt;G1222,0,1)</f>
        <v>1</v>
      </c>
      <c r="J1222" s="143">
        <v>25000</v>
      </c>
      <c r="K1222" s="249" t="str">
        <f t="shared" si="68"/>
        <v>PT</v>
      </c>
      <c r="M1222" s="249">
        <f t="shared" ref="M1222:M1285" si="70">2015-D1222</f>
        <v>6</v>
      </c>
      <c r="N1222" s="249">
        <f t="shared" ref="N1222:N1285" si="71">2014-$D1222</f>
        <v>5</v>
      </c>
      <c r="Z1222" s="130">
        <v>0.5</v>
      </c>
      <c r="AA1222" s="249">
        <v>7</v>
      </c>
      <c r="AB1222" s="250">
        <v>25000</v>
      </c>
      <c r="AC1222" s="250">
        <v>25000</v>
      </c>
      <c r="AD1222" s="250">
        <v>25000</v>
      </c>
      <c r="AE1222" s="250">
        <v>300000</v>
      </c>
      <c r="AF1222" s="250">
        <v>25000</v>
      </c>
    </row>
    <row r="1223" spans="2:32" x14ac:dyDescent="0.25">
      <c r="B1223" s="61" t="s">
        <v>2139</v>
      </c>
      <c r="C1223" s="249" t="str">
        <f t="shared" si="66"/>
        <v>T3</v>
      </c>
      <c r="D1223" s="14">
        <v>2006</v>
      </c>
      <c r="E1223" s="13">
        <v>540000</v>
      </c>
      <c r="F1223" s="249">
        <v>2.5</v>
      </c>
      <c r="G1223" s="249">
        <v>3</v>
      </c>
      <c r="H1223" s="249" t="str">
        <f t="shared" si="67"/>
        <v>D</v>
      </c>
      <c r="I1223" s="249">
        <f t="shared" si="69"/>
        <v>1</v>
      </c>
      <c r="J1223" s="143">
        <v>2500</v>
      </c>
      <c r="K1223" s="249" t="str">
        <f t="shared" si="68"/>
        <v>PT</v>
      </c>
      <c r="M1223" s="249">
        <f t="shared" si="70"/>
        <v>9</v>
      </c>
      <c r="N1223" s="249">
        <f t="shared" si="71"/>
        <v>8</v>
      </c>
      <c r="Z1223" s="130">
        <v>0.5</v>
      </c>
      <c r="AA1223" s="249">
        <v>7</v>
      </c>
      <c r="AB1223" s="250">
        <v>2500</v>
      </c>
      <c r="AC1223" s="250">
        <v>2500</v>
      </c>
      <c r="AD1223" s="250">
        <v>2500</v>
      </c>
      <c r="AE1223" s="250">
        <v>30000</v>
      </c>
      <c r="AF1223" s="250">
        <v>2500</v>
      </c>
    </row>
    <row r="1224" spans="2:32" x14ac:dyDescent="0.25">
      <c r="B1224" s="61" t="s">
        <v>2140</v>
      </c>
      <c r="C1224" s="249" t="str">
        <f t="shared" si="66"/>
        <v>T3</v>
      </c>
      <c r="D1224" s="14">
        <v>1993</v>
      </c>
      <c r="E1224" s="13">
        <v>1600000</v>
      </c>
      <c r="F1224" s="249">
        <v>3.7</v>
      </c>
      <c r="G1224" s="249">
        <v>4</v>
      </c>
      <c r="H1224" s="249" t="str">
        <f t="shared" si="67"/>
        <v>D</v>
      </c>
      <c r="I1224" s="249">
        <f t="shared" si="69"/>
        <v>1</v>
      </c>
      <c r="J1224" s="143">
        <v>7000</v>
      </c>
      <c r="K1224" s="249" t="str">
        <f t="shared" si="68"/>
        <v>HC</v>
      </c>
      <c r="M1224" s="249">
        <f t="shared" si="70"/>
        <v>22</v>
      </c>
      <c r="N1224" s="249">
        <f t="shared" si="71"/>
        <v>21</v>
      </c>
      <c r="Z1224" s="130">
        <v>0</v>
      </c>
      <c r="AA1224" s="249">
        <v>3</v>
      </c>
      <c r="AB1224" s="250">
        <v>15000</v>
      </c>
      <c r="AC1224" s="250">
        <v>13000</v>
      </c>
      <c r="AD1224" s="250">
        <v>20000</v>
      </c>
      <c r="AE1224" s="250">
        <v>140000</v>
      </c>
      <c r="AF1224" s="250">
        <v>20000</v>
      </c>
    </row>
    <row r="1225" spans="2:32" x14ac:dyDescent="0.25">
      <c r="B1225" s="61" t="s">
        <v>2141</v>
      </c>
      <c r="C1225" s="249" t="str">
        <f t="shared" si="66"/>
        <v>C2</v>
      </c>
      <c r="D1225" s="14">
        <v>2000</v>
      </c>
      <c r="E1225" s="13">
        <v>520000</v>
      </c>
      <c r="F1225" s="249">
        <v>2.2000000000000002</v>
      </c>
      <c r="G1225" s="249">
        <v>2.8</v>
      </c>
      <c r="H1225" s="249" t="str">
        <f t="shared" si="67"/>
        <v>GAS</v>
      </c>
      <c r="I1225" s="249">
        <f t="shared" si="69"/>
        <v>1</v>
      </c>
      <c r="J1225" s="143">
        <v>2000</v>
      </c>
      <c r="K1225" s="249" t="str">
        <f t="shared" si="68"/>
        <v>PT</v>
      </c>
      <c r="M1225" s="249">
        <f t="shared" si="70"/>
        <v>15</v>
      </c>
      <c r="N1225" s="249">
        <f t="shared" si="71"/>
        <v>14</v>
      </c>
      <c r="Z1225" s="130">
        <v>0.1</v>
      </c>
      <c r="AA1225" s="249">
        <v>7</v>
      </c>
      <c r="AB1225" s="250">
        <v>6000</v>
      </c>
      <c r="AC1225" s="250">
        <v>6000</v>
      </c>
      <c r="AD1225" s="250">
        <v>6000</v>
      </c>
      <c r="AE1225" s="250">
        <v>24000</v>
      </c>
      <c r="AF1225" s="250" t="s">
        <v>2462</v>
      </c>
    </row>
    <row r="1226" spans="2:32" x14ac:dyDescent="0.25">
      <c r="B1226" s="61" t="s">
        <v>2142</v>
      </c>
      <c r="C1226" s="249" t="str">
        <f t="shared" si="66"/>
        <v>T3</v>
      </c>
      <c r="D1226" s="14">
        <v>2012</v>
      </c>
      <c r="E1226" s="13">
        <v>292000</v>
      </c>
      <c r="F1226" s="249">
        <v>1.5</v>
      </c>
      <c r="G1226" s="249">
        <v>1.7</v>
      </c>
      <c r="H1226" s="249" t="str">
        <f t="shared" si="67"/>
        <v>D</v>
      </c>
      <c r="I1226" s="249">
        <f t="shared" si="69"/>
        <v>1</v>
      </c>
      <c r="J1226" s="143">
        <v>25000</v>
      </c>
      <c r="K1226" s="249" t="str">
        <f t="shared" si="68"/>
        <v>HC</v>
      </c>
      <c r="M1226" s="249">
        <f t="shared" si="70"/>
        <v>3</v>
      </c>
      <c r="N1226" s="249">
        <f t="shared" si="71"/>
        <v>2</v>
      </c>
      <c r="Z1226" s="130">
        <v>0.5</v>
      </c>
      <c r="AA1226" s="249">
        <v>2</v>
      </c>
      <c r="AB1226" s="250">
        <v>25000</v>
      </c>
      <c r="AC1226" s="250">
        <v>10000</v>
      </c>
      <c r="AD1226" s="250">
        <v>30000</v>
      </c>
      <c r="AE1226" s="250">
        <v>200000</v>
      </c>
      <c r="AF1226" s="250">
        <v>30000</v>
      </c>
    </row>
    <row r="1227" spans="2:32" x14ac:dyDescent="0.25">
      <c r="B1227" s="61" t="s">
        <v>2143</v>
      </c>
      <c r="C1227" s="249" t="str">
        <f t="shared" si="66"/>
        <v>C3</v>
      </c>
      <c r="D1227" s="14">
        <v>2006</v>
      </c>
      <c r="E1227" s="13">
        <v>403200</v>
      </c>
      <c r="F1227" s="249">
        <v>2.1</v>
      </c>
      <c r="G1227" s="249">
        <v>2.5</v>
      </c>
      <c r="H1227" s="249" t="str">
        <f t="shared" si="67"/>
        <v>D</v>
      </c>
      <c r="I1227" s="249">
        <f t="shared" si="69"/>
        <v>1</v>
      </c>
      <c r="J1227" s="143">
        <v>4000</v>
      </c>
      <c r="K1227" s="249" t="str">
        <f t="shared" si="68"/>
        <v>PT</v>
      </c>
      <c r="M1227" s="249">
        <f t="shared" si="70"/>
        <v>9</v>
      </c>
      <c r="N1227" s="249">
        <f t="shared" si="71"/>
        <v>8</v>
      </c>
      <c r="Z1227" s="130">
        <v>0.1</v>
      </c>
      <c r="AA1227" s="249">
        <v>7</v>
      </c>
      <c r="AB1227" s="250">
        <v>14000</v>
      </c>
      <c r="AC1227" s="250">
        <v>14000</v>
      </c>
      <c r="AD1227" s="250">
        <v>14000</v>
      </c>
      <c r="AE1227" s="250">
        <v>230000</v>
      </c>
      <c r="AF1227" s="250">
        <v>14000</v>
      </c>
    </row>
    <row r="1228" spans="2:32" x14ac:dyDescent="0.25">
      <c r="B1228" s="61" t="s">
        <v>2144</v>
      </c>
      <c r="C1228" s="249" t="str">
        <f t="shared" si="66"/>
        <v>C3</v>
      </c>
      <c r="D1228" s="14">
        <v>1994</v>
      </c>
      <c r="E1228" s="13" t="s">
        <v>352</v>
      </c>
      <c r="F1228" s="249">
        <v>2.2000000000000002</v>
      </c>
      <c r="G1228" s="249">
        <v>2.5</v>
      </c>
      <c r="H1228" s="249" t="str">
        <f t="shared" si="67"/>
        <v>D</v>
      </c>
      <c r="I1228" s="249">
        <f t="shared" si="69"/>
        <v>1</v>
      </c>
      <c r="J1228" s="143">
        <v>500</v>
      </c>
      <c r="K1228" s="249" t="str">
        <f t="shared" si="68"/>
        <v>HC</v>
      </c>
      <c r="M1228" s="249">
        <f t="shared" si="70"/>
        <v>21</v>
      </c>
      <c r="N1228" s="249">
        <f t="shared" si="71"/>
        <v>20</v>
      </c>
      <c r="Z1228" s="130">
        <v>0.5</v>
      </c>
      <c r="AA1228" s="249">
        <v>1</v>
      </c>
      <c r="AB1228" s="250">
        <v>2000</v>
      </c>
      <c r="AC1228" s="250">
        <v>5000</v>
      </c>
      <c r="AD1228" s="250">
        <v>3000</v>
      </c>
      <c r="AE1228" s="250" t="s">
        <v>352</v>
      </c>
      <c r="AF1228" s="250">
        <v>3000</v>
      </c>
    </row>
    <row r="1229" spans="2:32" x14ac:dyDescent="0.25">
      <c r="B1229" s="61" t="s">
        <v>2145</v>
      </c>
      <c r="C1229" s="249" t="str">
        <f t="shared" si="66"/>
        <v>C2</v>
      </c>
      <c r="D1229" s="14">
        <v>2012</v>
      </c>
      <c r="E1229" s="13">
        <v>5000</v>
      </c>
      <c r="F1229" s="249">
        <v>5</v>
      </c>
      <c r="G1229" s="249">
        <v>5.5</v>
      </c>
      <c r="H1229" s="249" t="str">
        <f t="shared" si="67"/>
        <v>D</v>
      </c>
      <c r="I1229" s="249">
        <f t="shared" si="69"/>
        <v>1</v>
      </c>
      <c r="J1229" s="143">
        <v>250</v>
      </c>
      <c r="K1229" s="249" t="str">
        <f t="shared" si="68"/>
        <v>HC</v>
      </c>
      <c r="M1229" s="249">
        <f t="shared" si="70"/>
        <v>3</v>
      </c>
      <c r="N1229" s="249">
        <f t="shared" si="71"/>
        <v>2</v>
      </c>
      <c r="Z1229" s="130">
        <v>0.5</v>
      </c>
      <c r="AA1229" s="249">
        <v>3</v>
      </c>
      <c r="AB1229" s="250" t="s">
        <v>352</v>
      </c>
      <c r="AC1229" s="250" t="s">
        <v>352</v>
      </c>
      <c r="AD1229" s="250" t="s">
        <v>352</v>
      </c>
      <c r="AE1229" s="250" t="s">
        <v>352</v>
      </c>
      <c r="AF1229" s="250" t="s">
        <v>352</v>
      </c>
    </row>
    <row r="1230" spans="2:32" x14ac:dyDescent="0.25">
      <c r="B1230" s="61" t="s">
        <v>2146</v>
      </c>
      <c r="C1230" s="249" t="str">
        <f t="shared" si="66"/>
        <v>C2</v>
      </c>
      <c r="D1230" s="14">
        <v>2009</v>
      </c>
      <c r="E1230" s="13">
        <v>750000</v>
      </c>
      <c r="F1230" s="249">
        <v>2.8</v>
      </c>
      <c r="G1230" s="249">
        <v>3.2</v>
      </c>
      <c r="H1230" s="249" t="str">
        <f t="shared" si="67"/>
        <v>D</v>
      </c>
      <c r="I1230" s="249">
        <f t="shared" si="69"/>
        <v>1</v>
      </c>
      <c r="J1230" s="143">
        <v>4000</v>
      </c>
      <c r="K1230" s="249" t="str">
        <f t="shared" si="68"/>
        <v>HC</v>
      </c>
      <c r="M1230" s="249">
        <f t="shared" si="70"/>
        <v>6</v>
      </c>
      <c r="N1230" s="249">
        <f t="shared" si="71"/>
        <v>5</v>
      </c>
      <c r="Z1230" s="130">
        <v>0.5</v>
      </c>
      <c r="AA1230" s="249">
        <v>2</v>
      </c>
      <c r="AB1230" s="250">
        <v>10000</v>
      </c>
      <c r="AC1230" s="250">
        <v>12000</v>
      </c>
      <c r="AD1230" s="250">
        <v>20000</v>
      </c>
      <c r="AE1230" s="250">
        <v>130000</v>
      </c>
      <c r="AF1230" s="250">
        <v>20000</v>
      </c>
    </row>
    <row r="1231" spans="2:32" x14ac:dyDescent="0.25">
      <c r="B1231" s="61" t="s">
        <v>2147</v>
      </c>
      <c r="C1231" s="249" t="str">
        <f t="shared" si="66"/>
        <v>T3</v>
      </c>
      <c r="D1231" s="14">
        <v>2012</v>
      </c>
      <c r="E1231" s="13">
        <v>500000</v>
      </c>
      <c r="F1231" s="249">
        <v>2.8</v>
      </c>
      <c r="G1231" s="249">
        <v>3.2</v>
      </c>
      <c r="H1231" s="249" t="str">
        <f t="shared" si="67"/>
        <v>D</v>
      </c>
      <c r="I1231" s="249">
        <f t="shared" si="69"/>
        <v>1</v>
      </c>
      <c r="J1231" s="143">
        <v>7000</v>
      </c>
      <c r="K1231" s="249" t="str">
        <f t="shared" si="68"/>
        <v>PT</v>
      </c>
      <c r="M1231" s="249">
        <f t="shared" si="70"/>
        <v>3</v>
      </c>
      <c r="N1231" s="249">
        <f t="shared" si="71"/>
        <v>2</v>
      </c>
      <c r="Z1231" s="130">
        <v>0.5</v>
      </c>
      <c r="AA1231" s="249">
        <v>7</v>
      </c>
      <c r="AB1231" s="250">
        <v>15000</v>
      </c>
      <c r="AC1231" s="250">
        <v>14000</v>
      </c>
      <c r="AD1231" s="250">
        <v>30000</v>
      </c>
      <c r="AE1231" s="250">
        <v>180000</v>
      </c>
      <c r="AF1231" s="250">
        <v>30000</v>
      </c>
    </row>
    <row r="1232" spans="2:32" x14ac:dyDescent="0.25">
      <c r="B1232" s="61" t="s">
        <v>2148</v>
      </c>
      <c r="C1232" s="249" t="str">
        <f t="shared" si="66"/>
        <v>T3</v>
      </c>
      <c r="D1232" s="14">
        <v>2005</v>
      </c>
      <c r="E1232" s="13">
        <v>700000</v>
      </c>
      <c r="F1232" s="249">
        <v>2.5</v>
      </c>
      <c r="G1232" s="249">
        <v>2.8</v>
      </c>
      <c r="H1232" s="249" t="str">
        <f t="shared" si="67"/>
        <v>D</v>
      </c>
      <c r="I1232" s="249">
        <f t="shared" si="69"/>
        <v>1</v>
      </c>
      <c r="J1232" s="143">
        <v>4000</v>
      </c>
      <c r="K1232" s="249" t="str">
        <f t="shared" si="68"/>
        <v>PT</v>
      </c>
      <c r="M1232" s="249">
        <f t="shared" si="70"/>
        <v>10</v>
      </c>
      <c r="N1232" s="249">
        <f t="shared" si="71"/>
        <v>9</v>
      </c>
      <c r="Z1232" s="130">
        <v>0.5</v>
      </c>
      <c r="AA1232" s="249">
        <v>7</v>
      </c>
      <c r="AB1232" s="250">
        <v>7000</v>
      </c>
      <c r="AC1232" s="250">
        <v>15000</v>
      </c>
      <c r="AD1232" s="250">
        <v>25000</v>
      </c>
      <c r="AE1232" s="250">
        <v>135000</v>
      </c>
      <c r="AF1232" s="250">
        <v>25000</v>
      </c>
    </row>
    <row r="1233" spans="2:32" x14ac:dyDescent="0.25">
      <c r="B1233" s="61" t="s">
        <v>2149</v>
      </c>
      <c r="C1233" s="249" t="str">
        <f t="shared" si="66"/>
        <v>T3</v>
      </c>
      <c r="D1233" s="14">
        <v>2012</v>
      </c>
      <c r="E1233" s="13">
        <v>115200</v>
      </c>
      <c r="F1233" s="249">
        <v>2.2999999999999998</v>
      </c>
      <c r="G1233" s="249">
        <v>2.8</v>
      </c>
      <c r="H1233" s="249" t="str">
        <f t="shared" si="67"/>
        <v>D</v>
      </c>
      <c r="I1233" s="249">
        <f t="shared" si="69"/>
        <v>1</v>
      </c>
      <c r="J1233" s="143">
        <v>4800</v>
      </c>
      <c r="K1233" s="249" t="str">
        <f t="shared" si="68"/>
        <v>PT</v>
      </c>
      <c r="M1233" s="249">
        <f t="shared" si="70"/>
        <v>3</v>
      </c>
      <c r="N1233" s="249">
        <f t="shared" si="71"/>
        <v>2</v>
      </c>
      <c r="Z1233" s="130">
        <v>0.2</v>
      </c>
      <c r="AA1233" s="249">
        <v>7</v>
      </c>
      <c r="AB1233" s="250">
        <v>13000</v>
      </c>
      <c r="AC1233" s="250">
        <v>30000</v>
      </c>
      <c r="AD1233" s="250">
        <v>20000</v>
      </c>
      <c r="AE1233" s="250">
        <v>57600</v>
      </c>
      <c r="AF1233" s="250">
        <v>13000</v>
      </c>
    </row>
    <row r="1234" spans="2:32" x14ac:dyDescent="0.25">
      <c r="B1234" s="61" t="s">
        <v>2150</v>
      </c>
      <c r="C1234" s="249" t="str">
        <f t="shared" si="66"/>
        <v>T3</v>
      </c>
      <c r="D1234" s="14">
        <v>2011</v>
      </c>
      <c r="E1234" s="13">
        <v>550000</v>
      </c>
      <c r="F1234" s="249">
        <v>2.8</v>
      </c>
      <c r="G1234" s="249">
        <v>3</v>
      </c>
      <c r="H1234" s="249" t="str">
        <f t="shared" si="67"/>
        <v>D</v>
      </c>
      <c r="I1234" s="249">
        <f t="shared" si="69"/>
        <v>1</v>
      </c>
      <c r="J1234" s="143">
        <v>6000</v>
      </c>
      <c r="K1234" s="249" t="str">
        <f t="shared" si="68"/>
        <v>HC</v>
      </c>
      <c r="M1234" s="249">
        <f t="shared" si="70"/>
        <v>4</v>
      </c>
      <c r="N1234" s="249">
        <f t="shared" si="71"/>
        <v>3</v>
      </c>
      <c r="Z1234" s="130">
        <v>0.3</v>
      </c>
      <c r="AA1234" s="249">
        <v>3</v>
      </c>
      <c r="AB1234" s="250">
        <v>7000</v>
      </c>
      <c r="AC1234" s="250">
        <v>8000</v>
      </c>
      <c r="AD1234" s="250">
        <v>18000</v>
      </c>
      <c r="AE1234" s="250">
        <v>22000</v>
      </c>
      <c r="AF1234" s="250">
        <v>18000</v>
      </c>
    </row>
    <row r="1235" spans="2:32" x14ac:dyDescent="0.25">
      <c r="B1235" s="61" t="s">
        <v>2151</v>
      </c>
      <c r="C1235" s="249" t="str">
        <f t="shared" si="66"/>
        <v>C3</v>
      </c>
      <c r="D1235" s="14">
        <v>1998</v>
      </c>
      <c r="E1235" s="13">
        <v>504000</v>
      </c>
      <c r="F1235" s="249">
        <v>2.8</v>
      </c>
      <c r="G1235" s="249">
        <v>3.5</v>
      </c>
      <c r="H1235" s="249" t="str">
        <f t="shared" si="67"/>
        <v>D</v>
      </c>
      <c r="I1235" s="249">
        <f t="shared" si="69"/>
        <v>1</v>
      </c>
      <c r="J1235" s="143">
        <v>2800</v>
      </c>
      <c r="K1235" s="249" t="str">
        <f t="shared" si="68"/>
        <v>HC</v>
      </c>
      <c r="M1235" s="249">
        <f t="shared" si="70"/>
        <v>17</v>
      </c>
      <c r="N1235" s="249">
        <f t="shared" si="71"/>
        <v>16</v>
      </c>
      <c r="Z1235" s="130">
        <v>0.5</v>
      </c>
      <c r="AA1235" s="249">
        <v>3</v>
      </c>
      <c r="AB1235" s="250">
        <v>14000</v>
      </c>
      <c r="AC1235" s="250">
        <v>18000</v>
      </c>
      <c r="AD1235" s="250">
        <v>10000</v>
      </c>
      <c r="AE1235" s="250">
        <v>67200</v>
      </c>
      <c r="AF1235" s="250">
        <v>14000</v>
      </c>
    </row>
    <row r="1236" spans="2:32" x14ac:dyDescent="0.25">
      <c r="B1236" s="61" t="s">
        <v>2152</v>
      </c>
      <c r="C1236" s="249" t="str">
        <f t="shared" si="66"/>
        <v>T3</v>
      </c>
      <c r="D1236" s="14">
        <v>2012</v>
      </c>
      <c r="E1236" s="13">
        <v>450000</v>
      </c>
      <c r="F1236" s="249">
        <v>2</v>
      </c>
      <c r="G1236" s="249">
        <v>2.2999999999999998</v>
      </c>
      <c r="H1236" s="249" t="str">
        <f t="shared" si="67"/>
        <v>D</v>
      </c>
      <c r="I1236" s="249">
        <f t="shared" si="69"/>
        <v>1</v>
      </c>
      <c r="J1236" s="143">
        <v>7000</v>
      </c>
      <c r="K1236" s="249" t="str">
        <f t="shared" si="68"/>
        <v>HC</v>
      </c>
      <c r="M1236" s="249">
        <f t="shared" si="70"/>
        <v>3</v>
      </c>
      <c r="N1236" s="249">
        <f t="shared" si="71"/>
        <v>2</v>
      </c>
      <c r="Z1236" s="130">
        <v>0.5</v>
      </c>
      <c r="AA1236" s="249">
        <v>2</v>
      </c>
      <c r="AB1236" s="250">
        <v>10000</v>
      </c>
      <c r="AC1236" s="250">
        <v>13000</v>
      </c>
      <c r="AD1236" s="250">
        <v>22000</v>
      </c>
      <c r="AE1236" s="250">
        <v>200000</v>
      </c>
      <c r="AF1236" s="250">
        <v>22000</v>
      </c>
    </row>
    <row r="1237" spans="2:32" x14ac:dyDescent="0.25">
      <c r="B1237" s="61" t="s">
        <v>2153</v>
      </c>
      <c r="C1237" s="249" t="str">
        <f t="shared" si="66"/>
        <v>C3</v>
      </c>
      <c r="D1237" s="14">
        <v>2011</v>
      </c>
      <c r="E1237" s="13">
        <v>200000</v>
      </c>
      <c r="F1237" s="249">
        <v>2.7</v>
      </c>
      <c r="G1237" s="249">
        <v>3</v>
      </c>
      <c r="H1237" s="249" t="str">
        <f t="shared" si="67"/>
        <v>D</v>
      </c>
      <c r="I1237" s="249">
        <f t="shared" si="69"/>
        <v>1</v>
      </c>
      <c r="J1237" s="143">
        <v>1000</v>
      </c>
      <c r="K1237" s="249" t="str">
        <f t="shared" si="68"/>
        <v>HC</v>
      </c>
      <c r="M1237" s="249">
        <f t="shared" si="70"/>
        <v>4</v>
      </c>
      <c r="N1237" s="249">
        <f t="shared" si="71"/>
        <v>3</v>
      </c>
      <c r="Z1237" s="130">
        <v>0.3</v>
      </c>
      <c r="AA1237" s="249">
        <v>2</v>
      </c>
      <c r="AB1237" s="250">
        <v>20000</v>
      </c>
      <c r="AC1237" s="250">
        <v>17000</v>
      </c>
      <c r="AD1237" s="250">
        <v>40000</v>
      </c>
      <c r="AE1237" s="250">
        <v>24000</v>
      </c>
      <c r="AF1237" s="250">
        <v>40000</v>
      </c>
    </row>
    <row r="1238" spans="2:32" x14ac:dyDescent="0.25">
      <c r="B1238" s="61" t="s">
        <v>2154</v>
      </c>
      <c r="C1238" s="249" t="str">
        <f t="shared" si="66"/>
        <v>C3</v>
      </c>
      <c r="D1238" s="14">
        <v>2007</v>
      </c>
      <c r="E1238" s="13">
        <v>144000</v>
      </c>
      <c r="F1238" s="249">
        <v>2.7</v>
      </c>
      <c r="G1238" s="249">
        <v>3</v>
      </c>
      <c r="H1238" s="249" t="str">
        <f t="shared" si="67"/>
        <v>D</v>
      </c>
      <c r="I1238" s="249">
        <f t="shared" si="69"/>
        <v>1</v>
      </c>
      <c r="J1238" s="143">
        <v>2000</v>
      </c>
      <c r="K1238" s="249" t="str">
        <f t="shared" si="68"/>
        <v>PT</v>
      </c>
      <c r="M1238" s="249">
        <f t="shared" si="70"/>
        <v>8</v>
      </c>
      <c r="N1238" s="249">
        <f t="shared" si="71"/>
        <v>7</v>
      </c>
      <c r="Z1238" s="130">
        <v>0.1</v>
      </c>
      <c r="AA1238" s="249">
        <v>7</v>
      </c>
      <c r="AB1238" s="250">
        <v>8000</v>
      </c>
      <c r="AC1238" s="250">
        <v>8000</v>
      </c>
      <c r="AD1238" s="250">
        <v>8000</v>
      </c>
      <c r="AE1238" s="250">
        <v>24000</v>
      </c>
      <c r="AF1238" s="250">
        <v>8000</v>
      </c>
    </row>
    <row r="1239" spans="2:32" x14ac:dyDescent="0.25">
      <c r="B1239" s="61" t="s">
        <v>2155</v>
      </c>
      <c r="C1239" s="249" t="str">
        <f t="shared" si="66"/>
        <v>T3</v>
      </c>
      <c r="D1239" s="14">
        <v>2010</v>
      </c>
      <c r="E1239" s="13">
        <v>600000</v>
      </c>
      <c r="F1239" s="249">
        <v>2.2999999999999998</v>
      </c>
      <c r="G1239" s="249">
        <v>2.9</v>
      </c>
      <c r="H1239" s="249" t="str">
        <f t="shared" si="67"/>
        <v>D</v>
      </c>
      <c r="I1239" s="249">
        <f t="shared" si="69"/>
        <v>1</v>
      </c>
      <c r="J1239" s="143">
        <v>7000</v>
      </c>
      <c r="K1239" s="249" t="str">
        <f t="shared" si="68"/>
        <v>HC</v>
      </c>
      <c r="M1239" s="249">
        <f t="shared" si="70"/>
        <v>5</v>
      </c>
      <c r="N1239" s="249">
        <f t="shared" si="71"/>
        <v>4</v>
      </c>
      <c r="Z1239" s="130">
        <v>0.5</v>
      </c>
      <c r="AA1239" s="249">
        <v>3</v>
      </c>
      <c r="AB1239" s="250">
        <v>15000</v>
      </c>
      <c r="AC1239" s="250">
        <v>12000</v>
      </c>
      <c r="AD1239" s="250">
        <v>25000</v>
      </c>
      <c r="AE1239" s="250">
        <v>160000</v>
      </c>
      <c r="AF1239" s="250">
        <v>25000</v>
      </c>
    </row>
    <row r="1240" spans="2:32" x14ac:dyDescent="0.25">
      <c r="B1240" s="61" t="s">
        <v>2156</v>
      </c>
      <c r="C1240" s="249" t="str">
        <f t="shared" si="66"/>
        <v>T2</v>
      </c>
      <c r="D1240" s="14">
        <v>2010</v>
      </c>
      <c r="E1240" s="13">
        <v>133200</v>
      </c>
      <c r="F1240" s="249">
        <v>2.1</v>
      </c>
      <c r="G1240" s="249">
        <v>2.5</v>
      </c>
      <c r="H1240" s="249" t="str">
        <f t="shared" si="67"/>
        <v>D</v>
      </c>
      <c r="I1240" s="249">
        <f t="shared" si="69"/>
        <v>1</v>
      </c>
      <c r="J1240" s="143">
        <v>3700</v>
      </c>
      <c r="K1240" s="249" t="str">
        <f t="shared" si="68"/>
        <v>HC</v>
      </c>
      <c r="M1240" s="249">
        <f t="shared" si="70"/>
        <v>5</v>
      </c>
      <c r="N1240" s="249">
        <f t="shared" si="71"/>
        <v>4</v>
      </c>
      <c r="Z1240" s="130">
        <v>0.5</v>
      </c>
      <c r="AA1240" s="249">
        <v>1</v>
      </c>
      <c r="AB1240" s="250">
        <v>12000</v>
      </c>
      <c r="AC1240" s="250">
        <v>20000</v>
      </c>
      <c r="AD1240" s="250">
        <v>20000</v>
      </c>
      <c r="AE1240" s="250">
        <v>88000</v>
      </c>
      <c r="AF1240" s="250">
        <v>12000</v>
      </c>
    </row>
    <row r="1241" spans="2:32" x14ac:dyDescent="0.25">
      <c r="B1241" s="61" t="s">
        <v>2157</v>
      </c>
      <c r="C1241" s="249" t="str">
        <f t="shared" ref="C1241:C1304" si="72">IF(E1697="X","C2",IF(F1697="X","C3",IF(G1697="X","T2",IF(H1697="X","T3",0))))</f>
        <v>T3</v>
      </c>
      <c r="D1241" s="14">
        <v>2014</v>
      </c>
      <c r="E1241" s="13">
        <v>30000</v>
      </c>
      <c r="F1241" s="249">
        <v>2.2999999999999998</v>
      </c>
      <c r="G1241" s="249">
        <v>2.9</v>
      </c>
      <c r="H1241" s="249" t="str">
        <f t="shared" ref="H1241:H1304" si="73">IF(B1697="X","G",IF(C1697="X","GAS",IF(D1697="X","D",0)))</f>
        <v>D</v>
      </c>
      <c r="I1241" s="249">
        <f t="shared" si="69"/>
        <v>1</v>
      </c>
      <c r="J1241" s="143">
        <v>10000</v>
      </c>
      <c r="K1241" s="249" t="str">
        <f t="shared" ref="K1241:K1304" si="74">IF(L1697="X","PT","HC")</f>
        <v>PT</v>
      </c>
      <c r="M1241" s="249">
        <f t="shared" si="70"/>
        <v>1</v>
      </c>
      <c r="N1241" s="249">
        <f t="shared" si="71"/>
        <v>0</v>
      </c>
      <c r="Z1241" s="130">
        <v>0.3</v>
      </c>
      <c r="AA1241" s="249">
        <v>7</v>
      </c>
      <c r="AB1241" s="250">
        <v>25000</v>
      </c>
      <c r="AC1241" s="250">
        <v>10000</v>
      </c>
      <c r="AD1241" s="250">
        <v>18000</v>
      </c>
      <c r="AE1241" s="250">
        <v>120000</v>
      </c>
      <c r="AF1241" s="250">
        <v>18000</v>
      </c>
    </row>
    <row r="1242" spans="2:32" x14ac:dyDescent="0.25">
      <c r="B1242" s="61" t="s">
        <v>2158</v>
      </c>
      <c r="C1242" s="249" t="str">
        <f t="shared" si="72"/>
        <v>C2</v>
      </c>
      <c r="D1242" s="14">
        <v>2002</v>
      </c>
      <c r="E1242" s="13" t="s">
        <v>908</v>
      </c>
      <c r="F1242" s="249">
        <v>2.6</v>
      </c>
      <c r="G1242" s="249">
        <v>2.8</v>
      </c>
      <c r="H1242" s="249" t="str">
        <f t="shared" si="73"/>
        <v>D</v>
      </c>
      <c r="I1242" s="249">
        <f t="shared" si="69"/>
        <v>1</v>
      </c>
      <c r="J1242" s="143">
        <v>4000</v>
      </c>
      <c r="K1242" s="249" t="str">
        <f t="shared" si="74"/>
        <v>PT</v>
      </c>
      <c r="M1242" s="249">
        <f t="shared" si="70"/>
        <v>13</v>
      </c>
      <c r="N1242" s="249">
        <f t="shared" si="71"/>
        <v>12</v>
      </c>
      <c r="Z1242" s="130">
        <v>0.5</v>
      </c>
      <c r="AA1242" s="249">
        <v>7</v>
      </c>
      <c r="AB1242" s="250">
        <v>17000</v>
      </c>
      <c r="AC1242" s="250">
        <v>12000</v>
      </c>
      <c r="AD1242" s="250">
        <v>22000</v>
      </c>
      <c r="AE1242" s="250">
        <v>200000</v>
      </c>
      <c r="AF1242" s="250">
        <v>22000</v>
      </c>
    </row>
    <row r="1243" spans="2:32" x14ac:dyDescent="0.25">
      <c r="B1243" s="61" t="s">
        <v>2159</v>
      </c>
      <c r="C1243" s="249" t="str">
        <f t="shared" si="72"/>
        <v>C2</v>
      </c>
      <c r="D1243" s="14">
        <v>2000</v>
      </c>
      <c r="E1243" s="13">
        <v>546000</v>
      </c>
      <c r="F1243" s="249">
        <v>2.8</v>
      </c>
      <c r="G1243" s="249">
        <v>3</v>
      </c>
      <c r="H1243" s="249" t="str">
        <f t="shared" si="73"/>
        <v>D</v>
      </c>
      <c r="I1243" s="249">
        <f t="shared" si="69"/>
        <v>1</v>
      </c>
      <c r="J1243" s="143">
        <v>3500</v>
      </c>
      <c r="K1243" s="249" t="str">
        <f t="shared" si="74"/>
        <v>HC</v>
      </c>
      <c r="M1243" s="249">
        <f t="shared" si="70"/>
        <v>15</v>
      </c>
      <c r="N1243" s="249">
        <f t="shared" si="71"/>
        <v>14</v>
      </c>
      <c r="Z1243" s="130">
        <v>0.5</v>
      </c>
      <c r="AA1243" s="249">
        <v>3</v>
      </c>
      <c r="AB1243" s="250">
        <v>12000</v>
      </c>
      <c r="AC1243" s="250">
        <v>10000</v>
      </c>
      <c r="AD1243" s="250">
        <v>12000</v>
      </c>
      <c r="AE1243" s="250">
        <v>63000</v>
      </c>
      <c r="AF1243" s="250">
        <v>12000</v>
      </c>
    </row>
    <row r="1244" spans="2:32" x14ac:dyDescent="0.25">
      <c r="B1244" s="61" t="s">
        <v>2160</v>
      </c>
      <c r="C1244" s="249" t="str">
        <f t="shared" si="72"/>
        <v>C2</v>
      </c>
      <c r="D1244" s="14">
        <v>1998</v>
      </c>
      <c r="E1244" s="13">
        <v>950000</v>
      </c>
      <c r="F1244" s="249">
        <v>2.2999999999999998</v>
      </c>
      <c r="G1244" s="249">
        <v>2.9</v>
      </c>
      <c r="H1244" s="249" t="str">
        <f t="shared" si="73"/>
        <v>D</v>
      </c>
      <c r="I1244" s="249">
        <f t="shared" si="69"/>
        <v>1</v>
      </c>
      <c r="J1244" s="143">
        <v>2000</v>
      </c>
      <c r="K1244" s="249" t="str">
        <f t="shared" si="74"/>
        <v>HC</v>
      </c>
      <c r="M1244" s="249">
        <f t="shared" si="70"/>
        <v>17</v>
      </c>
      <c r="N1244" s="249">
        <f t="shared" si="71"/>
        <v>16</v>
      </c>
      <c r="Z1244" s="130">
        <v>0.5</v>
      </c>
      <c r="AA1244" s="249">
        <v>3</v>
      </c>
      <c r="AB1244" s="250">
        <v>18000</v>
      </c>
      <c r="AC1244" s="250">
        <v>20000</v>
      </c>
      <c r="AD1244" s="250">
        <v>30000</v>
      </c>
      <c r="AE1244" s="250">
        <v>24000</v>
      </c>
      <c r="AF1244" s="250">
        <v>30000</v>
      </c>
    </row>
    <row r="1245" spans="2:32" x14ac:dyDescent="0.25">
      <c r="B1245" s="61" t="s">
        <v>2161</v>
      </c>
      <c r="C1245" s="249" t="str">
        <f t="shared" si="72"/>
        <v>T3</v>
      </c>
      <c r="D1245" s="14">
        <v>2009</v>
      </c>
      <c r="E1245" s="13">
        <v>240000</v>
      </c>
      <c r="F1245" s="249">
        <v>2.2000000000000002</v>
      </c>
      <c r="G1245" s="249">
        <v>2.8</v>
      </c>
      <c r="H1245" s="249" t="str">
        <f t="shared" si="73"/>
        <v>D</v>
      </c>
      <c r="I1245" s="249">
        <f t="shared" si="69"/>
        <v>1</v>
      </c>
      <c r="J1245" s="143">
        <v>5000</v>
      </c>
      <c r="K1245" s="249" t="str">
        <f t="shared" si="74"/>
        <v>HC</v>
      </c>
      <c r="M1245" s="249">
        <f t="shared" si="70"/>
        <v>6</v>
      </c>
      <c r="N1245" s="249">
        <f t="shared" si="71"/>
        <v>5</v>
      </c>
      <c r="Z1245" s="130">
        <v>0.2</v>
      </c>
      <c r="AA1245" s="249">
        <v>1</v>
      </c>
      <c r="AB1245" s="250">
        <v>20000</v>
      </c>
      <c r="AC1245" s="250">
        <v>12000</v>
      </c>
      <c r="AD1245" s="250">
        <v>12000</v>
      </c>
      <c r="AE1245" s="250">
        <v>60000</v>
      </c>
      <c r="AF1245" s="250">
        <v>20000</v>
      </c>
    </row>
    <row r="1246" spans="2:32" x14ac:dyDescent="0.25">
      <c r="B1246" s="61" t="s">
        <v>2162</v>
      </c>
      <c r="C1246" s="249" t="str">
        <f t="shared" si="72"/>
        <v>T3</v>
      </c>
      <c r="D1246" s="14">
        <v>1981</v>
      </c>
      <c r="E1246" s="13" t="s">
        <v>908</v>
      </c>
      <c r="F1246" s="249">
        <v>1.7</v>
      </c>
      <c r="G1246" s="249">
        <v>2</v>
      </c>
      <c r="H1246" s="249" t="str">
        <f t="shared" si="73"/>
        <v>D</v>
      </c>
      <c r="I1246" s="249">
        <f t="shared" si="69"/>
        <v>1</v>
      </c>
      <c r="J1246" s="143">
        <v>4000</v>
      </c>
      <c r="K1246" s="249" t="str">
        <f t="shared" si="74"/>
        <v>HC</v>
      </c>
      <c r="M1246" s="249">
        <f t="shared" si="70"/>
        <v>34</v>
      </c>
      <c r="N1246" s="249">
        <f t="shared" si="71"/>
        <v>33</v>
      </c>
      <c r="Z1246" s="130">
        <v>0.5</v>
      </c>
      <c r="AA1246" s="249">
        <v>3</v>
      </c>
      <c r="AB1246" s="250">
        <v>24000</v>
      </c>
      <c r="AC1246" s="250">
        <v>12000</v>
      </c>
      <c r="AD1246" s="250">
        <v>48000</v>
      </c>
      <c r="AE1246" s="250">
        <v>96000</v>
      </c>
      <c r="AF1246" s="250">
        <v>48000</v>
      </c>
    </row>
    <row r="1247" spans="2:32" x14ac:dyDescent="0.25">
      <c r="B1247" s="61" t="s">
        <v>2163</v>
      </c>
      <c r="C1247" s="249" t="str">
        <f t="shared" si="72"/>
        <v>C2</v>
      </c>
      <c r="D1247" s="14">
        <v>1995</v>
      </c>
      <c r="E1247" s="13">
        <v>750000</v>
      </c>
      <c r="F1247" s="249">
        <v>2.7</v>
      </c>
      <c r="G1247" s="249">
        <v>3</v>
      </c>
      <c r="H1247" s="249" t="str">
        <f t="shared" si="73"/>
        <v>D</v>
      </c>
      <c r="I1247" s="249">
        <f t="shared" si="69"/>
        <v>1</v>
      </c>
      <c r="J1247" s="143">
        <v>3000</v>
      </c>
      <c r="K1247" s="249" t="str">
        <f t="shared" si="74"/>
        <v>HC</v>
      </c>
      <c r="M1247" s="249">
        <f t="shared" si="70"/>
        <v>20</v>
      </c>
      <c r="N1247" s="249">
        <f t="shared" si="71"/>
        <v>19</v>
      </c>
      <c r="Z1247" s="130">
        <v>0.5</v>
      </c>
      <c r="AA1247" s="249">
        <v>3</v>
      </c>
      <c r="AB1247" s="250">
        <v>11000</v>
      </c>
      <c r="AC1247" s="250">
        <v>20000</v>
      </c>
      <c r="AD1247" s="250">
        <v>23000</v>
      </c>
      <c r="AE1247" s="250">
        <v>54000</v>
      </c>
      <c r="AF1247" s="250">
        <v>23000</v>
      </c>
    </row>
    <row r="1248" spans="2:32" x14ac:dyDescent="0.25">
      <c r="B1248" s="61" t="s">
        <v>2164</v>
      </c>
      <c r="C1248" s="249" t="str">
        <f t="shared" si="72"/>
        <v>T3</v>
      </c>
      <c r="D1248" s="14">
        <v>1998</v>
      </c>
      <c r="E1248" s="13">
        <v>800000</v>
      </c>
      <c r="F1248" s="249">
        <v>2.2000000000000002</v>
      </c>
      <c r="G1248" s="249">
        <v>2.6</v>
      </c>
      <c r="H1248" s="249" t="str">
        <f t="shared" si="73"/>
        <v>D</v>
      </c>
      <c r="I1248" s="249">
        <f t="shared" si="69"/>
        <v>1</v>
      </c>
      <c r="J1248" s="143">
        <v>6000</v>
      </c>
      <c r="K1248" s="249" t="str">
        <f t="shared" si="74"/>
        <v>HC</v>
      </c>
      <c r="M1248" s="249">
        <f t="shared" si="70"/>
        <v>17</v>
      </c>
      <c r="N1248" s="249">
        <f t="shared" si="71"/>
        <v>16</v>
      </c>
      <c r="Z1248" s="130">
        <v>0.5</v>
      </c>
      <c r="AA1248" s="249">
        <v>3</v>
      </c>
      <c r="AB1248" s="250">
        <v>6000</v>
      </c>
      <c r="AC1248" s="250">
        <v>15000</v>
      </c>
      <c r="AD1248" s="250">
        <v>30000</v>
      </c>
      <c r="AE1248" s="250">
        <v>150000</v>
      </c>
      <c r="AF1248" s="250">
        <v>30000</v>
      </c>
    </row>
    <row r="1249" spans="2:32" x14ac:dyDescent="0.25">
      <c r="B1249" s="61" t="s">
        <v>2165</v>
      </c>
      <c r="C1249" s="249" t="str">
        <f t="shared" si="72"/>
        <v>T3</v>
      </c>
      <c r="D1249" s="14">
        <v>1989</v>
      </c>
      <c r="E1249" s="13">
        <v>970000</v>
      </c>
      <c r="F1249" s="249">
        <v>2.2999999999999998</v>
      </c>
      <c r="G1249" s="249">
        <v>2.7</v>
      </c>
      <c r="H1249" s="249" t="str">
        <f t="shared" si="73"/>
        <v>D</v>
      </c>
      <c r="I1249" s="249">
        <f t="shared" si="69"/>
        <v>1</v>
      </c>
      <c r="J1249" s="143">
        <v>7500</v>
      </c>
      <c r="K1249" s="249" t="str">
        <f t="shared" si="74"/>
        <v>HC</v>
      </c>
      <c r="M1249" s="249">
        <f t="shared" si="70"/>
        <v>26</v>
      </c>
      <c r="N1249" s="249">
        <f t="shared" si="71"/>
        <v>25</v>
      </c>
      <c r="Z1249" s="130">
        <v>0.5</v>
      </c>
      <c r="AA1249" s="249">
        <v>3</v>
      </c>
      <c r="AB1249" s="250">
        <v>11000</v>
      </c>
      <c r="AC1249" s="250">
        <v>8000</v>
      </c>
      <c r="AD1249" s="250">
        <v>25000</v>
      </c>
      <c r="AE1249" s="250">
        <v>90000</v>
      </c>
      <c r="AF1249" s="250">
        <v>25000</v>
      </c>
    </row>
    <row r="1250" spans="2:32" x14ac:dyDescent="0.25">
      <c r="B1250" s="61" t="s">
        <v>2166</v>
      </c>
      <c r="C1250" s="249" t="str">
        <f t="shared" si="72"/>
        <v>C2</v>
      </c>
      <c r="D1250" s="14">
        <v>1996</v>
      </c>
      <c r="E1250" s="13">
        <v>630000</v>
      </c>
      <c r="F1250" s="249">
        <v>2.6</v>
      </c>
      <c r="G1250" s="249">
        <v>2.8</v>
      </c>
      <c r="H1250" s="249" t="str">
        <f t="shared" si="73"/>
        <v>D</v>
      </c>
      <c r="I1250" s="249">
        <f t="shared" si="69"/>
        <v>1</v>
      </c>
      <c r="J1250" s="143">
        <v>6000</v>
      </c>
      <c r="K1250" s="249" t="str">
        <f t="shared" si="74"/>
        <v>HC</v>
      </c>
      <c r="M1250" s="249">
        <f t="shared" si="70"/>
        <v>19</v>
      </c>
      <c r="N1250" s="249">
        <f t="shared" si="71"/>
        <v>18</v>
      </c>
      <c r="Z1250" s="130">
        <v>0.5</v>
      </c>
      <c r="AA1250" s="249">
        <v>3</v>
      </c>
      <c r="AB1250" s="250">
        <v>10000</v>
      </c>
      <c r="AC1250" s="250">
        <v>20000</v>
      </c>
      <c r="AD1250" s="250">
        <v>30000</v>
      </c>
      <c r="AE1250" s="250">
        <v>170000</v>
      </c>
      <c r="AF1250" s="250">
        <v>30000</v>
      </c>
    </row>
    <row r="1251" spans="2:32" x14ac:dyDescent="0.25">
      <c r="B1251" s="61" t="s">
        <v>2167</v>
      </c>
      <c r="C1251" s="249" t="str">
        <f t="shared" si="72"/>
        <v>C3</v>
      </c>
      <c r="D1251" s="14">
        <v>1990</v>
      </c>
      <c r="E1251" s="13">
        <v>853500</v>
      </c>
      <c r="F1251" s="249">
        <v>3.2</v>
      </c>
      <c r="G1251" s="249">
        <v>3.5</v>
      </c>
      <c r="H1251" s="249" t="str">
        <f t="shared" si="73"/>
        <v>D</v>
      </c>
      <c r="I1251" s="249">
        <f t="shared" si="69"/>
        <v>1</v>
      </c>
      <c r="J1251" s="143">
        <v>4500</v>
      </c>
      <c r="K1251" s="249" t="str">
        <f t="shared" si="74"/>
        <v>HC</v>
      </c>
      <c r="M1251" s="249">
        <f t="shared" si="70"/>
        <v>25</v>
      </c>
      <c r="N1251" s="249">
        <f t="shared" si="71"/>
        <v>24</v>
      </c>
      <c r="Z1251" s="130">
        <v>0.5</v>
      </c>
      <c r="AA1251" s="249">
        <v>2</v>
      </c>
      <c r="AB1251" s="250">
        <v>6000</v>
      </c>
      <c r="AC1251" s="250">
        <v>30000</v>
      </c>
      <c r="AD1251" s="250">
        <v>25000</v>
      </c>
      <c r="AE1251" s="250">
        <v>81000</v>
      </c>
      <c r="AF1251" s="250">
        <v>25000</v>
      </c>
    </row>
    <row r="1252" spans="2:32" x14ac:dyDescent="0.25">
      <c r="B1252" s="61" t="s">
        <v>2168</v>
      </c>
      <c r="C1252" s="249" t="str">
        <f t="shared" si="72"/>
        <v>C2</v>
      </c>
      <c r="D1252" s="14">
        <v>1993</v>
      </c>
      <c r="E1252" s="13">
        <v>700000</v>
      </c>
      <c r="F1252" s="249">
        <v>2.5</v>
      </c>
      <c r="G1252" s="249">
        <v>2.8</v>
      </c>
      <c r="H1252" s="249" t="str">
        <f t="shared" si="73"/>
        <v>D</v>
      </c>
      <c r="I1252" s="249">
        <f t="shared" si="69"/>
        <v>1</v>
      </c>
      <c r="J1252" s="143">
        <v>4000</v>
      </c>
      <c r="K1252" s="249" t="str">
        <f t="shared" si="74"/>
        <v>PT</v>
      </c>
      <c r="M1252" s="249">
        <f t="shared" si="70"/>
        <v>22</v>
      </c>
      <c r="N1252" s="249">
        <f t="shared" si="71"/>
        <v>21</v>
      </c>
      <c r="Z1252" s="130">
        <v>0.5</v>
      </c>
      <c r="AA1252" s="249">
        <v>7</v>
      </c>
      <c r="AB1252" s="250">
        <v>15000</v>
      </c>
      <c r="AC1252" s="250">
        <v>20000</v>
      </c>
      <c r="AD1252" s="250">
        <v>30000</v>
      </c>
      <c r="AE1252" s="250">
        <v>150000</v>
      </c>
      <c r="AF1252" s="250">
        <v>30000</v>
      </c>
    </row>
    <row r="1253" spans="2:32" x14ac:dyDescent="0.25">
      <c r="B1253" s="61" t="s">
        <v>2169</v>
      </c>
      <c r="C1253" s="249" t="str">
        <f t="shared" si="72"/>
        <v>C2</v>
      </c>
      <c r="D1253" s="14">
        <v>2005</v>
      </c>
      <c r="E1253" s="13">
        <v>300000</v>
      </c>
      <c r="F1253" s="249">
        <v>4</v>
      </c>
      <c r="G1253" s="249">
        <v>5</v>
      </c>
      <c r="H1253" s="249" t="str">
        <f t="shared" si="73"/>
        <v>D</v>
      </c>
      <c r="I1253" s="249">
        <f t="shared" si="69"/>
        <v>1</v>
      </c>
      <c r="J1253" s="143">
        <v>1200</v>
      </c>
      <c r="K1253" s="249" t="str">
        <f t="shared" si="74"/>
        <v>HC</v>
      </c>
      <c r="M1253" s="249">
        <f t="shared" si="70"/>
        <v>10</v>
      </c>
      <c r="N1253" s="249">
        <f t="shared" si="71"/>
        <v>9</v>
      </c>
      <c r="Z1253" s="130">
        <v>0.5</v>
      </c>
      <c r="AA1253" s="249">
        <v>2</v>
      </c>
      <c r="AB1253" s="250">
        <v>20000</v>
      </c>
      <c r="AC1253" s="250">
        <v>24000</v>
      </c>
      <c r="AD1253" s="250">
        <v>60000</v>
      </c>
      <c r="AE1253" s="250">
        <v>28000</v>
      </c>
      <c r="AF1253" s="250" t="s">
        <v>2462</v>
      </c>
    </row>
    <row r="1254" spans="2:32" x14ac:dyDescent="0.25">
      <c r="B1254" s="61" t="s">
        <v>2170</v>
      </c>
      <c r="C1254" s="249" t="str">
        <f t="shared" si="72"/>
        <v>C2</v>
      </c>
      <c r="D1254" s="14">
        <v>1995</v>
      </c>
      <c r="E1254" s="13">
        <v>650000</v>
      </c>
      <c r="F1254" s="249">
        <v>2.5</v>
      </c>
      <c r="G1254" s="249">
        <v>2.9</v>
      </c>
      <c r="H1254" s="249" t="str">
        <f t="shared" si="73"/>
        <v>D</v>
      </c>
      <c r="I1254" s="249">
        <f t="shared" si="69"/>
        <v>1</v>
      </c>
      <c r="J1254" s="143">
        <v>5000</v>
      </c>
      <c r="K1254" s="249" t="str">
        <f t="shared" si="74"/>
        <v>HC</v>
      </c>
      <c r="M1254" s="249">
        <f t="shared" si="70"/>
        <v>20</v>
      </c>
      <c r="N1254" s="249">
        <f t="shared" si="71"/>
        <v>19</v>
      </c>
      <c r="Z1254" s="130">
        <v>0.5</v>
      </c>
      <c r="AA1254" s="249">
        <v>3</v>
      </c>
      <c r="AB1254" s="250">
        <v>10000</v>
      </c>
      <c r="AC1254" s="250">
        <v>8000</v>
      </c>
      <c r="AD1254" s="250">
        <v>30000</v>
      </c>
      <c r="AE1254" s="250">
        <v>120000</v>
      </c>
      <c r="AF1254" s="250">
        <v>30000</v>
      </c>
    </row>
    <row r="1255" spans="2:32" x14ac:dyDescent="0.25">
      <c r="B1255" s="61" t="s">
        <v>2171</v>
      </c>
      <c r="C1255" s="249" t="str">
        <f t="shared" si="72"/>
        <v>T3</v>
      </c>
      <c r="D1255" s="14">
        <v>1998</v>
      </c>
      <c r="E1255" s="13">
        <v>1200000</v>
      </c>
      <c r="F1255" s="249">
        <v>2</v>
      </c>
      <c r="G1255" s="249">
        <v>2.2999999999999998</v>
      </c>
      <c r="H1255" s="249" t="str">
        <f t="shared" si="73"/>
        <v>D</v>
      </c>
      <c r="I1255" s="249">
        <f t="shared" si="69"/>
        <v>1</v>
      </c>
      <c r="J1255" s="143">
        <v>5000</v>
      </c>
      <c r="K1255" s="249" t="str">
        <f t="shared" si="74"/>
        <v>HC</v>
      </c>
      <c r="M1255" s="249">
        <f t="shared" si="70"/>
        <v>17</v>
      </c>
      <c r="N1255" s="249">
        <f t="shared" si="71"/>
        <v>16</v>
      </c>
      <c r="Z1255" s="130">
        <v>0.5</v>
      </c>
      <c r="AA1255" s="249">
        <v>3</v>
      </c>
      <c r="AB1255" s="250">
        <v>16000</v>
      </c>
      <c r="AC1255" s="250">
        <v>10000</v>
      </c>
      <c r="AD1255" s="250">
        <v>30000</v>
      </c>
      <c r="AE1255" s="250">
        <v>220000</v>
      </c>
      <c r="AF1255" s="250">
        <v>30000</v>
      </c>
    </row>
    <row r="1256" spans="2:32" x14ac:dyDescent="0.25">
      <c r="B1256" s="61" t="s">
        <v>2172</v>
      </c>
      <c r="C1256" s="249" t="str">
        <f t="shared" si="72"/>
        <v>T3</v>
      </c>
      <c r="D1256" s="14">
        <v>1986</v>
      </c>
      <c r="E1256" s="13">
        <v>1500000</v>
      </c>
      <c r="F1256" s="249">
        <v>2</v>
      </c>
      <c r="G1256" s="249">
        <v>2.2999999999999998</v>
      </c>
      <c r="H1256" s="249" t="str">
        <f t="shared" si="73"/>
        <v>D</v>
      </c>
      <c r="I1256" s="249">
        <f t="shared" si="69"/>
        <v>1</v>
      </c>
      <c r="J1256" s="143">
        <v>5000</v>
      </c>
      <c r="K1256" s="249" t="str">
        <f t="shared" si="74"/>
        <v>HC</v>
      </c>
      <c r="M1256" s="249">
        <f t="shared" si="70"/>
        <v>29</v>
      </c>
      <c r="N1256" s="249">
        <f t="shared" si="71"/>
        <v>28</v>
      </c>
      <c r="Z1256" s="130">
        <v>0.5</v>
      </c>
      <c r="AA1256" s="249">
        <v>2</v>
      </c>
      <c r="AB1256" s="250">
        <v>12000</v>
      </c>
      <c r="AC1256" s="250">
        <v>6000</v>
      </c>
      <c r="AD1256" s="250">
        <v>30000</v>
      </c>
      <c r="AE1256" s="250">
        <v>120000</v>
      </c>
      <c r="AF1256" s="250">
        <v>30000</v>
      </c>
    </row>
    <row r="1257" spans="2:32" x14ac:dyDescent="0.25">
      <c r="B1257" s="61" t="s">
        <v>2173</v>
      </c>
      <c r="C1257" s="249" t="str">
        <f t="shared" si="72"/>
        <v>C3</v>
      </c>
      <c r="D1257" s="14">
        <v>1988</v>
      </c>
      <c r="E1257" s="13">
        <v>1250000</v>
      </c>
      <c r="F1257" s="249">
        <v>2.5</v>
      </c>
      <c r="G1257" s="249">
        <v>2.7</v>
      </c>
      <c r="H1257" s="249" t="str">
        <f t="shared" si="73"/>
        <v>D</v>
      </c>
      <c r="I1257" s="249">
        <f t="shared" si="69"/>
        <v>1</v>
      </c>
      <c r="J1257" s="143">
        <v>5000</v>
      </c>
      <c r="K1257" s="249" t="str">
        <f t="shared" si="74"/>
        <v>HC</v>
      </c>
      <c r="M1257" s="249">
        <f t="shared" si="70"/>
        <v>27</v>
      </c>
      <c r="N1257" s="249">
        <f t="shared" si="71"/>
        <v>26</v>
      </c>
      <c r="Z1257" s="130">
        <v>0.5</v>
      </c>
      <c r="AA1257" s="249">
        <v>3</v>
      </c>
      <c r="AB1257" s="250">
        <v>6000</v>
      </c>
      <c r="AC1257" s="250">
        <v>10000</v>
      </c>
      <c r="AD1257" s="250">
        <v>40000</v>
      </c>
      <c r="AE1257" s="250">
        <v>90000</v>
      </c>
      <c r="AF1257" s="250">
        <v>40000</v>
      </c>
    </row>
    <row r="1258" spans="2:32" x14ac:dyDescent="0.25">
      <c r="B1258" s="61" t="s">
        <v>2174</v>
      </c>
      <c r="C1258" s="249" t="str">
        <f t="shared" si="72"/>
        <v>C3</v>
      </c>
      <c r="D1258" s="14">
        <v>1990</v>
      </c>
      <c r="E1258" s="13">
        <v>950000</v>
      </c>
      <c r="F1258" s="249">
        <v>2.1</v>
      </c>
      <c r="G1258" s="249">
        <v>2.5</v>
      </c>
      <c r="H1258" s="249" t="str">
        <f t="shared" si="73"/>
        <v>D</v>
      </c>
      <c r="I1258" s="249">
        <f t="shared" si="69"/>
        <v>1</v>
      </c>
      <c r="J1258" s="143">
        <v>4000</v>
      </c>
      <c r="K1258" s="249" t="str">
        <f t="shared" si="74"/>
        <v>HC</v>
      </c>
      <c r="M1258" s="249">
        <f t="shared" si="70"/>
        <v>25</v>
      </c>
      <c r="N1258" s="249">
        <f t="shared" si="71"/>
        <v>24</v>
      </c>
      <c r="Z1258" s="130">
        <v>0.5</v>
      </c>
      <c r="AA1258" s="249">
        <v>3</v>
      </c>
      <c r="AB1258" s="250">
        <v>15000</v>
      </c>
      <c r="AC1258" s="250">
        <v>10000</v>
      </c>
      <c r="AD1258" s="250">
        <v>35000</v>
      </c>
      <c r="AE1258" s="250">
        <v>200000</v>
      </c>
      <c r="AF1258" s="250">
        <v>35000</v>
      </c>
    </row>
    <row r="1259" spans="2:32" x14ac:dyDescent="0.25">
      <c r="B1259" s="61" t="s">
        <v>2175</v>
      </c>
      <c r="C1259" s="249" t="str">
        <f t="shared" si="72"/>
        <v>T3</v>
      </c>
      <c r="D1259" s="14">
        <v>1998</v>
      </c>
      <c r="E1259" s="13">
        <v>973815</v>
      </c>
      <c r="F1259" s="249">
        <v>2.4</v>
      </c>
      <c r="G1259" s="249">
        <v>2.7</v>
      </c>
      <c r="H1259" s="249" t="str">
        <f t="shared" si="73"/>
        <v>D</v>
      </c>
      <c r="I1259" s="249">
        <f t="shared" si="69"/>
        <v>1</v>
      </c>
      <c r="J1259" s="143">
        <v>9000</v>
      </c>
      <c r="K1259" s="249" t="str">
        <f t="shared" si="74"/>
        <v>HC</v>
      </c>
      <c r="M1259" s="249">
        <f t="shared" si="70"/>
        <v>17</v>
      </c>
      <c r="N1259" s="249">
        <f t="shared" si="71"/>
        <v>16</v>
      </c>
      <c r="Z1259" s="130">
        <v>0.1</v>
      </c>
      <c r="AA1259" s="249">
        <v>2</v>
      </c>
      <c r="AB1259" s="250">
        <v>18000</v>
      </c>
      <c r="AC1259" s="250" t="s">
        <v>352</v>
      </c>
      <c r="AD1259" s="250">
        <v>27000</v>
      </c>
      <c r="AE1259" s="250">
        <v>100000</v>
      </c>
      <c r="AF1259" s="250" t="s">
        <v>352</v>
      </c>
    </row>
    <row r="1260" spans="2:32" x14ac:dyDescent="0.25">
      <c r="B1260" s="61" t="s">
        <v>2176</v>
      </c>
      <c r="C1260" s="249" t="str">
        <f t="shared" si="72"/>
        <v>T3</v>
      </c>
      <c r="D1260" s="14">
        <v>2007</v>
      </c>
      <c r="E1260" s="13">
        <v>618923</v>
      </c>
      <c r="F1260" s="249">
        <v>2.5</v>
      </c>
      <c r="G1260" s="249">
        <v>2.8</v>
      </c>
      <c r="H1260" s="249" t="str">
        <f t="shared" si="73"/>
        <v>D</v>
      </c>
      <c r="I1260" s="249">
        <f t="shared" si="69"/>
        <v>1</v>
      </c>
      <c r="J1260" s="143">
        <v>8333.3333333333339</v>
      </c>
      <c r="K1260" s="249" t="str">
        <f t="shared" si="74"/>
        <v>PT</v>
      </c>
      <c r="M1260" s="249">
        <f t="shared" si="70"/>
        <v>8</v>
      </c>
      <c r="N1260" s="249">
        <f t="shared" si="71"/>
        <v>7</v>
      </c>
      <c r="Z1260" s="130">
        <v>0.5</v>
      </c>
      <c r="AA1260" s="249">
        <v>7</v>
      </c>
      <c r="AB1260" s="250">
        <v>18000</v>
      </c>
      <c r="AC1260" s="250">
        <v>240000</v>
      </c>
      <c r="AD1260" s="250">
        <v>36000</v>
      </c>
      <c r="AE1260" s="250">
        <v>120000</v>
      </c>
      <c r="AF1260" s="250" t="s">
        <v>352</v>
      </c>
    </row>
    <row r="1261" spans="2:32" x14ac:dyDescent="0.25">
      <c r="B1261" s="61" t="s">
        <v>2177</v>
      </c>
      <c r="C1261" s="249" t="str">
        <f t="shared" si="72"/>
        <v>C2</v>
      </c>
      <c r="D1261" s="14">
        <v>1997</v>
      </c>
      <c r="E1261" s="13" t="s">
        <v>908</v>
      </c>
      <c r="F1261" s="249">
        <v>4.2</v>
      </c>
      <c r="G1261" s="249">
        <v>5</v>
      </c>
      <c r="H1261" s="249" t="str">
        <f t="shared" si="73"/>
        <v>G</v>
      </c>
      <c r="I1261" s="249">
        <f t="shared" si="69"/>
        <v>1</v>
      </c>
      <c r="J1261" s="143">
        <v>3000</v>
      </c>
      <c r="K1261" s="249" t="str">
        <f t="shared" si="74"/>
        <v>HC</v>
      </c>
      <c r="M1261" s="249">
        <f t="shared" si="70"/>
        <v>18</v>
      </c>
      <c r="N1261" s="249">
        <f t="shared" si="71"/>
        <v>17</v>
      </c>
      <c r="Z1261" s="130">
        <v>0.5</v>
      </c>
      <c r="AA1261" s="249">
        <v>1</v>
      </c>
      <c r="AB1261" s="250">
        <v>20000</v>
      </c>
      <c r="AC1261" s="250" t="s">
        <v>352</v>
      </c>
      <c r="AD1261" s="250">
        <v>20000</v>
      </c>
      <c r="AE1261" s="250" t="s">
        <v>352</v>
      </c>
      <c r="AF1261" s="250" t="s">
        <v>2462</v>
      </c>
    </row>
    <row r="1262" spans="2:32" x14ac:dyDescent="0.25">
      <c r="B1262" s="61" t="s">
        <v>2178</v>
      </c>
      <c r="C1262" s="249" t="str">
        <f t="shared" si="72"/>
        <v>C3</v>
      </c>
      <c r="D1262" s="14">
        <v>2000</v>
      </c>
      <c r="E1262" s="13">
        <v>937616</v>
      </c>
      <c r="F1262" s="249">
        <v>3.1</v>
      </c>
      <c r="G1262" s="249">
        <v>3.8</v>
      </c>
      <c r="H1262" s="249" t="str">
        <f t="shared" si="73"/>
        <v>D</v>
      </c>
      <c r="I1262" s="249">
        <f t="shared" si="69"/>
        <v>1</v>
      </c>
      <c r="J1262" s="143">
        <v>6000</v>
      </c>
      <c r="K1262" s="249" t="str">
        <f t="shared" si="74"/>
        <v>HC</v>
      </c>
      <c r="M1262" s="249">
        <f t="shared" si="70"/>
        <v>15</v>
      </c>
      <c r="N1262" s="249">
        <f t="shared" si="71"/>
        <v>14</v>
      </c>
      <c r="Z1262" s="130">
        <v>0.2</v>
      </c>
      <c r="AA1262" s="249">
        <v>3</v>
      </c>
      <c r="AB1262" s="250">
        <v>24000</v>
      </c>
      <c r="AC1262" s="250">
        <v>180000</v>
      </c>
      <c r="AD1262" s="250">
        <v>24000</v>
      </c>
      <c r="AE1262" s="250">
        <v>120000</v>
      </c>
      <c r="AF1262" s="250" t="s">
        <v>352</v>
      </c>
    </row>
    <row r="1263" spans="2:32" x14ac:dyDescent="0.25">
      <c r="B1263" s="61" t="s">
        <v>2179</v>
      </c>
      <c r="C1263" s="249" t="str">
        <f t="shared" si="72"/>
        <v>C3</v>
      </c>
      <c r="D1263" s="14">
        <v>1997</v>
      </c>
      <c r="E1263" s="13" t="s">
        <v>908</v>
      </c>
      <c r="F1263" s="249">
        <v>2.9</v>
      </c>
      <c r="G1263" s="249">
        <v>3.6</v>
      </c>
      <c r="H1263" s="249" t="str">
        <f t="shared" si="73"/>
        <v>D</v>
      </c>
      <c r="I1263" s="249">
        <f t="shared" si="69"/>
        <v>1</v>
      </c>
      <c r="J1263" s="143">
        <v>8000</v>
      </c>
      <c r="K1263" s="249" t="str">
        <f t="shared" si="74"/>
        <v>HC</v>
      </c>
      <c r="M1263" s="249">
        <f t="shared" si="70"/>
        <v>18</v>
      </c>
      <c r="N1263" s="249">
        <f t="shared" si="71"/>
        <v>17</v>
      </c>
      <c r="Z1263" s="130">
        <v>0.1</v>
      </c>
      <c r="AA1263" s="249">
        <v>3</v>
      </c>
      <c r="AB1263" s="250">
        <v>30000</v>
      </c>
      <c r="AC1263" s="250" t="s">
        <v>352</v>
      </c>
      <c r="AD1263" s="250">
        <v>30000</v>
      </c>
      <c r="AE1263" s="250" t="s">
        <v>352</v>
      </c>
      <c r="AF1263" s="250" t="s">
        <v>352</v>
      </c>
    </row>
    <row r="1264" spans="2:32" x14ac:dyDescent="0.25">
      <c r="B1264" s="61" t="s">
        <v>2180</v>
      </c>
      <c r="C1264" s="249" t="str">
        <f t="shared" si="72"/>
        <v>C3</v>
      </c>
      <c r="D1264" s="14">
        <v>2001</v>
      </c>
      <c r="E1264" s="13">
        <v>917890</v>
      </c>
      <c r="F1264" s="249">
        <v>3.2</v>
      </c>
      <c r="G1264" s="249">
        <v>3.8</v>
      </c>
      <c r="H1264" s="249" t="str">
        <f t="shared" si="73"/>
        <v>D</v>
      </c>
      <c r="I1264" s="249">
        <f t="shared" si="69"/>
        <v>1</v>
      </c>
      <c r="J1264" s="143">
        <v>7500</v>
      </c>
      <c r="K1264" s="249" t="str">
        <f t="shared" si="74"/>
        <v>HC</v>
      </c>
      <c r="M1264" s="249">
        <f t="shared" si="70"/>
        <v>14</v>
      </c>
      <c r="N1264" s="249">
        <f t="shared" si="71"/>
        <v>13</v>
      </c>
      <c r="Z1264" s="130">
        <v>0.5</v>
      </c>
      <c r="AA1264" s="249">
        <v>1</v>
      </c>
      <c r="AB1264" s="250">
        <v>30000</v>
      </c>
      <c r="AC1264" s="250" t="s">
        <v>352</v>
      </c>
      <c r="AD1264" s="250">
        <v>30000</v>
      </c>
      <c r="AE1264" s="250" t="s">
        <v>352</v>
      </c>
      <c r="AF1264" s="250" t="s">
        <v>352</v>
      </c>
    </row>
    <row r="1265" spans="2:32" x14ac:dyDescent="0.25">
      <c r="B1265" s="61" t="s">
        <v>2181</v>
      </c>
      <c r="C1265" s="249" t="str">
        <f t="shared" si="72"/>
        <v>C3</v>
      </c>
      <c r="D1265" s="14">
        <v>2006</v>
      </c>
      <c r="E1265" s="13">
        <v>746922</v>
      </c>
      <c r="F1265" s="249">
        <v>3.2</v>
      </c>
      <c r="G1265" s="249">
        <v>3.7</v>
      </c>
      <c r="H1265" s="249" t="str">
        <f t="shared" si="73"/>
        <v>D</v>
      </c>
      <c r="I1265" s="249">
        <f t="shared" si="69"/>
        <v>1</v>
      </c>
      <c r="J1265" s="143">
        <v>8000</v>
      </c>
      <c r="K1265" s="249" t="str">
        <f t="shared" si="74"/>
        <v>HC</v>
      </c>
      <c r="M1265" s="249">
        <f t="shared" si="70"/>
        <v>9</v>
      </c>
      <c r="N1265" s="249">
        <f t="shared" si="71"/>
        <v>8</v>
      </c>
      <c r="Z1265" s="130">
        <v>0.05</v>
      </c>
      <c r="AA1265" s="249">
        <v>3</v>
      </c>
      <c r="AB1265" s="250">
        <v>24000</v>
      </c>
      <c r="AC1265" s="250">
        <v>240000</v>
      </c>
      <c r="AD1265" s="250">
        <v>24000</v>
      </c>
      <c r="AE1265" s="250">
        <v>120000</v>
      </c>
      <c r="AF1265" s="250" t="s">
        <v>352</v>
      </c>
    </row>
    <row r="1266" spans="2:32" x14ac:dyDescent="0.25">
      <c r="B1266" s="61" t="s">
        <v>2182</v>
      </c>
      <c r="C1266" s="249" t="str">
        <f t="shared" si="72"/>
        <v>T3</v>
      </c>
      <c r="D1266" s="14">
        <v>2004</v>
      </c>
      <c r="E1266" s="13">
        <v>973600</v>
      </c>
      <c r="F1266" s="249">
        <v>2.4</v>
      </c>
      <c r="G1266" s="249">
        <v>2.7</v>
      </c>
      <c r="H1266" s="249" t="str">
        <f t="shared" si="73"/>
        <v>D</v>
      </c>
      <c r="I1266" s="249">
        <f t="shared" si="69"/>
        <v>1</v>
      </c>
      <c r="J1266" s="143">
        <v>10000</v>
      </c>
      <c r="K1266" s="249" t="str">
        <f t="shared" si="74"/>
        <v>HC</v>
      </c>
      <c r="M1266" s="249">
        <f t="shared" si="70"/>
        <v>11</v>
      </c>
      <c r="N1266" s="249">
        <f t="shared" si="71"/>
        <v>10</v>
      </c>
      <c r="Z1266" s="130">
        <v>0.05</v>
      </c>
      <c r="AA1266" s="249">
        <v>3</v>
      </c>
      <c r="AB1266" s="250">
        <v>20000</v>
      </c>
      <c r="AC1266" s="250">
        <v>240000</v>
      </c>
      <c r="AD1266" s="250">
        <v>20000</v>
      </c>
      <c r="AE1266" s="250">
        <v>120000</v>
      </c>
      <c r="AF1266" s="250" t="s">
        <v>352</v>
      </c>
    </row>
    <row r="1267" spans="2:32" x14ac:dyDescent="0.25">
      <c r="B1267" s="61" t="s">
        <v>2183</v>
      </c>
      <c r="C1267" s="249" t="str">
        <f t="shared" si="72"/>
        <v>T3</v>
      </c>
      <c r="D1267" s="14">
        <v>2003</v>
      </c>
      <c r="E1267" s="13">
        <v>803973</v>
      </c>
      <c r="F1267" s="249">
        <v>2.4</v>
      </c>
      <c r="G1267" s="249">
        <v>2.7</v>
      </c>
      <c r="H1267" s="249" t="str">
        <f t="shared" si="73"/>
        <v>D</v>
      </c>
      <c r="I1267" s="249">
        <f t="shared" si="69"/>
        <v>1</v>
      </c>
      <c r="J1267" s="143">
        <v>8000</v>
      </c>
      <c r="K1267" s="249" t="str">
        <f t="shared" si="74"/>
        <v>HC</v>
      </c>
      <c r="M1267" s="249">
        <f t="shared" si="70"/>
        <v>12</v>
      </c>
      <c r="N1267" s="249">
        <f t="shared" si="71"/>
        <v>11</v>
      </c>
      <c r="Z1267" s="130">
        <v>0.1</v>
      </c>
      <c r="AA1267" s="249">
        <v>1</v>
      </c>
      <c r="AB1267" s="250">
        <v>17000</v>
      </c>
      <c r="AC1267" s="250" t="s">
        <v>352</v>
      </c>
      <c r="AD1267" s="250">
        <v>35000</v>
      </c>
      <c r="AE1267" s="250">
        <v>100000</v>
      </c>
      <c r="AF1267" s="250" t="s">
        <v>352</v>
      </c>
    </row>
    <row r="1268" spans="2:32" x14ac:dyDescent="0.25">
      <c r="B1268" s="61" t="s">
        <v>2184</v>
      </c>
      <c r="C1268" s="249" t="str">
        <f t="shared" si="72"/>
        <v>T3</v>
      </c>
      <c r="D1268" s="14">
        <v>2008</v>
      </c>
      <c r="E1268" s="13">
        <v>615371</v>
      </c>
      <c r="F1268" s="249">
        <v>2.4</v>
      </c>
      <c r="G1268" s="249">
        <v>2.7</v>
      </c>
      <c r="H1268" s="249" t="str">
        <f t="shared" si="73"/>
        <v>D</v>
      </c>
      <c r="I1268" s="249">
        <f t="shared" si="69"/>
        <v>1</v>
      </c>
      <c r="J1268" s="143">
        <v>9000</v>
      </c>
      <c r="K1268" s="249" t="str">
        <f t="shared" si="74"/>
        <v>PT</v>
      </c>
      <c r="M1268" s="249">
        <f t="shared" si="70"/>
        <v>7</v>
      </c>
      <c r="N1268" s="249">
        <f t="shared" si="71"/>
        <v>6</v>
      </c>
      <c r="Z1268" s="130">
        <v>0.05</v>
      </c>
      <c r="AA1268" s="249">
        <v>7</v>
      </c>
      <c r="AB1268" s="250">
        <v>18000</v>
      </c>
      <c r="AC1268" s="250">
        <v>240000</v>
      </c>
      <c r="AD1268" s="250">
        <v>36000</v>
      </c>
      <c r="AE1268" s="250">
        <v>120000</v>
      </c>
      <c r="AF1268" s="250" t="s">
        <v>352</v>
      </c>
    </row>
    <row r="1269" spans="2:32" x14ac:dyDescent="0.25">
      <c r="B1269" s="61" t="s">
        <v>2185</v>
      </c>
      <c r="C1269" s="249" t="str">
        <f t="shared" si="72"/>
        <v>C3</v>
      </c>
      <c r="D1269" s="14">
        <v>1997</v>
      </c>
      <c r="E1269" s="13">
        <v>881752</v>
      </c>
      <c r="F1269" s="249">
        <v>3.1</v>
      </c>
      <c r="G1269" s="249">
        <v>3.6</v>
      </c>
      <c r="H1269" s="249" t="str">
        <f t="shared" si="73"/>
        <v>D</v>
      </c>
      <c r="I1269" s="249">
        <f t="shared" si="69"/>
        <v>1</v>
      </c>
      <c r="J1269" s="143">
        <v>6000</v>
      </c>
      <c r="K1269" s="249" t="str">
        <f t="shared" si="74"/>
        <v>HC</v>
      </c>
      <c r="M1269" s="249">
        <f t="shared" si="70"/>
        <v>18</v>
      </c>
      <c r="N1269" s="249">
        <f t="shared" si="71"/>
        <v>17</v>
      </c>
      <c r="Z1269" s="130">
        <v>0.1</v>
      </c>
      <c r="AA1269" s="249">
        <v>2</v>
      </c>
      <c r="AB1269" s="250">
        <v>24000</v>
      </c>
      <c r="AC1269" s="250" t="s">
        <v>352</v>
      </c>
      <c r="AD1269" s="250">
        <v>24000</v>
      </c>
      <c r="AE1269" s="250" t="s">
        <v>352</v>
      </c>
      <c r="AF1269" s="250" t="s">
        <v>352</v>
      </c>
    </row>
    <row r="1270" spans="2:32" x14ac:dyDescent="0.25">
      <c r="B1270" s="61" t="s">
        <v>2186</v>
      </c>
      <c r="C1270" s="249" t="str">
        <f t="shared" si="72"/>
        <v>C3</v>
      </c>
      <c r="D1270" s="14">
        <v>1999</v>
      </c>
      <c r="E1270" s="13">
        <v>763415</v>
      </c>
      <c r="F1270" s="249">
        <v>3.2</v>
      </c>
      <c r="G1270" s="249">
        <v>3.6</v>
      </c>
      <c r="H1270" s="249" t="str">
        <f t="shared" si="73"/>
        <v>D</v>
      </c>
      <c r="I1270" s="249">
        <f t="shared" si="69"/>
        <v>1</v>
      </c>
      <c r="J1270" s="143">
        <v>4000</v>
      </c>
      <c r="K1270" s="249" t="str">
        <f t="shared" si="74"/>
        <v>HC</v>
      </c>
      <c r="M1270" s="249">
        <f t="shared" si="70"/>
        <v>16</v>
      </c>
      <c r="N1270" s="249">
        <f t="shared" si="71"/>
        <v>15</v>
      </c>
      <c r="Z1270" s="130">
        <v>0.5</v>
      </c>
      <c r="AA1270" s="249">
        <v>3</v>
      </c>
      <c r="AB1270" s="250">
        <v>24000</v>
      </c>
      <c r="AC1270" s="250">
        <v>180000</v>
      </c>
      <c r="AD1270" s="250">
        <v>24000</v>
      </c>
      <c r="AE1270" s="250">
        <v>100000</v>
      </c>
      <c r="AF1270" s="250" t="s">
        <v>352</v>
      </c>
    </row>
    <row r="1271" spans="2:32" x14ac:dyDescent="0.25">
      <c r="B1271" s="61" t="s">
        <v>2187</v>
      </c>
      <c r="C1271" s="249" t="str">
        <f t="shared" si="72"/>
        <v>T3</v>
      </c>
      <c r="D1271" s="14">
        <v>2009</v>
      </c>
      <c r="E1271" s="13">
        <v>323892</v>
      </c>
      <c r="F1271" s="249">
        <v>2.4</v>
      </c>
      <c r="G1271" s="249">
        <v>2.7</v>
      </c>
      <c r="H1271" s="249" t="str">
        <f t="shared" si="73"/>
        <v>D</v>
      </c>
      <c r="I1271" s="249">
        <f t="shared" si="69"/>
        <v>1</v>
      </c>
      <c r="J1271" s="143">
        <v>8000</v>
      </c>
      <c r="K1271" s="249" t="str">
        <f t="shared" si="74"/>
        <v>PT</v>
      </c>
      <c r="M1271" s="249">
        <f t="shared" si="70"/>
        <v>6</v>
      </c>
      <c r="N1271" s="249">
        <f t="shared" si="71"/>
        <v>5</v>
      </c>
      <c r="Z1271" s="130">
        <v>0.5</v>
      </c>
      <c r="AA1271" s="249">
        <v>7</v>
      </c>
      <c r="AB1271" s="250">
        <v>18000</v>
      </c>
      <c r="AC1271" s="250">
        <v>180000</v>
      </c>
      <c r="AD1271" s="250">
        <v>24000</v>
      </c>
      <c r="AE1271" s="250">
        <v>120000</v>
      </c>
      <c r="AF1271" s="250" t="s">
        <v>352</v>
      </c>
    </row>
    <row r="1272" spans="2:32" x14ac:dyDescent="0.25">
      <c r="B1272" s="61" t="s">
        <v>2188</v>
      </c>
      <c r="C1272" s="249" t="str">
        <f t="shared" si="72"/>
        <v>T3</v>
      </c>
      <c r="D1272" s="14">
        <v>2007</v>
      </c>
      <c r="E1272" s="13">
        <v>536789</v>
      </c>
      <c r="F1272" s="249">
        <v>2.5</v>
      </c>
      <c r="G1272" s="249">
        <v>2.7</v>
      </c>
      <c r="H1272" s="249" t="str">
        <f t="shared" si="73"/>
        <v>D</v>
      </c>
      <c r="I1272" s="249">
        <f t="shared" si="69"/>
        <v>1</v>
      </c>
      <c r="J1272" s="143">
        <v>8000</v>
      </c>
      <c r="K1272" s="249" t="str">
        <f t="shared" si="74"/>
        <v>HC</v>
      </c>
      <c r="M1272" s="249">
        <f t="shared" si="70"/>
        <v>8</v>
      </c>
      <c r="N1272" s="249">
        <f t="shared" si="71"/>
        <v>7</v>
      </c>
      <c r="Z1272" s="130">
        <v>0.5</v>
      </c>
      <c r="AA1272" s="249">
        <v>3</v>
      </c>
      <c r="AB1272" s="250">
        <v>24000</v>
      </c>
      <c r="AC1272" s="250">
        <v>240000</v>
      </c>
      <c r="AD1272" s="250">
        <v>24000</v>
      </c>
      <c r="AE1272" s="250">
        <v>120000</v>
      </c>
      <c r="AF1272" s="250" t="s">
        <v>352</v>
      </c>
    </row>
    <row r="1273" spans="2:32" x14ac:dyDescent="0.25">
      <c r="B1273" s="61" t="s">
        <v>2189</v>
      </c>
      <c r="C1273" s="249" t="str">
        <f t="shared" si="72"/>
        <v>T3</v>
      </c>
      <c r="D1273" s="14">
        <v>2007</v>
      </c>
      <c r="E1273" s="13">
        <v>726430</v>
      </c>
      <c r="F1273" s="249">
        <v>1.6</v>
      </c>
      <c r="G1273" s="249">
        <v>1.8</v>
      </c>
      <c r="H1273" s="249" t="str">
        <f t="shared" si="73"/>
        <v>D</v>
      </c>
      <c r="I1273" s="249">
        <f t="shared" si="69"/>
        <v>1</v>
      </c>
      <c r="J1273" s="143">
        <v>10000</v>
      </c>
      <c r="K1273" s="249" t="str">
        <f t="shared" si="74"/>
        <v>HC</v>
      </c>
      <c r="M1273" s="249">
        <f t="shared" si="70"/>
        <v>8</v>
      </c>
      <c r="N1273" s="249">
        <f t="shared" si="71"/>
        <v>7</v>
      </c>
      <c r="Z1273" s="130">
        <v>0.5</v>
      </c>
      <c r="AA1273" s="249">
        <v>2</v>
      </c>
      <c r="AB1273" s="250">
        <v>20000</v>
      </c>
      <c r="AC1273" s="250">
        <v>240000</v>
      </c>
      <c r="AD1273" s="250">
        <v>20000</v>
      </c>
      <c r="AE1273" s="250">
        <v>120000</v>
      </c>
      <c r="AF1273" s="250" t="s">
        <v>352</v>
      </c>
    </row>
    <row r="1274" spans="2:32" x14ac:dyDescent="0.25">
      <c r="B1274" s="61" t="s">
        <v>2190</v>
      </c>
      <c r="C1274" s="249" t="str">
        <f t="shared" si="72"/>
        <v>C2</v>
      </c>
      <c r="D1274" s="14">
        <v>2005</v>
      </c>
      <c r="E1274" s="13">
        <v>471032</v>
      </c>
      <c r="F1274" s="249">
        <v>4.7</v>
      </c>
      <c r="G1274" s="249">
        <v>5</v>
      </c>
      <c r="H1274" s="249" t="str">
        <f t="shared" si="73"/>
        <v>G</v>
      </c>
      <c r="I1274" s="249">
        <f t="shared" si="69"/>
        <v>1</v>
      </c>
      <c r="J1274" s="143">
        <v>5000</v>
      </c>
      <c r="K1274" s="249" t="str">
        <f t="shared" si="74"/>
        <v>HC</v>
      </c>
      <c r="M1274" s="249">
        <f t="shared" si="70"/>
        <v>10</v>
      </c>
      <c r="N1274" s="249">
        <f t="shared" si="71"/>
        <v>9</v>
      </c>
      <c r="Z1274" s="130">
        <v>0.1</v>
      </c>
      <c r="AA1274" s="249">
        <v>1</v>
      </c>
      <c r="AB1274" s="250">
        <v>20000</v>
      </c>
      <c r="AC1274" s="250" t="s">
        <v>352</v>
      </c>
      <c r="AD1274" s="250">
        <v>30000</v>
      </c>
      <c r="AE1274" s="250">
        <v>100000</v>
      </c>
      <c r="AF1274" s="250" t="s">
        <v>352</v>
      </c>
    </row>
    <row r="1275" spans="2:32" x14ac:dyDescent="0.25">
      <c r="B1275" s="61" t="s">
        <v>2191</v>
      </c>
      <c r="C1275" s="249" t="str">
        <f t="shared" si="72"/>
        <v>T3</v>
      </c>
      <c r="D1275" s="14">
        <v>2006</v>
      </c>
      <c r="E1275" s="13">
        <v>637902</v>
      </c>
      <c r="F1275" s="249">
        <v>2.5</v>
      </c>
      <c r="G1275" s="249">
        <v>2.8</v>
      </c>
      <c r="H1275" s="249" t="str">
        <f t="shared" si="73"/>
        <v>D</v>
      </c>
      <c r="I1275" s="249">
        <f t="shared" si="69"/>
        <v>1</v>
      </c>
      <c r="J1275" s="143">
        <v>8000</v>
      </c>
      <c r="K1275" s="249" t="str">
        <f t="shared" si="74"/>
        <v>HC</v>
      </c>
      <c r="M1275" s="249">
        <f t="shared" si="70"/>
        <v>9</v>
      </c>
      <c r="N1275" s="249">
        <f t="shared" si="71"/>
        <v>8</v>
      </c>
      <c r="Z1275" s="130">
        <v>0.05</v>
      </c>
      <c r="AA1275" s="249">
        <v>2</v>
      </c>
      <c r="AB1275" s="250">
        <v>24000</v>
      </c>
      <c r="AC1275" s="250" t="s">
        <v>352</v>
      </c>
      <c r="AD1275" s="250">
        <v>24000</v>
      </c>
      <c r="AE1275" s="250">
        <v>120000</v>
      </c>
      <c r="AF1275" s="250" t="s">
        <v>352</v>
      </c>
    </row>
    <row r="1276" spans="2:32" x14ac:dyDescent="0.25">
      <c r="B1276" s="61" t="s">
        <v>2192</v>
      </c>
      <c r="C1276" s="249" t="str">
        <f t="shared" si="72"/>
        <v>T3</v>
      </c>
      <c r="D1276" s="14">
        <v>2005</v>
      </c>
      <c r="E1276" s="13">
        <v>630244</v>
      </c>
      <c r="F1276" s="249">
        <v>2.5</v>
      </c>
      <c r="G1276" s="249">
        <v>2.8</v>
      </c>
      <c r="H1276" s="249" t="str">
        <f t="shared" si="73"/>
        <v>D</v>
      </c>
      <c r="I1276" s="249">
        <f t="shared" si="69"/>
        <v>1</v>
      </c>
      <c r="J1276" s="143">
        <v>8000</v>
      </c>
      <c r="K1276" s="249" t="str">
        <f t="shared" si="74"/>
        <v>HC</v>
      </c>
      <c r="M1276" s="249">
        <f t="shared" si="70"/>
        <v>10</v>
      </c>
      <c r="N1276" s="249">
        <f t="shared" si="71"/>
        <v>9</v>
      </c>
      <c r="Z1276" s="130">
        <v>0.5</v>
      </c>
      <c r="AA1276" s="249">
        <v>3</v>
      </c>
      <c r="AB1276" s="250">
        <v>18000</v>
      </c>
      <c r="AC1276" s="250">
        <v>200000</v>
      </c>
      <c r="AD1276" s="250">
        <v>25000</v>
      </c>
      <c r="AE1276" s="250">
        <v>100000</v>
      </c>
      <c r="AF1276" s="250" t="s">
        <v>352</v>
      </c>
    </row>
    <row r="1277" spans="2:32" x14ac:dyDescent="0.25">
      <c r="B1277" s="61" t="s">
        <v>2193</v>
      </c>
      <c r="C1277" s="249" t="str">
        <f t="shared" si="72"/>
        <v>C3</v>
      </c>
      <c r="D1277" s="14">
        <v>1995</v>
      </c>
      <c r="E1277" s="13">
        <v>793611</v>
      </c>
      <c r="F1277" s="249">
        <v>3</v>
      </c>
      <c r="G1277" s="249">
        <v>3.4</v>
      </c>
      <c r="H1277" s="249" t="str">
        <f t="shared" si="73"/>
        <v>D</v>
      </c>
      <c r="I1277" s="249">
        <f t="shared" si="69"/>
        <v>1</v>
      </c>
      <c r="J1277" s="143">
        <v>5000</v>
      </c>
      <c r="K1277" s="249" t="str">
        <f t="shared" si="74"/>
        <v>HC</v>
      </c>
      <c r="M1277" s="249">
        <f t="shared" si="70"/>
        <v>20</v>
      </c>
      <c r="N1277" s="249">
        <f t="shared" si="71"/>
        <v>19</v>
      </c>
      <c r="Z1277" s="130">
        <v>0.2</v>
      </c>
      <c r="AA1277" s="249">
        <v>3</v>
      </c>
      <c r="AB1277" s="250">
        <v>30000</v>
      </c>
      <c r="AC1277" s="250" t="s">
        <v>352</v>
      </c>
      <c r="AD1277" s="250">
        <v>30000</v>
      </c>
      <c r="AE1277" s="250" t="s">
        <v>352</v>
      </c>
      <c r="AF1277" s="250" t="s">
        <v>352</v>
      </c>
    </row>
    <row r="1278" spans="2:32" x14ac:dyDescent="0.25">
      <c r="B1278" s="61" t="s">
        <v>2194</v>
      </c>
      <c r="C1278" s="249" t="str">
        <f t="shared" si="72"/>
        <v>T3</v>
      </c>
      <c r="D1278" s="14">
        <v>2001</v>
      </c>
      <c r="E1278" s="13">
        <v>868321</v>
      </c>
      <c r="F1278" s="249">
        <v>2.4</v>
      </c>
      <c r="G1278" s="249">
        <v>2.7</v>
      </c>
      <c r="H1278" s="249" t="str">
        <f t="shared" si="73"/>
        <v>D</v>
      </c>
      <c r="I1278" s="249">
        <f t="shared" si="69"/>
        <v>1</v>
      </c>
      <c r="J1278" s="143">
        <v>4000</v>
      </c>
      <c r="K1278" s="249" t="str">
        <f t="shared" si="74"/>
        <v>HC</v>
      </c>
      <c r="M1278" s="249">
        <f t="shared" si="70"/>
        <v>14</v>
      </c>
      <c r="N1278" s="249">
        <f t="shared" si="71"/>
        <v>13</v>
      </c>
      <c r="Z1278" s="130">
        <v>0.2</v>
      </c>
      <c r="AA1278" s="249">
        <v>3</v>
      </c>
      <c r="AB1278" s="250">
        <v>20000</v>
      </c>
      <c r="AC1278" s="250" t="s">
        <v>352</v>
      </c>
      <c r="AD1278" s="250">
        <v>20000</v>
      </c>
      <c r="AE1278" s="250">
        <v>100000</v>
      </c>
      <c r="AF1278" s="250" t="s">
        <v>352</v>
      </c>
    </row>
    <row r="1279" spans="2:32" x14ac:dyDescent="0.25">
      <c r="B1279" s="61" t="s">
        <v>2195</v>
      </c>
      <c r="C1279" s="249" t="str">
        <f t="shared" si="72"/>
        <v>C3</v>
      </c>
      <c r="D1279" s="14">
        <v>1987</v>
      </c>
      <c r="E1279" s="13" t="s">
        <v>908</v>
      </c>
      <c r="F1279" s="249">
        <v>3</v>
      </c>
      <c r="G1279" s="249">
        <v>3.5</v>
      </c>
      <c r="H1279" s="249" t="str">
        <f t="shared" si="73"/>
        <v>D</v>
      </c>
      <c r="I1279" s="249">
        <f t="shared" si="69"/>
        <v>1</v>
      </c>
      <c r="J1279" s="143">
        <v>6000</v>
      </c>
      <c r="K1279" s="249" t="str">
        <f t="shared" si="74"/>
        <v>HC</v>
      </c>
      <c r="M1279" s="249">
        <f t="shared" si="70"/>
        <v>28</v>
      </c>
      <c r="N1279" s="249">
        <f t="shared" si="71"/>
        <v>27</v>
      </c>
      <c r="Z1279" s="130">
        <v>0.1</v>
      </c>
      <c r="AA1279" s="249">
        <v>1</v>
      </c>
      <c r="AB1279" s="250">
        <v>30000</v>
      </c>
      <c r="AC1279" s="250" t="s">
        <v>352</v>
      </c>
      <c r="AD1279" s="250">
        <v>30000</v>
      </c>
      <c r="AE1279" s="250" t="s">
        <v>352</v>
      </c>
      <c r="AF1279" s="250" t="s">
        <v>352</v>
      </c>
    </row>
    <row r="1280" spans="2:32" x14ac:dyDescent="0.25">
      <c r="B1280" s="61" t="s">
        <v>2196</v>
      </c>
      <c r="C1280" s="249" t="str">
        <f t="shared" si="72"/>
        <v>T3</v>
      </c>
      <c r="D1280" s="14">
        <v>2007</v>
      </c>
      <c r="E1280" s="13">
        <v>598301</v>
      </c>
      <c r="F1280" s="249">
        <v>2.5</v>
      </c>
      <c r="G1280" s="249">
        <v>2.7</v>
      </c>
      <c r="H1280" s="249" t="str">
        <f t="shared" si="73"/>
        <v>D</v>
      </c>
      <c r="I1280" s="249">
        <f t="shared" si="69"/>
        <v>1</v>
      </c>
      <c r="J1280" s="143">
        <v>8000</v>
      </c>
      <c r="K1280" s="249" t="str">
        <f t="shared" si="74"/>
        <v>PT</v>
      </c>
      <c r="M1280" s="249">
        <f t="shared" si="70"/>
        <v>8</v>
      </c>
      <c r="N1280" s="249">
        <f t="shared" si="71"/>
        <v>7</v>
      </c>
      <c r="Z1280" s="130">
        <v>0.05</v>
      </c>
      <c r="AA1280" s="249">
        <v>7</v>
      </c>
      <c r="AB1280" s="250">
        <v>24000</v>
      </c>
      <c r="AC1280" s="250">
        <v>200000</v>
      </c>
      <c r="AD1280" s="250">
        <v>24000</v>
      </c>
      <c r="AE1280" s="250">
        <v>120000</v>
      </c>
      <c r="AF1280" s="250" t="s">
        <v>352</v>
      </c>
    </row>
    <row r="1281" spans="2:32" x14ac:dyDescent="0.25">
      <c r="B1281" s="61" t="s">
        <v>2197</v>
      </c>
      <c r="C1281" s="249" t="str">
        <f t="shared" si="72"/>
        <v>C2</v>
      </c>
      <c r="D1281" s="14">
        <v>1997</v>
      </c>
      <c r="E1281" s="13">
        <v>1348215</v>
      </c>
      <c r="F1281" s="249">
        <v>4</v>
      </c>
      <c r="G1281" s="249">
        <v>4.9000000000000004</v>
      </c>
      <c r="H1281" s="249" t="str">
        <f t="shared" si="73"/>
        <v>G</v>
      </c>
      <c r="I1281" s="249">
        <f t="shared" si="69"/>
        <v>1</v>
      </c>
      <c r="J1281" s="143">
        <v>3000</v>
      </c>
      <c r="K1281" s="249" t="str">
        <f t="shared" si="74"/>
        <v>HC</v>
      </c>
      <c r="M1281" s="249">
        <f t="shared" si="70"/>
        <v>18</v>
      </c>
      <c r="N1281" s="249">
        <f t="shared" si="71"/>
        <v>17</v>
      </c>
      <c r="Z1281" s="130">
        <v>0.1</v>
      </c>
      <c r="AA1281" s="249">
        <v>2</v>
      </c>
      <c r="AB1281" s="250">
        <v>30000</v>
      </c>
      <c r="AC1281" s="250" t="s">
        <v>352</v>
      </c>
      <c r="AD1281" s="250">
        <v>30000</v>
      </c>
      <c r="AE1281" s="250" t="s">
        <v>352</v>
      </c>
      <c r="AF1281" s="250" t="s">
        <v>2462</v>
      </c>
    </row>
    <row r="1282" spans="2:32" x14ac:dyDescent="0.25">
      <c r="B1282" s="61" t="s">
        <v>2198</v>
      </c>
      <c r="C1282" s="249" t="str">
        <f t="shared" si="72"/>
        <v>C3</v>
      </c>
      <c r="D1282" s="14">
        <v>1999</v>
      </c>
      <c r="E1282" s="13">
        <v>966412</v>
      </c>
      <c r="F1282" s="249">
        <v>3</v>
      </c>
      <c r="G1282" s="249">
        <v>3.6</v>
      </c>
      <c r="H1282" s="249" t="str">
        <f t="shared" si="73"/>
        <v>D</v>
      </c>
      <c r="I1282" s="249">
        <f t="shared" si="69"/>
        <v>1</v>
      </c>
      <c r="J1282" s="143">
        <v>8000</v>
      </c>
      <c r="K1282" s="249" t="str">
        <f t="shared" si="74"/>
        <v>HC</v>
      </c>
      <c r="M1282" s="249">
        <f t="shared" si="70"/>
        <v>16</v>
      </c>
      <c r="N1282" s="249">
        <f t="shared" si="71"/>
        <v>15</v>
      </c>
      <c r="Z1282" s="130">
        <v>0.5</v>
      </c>
      <c r="AA1282" s="249">
        <v>3</v>
      </c>
      <c r="AB1282" s="250" t="s">
        <v>2463</v>
      </c>
      <c r="AC1282" s="250" t="s">
        <v>2463</v>
      </c>
      <c r="AD1282" s="250" t="s">
        <v>2463</v>
      </c>
      <c r="AE1282" s="250" t="s">
        <v>2463</v>
      </c>
      <c r="AF1282" s="250" t="s">
        <v>2463</v>
      </c>
    </row>
    <row r="1283" spans="2:32" x14ac:dyDescent="0.25">
      <c r="B1283" s="61" t="s">
        <v>2199</v>
      </c>
      <c r="C1283" s="249" t="str">
        <f t="shared" si="72"/>
        <v>T3</v>
      </c>
      <c r="D1283" s="14">
        <v>2004</v>
      </c>
      <c r="E1283" s="13">
        <v>874561</v>
      </c>
      <c r="F1283" s="249">
        <v>2.4</v>
      </c>
      <c r="G1283" s="249">
        <v>2.7</v>
      </c>
      <c r="H1283" s="249" t="str">
        <f t="shared" si="73"/>
        <v>D</v>
      </c>
      <c r="I1283" s="249">
        <f t="shared" si="69"/>
        <v>1</v>
      </c>
      <c r="J1283" s="143">
        <v>10000</v>
      </c>
      <c r="K1283" s="249" t="str">
        <f t="shared" si="74"/>
        <v>PT</v>
      </c>
      <c r="M1283" s="249">
        <f t="shared" si="70"/>
        <v>11</v>
      </c>
      <c r="N1283" s="249">
        <f t="shared" si="71"/>
        <v>10</v>
      </c>
      <c r="Z1283" s="130">
        <v>0.1</v>
      </c>
      <c r="AA1283" s="249">
        <v>7</v>
      </c>
      <c r="AB1283" s="250">
        <v>18000</v>
      </c>
      <c r="AC1283" s="250">
        <v>220000</v>
      </c>
      <c r="AD1283" s="250">
        <v>36000</v>
      </c>
      <c r="AE1283" s="250">
        <v>140000</v>
      </c>
      <c r="AF1283" s="250" t="s">
        <v>352</v>
      </c>
    </row>
    <row r="1284" spans="2:32" x14ac:dyDescent="0.25">
      <c r="B1284" s="61" t="s">
        <v>2200</v>
      </c>
      <c r="C1284" s="249" t="str">
        <f t="shared" si="72"/>
        <v>C2</v>
      </c>
      <c r="D1284" s="14">
        <v>1985</v>
      </c>
      <c r="E1284" s="13" t="s">
        <v>352</v>
      </c>
      <c r="F1284" s="249">
        <v>4.0999999999999996</v>
      </c>
      <c r="G1284" s="249">
        <v>4.8</v>
      </c>
      <c r="H1284" s="249" t="str">
        <f t="shared" si="73"/>
        <v>G</v>
      </c>
      <c r="I1284" s="249">
        <f t="shared" si="69"/>
        <v>1</v>
      </c>
      <c r="J1284" s="143">
        <v>5000</v>
      </c>
      <c r="K1284" s="249" t="str">
        <f t="shared" si="74"/>
        <v>HC</v>
      </c>
      <c r="M1284" s="249">
        <f t="shared" si="70"/>
        <v>30</v>
      </c>
      <c r="N1284" s="249">
        <f t="shared" si="71"/>
        <v>29</v>
      </c>
      <c r="Z1284" s="130">
        <v>0.3</v>
      </c>
      <c r="AA1284" s="249">
        <v>2</v>
      </c>
      <c r="AB1284" s="250">
        <v>30000</v>
      </c>
      <c r="AC1284" s="250" t="s">
        <v>352</v>
      </c>
      <c r="AD1284" s="250">
        <v>30000</v>
      </c>
      <c r="AE1284" s="250" t="s">
        <v>352</v>
      </c>
      <c r="AF1284" s="250" t="s">
        <v>352</v>
      </c>
    </row>
    <row r="1285" spans="2:32" x14ac:dyDescent="0.25">
      <c r="B1285" s="61" t="s">
        <v>2201</v>
      </c>
      <c r="C1285" s="249" t="str">
        <f t="shared" si="72"/>
        <v>C3</v>
      </c>
      <c r="D1285" s="14">
        <v>1997</v>
      </c>
      <c r="E1285" s="13">
        <v>1083219</v>
      </c>
      <c r="F1285" s="249">
        <v>2.9</v>
      </c>
      <c r="G1285" s="249">
        <v>3.4</v>
      </c>
      <c r="H1285" s="249" t="str">
        <f t="shared" si="73"/>
        <v>D</v>
      </c>
      <c r="I1285" s="249">
        <f t="shared" si="69"/>
        <v>1</v>
      </c>
      <c r="J1285" s="143">
        <v>9000</v>
      </c>
      <c r="K1285" s="249" t="str">
        <f t="shared" si="74"/>
        <v>HC</v>
      </c>
      <c r="M1285" s="249">
        <f t="shared" si="70"/>
        <v>18</v>
      </c>
      <c r="N1285" s="249">
        <f t="shared" si="71"/>
        <v>17</v>
      </c>
      <c r="Z1285" s="130">
        <v>0.5</v>
      </c>
      <c r="AA1285" s="249">
        <v>3</v>
      </c>
      <c r="AB1285" s="250">
        <v>20000</v>
      </c>
      <c r="AC1285" s="250" t="s">
        <v>352</v>
      </c>
      <c r="AD1285" s="250">
        <v>20000</v>
      </c>
      <c r="AE1285" s="250">
        <v>120000</v>
      </c>
      <c r="AF1285" s="250" t="s">
        <v>352</v>
      </c>
    </row>
    <row r="1286" spans="2:32" x14ac:dyDescent="0.25">
      <c r="B1286" s="61" t="s">
        <v>2202</v>
      </c>
      <c r="C1286" s="249" t="str">
        <f t="shared" si="72"/>
        <v>T2</v>
      </c>
      <c r="D1286" s="14">
        <v>1987</v>
      </c>
      <c r="E1286" s="13" t="s">
        <v>352</v>
      </c>
      <c r="F1286" s="249">
        <v>4.2</v>
      </c>
      <c r="G1286" s="249">
        <v>5</v>
      </c>
      <c r="H1286" s="249" t="str">
        <f t="shared" si="73"/>
        <v>G</v>
      </c>
      <c r="I1286" s="249">
        <f t="shared" ref="I1286:I1349" si="75">IF(F1286&gt;G1286,0,1)</f>
        <v>1</v>
      </c>
      <c r="J1286" s="143">
        <v>6000</v>
      </c>
      <c r="K1286" s="249" t="str">
        <f t="shared" si="74"/>
        <v>HC</v>
      </c>
      <c r="M1286" s="249">
        <f t="shared" ref="M1286:M1349" si="76">2015-D1286</f>
        <v>28</v>
      </c>
      <c r="N1286" s="249">
        <f t="shared" ref="N1286:N1349" si="77">2014-$D1286</f>
        <v>27</v>
      </c>
      <c r="Z1286" s="130">
        <v>0.5</v>
      </c>
      <c r="AA1286" s="249">
        <v>1</v>
      </c>
      <c r="AB1286" s="250">
        <v>16000</v>
      </c>
      <c r="AC1286" s="250" t="s">
        <v>352</v>
      </c>
      <c r="AD1286" s="250">
        <v>32000</v>
      </c>
      <c r="AE1286" s="250" t="s">
        <v>352</v>
      </c>
      <c r="AF1286" s="250" t="s">
        <v>2462</v>
      </c>
    </row>
    <row r="1287" spans="2:32" x14ac:dyDescent="0.25">
      <c r="B1287" s="115" t="s">
        <v>2203</v>
      </c>
      <c r="C1287" s="249" t="str">
        <f t="shared" si="72"/>
        <v>T3</v>
      </c>
      <c r="D1287" s="14">
        <v>2007</v>
      </c>
      <c r="E1287" s="13">
        <v>763821</v>
      </c>
      <c r="F1287" s="249">
        <v>2.5</v>
      </c>
      <c r="G1287" s="249">
        <v>2.8</v>
      </c>
      <c r="H1287" s="249" t="str">
        <f t="shared" si="73"/>
        <v>D</v>
      </c>
      <c r="I1287" s="249">
        <f t="shared" si="75"/>
        <v>1</v>
      </c>
      <c r="J1287" s="143">
        <v>10000</v>
      </c>
      <c r="K1287" s="249" t="str">
        <f t="shared" si="74"/>
        <v>HC</v>
      </c>
      <c r="M1287" s="249">
        <f t="shared" si="76"/>
        <v>8</v>
      </c>
      <c r="N1287" s="249">
        <f t="shared" si="77"/>
        <v>7</v>
      </c>
      <c r="Z1287" s="130">
        <v>0.05</v>
      </c>
      <c r="AA1287" s="249">
        <v>3</v>
      </c>
      <c r="AB1287" s="250">
        <v>20000</v>
      </c>
      <c r="AC1287" s="250">
        <v>200000</v>
      </c>
      <c r="AD1287" s="250">
        <v>20000</v>
      </c>
      <c r="AE1287" s="250">
        <v>120000</v>
      </c>
      <c r="AF1287" s="250" t="s">
        <v>352</v>
      </c>
    </row>
    <row r="1288" spans="2:32" x14ac:dyDescent="0.25">
      <c r="B1288" s="61" t="s">
        <v>2204</v>
      </c>
      <c r="C1288" s="249" t="str">
        <f t="shared" si="72"/>
        <v>C3</v>
      </c>
      <c r="D1288" s="14">
        <v>2003</v>
      </c>
      <c r="E1288" s="13">
        <v>793680</v>
      </c>
      <c r="F1288" s="249">
        <v>3.1</v>
      </c>
      <c r="G1288" s="249">
        <v>3.6</v>
      </c>
      <c r="H1288" s="249" t="str">
        <f t="shared" si="73"/>
        <v>D</v>
      </c>
      <c r="I1288" s="249">
        <f t="shared" si="75"/>
        <v>1</v>
      </c>
      <c r="J1288" s="143">
        <v>7500</v>
      </c>
      <c r="K1288" s="249" t="str">
        <f t="shared" si="74"/>
        <v>HC</v>
      </c>
      <c r="M1288" s="249">
        <f t="shared" si="76"/>
        <v>12</v>
      </c>
      <c r="N1288" s="249">
        <f t="shared" si="77"/>
        <v>11</v>
      </c>
      <c r="Z1288" s="130">
        <v>0.1</v>
      </c>
      <c r="AA1288" s="249">
        <v>2</v>
      </c>
      <c r="AB1288" s="250">
        <v>15000</v>
      </c>
      <c r="AC1288" s="250">
        <v>210000</v>
      </c>
      <c r="AD1288" s="250">
        <v>30000</v>
      </c>
      <c r="AE1288" s="250">
        <v>135000</v>
      </c>
      <c r="AF1288" s="250" t="s">
        <v>352</v>
      </c>
    </row>
    <row r="1289" spans="2:32" x14ac:dyDescent="0.25">
      <c r="B1289" s="61" t="s">
        <v>2205</v>
      </c>
      <c r="C1289" s="249" t="str">
        <f t="shared" si="72"/>
        <v>T3</v>
      </c>
      <c r="D1289" s="14">
        <v>2007</v>
      </c>
      <c r="E1289" s="13">
        <v>820406</v>
      </c>
      <c r="F1289" s="249">
        <v>2.4</v>
      </c>
      <c r="G1289" s="249">
        <v>2.7</v>
      </c>
      <c r="H1289" s="249" t="str">
        <f t="shared" si="73"/>
        <v>D</v>
      </c>
      <c r="I1289" s="249">
        <f t="shared" si="75"/>
        <v>1</v>
      </c>
      <c r="J1289" s="143">
        <v>10000</v>
      </c>
      <c r="K1289" s="249" t="str">
        <f t="shared" si="74"/>
        <v>HC</v>
      </c>
      <c r="M1289" s="249">
        <f t="shared" si="76"/>
        <v>8</v>
      </c>
      <c r="N1289" s="249">
        <f t="shared" si="77"/>
        <v>7</v>
      </c>
      <c r="Z1289" s="130">
        <v>0.1</v>
      </c>
      <c r="AA1289" s="249">
        <v>3</v>
      </c>
      <c r="AB1289" s="250">
        <v>20000</v>
      </c>
      <c r="AC1289" s="250">
        <v>200000</v>
      </c>
      <c r="AD1289" s="250">
        <v>20000</v>
      </c>
      <c r="AE1289" s="250">
        <v>120000</v>
      </c>
      <c r="AF1289" s="250" t="s">
        <v>352</v>
      </c>
    </row>
    <row r="1290" spans="2:32" x14ac:dyDescent="0.25">
      <c r="B1290" s="61" t="s">
        <v>2206</v>
      </c>
      <c r="C1290" s="249" t="str">
        <f t="shared" si="72"/>
        <v>T3</v>
      </c>
      <c r="D1290" s="14">
        <v>2007</v>
      </c>
      <c r="E1290" s="13">
        <v>693802</v>
      </c>
      <c r="F1290" s="249">
        <v>1.5</v>
      </c>
      <c r="G1290" s="249">
        <v>1.7</v>
      </c>
      <c r="H1290" s="249" t="str">
        <f t="shared" si="73"/>
        <v>D</v>
      </c>
      <c r="I1290" s="249">
        <f t="shared" si="75"/>
        <v>1</v>
      </c>
      <c r="J1290" s="143">
        <v>10000</v>
      </c>
      <c r="K1290" s="249" t="str">
        <f t="shared" si="74"/>
        <v>HC</v>
      </c>
      <c r="M1290" s="249">
        <f t="shared" si="76"/>
        <v>8</v>
      </c>
      <c r="N1290" s="249">
        <f t="shared" si="77"/>
        <v>7</v>
      </c>
      <c r="Z1290" s="130">
        <v>0.5</v>
      </c>
      <c r="AA1290" s="249">
        <v>3</v>
      </c>
      <c r="AB1290" s="250">
        <v>15000</v>
      </c>
      <c r="AC1290" s="250" t="s">
        <v>352</v>
      </c>
      <c r="AD1290" s="250">
        <v>30000</v>
      </c>
      <c r="AE1290" s="250">
        <v>120000</v>
      </c>
      <c r="AF1290" s="250" t="s">
        <v>352</v>
      </c>
    </row>
    <row r="1291" spans="2:32" x14ac:dyDescent="0.25">
      <c r="B1291" s="61" t="s">
        <v>2207</v>
      </c>
      <c r="C1291" s="249" t="str">
        <f t="shared" si="72"/>
        <v>C3</v>
      </c>
      <c r="D1291" s="14">
        <v>2000</v>
      </c>
      <c r="E1291" s="13" t="s">
        <v>352</v>
      </c>
      <c r="F1291" s="249">
        <v>3.1</v>
      </c>
      <c r="G1291" s="249">
        <v>3.6</v>
      </c>
      <c r="H1291" s="249" t="str">
        <f t="shared" si="73"/>
        <v>D</v>
      </c>
      <c r="I1291" s="249">
        <f t="shared" si="75"/>
        <v>1</v>
      </c>
      <c r="J1291" s="143">
        <v>8500</v>
      </c>
      <c r="K1291" s="249" t="str">
        <f t="shared" si="74"/>
        <v>HC</v>
      </c>
      <c r="M1291" s="249">
        <f t="shared" si="76"/>
        <v>15</v>
      </c>
      <c r="N1291" s="249">
        <f t="shared" si="77"/>
        <v>14</v>
      </c>
      <c r="Z1291" s="130">
        <v>0.1</v>
      </c>
      <c r="AA1291" s="249">
        <v>3</v>
      </c>
      <c r="AB1291" s="250">
        <v>18000</v>
      </c>
      <c r="AC1291" s="250">
        <v>200000</v>
      </c>
      <c r="AD1291" s="250">
        <v>24000</v>
      </c>
      <c r="AE1291" s="250">
        <v>100000</v>
      </c>
      <c r="AF1291" s="250" t="s">
        <v>352</v>
      </c>
    </row>
    <row r="1292" spans="2:32" x14ac:dyDescent="0.25">
      <c r="B1292" s="61" t="s">
        <v>2208</v>
      </c>
      <c r="C1292" s="249" t="str">
        <f t="shared" si="72"/>
        <v>C2</v>
      </c>
      <c r="D1292" s="14">
        <v>1985</v>
      </c>
      <c r="E1292" s="13" t="s">
        <v>352</v>
      </c>
      <c r="F1292" s="249">
        <v>4</v>
      </c>
      <c r="G1292" s="249">
        <v>4.9000000000000004</v>
      </c>
      <c r="H1292" s="249" t="str">
        <f t="shared" si="73"/>
        <v>G</v>
      </c>
      <c r="I1292" s="249">
        <f t="shared" si="75"/>
        <v>1</v>
      </c>
      <c r="J1292" s="143">
        <v>7000</v>
      </c>
      <c r="K1292" s="249" t="str">
        <f t="shared" si="74"/>
        <v>HC</v>
      </c>
      <c r="M1292" s="249">
        <f t="shared" si="76"/>
        <v>30</v>
      </c>
      <c r="N1292" s="249">
        <f t="shared" si="77"/>
        <v>29</v>
      </c>
      <c r="Z1292" s="130">
        <v>0.3</v>
      </c>
      <c r="AA1292" s="249">
        <v>3</v>
      </c>
      <c r="AB1292" s="250">
        <v>14000</v>
      </c>
      <c r="AC1292" s="250" t="s">
        <v>352</v>
      </c>
      <c r="AD1292" s="250">
        <v>28000</v>
      </c>
      <c r="AE1292" s="250" t="s">
        <v>352</v>
      </c>
      <c r="AF1292" s="250" t="s">
        <v>352</v>
      </c>
    </row>
    <row r="1293" spans="2:32" x14ac:dyDescent="0.25">
      <c r="B1293" s="61" t="s">
        <v>2209</v>
      </c>
      <c r="C1293" s="249" t="str">
        <f t="shared" si="72"/>
        <v>T3</v>
      </c>
      <c r="D1293" s="14">
        <v>2008</v>
      </c>
      <c r="E1293" s="13">
        <v>568900</v>
      </c>
      <c r="F1293" s="249">
        <v>1.4</v>
      </c>
      <c r="G1293" s="249">
        <v>1.6</v>
      </c>
      <c r="H1293" s="249" t="str">
        <f t="shared" si="73"/>
        <v>D</v>
      </c>
      <c r="I1293" s="249">
        <f t="shared" si="75"/>
        <v>1</v>
      </c>
      <c r="J1293" s="143">
        <v>10000</v>
      </c>
      <c r="K1293" s="249" t="str">
        <f t="shared" si="74"/>
        <v>PT</v>
      </c>
      <c r="M1293" s="249">
        <f t="shared" si="76"/>
        <v>7</v>
      </c>
      <c r="N1293" s="249">
        <f t="shared" si="77"/>
        <v>6</v>
      </c>
      <c r="Z1293" s="130">
        <v>0.5</v>
      </c>
      <c r="AA1293" s="249">
        <v>7</v>
      </c>
      <c r="AB1293" s="250">
        <v>18000</v>
      </c>
      <c r="AC1293" s="250">
        <v>180000</v>
      </c>
      <c r="AD1293" s="250">
        <v>26000</v>
      </c>
      <c r="AE1293" s="250">
        <v>120000</v>
      </c>
      <c r="AF1293" s="250" t="s">
        <v>352</v>
      </c>
    </row>
    <row r="1294" spans="2:32" x14ac:dyDescent="0.25">
      <c r="B1294" s="61" t="s">
        <v>2210</v>
      </c>
      <c r="C1294" s="249" t="str">
        <f t="shared" si="72"/>
        <v>T3</v>
      </c>
      <c r="D1294" s="14">
        <v>2008</v>
      </c>
      <c r="E1294" s="13">
        <v>520861</v>
      </c>
      <c r="F1294" s="249">
        <v>2.4</v>
      </c>
      <c r="G1294" s="249">
        <v>2.7</v>
      </c>
      <c r="H1294" s="249" t="str">
        <f t="shared" si="73"/>
        <v>D</v>
      </c>
      <c r="I1294" s="249">
        <f t="shared" si="75"/>
        <v>1</v>
      </c>
      <c r="J1294" s="143">
        <v>9000</v>
      </c>
      <c r="K1294" s="249" t="str">
        <f t="shared" si="74"/>
        <v>HC</v>
      </c>
      <c r="M1294" s="249">
        <f t="shared" si="76"/>
        <v>7</v>
      </c>
      <c r="N1294" s="249">
        <f t="shared" si="77"/>
        <v>6</v>
      </c>
      <c r="Z1294" s="130">
        <v>0.1</v>
      </c>
      <c r="AA1294" s="249">
        <v>2</v>
      </c>
      <c r="AB1294" s="250">
        <v>18000</v>
      </c>
      <c r="AC1294" s="250">
        <v>200000</v>
      </c>
      <c r="AD1294" s="250">
        <v>36000</v>
      </c>
      <c r="AE1294" s="250">
        <v>108000</v>
      </c>
      <c r="AF1294" s="250" t="s">
        <v>352</v>
      </c>
    </row>
    <row r="1295" spans="2:32" x14ac:dyDescent="0.25">
      <c r="B1295" s="61" t="s">
        <v>2211</v>
      </c>
      <c r="C1295" s="249" t="str">
        <f t="shared" si="72"/>
        <v>C3</v>
      </c>
      <c r="D1295" s="14">
        <v>2004</v>
      </c>
      <c r="E1295" s="13">
        <v>736415</v>
      </c>
      <c r="F1295" s="249">
        <v>3.1</v>
      </c>
      <c r="G1295" s="249">
        <v>3.6</v>
      </c>
      <c r="H1295" s="249" t="str">
        <f t="shared" si="73"/>
        <v>D</v>
      </c>
      <c r="I1295" s="249">
        <f t="shared" si="75"/>
        <v>1</v>
      </c>
      <c r="J1295" s="143">
        <v>8000</v>
      </c>
      <c r="K1295" s="249" t="str">
        <f t="shared" si="74"/>
        <v>HC</v>
      </c>
      <c r="M1295" s="249">
        <f t="shared" si="76"/>
        <v>11</v>
      </c>
      <c r="N1295" s="249">
        <f t="shared" si="77"/>
        <v>10</v>
      </c>
      <c r="Z1295" s="130">
        <v>0.1</v>
      </c>
      <c r="AA1295" s="249">
        <v>3</v>
      </c>
      <c r="AB1295" s="250">
        <v>16000</v>
      </c>
      <c r="AC1295" s="250">
        <v>150000</v>
      </c>
      <c r="AD1295" s="250">
        <v>32000</v>
      </c>
      <c r="AE1295" s="250">
        <v>100000</v>
      </c>
      <c r="AF1295" s="250" t="s">
        <v>352</v>
      </c>
    </row>
    <row r="1296" spans="2:32" x14ac:dyDescent="0.25">
      <c r="B1296" s="61" t="s">
        <v>2212</v>
      </c>
      <c r="C1296" s="249" t="str">
        <f t="shared" si="72"/>
        <v>C3</v>
      </c>
      <c r="D1296" s="14">
        <v>1997</v>
      </c>
      <c r="E1296" s="13" t="s">
        <v>352</v>
      </c>
      <c r="F1296" s="249">
        <v>3</v>
      </c>
      <c r="G1296" s="249">
        <v>3.6</v>
      </c>
      <c r="H1296" s="249" t="str">
        <f t="shared" si="73"/>
        <v>D</v>
      </c>
      <c r="I1296" s="249">
        <f t="shared" si="75"/>
        <v>1</v>
      </c>
      <c r="J1296" s="143">
        <v>7000</v>
      </c>
      <c r="K1296" s="249" t="str">
        <f t="shared" si="74"/>
        <v>HC</v>
      </c>
      <c r="M1296" s="249">
        <f t="shared" si="76"/>
        <v>18</v>
      </c>
      <c r="N1296" s="249">
        <f t="shared" si="77"/>
        <v>17</v>
      </c>
      <c r="Z1296" s="130">
        <v>0.1</v>
      </c>
      <c r="AA1296" s="249">
        <v>3</v>
      </c>
      <c r="AB1296" s="250">
        <v>15000</v>
      </c>
      <c r="AC1296" s="250" t="s">
        <v>352</v>
      </c>
      <c r="AD1296" s="250">
        <v>30000</v>
      </c>
      <c r="AE1296" s="250" t="s">
        <v>352</v>
      </c>
      <c r="AF1296" s="250" t="s">
        <v>352</v>
      </c>
    </row>
    <row r="1297" spans="2:32" x14ac:dyDescent="0.25">
      <c r="B1297" s="61" t="s">
        <v>2213</v>
      </c>
      <c r="C1297" s="249" t="str">
        <f t="shared" si="72"/>
        <v>C2</v>
      </c>
      <c r="D1297" s="14">
        <v>2004</v>
      </c>
      <c r="E1297" s="13">
        <v>836114</v>
      </c>
      <c r="F1297" s="249">
        <v>4.2</v>
      </c>
      <c r="G1297" s="249">
        <v>5</v>
      </c>
      <c r="H1297" s="249" t="str">
        <f t="shared" si="73"/>
        <v>D</v>
      </c>
      <c r="I1297" s="249">
        <f t="shared" si="75"/>
        <v>1</v>
      </c>
      <c r="J1297" s="143">
        <v>8000</v>
      </c>
      <c r="K1297" s="249" t="str">
        <f t="shared" si="74"/>
        <v>HC</v>
      </c>
      <c r="M1297" s="249">
        <f t="shared" si="76"/>
        <v>11</v>
      </c>
      <c r="N1297" s="249">
        <f t="shared" si="77"/>
        <v>10</v>
      </c>
      <c r="Z1297" s="130">
        <v>0.5</v>
      </c>
      <c r="AA1297" s="249">
        <v>2</v>
      </c>
      <c r="AB1297" s="250">
        <v>16000</v>
      </c>
      <c r="AC1297" s="250" t="s">
        <v>352</v>
      </c>
      <c r="AD1297" s="250">
        <v>32000</v>
      </c>
      <c r="AE1297" s="250">
        <v>100000</v>
      </c>
      <c r="AF1297" s="250" t="s">
        <v>352</v>
      </c>
    </row>
    <row r="1298" spans="2:32" x14ac:dyDescent="0.25">
      <c r="B1298" s="61" t="s">
        <v>2214</v>
      </c>
      <c r="C1298" s="249" t="str">
        <f t="shared" si="72"/>
        <v>C3</v>
      </c>
      <c r="D1298" s="14">
        <v>2002</v>
      </c>
      <c r="E1298" s="13">
        <v>927620</v>
      </c>
      <c r="F1298" s="249">
        <v>3.2</v>
      </c>
      <c r="G1298" s="249">
        <v>3.7</v>
      </c>
      <c r="H1298" s="249" t="str">
        <f t="shared" si="73"/>
        <v>D</v>
      </c>
      <c r="I1298" s="249">
        <f t="shared" si="75"/>
        <v>1</v>
      </c>
      <c r="J1298" s="143">
        <v>8000</v>
      </c>
      <c r="K1298" s="249" t="str">
        <f t="shared" si="74"/>
        <v>HC</v>
      </c>
      <c r="M1298" s="249">
        <f t="shared" si="76"/>
        <v>13</v>
      </c>
      <c r="N1298" s="249">
        <f t="shared" si="77"/>
        <v>12</v>
      </c>
      <c r="Z1298" s="130">
        <v>0.3</v>
      </c>
      <c r="AA1298" s="249">
        <v>3</v>
      </c>
      <c r="AB1298" s="250">
        <v>20000</v>
      </c>
      <c r="AC1298" s="250">
        <v>200000</v>
      </c>
      <c r="AD1298" s="250">
        <v>20000</v>
      </c>
      <c r="AE1298" s="250">
        <v>100000</v>
      </c>
      <c r="AF1298" s="250" t="s">
        <v>352</v>
      </c>
    </row>
    <row r="1299" spans="2:32" x14ac:dyDescent="0.25">
      <c r="B1299" s="61" t="s">
        <v>2215</v>
      </c>
      <c r="C1299" s="249" t="str">
        <f t="shared" si="72"/>
        <v>T3</v>
      </c>
      <c r="D1299" s="14">
        <v>2006</v>
      </c>
      <c r="E1299" s="13">
        <v>815927</v>
      </c>
      <c r="F1299" s="249">
        <v>2.2999999999999998</v>
      </c>
      <c r="G1299" s="249">
        <v>2.7</v>
      </c>
      <c r="H1299" s="249" t="str">
        <f t="shared" si="73"/>
        <v>D</v>
      </c>
      <c r="I1299" s="249">
        <f t="shared" si="75"/>
        <v>1</v>
      </c>
      <c r="J1299" s="143">
        <v>10000</v>
      </c>
      <c r="K1299" s="249" t="str">
        <f t="shared" si="74"/>
        <v>HC</v>
      </c>
      <c r="M1299" s="249">
        <f t="shared" si="76"/>
        <v>9</v>
      </c>
      <c r="N1299" s="249">
        <f t="shared" si="77"/>
        <v>8</v>
      </c>
      <c r="Z1299" s="130">
        <v>0.2</v>
      </c>
      <c r="AA1299" s="249">
        <v>3</v>
      </c>
      <c r="AB1299" s="250">
        <v>20000</v>
      </c>
      <c r="AC1299" s="250" t="s">
        <v>352</v>
      </c>
      <c r="AD1299" s="250">
        <v>20000</v>
      </c>
      <c r="AE1299" s="250" t="s">
        <v>352</v>
      </c>
      <c r="AF1299" s="250" t="s">
        <v>352</v>
      </c>
    </row>
    <row r="1300" spans="2:32" x14ac:dyDescent="0.25">
      <c r="B1300" s="61" t="s">
        <v>2216</v>
      </c>
      <c r="C1300" s="249" t="str">
        <f t="shared" si="72"/>
        <v>T3</v>
      </c>
      <c r="D1300" s="14">
        <v>2005</v>
      </c>
      <c r="E1300" s="13">
        <v>923863</v>
      </c>
      <c r="F1300" s="249">
        <v>2.4</v>
      </c>
      <c r="G1300" s="249">
        <v>2.7</v>
      </c>
      <c r="H1300" s="249" t="str">
        <f t="shared" si="73"/>
        <v>D</v>
      </c>
      <c r="I1300" s="249">
        <f t="shared" si="75"/>
        <v>1</v>
      </c>
      <c r="J1300" s="143">
        <v>10000</v>
      </c>
      <c r="K1300" s="249" t="str">
        <f t="shared" si="74"/>
        <v>PT</v>
      </c>
      <c r="M1300" s="249">
        <f t="shared" si="76"/>
        <v>10</v>
      </c>
      <c r="N1300" s="249">
        <f t="shared" si="77"/>
        <v>9</v>
      </c>
      <c r="Z1300" s="130">
        <v>0.1</v>
      </c>
      <c r="AA1300" s="249">
        <v>7</v>
      </c>
      <c r="AB1300" s="250">
        <v>18000</v>
      </c>
      <c r="AC1300" s="250">
        <v>200000</v>
      </c>
      <c r="AD1300" s="250">
        <v>36000</v>
      </c>
      <c r="AE1300" s="250">
        <v>120000</v>
      </c>
      <c r="AF1300" s="250" t="s">
        <v>352</v>
      </c>
    </row>
    <row r="1301" spans="2:32" x14ac:dyDescent="0.25">
      <c r="B1301" s="61" t="s">
        <v>2217</v>
      </c>
      <c r="C1301" s="249" t="str">
        <f t="shared" si="72"/>
        <v>T3</v>
      </c>
      <c r="D1301" s="14">
        <v>2007</v>
      </c>
      <c r="E1301" s="13">
        <v>700652</v>
      </c>
      <c r="F1301" s="249">
        <v>2.5</v>
      </c>
      <c r="G1301" s="249">
        <v>2.8</v>
      </c>
      <c r="H1301" s="249" t="str">
        <f t="shared" si="73"/>
        <v>D</v>
      </c>
      <c r="I1301" s="249">
        <f t="shared" si="75"/>
        <v>1</v>
      </c>
      <c r="J1301" s="143">
        <v>9500</v>
      </c>
      <c r="K1301" s="249" t="str">
        <f t="shared" si="74"/>
        <v>PT</v>
      </c>
      <c r="M1301" s="249">
        <f t="shared" si="76"/>
        <v>8</v>
      </c>
      <c r="N1301" s="249">
        <f t="shared" si="77"/>
        <v>7</v>
      </c>
      <c r="Z1301" s="130">
        <v>0.05</v>
      </c>
      <c r="AA1301" s="249">
        <v>7</v>
      </c>
      <c r="AB1301" s="250">
        <v>19000</v>
      </c>
      <c r="AC1301" s="250">
        <v>240000</v>
      </c>
      <c r="AD1301" s="250">
        <v>38000</v>
      </c>
      <c r="AE1301" s="250">
        <v>120000</v>
      </c>
      <c r="AF1301" s="250" t="s">
        <v>352</v>
      </c>
    </row>
    <row r="1302" spans="2:32" x14ac:dyDescent="0.25">
      <c r="B1302" s="61" t="s">
        <v>2218</v>
      </c>
      <c r="C1302" s="249" t="str">
        <f t="shared" si="72"/>
        <v>T3</v>
      </c>
      <c r="D1302" s="14">
        <v>2008</v>
      </c>
      <c r="E1302" s="13">
        <v>573508</v>
      </c>
      <c r="F1302" s="249">
        <v>2.5</v>
      </c>
      <c r="G1302" s="249">
        <v>2.8</v>
      </c>
      <c r="H1302" s="249" t="str">
        <f t="shared" si="73"/>
        <v>D</v>
      </c>
      <c r="I1302" s="249">
        <f t="shared" si="75"/>
        <v>1</v>
      </c>
      <c r="J1302" s="143">
        <v>12000</v>
      </c>
      <c r="K1302" s="249" t="str">
        <f t="shared" si="74"/>
        <v>PT</v>
      </c>
      <c r="M1302" s="249">
        <f t="shared" si="76"/>
        <v>7</v>
      </c>
      <c r="N1302" s="249">
        <f t="shared" si="77"/>
        <v>6</v>
      </c>
      <c r="Z1302" s="130">
        <v>0.05</v>
      </c>
      <c r="AA1302" s="249">
        <v>7</v>
      </c>
      <c r="AB1302" s="250">
        <v>24000</v>
      </c>
      <c r="AC1302" s="250">
        <v>150000</v>
      </c>
      <c r="AD1302" s="250">
        <v>24000</v>
      </c>
      <c r="AE1302" s="250">
        <v>150000</v>
      </c>
      <c r="AF1302" s="250" t="s">
        <v>352</v>
      </c>
    </row>
    <row r="1303" spans="2:32" x14ac:dyDescent="0.25">
      <c r="B1303" s="61" t="s">
        <v>2219</v>
      </c>
      <c r="C1303" s="249" t="str">
        <f t="shared" si="72"/>
        <v>T3</v>
      </c>
      <c r="D1303" s="14">
        <v>2008</v>
      </c>
      <c r="E1303" s="13">
        <v>628331</v>
      </c>
      <c r="F1303" s="249">
        <v>2.5</v>
      </c>
      <c r="G1303" s="249">
        <v>2.8</v>
      </c>
      <c r="H1303" s="249" t="str">
        <f t="shared" si="73"/>
        <v>D</v>
      </c>
      <c r="I1303" s="249">
        <f t="shared" si="75"/>
        <v>1</v>
      </c>
      <c r="J1303" s="143">
        <v>10000</v>
      </c>
      <c r="K1303" s="249" t="str">
        <f t="shared" si="74"/>
        <v>HC</v>
      </c>
      <c r="M1303" s="249">
        <f t="shared" si="76"/>
        <v>7</v>
      </c>
      <c r="N1303" s="249">
        <f t="shared" si="77"/>
        <v>6</v>
      </c>
      <c r="Z1303" s="130">
        <v>0.5</v>
      </c>
      <c r="AA1303" s="249">
        <v>3</v>
      </c>
      <c r="AB1303" s="250">
        <v>20000</v>
      </c>
      <c r="AC1303" s="250">
        <v>240000</v>
      </c>
      <c r="AD1303" s="250">
        <v>20000</v>
      </c>
      <c r="AE1303" s="250">
        <v>120000</v>
      </c>
      <c r="AF1303" s="250" t="s">
        <v>352</v>
      </c>
    </row>
    <row r="1304" spans="2:32" x14ac:dyDescent="0.25">
      <c r="B1304" s="61" t="s">
        <v>2220</v>
      </c>
      <c r="C1304" s="249" t="str">
        <f t="shared" si="72"/>
        <v>C3</v>
      </c>
      <c r="D1304" s="14">
        <v>2006</v>
      </c>
      <c r="E1304" s="13">
        <v>753821</v>
      </c>
      <c r="F1304" s="249">
        <v>3.2</v>
      </c>
      <c r="G1304" s="249">
        <v>3.9</v>
      </c>
      <c r="H1304" s="249" t="str">
        <f t="shared" si="73"/>
        <v>D</v>
      </c>
      <c r="I1304" s="249">
        <f t="shared" si="75"/>
        <v>1</v>
      </c>
      <c r="J1304" s="143">
        <v>8000</v>
      </c>
      <c r="K1304" s="249" t="str">
        <f t="shared" si="74"/>
        <v>HC</v>
      </c>
      <c r="M1304" s="249">
        <f t="shared" si="76"/>
        <v>9</v>
      </c>
      <c r="N1304" s="249">
        <f t="shared" si="77"/>
        <v>8</v>
      </c>
      <c r="Z1304" s="130">
        <v>0.1</v>
      </c>
      <c r="AA1304" s="249">
        <v>3</v>
      </c>
      <c r="AB1304" s="250">
        <v>16000</v>
      </c>
      <c r="AC1304" s="250" t="s">
        <v>352</v>
      </c>
      <c r="AD1304" s="250">
        <v>32000</v>
      </c>
      <c r="AE1304" s="250">
        <v>120000</v>
      </c>
      <c r="AF1304" s="250" t="s">
        <v>352</v>
      </c>
    </row>
    <row r="1305" spans="2:32" x14ac:dyDescent="0.25">
      <c r="B1305" s="61" t="s">
        <v>2221</v>
      </c>
      <c r="C1305" s="249" t="str">
        <f t="shared" ref="C1305:C1368" si="78">IF(E1761="X","C2",IF(F1761="X","C3",IF(G1761="X","T2",IF(H1761="X","T3",0))))</f>
        <v>T3</v>
      </c>
      <c r="D1305" s="14">
        <v>2004</v>
      </c>
      <c r="E1305" s="13">
        <v>936415</v>
      </c>
      <c r="F1305" s="249">
        <v>2.4</v>
      </c>
      <c r="G1305" s="249">
        <v>2.7</v>
      </c>
      <c r="H1305" s="249" t="str">
        <f t="shared" ref="H1305:H1368" si="79">IF(B1761="X","G",IF(C1761="X","GAS",IF(D1761="X","D",0)))</f>
        <v>D</v>
      </c>
      <c r="I1305" s="249">
        <f t="shared" si="75"/>
        <v>1</v>
      </c>
      <c r="J1305" s="143">
        <v>9000</v>
      </c>
      <c r="K1305" s="249" t="str">
        <f t="shared" ref="K1305:K1368" si="80">IF(L1761="X","PT","HC")</f>
        <v>HC</v>
      </c>
      <c r="M1305" s="249">
        <f t="shared" si="76"/>
        <v>11</v>
      </c>
      <c r="N1305" s="249">
        <f t="shared" si="77"/>
        <v>10</v>
      </c>
      <c r="Z1305" s="130">
        <v>0.5</v>
      </c>
      <c r="AA1305" s="249">
        <v>3</v>
      </c>
      <c r="AB1305" s="250">
        <v>18000</v>
      </c>
      <c r="AC1305" s="250" t="s">
        <v>352</v>
      </c>
      <c r="AD1305" s="250">
        <v>36000</v>
      </c>
      <c r="AE1305" s="250" t="s">
        <v>352</v>
      </c>
      <c r="AF1305" s="250" t="s">
        <v>352</v>
      </c>
    </row>
    <row r="1306" spans="2:32" x14ac:dyDescent="0.25">
      <c r="B1306" s="61" t="s">
        <v>2222</v>
      </c>
      <c r="C1306" s="249" t="str">
        <f t="shared" si="78"/>
        <v>C3</v>
      </c>
      <c r="D1306" s="14">
        <v>1995</v>
      </c>
      <c r="E1306" s="13">
        <v>850000</v>
      </c>
      <c r="F1306" s="249">
        <v>2.4</v>
      </c>
      <c r="G1306" s="249">
        <v>2.6</v>
      </c>
      <c r="H1306" s="249" t="str">
        <f t="shared" si="79"/>
        <v>D</v>
      </c>
      <c r="I1306" s="249">
        <f t="shared" si="75"/>
        <v>1</v>
      </c>
      <c r="J1306" s="143">
        <v>5000</v>
      </c>
      <c r="K1306" s="249" t="str">
        <f t="shared" si="80"/>
        <v>HC</v>
      </c>
      <c r="M1306" s="249">
        <f t="shared" si="76"/>
        <v>20</v>
      </c>
      <c r="N1306" s="249">
        <f t="shared" si="77"/>
        <v>19</v>
      </c>
      <c r="Z1306" s="130">
        <v>0.5</v>
      </c>
      <c r="AA1306" s="249">
        <v>3</v>
      </c>
      <c r="AB1306" s="250">
        <v>10000</v>
      </c>
      <c r="AC1306" s="250">
        <v>12000</v>
      </c>
      <c r="AD1306" s="250">
        <v>35000</v>
      </c>
      <c r="AE1306" s="250">
        <v>180000</v>
      </c>
      <c r="AF1306" s="250">
        <v>35000</v>
      </c>
    </row>
    <row r="1307" spans="2:32" x14ac:dyDescent="0.25">
      <c r="B1307" s="61" t="s">
        <v>2223</v>
      </c>
      <c r="C1307" s="249" t="str">
        <f t="shared" si="78"/>
        <v>C3</v>
      </c>
      <c r="D1307" s="14">
        <v>1992</v>
      </c>
      <c r="E1307" s="13">
        <v>783524</v>
      </c>
      <c r="F1307" s="249">
        <v>2.5</v>
      </c>
      <c r="G1307" s="249">
        <v>2.8</v>
      </c>
      <c r="H1307" s="249" t="str">
        <f t="shared" si="79"/>
        <v>D</v>
      </c>
      <c r="I1307" s="249">
        <f t="shared" si="75"/>
        <v>1</v>
      </c>
      <c r="J1307" s="143">
        <v>7000</v>
      </c>
      <c r="K1307" s="249" t="str">
        <f t="shared" si="80"/>
        <v>HC</v>
      </c>
      <c r="M1307" s="249">
        <f t="shared" si="76"/>
        <v>23</v>
      </c>
      <c r="N1307" s="249">
        <f t="shared" si="77"/>
        <v>22</v>
      </c>
      <c r="Z1307" s="130">
        <v>0.5</v>
      </c>
      <c r="AA1307" s="249">
        <v>3</v>
      </c>
      <c r="AB1307" s="250">
        <v>13000</v>
      </c>
      <c r="AC1307" s="250">
        <v>11000</v>
      </c>
      <c r="AD1307" s="250">
        <v>50000</v>
      </c>
      <c r="AE1307" s="250">
        <v>250000</v>
      </c>
      <c r="AF1307" s="250">
        <v>50000</v>
      </c>
    </row>
    <row r="1308" spans="2:32" x14ac:dyDescent="0.25">
      <c r="B1308" s="61" t="s">
        <v>2224</v>
      </c>
      <c r="C1308" s="249" t="str">
        <f t="shared" si="78"/>
        <v>T3</v>
      </c>
      <c r="D1308" s="14">
        <v>1990</v>
      </c>
      <c r="E1308" s="13">
        <v>750000</v>
      </c>
      <c r="F1308" s="249">
        <v>2.1</v>
      </c>
      <c r="G1308" s="249">
        <v>2.5</v>
      </c>
      <c r="H1308" s="249" t="str">
        <f t="shared" si="79"/>
        <v>D</v>
      </c>
      <c r="I1308" s="249">
        <f t="shared" si="75"/>
        <v>1</v>
      </c>
      <c r="J1308" s="143">
        <v>6000</v>
      </c>
      <c r="K1308" s="249" t="str">
        <f t="shared" si="80"/>
        <v>PT</v>
      </c>
      <c r="M1308" s="249">
        <f t="shared" si="76"/>
        <v>25</v>
      </c>
      <c r="N1308" s="249">
        <f t="shared" si="77"/>
        <v>24</v>
      </c>
      <c r="Z1308" s="130">
        <v>0.3</v>
      </c>
      <c r="AA1308" s="249">
        <v>7</v>
      </c>
      <c r="AB1308" s="250">
        <v>17000</v>
      </c>
      <c r="AC1308" s="250">
        <v>12000</v>
      </c>
      <c r="AD1308" s="250">
        <v>42000</v>
      </c>
      <c r="AE1308" s="250" t="s">
        <v>352</v>
      </c>
      <c r="AF1308" s="250">
        <v>42000</v>
      </c>
    </row>
    <row r="1309" spans="2:32" x14ac:dyDescent="0.25">
      <c r="B1309" s="61" t="s">
        <v>2225</v>
      </c>
      <c r="C1309" s="249" t="str">
        <f t="shared" si="78"/>
        <v>T3</v>
      </c>
      <c r="D1309" s="14">
        <v>1986</v>
      </c>
      <c r="E1309" s="13">
        <v>1753000</v>
      </c>
      <c r="F1309" s="249">
        <v>1.8</v>
      </c>
      <c r="G1309" s="249">
        <v>2.2000000000000002</v>
      </c>
      <c r="H1309" s="249" t="str">
        <f t="shared" si="79"/>
        <v>D</v>
      </c>
      <c r="I1309" s="249">
        <f t="shared" si="75"/>
        <v>1</v>
      </c>
      <c r="J1309" s="143">
        <v>9000</v>
      </c>
      <c r="K1309" s="249" t="str">
        <f t="shared" si="80"/>
        <v>HC</v>
      </c>
      <c r="M1309" s="249">
        <f t="shared" si="76"/>
        <v>29</v>
      </c>
      <c r="N1309" s="249">
        <f t="shared" si="77"/>
        <v>28</v>
      </c>
      <c r="Z1309" s="130">
        <v>0.5</v>
      </c>
      <c r="AA1309" s="249">
        <v>2</v>
      </c>
      <c r="AB1309" s="250">
        <v>9000</v>
      </c>
      <c r="AC1309" s="250">
        <v>7000</v>
      </c>
      <c r="AD1309" s="250">
        <v>40000</v>
      </c>
      <c r="AE1309" s="250">
        <v>200000</v>
      </c>
      <c r="AF1309" s="250">
        <v>40000</v>
      </c>
    </row>
    <row r="1310" spans="2:32" x14ac:dyDescent="0.25">
      <c r="B1310" s="61" t="s">
        <v>2226</v>
      </c>
      <c r="C1310" s="249" t="str">
        <f t="shared" si="78"/>
        <v>C2</v>
      </c>
      <c r="D1310" s="14">
        <v>1990</v>
      </c>
      <c r="E1310" s="13">
        <v>985000</v>
      </c>
      <c r="F1310" s="249">
        <v>1.8</v>
      </c>
      <c r="G1310" s="249">
        <v>2.2000000000000002</v>
      </c>
      <c r="H1310" s="249" t="str">
        <f t="shared" si="79"/>
        <v>D</v>
      </c>
      <c r="I1310" s="249">
        <f t="shared" si="75"/>
        <v>1</v>
      </c>
      <c r="J1310" s="143">
        <v>6000</v>
      </c>
      <c r="K1310" s="249" t="str">
        <f t="shared" si="80"/>
        <v>HC</v>
      </c>
      <c r="M1310" s="249">
        <f t="shared" si="76"/>
        <v>25</v>
      </c>
      <c r="N1310" s="249">
        <f t="shared" si="77"/>
        <v>24</v>
      </c>
      <c r="Z1310" s="130">
        <v>0.5</v>
      </c>
      <c r="AA1310" s="249">
        <v>3</v>
      </c>
      <c r="AB1310" s="250">
        <v>12000</v>
      </c>
      <c r="AC1310" s="250">
        <v>5000</v>
      </c>
      <c r="AD1310" s="250">
        <v>35000</v>
      </c>
      <c r="AE1310" s="250">
        <v>250000</v>
      </c>
      <c r="AF1310" s="250">
        <v>35000</v>
      </c>
    </row>
    <row r="1311" spans="2:32" x14ac:dyDescent="0.25">
      <c r="B1311" s="61" t="s">
        <v>2227</v>
      </c>
      <c r="C1311" s="249" t="str">
        <f t="shared" si="78"/>
        <v>T3</v>
      </c>
      <c r="D1311" s="14">
        <v>1987</v>
      </c>
      <c r="E1311" s="13">
        <v>1200000</v>
      </c>
      <c r="F1311" s="249">
        <v>2</v>
      </c>
      <c r="G1311" s="249">
        <v>2.2999999999999998</v>
      </c>
      <c r="H1311" s="249" t="str">
        <f t="shared" si="79"/>
        <v>D</v>
      </c>
      <c r="I1311" s="249">
        <f t="shared" si="75"/>
        <v>1</v>
      </c>
      <c r="J1311" s="143">
        <v>9000</v>
      </c>
      <c r="K1311" s="249" t="str">
        <f t="shared" si="80"/>
        <v>HC</v>
      </c>
      <c r="M1311" s="249">
        <f t="shared" si="76"/>
        <v>28</v>
      </c>
      <c r="N1311" s="249">
        <f t="shared" si="77"/>
        <v>27</v>
      </c>
      <c r="Z1311" s="130">
        <v>0.5</v>
      </c>
      <c r="AA1311" s="249">
        <v>3</v>
      </c>
      <c r="AB1311" s="250">
        <v>6000</v>
      </c>
      <c r="AC1311" s="250">
        <v>12000</v>
      </c>
      <c r="AD1311" s="250">
        <v>30000</v>
      </c>
      <c r="AE1311" s="250">
        <v>120000</v>
      </c>
      <c r="AF1311" s="250">
        <v>30000</v>
      </c>
    </row>
    <row r="1312" spans="2:32" x14ac:dyDescent="0.25">
      <c r="B1312" s="61" t="s">
        <v>2228</v>
      </c>
      <c r="C1312" s="249" t="str">
        <f t="shared" si="78"/>
        <v>T3</v>
      </c>
      <c r="D1312" s="14">
        <v>1986</v>
      </c>
      <c r="E1312" s="13">
        <v>1753625</v>
      </c>
      <c r="F1312" s="249">
        <v>1.7</v>
      </c>
      <c r="G1312" s="249">
        <v>2</v>
      </c>
      <c r="H1312" s="249" t="str">
        <f t="shared" si="79"/>
        <v>D</v>
      </c>
      <c r="I1312" s="249">
        <f t="shared" si="75"/>
        <v>1</v>
      </c>
      <c r="J1312" s="143">
        <v>7500</v>
      </c>
      <c r="K1312" s="249" t="str">
        <f t="shared" si="80"/>
        <v>PT</v>
      </c>
      <c r="M1312" s="249">
        <f t="shared" si="76"/>
        <v>29</v>
      </c>
      <c r="N1312" s="249">
        <f t="shared" si="77"/>
        <v>28</v>
      </c>
      <c r="Z1312" s="130">
        <v>0.3</v>
      </c>
      <c r="AA1312" s="249">
        <v>7</v>
      </c>
      <c r="AB1312" s="250">
        <v>12000</v>
      </c>
      <c r="AC1312" s="250">
        <v>10000</v>
      </c>
      <c r="AD1312" s="250">
        <v>25000</v>
      </c>
      <c r="AE1312" s="250" t="s">
        <v>352</v>
      </c>
      <c r="AF1312" s="250">
        <v>25000</v>
      </c>
    </row>
    <row r="1313" spans="2:32" x14ac:dyDescent="0.25">
      <c r="B1313" s="61" t="s">
        <v>2229</v>
      </c>
      <c r="C1313" s="249" t="str">
        <f t="shared" si="78"/>
        <v>T3</v>
      </c>
      <c r="D1313" s="14">
        <v>1988</v>
      </c>
      <c r="E1313" s="13">
        <v>1300000</v>
      </c>
      <c r="F1313" s="249">
        <v>1.9</v>
      </c>
      <c r="G1313" s="249">
        <v>2.2999999999999998</v>
      </c>
      <c r="H1313" s="249" t="str">
        <f t="shared" si="79"/>
        <v>D</v>
      </c>
      <c r="I1313" s="249">
        <f t="shared" si="75"/>
        <v>1</v>
      </c>
      <c r="J1313" s="143">
        <v>9000</v>
      </c>
      <c r="K1313" s="249" t="str">
        <f t="shared" si="80"/>
        <v>HC</v>
      </c>
      <c r="M1313" s="249">
        <f t="shared" si="76"/>
        <v>27</v>
      </c>
      <c r="N1313" s="249">
        <f t="shared" si="77"/>
        <v>26</v>
      </c>
      <c r="Z1313" s="130">
        <v>0.5</v>
      </c>
      <c r="AA1313" s="249">
        <v>3</v>
      </c>
      <c r="AB1313" s="250">
        <v>15000</v>
      </c>
      <c r="AC1313" s="250">
        <v>40000</v>
      </c>
      <c r="AD1313" s="250">
        <v>35000</v>
      </c>
      <c r="AE1313" s="250" t="s">
        <v>352</v>
      </c>
      <c r="AF1313" s="250">
        <v>35000</v>
      </c>
    </row>
    <row r="1314" spans="2:32" x14ac:dyDescent="0.25">
      <c r="B1314" s="61" t="s">
        <v>2230</v>
      </c>
      <c r="C1314" s="249" t="str">
        <f t="shared" si="78"/>
        <v>T3</v>
      </c>
      <c r="D1314" s="14">
        <v>1989</v>
      </c>
      <c r="E1314" s="13">
        <v>1375437</v>
      </c>
      <c r="F1314" s="249">
        <v>1.8</v>
      </c>
      <c r="G1314" s="249">
        <v>2.5</v>
      </c>
      <c r="H1314" s="249" t="str">
        <f t="shared" si="79"/>
        <v>D</v>
      </c>
      <c r="I1314" s="249">
        <f t="shared" si="75"/>
        <v>1</v>
      </c>
      <c r="J1314" s="143">
        <v>7000</v>
      </c>
      <c r="K1314" s="249" t="str">
        <f t="shared" si="80"/>
        <v>PT</v>
      </c>
      <c r="M1314" s="249">
        <f t="shared" si="76"/>
        <v>26</v>
      </c>
      <c r="N1314" s="249">
        <f t="shared" si="77"/>
        <v>25</v>
      </c>
      <c r="Z1314" s="130">
        <v>0.5</v>
      </c>
      <c r="AA1314" s="249">
        <v>7</v>
      </c>
      <c r="AB1314" s="250">
        <v>15000</v>
      </c>
      <c r="AC1314" s="250">
        <v>12000</v>
      </c>
      <c r="AD1314" s="250">
        <v>25000</v>
      </c>
      <c r="AE1314" s="250">
        <v>170000</v>
      </c>
      <c r="AF1314" s="250">
        <v>25000</v>
      </c>
    </row>
    <row r="1315" spans="2:32" x14ac:dyDescent="0.25">
      <c r="B1315" s="61" t="s">
        <v>2231</v>
      </c>
      <c r="C1315" s="249" t="str">
        <f t="shared" si="78"/>
        <v>T3</v>
      </c>
      <c r="D1315" s="14">
        <v>1995</v>
      </c>
      <c r="E1315" s="13" t="s">
        <v>352</v>
      </c>
      <c r="F1315" s="249">
        <v>2.2000000000000002</v>
      </c>
      <c r="G1315" s="249">
        <v>2.5</v>
      </c>
      <c r="H1315" s="249" t="str">
        <f t="shared" si="79"/>
        <v>D</v>
      </c>
      <c r="I1315" s="249">
        <f t="shared" si="75"/>
        <v>1</v>
      </c>
      <c r="J1315" s="143">
        <v>9000</v>
      </c>
      <c r="K1315" s="249" t="str">
        <f t="shared" si="80"/>
        <v>HC</v>
      </c>
      <c r="M1315" s="249">
        <f t="shared" si="76"/>
        <v>20</v>
      </c>
      <c r="N1315" s="249">
        <f t="shared" si="77"/>
        <v>19</v>
      </c>
      <c r="Z1315" s="130">
        <v>0.5</v>
      </c>
      <c r="AA1315" s="249">
        <v>3</v>
      </c>
      <c r="AB1315" s="250">
        <v>15000</v>
      </c>
      <c r="AC1315" s="250">
        <v>10000</v>
      </c>
      <c r="AD1315" s="250">
        <v>35000</v>
      </c>
      <c r="AE1315" s="250" t="s">
        <v>352</v>
      </c>
      <c r="AF1315" s="250">
        <v>35000</v>
      </c>
    </row>
    <row r="1316" spans="2:32" x14ac:dyDescent="0.25">
      <c r="B1316" s="61" t="s">
        <v>2232</v>
      </c>
      <c r="C1316" s="249" t="str">
        <f t="shared" si="78"/>
        <v>T3</v>
      </c>
      <c r="D1316" s="14">
        <v>1992</v>
      </c>
      <c r="E1316" s="13" t="s">
        <v>908</v>
      </c>
      <c r="F1316" s="249">
        <v>2.2999999999999998</v>
      </c>
      <c r="G1316" s="249">
        <v>2.5</v>
      </c>
      <c r="H1316" s="249" t="str">
        <f t="shared" si="79"/>
        <v>D</v>
      </c>
      <c r="I1316" s="249">
        <f t="shared" si="75"/>
        <v>1</v>
      </c>
      <c r="J1316" s="143">
        <v>10000</v>
      </c>
      <c r="K1316" s="249" t="str">
        <f t="shared" si="80"/>
        <v>PT</v>
      </c>
      <c r="M1316" s="249">
        <f t="shared" si="76"/>
        <v>23</v>
      </c>
      <c r="N1316" s="249">
        <f t="shared" si="77"/>
        <v>22</v>
      </c>
      <c r="Z1316" s="130">
        <v>0.5</v>
      </c>
      <c r="AA1316" s="249">
        <v>7</v>
      </c>
      <c r="AB1316" s="250">
        <v>20000</v>
      </c>
      <c r="AC1316" s="250">
        <v>8000</v>
      </c>
      <c r="AD1316" s="250">
        <v>40000</v>
      </c>
      <c r="AE1316" s="250">
        <v>150000</v>
      </c>
      <c r="AF1316" s="250">
        <v>40000</v>
      </c>
    </row>
    <row r="1317" spans="2:32" x14ac:dyDescent="0.25">
      <c r="B1317" s="61" t="s">
        <v>2233</v>
      </c>
      <c r="C1317" s="249" t="str">
        <f t="shared" si="78"/>
        <v>C3</v>
      </c>
      <c r="D1317" s="14">
        <v>1979</v>
      </c>
      <c r="E1317" s="13">
        <v>1833815</v>
      </c>
      <c r="F1317" s="249">
        <v>1.7</v>
      </c>
      <c r="G1317" s="249">
        <v>2.1</v>
      </c>
      <c r="H1317" s="249" t="str">
        <f t="shared" si="79"/>
        <v>D</v>
      </c>
      <c r="I1317" s="249">
        <f t="shared" si="75"/>
        <v>1</v>
      </c>
      <c r="J1317" s="143">
        <v>6500</v>
      </c>
      <c r="K1317" s="249" t="str">
        <f t="shared" si="80"/>
        <v>HC</v>
      </c>
      <c r="M1317" s="249">
        <f t="shared" si="76"/>
        <v>36</v>
      </c>
      <c r="N1317" s="249">
        <f t="shared" si="77"/>
        <v>35</v>
      </c>
      <c r="Z1317" s="130">
        <v>0.5</v>
      </c>
      <c r="AA1317" s="249">
        <v>3</v>
      </c>
      <c r="AB1317" s="250">
        <v>25000</v>
      </c>
      <c r="AC1317" s="250">
        <v>15000</v>
      </c>
      <c r="AD1317" s="250">
        <v>35000</v>
      </c>
      <c r="AE1317" s="250">
        <v>140000</v>
      </c>
      <c r="AF1317" s="250">
        <v>35000</v>
      </c>
    </row>
    <row r="1318" spans="2:32" x14ac:dyDescent="0.25">
      <c r="B1318" s="61" t="s">
        <v>2234</v>
      </c>
      <c r="C1318" s="249" t="str">
        <f t="shared" si="78"/>
        <v>C2</v>
      </c>
      <c r="D1318" s="14">
        <v>1982</v>
      </c>
      <c r="E1318" s="13">
        <v>1875620</v>
      </c>
      <c r="F1318" s="249">
        <v>4.4000000000000004</v>
      </c>
      <c r="G1318" s="249">
        <v>5.0999999999999996</v>
      </c>
      <c r="H1318" s="249" t="str">
        <f t="shared" si="79"/>
        <v>D</v>
      </c>
      <c r="I1318" s="249">
        <f t="shared" si="75"/>
        <v>1</v>
      </c>
      <c r="J1318" s="143">
        <v>6000</v>
      </c>
      <c r="K1318" s="249" t="str">
        <f t="shared" si="80"/>
        <v>HC</v>
      </c>
      <c r="M1318" s="249">
        <f t="shared" si="76"/>
        <v>33</v>
      </c>
      <c r="N1318" s="249">
        <f t="shared" si="77"/>
        <v>32</v>
      </c>
      <c r="Z1318" s="130">
        <v>0.5</v>
      </c>
      <c r="AA1318" s="249">
        <v>1</v>
      </c>
      <c r="AB1318" s="250">
        <v>30000</v>
      </c>
      <c r="AC1318" s="250" t="s">
        <v>352</v>
      </c>
      <c r="AD1318" s="250" t="s">
        <v>352</v>
      </c>
      <c r="AE1318" s="250" t="s">
        <v>352</v>
      </c>
      <c r="AF1318" s="250" t="s">
        <v>352</v>
      </c>
    </row>
    <row r="1319" spans="2:32" x14ac:dyDescent="0.25">
      <c r="B1319" s="61" t="s">
        <v>2235</v>
      </c>
      <c r="C1319" s="249" t="str">
        <f t="shared" si="78"/>
        <v>C3</v>
      </c>
      <c r="D1319" s="14">
        <v>1976</v>
      </c>
      <c r="E1319" s="13" t="s">
        <v>908</v>
      </c>
      <c r="F1319" s="249">
        <v>3.9</v>
      </c>
      <c r="G1319" s="249">
        <v>4.3</v>
      </c>
      <c r="H1319" s="249" t="str">
        <f t="shared" si="79"/>
        <v>D</v>
      </c>
      <c r="I1319" s="249">
        <f t="shared" si="75"/>
        <v>1</v>
      </c>
      <c r="J1319" s="143">
        <v>7000</v>
      </c>
      <c r="K1319" s="249" t="str">
        <f t="shared" si="80"/>
        <v>HC</v>
      </c>
      <c r="M1319" s="249">
        <f t="shared" si="76"/>
        <v>39</v>
      </c>
      <c r="N1319" s="249">
        <f t="shared" si="77"/>
        <v>38</v>
      </c>
      <c r="Z1319" s="130">
        <v>0.1</v>
      </c>
      <c r="AA1319" s="249">
        <v>3</v>
      </c>
      <c r="AB1319" s="250">
        <v>28000</v>
      </c>
      <c r="AC1319" s="250" t="s">
        <v>352</v>
      </c>
      <c r="AD1319" s="250" t="s">
        <v>352</v>
      </c>
      <c r="AE1319" s="250" t="s">
        <v>352</v>
      </c>
      <c r="AF1319" s="250" t="s">
        <v>352</v>
      </c>
    </row>
    <row r="1320" spans="2:32" x14ac:dyDescent="0.25">
      <c r="B1320" s="61" t="s">
        <v>2236</v>
      </c>
      <c r="C1320" s="249" t="str">
        <f t="shared" si="78"/>
        <v>C3</v>
      </c>
      <c r="D1320" s="14">
        <v>1987</v>
      </c>
      <c r="E1320" s="13" t="s">
        <v>908</v>
      </c>
      <c r="F1320" s="249">
        <v>3.5</v>
      </c>
      <c r="G1320" s="249">
        <v>4</v>
      </c>
      <c r="H1320" s="249" t="str">
        <f t="shared" si="79"/>
        <v>D</v>
      </c>
      <c r="I1320" s="249">
        <f t="shared" si="75"/>
        <v>1</v>
      </c>
      <c r="J1320" s="143">
        <v>5000</v>
      </c>
      <c r="K1320" s="249" t="str">
        <f t="shared" si="80"/>
        <v>HC</v>
      </c>
      <c r="M1320" s="249">
        <f t="shared" si="76"/>
        <v>28</v>
      </c>
      <c r="N1320" s="249">
        <f t="shared" si="77"/>
        <v>27</v>
      </c>
      <c r="Z1320" s="130">
        <v>0.5</v>
      </c>
      <c r="AA1320" s="249">
        <v>3</v>
      </c>
      <c r="AB1320" s="250">
        <v>30000</v>
      </c>
      <c r="AC1320" s="250" t="s">
        <v>352</v>
      </c>
      <c r="AD1320" s="250">
        <v>30000</v>
      </c>
      <c r="AE1320" s="250" t="s">
        <v>352</v>
      </c>
      <c r="AF1320" s="250" t="s">
        <v>352</v>
      </c>
    </row>
    <row r="1321" spans="2:32" x14ac:dyDescent="0.25">
      <c r="B1321" s="61" t="s">
        <v>2237</v>
      </c>
      <c r="C1321" s="249" t="str">
        <f t="shared" si="78"/>
        <v>C2</v>
      </c>
      <c r="D1321" s="14">
        <v>1985</v>
      </c>
      <c r="E1321" s="13" t="s">
        <v>908</v>
      </c>
      <c r="F1321" s="249">
        <v>4.7</v>
      </c>
      <c r="G1321" s="249">
        <v>6</v>
      </c>
      <c r="H1321" s="249" t="str">
        <f t="shared" si="79"/>
        <v>G</v>
      </c>
      <c r="I1321" s="249">
        <f t="shared" si="75"/>
        <v>1</v>
      </c>
      <c r="J1321" s="143">
        <v>4000</v>
      </c>
      <c r="K1321" s="249" t="str">
        <f t="shared" si="80"/>
        <v>HC</v>
      </c>
      <c r="M1321" s="249">
        <f t="shared" si="76"/>
        <v>30</v>
      </c>
      <c r="N1321" s="249">
        <f t="shared" si="77"/>
        <v>29</v>
      </c>
      <c r="Z1321" s="130">
        <v>0.5</v>
      </c>
      <c r="AA1321" s="249">
        <v>1</v>
      </c>
      <c r="AB1321" s="250">
        <v>20000</v>
      </c>
      <c r="AC1321" s="250" t="s">
        <v>352</v>
      </c>
      <c r="AD1321" s="250" t="s">
        <v>352</v>
      </c>
      <c r="AE1321" s="250" t="s">
        <v>352</v>
      </c>
      <c r="AF1321" s="250" t="s">
        <v>2462</v>
      </c>
    </row>
    <row r="1322" spans="2:32" x14ac:dyDescent="0.25">
      <c r="B1322" s="61" t="s">
        <v>2238</v>
      </c>
      <c r="C1322" s="249" t="str">
        <f t="shared" si="78"/>
        <v>C3</v>
      </c>
      <c r="D1322" s="14">
        <v>1998</v>
      </c>
      <c r="E1322" s="13">
        <v>1322678</v>
      </c>
      <c r="F1322" s="249">
        <v>3.2</v>
      </c>
      <c r="G1322" s="249">
        <v>3.9</v>
      </c>
      <c r="H1322" s="249" t="str">
        <f t="shared" si="79"/>
        <v>D</v>
      </c>
      <c r="I1322" s="249">
        <f t="shared" si="75"/>
        <v>1</v>
      </c>
      <c r="J1322" s="143">
        <v>12000</v>
      </c>
      <c r="K1322" s="249" t="str">
        <f t="shared" si="80"/>
        <v>HC</v>
      </c>
      <c r="M1322" s="249">
        <f t="shared" si="76"/>
        <v>17</v>
      </c>
      <c r="N1322" s="249">
        <f t="shared" si="77"/>
        <v>16</v>
      </c>
      <c r="Z1322" s="130">
        <v>0.5</v>
      </c>
      <c r="AA1322" s="249">
        <v>1</v>
      </c>
      <c r="AB1322" s="250">
        <v>15000</v>
      </c>
      <c r="AC1322" s="250">
        <v>180000</v>
      </c>
      <c r="AD1322" s="250">
        <v>30000</v>
      </c>
      <c r="AE1322" s="250">
        <v>150000</v>
      </c>
      <c r="AF1322" s="250" t="s">
        <v>352</v>
      </c>
    </row>
    <row r="1323" spans="2:32" x14ac:dyDescent="0.25">
      <c r="B1323" s="61" t="s">
        <v>2239</v>
      </c>
      <c r="C1323" s="249" t="str">
        <f t="shared" si="78"/>
        <v>T3</v>
      </c>
      <c r="D1323" s="14">
        <v>2003</v>
      </c>
      <c r="E1323" s="13">
        <v>729811</v>
      </c>
      <c r="F1323" s="249">
        <v>2.4</v>
      </c>
      <c r="G1323" s="249">
        <v>2.7</v>
      </c>
      <c r="H1323" s="249" t="str">
        <f t="shared" si="79"/>
        <v>D</v>
      </c>
      <c r="I1323" s="249">
        <f t="shared" si="75"/>
        <v>1</v>
      </c>
      <c r="J1323" s="143">
        <v>8000</v>
      </c>
      <c r="K1323" s="249" t="str">
        <f t="shared" si="80"/>
        <v>PT</v>
      </c>
      <c r="M1323" s="249">
        <f t="shared" si="76"/>
        <v>12</v>
      </c>
      <c r="N1323" s="249">
        <f t="shared" si="77"/>
        <v>11</v>
      </c>
      <c r="Z1323" s="130">
        <v>0.5</v>
      </c>
      <c r="AA1323" s="249">
        <v>7</v>
      </c>
      <c r="AB1323" s="250">
        <v>25000</v>
      </c>
      <c r="AC1323" s="250">
        <v>200000</v>
      </c>
      <c r="AD1323" s="250">
        <v>25000</v>
      </c>
      <c r="AE1323" s="250">
        <v>120000</v>
      </c>
      <c r="AF1323" s="250" t="s">
        <v>352</v>
      </c>
    </row>
    <row r="1324" spans="2:32" x14ac:dyDescent="0.25">
      <c r="B1324" s="61" t="s">
        <v>2240</v>
      </c>
      <c r="C1324" s="249" t="str">
        <f t="shared" si="78"/>
        <v>T3</v>
      </c>
      <c r="D1324" s="14">
        <v>2002</v>
      </c>
      <c r="E1324" s="13">
        <v>989615</v>
      </c>
      <c r="F1324" s="249">
        <v>2.5</v>
      </c>
      <c r="G1324" s="249">
        <v>2.9</v>
      </c>
      <c r="H1324" s="249" t="str">
        <f t="shared" si="79"/>
        <v>D</v>
      </c>
      <c r="I1324" s="249">
        <f t="shared" si="75"/>
        <v>1</v>
      </c>
      <c r="J1324" s="143">
        <v>10000</v>
      </c>
      <c r="K1324" s="249" t="str">
        <f t="shared" si="80"/>
        <v>HC</v>
      </c>
      <c r="M1324" s="249">
        <f t="shared" si="76"/>
        <v>13</v>
      </c>
      <c r="N1324" s="249">
        <f t="shared" si="77"/>
        <v>12</v>
      </c>
      <c r="Z1324" s="130">
        <v>0.1</v>
      </c>
      <c r="AA1324" s="249">
        <v>1</v>
      </c>
      <c r="AB1324" s="250">
        <v>20000</v>
      </c>
      <c r="AC1324" s="250">
        <v>120000</v>
      </c>
      <c r="AD1324" s="250">
        <v>20000</v>
      </c>
      <c r="AE1324" s="250">
        <v>120000</v>
      </c>
      <c r="AF1324" s="250" t="s">
        <v>352</v>
      </c>
    </row>
    <row r="1325" spans="2:32" x14ac:dyDescent="0.25">
      <c r="B1325" s="61" t="s">
        <v>2241</v>
      </c>
      <c r="C1325" s="249" t="str">
        <f t="shared" si="78"/>
        <v>T3</v>
      </c>
      <c r="D1325" s="14">
        <v>2003</v>
      </c>
      <c r="E1325" s="13">
        <v>862115</v>
      </c>
      <c r="F1325" s="249">
        <v>2.4</v>
      </c>
      <c r="G1325" s="249">
        <v>2.8</v>
      </c>
      <c r="H1325" s="249" t="str">
        <f t="shared" si="79"/>
        <v>D</v>
      </c>
      <c r="I1325" s="249">
        <f t="shared" si="75"/>
        <v>1</v>
      </c>
      <c r="J1325" s="143">
        <v>8000</v>
      </c>
      <c r="K1325" s="249" t="str">
        <f t="shared" si="80"/>
        <v>HC</v>
      </c>
      <c r="M1325" s="249">
        <f t="shared" si="76"/>
        <v>12</v>
      </c>
      <c r="N1325" s="249">
        <f t="shared" si="77"/>
        <v>11</v>
      </c>
      <c r="Z1325" s="130">
        <v>0.05</v>
      </c>
      <c r="AA1325" s="249">
        <v>3</v>
      </c>
      <c r="AB1325" s="250">
        <v>25000</v>
      </c>
      <c r="AC1325" s="250">
        <v>150000</v>
      </c>
      <c r="AD1325" s="250">
        <v>25000</v>
      </c>
      <c r="AE1325" s="250">
        <v>100000</v>
      </c>
      <c r="AF1325" s="250" t="s">
        <v>352</v>
      </c>
    </row>
    <row r="1326" spans="2:32" x14ac:dyDescent="0.25">
      <c r="B1326" s="61" t="s">
        <v>2242</v>
      </c>
      <c r="C1326" s="249" t="str">
        <f t="shared" si="78"/>
        <v>C3</v>
      </c>
      <c r="D1326" s="14">
        <v>1995</v>
      </c>
      <c r="E1326" s="13" t="s">
        <v>908</v>
      </c>
      <c r="F1326" s="249">
        <v>3.1</v>
      </c>
      <c r="G1326" s="249">
        <v>3.9</v>
      </c>
      <c r="H1326" s="249" t="str">
        <f t="shared" si="79"/>
        <v>D</v>
      </c>
      <c r="I1326" s="249">
        <f t="shared" si="75"/>
        <v>1</v>
      </c>
      <c r="J1326" s="143">
        <v>6000</v>
      </c>
      <c r="K1326" s="249" t="str">
        <f t="shared" si="80"/>
        <v>HC</v>
      </c>
      <c r="M1326" s="249">
        <f t="shared" si="76"/>
        <v>20</v>
      </c>
      <c r="N1326" s="249">
        <f t="shared" si="77"/>
        <v>19</v>
      </c>
      <c r="Z1326" s="130">
        <v>0.2</v>
      </c>
      <c r="AA1326" s="249">
        <v>1</v>
      </c>
      <c r="AB1326" s="250">
        <v>18000</v>
      </c>
      <c r="AC1326" s="250" t="s">
        <v>352</v>
      </c>
      <c r="AD1326" s="250">
        <v>36000</v>
      </c>
      <c r="AE1326" s="250">
        <v>100000</v>
      </c>
      <c r="AF1326" s="250" t="s">
        <v>352</v>
      </c>
    </row>
    <row r="1327" spans="2:32" x14ac:dyDescent="0.25">
      <c r="B1327" s="61" t="s">
        <v>2243</v>
      </c>
      <c r="C1327" s="249" t="str">
        <f t="shared" si="78"/>
        <v>T3</v>
      </c>
      <c r="D1327" s="14">
        <v>2007</v>
      </c>
      <c r="E1327" s="13">
        <v>713214</v>
      </c>
      <c r="F1327" s="249">
        <v>2.5</v>
      </c>
      <c r="G1327" s="249">
        <v>2.8</v>
      </c>
      <c r="H1327" s="249" t="str">
        <f t="shared" si="79"/>
        <v>D</v>
      </c>
      <c r="I1327" s="249">
        <f t="shared" si="75"/>
        <v>1</v>
      </c>
      <c r="J1327" s="143">
        <v>12000</v>
      </c>
      <c r="K1327" s="249" t="str">
        <f t="shared" si="80"/>
        <v>PT</v>
      </c>
      <c r="M1327" s="249">
        <f t="shared" si="76"/>
        <v>8</v>
      </c>
      <c r="N1327" s="249">
        <f t="shared" si="77"/>
        <v>7</v>
      </c>
      <c r="Z1327" s="130">
        <v>0</v>
      </c>
      <c r="AA1327" s="249">
        <v>7</v>
      </c>
      <c r="AB1327" s="250">
        <v>18000</v>
      </c>
      <c r="AC1327" s="250">
        <v>220000</v>
      </c>
      <c r="AD1327" s="250">
        <v>24000</v>
      </c>
      <c r="AE1327" s="250">
        <v>180000</v>
      </c>
      <c r="AF1327" s="250" t="s">
        <v>352</v>
      </c>
    </row>
    <row r="1328" spans="2:32" x14ac:dyDescent="0.25">
      <c r="B1328" s="61" t="s">
        <v>2244</v>
      </c>
      <c r="C1328" s="249" t="str">
        <f t="shared" si="78"/>
        <v>T3</v>
      </c>
      <c r="D1328" s="14">
        <v>2008</v>
      </c>
      <c r="E1328" s="13">
        <v>478213</v>
      </c>
      <c r="F1328" s="249">
        <v>2.5</v>
      </c>
      <c r="G1328" s="249">
        <v>2.9</v>
      </c>
      <c r="H1328" s="249" t="str">
        <f t="shared" si="79"/>
        <v>D</v>
      </c>
      <c r="I1328" s="249">
        <f t="shared" si="75"/>
        <v>1</v>
      </c>
      <c r="J1328" s="143">
        <v>8000</v>
      </c>
      <c r="K1328" s="249" t="str">
        <f t="shared" si="80"/>
        <v>PT</v>
      </c>
      <c r="M1328" s="249">
        <f t="shared" si="76"/>
        <v>7</v>
      </c>
      <c r="N1328" s="249">
        <f t="shared" si="77"/>
        <v>6</v>
      </c>
      <c r="Z1328" s="130">
        <v>0</v>
      </c>
      <c r="AA1328" s="249">
        <v>7</v>
      </c>
      <c r="AB1328" s="250">
        <v>18000</v>
      </c>
      <c r="AC1328" s="250">
        <v>140000</v>
      </c>
      <c r="AD1328" s="250">
        <v>36000</v>
      </c>
      <c r="AE1328" s="250">
        <v>140000</v>
      </c>
      <c r="AF1328" s="250" t="s">
        <v>352</v>
      </c>
    </row>
    <row r="1329" spans="2:32" x14ac:dyDescent="0.25">
      <c r="B1329" s="61" t="s">
        <v>2245</v>
      </c>
      <c r="C1329" s="249" t="str">
        <f t="shared" si="78"/>
        <v>T3</v>
      </c>
      <c r="D1329" s="14">
        <v>2009</v>
      </c>
      <c r="E1329" s="13">
        <v>363248</v>
      </c>
      <c r="F1329" s="249">
        <v>2.4</v>
      </c>
      <c r="G1329" s="249">
        <v>2.8</v>
      </c>
      <c r="H1329" s="249" t="str">
        <f t="shared" si="79"/>
        <v>D</v>
      </c>
      <c r="I1329" s="249">
        <f t="shared" si="75"/>
        <v>1</v>
      </c>
      <c r="J1329" s="143">
        <v>10000</v>
      </c>
      <c r="K1329" s="249" t="str">
        <f t="shared" si="80"/>
        <v>HC</v>
      </c>
      <c r="M1329" s="249">
        <f t="shared" si="76"/>
        <v>6</v>
      </c>
      <c r="N1329" s="249">
        <f t="shared" si="77"/>
        <v>5</v>
      </c>
      <c r="Z1329" s="130">
        <v>0.1</v>
      </c>
      <c r="AA1329" s="249">
        <v>2</v>
      </c>
      <c r="AB1329" s="250">
        <v>20000</v>
      </c>
      <c r="AC1329" s="250">
        <v>160000</v>
      </c>
      <c r="AD1329" s="250">
        <v>25000</v>
      </c>
      <c r="AE1329" s="250">
        <v>120000</v>
      </c>
      <c r="AF1329" s="250" t="s">
        <v>352</v>
      </c>
    </row>
    <row r="1330" spans="2:32" x14ac:dyDescent="0.25">
      <c r="B1330" s="61" t="s">
        <v>2246</v>
      </c>
      <c r="C1330" s="249" t="str">
        <f t="shared" si="78"/>
        <v>T3</v>
      </c>
      <c r="D1330" s="14">
        <v>2006</v>
      </c>
      <c r="E1330" s="13">
        <v>523219</v>
      </c>
      <c r="F1330" s="249">
        <v>2.5</v>
      </c>
      <c r="G1330" s="249">
        <v>2.7</v>
      </c>
      <c r="H1330" s="249" t="str">
        <f t="shared" si="79"/>
        <v>D</v>
      </c>
      <c r="I1330" s="249">
        <f t="shared" si="75"/>
        <v>1</v>
      </c>
      <c r="J1330" s="143">
        <v>12000</v>
      </c>
      <c r="K1330" s="249" t="str">
        <f t="shared" si="80"/>
        <v>HC</v>
      </c>
      <c r="M1330" s="249">
        <f t="shared" si="76"/>
        <v>9</v>
      </c>
      <c r="N1330" s="249">
        <f t="shared" si="77"/>
        <v>8</v>
      </c>
      <c r="Z1330" s="130">
        <v>0.5</v>
      </c>
      <c r="AA1330" s="249">
        <v>3</v>
      </c>
      <c r="AB1330" s="250">
        <v>18000</v>
      </c>
      <c r="AC1330" s="250" t="s">
        <v>352</v>
      </c>
      <c r="AD1330" s="250">
        <v>24000</v>
      </c>
      <c r="AE1330" s="250">
        <v>120000</v>
      </c>
      <c r="AF1330" s="250" t="s">
        <v>352</v>
      </c>
    </row>
    <row r="1331" spans="2:32" x14ac:dyDescent="0.25">
      <c r="B1331" s="61" t="s">
        <v>2247</v>
      </c>
      <c r="C1331" s="249" t="str">
        <f t="shared" si="78"/>
        <v>T3</v>
      </c>
      <c r="D1331" s="14">
        <v>2004</v>
      </c>
      <c r="E1331" s="13">
        <v>651733</v>
      </c>
      <c r="F1331" s="249">
        <v>1.5</v>
      </c>
      <c r="G1331" s="249">
        <v>1.7</v>
      </c>
      <c r="H1331" s="249" t="str">
        <f t="shared" si="79"/>
        <v>D</v>
      </c>
      <c r="I1331" s="249">
        <f t="shared" si="75"/>
        <v>1</v>
      </c>
      <c r="J1331" s="143">
        <v>10000</v>
      </c>
      <c r="K1331" s="249" t="str">
        <f t="shared" si="80"/>
        <v>HC</v>
      </c>
      <c r="M1331" s="249">
        <f t="shared" si="76"/>
        <v>11</v>
      </c>
      <c r="N1331" s="249">
        <f t="shared" si="77"/>
        <v>10</v>
      </c>
      <c r="Z1331" s="130">
        <v>0.05</v>
      </c>
      <c r="AA1331" s="249">
        <v>1</v>
      </c>
      <c r="AB1331" s="250">
        <v>20000</v>
      </c>
      <c r="AC1331" s="250">
        <v>120000</v>
      </c>
      <c r="AD1331" s="250">
        <v>20000</v>
      </c>
      <c r="AE1331" s="250">
        <v>120000</v>
      </c>
      <c r="AF1331" s="250" t="s">
        <v>352</v>
      </c>
    </row>
    <row r="1332" spans="2:32" x14ac:dyDescent="0.25">
      <c r="B1332" s="61" t="s">
        <v>2248</v>
      </c>
      <c r="C1332" s="249" t="str">
        <f t="shared" si="78"/>
        <v>T3</v>
      </c>
      <c r="D1332" s="14">
        <v>2011</v>
      </c>
      <c r="E1332" s="13">
        <v>490372</v>
      </c>
      <c r="F1332" s="249">
        <v>2.6</v>
      </c>
      <c r="G1332" s="249">
        <v>3</v>
      </c>
      <c r="H1332" s="249" t="str">
        <f t="shared" si="79"/>
        <v>D</v>
      </c>
      <c r="I1332" s="249">
        <f t="shared" si="75"/>
        <v>1</v>
      </c>
      <c r="J1332" s="143">
        <v>10000</v>
      </c>
      <c r="K1332" s="249" t="str">
        <f t="shared" si="80"/>
        <v>HC</v>
      </c>
      <c r="M1332" s="249">
        <f t="shared" si="76"/>
        <v>4</v>
      </c>
      <c r="N1332" s="249">
        <f t="shared" si="77"/>
        <v>3</v>
      </c>
      <c r="Z1332" s="130">
        <v>0.5</v>
      </c>
      <c r="AA1332" s="249">
        <v>3</v>
      </c>
      <c r="AB1332" s="250">
        <v>25000</v>
      </c>
      <c r="AC1332" s="250">
        <v>150000</v>
      </c>
      <c r="AD1332" s="250">
        <v>25000</v>
      </c>
      <c r="AE1332" s="250">
        <v>150000</v>
      </c>
      <c r="AF1332" s="250" t="s">
        <v>352</v>
      </c>
    </row>
    <row r="1333" spans="2:32" x14ac:dyDescent="0.25">
      <c r="B1333" s="61" t="s">
        <v>2249</v>
      </c>
      <c r="C1333" s="249" t="str">
        <f t="shared" si="78"/>
        <v>T3</v>
      </c>
      <c r="D1333" s="14">
        <v>2008</v>
      </c>
      <c r="E1333" s="13">
        <v>550273</v>
      </c>
      <c r="F1333" s="249">
        <v>1.4</v>
      </c>
      <c r="G1333" s="249">
        <v>1.7</v>
      </c>
      <c r="H1333" s="249" t="str">
        <f t="shared" si="79"/>
        <v>D</v>
      </c>
      <c r="I1333" s="249">
        <f t="shared" si="75"/>
        <v>1</v>
      </c>
      <c r="J1333" s="143">
        <v>10000</v>
      </c>
      <c r="K1333" s="249" t="str">
        <f t="shared" si="80"/>
        <v>PT</v>
      </c>
      <c r="M1333" s="249">
        <f t="shared" si="76"/>
        <v>7</v>
      </c>
      <c r="N1333" s="249">
        <f t="shared" si="77"/>
        <v>6</v>
      </c>
      <c r="Z1333" s="130">
        <v>0.3</v>
      </c>
      <c r="AA1333" s="249">
        <v>7</v>
      </c>
      <c r="AB1333" s="250">
        <v>18000</v>
      </c>
      <c r="AC1333" s="250">
        <v>100000</v>
      </c>
      <c r="AD1333" s="250">
        <v>24000</v>
      </c>
      <c r="AE1333" s="250">
        <v>100000</v>
      </c>
      <c r="AF1333" s="250" t="s">
        <v>352</v>
      </c>
    </row>
    <row r="1334" spans="2:32" x14ac:dyDescent="0.25">
      <c r="B1334" s="61" t="s">
        <v>2250</v>
      </c>
      <c r="C1334" s="249" t="str">
        <f t="shared" si="78"/>
        <v>T3</v>
      </c>
      <c r="D1334" s="14">
        <v>2000</v>
      </c>
      <c r="E1334" s="13">
        <v>1053216</v>
      </c>
      <c r="F1334" s="249">
        <v>2.4</v>
      </c>
      <c r="G1334" s="249">
        <v>2.75</v>
      </c>
      <c r="H1334" s="249" t="str">
        <f t="shared" si="79"/>
        <v>D</v>
      </c>
      <c r="I1334" s="249">
        <f t="shared" si="75"/>
        <v>1</v>
      </c>
      <c r="J1334" s="143">
        <v>8000</v>
      </c>
      <c r="K1334" s="249" t="str">
        <f t="shared" si="80"/>
        <v>PT</v>
      </c>
      <c r="M1334" s="249">
        <f t="shared" si="76"/>
        <v>15</v>
      </c>
      <c r="N1334" s="249">
        <f t="shared" si="77"/>
        <v>14</v>
      </c>
      <c r="Z1334" s="130">
        <v>0.1</v>
      </c>
      <c r="AA1334" s="249">
        <v>7</v>
      </c>
      <c r="AB1334" s="250">
        <v>24000</v>
      </c>
      <c r="AC1334" s="250" t="s">
        <v>352</v>
      </c>
      <c r="AD1334" s="250">
        <v>24000</v>
      </c>
      <c r="AE1334" s="250">
        <v>100000</v>
      </c>
      <c r="AF1334" s="250" t="s">
        <v>352</v>
      </c>
    </row>
    <row r="1335" spans="2:32" x14ac:dyDescent="0.25">
      <c r="B1335" s="61" t="s">
        <v>2251</v>
      </c>
      <c r="C1335" s="249" t="str">
        <f t="shared" si="78"/>
        <v>T3</v>
      </c>
      <c r="D1335" s="14">
        <v>2008</v>
      </c>
      <c r="E1335" s="13">
        <v>425617</v>
      </c>
      <c r="F1335" s="249">
        <v>2.4</v>
      </c>
      <c r="G1335" s="249">
        <v>2.9</v>
      </c>
      <c r="H1335" s="249" t="str">
        <f t="shared" si="79"/>
        <v>D</v>
      </c>
      <c r="I1335" s="249">
        <f t="shared" si="75"/>
        <v>1</v>
      </c>
      <c r="J1335" s="143">
        <v>8000</v>
      </c>
      <c r="K1335" s="249" t="str">
        <f t="shared" si="80"/>
        <v>PT</v>
      </c>
      <c r="M1335" s="249">
        <f t="shared" si="76"/>
        <v>7</v>
      </c>
      <c r="N1335" s="249">
        <f t="shared" si="77"/>
        <v>6</v>
      </c>
      <c r="Z1335" s="130">
        <v>0</v>
      </c>
      <c r="AA1335" s="249">
        <v>7</v>
      </c>
      <c r="AB1335" s="250">
        <v>16000</v>
      </c>
      <c r="AC1335" s="250">
        <v>120000</v>
      </c>
      <c r="AD1335" s="250">
        <v>32000</v>
      </c>
      <c r="AE1335" s="250">
        <v>120000</v>
      </c>
      <c r="AF1335" s="250" t="s">
        <v>352</v>
      </c>
    </row>
    <row r="1336" spans="2:32" x14ac:dyDescent="0.25">
      <c r="B1336" s="61" t="s">
        <v>2252</v>
      </c>
      <c r="C1336" s="249" t="str">
        <f t="shared" si="78"/>
        <v>T3</v>
      </c>
      <c r="D1336" s="14">
        <v>2003</v>
      </c>
      <c r="E1336" s="13">
        <v>658299</v>
      </c>
      <c r="F1336" s="249">
        <v>2.4</v>
      </c>
      <c r="G1336" s="249">
        <v>2.7</v>
      </c>
      <c r="H1336" s="249" t="str">
        <f t="shared" si="79"/>
        <v>D</v>
      </c>
      <c r="I1336" s="249">
        <f t="shared" si="75"/>
        <v>1</v>
      </c>
      <c r="J1336" s="143">
        <v>8000</v>
      </c>
      <c r="K1336" s="249" t="str">
        <f t="shared" si="80"/>
        <v>HC</v>
      </c>
      <c r="M1336" s="249">
        <f t="shared" si="76"/>
        <v>12</v>
      </c>
      <c r="N1336" s="249">
        <f t="shared" si="77"/>
        <v>11</v>
      </c>
      <c r="Z1336" s="130">
        <v>0.1</v>
      </c>
      <c r="AA1336" s="249">
        <v>1</v>
      </c>
      <c r="AB1336" s="250">
        <v>24000</v>
      </c>
      <c r="AC1336" s="250">
        <v>130000</v>
      </c>
      <c r="AD1336" s="250">
        <v>24000</v>
      </c>
      <c r="AE1336" s="250">
        <v>130000</v>
      </c>
      <c r="AF1336" s="250" t="s">
        <v>2464</v>
      </c>
    </row>
    <row r="1337" spans="2:32" x14ac:dyDescent="0.25">
      <c r="B1337" s="61" t="s">
        <v>2253</v>
      </c>
      <c r="C1337" s="249" t="str">
        <f t="shared" si="78"/>
        <v>T3</v>
      </c>
      <c r="D1337" s="14">
        <v>2001</v>
      </c>
      <c r="E1337" s="13">
        <v>861478</v>
      </c>
      <c r="F1337" s="249">
        <v>2.5</v>
      </c>
      <c r="G1337" s="249">
        <v>2.7</v>
      </c>
      <c r="H1337" s="249" t="str">
        <f t="shared" si="79"/>
        <v>D</v>
      </c>
      <c r="I1337" s="249">
        <f t="shared" si="75"/>
        <v>1</v>
      </c>
      <c r="J1337" s="143">
        <v>9000</v>
      </c>
      <c r="K1337" s="249" t="str">
        <f t="shared" si="80"/>
        <v>HC</v>
      </c>
      <c r="M1337" s="249">
        <f t="shared" si="76"/>
        <v>14</v>
      </c>
      <c r="N1337" s="249">
        <f t="shared" si="77"/>
        <v>13</v>
      </c>
      <c r="Z1337" s="130">
        <v>0.5</v>
      </c>
      <c r="AA1337" s="249">
        <v>1</v>
      </c>
      <c r="AB1337" s="250">
        <v>25000</v>
      </c>
      <c r="AC1337" s="250">
        <v>100000</v>
      </c>
      <c r="AD1337" s="250">
        <v>25000</v>
      </c>
      <c r="AE1337" s="250">
        <v>100000</v>
      </c>
      <c r="AF1337" s="250" t="s">
        <v>352</v>
      </c>
    </row>
    <row r="1338" spans="2:32" x14ac:dyDescent="0.25">
      <c r="B1338" s="61" t="s">
        <v>2254</v>
      </c>
      <c r="C1338" s="249" t="str">
        <f t="shared" si="78"/>
        <v>T3</v>
      </c>
      <c r="D1338" s="14">
        <v>2006</v>
      </c>
      <c r="E1338" s="13">
        <v>623850</v>
      </c>
      <c r="F1338" s="249">
        <v>2.5</v>
      </c>
      <c r="G1338" s="249">
        <v>2.8</v>
      </c>
      <c r="H1338" s="249" t="str">
        <f t="shared" si="79"/>
        <v>D</v>
      </c>
      <c r="I1338" s="249">
        <f t="shared" si="75"/>
        <v>1</v>
      </c>
      <c r="J1338" s="143">
        <v>8000</v>
      </c>
      <c r="K1338" s="249" t="str">
        <f t="shared" si="80"/>
        <v>HC</v>
      </c>
      <c r="M1338" s="249">
        <f t="shared" si="76"/>
        <v>9</v>
      </c>
      <c r="N1338" s="249">
        <f t="shared" si="77"/>
        <v>8</v>
      </c>
      <c r="Z1338" s="130">
        <v>0.1</v>
      </c>
      <c r="AA1338" s="249">
        <v>2</v>
      </c>
      <c r="AB1338" s="250">
        <v>18000</v>
      </c>
      <c r="AC1338" s="250" t="s">
        <v>352</v>
      </c>
      <c r="AD1338" s="250">
        <v>24000</v>
      </c>
      <c r="AE1338" s="250">
        <v>150000</v>
      </c>
      <c r="AF1338" s="250" t="s">
        <v>352</v>
      </c>
    </row>
    <row r="1339" spans="2:32" x14ac:dyDescent="0.25">
      <c r="B1339" s="61" t="s">
        <v>2255</v>
      </c>
      <c r="C1339" s="249" t="str">
        <f t="shared" si="78"/>
        <v>T3</v>
      </c>
      <c r="D1339" s="14">
        <v>2004</v>
      </c>
      <c r="E1339" s="13">
        <v>715608</v>
      </c>
      <c r="F1339" s="249">
        <v>2.4</v>
      </c>
      <c r="G1339" s="249">
        <v>2.7</v>
      </c>
      <c r="H1339" s="249" t="str">
        <f t="shared" si="79"/>
        <v>D</v>
      </c>
      <c r="I1339" s="249">
        <f t="shared" si="75"/>
        <v>1</v>
      </c>
      <c r="J1339" s="143">
        <v>10000</v>
      </c>
      <c r="K1339" s="249" t="str">
        <f t="shared" si="80"/>
        <v>HC</v>
      </c>
      <c r="M1339" s="249">
        <f t="shared" si="76"/>
        <v>11</v>
      </c>
      <c r="N1339" s="249">
        <f t="shared" si="77"/>
        <v>10</v>
      </c>
      <c r="Z1339" s="130">
        <v>0.05</v>
      </c>
      <c r="AA1339" s="249">
        <v>1</v>
      </c>
      <c r="AB1339" s="250">
        <v>20000</v>
      </c>
      <c r="AC1339" s="250">
        <v>120000</v>
      </c>
      <c r="AD1339" s="250">
        <v>30000</v>
      </c>
      <c r="AE1339" s="250">
        <v>100000</v>
      </c>
      <c r="AF1339" s="250" t="s">
        <v>2464</v>
      </c>
    </row>
    <row r="1340" spans="2:32" x14ac:dyDescent="0.25">
      <c r="B1340" s="61" t="s">
        <v>2256</v>
      </c>
      <c r="C1340" s="249" t="str">
        <f t="shared" si="78"/>
        <v>T3</v>
      </c>
      <c r="D1340" s="14">
        <v>2008</v>
      </c>
      <c r="E1340" s="13">
        <v>517629</v>
      </c>
      <c r="F1340" s="249">
        <v>1.4</v>
      </c>
      <c r="G1340" s="249">
        <v>1.6</v>
      </c>
      <c r="H1340" s="249" t="str">
        <f t="shared" si="79"/>
        <v>D</v>
      </c>
      <c r="I1340" s="249">
        <f t="shared" si="75"/>
        <v>1</v>
      </c>
      <c r="J1340" s="143">
        <v>10000</v>
      </c>
      <c r="K1340" s="249" t="str">
        <f t="shared" si="80"/>
        <v>PT</v>
      </c>
      <c r="M1340" s="249">
        <f t="shared" si="76"/>
        <v>7</v>
      </c>
      <c r="N1340" s="249">
        <f t="shared" si="77"/>
        <v>6</v>
      </c>
      <c r="Z1340" s="130">
        <v>0.4</v>
      </c>
      <c r="AA1340" s="249">
        <v>7</v>
      </c>
      <c r="AB1340" s="250">
        <v>20000</v>
      </c>
      <c r="AC1340" s="250">
        <v>80000</v>
      </c>
      <c r="AD1340" s="250">
        <v>20000</v>
      </c>
      <c r="AE1340" s="250">
        <v>80000</v>
      </c>
      <c r="AF1340" s="250" t="s">
        <v>2464</v>
      </c>
    </row>
    <row r="1341" spans="2:32" x14ac:dyDescent="0.25">
      <c r="B1341" s="61" t="s">
        <v>2257</v>
      </c>
      <c r="C1341" s="249" t="str">
        <f t="shared" si="78"/>
        <v>T3</v>
      </c>
      <c r="D1341" s="14">
        <v>2006</v>
      </c>
      <c r="E1341" s="13">
        <v>712601</v>
      </c>
      <c r="F1341" s="249">
        <v>2.5</v>
      </c>
      <c r="G1341" s="249">
        <v>2.8</v>
      </c>
      <c r="H1341" s="249" t="str">
        <f t="shared" si="79"/>
        <v>D</v>
      </c>
      <c r="I1341" s="249">
        <f t="shared" si="75"/>
        <v>1</v>
      </c>
      <c r="J1341" s="143">
        <v>10000</v>
      </c>
      <c r="K1341" s="249" t="str">
        <f t="shared" si="80"/>
        <v>HC</v>
      </c>
      <c r="M1341" s="249">
        <f t="shared" si="76"/>
        <v>9</v>
      </c>
      <c r="N1341" s="249">
        <f t="shared" si="77"/>
        <v>8</v>
      </c>
      <c r="Z1341" s="130">
        <v>0.3</v>
      </c>
      <c r="AA1341" s="249">
        <v>1</v>
      </c>
      <c r="AB1341" s="250">
        <v>18000</v>
      </c>
      <c r="AC1341" s="250">
        <v>120000</v>
      </c>
      <c r="AD1341" s="250">
        <v>24000</v>
      </c>
      <c r="AE1341" s="250">
        <v>120000</v>
      </c>
      <c r="AF1341" s="250" t="s">
        <v>2464</v>
      </c>
    </row>
    <row r="1342" spans="2:32" x14ac:dyDescent="0.25">
      <c r="B1342" s="61" t="s">
        <v>2258</v>
      </c>
      <c r="C1342" s="249" t="str">
        <f t="shared" si="78"/>
        <v>T3</v>
      </c>
      <c r="D1342" s="14">
        <v>2008</v>
      </c>
      <c r="E1342" s="13">
        <v>453115</v>
      </c>
      <c r="F1342" s="249">
        <v>2.5</v>
      </c>
      <c r="G1342" s="249">
        <v>2.7</v>
      </c>
      <c r="H1342" s="249" t="str">
        <f t="shared" si="79"/>
        <v>D</v>
      </c>
      <c r="I1342" s="249">
        <f t="shared" si="75"/>
        <v>1</v>
      </c>
      <c r="J1342" s="143">
        <v>12000</v>
      </c>
      <c r="K1342" s="249" t="str">
        <f t="shared" si="80"/>
        <v>PT</v>
      </c>
      <c r="M1342" s="249">
        <f t="shared" si="76"/>
        <v>7</v>
      </c>
      <c r="N1342" s="249">
        <f t="shared" si="77"/>
        <v>6</v>
      </c>
      <c r="Z1342" s="130">
        <v>0.5</v>
      </c>
      <c r="AA1342" s="249">
        <v>7</v>
      </c>
      <c r="AB1342" s="250">
        <v>24000</v>
      </c>
      <c r="AC1342" s="250">
        <v>140000</v>
      </c>
      <c r="AD1342" s="250">
        <v>24000</v>
      </c>
      <c r="AE1342" s="250">
        <v>120000</v>
      </c>
      <c r="AF1342" s="250" t="s">
        <v>352</v>
      </c>
    </row>
    <row r="1343" spans="2:32" x14ac:dyDescent="0.25">
      <c r="B1343" s="61" t="s">
        <v>2259</v>
      </c>
      <c r="C1343" s="249" t="str">
        <f t="shared" si="78"/>
        <v>T3</v>
      </c>
      <c r="D1343" s="14">
        <v>2007</v>
      </c>
      <c r="E1343" s="13">
        <v>612828</v>
      </c>
      <c r="F1343" s="249">
        <v>2.2999999999999998</v>
      </c>
      <c r="G1343" s="249">
        <v>2.7</v>
      </c>
      <c r="H1343" s="249" t="str">
        <f t="shared" si="79"/>
        <v>D</v>
      </c>
      <c r="I1343" s="249">
        <f t="shared" si="75"/>
        <v>1</v>
      </c>
      <c r="J1343" s="143">
        <v>10000</v>
      </c>
      <c r="K1343" s="249" t="str">
        <f t="shared" si="80"/>
        <v>HC</v>
      </c>
      <c r="M1343" s="249">
        <f t="shared" si="76"/>
        <v>8</v>
      </c>
      <c r="N1343" s="249">
        <f t="shared" si="77"/>
        <v>7</v>
      </c>
      <c r="Z1343" s="130">
        <v>0.5</v>
      </c>
      <c r="AA1343" s="249">
        <v>3</v>
      </c>
      <c r="AB1343" s="250">
        <v>20000</v>
      </c>
      <c r="AC1343" s="250">
        <v>120000</v>
      </c>
      <c r="AD1343" s="250">
        <v>30000</v>
      </c>
      <c r="AE1343" s="250">
        <v>120000</v>
      </c>
      <c r="AF1343" s="250" t="s">
        <v>352</v>
      </c>
    </row>
    <row r="1344" spans="2:32" x14ac:dyDescent="0.25">
      <c r="B1344" s="61" t="s">
        <v>2260</v>
      </c>
      <c r="C1344" s="249" t="str">
        <f t="shared" si="78"/>
        <v>T3</v>
      </c>
      <c r="D1344" s="14">
        <v>2009</v>
      </c>
      <c r="E1344" s="13">
        <v>375213</v>
      </c>
      <c r="F1344" s="249">
        <v>2.5</v>
      </c>
      <c r="G1344" s="249">
        <v>2.7</v>
      </c>
      <c r="H1344" s="249" t="str">
        <f t="shared" si="79"/>
        <v>D</v>
      </c>
      <c r="I1344" s="249">
        <f t="shared" si="75"/>
        <v>1</v>
      </c>
      <c r="J1344" s="143">
        <v>10000</v>
      </c>
      <c r="K1344" s="249" t="str">
        <f t="shared" si="80"/>
        <v>PT</v>
      </c>
      <c r="M1344" s="249">
        <f t="shared" si="76"/>
        <v>6</v>
      </c>
      <c r="N1344" s="249">
        <f t="shared" si="77"/>
        <v>5</v>
      </c>
      <c r="Z1344" s="130">
        <v>0.5</v>
      </c>
      <c r="AA1344" s="249">
        <v>7</v>
      </c>
      <c r="AB1344" s="250">
        <v>20000</v>
      </c>
      <c r="AC1344" s="250" t="s">
        <v>352</v>
      </c>
      <c r="AD1344" s="250">
        <v>20000</v>
      </c>
      <c r="AE1344" s="250">
        <v>120000</v>
      </c>
      <c r="AF1344" s="250" t="s">
        <v>352</v>
      </c>
    </row>
    <row r="1345" spans="2:32" x14ac:dyDescent="0.25">
      <c r="B1345" s="61" t="s">
        <v>2261</v>
      </c>
      <c r="C1345" s="249" t="str">
        <f t="shared" si="78"/>
        <v>T3</v>
      </c>
      <c r="D1345" s="14">
        <v>2005</v>
      </c>
      <c r="E1345" s="13">
        <v>654812</v>
      </c>
      <c r="F1345" s="249">
        <v>2.5</v>
      </c>
      <c r="G1345" s="249">
        <v>2.8</v>
      </c>
      <c r="H1345" s="249" t="str">
        <f t="shared" si="79"/>
        <v>D</v>
      </c>
      <c r="I1345" s="249">
        <f t="shared" si="75"/>
        <v>1</v>
      </c>
      <c r="J1345" s="143">
        <v>8000</v>
      </c>
      <c r="K1345" s="249" t="str">
        <f t="shared" si="80"/>
        <v>HC</v>
      </c>
      <c r="M1345" s="249">
        <f t="shared" si="76"/>
        <v>10</v>
      </c>
      <c r="N1345" s="249">
        <f t="shared" si="77"/>
        <v>9</v>
      </c>
      <c r="Z1345" s="130">
        <v>0.1</v>
      </c>
      <c r="AA1345" s="249">
        <v>3</v>
      </c>
      <c r="AB1345" s="250">
        <v>18000</v>
      </c>
      <c r="AC1345" s="250">
        <v>180000</v>
      </c>
      <c r="AD1345" s="250">
        <v>30000</v>
      </c>
      <c r="AE1345" s="250">
        <v>120000</v>
      </c>
      <c r="AF1345" s="250" t="s">
        <v>352</v>
      </c>
    </row>
    <row r="1346" spans="2:32" x14ac:dyDescent="0.25">
      <c r="B1346" s="61" t="s">
        <v>2262</v>
      </c>
      <c r="C1346" s="249" t="str">
        <f t="shared" si="78"/>
        <v>T3</v>
      </c>
      <c r="D1346" s="14">
        <v>2004</v>
      </c>
      <c r="E1346" s="13">
        <v>768496</v>
      </c>
      <c r="F1346" s="249">
        <v>2.5</v>
      </c>
      <c r="G1346" s="249">
        <v>2.8</v>
      </c>
      <c r="H1346" s="249" t="str">
        <f t="shared" si="79"/>
        <v>D</v>
      </c>
      <c r="I1346" s="249">
        <f t="shared" si="75"/>
        <v>1</v>
      </c>
      <c r="J1346" s="143">
        <v>6000</v>
      </c>
      <c r="K1346" s="249" t="str">
        <f t="shared" si="80"/>
        <v>HC</v>
      </c>
      <c r="M1346" s="249">
        <f t="shared" si="76"/>
        <v>11</v>
      </c>
      <c r="N1346" s="249">
        <f t="shared" si="77"/>
        <v>10</v>
      </c>
      <c r="Z1346" s="130">
        <v>0.5</v>
      </c>
      <c r="AA1346" s="249">
        <v>2</v>
      </c>
      <c r="AB1346" s="250">
        <v>18000</v>
      </c>
      <c r="AC1346" s="250">
        <v>200000</v>
      </c>
      <c r="AD1346" s="250">
        <v>24000</v>
      </c>
      <c r="AE1346" s="250">
        <v>140000</v>
      </c>
      <c r="AF1346" s="250" t="s">
        <v>352</v>
      </c>
    </row>
    <row r="1347" spans="2:32" x14ac:dyDescent="0.25">
      <c r="B1347" s="61" t="s">
        <v>2263</v>
      </c>
      <c r="C1347" s="249" t="str">
        <f t="shared" si="78"/>
        <v>T3</v>
      </c>
      <c r="D1347" s="14">
        <v>2005</v>
      </c>
      <c r="E1347" s="13">
        <v>823661</v>
      </c>
      <c r="F1347" s="249">
        <v>2.5</v>
      </c>
      <c r="G1347" s="249">
        <v>2.9</v>
      </c>
      <c r="H1347" s="249" t="str">
        <f t="shared" si="79"/>
        <v>D</v>
      </c>
      <c r="I1347" s="249">
        <f t="shared" si="75"/>
        <v>1</v>
      </c>
      <c r="J1347" s="143">
        <v>8000</v>
      </c>
      <c r="K1347" s="249" t="str">
        <f t="shared" si="80"/>
        <v>HC</v>
      </c>
      <c r="M1347" s="249">
        <f t="shared" si="76"/>
        <v>10</v>
      </c>
      <c r="N1347" s="249">
        <f t="shared" si="77"/>
        <v>9</v>
      </c>
      <c r="Z1347" s="130">
        <v>0.3</v>
      </c>
      <c r="AA1347" s="249">
        <v>1</v>
      </c>
      <c r="AB1347" s="250">
        <v>20000</v>
      </c>
      <c r="AC1347" s="250">
        <v>100000</v>
      </c>
      <c r="AD1347" s="250">
        <v>25000</v>
      </c>
      <c r="AE1347" s="250">
        <v>100000</v>
      </c>
      <c r="AF1347" s="250" t="s">
        <v>352</v>
      </c>
    </row>
    <row r="1348" spans="2:32" x14ac:dyDescent="0.25">
      <c r="B1348" s="61" t="s">
        <v>2264</v>
      </c>
      <c r="C1348" s="249" t="str">
        <f t="shared" si="78"/>
        <v>T3</v>
      </c>
      <c r="D1348" s="14">
        <v>2004</v>
      </c>
      <c r="E1348" s="13">
        <v>724392</v>
      </c>
      <c r="F1348" s="249">
        <v>2.5</v>
      </c>
      <c r="G1348" s="249">
        <v>2.9</v>
      </c>
      <c r="H1348" s="249" t="str">
        <f t="shared" si="79"/>
        <v>D</v>
      </c>
      <c r="I1348" s="249">
        <f t="shared" si="75"/>
        <v>1</v>
      </c>
      <c r="J1348" s="143">
        <v>8000</v>
      </c>
      <c r="K1348" s="249" t="str">
        <f t="shared" si="80"/>
        <v>HC</v>
      </c>
      <c r="M1348" s="249">
        <f t="shared" si="76"/>
        <v>11</v>
      </c>
      <c r="N1348" s="249">
        <f t="shared" si="77"/>
        <v>10</v>
      </c>
      <c r="Z1348" s="130">
        <v>0.25</v>
      </c>
      <c r="AA1348" s="249">
        <v>1</v>
      </c>
      <c r="AB1348" s="250">
        <v>18000</v>
      </c>
      <c r="AC1348" s="250">
        <v>120000</v>
      </c>
      <c r="AD1348" s="250">
        <v>36000</v>
      </c>
      <c r="AE1348" s="250">
        <v>120000</v>
      </c>
      <c r="AF1348" s="250" t="s">
        <v>352</v>
      </c>
    </row>
    <row r="1349" spans="2:32" x14ac:dyDescent="0.25">
      <c r="B1349" s="61" t="s">
        <v>2265</v>
      </c>
      <c r="C1349" s="249" t="str">
        <f t="shared" si="78"/>
        <v>T3</v>
      </c>
      <c r="D1349" s="14">
        <v>2008</v>
      </c>
      <c r="E1349" s="13">
        <v>452820</v>
      </c>
      <c r="F1349" s="249">
        <v>1.4</v>
      </c>
      <c r="G1349" s="249">
        <v>1.7</v>
      </c>
      <c r="H1349" s="249" t="str">
        <f t="shared" si="79"/>
        <v>D</v>
      </c>
      <c r="I1349" s="249">
        <f t="shared" si="75"/>
        <v>1</v>
      </c>
      <c r="J1349" s="143">
        <v>6000</v>
      </c>
      <c r="K1349" s="249" t="str">
        <f t="shared" si="80"/>
        <v>PT</v>
      </c>
      <c r="M1349" s="249">
        <f t="shared" si="76"/>
        <v>7</v>
      </c>
      <c r="N1349" s="249">
        <f t="shared" si="77"/>
        <v>6</v>
      </c>
      <c r="Z1349" s="130">
        <v>0.5</v>
      </c>
      <c r="AA1349" s="249">
        <v>7</v>
      </c>
      <c r="AB1349" s="250">
        <v>18000</v>
      </c>
      <c r="AC1349" s="250">
        <v>140000</v>
      </c>
      <c r="AD1349" s="250">
        <v>18000</v>
      </c>
      <c r="AE1349" s="250">
        <v>140000</v>
      </c>
      <c r="AF1349" s="250" t="s">
        <v>352</v>
      </c>
    </row>
    <row r="1350" spans="2:32" x14ac:dyDescent="0.25">
      <c r="B1350" s="61" t="s">
        <v>2266</v>
      </c>
      <c r="C1350" s="249" t="str">
        <f t="shared" si="78"/>
        <v>T3</v>
      </c>
      <c r="D1350" s="14">
        <v>2008</v>
      </c>
      <c r="E1350" s="13">
        <v>388700</v>
      </c>
      <c r="F1350" s="249">
        <v>2.5</v>
      </c>
      <c r="G1350" s="249">
        <v>2.9</v>
      </c>
      <c r="H1350" s="249" t="str">
        <f t="shared" si="79"/>
        <v>D</v>
      </c>
      <c r="I1350" s="249">
        <f t="shared" ref="I1350:I1413" si="81">IF(F1350&gt;G1350,0,1)</f>
        <v>1</v>
      </c>
      <c r="J1350" s="143">
        <v>8000</v>
      </c>
      <c r="K1350" s="249" t="str">
        <f t="shared" si="80"/>
        <v>HC</v>
      </c>
      <c r="M1350" s="249">
        <f t="shared" ref="M1350:M1413" si="82">2015-D1350</f>
        <v>7</v>
      </c>
      <c r="N1350" s="249">
        <f t="shared" ref="N1350:N1413" si="83">2014-$D1350</f>
        <v>6</v>
      </c>
      <c r="Z1350" s="130">
        <v>0.5</v>
      </c>
      <c r="AA1350" s="249">
        <v>3</v>
      </c>
      <c r="AB1350" s="250">
        <v>16000</v>
      </c>
      <c r="AC1350" s="250">
        <v>180000</v>
      </c>
      <c r="AD1350" s="250">
        <v>24000</v>
      </c>
      <c r="AE1350" s="250">
        <v>120000</v>
      </c>
      <c r="AF1350" s="250" t="s">
        <v>352</v>
      </c>
    </row>
    <row r="1351" spans="2:32" x14ac:dyDescent="0.25">
      <c r="B1351" s="61" t="s">
        <v>2267</v>
      </c>
      <c r="C1351" s="249" t="str">
        <f t="shared" si="78"/>
        <v>T3</v>
      </c>
      <c r="D1351" s="14">
        <v>2006</v>
      </c>
      <c r="E1351" s="13">
        <v>883708</v>
      </c>
      <c r="F1351" s="249">
        <v>1.4</v>
      </c>
      <c r="G1351" s="249">
        <v>1.7</v>
      </c>
      <c r="H1351" s="249" t="str">
        <f t="shared" si="79"/>
        <v>D</v>
      </c>
      <c r="I1351" s="249">
        <f t="shared" si="81"/>
        <v>1</v>
      </c>
      <c r="J1351" s="143">
        <v>12000</v>
      </c>
      <c r="K1351" s="249" t="str">
        <f t="shared" si="80"/>
        <v>HC</v>
      </c>
      <c r="M1351" s="249">
        <f t="shared" si="82"/>
        <v>9</v>
      </c>
      <c r="N1351" s="249">
        <f t="shared" si="83"/>
        <v>8</v>
      </c>
      <c r="Z1351" s="130">
        <v>0.25</v>
      </c>
      <c r="AA1351" s="249">
        <v>3</v>
      </c>
      <c r="AB1351" s="250">
        <v>24000</v>
      </c>
      <c r="AC1351" s="250">
        <v>100000</v>
      </c>
      <c r="AD1351" s="250">
        <v>24000</v>
      </c>
      <c r="AE1351" s="250">
        <v>100000</v>
      </c>
      <c r="AF1351" s="250" t="s">
        <v>352</v>
      </c>
    </row>
    <row r="1352" spans="2:32" x14ac:dyDescent="0.25">
      <c r="B1352" s="61" t="s">
        <v>2268</v>
      </c>
      <c r="C1352" s="249" t="str">
        <f t="shared" si="78"/>
        <v>T3</v>
      </c>
      <c r="D1352" s="14">
        <v>2007</v>
      </c>
      <c r="E1352" s="13">
        <v>815023</v>
      </c>
      <c r="F1352" s="249">
        <v>2.5</v>
      </c>
      <c r="G1352" s="249">
        <v>2.7</v>
      </c>
      <c r="H1352" s="249" t="str">
        <f t="shared" si="79"/>
        <v>D</v>
      </c>
      <c r="I1352" s="249">
        <f t="shared" si="81"/>
        <v>1</v>
      </c>
      <c r="J1352" s="143">
        <v>9000</v>
      </c>
      <c r="K1352" s="249" t="str">
        <f t="shared" si="80"/>
        <v>PT</v>
      </c>
      <c r="M1352" s="249">
        <f t="shared" si="82"/>
        <v>8</v>
      </c>
      <c r="N1352" s="249">
        <f t="shared" si="83"/>
        <v>7</v>
      </c>
      <c r="Z1352" s="130">
        <v>0</v>
      </c>
      <c r="AA1352" s="249">
        <v>7</v>
      </c>
      <c r="AB1352" s="250">
        <v>18000</v>
      </c>
      <c r="AC1352" s="250">
        <v>200000</v>
      </c>
      <c r="AD1352" s="250">
        <v>36000</v>
      </c>
      <c r="AE1352" s="250">
        <v>110000</v>
      </c>
      <c r="AF1352" s="250" t="s">
        <v>352</v>
      </c>
    </row>
    <row r="1353" spans="2:32" x14ac:dyDescent="0.25">
      <c r="B1353" s="61" t="s">
        <v>2269</v>
      </c>
      <c r="C1353" s="249" t="str">
        <f t="shared" si="78"/>
        <v>C2</v>
      </c>
      <c r="D1353" s="14">
        <v>2009</v>
      </c>
      <c r="E1353" s="13">
        <v>289105</v>
      </c>
      <c r="F1353" s="249">
        <v>4.0999999999999996</v>
      </c>
      <c r="G1353" s="249">
        <v>4.5999999999999996</v>
      </c>
      <c r="H1353" s="249" t="str">
        <f t="shared" si="79"/>
        <v>D</v>
      </c>
      <c r="I1353" s="249">
        <f t="shared" si="81"/>
        <v>1</v>
      </c>
      <c r="J1353" s="143">
        <v>5000</v>
      </c>
      <c r="K1353" s="249" t="str">
        <f t="shared" si="80"/>
        <v>HC</v>
      </c>
      <c r="M1353" s="249">
        <f t="shared" si="82"/>
        <v>6</v>
      </c>
      <c r="N1353" s="249">
        <f t="shared" si="83"/>
        <v>5</v>
      </c>
      <c r="Z1353" s="130">
        <v>0</v>
      </c>
      <c r="AA1353" s="249">
        <v>3</v>
      </c>
      <c r="AB1353" s="250">
        <v>20000</v>
      </c>
      <c r="AC1353" s="250">
        <v>120000</v>
      </c>
      <c r="AD1353" s="250">
        <v>20000</v>
      </c>
      <c r="AE1353" s="250">
        <v>120000</v>
      </c>
      <c r="AF1353" s="250" t="s">
        <v>352</v>
      </c>
    </row>
    <row r="1354" spans="2:32" x14ac:dyDescent="0.25">
      <c r="B1354" s="61" t="s">
        <v>2270</v>
      </c>
      <c r="C1354" s="249" t="str">
        <f t="shared" si="78"/>
        <v>T3</v>
      </c>
      <c r="D1354" s="14">
        <v>2002</v>
      </c>
      <c r="E1354" s="13">
        <v>678502</v>
      </c>
      <c r="F1354" s="249">
        <v>2.1</v>
      </c>
      <c r="G1354" s="249">
        <v>2.6</v>
      </c>
      <c r="H1354" s="249" t="str">
        <f t="shared" si="79"/>
        <v>D</v>
      </c>
      <c r="I1354" s="249">
        <f t="shared" si="81"/>
        <v>1</v>
      </c>
      <c r="J1354" s="143">
        <v>5500</v>
      </c>
      <c r="K1354" s="249" t="str">
        <f t="shared" si="80"/>
        <v>HC</v>
      </c>
      <c r="M1354" s="249">
        <f t="shared" si="82"/>
        <v>13</v>
      </c>
      <c r="N1354" s="249">
        <f t="shared" si="83"/>
        <v>12</v>
      </c>
      <c r="Z1354" s="130">
        <v>0.5</v>
      </c>
      <c r="AA1354" s="249">
        <v>3</v>
      </c>
      <c r="AB1354" s="250">
        <v>25000</v>
      </c>
      <c r="AC1354" s="250">
        <v>100000</v>
      </c>
      <c r="AD1354" s="250">
        <v>25000</v>
      </c>
      <c r="AE1354" s="250">
        <v>100000</v>
      </c>
      <c r="AF1354" s="250" t="s">
        <v>352</v>
      </c>
    </row>
    <row r="1355" spans="2:32" x14ac:dyDescent="0.25">
      <c r="B1355" s="61" t="s">
        <v>2271</v>
      </c>
      <c r="C1355" s="249" t="str">
        <f t="shared" si="78"/>
        <v>T3</v>
      </c>
      <c r="D1355" s="14">
        <v>1998</v>
      </c>
      <c r="E1355" s="13" t="s">
        <v>908</v>
      </c>
      <c r="F1355" s="249">
        <v>2.1</v>
      </c>
      <c r="G1355" s="249">
        <v>2.6</v>
      </c>
      <c r="H1355" s="249" t="str">
        <f t="shared" si="79"/>
        <v>D</v>
      </c>
      <c r="I1355" s="249">
        <f t="shared" si="81"/>
        <v>1</v>
      </c>
      <c r="J1355" s="143">
        <v>4000</v>
      </c>
      <c r="K1355" s="249" t="str">
        <f t="shared" si="80"/>
        <v>HC</v>
      </c>
      <c r="M1355" s="249">
        <f t="shared" si="82"/>
        <v>17</v>
      </c>
      <c r="N1355" s="249">
        <f t="shared" si="83"/>
        <v>16</v>
      </c>
      <c r="Z1355" s="130">
        <v>0.5</v>
      </c>
      <c r="AA1355" s="249">
        <v>1</v>
      </c>
      <c r="AB1355" s="250">
        <v>20000</v>
      </c>
      <c r="AC1355" s="250">
        <v>100000</v>
      </c>
      <c r="AD1355" s="250">
        <v>20000</v>
      </c>
      <c r="AE1355" s="250">
        <v>100000</v>
      </c>
      <c r="AF1355" s="250" t="s">
        <v>2464</v>
      </c>
    </row>
    <row r="1356" spans="2:32" x14ac:dyDescent="0.25">
      <c r="B1356" s="61" t="s">
        <v>2272</v>
      </c>
      <c r="C1356" s="249" t="str">
        <f t="shared" si="78"/>
        <v>C3</v>
      </c>
      <c r="D1356" s="14">
        <v>2001</v>
      </c>
      <c r="E1356" s="13">
        <v>1203677</v>
      </c>
      <c r="F1356" s="249">
        <v>3.4</v>
      </c>
      <c r="G1356" s="249">
        <v>3.9</v>
      </c>
      <c r="H1356" s="249" t="str">
        <f t="shared" si="79"/>
        <v>D</v>
      </c>
      <c r="I1356" s="249">
        <f t="shared" si="81"/>
        <v>1</v>
      </c>
      <c r="J1356" s="143">
        <v>6000</v>
      </c>
      <c r="K1356" s="249" t="str">
        <f t="shared" si="80"/>
        <v>HC</v>
      </c>
      <c r="M1356" s="249">
        <f t="shared" si="82"/>
        <v>14</v>
      </c>
      <c r="N1356" s="249">
        <f t="shared" si="83"/>
        <v>13</v>
      </c>
      <c r="Z1356" s="130">
        <v>0.05</v>
      </c>
      <c r="AA1356" s="249">
        <v>1</v>
      </c>
      <c r="AB1356" s="250">
        <v>24000</v>
      </c>
      <c r="AC1356" s="250">
        <v>150000</v>
      </c>
      <c r="AD1356" s="250">
        <v>24000</v>
      </c>
      <c r="AE1356" s="250">
        <v>150000</v>
      </c>
      <c r="AF1356" s="250" t="s">
        <v>352</v>
      </c>
    </row>
    <row r="1357" spans="2:32" x14ac:dyDescent="0.25">
      <c r="B1357" s="61" t="s">
        <v>2273</v>
      </c>
      <c r="C1357" s="249" t="str">
        <f t="shared" si="78"/>
        <v>T3</v>
      </c>
      <c r="D1357" s="14">
        <v>2004</v>
      </c>
      <c r="E1357" s="13">
        <v>910663</v>
      </c>
      <c r="F1357" s="249">
        <v>2.4</v>
      </c>
      <c r="G1357" s="249">
        <v>2.8</v>
      </c>
      <c r="H1357" s="249" t="str">
        <f t="shared" si="79"/>
        <v>D</v>
      </c>
      <c r="I1357" s="249">
        <f t="shared" si="81"/>
        <v>1</v>
      </c>
      <c r="J1357" s="143">
        <v>10000</v>
      </c>
      <c r="K1357" s="249" t="str">
        <f t="shared" si="80"/>
        <v>PT</v>
      </c>
      <c r="M1357" s="249">
        <f t="shared" si="82"/>
        <v>11</v>
      </c>
      <c r="N1357" s="249">
        <f t="shared" si="83"/>
        <v>10</v>
      </c>
      <c r="Z1357" s="130">
        <v>0.2</v>
      </c>
      <c r="AA1357" s="249">
        <v>7</v>
      </c>
      <c r="AB1357" s="250">
        <v>25000</v>
      </c>
      <c r="AC1357" s="250" t="s">
        <v>352</v>
      </c>
      <c r="AD1357" s="250">
        <v>25000</v>
      </c>
      <c r="AE1357" s="250">
        <v>120000</v>
      </c>
      <c r="AF1357" s="250" t="s">
        <v>352</v>
      </c>
    </row>
    <row r="1358" spans="2:32" x14ac:dyDescent="0.25">
      <c r="B1358" s="61" t="s">
        <v>2274</v>
      </c>
      <c r="C1358" s="249" t="str">
        <f t="shared" si="78"/>
        <v>C2</v>
      </c>
      <c r="D1358" s="14">
        <v>1995</v>
      </c>
      <c r="E1358" s="13" t="s">
        <v>908</v>
      </c>
      <c r="F1358" s="249">
        <v>5.2</v>
      </c>
      <c r="G1358" s="249">
        <v>5.8</v>
      </c>
      <c r="H1358" s="249" t="str">
        <f t="shared" si="79"/>
        <v>D</v>
      </c>
      <c r="I1358" s="249">
        <f t="shared" si="81"/>
        <v>1</v>
      </c>
      <c r="J1358" s="143">
        <v>3500</v>
      </c>
      <c r="K1358" s="249" t="str">
        <f t="shared" si="80"/>
        <v>HC</v>
      </c>
      <c r="M1358" s="249">
        <f t="shared" si="82"/>
        <v>20</v>
      </c>
      <c r="N1358" s="249">
        <f t="shared" si="83"/>
        <v>19</v>
      </c>
      <c r="Z1358" s="130">
        <v>0.5</v>
      </c>
      <c r="AA1358" s="249">
        <v>2</v>
      </c>
      <c r="AB1358" s="250">
        <v>28000</v>
      </c>
      <c r="AC1358" s="250" t="s">
        <v>352</v>
      </c>
      <c r="AD1358" s="250">
        <v>28000</v>
      </c>
      <c r="AE1358" s="250">
        <v>80000</v>
      </c>
      <c r="AF1358" s="250" t="s">
        <v>352</v>
      </c>
    </row>
    <row r="1359" spans="2:32" x14ac:dyDescent="0.25">
      <c r="B1359" s="61" t="s">
        <v>2275</v>
      </c>
      <c r="C1359" s="249" t="str">
        <f t="shared" si="78"/>
        <v>C3</v>
      </c>
      <c r="D1359" s="14">
        <v>1989</v>
      </c>
      <c r="E1359" s="13" t="s">
        <v>908</v>
      </c>
      <c r="F1359" s="249">
        <v>3.4</v>
      </c>
      <c r="G1359" s="249">
        <v>3.9</v>
      </c>
      <c r="H1359" s="249" t="str">
        <f t="shared" si="79"/>
        <v>D</v>
      </c>
      <c r="I1359" s="249">
        <f t="shared" si="81"/>
        <v>1</v>
      </c>
      <c r="J1359" s="143">
        <v>4000</v>
      </c>
      <c r="K1359" s="249" t="str">
        <f t="shared" si="80"/>
        <v>HC</v>
      </c>
      <c r="M1359" s="249">
        <f t="shared" si="82"/>
        <v>26</v>
      </c>
      <c r="N1359" s="249">
        <f t="shared" si="83"/>
        <v>25</v>
      </c>
      <c r="Z1359" s="130">
        <v>0.5</v>
      </c>
      <c r="AA1359" s="249">
        <v>1</v>
      </c>
      <c r="AB1359" s="250">
        <v>30000</v>
      </c>
      <c r="AC1359" s="250">
        <v>120000</v>
      </c>
      <c r="AD1359" s="250">
        <v>30000</v>
      </c>
      <c r="AE1359" s="250">
        <v>120000</v>
      </c>
      <c r="AF1359" s="250" t="s">
        <v>2464</v>
      </c>
    </row>
    <row r="1360" spans="2:32" x14ac:dyDescent="0.25">
      <c r="B1360" s="61" t="s">
        <v>2276</v>
      </c>
      <c r="C1360" s="249" t="str">
        <f t="shared" si="78"/>
        <v>T3</v>
      </c>
      <c r="D1360" s="14">
        <v>2005</v>
      </c>
      <c r="E1360" s="13">
        <v>871056</v>
      </c>
      <c r="F1360" s="249">
        <v>2.1</v>
      </c>
      <c r="G1360" s="249">
        <v>2.6</v>
      </c>
      <c r="H1360" s="249" t="str">
        <f t="shared" si="79"/>
        <v>D</v>
      </c>
      <c r="I1360" s="249">
        <f t="shared" si="81"/>
        <v>1</v>
      </c>
      <c r="J1360" s="143">
        <v>8000</v>
      </c>
      <c r="K1360" s="249" t="str">
        <f t="shared" si="80"/>
        <v>HC</v>
      </c>
      <c r="M1360" s="249">
        <f t="shared" si="82"/>
        <v>10</v>
      </c>
      <c r="N1360" s="249">
        <f t="shared" si="83"/>
        <v>9</v>
      </c>
      <c r="Z1360" s="130">
        <v>0.1</v>
      </c>
      <c r="AA1360" s="249">
        <v>1</v>
      </c>
      <c r="AB1360" s="250">
        <v>24000</v>
      </c>
      <c r="AC1360" s="250" t="s">
        <v>352</v>
      </c>
      <c r="AD1360" s="250">
        <v>24000</v>
      </c>
      <c r="AE1360" s="250" t="s">
        <v>352</v>
      </c>
      <c r="AF1360" s="250" t="s">
        <v>352</v>
      </c>
    </row>
    <row r="1361" spans="2:32" x14ac:dyDescent="0.25">
      <c r="B1361" s="61" t="s">
        <v>2277</v>
      </c>
      <c r="C1361" s="249" t="str">
        <f t="shared" si="78"/>
        <v>T3</v>
      </c>
      <c r="D1361" s="14">
        <v>2002</v>
      </c>
      <c r="E1361" s="13">
        <v>883710</v>
      </c>
      <c r="F1361" s="249">
        <v>2.2999999999999998</v>
      </c>
      <c r="G1361" s="249">
        <v>2.8</v>
      </c>
      <c r="H1361" s="249" t="str">
        <f t="shared" si="79"/>
        <v>D</v>
      </c>
      <c r="I1361" s="249">
        <f t="shared" si="81"/>
        <v>1</v>
      </c>
      <c r="J1361" s="143">
        <v>7000</v>
      </c>
      <c r="K1361" s="249" t="str">
        <f t="shared" si="80"/>
        <v>HC</v>
      </c>
      <c r="M1361" s="249">
        <f t="shared" si="82"/>
        <v>13</v>
      </c>
      <c r="N1361" s="249">
        <f t="shared" si="83"/>
        <v>12</v>
      </c>
      <c r="Z1361" s="130">
        <v>0.1</v>
      </c>
      <c r="AA1361" s="249">
        <v>1</v>
      </c>
      <c r="AB1361" s="250">
        <v>24000</v>
      </c>
      <c r="AC1361" s="250">
        <v>160000</v>
      </c>
      <c r="AD1361" s="250">
        <v>24000</v>
      </c>
      <c r="AE1361" s="250">
        <v>160000</v>
      </c>
      <c r="AF1361" s="250" t="s">
        <v>352</v>
      </c>
    </row>
    <row r="1362" spans="2:32" x14ac:dyDescent="0.25">
      <c r="B1362" s="61" t="s">
        <v>2278</v>
      </c>
      <c r="C1362" s="249" t="str">
        <f t="shared" si="78"/>
        <v>T3</v>
      </c>
      <c r="D1362" s="14">
        <v>2000</v>
      </c>
      <c r="E1362" s="13" t="s">
        <v>908</v>
      </c>
      <c r="F1362" s="249">
        <v>2.4</v>
      </c>
      <c r="G1362" s="249">
        <v>2.6</v>
      </c>
      <c r="H1362" s="249" t="str">
        <f t="shared" si="79"/>
        <v>D</v>
      </c>
      <c r="I1362" s="249">
        <f t="shared" si="81"/>
        <v>1</v>
      </c>
      <c r="J1362" s="143">
        <v>6000</v>
      </c>
      <c r="K1362" s="249" t="str">
        <f t="shared" si="80"/>
        <v>HC</v>
      </c>
      <c r="M1362" s="249">
        <f t="shared" si="82"/>
        <v>15</v>
      </c>
      <c r="N1362" s="249">
        <f t="shared" si="83"/>
        <v>14</v>
      </c>
      <c r="Z1362" s="130">
        <v>0.05</v>
      </c>
      <c r="AA1362" s="249">
        <v>1</v>
      </c>
      <c r="AB1362" s="250">
        <v>15000</v>
      </c>
      <c r="AC1362" s="250">
        <v>180000</v>
      </c>
      <c r="AD1362" s="250">
        <v>30000</v>
      </c>
      <c r="AE1362" s="250">
        <v>100000</v>
      </c>
      <c r="AF1362" s="250" t="s">
        <v>352</v>
      </c>
    </row>
    <row r="1363" spans="2:32" x14ac:dyDescent="0.25">
      <c r="B1363" s="61" t="s">
        <v>2279</v>
      </c>
      <c r="C1363" s="249" t="str">
        <f t="shared" si="78"/>
        <v>T3</v>
      </c>
      <c r="D1363" s="14">
        <v>2004</v>
      </c>
      <c r="E1363" s="13">
        <v>651023</v>
      </c>
      <c r="F1363" s="249">
        <v>2.5</v>
      </c>
      <c r="G1363" s="249">
        <v>2.7</v>
      </c>
      <c r="H1363" s="249" t="str">
        <f t="shared" si="79"/>
        <v>D</v>
      </c>
      <c r="I1363" s="249">
        <f t="shared" si="81"/>
        <v>1</v>
      </c>
      <c r="J1363" s="143">
        <v>6000</v>
      </c>
      <c r="K1363" s="249" t="str">
        <f t="shared" si="80"/>
        <v>HC</v>
      </c>
      <c r="M1363" s="249">
        <f t="shared" si="82"/>
        <v>11</v>
      </c>
      <c r="N1363" s="249">
        <f t="shared" si="83"/>
        <v>10</v>
      </c>
      <c r="Z1363" s="130">
        <v>0.5</v>
      </c>
      <c r="AA1363" s="249">
        <v>3</v>
      </c>
      <c r="AB1363" s="250">
        <v>18000</v>
      </c>
      <c r="AC1363" s="250">
        <v>180000</v>
      </c>
      <c r="AD1363" s="250">
        <v>30000</v>
      </c>
      <c r="AE1363" s="250">
        <v>100000</v>
      </c>
      <c r="AF1363" s="250" t="s">
        <v>352</v>
      </c>
    </row>
    <row r="1364" spans="2:32" x14ac:dyDescent="0.25">
      <c r="B1364" s="61" t="s">
        <v>2280</v>
      </c>
      <c r="C1364" s="249" t="str">
        <f t="shared" si="78"/>
        <v>T3</v>
      </c>
      <c r="D1364" s="14">
        <v>2008</v>
      </c>
      <c r="E1364" s="13">
        <v>504673</v>
      </c>
      <c r="F1364" s="249">
        <v>2.2999999999999998</v>
      </c>
      <c r="G1364" s="249">
        <v>2.6</v>
      </c>
      <c r="H1364" s="249" t="str">
        <f t="shared" si="79"/>
        <v>D</v>
      </c>
      <c r="I1364" s="249">
        <f t="shared" si="81"/>
        <v>1</v>
      </c>
      <c r="J1364" s="143">
        <v>9000</v>
      </c>
      <c r="K1364" s="249" t="str">
        <f t="shared" si="80"/>
        <v>PT</v>
      </c>
      <c r="M1364" s="249">
        <f t="shared" si="82"/>
        <v>7</v>
      </c>
      <c r="N1364" s="249">
        <f t="shared" si="83"/>
        <v>6</v>
      </c>
      <c r="Z1364" s="130">
        <v>0.1</v>
      </c>
      <c r="AA1364" s="249">
        <v>7</v>
      </c>
      <c r="AB1364" s="250">
        <v>18000</v>
      </c>
      <c r="AC1364" s="250">
        <v>160000</v>
      </c>
      <c r="AD1364" s="250">
        <v>22000</v>
      </c>
      <c r="AE1364" s="250">
        <v>120000</v>
      </c>
      <c r="AF1364" s="250" t="s">
        <v>352</v>
      </c>
    </row>
    <row r="1365" spans="2:32" x14ac:dyDescent="0.25">
      <c r="B1365" s="61" t="s">
        <v>2281</v>
      </c>
      <c r="C1365" s="249" t="str">
        <f t="shared" si="78"/>
        <v>T3</v>
      </c>
      <c r="D1365" s="14">
        <v>2003</v>
      </c>
      <c r="E1365" s="13">
        <v>761002</v>
      </c>
      <c r="F1365" s="249">
        <v>2.4</v>
      </c>
      <c r="G1365" s="249">
        <v>2.8</v>
      </c>
      <c r="H1365" s="249" t="str">
        <f t="shared" si="79"/>
        <v>D</v>
      </c>
      <c r="I1365" s="249">
        <f t="shared" si="81"/>
        <v>1</v>
      </c>
      <c r="J1365" s="143">
        <v>6000</v>
      </c>
      <c r="K1365" s="249" t="str">
        <f t="shared" si="80"/>
        <v>HC</v>
      </c>
      <c r="M1365" s="249">
        <f t="shared" si="82"/>
        <v>12</v>
      </c>
      <c r="N1365" s="249">
        <f t="shared" si="83"/>
        <v>11</v>
      </c>
      <c r="Z1365" s="130">
        <v>0.2</v>
      </c>
      <c r="AA1365" s="249">
        <v>1</v>
      </c>
      <c r="AB1365" s="250">
        <v>25000</v>
      </c>
      <c r="AC1365" s="250">
        <v>250000</v>
      </c>
      <c r="AD1365" s="250">
        <v>25000</v>
      </c>
      <c r="AE1365" s="250">
        <v>180000</v>
      </c>
      <c r="AF1365" s="250" t="s">
        <v>352</v>
      </c>
    </row>
    <row r="1366" spans="2:32" x14ac:dyDescent="0.25">
      <c r="B1366" s="61" t="s">
        <v>2282</v>
      </c>
      <c r="C1366" s="249" t="str">
        <f t="shared" si="78"/>
        <v>C3</v>
      </c>
      <c r="D1366" s="14">
        <v>1995</v>
      </c>
      <c r="E1366" s="13" t="s">
        <v>908</v>
      </c>
      <c r="F1366" s="249">
        <v>3.1</v>
      </c>
      <c r="G1366" s="249">
        <v>3.8</v>
      </c>
      <c r="H1366" s="249" t="str">
        <f t="shared" si="79"/>
        <v>D</v>
      </c>
      <c r="I1366" s="249">
        <f t="shared" si="81"/>
        <v>1</v>
      </c>
      <c r="J1366" s="143">
        <v>7000</v>
      </c>
      <c r="K1366" s="249" t="str">
        <f t="shared" si="80"/>
        <v>HC</v>
      </c>
      <c r="M1366" s="249">
        <f t="shared" si="82"/>
        <v>20</v>
      </c>
      <c r="N1366" s="249">
        <f t="shared" si="83"/>
        <v>19</v>
      </c>
      <c r="Z1366" s="130">
        <v>0.5</v>
      </c>
      <c r="AA1366" s="249">
        <v>1</v>
      </c>
      <c r="AB1366" s="250">
        <v>25000</v>
      </c>
      <c r="AC1366" s="250" t="s">
        <v>2464</v>
      </c>
      <c r="AD1366" s="250">
        <v>25000</v>
      </c>
      <c r="AE1366" s="250">
        <v>130000</v>
      </c>
      <c r="AF1366" s="250" t="s">
        <v>2464</v>
      </c>
    </row>
    <row r="1367" spans="2:32" x14ac:dyDescent="0.25">
      <c r="B1367" s="61" t="s">
        <v>2283</v>
      </c>
      <c r="C1367" s="249" t="str">
        <f t="shared" si="78"/>
        <v>C3</v>
      </c>
      <c r="D1367" s="14">
        <v>1990</v>
      </c>
      <c r="E1367" s="13">
        <v>910755</v>
      </c>
      <c r="F1367" s="249">
        <v>3.2</v>
      </c>
      <c r="G1367" s="249">
        <v>4</v>
      </c>
      <c r="H1367" s="249" t="str">
        <f t="shared" si="79"/>
        <v>D</v>
      </c>
      <c r="I1367" s="249">
        <f t="shared" si="81"/>
        <v>1</v>
      </c>
      <c r="J1367" s="143">
        <v>5000</v>
      </c>
      <c r="K1367" s="249" t="str">
        <f t="shared" si="80"/>
        <v>HC</v>
      </c>
      <c r="M1367" s="249">
        <f t="shared" si="82"/>
        <v>25</v>
      </c>
      <c r="N1367" s="249">
        <f t="shared" si="83"/>
        <v>24</v>
      </c>
      <c r="Z1367" s="130">
        <v>0.1</v>
      </c>
      <c r="AA1367" s="249">
        <v>3</v>
      </c>
      <c r="AB1367" s="250">
        <v>20000</v>
      </c>
      <c r="AC1367" s="250">
        <v>100000</v>
      </c>
      <c r="AD1367" s="250">
        <v>30000</v>
      </c>
      <c r="AE1367" s="250">
        <v>100000</v>
      </c>
      <c r="AF1367" s="250" t="s">
        <v>352</v>
      </c>
    </row>
    <row r="1368" spans="2:32" x14ac:dyDescent="0.25">
      <c r="B1368" s="61" t="s">
        <v>2284</v>
      </c>
      <c r="C1368" s="249" t="str">
        <f t="shared" si="78"/>
        <v>T3</v>
      </c>
      <c r="D1368" s="14">
        <v>2007</v>
      </c>
      <c r="E1368" s="13">
        <v>623700</v>
      </c>
      <c r="F1368" s="249">
        <v>2.5</v>
      </c>
      <c r="G1368" s="249">
        <v>2.7</v>
      </c>
      <c r="H1368" s="249" t="str">
        <f t="shared" si="79"/>
        <v>D</v>
      </c>
      <c r="I1368" s="249">
        <f t="shared" si="81"/>
        <v>1</v>
      </c>
      <c r="J1368" s="143">
        <v>12000</v>
      </c>
      <c r="K1368" s="249" t="str">
        <f t="shared" si="80"/>
        <v>PT</v>
      </c>
      <c r="M1368" s="249">
        <f t="shared" si="82"/>
        <v>8</v>
      </c>
      <c r="N1368" s="249">
        <f t="shared" si="83"/>
        <v>7</v>
      </c>
      <c r="Z1368" s="130">
        <v>0</v>
      </c>
      <c r="AA1368" s="249">
        <v>7</v>
      </c>
      <c r="AB1368" s="250">
        <v>18000</v>
      </c>
      <c r="AC1368" s="250">
        <v>120000</v>
      </c>
      <c r="AD1368" s="250">
        <v>22000</v>
      </c>
      <c r="AE1368" s="250">
        <v>120000</v>
      </c>
      <c r="AF1368" s="250" t="s">
        <v>352</v>
      </c>
    </row>
    <row r="1369" spans="2:32" x14ac:dyDescent="0.25">
      <c r="B1369" s="61" t="s">
        <v>2285</v>
      </c>
      <c r="C1369" s="249" t="str">
        <f t="shared" ref="C1369:C1432" si="84">IF(E1825="X","C2",IF(F1825="X","C3",IF(G1825="X","T2",IF(H1825="X","T3",0))))</f>
        <v>T3</v>
      </c>
      <c r="D1369" s="14">
        <v>2006</v>
      </c>
      <c r="E1369" s="13">
        <v>731855</v>
      </c>
      <c r="F1369" s="249">
        <v>2.5</v>
      </c>
      <c r="G1369" s="249">
        <v>2.7</v>
      </c>
      <c r="H1369" s="249" t="str">
        <f t="shared" ref="H1369:H1432" si="85">IF(B1825="X","G",IF(C1825="X","GAS",IF(D1825="X","D",0)))</f>
        <v>D</v>
      </c>
      <c r="I1369" s="249">
        <f t="shared" si="81"/>
        <v>1</v>
      </c>
      <c r="J1369" s="143">
        <v>8333</v>
      </c>
      <c r="K1369" s="249" t="str">
        <f t="shared" ref="K1369:K1432" si="86">IF(L1825="X","PT","HC")</f>
        <v>HC</v>
      </c>
      <c r="M1369" s="249">
        <f t="shared" si="82"/>
        <v>9</v>
      </c>
      <c r="N1369" s="249">
        <f t="shared" si="83"/>
        <v>8</v>
      </c>
      <c r="Z1369" s="130">
        <v>0.5</v>
      </c>
      <c r="AA1369" s="249">
        <v>3</v>
      </c>
      <c r="AB1369" s="250">
        <v>20000</v>
      </c>
      <c r="AC1369" s="250">
        <v>100000</v>
      </c>
      <c r="AD1369" s="250">
        <v>20000</v>
      </c>
      <c r="AE1369" s="250">
        <v>100000</v>
      </c>
      <c r="AF1369" s="250" t="s">
        <v>352</v>
      </c>
    </row>
    <row r="1370" spans="2:32" x14ac:dyDescent="0.25">
      <c r="B1370" s="61" t="s">
        <v>2286</v>
      </c>
      <c r="C1370" s="249" t="str">
        <f t="shared" si="84"/>
        <v>T3</v>
      </c>
      <c r="D1370" s="14">
        <v>2007</v>
      </c>
      <c r="E1370" s="13">
        <v>543201</v>
      </c>
      <c r="F1370" s="249">
        <v>2.4</v>
      </c>
      <c r="G1370" s="249">
        <v>2.7</v>
      </c>
      <c r="H1370" s="249" t="str">
        <f t="shared" si="85"/>
        <v>D</v>
      </c>
      <c r="I1370" s="249">
        <f t="shared" si="81"/>
        <v>1</v>
      </c>
      <c r="J1370" s="143">
        <v>7000</v>
      </c>
      <c r="K1370" s="249" t="str">
        <f t="shared" si="86"/>
        <v>PT</v>
      </c>
      <c r="M1370" s="249">
        <f t="shared" si="82"/>
        <v>8</v>
      </c>
      <c r="N1370" s="249">
        <f t="shared" si="83"/>
        <v>7</v>
      </c>
      <c r="Z1370" s="130">
        <v>0.5</v>
      </c>
      <c r="AA1370" s="249">
        <v>7</v>
      </c>
      <c r="AB1370" s="250">
        <v>18000</v>
      </c>
      <c r="AC1370" s="250">
        <v>120000</v>
      </c>
      <c r="AD1370" s="250">
        <v>20000</v>
      </c>
      <c r="AE1370" s="250">
        <v>120000</v>
      </c>
      <c r="AF1370" s="250" t="s">
        <v>352</v>
      </c>
    </row>
    <row r="1371" spans="2:32" x14ac:dyDescent="0.25">
      <c r="B1371" s="61" t="s">
        <v>2287</v>
      </c>
      <c r="C1371" s="249" t="str">
        <f t="shared" si="84"/>
        <v>T3</v>
      </c>
      <c r="D1371" s="14">
        <v>2005</v>
      </c>
      <c r="E1371" s="13">
        <v>771802</v>
      </c>
      <c r="F1371" s="249">
        <v>2.2999999999999998</v>
      </c>
      <c r="G1371" s="249">
        <v>2.7</v>
      </c>
      <c r="H1371" s="249" t="str">
        <f t="shared" si="85"/>
        <v>D</v>
      </c>
      <c r="I1371" s="249">
        <f t="shared" si="81"/>
        <v>1</v>
      </c>
      <c r="J1371" s="143">
        <v>9000</v>
      </c>
      <c r="K1371" s="249" t="str">
        <f t="shared" si="86"/>
        <v>HC</v>
      </c>
      <c r="M1371" s="249">
        <f t="shared" si="82"/>
        <v>10</v>
      </c>
      <c r="N1371" s="249">
        <f t="shared" si="83"/>
        <v>9</v>
      </c>
      <c r="Z1371" s="130">
        <v>0.5</v>
      </c>
      <c r="AA1371" s="249">
        <v>2</v>
      </c>
      <c r="AB1371" s="250">
        <v>18000</v>
      </c>
      <c r="AC1371" s="250">
        <v>150000</v>
      </c>
      <c r="AD1371" s="250">
        <v>24000</v>
      </c>
      <c r="AE1371" s="250">
        <v>100000</v>
      </c>
      <c r="AF1371" s="250" t="s">
        <v>352</v>
      </c>
    </row>
    <row r="1372" spans="2:32" x14ac:dyDescent="0.25">
      <c r="B1372" s="61" t="s">
        <v>2288</v>
      </c>
      <c r="C1372" s="249" t="str">
        <f t="shared" si="84"/>
        <v>C3</v>
      </c>
      <c r="D1372" s="14">
        <v>2003</v>
      </c>
      <c r="E1372" s="13">
        <v>905673</v>
      </c>
      <c r="F1372" s="249">
        <v>3.2</v>
      </c>
      <c r="G1372" s="249">
        <v>3.8</v>
      </c>
      <c r="H1372" s="249" t="str">
        <f t="shared" si="85"/>
        <v>D</v>
      </c>
      <c r="I1372" s="249">
        <f t="shared" si="81"/>
        <v>1</v>
      </c>
      <c r="J1372" s="143">
        <v>8000</v>
      </c>
      <c r="K1372" s="249" t="str">
        <f t="shared" si="86"/>
        <v>HC</v>
      </c>
      <c r="M1372" s="249">
        <f t="shared" si="82"/>
        <v>12</v>
      </c>
      <c r="N1372" s="249">
        <f t="shared" si="83"/>
        <v>11</v>
      </c>
      <c r="Z1372" s="130">
        <v>0.2</v>
      </c>
      <c r="AA1372" s="249">
        <v>1</v>
      </c>
      <c r="AB1372" s="250">
        <v>24000</v>
      </c>
      <c r="AC1372" s="250">
        <v>150000</v>
      </c>
      <c r="AD1372" s="250">
        <v>24000</v>
      </c>
      <c r="AE1372" s="250">
        <v>150000</v>
      </c>
      <c r="AF1372" s="250" t="s">
        <v>352</v>
      </c>
    </row>
    <row r="1373" spans="2:32" x14ac:dyDescent="0.25">
      <c r="B1373" s="61" t="s">
        <v>2289</v>
      </c>
      <c r="C1373" s="249" t="str">
        <f t="shared" si="84"/>
        <v>C3</v>
      </c>
      <c r="D1373" s="14">
        <v>1985</v>
      </c>
      <c r="E1373" s="13" t="s">
        <v>908</v>
      </c>
      <c r="F1373" s="249">
        <v>3</v>
      </c>
      <c r="G1373" s="249">
        <v>3.4</v>
      </c>
      <c r="H1373" s="249" t="str">
        <f t="shared" si="85"/>
        <v>D</v>
      </c>
      <c r="I1373" s="249">
        <f t="shared" si="81"/>
        <v>1</v>
      </c>
      <c r="J1373" s="143">
        <v>4800</v>
      </c>
      <c r="K1373" s="249" t="str">
        <f t="shared" si="86"/>
        <v>HC</v>
      </c>
      <c r="M1373" s="249">
        <f t="shared" si="82"/>
        <v>30</v>
      </c>
      <c r="N1373" s="249">
        <f t="shared" si="83"/>
        <v>29</v>
      </c>
      <c r="Z1373" s="130">
        <v>0.1</v>
      </c>
      <c r="AA1373" s="249">
        <v>1</v>
      </c>
      <c r="AB1373" s="250">
        <v>20000</v>
      </c>
      <c r="AC1373" s="250">
        <v>100000</v>
      </c>
      <c r="AD1373" s="250">
        <v>20000</v>
      </c>
      <c r="AE1373" s="250">
        <v>100000</v>
      </c>
      <c r="AF1373" s="250" t="s">
        <v>352</v>
      </c>
    </row>
    <row r="1374" spans="2:32" x14ac:dyDescent="0.25">
      <c r="B1374" s="61" t="s">
        <v>2290</v>
      </c>
      <c r="C1374" s="249" t="str">
        <f t="shared" si="84"/>
        <v>T3</v>
      </c>
      <c r="D1374" s="14">
        <v>2006</v>
      </c>
      <c r="E1374" s="13">
        <v>683499</v>
      </c>
      <c r="F1374" s="249">
        <v>2.5</v>
      </c>
      <c r="G1374" s="249">
        <v>2.8</v>
      </c>
      <c r="H1374" s="249" t="str">
        <f t="shared" si="85"/>
        <v>D</v>
      </c>
      <c r="I1374" s="249">
        <f t="shared" si="81"/>
        <v>1</v>
      </c>
      <c r="J1374" s="143">
        <v>6000</v>
      </c>
      <c r="K1374" s="249" t="str">
        <f t="shared" si="86"/>
        <v>HC</v>
      </c>
      <c r="M1374" s="249">
        <f t="shared" si="82"/>
        <v>9</v>
      </c>
      <c r="N1374" s="249">
        <f t="shared" si="83"/>
        <v>8</v>
      </c>
      <c r="Z1374" s="130">
        <v>0.5</v>
      </c>
      <c r="AA1374" s="249">
        <v>3</v>
      </c>
      <c r="AB1374" s="250">
        <v>18000</v>
      </c>
      <c r="AC1374" s="250">
        <v>150000</v>
      </c>
      <c r="AD1374" s="250">
        <v>36000</v>
      </c>
      <c r="AE1374" s="250">
        <v>15000</v>
      </c>
      <c r="AF1374" s="250" t="s">
        <v>352</v>
      </c>
    </row>
    <row r="1375" spans="2:32" x14ac:dyDescent="0.25">
      <c r="B1375" s="61" t="s">
        <v>2291</v>
      </c>
      <c r="C1375" s="249" t="str">
        <f t="shared" si="84"/>
        <v>T3</v>
      </c>
      <c r="D1375" s="14">
        <v>2007</v>
      </c>
      <c r="E1375" s="13">
        <v>583201</v>
      </c>
      <c r="F1375" s="249">
        <v>2.5</v>
      </c>
      <c r="G1375" s="249">
        <v>2.8</v>
      </c>
      <c r="H1375" s="249" t="str">
        <f t="shared" si="85"/>
        <v>D</v>
      </c>
      <c r="I1375" s="249">
        <f t="shared" si="81"/>
        <v>1</v>
      </c>
      <c r="J1375" s="143">
        <v>8000</v>
      </c>
      <c r="K1375" s="249" t="str">
        <f t="shared" si="86"/>
        <v>PT</v>
      </c>
      <c r="M1375" s="249">
        <f t="shared" si="82"/>
        <v>8</v>
      </c>
      <c r="N1375" s="249">
        <f t="shared" si="83"/>
        <v>7</v>
      </c>
      <c r="Z1375" s="130">
        <v>0.5</v>
      </c>
      <c r="AA1375" s="249">
        <v>7</v>
      </c>
      <c r="AB1375" s="250">
        <v>16000</v>
      </c>
      <c r="AC1375" s="250">
        <v>120000</v>
      </c>
      <c r="AD1375" s="250">
        <v>32000</v>
      </c>
      <c r="AE1375" s="250">
        <v>120000</v>
      </c>
      <c r="AF1375" s="250" t="s">
        <v>352</v>
      </c>
    </row>
    <row r="1376" spans="2:32" x14ac:dyDescent="0.25">
      <c r="B1376" s="61" t="s">
        <v>2292</v>
      </c>
      <c r="C1376" s="249" t="str">
        <f t="shared" si="84"/>
        <v>T3</v>
      </c>
      <c r="D1376" s="14">
        <v>2008</v>
      </c>
      <c r="E1376" s="13">
        <v>428635</v>
      </c>
      <c r="F1376" s="249">
        <v>2.4</v>
      </c>
      <c r="G1376" s="249">
        <v>2.7</v>
      </c>
      <c r="H1376" s="249" t="str">
        <f t="shared" si="85"/>
        <v>D</v>
      </c>
      <c r="I1376" s="249">
        <f t="shared" si="81"/>
        <v>1</v>
      </c>
      <c r="J1376" s="143">
        <v>10000</v>
      </c>
      <c r="K1376" s="249" t="str">
        <f t="shared" si="86"/>
        <v>HC</v>
      </c>
      <c r="M1376" s="249">
        <f t="shared" si="82"/>
        <v>7</v>
      </c>
      <c r="N1376" s="249">
        <f t="shared" si="83"/>
        <v>6</v>
      </c>
      <c r="Z1376" s="130">
        <v>0.5</v>
      </c>
      <c r="AA1376" s="249">
        <v>1</v>
      </c>
      <c r="AB1376" s="250">
        <v>20000</v>
      </c>
      <c r="AC1376" s="250">
        <v>180000</v>
      </c>
      <c r="AD1376" s="250">
        <v>30000</v>
      </c>
      <c r="AE1376" s="250">
        <v>120000</v>
      </c>
      <c r="AF1376" s="250" t="s">
        <v>352</v>
      </c>
    </row>
    <row r="1377" spans="2:32" x14ac:dyDescent="0.25">
      <c r="B1377" s="61" t="s">
        <v>2293</v>
      </c>
      <c r="C1377" s="249" t="str">
        <f t="shared" si="84"/>
        <v>T3</v>
      </c>
      <c r="D1377" s="14">
        <v>2004</v>
      </c>
      <c r="E1377" s="13">
        <v>825200</v>
      </c>
      <c r="F1377" s="249">
        <v>2.4</v>
      </c>
      <c r="G1377" s="249">
        <v>2.7</v>
      </c>
      <c r="H1377" s="249" t="str">
        <f t="shared" si="85"/>
        <v>D</v>
      </c>
      <c r="I1377" s="249">
        <f t="shared" si="81"/>
        <v>1</v>
      </c>
      <c r="J1377" s="143">
        <v>10000</v>
      </c>
      <c r="K1377" s="249" t="str">
        <f t="shared" si="86"/>
        <v>HC</v>
      </c>
      <c r="M1377" s="249">
        <f t="shared" si="82"/>
        <v>11</v>
      </c>
      <c r="N1377" s="249">
        <f t="shared" si="83"/>
        <v>10</v>
      </c>
      <c r="Z1377" s="130">
        <v>0.1</v>
      </c>
      <c r="AA1377" s="249">
        <v>1</v>
      </c>
      <c r="AB1377" s="250">
        <v>24000</v>
      </c>
      <c r="AC1377" s="250">
        <v>200000</v>
      </c>
      <c r="AD1377" s="250">
        <v>24000</v>
      </c>
      <c r="AE1377" s="250">
        <v>100000</v>
      </c>
      <c r="AF1377" s="250" t="s">
        <v>352</v>
      </c>
    </row>
    <row r="1378" spans="2:32" x14ac:dyDescent="0.25">
      <c r="B1378" s="61" t="s">
        <v>2294</v>
      </c>
      <c r="C1378" s="249" t="str">
        <f t="shared" si="84"/>
        <v>T3</v>
      </c>
      <c r="D1378" s="14">
        <v>2008</v>
      </c>
      <c r="E1378" s="13">
        <v>558791</v>
      </c>
      <c r="F1378" s="249">
        <v>2.5</v>
      </c>
      <c r="G1378" s="249">
        <v>2.8</v>
      </c>
      <c r="H1378" s="249" t="str">
        <f t="shared" si="85"/>
        <v>D</v>
      </c>
      <c r="I1378" s="249">
        <f t="shared" si="81"/>
        <v>1</v>
      </c>
      <c r="J1378" s="143">
        <v>9000</v>
      </c>
      <c r="K1378" s="249" t="str">
        <f t="shared" si="86"/>
        <v>PT</v>
      </c>
      <c r="M1378" s="249">
        <f t="shared" si="82"/>
        <v>7</v>
      </c>
      <c r="N1378" s="249">
        <f t="shared" si="83"/>
        <v>6</v>
      </c>
      <c r="Z1378" s="130">
        <v>0.1</v>
      </c>
      <c r="AA1378" s="249">
        <v>7</v>
      </c>
      <c r="AB1378" s="250">
        <v>18000</v>
      </c>
      <c r="AC1378" s="250">
        <v>160000</v>
      </c>
      <c r="AD1378" s="250">
        <v>18000</v>
      </c>
      <c r="AE1378" s="250">
        <v>160000</v>
      </c>
      <c r="AF1378" s="250" t="s">
        <v>352</v>
      </c>
    </row>
    <row r="1379" spans="2:32" x14ac:dyDescent="0.25">
      <c r="B1379" s="61" t="s">
        <v>2295</v>
      </c>
      <c r="C1379" s="249" t="str">
        <f t="shared" si="84"/>
        <v>T3</v>
      </c>
      <c r="D1379" s="14">
        <v>2001</v>
      </c>
      <c r="E1379" s="13">
        <v>857620</v>
      </c>
      <c r="F1379" s="249">
        <v>2.4</v>
      </c>
      <c r="G1379" s="249">
        <v>2.8</v>
      </c>
      <c r="H1379" s="249" t="str">
        <f t="shared" si="85"/>
        <v>D</v>
      </c>
      <c r="I1379" s="249">
        <f t="shared" si="81"/>
        <v>1</v>
      </c>
      <c r="J1379" s="143">
        <v>8000</v>
      </c>
      <c r="K1379" s="249" t="str">
        <f t="shared" si="86"/>
        <v>HC</v>
      </c>
      <c r="M1379" s="249">
        <f t="shared" si="82"/>
        <v>14</v>
      </c>
      <c r="N1379" s="249">
        <f t="shared" si="83"/>
        <v>13</v>
      </c>
      <c r="Z1379" s="130">
        <v>0.2</v>
      </c>
      <c r="AA1379" s="249">
        <v>2</v>
      </c>
      <c r="AB1379" s="250">
        <v>16000</v>
      </c>
      <c r="AC1379" s="250">
        <v>200000</v>
      </c>
      <c r="AD1379" s="250">
        <v>24000</v>
      </c>
      <c r="AE1379" s="250">
        <v>100000</v>
      </c>
      <c r="AF1379" s="250" t="s">
        <v>352</v>
      </c>
    </row>
    <row r="1380" spans="2:32" x14ac:dyDescent="0.25">
      <c r="B1380" s="61" t="s">
        <v>2296</v>
      </c>
      <c r="C1380" s="249" t="str">
        <f t="shared" si="84"/>
        <v>T3</v>
      </c>
      <c r="D1380" s="14">
        <v>2005</v>
      </c>
      <c r="E1380" s="13">
        <v>615724</v>
      </c>
      <c r="F1380" s="249">
        <v>2.5</v>
      </c>
      <c r="G1380" s="249">
        <v>2.8</v>
      </c>
      <c r="H1380" s="249" t="str">
        <f t="shared" si="85"/>
        <v>D</v>
      </c>
      <c r="I1380" s="249">
        <f t="shared" si="81"/>
        <v>1</v>
      </c>
      <c r="J1380" s="143">
        <v>8000</v>
      </c>
      <c r="K1380" s="249" t="str">
        <f t="shared" si="86"/>
        <v>HC</v>
      </c>
      <c r="M1380" s="249">
        <f t="shared" si="82"/>
        <v>10</v>
      </c>
      <c r="N1380" s="249">
        <f t="shared" si="83"/>
        <v>9</v>
      </c>
      <c r="Z1380" s="130">
        <v>0.1</v>
      </c>
      <c r="AA1380" s="249">
        <v>1</v>
      </c>
      <c r="AB1380" s="250">
        <v>20000</v>
      </c>
      <c r="AC1380" s="250">
        <v>120000</v>
      </c>
      <c r="AD1380" s="250">
        <v>20000</v>
      </c>
      <c r="AE1380" s="250">
        <v>120000</v>
      </c>
      <c r="AF1380" s="250" t="s">
        <v>352</v>
      </c>
    </row>
    <row r="1381" spans="2:32" x14ac:dyDescent="0.25">
      <c r="B1381" s="61" t="s">
        <v>2297</v>
      </c>
      <c r="C1381" s="249" t="str">
        <f t="shared" si="84"/>
        <v>C3</v>
      </c>
      <c r="D1381" s="14">
        <v>2001</v>
      </c>
      <c r="E1381" s="13">
        <v>1200000</v>
      </c>
      <c r="F1381" s="249">
        <v>2.2000000000000002</v>
      </c>
      <c r="G1381" s="249">
        <v>2.6</v>
      </c>
      <c r="H1381" s="249" t="str">
        <f t="shared" si="85"/>
        <v>D</v>
      </c>
      <c r="I1381" s="249">
        <f t="shared" si="81"/>
        <v>1</v>
      </c>
      <c r="J1381" s="143">
        <v>20000</v>
      </c>
      <c r="K1381" s="249" t="str">
        <f t="shared" si="86"/>
        <v>HC</v>
      </c>
      <c r="M1381" s="249">
        <f t="shared" si="82"/>
        <v>14</v>
      </c>
      <c r="N1381" s="249">
        <f t="shared" si="83"/>
        <v>13</v>
      </c>
      <c r="Z1381" s="130">
        <v>0.25</v>
      </c>
      <c r="AA1381" s="249">
        <v>2</v>
      </c>
      <c r="AB1381" s="250">
        <v>20000</v>
      </c>
      <c r="AC1381" s="250">
        <v>40000</v>
      </c>
      <c r="AD1381" s="250">
        <v>30000</v>
      </c>
      <c r="AE1381" s="250">
        <v>90000</v>
      </c>
      <c r="AF1381" s="250">
        <v>30000</v>
      </c>
    </row>
    <row r="1382" spans="2:32" x14ac:dyDescent="0.25">
      <c r="B1382" s="61" t="s">
        <v>2298</v>
      </c>
      <c r="C1382" s="249" t="str">
        <f t="shared" si="84"/>
        <v>T3</v>
      </c>
      <c r="D1382" s="14">
        <v>2003</v>
      </c>
      <c r="E1382" s="13">
        <v>973591</v>
      </c>
      <c r="F1382" s="249">
        <v>2.4</v>
      </c>
      <c r="G1382" s="249">
        <v>2.7</v>
      </c>
      <c r="H1382" s="249" t="str">
        <f t="shared" si="85"/>
        <v>D</v>
      </c>
      <c r="I1382" s="249">
        <f t="shared" si="81"/>
        <v>1</v>
      </c>
      <c r="J1382" s="143">
        <v>10000</v>
      </c>
      <c r="K1382" s="249" t="str">
        <f t="shared" si="86"/>
        <v>HC</v>
      </c>
      <c r="M1382" s="249">
        <f t="shared" si="82"/>
        <v>12</v>
      </c>
      <c r="N1382" s="249">
        <f t="shared" si="83"/>
        <v>11</v>
      </c>
      <c r="Z1382" s="130">
        <v>0.5</v>
      </c>
      <c r="AA1382" s="249">
        <v>3</v>
      </c>
      <c r="AB1382" s="250">
        <v>22000</v>
      </c>
      <c r="AC1382" s="250" t="s">
        <v>352</v>
      </c>
      <c r="AD1382" s="250">
        <v>44000</v>
      </c>
      <c r="AE1382" s="250" t="s">
        <v>352</v>
      </c>
      <c r="AF1382" s="250" t="s">
        <v>352</v>
      </c>
    </row>
    <row r="1383" spans="2:32" x14ac:dyDescent="0.25">
      <c r="B1383" s="61" t="s">
        <v>2299</v>
      </c>
      <c r="C1383" s="249" t="str">
        <f t="shared" si="84"/>
        <v>T3</v>
      </c>
      <c r="D1383" s="14">
        <v>1999</v>
      </c>
      <c r="E1383" s="13" t="s">
        <v>352</v>
      </c>
      <c r="F1383" s="249">
        <v>2.5</v>
      </c>
      <c r="G1383" s="249">
        <v>2.7</v>
      </c>
      <c r="H1383" s="249" t="str">
        <f t="shared" si="85"/>
        <v>D</v>
      </c>
      <c r="I1383" s="249">
        <f t="shared" si="81"/>
        <v>1</v>
      </c>
      <c r="J1383" s="143">
        <v>8000</v>
      </c>
      <c r="K1383" s="249" t="str">
        <f t="shared" si="86"/>
        <v>HC</v>
      </c>
      <c r="M1383" s="249">
        <f t="shared" si="82"/>
        <v>16</v>
      </c>
      <c r="N1383" s="249">
        <f t="shared" si="83"/>
        <v>15</v>
      </c>
      <c r="Z1383" s="130">
        <v>0.5</v>
      </c>
      <c r="AA1383" s="249">
        <v>2</v>
      </c>
      <c r="AB1383" s="250">
        <v>30000</v>
      </c>
      <c r="AC1383" s="250" t="s">
        <v>352</v>
      </c>
      <c r="AD1383" s="250" t="s">
        <v>352</v>
      </c>
      <c r="AE1383" s="250" t="s">
        <v>352</v>
      </c>
      <c r="AF1383" s="250" t="s">
        <v>352</v>
      </c>
    </row>
    <row r="1384" spans="2:32" x14ac:dyDescent="0.25">
      <c r="B1384" s="61" t="s">
        <v>2300</v>
      </c>
      <c r="C1384" s="249" t="str">
        <f t="shared" si="84"/>
        <v>T3</v>
      </c>
      <c r="D1384" s="14">
        <v>2003</v>
      </c>
      <c r="E1384" s="13">
        <v>860990</v>
      </c>
      <c r="F1384" s="249">
        <v>2.4</v>
      </c>
      <c r="G1384" s="249">
        <v>2.7</v>
      </c>
      <c r="H1384" s="249" t="str">
        <f t="shared" si="85"/>
        <v>D</v>
      </c>
      <c r="I1384" s="249">
        <f t="shared" si="81"/>
        <v>1</v>
      </c>
      <c r="J1384" s="143">
        <v>10000</v>
      </c>
      <c r="K1384" s="249" t="str">
        <f t="shared" si="86"/>
        <v>HC</v>
      </c>
      <c r="M1384" s="249">
        <f t="shared" si="82"/>
        <v>12</v>
      </c>
      <c r="N1384" s="249">
        <f t="shared" si="83"/>
        <v>11</v>
      </c>
      <c r="Z1384" s="130">
        <v>0.1</v>
      </c>
      <c r="AA1384" s="249">
        <v>3</v>
      </c>
      <c r="AB1384" s="250">
        <v>18000</v>
      </c>
      <c r="AC1384" s="250" t="s">
        <v>352</v>
      </c>
      <c r="AD1384" s="250">
        <v>36000</v>
      </c>
      <c r="AE1384" s="250">
        <v>120000</v>
      </c>
      <c r="AF1384" s="250" t="s">
        <v>352</v>
      </c>
    </row>
    <row r="1385" spans="2:32" x14ac:dyDescent="0.25">
      <c r="B1385" s="61" t="s">
        <v>2301</v>
      </c>
      <c r="C1385" s="249" t="str">
        <f t="shared" si="84"/>
        <v>T3</v>
      </c>
      <c r="D1385" s="14">
        <v>2005</v>
      </c>
      <c r="E1385" s="13">
        <v>758120</v>
      </c>
      <c r="F1385" s="249">
        <v>2.5</v>
      </c>
      <c r="G1385" s="249">
        <v>2.7</v>
      </c>
      <c r="H1385" s="249" t="str">
        <f t="shared" si="85"/>
        <v>D</v>
      </c>
      <c r="I1385" s="249">
        <f t="shared" si="81"/>
        <v>1</v>
      </c>
      <c r="J1385" s="143">
        <v>9000</v>
      </c>
      <c r="K1385" s="249" t="str">
        <f t="shared" si="86"/>
        <v>PT</v>
      </c>
      <c r="M1385" s="249">
        <f t="shared" si="82"/>
        <v>10</v>
      </c>
      <c r="N1385" s="249">
        <f t="shared" si="83"/>
        <v>9</v>
      </c>
      <c r="Z1385" s="130">
        <v>0.5</v>
      </c>
      <c r="AA1385" s="249">
        <v>7</v>
      </c>
      <c r="AB1385" s="250">
        <v>20000</v>
      </c>
      <c r="AC1385" s="250">
        <v>200000</v>
      </c>
      <c r="AD1385" s="250">
        <v>40000</v>
      </c>
      <c r="AE1385" s="250">
        <v>120000</v>
      </c>
      <c r="AF1385" s="250" t="s">
        <v>352</v>
      </c>
    </row>
    <row r="1386" spans="2:32" x14ac:dyDescent="0.25">
      <c r="B1386" s="61" t="s">
        <v>2302</v>
      </c>
      <c r="C1386" s="249" t="str">
        <f t="shared" si="84"/>
        <v>T3</v>
      </c>
      <c r="D1386" s="14">
        <v>2006</v>
      </c>
      <c r="E1386" s="13">
        <v>721832</v>
      </c>
      <c r="F1386" s="249">
        <v>2.5</v>
      </c>
      <c r="G1386" s="249">
        <v>2.8</v>
      </c>
      <c r="H1386" s="249" t="str">
        <f t="shared" si="85"/>
        <v>D</v>
      </c>
      <c r="I1386" s="249">
        <f t="shared" si="81"/>
        <v>1</v>
      </c>
      <c r="J1386" s="143">
        <v>9800</v>
      </c>
      <c r="K1386" s="249" t="str">
        <f t="shared" si="86"/>
        <v>HC</v>
      </c>
      <c r="M1386" s="249">
        <f t="shared" si="82"/>
        <v>9</v>
      </c>
      <c r="N1386" s="249">
        <f t="shared" si="83"/>
        <v>8</v>
      </c>
      <c r="Z1386" s="130">
        <v>0.5</v>
      </c>
      <c r="AA1386" s="249">
        <v>3</v>
      </c>
      <c r="AB1386" s="250">
        <v>19000</v>
      </c>
      <c r="AC1386" s="250">
        <v>180000</v>
      </c>
      <c r="AD1386" s="250">
        <v>38000</v>
      </c>
      <c r="AE1386" s="250">
        <v>120000</v>
      </c>
      <c r="AF1386" s="250" t="s">
        <v>352</v>
      </c>
    </row>
    <row r="1387" spans="2:32" x14ac:dyDescent="0.25">
      <c r="B1387" s="61" t="s">
        <v>2303</v>
      </c>
      <c r="C1387" s="249" t="str">
        <f t="shared" si="84"/>
        <v>T3</v>
      </c>
      <c r="D1387" s="14">
        <v>2007</v>
      </c>
      <c r="E1387" s="13">
        <v>619880</v>
      </c>
      <c r="F1387" s="249">
        <v>2.5</v>
      </c>
      <c r="G1387" s="249">
        <v>2.7</v>
      </c>
      <c r="H1387" s="249" t="str">
        <f t="shared" si="85"/>
        <v>D</v>
      </c>
      <c r="I1387" s="249">
        <f t="shared" si="81"/>
        <v>1</v>
      </c>
      <c r="J1387" s="143">
        <v>10000</v>
      </c>
      <c r="K1387" s="249" t="str">
        <f t="shared" si="86"/>
        <v>HC</v>
      </c>
      <c r="M1387" s="249">
        <f t="shared" si="82"/>
        <v>8</v>
      </c>
      <c r="N1387" s="249">
        <f t="shared" si="83"/>
        <v>7</v>
      </c>
      <c r="Z1387" s="130">
        <v>0.1</v>
      </c>
      <c r="AA1387" s="249">
        <v>3</v>
      </c>
      <c r="AB1387" s="250">
        <v>20000</v>
      </c>
      <c r="AC1387" s="250">
        <v>240000</v>
      </c>
      <c r="AD1387" s="250">
        <v>60000</v>
      </c>
      <c r="AE1387" s="250">
        <v>120000</v>
      </c>
      <c r="AF1387" s="250" t="s">
        <v>352</v>
      </c>
    </row>
    <row r="1388" spans="2:32" x14ac:dyDescent="0.25">
      <c r="B1388" s="61" t="s">
        <v>2304</v>
      </c>
      <c r="C1388" s="249" t="str">
        <f t="shared" si="84"/>
        <v>C3</v>
      </c>
      <c r="D1388" s="14">
        <v>1996</v>
      </c>
      <c r="E1388" s="13" t="s">
        <v>352</v>
      </c>
      <c r="F1388" s="249">
        <v>2.9</v>
      </c>
      <c r="G1388" s="249">
        <v>3.2</v>
      </c>
      <c r="H1388" s="249" t="str">
        <f t="shared" si="85"/>
        <v>D</v>
      </c>
      <c r="I1388" s="249">
        <f t="shared" si="81"/>
        <v>1</v>
      </c>
      <c r="J1388" s="143">
        <v>9000</v>
      </c>
      <c r="K1388" s="249" t="str">
        <f t="shared" si="86"/>
        <v>HC</v>
      </c>
      <c r="M1388" s="249">
        <f t="shared" si="82"/>
        <v>19</v>
      </c>
      <c r="N1388" s="249">
        <f t="shared" si="83"/>
        <v>18</v>
      </c>
      <c r="Z1388" s="130">
        <v>0.5</v>
      </c>
      <c r="AA1388" s="249">
        <v>1</v>
      </c>
      <c r="AB1388" s="250">
        <v>30000</v>
      </c>
      <c r="AC1388" s="250" t="s">
        <v>352</v>
      </c>
      <c r="AD1388" s="250">
        <v>100000</v>
      </c>
      <c r="AE1388" s="250" t="s">
        <v>352</v>
      </c>
      <c r="AF1388" s="250" t="s">
        <v>352</v>
      </c>
    </row>
    <row r="1389" spans="2:32" x14ac:dyDescent="0.25">
      <c r="B1389" s="61" t="s">
        <v>2305</v>
      </c>
      <c r="C1389" s="249" t="str">
        <f t="shared" si="84"/>
        <v>C3</v>
      </c>
      <c r="D1389" s="14">
        <v>2004</v>
      </c>
      <c r="E1389" s="13">
        <v>811703</v>
      </c>
      <c r="F1389" s="249">
        <v>3.1</v>
      </c>
      <c r="G1389" s="249">
        <v>3.4</v>
      </c>
      <c r="H1389" s="249" t="str">
        <f t="shared" si="85"/>
        <v>D</v>
      </c>
      <c r="I1389" s="249">
        <f t="shared" si="81"/>
        <v>1</v>
      </c>
      <c r="J1389" s="143">
        <v>8000</v>
      </c>
      <c r="K1389" s="249" t="str">
        <f t="shared" si="86"/>
        <v>HC</v>
      </c>
      <c r="M1389" s="249">
        <f t="shared" si="82"/>
        <v>11</v>
      </c>
      <c r="N1389" s="249">
        <f t="shared" si="83"/>
        <v>10</v>
      </c>
      <c r="Z1389" s="130">
        <v>0</v>
      </c>
      <c r="AA1389" s="249">
        <v>3</v>
      </c>
      <c r="AB1389" s="250">
        <v>30000</v>
      </c>
      <c r="AC1389" s="250" t="s">
        <v>352</v>
      </c>
      <c r="AD1389" s="250">
        <v>60000</v>
      </c>
      <c r="AE1389" s="250" t="s">
        <v>352</v>
      </c>
      <c r="AF1389" s="250" t="s">
        <v>352</v>
      </c>
    </row>
    <row r="1390" spans="2:32" x14ac:dyDescent="0.25">
      <c r="B1390" s="61" t="s">
        <v>2306</v>
      </c>
      <c r="C1390" s="249" t="str">
        <f t="shared" si="84"/>
        <v>T3</v>
      </c>
      <c r="D1390" s="14">
        <v>2008</v>
      </c>
      <c r="E1390" s="13">
        <v>552713</v>
      </c>
      <c r="F1390" s="249">
        <v>2.5</v>
      </c>
      <c r="G1390" s="249">
        <v>2.8</v>
      </c>
      <c r="H1390" s="249" t="str">
        <f t="shared" si="85"/>
        <v>D</v>
      </c>
      <c r="I1390" s="249">
        <f t="shared" si="81"/>
        <v>1</v>
      </c>
      <c r="J1390" s="143">
        <v>11000</v>
      </c>
      <c r="K1390" s="249" t="str">
        <f t="shared" si="86"/>
        <v>PT</v>
      </c>
      <c r="M1390" s="249">
        <f t="shared" si="82"/>
        <v>7</v>
      </c>
      <c r="N1390" s="249">
        <f t="shared" si="83"/>
        <v>6</v>
      </c>
      <c r="Z1390" s="130">
        <v>0</v>
      </c>
      <c r="AA1390" s="249">
        <v>7</v>
      </c>
      <c r="AB1390" s="250">
        <v>11000</v>
      </c>
      <c r="AC1390" s="250" t="s">
        <v>352</v>
      </c>
      <c r="AD1390" s="250">
        <v>22000</v>
      </c>
      <c r="AE1390" s="250">
        <v>130000</v>
      </c>
      <c r="AF1390" s="250" t="s">
        <v>352</v>
      </c>
    </row>
    <row r="1391" spans="2:32" x14ac:dyDescent="0.25">
      <c r="B1391" s="61" t="s">
        <v>2307</v>
      </c>
      <c r="C1391" s="249" t="str">
        <f t="shared" si="84"/>
        <v>T3</v>
      </c>
      <c r="D1391" s="14">
        <v>2008</v>
      </c>
      <c r="E1391" s="13">
        <v>525612</v>
      </c>
      <c r="F1391" s="249">
        <v>2.5</v>
      </c>
      <c r="G1391" s="249">
        <v>2.8</v>
      </c>
      <c r="H1391" s="249" t="str">
        <f t="shared" si="85"/>
        <v>D</v>
      </c>
      <c r="I1391" s="249">
        <f t="shared" si="81"/>
        <v>1</v>
      </c>
      <c r="J1391" s="143">
        <v>11000</v>
      </c>
      <c r="K1391" s="249" t="str">
        <f t="shared" si="86"/>
        <v>PT</v>
      </c>
      <c r="M1391" s="249">
        <f t="shared" si="82"/>
        <v>7</v>
      </c>
      <c r="N1391" s="249">
        <f t="shared" si="83"/>
        <v>6</v>
      </c>
      <c r="Z1391" s="130">
        <v>0</v>
      </c>
      <c r="AA1391" s="249">
        <v>7</v>
      </c>
      <c r="AB1391" s="250">
        <v>22000</v>
      </c>
      <c r="AC1391" s="250">
        <v>200000</v>
      </c>
      <c r="AD1391" s="250">
        <v>44000</v>
      </c>
      <c r="AE1391" s="250">
        <v>130000</v>
      </c>
      <c r="AF1391" s="250" t="s">
        <v>352</v>
      </c>
    </row>
    <row r="1392" spans="2:32" x14ac:dyDescent="0.25">
      <c r="B1392" s="61" t="s">
        <v>2308</v>
      </c>
      <c r="C1392" s="249" t="str">
        <f t="shared" si="84"/>
        <v>T3</v>
      </c>
      <c r="D1392" s="14">
        <v>2005</v>
      </c>
      <c r="E1392" s="13">
        <v>731800</v>
      </c>
      <c r="F1392" s="249">
        <v>2.5</v>
      </c>
      <c r="G1392" s="249">
        <v>2.7</v>
      </c>
      <c r="H1392" s="249" t="str">
        <f t="shared" si="85"/>
        <v>D</v>
      </c>
      <c r="I1392" s="249">
        <f t="shared" si="81"/>
        <v>1</v>
      </c>
      <c r="J1392" s="143">
        <v>10000</v>
      </c>
      <c r="K1392" s="249" t="str">
        <f t="shared" si="86"/>
        <v>HC</v>
      </c>
      <c r="M1392" s="249">
        <f t="shared" si="82"/>
        <v>10</v>
      </c>
      <c r="N1392" s="249">
        <f t="shared" si="83"/>
        <v>9</v>
      </c>
      <c r="Z1392" s="130">
        <v>0.05</v>
      </c>
      <c r="AA1392" s="249">
        <v>1</v>
      </c>
      <c r="AB1392" s="250">
        <v>20000</v>
      </c>
      <c r="AC1392" s="250" t="s">
        <v>352</v>
      </c>
      <c r="AD1392" s="250">
        <v>50000</v>
      </c>
      <c r="AE1392" s="250">
        <v>120000</v>
      </c>
      <c r="AF1392" s="250" t="s">
        <v>2465</v>
      </c>
    </row>
    <row r="1393" spans="2:32" x14ac:dyDescent="0.25">
      <c r="B1393" s="61" t="s">
        <v>2309</v>
      </c>
      <c r="C1393" s="249" t="str">
        <f t="shared" si="84"/>
        <v>T3</v>
      </c>
      <c r="D1393" s="14">
        <v>2005</v>
      </c>
      <c r="E1393" s="13">
        <v>836325</v>
      </c>
      <c r="F1393" s="249">
        <v>1.6</v>
      </c>
      <c r="G1393" s="249">
        <v>1.9</v>
      </c>
      <c r="H1393" s="249" t="str">
        <f t="shared" si="85"/>
        <v>D</v>
      </c>
      <c r="I1393" s="249">
        <f t="shared" si="81"/>
        <v>1</v>
      </c>
      <c r="J1393" s="143">
        <v>12000</v>
      </c>
      <c r="K1393" s="249" t="str">
        <f t="shared" si="86"/>
        <v>PT</v>
      </c>
      <c r="M1393" s="249">
        <f t="shared" si="82"/>
        <v>10</v>
      </c>
      <c r="N1393" s="249">
        <f t="shared" si="83"/>
        <v>9</v>
      </c>
      <c r="Z1393" s="130">
        <v>0.5</v>
      </c>
      <c r="AA1393" s="249">
        <v>7</v>
      </c>
      <c r="AB1393" s="250">
        <v>24000</v>
      </c>
      <c r="AC1393" s="250">
        <v>200000</v>
      </c>
      <c r="AD1393" s="250">
        <v>50000</v>
      </c>
      <c r="AE1393" s="250" t="s">
        <v>352</v>
      </c>
      <c r="AF1393" s="250" t="s">
        <v>352</v>
      </c>
    </row>
    <row r="1394" spans="2:32" x14ac:dyDescent="0.25">
      <c r="B1394" s="61" t="s">
        <v>2310</v>
      </c>
      <c r="C1394" s="249" t="str">
        <f t="shared" si="84"/>
        <v>T3</v>
      </c>
      <c r="D1394" s="14">
        <v>2003</v>
      </c>
      <c r="E1394" s="13" t="s">
        <v>352</v>
      </c>
      <c r="F1394" s="249">
        <v>1.6</v>
      </c>
      <c r="G1394" s="249">
        <v>1.9</v>
      </c>
      <c r="H1394" s="249" t="str">
        <f t="shared" si="85"/>
        <v>D</v>
      </c>
      <c r="I1394" s="249">
        <f t="shared" si="81"/>
        <v>1</v>
      </c>
      <c r="J1394" s="143">
        <v>12000</v>
      </c>
      <c r="K1394" s="249" t="str">
        <f t="shared" si="86"/>
        <v>PT</v>
      </c>
      <c r="M1394" s="249">
        <f t="shared" si="82"/>
        <v>12</v>
      </c>
      <c r="N1394" s="249">
        <f t="shared" si="83"/>
        <v>11</v>
      </c>
      <c r="Z1394" s="130">
        <v>0.5</v>
      </c>
      <c r="AA1394" s="249">
        <v>7</v>
      </c>
      <c r="AB1394" s="250">
        <v>24000</v>
      </c>
      <c r="AC1394" s="250" t="s">
        <v>352</v>
      </c>
      <c r="AD1394" s="250">
        <v>50000</v>
      </c>
      <c r="AE1394" s="250" t="s">
        <v>352</v>
      </c>
      <c r="AF1394" s="250" t="s">
        <v>352</v>
      </c>
    </row>
    <row r="1395" spans="2:32" x14ac:dyDescent="0.25">
      <c r="B1395" s="61" t="s">
        <v>2311</v>
      </c>
      <c r="C1395" s="249" t="str">
        <f t="shared" si="84"/>
        <v>T3</v>
      </c>
      <c r="D1395" s="14">
        <v>2007</v>
      </c>
      <c r="E1395" s="13">
        <v>590783</v>
      </c>
      <c r="F1395" s="249">
        <v>1.4</v>
      </c>
      <c r="G1395" s="249">
        <v>1.9</v>
      </c>
      <c r="H1395" s="249" t="str">
        <f t="shared" si="85"/>
        <v>D</v>
      </c>
      <c r="I1395" s="249">
        <f t="shared" si="81"/>
        <v>1</v>
      </c>
      <c r="J1395" s="143">
        <v>10000</v>
      </c>
      <c r="K1395" s="249" t="str">
        <f t="shared" si="86"/>
        <v>HC</v>
      </c>
      <c r="M1395" s="249">
        <f t="shared" si="82"/>
        <v>8</v>
      </c>
      <c r="N1395" s="249">
        <f t="shared" si="83"/>
        <v>7</v>
      </c>
      <c r="Z1395" s="130">
        <v>0.5</v>
      </c>
      <c r="AA1395" s="249">
        <v>3</v>
      </c>
      <c r="AB1395" s="250">
        <v>20000</v>
      </c>
      <c r="AC1395" s="250">
        <v>240000</v>
      </c>
      <c r="AD1395" s="250">
        <v>40000</v>
      </c>
      <c r="AE1395" s="250">
        <v>120000</v>
      </c>
      <c r="AF1395" s="250" t="s">
        <v>352</v>
      </c>
    </row>
    <row r="1396" spans="2:32" x14ac:dyDescent="0.25">
      <c r="B1396" s="61" t="s">
        <v>2312</v>
      </c>
      <c r="C1396" s="249" t="str">
        <f t="shared" si="84"/>
        <v>C3</v>
      </c>
      <c r="D1396" s="14">
        <v>2001</v>
      </c>
      <c r="E1396" s="13" t="s">
        <v>352</v>
      </c>
      <c r="F1396" s="249">
        <v>2.9</v>
      </c>
      <c r="G1396" s="249">
        <v>3.2</v>
      </c>
      <c r="H1396" s="249" t="str">
        <f t="shared" si="85"/>
        <v>D</v>
      </c>
      <c r="I1396" s="249">
        <f t="shared" si="81"/>
        <v>1</v>
      </c>
      <c r="J1396" s="143">
        <v>8000</v>
      </c>
      <c r="K1396" s="249" t="str">
        <f t="shared" si="86"/>
        <v>HC</v>
      </c>
      <c r="M1396" s="249">
        <f t="shared" si="82"/>
        <v>14</v>
      </c>
      <c r="N1396" s="249">
        <f t="shared" si="83"/>
        <v>13</v>
      </c>
      <c r="Z1396" s="130">
        <v>0.5</v>
      </c>
      <c r="AA1396" s="249">
        <v>3</v>
      </c>
      <c r="AB1396" s="250">
        <v>20000</v>
      </c>
      <c r="AC1396" s="250" t="s">
        <v>352</v>
      </c>
      <c r="AD1396" s="250">
        <v>60000</v>
      </c>
      <c r="AE1396" s="250" t="s">
        <v>352</v>
      </c>
      <c r="AF1396" s="250" t="s">
        <v>352</v>
      </c>
    </row>
    <row r="1397" spans="2:32" x14ac:dyDescent="0.25">
      <c r="B1397" s="61" t="s">
        <v>2313</v>
      </c>
      <c r="C1397" s="249" t="str">
        <f t="shared" si="84"/>
        <v>T3</v>
      </c>
      <c r="D1397" s="14">
        <v>2002</v>
      </c>
      <c r="E1397" s="13">
        <v>1123601</v>
      </c>
      <c r="F1397" s="249">
        <v>2.4</v>
      </c>
      <c r="G1397" s="249">
        <v>2.7</v>
      </c>
      <c r="H1397" s="249" t="str">
        <f t="shared" si="85"/>
        <v>D</v>
      </c>
      <c r="I1397" s="249">
        <f t="shared" si="81"/>
        <v>1</v>
      </c>
      <c r="J1397" s="143">
        <v>12000</v>
      </c>
      <c r="K1397" s="249" t="str">
        <f t="shared" si="86"/>
        <v>PT</v>
      </c>
      <c r="M1397" s="249">
        <f t="shared" si="82"/>
        <v>13</v>
      </c>
      <c r="N1397" s="249">
        <f t="shared" si="83"/>
        <v>12</v>
      </c>
      <c r="Z1397" s="130">
        <v>0.5</v>
      </c>
      <c r="AA1397" s="249">
        <v>7</v>
      </c>
      <c r="AB1397" s="250">
        <v>20000</v>
      </c>
      <c r="AC1397" s="250">
        <v>200000</v>
      </c>
      <c r="AD1397" s="250">
        <v>40000</v>
      </c>
      <c r="AE1397" s="250">
        <v>150000</v>
      </c>
      <c r="AF1397" s="250" t="s">
        <v>352</v>
      </c>
    </row>
    <row r="1398" spans="2:32" x14ac:dyDescent="0.25">
      <c r="B1398" s="61" t="s">
        <v>2314</v>
      </c>
      <c r="C1398" s="249" t="str">
        <f t="shared" si="84"/>
        <v>T3</v>
      </c>
      <c r="D1398" s="14">
        <v>2003</v>
      </c>
      <c r="E1398" s="13">
        <v>863120</v>
      </c>
      <c r="F1398" s="249">
        <v>2.4</v>
      </c>
      <c r="G1398" s="249">
        <v>2.7</v>
      </c>
      <c r="H1398" s="249" t="str">
        <f t="shared" si="85"/>
        <v>D</v>
      </c>
      <c r="I1398" s="249">
        <f t="shared" si="81"/>
        <v>1</v>
      </c>
      <c r="J1398" s="143">
        <v>9000</v>
      </c>
      <c r="K1398" s="249" t="str">
        <f t="shared" si="86"/>
        <v>HC</v>
      </c>
      <c r="M1398" s="249">
        <f t="shared" si="82"/>
        <v>12</v>
      </c>
      <c r="N1398" s="249">
        <f t="shared" si="83"/>
        <v>11</v>
      </c>
      <c r="Z1398" s="130">
        <v>0.1</v>
      </c>
      <c r="AA1398" s="249">
        <v>2</v>
      </c>
      <c r="AB1398" s="250">
        <v>20000</v>
      </c>
      <c r="AC1398" s="250" t="s">
        <v>352</v>
      </c>
      <c r="AD1398" s="250">
        <v>60000</v>
      </c>
      <c r="AE1398" s="250" t="s">
        <v>352</v>
      </c>
      <c r="AF1398" s="250" t="s">
        <v>352</v>
      </c>
    </row>
    <row r="1399" spans="2:32" x14ac:dyDescent="0.25">
      <c r="B1399" s="61" t="s">
        <v>2315</v>
      </c>
      <c r="C1399" s="249" t="str">
        <f t="shared" si="84"/>
        <v>T3</v>
      </c>
      <c r="D1399" s="14">
        <v>1998</v>
      </c>
      <c r="E1399" s="13" t="s">
        <v>352</v>
      </c>
      <c r="F1399" s="249">
        <v>2.5</v>
      </c>
      <c r="G1399" s="249">
        <v>2.7</v>
      </c>
      <c r="H1399" s="249" t="str">
        <f t="shared" si="85"/>
        <v>D</v>
      </c>
      <c r="I1399" s="249">
        <f t="shared" si="81"/>
        <v>1</v>
      </c>
      <c r="J1399" s="143">
        <v>10000</v>
      </c>
      <c r="K1399" s="249" t="str">
        <f t="shared" si="86"/>
        <v>HC</v>
      </c>
      <c r="M1399" s="249">
        <f t="shared" si="82"/>
        <v>17</v>
      </c>
      <c r="N1399" s="249">
        <f t="shared" si="83"/>
        <v>16</v>
      </c>
      <c r="Z1399" s="130">
        <v>0.1</v>
      </c>
      <c r="AA1399" s="249">
        <v>3</v>
      </c>
      <c r="AB1399" s="250">
        <v>18000</v>
      </c>
      <c r="AC1399" s="250" t="s">
        <v>352</v>
      </c>
      <c r="AD1399" s="250">
        <v>36000</v>
      </c>
      <c r="AE1399" s="250" t="s">
        <v>352</v>
      </c>
      <c r="AF1399" s="250" t="s">
        <v>352</v>
      </c>
    </row>
    <row r="1400" spans="2:32" x14ac:dyDescent="0.25">
      <c r="B1400" s="61" t="s">
        <v>2316</v>
      </c>
      <c r="C1400" s="249" t="str">
        <f t="shared" si="84"/>
        <v>T3</v>
      </c>
      <c r="D1400" s="14">
        <v>2006</v>
      </c>
      <c r="E1400" s="13">
        <v>782315</v>
      </c>
      <c r="F1400" s="249">
        <v>2.4</v>
      </c>
      <c r="G1400" s="249">
        <v>2.7</v>
      </c>
      <c r="H1400" s="249" t="str">
        <f t="shared" si="85"/>
        <v>D</v>
      </c>
      <c r="I1400" s="249">
        <f t="shared" si="81"/>
        <v>1</v>
      </c>
      <c r="J1400" s="143">
        <v>8000</v>
      </c>
      <c r="K1400" s="249" t="str">
        <f t="shared" si="86"/>
        <v>HC</v>
      </c>
      <c r="M1400" s="249">
        <f t="shared" si="82"/>
        <v>9</v>
      </c>
      <c r="N1400" s="249">
        <f t="shared" si="83"/>
        <v>8</v>
      </c>
      <c r="Z1400" s="130">
        <v>0.5</v>
      </c>
      <c r="AA1400" s="249">
        <v>3</v>
      </c>
      <c r="AB1400" s="250">
        <v>20000</v>
      </c>
      <c r="AC1400" s="250">
        <v>12000</v>
      </c>
      <c r="AD1400" s="250">
        <v>40000</v>
      </c>
      <c r="AE1400" s="250">
        <v>130000</v>
      </c>
      <c r="AF1400" s="250">
        <v>40000</v>
      </c>
    </row>
    <row r="1401" spans="2:32" x14ac:dyDescent="0.25">
      <c r="B1401" s="61" t="s">
        <v>2317</v>
      </c>
      <c r="C1401" s="249" t="str">
        <f t="shared" si="84"/>
        <v>T3</v>
      </c>
      <c r="D1401" s="14">
        <v>2003</v>
      </c>
      <c r="E1401" s="13">
        <v>953763</v>
      </c>
      <c r="F1401" s="249">
        <v>2.4</v>
      </c>
      <c r="G1401" s="249">
        <v>2.7</v>
      </c>
      <c r="H1401" s="249" t="str">
        <f t="shared" si="85"/>
        <v>D</v>
      </c>
      <c r="I1401" s="249">
        <f t="shared" si="81"/>
        <v>1</v>
      </c>
      <c r="J1401" s="143">
        <v>8000</v>
      </c>
      <c r="K1401" s="249" t="str">
        <f t="shared" si="86"/>
        <v>HC</v>
      </c>
      <c r="M1401" s="249">
        <f t="shared" si="82"/>
        <v>12</v>
      </c>
      <c r="N1401" s="249">
        <f t="shared" si="83"/>
        <v>11</v>
      </c>
      <c r="Z1401" s="130">
        <v>0.5</v>
      </c>
      <c r="AA1401" s="249">
        <v>3</v>
      </c>
      <c r="AB1401" s="250">
        <v>19000</v>
      </c>
      <c r="AC1401" s="250" t="s">
        <v>352</v>
      </c>
      <c r="AD1401" s="250">
        <v>40000</v>
      </c>
      <c r="AE1401" s="250">
        <v>120000</v>
      </c>
      <c r="AF1401" s="250" t="s">
        <v>352</v>
      </c>
    </row>
    <row r="1402" spans="2:32" x14ac:dyDescent="0.25">
      <c r="B1402" s="61" t="s">
        <v>2318</v>
      </c>
      <c r="C1402" s="249" t="str">
        <f t="shared" si="84"/>
        <v>T3</v>
      </c>
      <c r="D1402" s="14">
        <v>2004</v>
      </c>
      <c r="E1402" s="13">
        <v>829615</v>
      </c>
      <c r="F1402" s="249">
        <v>2.5</v>
      </c>
      <c r="G1402" s="249">
        <v>2.8</v>
      </c>
      <c r="H1402" s="249" t="str">
        <f t="shared" si="85"/>
        <v>D</v>
      </c>
      <c r="I1402" s="249">
        <f t="shared" si="81"/>
        <v>1</v>
      </c>
      <c r="J1402" s="143">
        <v>8333</v>
      </c>
      <c r="K1402" s="249" t="str">
        <f t="shared" si="86"/>
        <v>PT</v>
      </c>
      <c r="M1402" s="249">
        <f t="shared" si="82"/>
        <v>11</v>
      </c>
      <c r="N1402" s="249">
        <f t="shared" si="83"/>
        <v>10</v>
      </c>
      <c r="Z1402" s="130">
        <v>0.1</v>
      </c>
      <c r="AA1402" s="249">
        <v>7</v>
      </c>
      <c r="AB1402" s="250">
        <v>20000</v>
      </c>
      <c r="AC1402" s="250">
        <v>200000</v>
      </c>
      <c r="AD1402" s="250">
        <v>40000</v>
      </c>
      <c r="AE1402" s="250">
        <v>100000</v>
      </c>
      <c r="AF1402" s="250" t="s">
        <v>352</v>
      </c>
    </row>
    <row r="1403" spans="2:32" x14ac:dyDescent="0.25">
      <c r="B1403" s="61" t="s">
        <v>2319</v>
      </c>
      <c r="C1403" s="249" t="str">
        <f t="shared" si="84"/>
        <v>T3</v>
      </c>
      <c r="D1403" s="14">
        <v>2001</v>
      </c>
      <c r="E1403" s="13" t="s">
        <v>352</v>
      </c>
      <c r="F1403" s="249">
        <v>2.4</v>
      </c>
      <c r="G1403" s="249">
        <v>2.7</v>
      </c>
      <c r="H1403" s="249" t="str">
        <f t="shared" si="85"/>
        <v>D</v>
      </c>
      <c r="I1403" s="249">
        <f t="shared" si="81"/>
        <v>1</v>
      </c>
      <c r="J1403" s="143">
        <v>10000</v>
      </c>
      <c r="K1403" s="249" t="str">
        <f t="shared" si="86"/>
        <v>HC</v>
      </c>
      <c r="M1403" s="249">
        <f t="shared" si="82"/>
        <v>14</v>
      </c>
      <c r="N1403" s="249">
        <f t="shared" si="83"/>
        <v>13</v>
      </c>
      <c r="Z1403" s="130">
        <v>0.1</v>
      </c>
      <c r="AA1403" s="249">
        <v>1</v>
      </c>
      <c r="AB1403" s="250">
        <v>35000</v>
      </c>
      <c r="AC1403" s="250" t="s">
        <v>352</v>
      </c>
      <c r="AD1403" s="250">
        <v>70000</v>
      </c>
      <c r="AE1403" s="250" t="s">
        <v>352</v>
      </c>
      <c r="AF1403" s="250" t="s">
        <v>352</v>
      </c>
    </row>
    <row r="1404" spans="2:32" x14ac:dyDescent="0.25">
      <c r="B1404" s="61" t="s">
        <v>2320</v>
      </c>
      <c r="C1404" s="249" t="str">
        <f t="shared" si="84"/>
        <v>T3</v>
      </c>
      <c r="D1404" s="14">
        <v>2005</v>
      </c>
      <c r="E1404" s="13">
        <v>793119</v>
      </c>
      <c r="F1404" s="249">
        <v>2.5</v>
      </c>
      <c r="G1404" s="249">
        <v>2.7</v>
      </c>
      <c r="H1404" s="249" t="str">
        <f t="shared" si="85"/>
        <v>D</v>
      </c>
      <c r="I1404" s="249">
        <f t="shared" si="81"/>
        <v>1</v>
      </c>
      <c r="J1404" s="143">
        <v>10000</v>
      </c>
      <c r="K1404" s="249" t="str">
        <f t="shared" si="86"/>
        <v>HC</v>
      </c>
      <c r="M1404" s="249">
        <f t="shared" si="82"/>
        <v>10</v>
      </c>
      <c r="N1404" s="249">
        <f t="shared" si="83"/>
        <v>9</v>
      </c>
      <c r="Z1404" s="130">
        <v>0.5</v>
      </c>
      <c r="AA1404" s="249">
        <v>3</v>
      </c>
      <c r="AB1404" s="250">
        <v>25000</v>
      </c>
      <c r="AC1404" s="250">
        <v>200000</v>
      </c>
      <c r="AD1404" s="250">
        <v>75000</v>
      </c>
      <c r="AE1404" s="250">
        <v>150000</v>
      </c>
      <c r="AF1404" s="250" t="s">
        <v>352</v>
      </c>
    </row>
    <row r="1405" spans="2:32" x14ac:dyDescent="0.25">
      <c r="B1405" s="61" t="s">
        <v>2321</v>
      </c>
      <c r="C1405" s="249" t="str">
        <f t="shared" si="84"/>
        <v>T3</v>
      </c>
      <c r="D1405" s="14">
        <v>2000</v>
      </c>
      <c r="E1405" s="13">
        <v>913625</v>
      </c>
      <c r="F1405" s="249">
        <v>2.4</v>
      </c>
      <c r="G1405" s="249">
        <v>2.7</v>
      </c>
      <c r="H1405" s="249" t="str">
        <f t="shared" si="85"/>
        <v>D</v>
      </c>
      <c r="I1405" s="249">
        <f t="shared" si="81"/>
        <v>1</v>
      </c>
      <c r="J1405" s="143">
        <v>9000</v>
      </c>
      <c r="K1405" s="249" t="str">
        <f t="shared" si="86"/>
        <v>HC</v>
      </c>
      <c r="M1405" s="249">
        <f t="shared" si="82"/>
        <v>15</v>
      </c>
      <c r="N1405" s="249">
        <f t="shared" si="83"/>
        <v>14</v>
      </c>
      <c r="Z1405" s="130">
        <v>0.05</v>
      </c>
      <c r="AA1405" s="249">
        <v>3</v>
      </c>
      <c r="AB1405" s="250">
        <v>30000</v>
      </c>
      <c r="AC1405" s="250" t="s">
        <v>352</v>
      </c>
      <c r="AD1405" s="250" t="s">
        <v>352</v>
      </c>
      <c r="AE1405" s="250" t="s">
        <v>352</v>
      </c>
      <c r="AF1405" s="250" t="s">
        <v>352</v>
      </c>
    </row>
    <row r="1406" spans="2:32" x14ac:dyDescent="0.25">
      <c r="B1406" s="61" t="s">
        <v>2322</v>
      </c>
      <c r="C1406" s="249" t="str">
        <f t="shared" si="84"/>
        <v>T3</v>
      </c>
      <c r="D1406" s="14">
        <v>2004</v>
      </c>
      <c r="E1406" s="13">
        <v>861753</v>
      </c>
      <c r="F1406" s="249">
        <v>2.4</v>
      </c>
      <c r="G1406" s="249">
        <v>2.7</v>
      </c>
      <c r="H1406" s="249" t="str">
        <f t="shared" si="85"/>
        <v>D</v>
      </c>
      <c r="I1406" s="249">
        <f t="shared" si="81"/>
        <v>1</v>
      </c>
      <c r="J1406" s="143">
        <v>10000</v>
      </c>
      <c r="K1406" s="249" t="str">
        <f t="shared" si="86"/>
        <v>HC</v>
      </c>
      <c r="M1406" s="249">
        <f t="shared" si="82"/>
        <v>11</v>
      </c>
      <c r="N1406" s="249">
        <f t="shared" si="83"/>
        <v>10</v>
      </c>
      <c r="Z1406" s="130">
        <v>0.5</v>
      </c>
      <c r="AA1406" s="249">
        <v>3</v>
      </c>
      <c r="AB1406" s="250">
        <v>22000</v>
      </c>
      <c r="AC1406" s="250" t="s">
        <v>352</v>
      </c>
      <c r="AD1406" s="250">
        <v>45000</v>
      </c>
      <c r="AE1406" s="250" t="s">
        <v>352</v>
      </c>
      <c r="AF1406" s="250" t="s">
        <v>352</v>
      </c>
    </row>
    <row r="1407" spans="2:32" x14ac:dyDescent="0.25">
      <c r="B1407" s="61" t="s">
        <v>2323</v>
      </c>
      <c r="C1407" s="249" t="str">
        <f t="shared" si="84"/>
        <v>T3</v>
      </c>
      <c r="D1407" s="14">
        <v>2004</v>
      </c>
      <c r="E1407" s="13">
        <v>767982</v>
      </c>
      <c r="F1407" s="249">
        <v>2.4</v>
      </c>
      <c r="G1407" s="249">
        <v>2.7</v>
      </c>
      <c r="H1407" s="249" t="str">
        <f t="shared" si="85"/>
        <v>D</v>
      </c>
      <c r="I1407" s="249">
        <f t="shared" si="81"/>
        <v>1</v>
      </c>
      <c r="J1407" s="143">
        <v>8000</v>
      </c>
      <c r="K1407" s="249" t="str">
        <f t="shared" si="86"/>
        <v>HC</v>
      </c>
      <c r="M1407" s="249">
        <f t="shared" si="82"/>
        <v>11</v>
      </c>
      <c r="N1407" s="249">
        <f t="shared" si="83"/>
        <v>10</v>
      </c>
      <c r="Z1407" s="130">
        <v>0.5</v>
      </c>
      <c r="AA1407" s="249">
        <v>3</v>
      </c>
      <c r="AB1407" s="250">
        <v>18000</v>
      </c>
      <c r="AC1407" s="250">
        <v>200000</v>
      </c>
      <c r="AD1407" s="250">
        <v>36000</v>
      </c>
      <c r="AE1407" s="250">
        <v>100000</v>
      </c>
      <c r="AF1407" s="250" t="s">
        <v>352</v>
      </c>
    </row>
    <row r="1408" spans="2:32" x14ac:dyDescent="0.25">
      <c r="B1408" s="61" t="s">
        <v>2324</v>
      </c>
      <c r="C1408" s="249" t="str">
        <f t="shared" si="84"/>
        <v>T3</v>
      </c>
      <c r="D1408" s="14">
        <v>2005</v>
      </c>
      <c r="E1408" s="13">
        <v>759836</v>
      </c>
      <c r="F1408" s="249">
        <v>2.4</v>
      </c>
      <c r="G1408" s="249">
        <v>2.6</v>
      </c>
      <c r="H1408" s="249" t="str">
        <f t="shared" si="85"/>
        <v>D</v>
      </c>
      <c r="I1408" s="249">
        <f t="shared" si="81"/>
        <v>1</v>
      </c>
      <c r="J1408" s="143">
        <v>10000</v>
      </c>
      <c r="K1408" s="249" t="str">
        <f t="shared" si="86"/>
        <v>HC</v>
      </c>
      <c r="M1408" s="249">
        <f t="shared" si="82"/>
        <v>10</v>
      </c>
      <c r="N1408" s="249">
        <f t="shared" si="83"/>
        <v>9</v>
      </c>
      <c r="Z1408" s="130">
        <v>0.5</v>
      </c>
      <c r="AA1408" s="249">
        <v>3</v>
      </c>
      <c r="AB1408" s="250">
        <v>20000</v>
      </c>
      <c r="AC1408" s="250">
        <v>180000</v>
      </c>
      <c r="AD1408" s="250">
        <v>40000</v>
      </c>
      <c r="AE1408" s="250">
        <v>120000</v>
      </c>
      <c r="AF1408" s="250" t="s">
        <v>352</v>
      </c>
    </row>
    <row r="1409" spans="2:32" x14ac:dyDescent="0.25">
      <c r="B1409" s="61" t="s">
        <v>2325</v>
      </c>
      <c r="C1409" s="249" t="str">
        <f t="shared" si="84"/>
        <v>C3</v>
      </c>
      <c r="D1409" s="14">
        <v>2006</v>
      </c>
      <c r="E1409" s="13">
        <v>573903</v>
      </c>
      <c r="F1409" s="249">
        <v>3.2</v>
      </c>
      <c r="G1409" s="249">
        <v>3.8</v>
      </c>
      <c r="H1409" s="249" t="str">
        <f t="shared" si="85"/>
        <v>D</v>
      </c>
      <c r="I1409" s="249">
        <f t="shared" si="81"/>
        <v>1</v>
      </c>
      <c r="J1409" s="143">
        <v>10000</v>
      </c>
      <c r="K1409" s="249" t="str">
        <f t="shared" si="86"/>
        <v>PT</v>
      </c>
      <c r="M1409" s="249">
        <f t="shared" si="82"/>
        <v>9</v>
      </c>
      <c r="N1409" s="249">
        <f t="shared" si="83"/>
        <v>8</v>
      </c>
      <c r="Z1409" s="130">
        <v>0.5</v>
      </c>
      <c r="AA1409" s="249">
        <v>7</v>
      </c>
      <c r="AB1409" s="250">
        <v>22000</v>
      </c>
      <c r="AC1409" s="250">
        <v>240000</v>
      </c>
      <c r="AD1409" s="250">
        <v>44000</v>
      </c>
      <c r="AE1409" s="250">
        <v>120000</v>
      </c>
      <c r="AF1409" s="250" t="s">
        <v>352</v>
      </c>
    </row>
    <row r="1410" spans="2:32" x14ac:dyDescent="0.25">
      <c r="B1410" s="61" t="s">
        <v>2326</v>
      </c>
      <c r="C1410" s="249" t="str">
        <f t="shared" si="84"/>
        <v>C3</v>
      </c>
      <c r="D1410" s="14">
        <v>1997</v>
      </c>
      <c r="E1410" s="13" t="s">
        <v>352</v>
      </c>
      <c r="F1410" s="249">
        <v>3.1</v>
      </c>
      <c r="G1410" s="249">
        <v>3.4</v>
      </c>
      <c r="H1410" s="249" t="str">
        <f t="shared" si="85"/>
        <v>D</v>
      </c>
      <c r="I1410" s="249">
        <f t="shared" si="81"/>
        <v>1</v>
      </c>
      <c r="J1410" s="143">
        <v>9000</v>
      </c>
      <c r="K1410" s="249" t="str">
        <f t="shared" si="86"/>
        <v>HC</v>
      </c>
      <c r="M1410" s="249">
        <f t="shared" si="82"/>
        <v>18</v>
      </c>
      <c r="N1410" s="249">
        <f t="shared" si="83"/>
        <v>17</v>
      </c>
      <c r="Z1410" s="130">
        <v>0.1</v>
      </c>
      <c r="AA1410" s="249">
        <v>2</v>
      </c>
      <c r="AB1410" s="250">
        <v>30000</v>
      </c>
      <c r="AC1410" s="250" t="s">
        <v>352</v>
      </c>
      <c r="AD1410" s="250">
        <v>60000</v>
      </c>
      <c r="AE1410" s="250" t="s">
        <v>352</v>
      </c>
      <c r="AF1410" s="250" t="s">
        <v>352</v>
      </c>
    </row>
    <row r="1411" spans="2:32" x14ac:dyDescent="0.25">
      <c r="B1411" s="61" t="s">
        <v>2327</v>
      </c>
      <c r="C1411" s="249" t="str">
        <f t="shared" si="84"/>
        <v>T3</v>
      </c>
      <c r="D1411" s="14">
        <v>1998</v>
      </c>
      <c r="E1411" s="13" t="s">
        <v>352</v>
      </c>
      <c r="F1411" s="249">
        <v>2.2000000000000002</v>
      </c>
      <c r="G1411" s="249">
        <v>2.6</v>
      </c>
      <c r="H1411" s="249" t="str">
        <f t="shared" si="85"/>
        <v>D</v>
      </c>
      <c r="I1411" s="249">
        <f t="shared" si="81"/>
        <v>1</v>
      </c>
      <c r="J1411" s="143">
        <v>9000</v>
      </c>
      <c r="K1411" s="249" t="str">
        <f t="shared" si="86"/>
        <v>HC</v>
      </c>
      <c r="M1411" s="249">
        <f t="shared" si="82"/>
        <v>17</v>
      </c>
      <c r="N1411" s="249">
        <f t="shared" si="83"/>
        <v>16</v>
      </c>
      <c r="Z1411" s="130">
        <v>0.2</v>
      </c>
      <c r="AA1411" s="249">
        <v>3</v>
      </c>
      <c r="AB1411" s="250">
        <v>35000</v>
      </c>
      <c r="AC1411" s="250">
        <v>24000</v>
      </c>
      <c r="AD1411" s="250">
        <v>70000</v>
      </c>
      <c r="AE1411" s="250">
        <v>120000</v>
      </c>
      <c r="AF1411" s="250" t="s">
        <v>352</v>
      </c>
    </row>
    <row r="1412" spans="2:32" x14ac:dyDescent="0.25">
      <c r="B1412" s="61" t="s">
        <v>2328</v>
      </c>
      <c r="C1412" s="249" t="str">
        <f t="shared" si="84"/>
        <v>C2</v>
      </c>
      <c r="D1412" s="14">
        <v>1980</v>
      </c>
      <c r="E1412" s="13" t="s">
        <v>352</v>
      </c>
      <c r="F1412" s="249">
        <v>4.5999999999999996</v>
      </c>
      <c r="G1412" s="249">
        <v>4.9000000000000004</v>
      </c>
      <c r="H1412" s="249" t="str">
        <f t="shared" si="85"/>
        <v>G</v>
      </c>
      <c r="I1412" s="249">
        <f t="shared" si="81"/>
        <v>1</v>
      </c>
      <c r="J1412" s="143">
        <v>6000</v>
      </c>
      <c r="K1412" s="249" t="str">
        <f t="shared" si="86"/>
        <v>HC</v>
      </c>
      <c r="M1412" s="249">
        <f t="shared" si="82"/>
        <v>35</v>
      </c>
      <c r="N1412" s="249">
        <f t="shared" si="83"/>
        <v>34</v>
      </c>
      <c r="Z1412" s="130">
        <v>0.2</v>
      </c>
      <c r="AA1412" s="249">
        <v>2</v>
      </c>
      <c r="AB1412" s="250">
        <v>30000</v>
      </c>
      <c r="AC1412" s="250" t="s">
        <v>352</v>
      </c>
      <c r="AD1412" s="250">
        <v>30000</v>
      </c>
      <c r="AE1412" s="250" t="s">
        <v>352</v>
      </c>
      <c r="AF1412" s="250" t="s">
        <v>352</v>
      </c>
    </row>
    <row r="1413" spans="2:32" x14ac:dyDescent="0.25">
      <c r="B1413" s="61" t="s">
        <v>2329</v>
      </c>
      <c r="C1413" s="249" t="str">
        <f t="shared" si="84"/>
        <v>T3</v>
      </c>
      <c r="D1413" s="14">
        <v>2004</v>
      </c>
      <c r="E1413" s="13">
        <v>750969</v>
      </c>
      <c r="F1413" s="249">
        <v>2.5</v>
      </c>
      <c r="G1413" s="249">
        <v>2.7</v>
      </c>
      <c r="H1413" s="249" t="str">
        <f t="shared" si="85"/>
        <v>D</v>
      </c>
      <c r="I1413" s="249">
        <f t="shared" si="81"/>
        <v>1</v>
      </c>
      <c r="J1413" s="143">
        <v>7000</v>
      </c>
      <c r="K1413" s="249" t="str">
        <f t="shared" si="86"/>
        <v>HC</v>
      </c>
      <c r="M1413" s="249">
        <f t="shared" si="82"/>
        <v>11</v>
      </c>
      <c r="N1413" s="249">
        <f t="shared" si="83"/>
        <v>10</v>
      </c>
      <c r="Z1413" s="130">
        <v>0.5</v>
      </c>
      <c r="AA1413" s="249">
        <v>3</v>
      </c>
      <c r="AB1413" s="250">
        <v>20000</v>
      </c>
      <c r="AC1413" s="250" t="s">
        <v>352</v>
      </c>
      <c r="AD1413" s="250">
        <v>40000</v>
      </c>
      <c r="AE1413" s="250" t="s">
        <v>352</v>
      </c>
      <c r="AF1413" s="250" t="s">
        <v>352</v>
      </c>
    </row>
    <row r="1414" spans="2:32" x14ac:dyDescent="0.25">
      <c r="B1414" s="61" t="s">
        <v>2330</v>
      </c>
      <c r="C1414" s="249" t="str">
        <f t="shared" si="84"/>
        <v>C3</v>
      </c>
      <c r="D1414" s="14">
        <v>1980</v>
      </c>
      <c r="E1414" s="13" t="s">
        <v>352</v>
      </c>
      <c r="F1414" s="249">
        <v>3</v>
      </c>
      <c r="G1414" s="249">
        <v>3.6</v>
      </c>
      <c r="H1414" s="249" t="str">
        <f t="shared" si="85"/>
        <v>D</v>
      </c>
      <c r="I1414" s="249">
        <f t="shared" ref="I1414:I1437" si="87">IF(F1414&gt;G1414,0,1)</f>
        <v>1</v>
      </c>
      <c r="J1414" s="143">
        <v>6000</v>
      </c>
      <c r="K1414" s="249" t="str">
        <f t="shared" si="86"/>
        <v>HC</v>
      </c>
      <c r="M1414" s="249">
        <f t="shared" ref="M1414:M1437" si="88">2015-D1414</f>
        <v>35</v>
      </c>
      <c r="N1414" s="249">
        <f t="shared" ref="N1414:N1437" si="89">2014-$D1414</f>
        <v>34</v>
      </c>
      <c r="Z1414" s="130">
        <v>0.5</v>
      </c>
      <c r="AA1414" s="249">
        <v>2</v>
      </c>
      <c r="AB1414" s="250">
        <v>35000</v>
      </c>
      <c r="AC1414" s="250" t="s">
        <v>352</v>
      </c>
      <c r="AD1414" s="250">
        <v>70000</v>
      </c>
      <c r="AE1414" s="250" t="s">
        <v>352</v>
      </c>
      <c r="AF1414" s="250" t="s">
        <v>352</v>
      </c>
    </row>
    <row r="1415" spans="2:32" x14ac:dyDescent="0.25">
      <c r="B1415" s="61" t="s">
        <v>2331</v>
      </c>
      <c r="C1415" s="249" t="str">
        <f t="shared" si="84"/>
        <v>T3</v>
      </c>
      <c r="D1415" s="14">
        <v>2004</v>
      </c>
      <c r="E1415" s="13">
        <v>758911</v>
      </c>
      <c r="F1415" s="249">
        <v>2.4</v>
      </c>
      <c r="G1415" s="249">
        <v>2.7</v>
      </c>
      <c r="H1415" s="249" t="str">
        <f t="shared" si="85"/>
        <v>D</v>
      </c>
      <c r="I1415" s="249">
        <f t="shared" si="87"/>
        <v>1</v>
      </c>
      <c r="J1415" s="143">
        <v>10000</v>
      </c>
      <c r="K1415" s="249" t="str">
        <f t="shared" si="86"/>
        <v>HC</v>
      </c>
      <c r="M1415" s="249">
        <f t="shared" si="88"/>
        <v>11</v>
      </c>
      <c r="N1415" s="249">
        <f t="shared" si="89"/>
        <v>10</v>
      </c>
      <c r="Z1415" s="130">
        <v>0.5</v>
      </c>
      <c r="AA1415" s="249">
        <v>3</v>
      </c>
      <c r="AB1415" s="250">
        <v>20000</v>
      </c>
      <c r="AC1415" s="250" t="s">
        <v>352</v>
      </c>
      <c r="AD1415" s="250" t="s">
        <v>352</v>
      </c>
      <c r="AE1415" s="250" t="s">
        <v>352</v>
      </c>
      <c r="AF1415" s="250" t="s">
        <v>352</v>
      </c>
    </row>
    <row r="1416" spans="2:32" x14ac:dyDescent="0.25">
      <c r="B1416" s="61" t="s">
        <v>2332</v>
      </c>
      <c r="C1416" s="249" t="str">
        <f t="shared" si="84"/>
        <v>C3</v>
      </c>
      <c r="D1416" s="14">
        <v>2001</v>
      </c>
      <c r="E1416" s="13" t="s">
        <v>352</v>
      </c>
      <c r="F1416" s="249">
        <v>2.2000000000000002</v>
      </c>
      <c r="G1416" s="249">
        <v>2.7</v>
      </c>
      <c r="H1416" s="249" t="str">
        <f t="shared" si="85"/>
        <v>D</v>
      </c>
      <c r="I1416" s="249">
        <f t="shared" si="87"/>
        <v>1</v>
      </c>
      <c r="J1416" s="143">
        <v>8000</v>
      </c>
      <c r="K1416" s="249" t="str">
        <f t="shared" si="86"/>
        <v>HC</v>
      </c>
      <c r="M1416" s="249">
        <f t="shared" si="88"/>
        <v>14</v>
      </c>
      <c r="N1416" s="249">
        <f t="shared" si="89"/>
        <v>13</v>
      </c>
      <c r="Z1416" s="130">
        <v>0.5</v>
      </c>
      <c r="AA1416" s="249">
        <v>2</v>
      </c>
      <c r="AB1416" s="250">
        <v>15000</v>
      </c>
      <c r="AC1416" s="250">
        <v>200000</v>
      </c>
      <c r="AD1416" s="250">
        <v>60000</v>
      </c>
      <c r="AE1416" s="250">
        <v>180000</v>
      </c>
      <c r="AF1416" s="250" t="s">
        <v>352</v>
      </c>
    </row>
    <row r="1417" spans="2:32" x14ac:dyDescent="0.25">
      <c r="B1417" s="61" t="s">
        <v>2333</v>
      </c>
      <c r="C1417" s="249" t="str">
        <f t="shared" si="84"/>
        <v>C2</v>
      </c>
      <c r="D1417" s="14">
        <v>1973</v>
      </c>
      <c r="E1417" s="13" t="s">
        <v>352</v>
      </c>
      <c r="F1417" s="249">
        <v>2.4</v>
      </c>
      <c r="G1417" s="249">
        <v>2.7</v>
      </c>
      <c r="H1417" s="249" t="str">
        <f t="shared" si="85"/>
        <v>D</v>
      </c>
      <c r="I1417" s="249">
        <f t="shared" si="87"/>
        <v>1</v>
      </c>
      <c r="J1417" s="143">
        <v>5000</v>
      </c>
      <c r="K1417" s="249" t="str">
        <f t="shared" si="86"/>
        <v>HC</v>
      </c>
      <c r="M1417" s="249">
        <f t="shared" si="88"/>
        <v>42</v>
      </c>
      <c r="N1417" s="249">
        <f t="shared" si="89"/>
        <v>41</v>
      </c>
      <c r="Z1417" s="130">
        <v>0.5</v>
      </c>
      <c r="AA1417" s="249">
        <v>2</v>
      </c>
      <c r="AB1417" s="250">
        <v>60000</v>
      </c>
      <c r="AC1417" s="250" t="s">
        <v>352</v>
      </c>
      <c r="AD1417" s="250">
        <v>60000</v>
      </c>
      <c r="AE1417" s="250" t="s">
        <v>352</v>
      </c>
      <c r="AF1417" s="250" t="s">
        <v>352</v>
      </c>
    </row>
    <row r="1418" spans="2:32" x14ac:dyDescent="0.25">
      <c r="B1418" s="61" t="s">
        <v>2334</v>
      </c>
      <c r="C1418" s="249" t="str">
        <f t="shared" si="84"/>
        <v>T3</v>
      </c>
      <c r="D1418" s="14">
        <v>1985</v>
      </c>
      <c r="E1418" s="13" t="s">
        <v>352</v>
      </c>
      <c r="F1418" s="249">
        <v>2.4</v>
      </c>
      <c r="G1418" s="249">
        <v>2.7</v>
      </c>
      <c r="H1418" s="249" t="str">
        <f t="shared" si="85"/>
        <v>D</v>
      </c>
      <c r="I1418" s="249">
        <f t="shared" si="87"/>
        <v>1</v>
      </c>
      <c r="J1418" s="143">
        <v>8000</v>
      </c>
      <c r="K1418" s="249" t="str">
        <f t="shared" si="86"/>
        <v>HC</v>
      </c>
      <c r="M1418" s="249">
        <f t="shared" si="88"/>
        <v>30</v>
      </c>
      <c r="N1418" s="249">
        <f t="shared" si="89"/>
        <v>29</v>
      </c>
      <c r="Z1418" s="130">
        <v>0.1</v>
      </c>
      <c r="AA1418" s="249">
        <v>1</v>
      </c>
      <c r="AB1418" s="250">
        <v>40000</v>
      </c>
      <c r="AC1418" s="250" t="s">
        <v>352</v>
      </c>
      <c r="AD1418" s="250">
        <v>40000</v>
      </c>
      <c r="AE1418" s="250" t="s">
        <v>352</v>
      </c>
      <c r="AF1418" s="250" t="s">
        <v>352</v>
      </c>
    </row>
    <row r="1419" spans="2:32" x14ac:dyDescent="0.25">
      <c r="B1419" s="61" t="s">
        <v>2335</v>
      </c>
      <c r="C1419" s="249" t="str">
        <f t="shared" si="84"/>
        <v>T3</v>
      </c>
      <c r="D1419" s="14">
        <v>1989</v>
      </c>
      <c r="E1419" s="13">
        <v>787390</v>
      </c>
      <c r="F1419" s="249">
        <v>2</v>
      </c>
      <c r="G1419" s="249">
        <v>2.7</v>
      </c>
      <c r="H1419" s="249" t="str">
        <f t="shared" si="85"/>
        <v>D</v>
      </c>
      <c r="I1419" s="249">
        <f t="shared" si="87"/>
        <v>1</v>
      </c>
      <c r="J1419" s="143">
        <v>16000</v>
      </c>
      <c r="K1419" s="249" t="str">
        <f t="shared" si="86"/>
        <v>PT</v>
      </c>
      <c r="M1419" s="249">
        <f t="shared" si="88"/>
        <v>26</v>
      </c>
      <c r="N1419" s="249">
        <f t="shared" si="89"/>
        <v>25</v>
      </c>
      <c r="Z1419" s="130">
        <v>0.5</v>
      </c>
      <c r="AA1419" s="249">
        <v>7</v>
      </c>
      <c r="AB1419" s="250">
        <v>22000</v>
      </c>
      <c r="AC1419" s="250" t="s">
        <v>352</v>
      </c>
      <c r="AD1419" s="250">
        <v>44000</v>
      </c>
      <c r="AE1419" s="250" t="s">
        <v>352</v>
      </c>
      <c r="AF1419" s="250" t="s">
        <v>352</v>
      </c>
    </row>
    <row r="1420" spans="2:32" x14ac:dyDescent="0.25">
      <c r="B1420" s="61" t="s">
        <v>2336</v>
      </c>
      <c r="C1420" s="249" t="str">
        <f t="shared" si="84"/>
        <v>T3</v>
      </c>
      <c r="D1420" s="14">
        <v>2006</v>
      </c>
      <c r="E1420" s="13">
        <v>573815</v>
      </c>
      <c r="F1420" s="249">
        <v>2.4</v>
      </c>
      <c r="G1420" s="249">
        <v>2.7</v>
      </c>
      <c r="H1420" s="249" t="str">
        <f t="shared" si="85"/>
        <v>D</v>
      </c>
      <c r="I1420" s="249">
        <f t="shared" si="87"/>
        <v>1</v>
      </c>
      <c r="J1420" s="143">
        <v>8000</v>
      </c>
      <c r="K1420" s="249" t="str">
        <f t="shared" si="86"/>
        <v>HC</v>
      </c>
      <c r="M1420" s="249">
        <f t="shared" si="88"/>
        <v>9</v>
      </c>
      <c r="N1420" s="249">
        <f t="shared" si="89"/>
        <v>8</v>
      </c>
      <c r="Z1420" s="130">
        <v>0.2</v>
      </c>
      <c r="AA1420" s="249">
        <v>3</v>
      </c>
      <c r="AB1420" s="250">
        <v>60000</v>
      </c>
      <c r="AC1420" s="250">
        <v>50000</v>
      </c>
      <c r="AD1420" s="250">
        <v>60000</v>
      </c>
      <c r="AE1420" s="250">
        <v>130000</v>
      </c>
      <c r="AF1420" s="250">
        <v>50000</v>
      </c>
    </row>
    <row r="1421" spans="2:32" x14ac:dyDescent="0.25">
      <c r="B1421" s="61" t="s">
        <v>2337</v>
      </c>
      <c r="C1421" s="249" t="str">
        <f t="shared" si="84"/>
        <v>C3</v>
      </c>
      <c r="D1421" s="14">
        <v>1980</v>
      </c>
      <c r="E1421" s="13">
        <v>1900000</v>
      </c>
      <c r="F1421" s="249">
        <v>2.2000000000000002</v>
      </c>
      <c r="G1421" s="249">
        <v>2.4</v>
      </c>
      <c r="H1421" s="249" t="str">
        <f t="shared" si="85"/>
        <v>D</v>
      </c>
      <c r="I1421" s="249">
        <f t="shared" si="87"/>
        <v>1</v>
      </c>
      <c r="J1421" s="143">
        <v>6000</v>
      </c>
      <c r="K1421" s="249" t="str">
        <f t="shared" si="86"/>
        <v>HC</v>
      </c>
      <c r="M1421" s="249">
        <f t="shared" si="88"/>
        <v>35</v>
      </c>
      <c r="N1421" s="249">
        <f t="shared" si="89"/>
        <v>34</v>
      </c>
      <c r="Z1421" s="130">
        <v>0.5</v>
      </c>
      <c r="AA1421" s="249">
        <v>1</v>
      </c>
      <c r="AB1421" s="250">
        <v>40000</v>
      </c>
      <c r="AC1421" s="250">
        <v>60000</v>
      </c>
      <c r="AD1421" s="250">
        <v>40000</v>
      </c>
      <c r="AE1421" s="250">
        <v>100000</v>
      </c>
      <c r="AF1421" s="250">
        <v>40000</v>
      </c>
    </row>
    <row r="1422" spans="2:32" x14ac:dyDescent="0.25">
      <c r="B1422" s="61" t="s">
        <v>2338</v>
      </c>
      <c r="C1422" s="249" t="str">
        <f t="shared" si="84"/>
        <v>T3</v>
      </c>
      <c r="D1422" s="14">
        <v>1991</v>
      </c>
      <c r="E1422" s="13">
        <v>1200000</v>
      </c>
      <c r="F1422" s="249">
        <v>1.9</v>
      </c>
      <c r="G1422" s="249">
        <v>2.2000000000000002</v>
      </c>
      <c r="H1422" s="249" t="str">
        <f t="shared" si="85"/>
        <v>D</v>
      </c>
      <c r="I1422" s="249">
        <f t="shared" si="87"/>
        <v>1</v>
      </c>
      <c r="J1422" s="143">
        <v>5000</v>
      </c>
      <c r="K1422" s="249" t="str">
        <f t="shared" si="86"/>
        <v>PT</v>
      </c>
      <c r="M1422" s="249">
        <f t="shared" si="88"/>
        <v>24</v>
      </c>
      <c r="N1422" s="249">
        <f t="shared" si="89"/>
        <v>23</v>
      </c>
      <c r="Z1422" s="130">
        <v>0</v>
      </c>
      <c r="AA1422" s="249">
        <v>7</v>
      </c>
      <c r="AB1422" s="250">
        <v>25000</v>
      </c>
      <c r="AC1422" s="250" t="s">
        <v>352</v>
      </c>
      <c r="AD1422" s="250" t="s">
        <v>352</v>
      </c>
      <c r="AE1422" s="250" t="s">
        <v>352</v>
      </c>
      <c r="AF1422" s="250" t="s">
        <v>2466</v>
      </c>
    </row>
    <row r="1423" spans="2:32" x14ac:dyDescent="0.25">
      <c r="B1423" s="61" t="s">
        <v>2339</v>
      </c>
      <c r="C1423" s="249" t="str">
        <f t="shared" si="84"/>
        <v>T3</v>
      </c>
      <c r="D1423" s="14">
        <v>1996</v>
      </c>
      <c r="E1423" s="13">
        <v>614380</v>
      </c>
      <c r="F1423" s="249">
        <v>1.9</v>
      </c>
      <c r="G1423" s="249">
        <v>2.2000000000000002</v>
      </c>
      <c r="H1423" s="249" t="str">
        <f t="shared" si="85"/>
        <v>D</v>
      </c>
      <c r="I1423" s="249">
        <f t="shared" si="87"/>
        <v>1</v>
      </c>
      <c r="J1423" s="143">
        <v>6000</v>
      </c>
      <c r="K1423" s="249" t="str">
        <f t="shared" si="86"/>
        <v>HC</v>
      </c>
      <c r="M1423" s="249">
        <f t="shared" si="88"/>
        <v>19</v>
      </c>
      <c r="N1423" s="249">
        <f t="shared" si="89"/>
        <v>18</v>
      </c>
      <c r="Z1423" s="130">
        <v>0.5</v>
      </c>
      <c r="AA1423" s="249">
        <v>3</v>
      </c>
      <c r="AB1423" s="250">
        <v>18000</v>
      </c>
      <c r="AC1423" s="250">
        <v>84000</v>
      </c>
      <c r="AD1423" s="250" t="s">
        <v>352</v>
      </c>
      <c r="AE1423" s="250">
        <v>84000</v>
      </c>
      <c r="AF1423" s="250">
        <v>18000</v>
      </c>
    </row>
    <row r="1424" spans="2:32" x14ac:dyDescent="0.25">
      <c r="B1424" s="61" t="s">
        <v>2340</v>
      </c>
      <c r="C1424" s="249" t="str">
        <f t="shared" si="84"/>
        <v>C3</v>
      </c>
      <c r="D1424" s="14">
        <v>1990</v>
      </c>
      <c r="E1424" s="13" t="s">
        <v>352</v>
      </c>
      <c r="F1424" s="249">
        <v>2</v>
      </c>
      <c r="G1424" s="249">
        <v>2.2999999999999998</v>
      </c>
      <c r="H1424" s="249" t="str">
        <f t="shared" si="85"/>
        <v>D</v>
      </c>
      <c r="I1424" s="249">
        <f t="shared" si="87"/>
        <v>1</v>
      </c>
      <c r="J1424" s="143">
        <v>7000</v>
      </c>
      <c r="K1424" s="249" t="str">
        <f t="shared" si="86"/>
        <v>HC</v>
      </c>
      <c r="M1424" s="249">
        <f t="shared" si="88"/>
        <v>25</v>
      </c>
      <c r="N1424" s="249">
        <f t="shared" si="89"/>
        <v>24</v>
      </c>
      <c r="Z1424" s="130">
        <v>0.5</v>
      </c>
      <c r="AA1424" s="249">
        <v>3</v>
      </c>
      <c r="AB1424" s="250">
        <v>21000</v>
      </c>
      <c r="AC1424" s="250" t="s">
        <v>352</v>
      </c>
      <c r="AD1424" s="250" t="s">
        <v>352</v>
      </c>
      <c r="AE1424" s="250" t="s">
        <v>352</v>
      </c>
      <c r="AF1424" s="250">
        <v>21000</v>
      </c>
    </row>
    <row r="1425" spans="2:32" x14ac:dyDescent="0.25">
      <c r="B1425" s="61" t="s">
        <v>2341</v>
      </c>
      <c r="C1425" s="249" t="str">
        <f t="shared" si="84"/>
        <v>C3</v>
      </c>
      <c r="D1425" s="14">
        <v>1999</v>
      </c>
      <c r="E1425" s="13" t="s">
        <v>352</v>
      </c>
      <c r="F1425" s="249">
        <v>2</v>
      </c>
      <c r="G1425" s="249">
        <v>2.2999999999999998</v>
      </c>
      <c r="H1425" s="249" t="str">
        <f t="shared" si="85"/>
        <v>D</v>
      </c>
      <c r="I1425" s="249">
        <f t="shared" si="87"/>
        <v>1</v>
      </c>
      <c r="J1425" s="143">
        <v>7000</v>
      </c>
      <c r="K1425" s="249" t="str">
        <f t="shared" si="86"/>
        <v>HC</v>
      </c>
      <c r="M1425" s="249">
        <f t="shared" si="88"/>
        <v>16</v>
      </c>
      <c r="N1425" s="249">
        <f t="shared" si="89"/>
        <v>15</v>
      </c>
      <c r="Z1425" s="130">
        <v>0.5</v>
      </c>
      <c r="AA1425" s="249">
        <v>3</v>
      </c>
      <c r="AB1425" s="250">
        <v>21000</v>
      </c>
      <c r="AC1425" s="250" t="s">
        <v>352</v>
      </c>
      <c r="AD1425" s="250" t="s">
        <v>352</v>
      </c>
      <c r="AE1425" s="250" t="s">
        <v>352</v>
      </c>
      <c r="AF1425" s="250">
        <v>21000</v>
      </c>
    </row>
    <row r="1426" spans="2:32" x14ac:dyDescent="0.25">
      <c r="B1426" s="61" t="s">
        <v>2342</v>
      </c>
      <c r="C1426" s="249" t="str">
        <f t="shared" si="84"/>
        <v>T3</v>
      </c>
      <c r="D1426" s="14">
        <v>1994</v>
      </c>
      <c r="E1426" s="13">
        <v>1633250</v>
      </c>
      <c r="F1426" s="249">
        <v>2.4</v>
      </c>
      <c r="G1426" s="249">
        <v>3</v>
      </c>
      <c r="H1426" s="249" t="str">
        <f t="shared" si="85"/>
        <v>D</v>
      </c>
      <c r="I1426" s="249">
        <f t="shared" si="87"/>
        <v>1</v>
      </c>
      <c r="J1426" s="143">
        <v>2253</v>
      </c>
      <c r="K1426" s="249" t="str">
        <f t="shared" si="86"/>
        <v>PT</v>
      </c>
      <c r="M1426" s="249">
        <f t="shared" si="88"/>
        <v>21</v>
      </c>
      <c r="N1426" s="249">
        <f t="shared" si="89"/>
        <v>20</v>
      </c>
      <c r="Z1426" s="130">
        <v>0.15</v>
      </c>
      <c r="AA1426" s="249">
        <v>7</v>
      </c>
      <c r="AB1426" s="250">
        <v>11270</v>
      </c>
      <c r="AC1426" s="250" t="s">
        <v>352</v>
      </c>
      <c r="AD1426" s="250" t="s">
        <v>352</v>
      </c>
      <c r="AE1426" s="250" t="s">
        <v>352</v>
      </c>
      <c r="AF1426" s="250" t="s">
        <v>352</v>
      </c>
    </row>
    <row r="1427" spans="2:32" x14ac:dyDescent="0.25">
      <c r="B1427" s="61" t="s">
        <v>2343</v>
      </c>
      <c r="C1427" s="249" t="str">
        <f t="shared" si="84"/>
        <v>T3</v>
      </c>
      <c r="D1427" s="14">
        <v>1984</v>
      </c>
      <c r="E1427" s="13">
        <v>1400000</v>
      </c>
      <c r="F1427" s="249">
        <v>2</v>
      </c>
      <c r="G1427" s="249">
        <v>2.2000000000000002</v>
      </c>
      <c r="H1427" s="249" t="str">
        <f t="shared" si="85"/>
        <v>D</v>
      </c>
      <c r="I1427" s="249">
        <f t="shared" si="87"/>
        <v>1</v>
      </c>
      <c r="J1427" s="143">
        <v>8500</v>
      </c>
      <c r="K1427" s="249" t="str">
        <f t="shared" si="86"/>
        <v>PT</v>
      </c>
      <c r="M1427" s="249">
        <f t="shared" si="88"/>
        <v>31</v>
      </c>
      <c r="N1427" s="249">
        <f t="shared" si="89"/>
        <v>30</v>
      </c>
      <c r="Z1427" s="130">
        <v>0.3</v>
      </c>
      <c r="AA1427" s="249">
        <v>7</v>
      </c>
      <c r="AB1427" s="250">
        <v>25000</v>
      </c>
      <c r="AC1427" s="250">
        <v>30000</v>
      </c>
      <c r="AD1427" s="250">
        <v>50000</v>
      </c>
      <c r="AE1427" s="250">
        <v>90000</v>
      </c>
      <c r="AF1427" s="250">
        <v>10000</v>
      </c>
    </row>
    <row r="1428" spans="2:32" x14ac:dyDescent="0.25">
      <c r="B1428" s="61" t="s">
        <v>2344</v>
      </c>
      <c r="C1428" s="249" t="str">
        <f t="shared" si="84"/>
        <v>T3</v>
      </c>
      <c r="D1428" s="14">
        <v>1996</v>
      </c>
      <c r="E1428" s="13">
        <v>2500000</v>
      </c>
      <c r="F1428" s="249">
        <v>1.9</v>
      </c>
      <c r="G1428" s="249">
        <v>2.1</v>
      </c>
      <c r="H1428" s="249" t="str">
        <f t="shared" si="85"/>
        <v>D</v>
      </c>
      <c r="I1428" s="249">
        <f t="shared" si="87"/>
        <v>1</v>
      </c>
      <c r="J1428" s="143">
        <v>12000</v>
      </c>
      <c r="K1428" s="249" t="str">
        <f t="shared" si="86"/>
        <v>PT</v>
      </c>
      <c r="M1428" s="249">
        <f t="shared" si="88"/>
        <v>19</v>
      </c>
      <c r="N1428" s="249">
        <f t="shared" si="89"/>
        <v>18</v>
      </c>
      <c r="Z1428" s="130">
        <v>0.5</v>
      </c>
      <c r="AA1428" s="249">
        <v>7</v>
      </c>
      <c r="AB1428" s="250">
        <v>24000</v>
      </c>
      <c r="AC1428" s="250">
        <v>16000</v>
      </c>
      <c r="AD1428" s="250">
        <v>24000</v>
      </c>
      <c r="AE1428" s="250">
        <v>110000</v>
      </c>
      <c r="AF1428" s="250">
        <v>24000</v>
      </c>
    </row>
    <row r="1429" spans="2:32" x14ac:dyDescent="0.25">
      <c r="B1429" s="61" t="s">
        <v>2345</v>
      </c>
      <c r="C1429" s="249" t="str">
        <f t="shared" si="84"/>
        <v>T3</v>
      </c>
      <c r="D1429" s="14">
        <v>1995</v>
      </c>
      <c r="E1429" s="13">
        <v>61367</v>
      </c>
      <c r="F1429" s="249">
        <v>1.7</v>
      </c>
      <c r="G1429" s="249">
        <v>2.1</v>
      </c>
      <c r="H1429" s="249" t="str">
        <f t="shared" si="85"/>
        <v>D</v>
      </c>
      <c r="I1429" s="249">
        <f t="shared" si="87"/>
        <v>1</v>
      </c>
      <c r="J1429" s="143">
        <v>8000</v>
      </c>
      <c r="K1429" s="249" t="str">
        <f t="shared" si="86"/>
        <v>HC</v>
      </c>
      <c r="M1429" s="249">
        <f t="shared" si="88"/>
        <v>20</v>
      </c>
      <c r="N1429" s="249">
        <f t="shared" si="89"/>
        <v>19</v>
      </c>
      <c r="Z1429" s="130">
        <v>0.5</v>
      </c>
      <c r="AA1429" s="249">
        <v>2</v>
      </c>
      <c r="AB1429" s="250">
        <v>8000</v>
      </c>
      <c r="AC1429" s="250">
        <v>6000</v>
      </c>
      <c r="AD1429" s="250">
        <v>17000</v>
      </c>
      <c r="AE1429" s="250">
        <v>130000</v>
      </c>
      <c r="AF1429" s="250">
        <v>17000</v>
      </c>
    </row>
    <row r="1430" spans="2:32" x14ac:dyDescent="0.25">
      <c r="B1430" s="61" t="s">
        <v>2346</v>
      </c>
      <c r="C1430" s="249" t="str">
        <f t="shared" si="84"/>
        <v>T3</v>
      </c>
      <c r="D1430" s="14">
        <v>1994</v>
      </c>
      <c r="E1430" s="13" t="s">
        <v>352</v>
      </c>
      <c r="F1430" s="249">
        <v>2</v>
      </c>
      <c r="G1430" s="249">
        <v>2.5</v>
      </c>
      <c r="H1430" s="249" t="str">
        <f t="shared" si="85"/>
        <v>D</v>
      </c>
      <c r="I1430" s="249">
        <f t="shared" si="87"/>
        <v>1</v>
      </c>
      <c r="J1430" s="143">
        <v>8000</v>
      </c>
      <c r="K1430" s="249" t="str">
        <f t="shared" si="86"/>
        <v>PT</v>
      </c>
      <c r="M1430" s="249">
        <f t="shared" si="88"/>
        <v>21</v>
      </c>
      <c r="N1430" s="249">
        <f t="shared" si="89"/>
        <v>20</v>
      </c>
      <c r="Z1430" s="130">
        <v>0.5</v>
      </c>
      <c r="AA1430" s="249">
        <v>7</v>
      </c>
      <c r="AB1430" s="250">
        <v>15000</v>
      </c>
      <c r="AC1430" s="250">
        <v>10000</v>
      </c>
      <c r="AD1430" s="250">
        <v>22000</v>
      </c>
      <c r="AE1430" s="250">
        <v>150000</v>
      </c>
      <c r="AF1430" s="250">
        <v>22000</v>
      </c>
    </row>
    <row r="1431" spans="2:32" x14ac:dyDescent="0.25">
      <c r="B1431" s="61" t="s">
        <v>2347</v>
      </c>
      <c r="C1431" s="249" t="str">
        <f t="shared" si="84"/>
        <v>T3</v>
      </c>
      <c r="D1431" s="14">
        <v>1992</v>
      </c>
      <c r="E1431" s="13">
        <v>1300000</v>
      </c>
      <c r="F1431" s="249">
        <v>2</v>
      </c>
      <c r="G1431" s="249">
        <v>2.2999999999999998</v>
      </c>
      <c r="H1431" s="249" t="str">
        <f t="shared" si="85"/>
        <v>D</v>
      </c>
      <c r="I1431" s="249">
        <f t="shared" si="87"/>
        <v>1</v>
      </c>
      <c r="J1431" s="143">
        <v>6000</v>
      </c>
      <c r="K1431" s="249" t="str">
        <f t="shared" si="86"/>
        <v>PT</v>
      </c>
      <c r="M1431" s="249">
        <f t="shared" si="88"/>
        <v>23</v>
      </c>
      <c r="N1431" s="249">
        <f t="shared" si="89"/>
        <v>22</v>
      </c>
      <c r="Z1431" s="130">
        <v>0.5</v>
      </c>
      <c r="AA1431" s="249">
        <v>7</v>
      </c>
      <c r="AB1431" s="250">
        <v>18000</v>
      </c>
      <c r="AC1431" s="250">
        <v>15000</v>
      </c>
      <c r="AD1431" s="250" t="s">
        <v>352</v>
      </c>
      <c r="AE1431" s="250">
        <v>120000</v>
      </c>
      <c r="AF1431" s="250" t="s">
        <v>352</v>
      </c>
    </row>
    <row r="1432" spans="2:32" x14ac:dyDescent="0.25">
      <c r="B1432" s="61" t="s">
        <v>2348</v>
      </c>
      <c r="C1432" s="249" t="str">
        <f t="shared" si="84"/>
        <v>T3</v>
      </c>
      <c r="D1432" s="14">
        <v>2000</v>
      </c>
      <c r="E1432" s="13">
        <v>1100000</v>
      </c>
      <c r="F1432" s="249">
        <v>1.7</v>
      </c>
      <c r="G1432" s="249">
        <v>2</v>
      </c>
      <c r="H1432" s="249" t="str">
        <f t="shared" si="85"/>
        <v>D</v>
      </c>
      <c r="I1432" s="249">
        <f t="shared" si="87"/>
        <v>1</v>
      </c>
      <c r="J1432" s="143">
        <v>7000</v>
      </c>
      <c r="K1432" s="249" t="str">
        <f t="shared" si="86"/>
        <v>PT</v>
      </c>
      <c r="M1432" s="249">
        <f t="shared" si="88"/>
        <v>15</v>
      </c>
      <c r="N1432" s="249">
        <f t="shared" si="89"/>
        <v>14</v>
      </c>
      <c r="Z1432" s="130">
        <v>0.5</v>
      </c>
      <c r="AA1432" s="249">
        <v>7</v>
      </c>
      <c r="AB1432" s="250">
        <v>21000</v>
      </c>
      <c r="AC1432" s="250" t="s">
        <v>352</v>
      </c>
      <c r="AD1432" s="250" t="s">
        <v>352</v>
      </c>
      <c r="AE1432" s="250" t="s">
        <v>352</v>
      </c>
      <c r="AF1432" s="250" t="s">
        <v>352</v>
      </c>
    </row>
    <row r="1433" spans="2:32" x14ac:dyDescent="0.25">
      <c r="B1433" s="61" t="s">
        <v>2349</v>
      </c>
      <c r="C1433" s="249" t="str">
        <f t="shared" ref="C1433:C1437" si="90">IF(E1889="X","C2",IF(F1889="X","C3",IF(G1889="X","T2",IF(H1889="X","T3",0))))</f>
        <v>T3</v>
      </c>
      <c r="D1433" s="14">
        <v>1995</v>
      </c>
      <c r="E1433" s="13">
        <v>1824000</v>
      </c>
      <c r="F1433" s="249">
        <v>2</v>
      </c>
      <c r="G1433" s="249">
        <v>2.2999999999999998</v>
      </c>
      <c r="H1433" s="249" t="str">
        <f t="shared" ref="H1433:H1437" si="91">IF(B1889="X","G",IF(C1889="X","GAS",IF(D1889="X","D",0)))</f>
        <v>D</v>
      </c>
      <c r="I1433" s="249">
        <f t="shared" si="87"/>
        <v>1</v>
      </c>
      <c r="J1433" s="143">
        <v>10000</v>
      </c>
      <c r="K1433" s="249" t="str">
        <f t="shared" ref="K1433:K1437" si="92">IF(L1889="X","PT","HC")</f>
        <v>PT</v>
      </c>
      <c r="M1433" s="249">
        <f t="shared" si="88"/>
        <v>20</v>
      </c>
      <c r="N1433" s="249">
        <f t="shared" si="89"/>
        <v>19</v>
      </c>
      <c r="Z1433" s="130">
        <v>0.5</v>
      </c>
      <c r="AA1433" s="249">
        <v>7</v>
      </c>
      <c r="AB1433" s="250">
        <v>30000</v>
      </c>
      <c r="AC1433" s="250" t="s">
        <v>352</v>
      </c>
      <c r="AD1433" s="250" t="s">
        <v>352</v>
      </c>
      <c r="AE1433" s="250" t="s">
        <v>352</v>
      </c>
      <c r="AF1433" s="250">
        <v>30000</v>
      </c>
    </row>
    <row r="1434" spans="2:32" x14ac:dyDescent="0.25">
      <c r="B1434" s="61" t="s">
        <v>2350</v>
      </c>
      <c r="C1434" s="249" t="str">
        <f t="shared" si="90"/>
        <v>T3</v>
      </c>
      <c r="D1434" s="14">
        <v>1997</v>
      </c>
      <c r="E1434" s="13">
        <v>832000</v>
      </c>
      <c r="F1434" s="249">
        <v>2.8</v>
      </c>
      <c r="G1434" s="249">
        <v>3</v>
      </c>
      <c r="H1434" s="249" t="str">
        <f t="shared" si="91"/>
        <v>D</v>
      </c>
      <c r="I1434" s="249">
        <f t="shared" si="87"/>
        <v>1</v>
      </c>
      <c r="J1434" s="143">
        <v>3000</v>
      </c>
      <c r="K1434" s="249" t="str">
        <f t="shared" si="92"/>
        <v>HC</v>
      </c>
      <c r="M1434" s="249">
        <f t="shared" si="88"/>
        <v>18</v>
      </c>
      <c r="N1434" s="249">
        <f t="shared" si="89"/>
        <v>17</v>
      </c>
      <c r="Z1434" s="130">
        <v>0.4</v>
      </c>
      <c r="AA1434" s="249">
        <v>2</v>
      </c>
      <c r="AB1434" s="250">
        <v>25000</v>
      </c>
      <c r="AC1434" s="250">
        <v>50000</v>
      </c>
      <c r="AD1434" s="250">
        <v>25000</v>
      </c>
      <c r="AE1434" s="250">
        <v>50000</v>
      </c>
      <c r="AF1434" s="250">
        <v>25000</v>
      </c>
    </row>
    <row r="1435" spans="2:32" x14ac:dyDescent="0.25">
      <c r="B1435" s="61" t="s">
        <v>2351</v>
      </c>
      <c r="C1435" s="249" t="str">
        <f t="shared" si="90"/>
        <v>T3</v>
      </c>
      <c r="D1435" s="14">
        <v>1996</v>
      </c>
      <c r="E1435" s="13">
        <v>989000</v>
      </c>
      <c r="F1435" s="249">
        <v>2.8</v>
      </c>
      <c r="G1435" s="249">
        <v>3</v>
      </c>
      <c r="H1435" s="249" t="str">
        <f t="shared" si="91"/>
        <v>D</v>
      </c>
      <c r="I1435" s="249">
        <f t="shared" si="87"/>
        <v>1</v>
      </c>
      <c r="J1435" s="143">
        <v>3000</v>
      </c>
      <c r="K1435" s="249" t="str">
        <f t="shared" si="92"/>
        <v>HC</v>
      </c>
      <c r="M1435" s="249">
        <f t="shared" si="88"/>
        <v>19</v>
      </c>
      <c r="N1435" s="249">
        <f t="shared" si="89"/>
        <v>18</v>
      </c>
      <c r="Z1435" s="130">
        <v>0.4</v>
      </c>
      <c r="AA1435" s="249">
        <v>2</v>
      </c>
      <c r="AB1435" s="250">
        <v>25000</v>
      </c>
      <c r="AC1435" s="250">
        <v>50000</v>
      </c>
      <c r="AD1435" s="250">
        <v>25000</v>
      </c>
      <c r="AE1435" s="250">
        <v>50000</v>
      </c>
      <c r="AF1435" s="250">
        <v>25000</v>
      </c>
    </row>
    <row r="1436" spans="2:32" x14ac:dyDescent="0.25">
      <c r="B1436" s="61" t="s">
        <v>2352</v>
      </c>
      <c r="C1436" s="249" t="str">
        <f t="shared" si="90"/>
        <v>T3</v>
      </c>
      <c r="D1436" s="14">
        <v>1992</v>
      </c>
      <c r="E1436" s="13">
        <v>1100000</v>
      </c>
      <c r="F1436" s="249">
        <v>1.9</v>
      </c>
      <c r="G1436" s="249">
        <v>2.1</v>
      </c>
      <c r="H1436" s="249" t="str">
        <f t="shared" si="91"/>
        <v>D</v>
      </c>
      <c r="I1436" s="249">
        <f t="shared" si="87"/>
        <v>1</v>
      </c>
      <c r="J1436" s="143">
        <v>2800</v>
      </c>
      <c r="K1436" s="249" t="str">
        <f t="shared" si="92"/>
        <v>PT</v>
      </c>
      <c r="M1436" s="249">
        <f t="shared" si="88"/>
        <v>23</v>
      </c>
      <c r="N1436" s="249">
        <f t="shared" si="89"/>
        <v>22</v>
      </c>
      <c r="Z1436" s="130">
        <v>0.4</v>
      </c>
      <c r="AA1436" s="249">
        <v>7</v>
      </c>
      <c r="AB1436" s="250">
        <v>5000</v>
      </c>
      <c r="AC1436" s="250">
        <v>60000</v>
      </c>
      <c r="AD1436" s="250">
        <v>30000</v>
      </c>
      <c r="AE1436" s="250">
        <v>120000</v>
      </c>
      <c r="AF1436" s="250">
        <v>30000</v>
      </c>
    </row>
    <row r="1437" spans="2:32" x14ac:dyDescent="0.25">
      <c r="B1437" s="61" t="s">
        <v>2353</v>
      </c>
      <c r="C1437" s="249" t="str">
        <f t="shared" si="90"/>
        <v>T3</v>
      </c>
      <c r="D1437" s="14">
        <v>1985</v>
      </c>
      <c r="E1437" s="13" t="s">
        <v>908</v>
      </c>
      <c r="F1437" s="249">
        <v>1.8</v>
      </c>
      <c r="G1437" s="249">
        <v>1.9</v>
      </c>
      <c r="H1437" s="249" t="str">
        <f t="shared" si="91"/>
        <v>D</v>
      </c>
      <c r="I1437" s="249">
        <f t="shared" si="87"/>
        <v>1</v>
      </c>
      <c r="J1437" s="143">
        <v>4000</v>
      </c>
      <c r="K1437" s="249" t="str">
        <f t="shared" si="92"/>
        <v>HC</v>
      </c>
      <c r="M1437" s="249">
        <f t="shared" si="88"/>
        <v>30</v>
      </c>
      <c r="N1437" s="249">
        <f t="shared" si="89"/>
        <v>29</v>
      </c>
      <c r="Z1437" s="130">
        <v>0.5</v>
      </c>
      <c r="AA1437" s="249">
        <v>3</v>
      </c>
      <c r="AB1437" s="250">
        <v>10000</v>
      </c>
      <c r="AC1437" s="250">
        <v>25000</v>
      </c>
      <c r="AD1437" s="250">
        <v>30000</v>
      </c>
      <c r="AE1437" s="250">
        <v>130000</v>
      </c>
      <c r="AF1437" s="250">
        <v>10000</v>
      </c>
    </row>
    <row r="1438" spans="2:32" x14ac:dyDescent="0.25">
      <c r="M1438" s="122">
        <f>AVERAGE(M5:M1437)</f>
        <v>14.692951849267271</v>
      </c>
      <c r="N1438" s="122">
        <f>AVERAGE(N5:N1437)</f>
        <v>13.692951849267271</v>
      </c>
    </row>
    <row r="1439" spans="2:32" ht="15.75" thickBot="1" x14ac:dyDescent="0.3">
      <c r="M1439" s="249"/>
      <c r="N1439" s="249"/>
    </row>
    <row r="1440" spans="2:32" ht="51.75" thickBot="1" x14ac:dyDescent="0.3">
      <c r="B1440" s="116" t="s">
        <v>2364</v>
      </c>
      <c r="C1440" s="116" t="s">
        <v>2365</v>
      </c>
      <c r="D1440" s="116" t="s">
        <v>2366</v>
      </c>
      <c r="E1440" s="116" t="s">
        <v>2354</v>
      </c>
      <c r="F1440" s="116" t="s">
        <v>2355</v>
      </c>
      <c r="G1440" s="116" t="s">
        <v>2356</v>
      </c>
      <c r="H1440" s="116" t="s">
        <v>2357</v>
      </c>
      <c r="I1440" s="116" t="s">
        <v>2380</v>
      </c>
      <c r="J1440" s="116" t="s">
        <v>2381</v>
      </c>
      <c r="K1440" s="116" t="s">
        <v>2382</v>
      </c>
      <c r="L1440" s="132" t="s">
        <v>2383</v>
      </c>
      <c r="M1440" s="177" t="s">
        <v>2769</v>
      </c>
    </row>
    <row r="1441" spans="2:15" x14ac:dyDescent="0.25">
      <c r="B1441" s="55"/>
      <c r="C1441" s="55"/>
      <c r="D1441" s="55" t="s">
        <v>328</v>
      </c>
      <c r="E1441" s="55"/>
      <c r="F1441" s="55" t="s">
        <v>328</v>
      </c>
      <c r="G1441" s="55"/>
      <c r="H1441" s="55"/>
      <c r="I1441" s="55"/>
      <c r="J1441" s="55" t="s">
        <v>328</v>
      </c>
      <c r="K1441" s="55"/>
      <c r="L1441" s="133"/>
      <c r="M1441" s="177"/>
    </row>
    <row r="1442" spans="2:15" x14ac:dyDescent="0.25">
      <c r="B1442" s="14"/>
      <c r="C1442" s="14"/>
      <c r="D1442" s="14" t="s">
        <v>328</v>
      </c>
      <c r="E1442" s="14"/>
      <c r="F1442" s="14" t="s">
        <v>328</v>
      </c>
      <c r="G1442" s="14"/>
      <c r="H1442" s="14"/>
      <c r="I1442" s="14"/>
      <c r="J1442" s="14"/>
      <c r="K1442" s="14" t="s">
        <v>328</v>
      </c>
      <c r="L1442" s="134"/>
      <c r="M1442" s="177"/>
      <c r="N1442" s="17" t="s">
        <v>813</v>
      </c>
      <c r="O1442" s="17" t="s">
        <v>2773</v>
      </c>
    </row>
    <row r="1443" spans="2:15" x14ac:dyDescent="0.25">
      <c r="B1443" s="14"/>
      <c r="C1443" s="14"/>
      <c r="D1443" s="14" t="s">
        <v>328</v>
      </c>
      <c r="E1443" s="14" t="s">
        <v>328</v>
      </c>
      <c r="F1443" s="14"/>
      <c r="G1443" s="14"/>
      <c r="H1443" s="14"/>
      <c r="I1443" s="14"/>
      <c r="J1443" s="14"/>
      <c r="K1443" s="14" t="s">
        <v>328</v>
      </c>
      <c r="L1443" s="134"/>
      <c r="M1443" s="177"/>
      <c r="N1443" s="177" t="s">
        <v>814</v>
      </c>
      <c r="O1443" s="255">
        <f>AVERAGEIFS($N$5:$N$1437,$AA$5:$AA$1437,1)</f>
        <v>16.872727272727271</v>
      </c>
    </row>
    <row r="1444" spans="2:15" x14ac:dyDescent="0.25">
      <c r="B1444" s="14"/>
      <c r="C1444" s="14"/>
      <c r="D1444" s="14" t="s">
        <v>328</v>
      </c>
      <c r="E1444" s="14"/>
      <c r="F1444" s="14" t="s">
        <v>328</v>
      </c>
      <c r="G1444" s="14"/>
      <c r="H1444" s="14"/>
      <c r="I1444" s="14" t="s">
        <v>328</v>
      </c>
      <c r="J1444" s="14"/>
      <c r="K1444" s="14"/>
      <c r="L1444" s="134"/>
      <c r="M1444" s="177"/>
      <c r="N1444" s="177" t="s">
        <v>815</v>
      </c>
      <c r="O1444" s="255">
        <f>AVERAGEIFS(N5:N1437,AA5:AA1437,2)</f>
        <v>14.643153526970954</v>
      </c>
    </row>
    <row r="1445" spans="2:15" x14ac:dyDescent="0.25">
      <c r="B1445" s="14"/>
      <c r="C1445" s="14"/>
      <c r="D1445" s="14" t="s">
        <v>328</v>
      </c>
      <c r="E1445" s="14"/>
      <c r="F1445" s="14" t="s">
        <v>328</v>
      </c>
      <c r="G1445" s="14"/>
      <c r="H1445" s="14"/>
      <c r="I1445" s="14"/>
      <c r="J1445" s="14"/>
      <c r="K1445" s="14" t="s">
        <v>328</v>
      </c>
      <c r="L1445" s="134"/>
      <c r="M1445" s="177"/>
      <c r="N1445" s="177" t="s">
        <v>2770</v>
      </c>
      <c r="O1445" s="255">
        <f>AVERAGEIFS($N$5:$N$1437,$AA$5:$AA$1437,"&gt;2",$AA$5:$AA$1437,"&lt;6")</f>
        <v>13.067326732673267</v>
      </c>
    </row>
    <row r="1446" spans="2:15" x14ac:dyDescent="0.25">
      <c r="B1446" s="14"/>
      <c r="C1446" s="14"/>
      <c r="D1446" s="14" t="s">
        <v>328</v>
      </c>
      <c r="E1446" s="14"/>
      <c r="F1446" s="14"/>
      <c r="G1446" s="14"/>
      <c r="H1446" s="14" t="s">
        <v>328</v>
      </c>
      <c r="I1446" s="14"/>
      <c r="J1446" s="14" t="s">
        <v>328</v>
      </c>
      <c r="K1446" s="14"/>
      <c r="L1446" s="134"/>
      <c r="M1446" s="249"/>
      <c r="N1446" s="177" t="s">
        <v>2716</v>
      </c>
      <c r="O1446" s="255">
        <f>AVERAGEIFS($N$5:$N$1437,$AA$5:$AA$1437,"&gt;5",$AA$5:$AA$1437,"&lt;31")</f>
        <v>11.781553398058252</v>
      </c>
    </row>
    <row r="1447" spans="2:15" x14ac:dyDescent="0.25">
      <c r="B1447" s="14"/>
      <c r="C1447" s="14"/>
      <c r="D1447" s="14" t="s">
        <v>328</v>
      </c>
      <c r="E1447" s="14"/>
      <c r="F1447" s="14"/>
      <c r="G1447" s="14"/>
      <c r="H1447" s="14" t="s">
        <v>328</v>
      </c>
      <c r="I1447" s="14"/>
      <c r="J1447" s="14"/>
      <c r="K1447" s="14"/>
      <c r="L1447" s="134" t="s">
        <v>328</v>
      </c>
      <c r="M1447" s="249"/>
      <c r="N1447" s="177" t="s">
        <v>2771</v>
      </c>
      <c r="O1447" s="255">
        <f>AVERAGEIFS($N$5:$N$1437,$AA$5:$AA$1437,"&gt;1",$AA$5:$AA$1437,"&lt;31")</f>
        <v>12.937823834196891</v>
      </c>
    </row>
    <row r="1448" spans="2:15" x14ac:dyDescent="0.25">
      <c r="B1448" s="14"/>
      <c r="C1448" s="14"/>
      <c r="D1448" s="14" t="s">
        <v>328</v>
      </c>
      <c r="E1448" s="14"/>
      <c r="F1448" s="14" t="s">
        <v>328</v>
      </c>
      <c r="G1448" s="14"/>
      <c r="H1448" s="14"/>
      <c r="I1448" s="14"/>
      <c r="J1448" s="14" t="s">
        <v>328</v>
      </c>
      <c r="K1448" s="14"/>
      <c r="L1448" s="134"/>
      <c r="M1448" s="249"/>
      <c r="N1448" s="177" t="s">
        <v>2772</v>
      </c>
      <c r="O1448" s="255">
        <f>AVERAGEIFS($N$5:$N$1437,$AA$5:$AA$1437,"&gt;0",$AA$5:$AA$1437,"&lt;31")</f>
        <v>13.692951849267271</v>
      </c>
    </row>
    <row r="1449" spans="2:15" x14ac:dyDescent="0.25">
      <c r="B1449" s="14"/>
      <c r="C1449" s="14"/>
      <c r="D1449" s="14" t="s">
        <v>328</v>
      </c>
      <c r="E1449" s="14"/>
      <c r="F1449" s="14"/>
      <c r="G1449" s="14"/>
      <c r="H1449" s="14" t="s">
        <v>328</v>
      </c>
      <c r="I1449" s="14"/>
      <c r="J1449" s="14"/>
      <c r="K1449" s="14" t="s">
        <v>328</v>
      </c>
      <c r="L1449" s="134"/>
      <c r="M1449" s="249"/>
      <c r="N1449" s="249"/>
    </row>
    <row r="1450" spans="2:15" x14ac:dyDescent="0.25">
      <c r="B1450" s="14"/>
      <c r="C1450" s="14"/>
      <c r="D1450" s="14" t="s">
        <v>328</v>
      </c>
      <c r="E1450" s="14" t="s">
        <v>328</v>
      </c>
      <c r="F1450" s="14"/>
      <c r="G1450" s="14"/>
      <c r="H1450" s="14"/>
      <c r="I1450" s="14"/>
      <c r="J1450" s="14" t="s">
        <v>328</v>
      </c>
      <c r="K1450" s="14"/>
      <c r="L1450" s="134"/>
      <c r="M1450" s="249"/>
      <c r="N1450" s="249"/>
    </row>
    <row r="1451" spans="2:15" x14ac:dyDescent="0.25">
      <c r="B1451" s="14"/>
      <c r="C1451" s="14"/>
      <c r="D1451" s="14" t="s">
        <v>328</v>
      </c>
      <c r="E1451" s="14"/>
      <c r="F1451" s="14"/>
      <c r="G1451" s="14"/>
      <c r="H1451" s="14" t="s">
        <v>328</v>
      </c>
      <c r="I1451" s="14"/>
      <c r="J1451" s="14"/>
      <c r="K1451" s="14" t="s">
        <v>328</v>
      </c>
      <c r="L1451" s="134"/>
      <c r="M1451" s="249"/>
      <c r="N1451" s="249"/>
    </row>
    <row r="1452" spans="2:15" x14ac:dyDescent="0.25">
      <c r="B1452" s="14"/>
      <c r="C1452" s="14"/>
      <c r="D1452" s="14" t="s">
        <v>328</v>
      </c>
      <c r="E1452" s="14"/>
      <c r="F1452" s="14" t="s">
        <v>328</v>
      </c>
      <c r="G1452" s="14"/>
      <c r="H1452" s="14"/>
      <c r="I1452" s="14"/>
      <c r="J1452" s="14" t="s">
        <v>328</v>
      </c>
      <c r="K1452" s="14"/>
      <c r="L1452" s="134"/>
      <c r="M1452" s="249"/>
      <c r="N1452" s="249"/>
    </row>
    <row r="1453" spans="2:15" x14ac:dyDescent="0.25">
      <c r="B1453" s="14" t="s">
        <v>328</v>
      </c>
      <c r="C1453" s="14"/>
      <c r="D1453" s="14"/>
      <c r="E1453" s="14" t="s">
        <v>328</v>
      </c>
      <c r="F1453" s="14"/>
      <c r="G1453" s="14"/>
      <c r="H1453" s="14"/>
      <c r="I1453" s="14" t="s">
        <v>328</v>
      </c>
      <c r="J1453" s="14"/>
      <c r="K1453" s="14"/>
      <c r="L1453" s="134"/>
      <c r="M1453" s="249"/>
      <c r="N1453" s="249"/>
    </row>
    <row r="1454" spans="2:15" x14ac:dyDescent="0.25">
      <c r="B1454" s="14"/>
      <c r="C1454" s="14"/>
      <c r="D1454" s="14" t="s">
        <v>328</v>
      </c>
      <c r="E1454" s="14"/>
      <c r="F1454" s="14"/>
      <c r="G1454" s="14"/>
      <c r="H1454" s="14" t="s">
        <v>328</v>
      </c>
      <c r="I1454" s="14"/>
      <c r="J1454" s="14"/>
      <c r="K1454" s="14" t="s">
        <v>328</v>
      </c>
      <c r="L1454" s="134"/>
      <c r="M1454" s="249"/>
      <c r="N1454" s="249"/>
    </row>
    <row r="1455" spans="2:15" x14ac:dyDescent="0.25">
      <c r="B1455" s="14" t="s">
        <v>328</v>
      </c>
      <c r="C1455" s="14"/>
      <c r="D1455" s="14"/>
      <c r="E1455" s="14"/>
      <c r="F1455" s="14" t="s">
        <v>328</v>
      </c>
      <c r="G1455" s="14"/>
      <c r="H1455" s="14"/>
      <c r="I1455" s="14"/>
      <c r="J1455" s="14"/>
      <c r="K1455" s="14" t="s">
        <v>328</v>
      </c>
      <c r="L1455" s="134"/>
      <c r="M1455" s="249"/>
      <c r="N1455" s="249"/>
    </row>
    <row r="1456" spans="2:15" x14ac:dyDescent="0.25">
      <c r="B1456" s="14"/>
      <c r="C1456" s="14"/>
      <c r="D1456" s="14" t="s">
        <v>328</v>
      </c>
      <c r="E1456" s="14"/>
      <c r="F1456" s="14"/>
      <c r="G1456" s="14"/>
      <c r="H1456" s="14" t="s">
        <v>328</v>
      </c>
      <c r="I1456" s="14"/>
      <c r="J1456" s="14"/>
      <c r="K1456" s="14"/>
      <c r="L1456" s="134" t="s">
        <v>328</v>
      </c>
      <c r="M1456" s="249"/>
      <c r="N1456" s="249"/>
    </row>
    <row r="1457" spans="2:14" x14ac:dyDescent="0.25">
      <c r="B1457" s="14" t="s">
        <v>328</v>
      </c>
      <c r="C1457" s="14"/>
      <c r="D1457" s="14"/>
      <c r="E1457" s="14"/>
      <c r="F1457" s="14" t="s">
        <v>328</v>
      </c>
      <c r="G1457" s="14"/>
      <c r="H1457" s="14"/>
      <c r="I1457" s="14"/>
      <c r="J1457" s="14" t="s">
        <v>328</v>
      </c>
      <c r="K1457" s="14"/>
      <c r="L1457" s="134"/>
      <c r="M1457" s="249"/>
      <c r="N1457" s="249"/>
    </row>
    <row r="1458" spans="2:14" x14ac:dyDescent="0.25">
      <c r="B1458" s="14"/>
      <c r="C1458" s="14"/>
      <c r="D1458" s="14" t="s">
        <v>328</v>
      </c>
      <c r="E1458" s="14"/>
      <c r="F1458" s="14" t="s">
        <v>328</v>
      </c>
      <c r="G1458" s="14"/>
      <c r="H1458" s="14"/>
      <c r="I1458" s="14"/>
      <c r="J1458" s="14"/>
      <c r="K1458" s="14" t="s">
        <v>328</v>
      </c>
      <c r="L1458" s="134"/>
      <c r="M1458" s="249"/>
      <c r="N1458" s="249"/>
    </row>
    <row r="1459" spans="2:14" x14ac:dyDescent="0.25">
      <c r="B1459" s="14" t="s">
        <v>328</v>
      </c>
      <c r="C1459" s="14"/>
      <c r="D1459" s="14"/>
      <c r="E1459" s="14" t="s">
        <v>328</v>
      </c>
      <c r="F1459" s="14"/>
      <c r="G1459" s="14"/>
      <c r="H1459" s="14"/>
      <c r="I1459" s="14"/>
      <c r="J1459" s="14" t="s">
        <v>328</v>
      </c>
      <c r="K1459" s="14"/>
      <c r="L1459" s="134"/>
      <c r="M1459" s="249"/>
      <c r="N1459" s="249"/>
    </row>
    <row r="1460" spans="2:14" x14ac:dyDescent="0.25">
      <c r="B1460" s="14"/>
      <c r="C1460" s="14"/>
      <c r="D1460" s="14" t="s">
        <v>328</v>
      </c>
      <c r="E1460" s="14"/>
      <c r="F1460" s="14" t="s">
        <v>328</v>
      </c>
      <c r="G1460" s="14"/>
      <c r="H1460" s="14"/>
      <c r="I1460" s="14"/>
      <c r="J1460" s="14"/>
      <c r="K1460" s="14" t="s">
        <v>328</v>
      </c>
      <c r="L1460" s="134"/>
      <c r="M1460" s="249"/>
      <c r="N1460" s="249"/>
    </row>
    <row r="1461" spans="2:14" x14ac:dyDescent="0.25">
      <c r="B1461" s="14"/>
      <c r="C1461" s="14"/>
      <c r="D1461" s="14" t="s">
        <v>328</v>
      </c>
      <c r="E1461" s="14"/>
      <c r="F1461" s="14"/>
      <c r="G1461" s="14"/>
      <c r="H1461" s="14" t="s">
        <v>328</v>
      </c>
      <c r="I1461" s="14"/>
      <c r="J1461" s="14"/>
      <c r="K1461" s="14" t="s">
        <v>328</v>
      </c>
      <c r="L1461" s="134"/>
      <c r="M1461" s="249"/>
      <c r="N1461" s="249"/>
    </row>
    <row r="1462" spans="2:14" x14ac:dyDescent="0.25">
      <c r="B1462" s="14"/>
      <c r="C1462" s="14"/>
      <c r="D1462" s="14" t="s">
        <v>328</v>
      </c>
      <c r="E1462" s="14"/>
      <c r="F1462" s="14"/>
      <c r="G1462" s="14"/>
      <c r="H1462" s="14" t="s">
        <v>328</v>
      </c>
      <c r="I1462" s="14"/>
      <c r="J1462" s="14"/>
      <c r="K1462" s="14" t="s">
        <v>328</v>
      </c>
      <c r="L1462" s="134"/>
      <c r="M1462" s="249"/>
      <c r="N1462" s="249"/>
    </row>
    <row r="1463" spans="2:14" x14ac:dyDescent="0.25">
      <c r="B1463" s="14"/>
      <c r="C1463" s="14"/>
      <c r="D1463" s="14" t="s">
        <v>328</v>
      </c>
      <c r="E1463" s="14"/>
      <c r="F1463" s="14" t="s">
        <v>328</v>
      </c>
      <c r="G1463" s="14"/>
      <c r="H1463" s="14"/>
      <c r="I1463" s="14"/>
      <c r="J1463" s="14"/>
      <c r="K1463" s="14" t="s">
        <v>328</v>
      </c>
      <c r="L1463" s="134"/>
      <c r="M1463" s="249"/>
      <c r="N1463" s="249"/>
    </row>
    <row r="1464" spans="2:14" x14ac:dyDescent="0.25">
      <c r="B1464" s="14" t="s">
        <v>328</v>
      </c>
      <c r="C1464" s="14"/>
      <c r="D1464" s="14"/>
      <c r="E1464" s="14" t="s">
        <v>328</v>
      </c>
      <c r="F1464" s="14"/>
      <c r="G1464" s="14"/>
      <c r="H1464" s="14"/>
      <c r="I1464" s="14"/>
      <c r="J1464" s="14" t="s">
        <v>328</v>
      </c>
      <c r="K1464" s="14"/>
      <c r="L1464" s="134"/>
      <c r="M1464" s="249"/>
      <c r="N1464" s="249"/>
    </row>
    <row r="1465" spans="2:14" x14ac:dyDescent="0.25">
      <c r="B1465" s="14"/>
      <c r="C1465" s="14"/>
      <c r="D1465" s="14" t="s">
        <v>328</v>
      </c>
      <c r="E1465" s="14"/>
      <c r="F1465" s="14" t="s">
        <v>328</v>
      </c>
      <c r="G1465" s="14"/>
      <c r="H1465" s="14"/>
      <c r="I1465" s="14"/>
      <c r="J1465" s="14"/>
      <c r="K1465" s="14" t="s">
        <v>328</v>
      </c>
      <c r="L1465" s="134"/>
      <c r="M1465" s="249"/>
      <c r="N1465" s="249"/>
    </row>
    <row r="1466" spans="2:14" x14ac:dyDescent="0.25">
      <c r="B1466" s="14"/>
      <c r="C1466" s="14"/>
      <c r="D1466" s="14" t="s">
        <v>328</v>
      </c>
      <c r="E1466" s="14"/>
      <c r="F1466" s="14"/>
      <c r="G1466" s="14"/>
      <c r="H1466" s="14" t="s">
        <v>328</v>
      </c>
      <c r="I1466" s="14"/>
      <c r="J1466" s="14"/>
      <c r="K1466" s="14"/>
      <c r="L1466" s="134" t="s">
        <v>328</v>
      </c>
      <c r="M1466" s="249"/>
      <c r="N1466" s="249"/>
    </row>
    <row r="1467" spans="2:14" x14ac:dyDescent="0.25">
      <c r="B1467" s="14"/>
      <c r="C1467" s="14"/>
      <c r="D1467" s="14" t="s">
        <v>328</v>
      </c>
      <c r="E1467" s="14"/>
      <c r="F1467" s="14" t="s">
        <v>328</v>
      </c>
      <c r="G1467" s="14"/>
      <c r="H1467" s="14"/>
      <c r="I1467" s="14"/>
      <c r="J1467" s="14"/>
      <c r="K1467" s="14" t="s">
        <v>328</v>
      </c>
      <c r="L1467" s="134"/>
      <c r="M1467" s="249"/>
      <c r="N1467" s="249"/>
    </row>
    <row r="1468" spans="2:14" x14ac:dyDescent="0.25">
      <c r="B1468" s="14"/>
      <c r="C1468" s="14"/>
      <c r="D1468" s="14" t="s">
        <v>328</v>
      </c>
      <c r="E1468" s="14"/>
      <c r="F1468" s="14" t="s">
        <v>328</v>
      </c>
      <c r="G1468" s="14"/>
      <c r="H1468" s="14"/>
      <c r="I1468" s="14"/>
      <c r="J1468" s="14"/>
      <c r="K1468" s="14" t="s">
        <v>328</v>
      </c>
      <c r="L1468" s="134"/>
      <c r="M1468" s="249"/>
      <c r="N1468" s="249"/>
    </row>
    <row r="1469" spans="2:14" x14ac:dyDescent="0.25">
      <c r="B1469" s="14"/>
      <c r="C1469" s="14"/>
      <c r="D1469" s="14" t="s">
        <v>328</v>
      </c>
      <c r="E1469" s="14"/>
      <c r="F1469" s="14"/>
      <c r="G1469" s="14"/>
      <c r="H1469" s="14" t="s">
        <v>328</v>
      </c>
      <c r="I1469" s="14" t="s">
        <v>328</v>
      </c>
      <c r="J1469" s="14"/>
      <c r="K1469" s="14"/>
      <c r="L1469" s="134"/>
      <c r="M1469" s="249"/>
      <c r="N1469" s="249"/>
    </row>
    <row r="1470" spans="2:14" x14ac:dyDescent="0.25">
      <c r="B1470" s="14"/>
      <c r="C1470" s="14"/>
      <c r="D1470" s="14" t="s">
        <v>328</v>
      </c>
      <c r="E1470" s="14" t="s">
        <v>328</v>
      </c>
      <c r="F1470" s="14"/>
      <c r="G1470" s="14"/>
      <c r="H1470" s="14"/>
      <c r="I1470" s="14"/>
      <c r="J1470" s="14"/>
      <c r="K1470" s="14"/>
      <c r="L1470" s="134" t="s">
        <v>328</v>
      </c>
      <c r="M1470" s="249"/>
      <c r="N1470" s="249"/>
    </row>
    <row r="1471" spans="2:14" x14ac:dyDescent="0.25">
      <c r="B1471" s="14"/>
      <c r="C1471" s="14"/>
      <c r="D1471" s="14" t="s">
        <v>328</v>
      </c>
      <c r="E1471" s="14"/>
      <c r="F1471" s="14"/>
      <c r="G1471" s="14"/>
      <c r="H1471" s="14" t="s">
        <v>328</v>
      </c>
      <c r="I1471" s="14" t="s">
        <v>328</v>
      </c>
      <c r="J1471" s="14"/>
      <c r="K1471" s="14"/>
      <c r="L1471" s="134"/>
      <c r="M1471" s="249"/>
      <c r="N1471" s="249"/>
    </row>
    <row r="1472" spans="2:14" x14ac:dyDescent="0.25">
      <c r="B1472" s="14"/>
      <c r="C1472" s="14"/>
      <c r="D1472" s="14" t="s">
        <v>328</v>
      </c>
      <c r="E1472" s="14"/>
      <c r="F1472" s="14"/>
      <c r="G1472" s="14"/>
      <c r="H1472" s="14" t="s">
        <v>328</v>
      </c>
      <c r="I1472" s="14"/>
      <c r="J1472" s="14"/>
      <c r="K1472" s="14"/>
      <c r="L1472" s="134" t="s">
        <v>328</v>
      </c>
      <c r="M1472" s="249"/>
      <c r="N1472" s="249"/>
    </row>
    <row r="1473" spans="2:14" x14ac:dyDescent="0.25">
      <c r="B1473" s="14"/>
      <c r="C1473" s="14"/>
      <c r="D1473" s="14" t="s">
        <v>328</v>
      </c>
      <c r="E1473" s="14"/>
      <c r="F1473" s="14" t="s">
        <v>328</v>
      </c>
      <c r="G1473" s="14"/>
      <c r="H1473" s="14"/>
      <c r="I1473" s="14"/>
      <c r="J1473" s="14"/>
      <c r="K1473" s="14"/>
      <c r="L1473" s="134" t="s">
        <v>328</v>
      </c>
      <c r="M1473" s="249"/>
      <c r="N1473" s="249"/>
    </row>
    <row r="1474" spans="2:14" x14ac:dyDescent="0.25">
      <c r="B1474" s="14"/>
      <c r="C1474" s="14"/>
      <c r="D1474" s="14" t="s">
        <v>328</v>
      </c>
      <c r="E1474" s="14" t="s">
        <v>328</v>
      </c>
      <c r="F1474" s="14"/>
      <c r="G1474" s="14"/>
      <c r="H1474" s="14"/>
      <c r="I1474" s="14"/>
      <c r="J1474" s="14"/>
      <c r="K1474" s="14"/>
      <c r="L1474" s="134" t="s">
        <v>328</v>
      </c>
      <c r="M1474" s="249"/>
      <c r="N1474" s="249"/>
    </row>
    <row r="1475" spans="2:14" x14ac:dyDescent="0.25">
      <c r="B1475" s="14"/>
      <c r="C1475" s="14"/>
      <c r="D1475" s="14" t="s">
        <v>328</v>
      </c>
      <c r="E1475" s="14" t="s">
        <v>328</v>
      </c>
      <c r="F1475" s="14"/>
      <c r="G1475" s="14"/>
      <c r="H1475" s="14"/>
      <c r="I1475" s="14"/>
      <c r="J1475" s="14"/>
      <c r="K1475" s="14"/>
      <c r="L1475" s="134" t="s">
        <v>328</v>
      </c>
      <c r="M1475" s="249"/>
      <c r="N1475" s="249"/>
    </row>
    <row r="1476" spans="2:14" x14ac:dyDescent="0.25">
      <c r="B1476" s="14"/>
      <c r="C1476" s="14"/>
      <c r="D1476" s="14" t="s">
        <v>328</v>
      </c>
      <c r="E1476" s="14" t="s">
        <v>328</v>
      </c>
      <c r="F1476" s="14"/>
      <c r="G1476" s="14"/>
      <c r="H1476" s="14"/>
      <c r="I1476" s="14"/>
      <c r="J1476" s="14"/>
      <c r="K1476" s="14"/>
      <c r="L1476" s="134" t="s">
        <v>328</v>
      </c>
      <c r="M1476" s="249"/>
      <c r="N1476" s="249"/>
    </row>
    <row r="1477" spans="2:14" x14ac:dyDescent="0.25">
      <c r="B1477" s="117"/>
      <c r="C1477" s="117"/>
      <c r="D1477" s="117" t="s">
        <v>328</v>
      </c>
      <c r="E1477" s="117"/>
      <c r="F1477" s="117"/>
      <c r="G1477" s="117" t="s">
        <v>328</v>
      </c>
      <c r="H1477" s="117"/>
      <c r="I1477" s="117"/>
      <c r="J1477" s="117"/>
      <c r="K1477" s="117"/>
      <c r="L1477" s="135" t="s">
        <v>328</v>
      </c>
      <c r="M1477" s="249"/>
      <c r="N1477" s="249"/>
    </row>
    <row r="1478" spans="2:14" x14ac:dyDescent="0.25">
      <c r="B1478" s="14"/>
      <c r="C1478" s="14"/>
      <c r="D1478" s="14" t="s">
        <v>328</v>
      </c>
      <c r="E1478" s="14"/>
      <c r="F1478" s="14"/>
      <c r="G1478" s="14"/>
      <c r="H1478" s="14" t="s">
        <v>328</v>
      </c>
      <c r="I1478" s="14"/>
      <c r="J1478" s="14"/>
      <c r="K1478" s="14" t="s">
        <v>328</v>
      </c>
      <c r="L1478" s="134"/>
      <c r="M1478" s="249"/>
      <c r="N1478" s="249"/>
    </row>
    <row r="1479" spans="2:14" x14ac:dyDescent="0.25">
      <c r="B1479" s="14"/>
      <c r="C1479" s="14"/>
      <c r="D1479" s="14" t="s">
        <v>328</v>
      </c>
      <c r="E1479" s="14"/>
      <c r="F1479" s="14"/>
      <c r="G1479" s="14"/>
      <c r="H1479" s="14" t="s">
        <v>328</v>
      </c>
      <c r="I1479" s="14" t="s">
        <v>328</v>
      </c>
      <c r="J1479" s="14"/>
      <c r="K1479" s="14"/>
      <c r="L1479" s="134"/>
      <c r="M1479" s="249"/>
      <c r="N1479" s="249"/>
    </row>
    <row r="1480" spans="2:14" x14ac:dyDescent="0.25">
      <c r="B1480" s="14"/>
      <c r="C1480" s="14"/>
      <c r="D1480" s="14" t="s">
        <v>328</v>
      </c>
      <c r="E1480" s="14"/>
      <c r="F1480" s="14"/>
      <c r="G1480" s="14"/>
      <c r="H1480" s="14" t="s">
        <v>328</v>
      </c>
      <c r="I1480" s="14" t="s">
        <v>328</v>
      </c>
      <c r="J1480" s="14"/>
      <c r="K1480" s="14"/>
      <c r="L1480" s="134"/>
      <c r="M1480" s="249"/>
      <c r="N1480" s="249"/>
    </row>
    <row r="1481" spans="2:14" x14ac:dyDescent="0.25">
      <c r="B1481" s="14"/>
      <c r="C1481" s="14"/>
      <c r="D1481" s="14" t="s">
        <v>328</v>
      </c>
      <c r="E1481" s="14"/>
      <c r="F1481" s="14"/>
      <c r="G1481" s="14"/>
      <c r="H1481" s="14" t="s">
        <v>328</v>
      </c>
      <c r="I1481" s="14"/>
      <c r="J1481" s="14"/>
      <c r="K1481" s="14" t="s">
        <v>328</v>
      </c>
      <c r="L1481" s="134"/>
      <c r="M1481" s="249"/>
      <c r="N1481" s="249"/>
    </row>
    <row r="1482" spans="2:14" x14ac:dyDescent="0.25">
      <c r="B1482" s="14"/>
      <c r="C1482" s="14"/>
      <c r="D1482" s="14" t="s">
        <v>328</v>
      </c>
      <c r="E1482" s="14"/>
      <c r="F1482" s="14"/>
      <c r="G1482" s="14"/>
      <c r="H1482" s="14" t="s">
        <v>328</v>
      </c>
      <c r="I1482" s="14"/>
      <c r="J1482" s="14"/>
      <c r="K1482" s="14" t="s">
        <v>328</v>
      </c>
      <c r="L1482" s="134"/>
      <c r="M1482" s="249"/>
      <c r="N1482" s="249"/>
    </row>
    <row r="1483" spans="2:14" x14ac:dyDescent="0.25">
      <c r="B1483" s="14"/>
      <c r="C1483" s="14"/>
      <c r="D1483" s="14" t="s">
        <v>328</v>
      </c>
      <c r="E1483" s="14"/>
      <c r="F1483" s="14"/>
      <c r="G1483" s="14"/>
      <c r="H1483" s="14" t="s">
        <v>328</v>
      </c>
      <c r="I1483" s="14"/>
      <c r="J1483" s="14"/>
      <c r="K1483" s="14" t="s">
        <v>328</v>
      </c>
      <c r="L1483" s="134"/>
      <c r="M1483" s="249"/>
      <c r="N1483" s="249"/>
    </row>
    <row r="1484" spans="2:14" x14ac:dyDescent="0.25">
      <c r="B1484" s="14"/>
      <c r="C1484" s="14"/>
      <c r="D1484" s="14" t="s">
        <v>328</v>
      </c>
      <c r="E1484" s="14"/>
      <c r="F1484" s="14"/>
      <c r="G1484" s="14"/>
      <c r="H1484" s="14" t="s">
        <v>328</v>
      </c>
      <c r="I1484" s="14"/>
      <c r="J1484" s="14"/>
      <c r="K1484" s="14" t="s">
        <v>328</v>
      </c>
      <c r="L1484" s="134"/>
      <c r="M1484" s="249"/>
      <c r="N1484" s="249"/>
    </row>
    <row r="1485" spans="2:14" x14ac:dyDescent="0.25">
      <c r="B1485" s="14"/>
      <c r="C1485" s="14"/>
      <c r="D1485" s="14" t="s">
        <v>328</v>
      </c>
      <c r="E1485" s="14" t="s">
        <v>328</v>
      </c>
      <c r="F1485" s="14"/>
      <c r="G1485" s="14"/>
      <c r="H1485" s="14"/>
      <c r="I1485" s="14"/>
      <c r="J1485" s="14"/>
      <c r="K1485" s="14" t="s">
        <v>328</v>
      </c>
      <c r="L1485" s="134"/>
      <c r="M1485" s="249"/>
      <c r="N1485" s="249"/>
    </row>
    <row r="1486" spans="2:14" x14ac:dyDescent="0.25">
      <c r="B1486" s="14"/>
      <c r="C1486" s="14"/>
      <c r="D1486" s="14" t="s">
        <v>328</v>
      </c>
      <c r="E1486" s="14"/>
      <c r="F1486" s="14"/>
      <c r="G1486" s="14"/>
      <c r="H1486" s="14" t="s">
        <v>328</v>
      </c>
      <c r="I1486" s="14" t="s">
        <v>328</v>
      </c>
      <c r="J1486" s="14"/>
      <c r="K1486" s="14"/>
      <c r="L1486" s="134"/>
      <c r="M1486" s="249"/>
      <c r="N1486" s="249"/>
    </row>
    <row r="1487" spans="2:14" x14ac:dyDescent="0.25">
      <c r="B1487" s="14"/>
      <c r="C1487" s="14"/>
      <c r="D1487" s="14" t="s">
        <v>328</v>
      </c>
      <c r="E1487" s="14"/>
      <c r="F1487" s="14"/>
      <c r="G1487" s="14"/>
      <c r="H1487" s="14" t="s">
        <v>328</v>
      </c>
      <c r="I1487" s="14"/>
      <c r="J1487" s="14"/>
      <c r="K1487" s="14"/>
      <c r="L1487" s="134" t="s">
        <v>328</v>
      </c>
      <c r="M1487" s="249"/>
      <c r="N1487" s="249"/>
    </row>
    <row r="1488" spans="2:14" x14ac:dyDescent="0.25">
      <c r="B1488" s="14"/>
      <c r="C1488" s="14"/>
      <c r="D1488" s="14" t="s">
        <v>328</v>
      </c>
      <c r="E1488" s="14" t="s">
        <v>328</v>
      </c>
      <c r="F1488" s="14"/>
      <c r="G1488" s="14"/>
      <c r="H1488" s="14"/>
      <c r="I1488" s="14"/>
      <c r="J1488" s="14"/>
      <c r="K1488" s="14"/>
      <c r="L1488" s="134" t="s">
        <v>328</v>
      </c>
      <c r="M1488" s="249"/>
      <c r="N1488" s="249"/>
    </row>
    <row r="1489" spans="2:14" x14ac:dyDescent="0.25">
      <c r="B1489" s="14"/>
      <c r="C1489" s="14"/>
      <c r="D1489" s="14" t="s">
        <v>328</v>
      </c>
      <c r="E1489" s="14"/>
      <c r="F1489" s="14"/>
      <c r="G1489" s="14"/>
      <c r="H1489" s="14" t="s">
        <v>328</v>
      </c>
      <c r="I1489" s="14"/>
      <c r="J1489" s="14"/>
      <c r="K1489" s="14" t="s">
        <v>328</v>
      </c>
      <c r="L1489" s="134"/>
      <c r="M1489" s="249"/>
      <c r="N1489" s="249"/>
    </row>
    <row r="1490" spans="2:14" x14ac:dyDescent="0.25">
      <c r="B1490" s="14"/>
      <c r="C1490" s="14"/>
      <c r="D1490" s="14" t="s">
        <v>328</v>
      </c>
      <c r="E1490" s="14"/>
      <c r="F1490" s="14"/>
      <c r="G1490" s="14"/>
      <c r="H1490" s="14" t="s">
        <v>328</v>
      </c>
      <c r="I1490" s="14"/>
      <c r="J1490" s="14"/>
      <c r="K1490" s="14"/>
      <c r="L1490" s="134" t="s">
        <v>328</v>
      </c>
      <c r="M1490" s="249"/>
      <c r="N1490" s="249"/>
    </row>
    <row r="1491" spans="2:14" x14ac:dyDescent="0.25">
      <c r="B1491" s="14" t="s">
        <v>328</v>
      </c>
      <c r="C1491" s="14"/>
      <c r="D1491" s="14"/>
      <c r="E1491" s="14" t="s">
        <v>328</v>
      </c>
      <c r="F1491" s="14"/>
      <c r="G1491" s="14"/>
      <c r="H1491" s="14"/>
      <c r="I1491" s="14"/>
      <c r="J1491" s="14" t="s">
        <v>328</v>
      </c>
      <c r="K1491" s="14"/>
      <c r="L1491" s="134"/>
      <c r="M1491" s="249"/>
      <c r="N1491" s="249"/>
    </row>
    <row r="1492" spans="2:14" x14ac:dyDescent="0.25">
      <c r="B1492" s="14"/>
      <c r="C1492" s="14" t="s">
        <v>328</v>
      </c>
      <c r="D1492" s="14"/>
      <c r="E1492" s="14" t="s">
        <v>328</v>
      </c>
      <c r="F1492" s="14"/>
      <c r="G1492" s="14"/>
      <c r="H1492" s="14"/>
      <c r="I1492" s="14"/>
      <c r="J1492" s="14"/>
      <c r="K1492" s="14" t="s">
        <v>328</v>
      </c>
      <c r="L1492" s="134"/>
      <c r="M1492" s="249"/>
      <c r="N1492" s="249"/>
    </row>
    <row r="1493" spans="2:14" x14ac:dyDescent="0.25">
      <c r="B1493" s="14"/>
      <c r="C1493" s="14"/>
      <c r="D1493" s="14" t="s">
        <v>328</v>
      </c>
      <c r="E1493" s="14"/>
      <c r="F1493" s="14"/>
      <c r="G1493" s="14" t="s">
        <v>328</v>
      </c>
      <c r="H1493" s="14"/>
      <c r="I1493" s="14"/>
      <c r="J1493" s="14"/>
      <c r="K1493" s="14"/>
      <c r="L1493" s="134" t="s">
        <v>328</v>
      </c>
      <c r="M1493" s="249"/>
      <c r="N1493" s="249"/>
    </row>
    <row r="1494" spans="2:14" x14ac:dyDescent="0.25">
      <c r="B1494" s="14"/>
      <c r="C1494" s="14"/>
      <c r="D1494" s="14" t="s">
        <v>328</v>
      </c>
      <c r="E1494" s="14"/>
      <c r="F1494" s="14"/>
      <c r="G1494" s="14"/>
      <c r="H1494" s="14" t="s">
        <v>328</v>
      </c>
      <c r="I1494" s="14"/>
      <c r="J1494" s="14"/>
      <c r="K1494" s="14" t="s">
        <v>328</v>
      </c>
      <c r="L1494" s="134"/>
      <c r="M1494" s="249"/>
      <c r="N1494" s="249"/>
    </row>
    <row r="1495" spans="2:14" x14ac:dyDescent="0.25">
      <c r="B1495" s="14"/>
      <c r="C1495" s="14"/>
      <c r="D1495" s="14" t="s">
        <v>328</v>
      </c>
      <c r="E1495" s="14"/>
      <c r="F1495" s="14" t="s">
        <v>328</v>
      </c>
      <c r="G1495" s="14"/>
      <c r="H1495" s="14"/>
      <c r="I1495" s="14"/>
      <c r="J1495" s="14"/>
      <c r="K1495" s="14"/>
      <c r="L1495" s="134" t="s">
        <v>328</v>
      </c>
      <c r="M1495" s="249"/>
      <c r="N1495" s="249"/>
    </row>
    <row r="1496" spans="2:14" x14ac:dyDescent="0.25">
      <c r="B1496" s="14"/>
      <c r="C1496" s="14"/>
      <c r="D1496" s="14" t="s">
        <v>328</v>
      </c>
      <c r="E1496" s="14" t="s">
        <v>328</v>
      </c>
      <c r="F1496" s="14"/>
      <c r="G1496" s="14"/>
      <c r="H1496" s="14"/>
      <c r="I1496" s="14"/>
      <c r="J1496" s="14"/>
      <c r="K1496" s="14"/>
      <c r="L1496" s="134" t="s">
        <v>328</v>
      </c>
      <c r="M1496" s="249"/>
      <c r="N1496" s="249"/>
    </row>
    <row r="1497" spans="2:14" x14ac:dyDescent="0.25">
      <c r="B1497" s="14"/>
      <c r="C1497" s="14"/>
      <c r="D1497" s="14" t="s">
        <v>328</v>
      </c>
      <c r="E1497" s="14"/>
      <c r="F1497" s="14"/>
      <c r="G1497" s="14"/>
      <c r="H1497" s="14" t="s">
        <v>328</v>
      </c>
      <c r="I1497" s="14"/>
      <c r="J1497" s="14"/>
      <c r="K1497" s="14" t="s">
        <v>328</v>
      </c>
      <c r="L1497" s="134"/>
      <c r="M1497" s="249"/>
      <c r="N1497" s="249"/>
    </row>
    <row r="1498" spans="2:14" x14ac:dyDescent="0.25">
      <c r="B1498" s="14"/>
      <c r="C1498" s="14"/>
      <c r="D1498" s="14" t="s">
        <v>328</v>
      </c>
      <c r="E1498" s="14"/>
      <c r="F1498" s="14" t="s">
        <v>328</v>
      </c>
      <c r="G1498" s="14"/>
      <c r="H1498" s="14"/>
      <c r="I1498" s="14"/>
      <c r="J1498" s="14"/>
      <c r="K1498" s="14"/>
      <c r="L1498" s="134" t="s">
        <v>328</v>
      </c>
      <c r="M1498" s="249"/>
      <c r="N1498" s="249"/>
    </row>
    <row r="1499" spans="2:14" x14ac:dyDescent="0.25">
      <c r="B1499" s="14"/>
      <c r="C1499" s="14"/>
      <c r="D1499" s="14" t="s">
        <v>328</v>
      </c>
      <c r="E1499" s="14"/>
      <c r="F1499" s="14"/>
      <c r="G1499" s="14"/>
      <c r="H1499" s="14" t="s">
        <v>328</v>
      </c>
      <c r="I1499" s="14"/>
      <c r="J1499" s="14" t="s">
        <v>328</v>
      </c>
      <c r="K1499" s="14"/>
      <c r="L1499" s="134"/>
      <c r="M1499" s="249"/>
      <c r="N1499" s="249"/>
    </row>
    <row r="1500" spans="2:14" x14ac:dyDescent="0.25">
      <c r="B1500" s="14"/>
      <c r="C1500" s="14"/>
      <c r="D1500" s="14" t="s">
        <v>328</v>
      </c>
      <c r="E1500" s="14"/>
      <c r="F1500" s="14"/>
      <c r="G1500" s="14"/>
      <c r="H1500" s="14" t="s">
        <v>328</v>
      </c>
      <c r="I1500" s="14"/>
      <c r="J1500" s="14"/>
      <c r="K1500" s="14"/>
      <c r="L1500" s="134" t="s">
        <v>328</v>
      </c>
      <c r="M1500" s="249"/>
      <c r="N1500" s="249"/>
    </row>
    <row r="1501" spans="2:14" x14ac:dyDescent="0.25">
      <c r="B1501" s="14"/>
      <c r="C1501" s="14"/>
      <c r="D1501" s="14" t="s">
        <v>328</v>
      </c>
      <c r="E1501" s="14"/>
      <c r="F1501" s="14"/>
      <c r="G1501" s="14"/>
      <c r="H1501" s="14" t="s">
        <v>328</v>
      </c>
      <c r="I1501" s="14"/>
      <c r="J1501" s="14"/>
      <c r="K1501" s="14"/>
      <c r="L1501" s="134" t="s">
        <v>328</v>
      </c>
      <c r="M1501" s="249"/>
      <c r="N1501" s="249"/>
    </row>
    <row r="1502" spans="2:14" x14ac:dyDescent="0.25">
      <c r="B1502" s="14"/>
      <c r="C1502" s="14"/>
      <c r="D1502" s="14" t="s">
        <v>328</v>
      </c>
      <c r="E1502" s="14"/>
      <c r="F1502" s="14"/>
      <c r="G1502" s="14" t="s">
        <v>328</v>
      </c>
      <c r="H1502" s="14"/>
      <c r="I1502" s="14"/>
      <c r="J1502" s="14"/>
      <c r="K1502" s="14" t="s">
        <v>328</v>
      </c>
      <c r="L1502" s="134"/>
      <c r="M1502" s="249"/>
      <c r="N1502" s="249"/>
    </row>
    <row r="1503" spans="2:14" x14ac:dyDescent="0.25">
      <c r="B1503" s="14"/>
      <c r="C1503" s="14"/>
      <c r="D1503" s="14" t="s">
        <v>328</v>
      </c>
      <c r="E1503" s="14" t="s">
        <v>328</v>
      </c>
      <c r="F1503" s="14"/>
      <c r="G1503" s="14"/>
      <c r="H1503" s="14"/>
      <c r="I1503" s="14"/>
      <c r="J1503" s="14"/>
      <c r="K1503" s="14" t="s">
        <v>328</v>
      </c>
      <c r="L1503" s="134"/>
      <c r="M1503" s="249"/>
      <c r="N1503" s="249"/>
    </row>
    <row r="1504" spans="2:14" x14ac:dyDescent="0.25">
      <c r="B1504" s="14"/>
      <c r="C1504" s="14"/>
      <c r="D1504" s="14" t="s">
        <v>328</v>
      </c>
      <c r="E1504" s="14"/>
      <c r="F1504" s="14"/>
      <c r="G1504" s="14" t="s">
        <v>328</v>
      </c>
      <c r="H1504" s="14"/>
      <c r="I1504" s="14"/>
      <c r="J1504" s="14"/>
      <c r="K1504" s="14" t="s">
        <v>328</v>
      </c>
      <c r="L1504" s="134"/>
      <c r="M1504" s="249"/>
      <c r="N1504" s="249"/>
    </row>
    <row r="1505" spans="2:14" x14ac:dyDescent="0.25">
      <c r="B1505" s="14"/>
      <c r="C1505" s="14"/>
      <c r="D1505" s="14" t="s">
        <v>328</v>
      </c>
      <c r="E1505" s="14" t="s">
        <v>328</v>
      </c>
      <c r="F1505" s="14"/>
      <c r="G1505" s="14"/>
      <c r="H1505" s="14"/>
      <c r="I1505" s="14"/>
      <c r="J1505" s="14"/>
      <c r="K1505" s="14" t="s">
        <v>328</v>
      </c>
      <c r="L1505" s="134"/>
      <c r="M1505" s="249"/>
      <c r="N1505" s="249"/>
    </row>
    <row r="1506" spans="2:14" x14ac:dyDescent="0.25">
      <c r="B1506" s="14"/>
      <c r="C1506" s="14"/>
      <c r="D1506" s="14" t="s">
        <v>328</v>
      </c>
      <c r="E1506" s="14" t="s">
        <v>328</v>
      </c>
      <c r="F1506" s="14"/>
      <c r="G1506" s="14"/>
      <c r="H1506" s="14"/>
      <c r="I1506" s="14"/>
      <c r="J1506" s="14"/>
      <c r="K1506" s="14"/>
      <c r="L1506" s="134" t="s">
        <v>328</v>
      </c>
      <c r="M1506" s="249"/>
      <c r="N1506" s="249"/>
    </row>
    <row r="1507" spans="2:14" x14ac:dyDescent="0.25">
      <c r="B1507" s="14"/>
      <c r="C1507" s="14"/>
      <c r="D1507" s="14" t="s">
        <v>328</v>
      </c>
      <c r="E1507" s="14"/>
      <c r="F1507" s="14"/>
      <c r="G1507" s="14"/>
      <c r="H1507" s="14" t="s">
        <v>328</v>
      </c>
      <c r="I1507" s="14"/>
      <c r="J1507" s="14"/>
      <c r="K1507" s="14" t="s">
        <v>328</v>
      </c>
      <c r="L1507" s="134"/>
      <c r="M1507" s="249"/>
      <c r="N1507" s="249"/>
    </row>
    <row r="1508" spans="2:14" x14ac:dyDescent="0.25">
      <c r="B1508" s="14"/>
      <c r="C1508" s="14"/>
      <c r="D1508" s="14" t="s">
        <v>328</v>
      </c>
      <c r="E1508" s="14"/>
      <c r="F1508" s="14" t="s">
        <v>328</v>
      </c>
      <c r="G1508" s="14"/>
      <c r="H1508" s="14"/>
      <c r="I1508" s="14"/>
      <c r="J1508" s="14"/>
      <c r="K1508" s="14"/>
      <c r="L1508" s="134" t="s">
        <v>328</v>
      </c>
      <c r="M1508" s="249"/>
      <c r="N1508" s="249"/>
    </row>
    <row r="1509" spans="2:14" x14ac:dyDescent="0.25">
      <c r="B1509" s="14"/>
      <c r="C1509" s="14"/>
      <c r="D1509" s="14" t="s">
        <v>328</v>
      </c>
      <c r="E1509" s="14"/>
      <c r="F1509" s="14"/>
      <c r="G1509" s="14"/>
      <c r="H1509" s="14" t="s">
        <v>328</v>
      </c>
      <c r="I1509" s="14"/>
      <c r="J1509" s="14"/>
      <c r="K1509" s="14"/>
      <c r="L1509" s="134" t="s">
        <v>328</v>
      </c>
      <c r="M1509" s="249"/>
      <c r="N1509" s="249"/>
    </row>
    <row r="1510" spans="2:14" x14ac:dyDescent="0.25">
      <c r="B1510" s="14"/>
      <c r="C1510" s="14"/>
      <c r="D1510" s="14" t="s">
        <v>328</v>
      </c>
      <c r="E1510" s="14"/>
      <c r="F1510" s="14"/>
      <c r="G1510" s="14"/>
      <c r="H1510" s="14" t="s">
        <v>328</v>
      </c>
      <c r="I1510" s="14"/>
      <c r="J1510" s="14"/>
      <c r="K1510" s="14" t="s">
        <v>328</v>
      </c>
      <c r="L1510" s="134"/>
      <c r="M1510" s="249"/>
      <c r="N1510" s="249"/>
    </row>
    <row r="1511" spans="2:14" x14ac:dyDescent="0.25">
      <c r="B1511" s="14"/>
      <c r="C1511" s="14"/>
      <c r="D1511" s="14" t="s">
        <v>328</v>
      </c>
      <c r="E1511" s="14"/>
      <c r="F1511" s="14"/>
      <c r="G1511" s="14"/>
      <c r="H1511" s="14" t="s">
        <v>328</v>
      </c>
      <c r="I1511" s="14"/>
      <c r="J1511" s="14" t="s">
        <v>328</v>
      </c>
      <c r="K1511" s="14"/>
      <c r="L1511" s="134"/>
      <c r="M1511" s="249"/>
      <c r="N1511" s="249"/>
    </row>
    <row r="1512" spans="2:14" x14ac:dyDescent="0.25">
      <c r="B1512" s="14"/>
      <c r="C1512" s="14"/>
      <c r="D1512" s="14" t="s">
        <v>328</v>
      </c>
      <c r="E1512" s="14" t="s">
        <v>328</v>
      </c>
      <c r="F1512" s="14"/>
      <c r="G1512" s="14"/>
      <c r="H1512" s="14"/>
      <c r="I1512" s="14" t="s">
        <v>328</v>
      </c>
      <c r="J1512" s="14"/>
      <c r="K1512" s="14"/>
      <c r="L1512" s="134"/>
      <c r="M1512" s="249"/>
      <c r="N1512" s="249"/>
    </row>
    <row r="1513" spans="2:14" x14ac:dyDescent="0.25">
      <c r="B1513" s="14"/>
      <c r="C1513" s="14"/>
      <c r="D1513" s="14" t="s">
        <v>328</v>
      </c>
      <c r="E1513" s="14"/>
      <c r="F1513" s="14" t="s">
        <v>328</v>
      </c>
      <c r="G1513" s="14"/>
      <c r="H1513" s="14"/>
      <c r="I1513" s="14"/>
      <c r="J1513" s="14"/>
      <c r="K1513" s="14" t="s">
        <v>328</v>
      </c>
      <c r="L1513" s="134"/>
      <c r="M1513" s="249"/>
      <c r="N1513" s="249"/>
    </row>
    <row r="1514" spans="2:14" x14ac:dyDescent="0.25">
      <c r="B1514" s="14"/>
      <c r="C1514" s="14"/>
      <c r="D1514" s="14" t="s">
        <v>328</v>
      </c>
      <c r="E1514" s="14"/>
      <c r="F1514" s="14"/>
      <c r="G1514" s="14" t="s">
        <v>328</v>
      </c>
      <c r="H1514" s="14"/>
      <c r="I1514" s="14"/>
      <c r="J1514" s="14"/>
      <c r="K1514" s="14" t="s">
        <v>328</v>
      </c>
      <c r="L1514" s="134"/>
      <c r="M1514" s="249"/>
      <c r="N1514" s="249"/>
    </row>
    <row r="1515" spans="2:14" x14ac:dyDescent="0.25">
      <c r="B1515" s="14" t="s">
        <v>328</v>
      </c>
      <c r="C1515" s="14"/>
      <c r="D1515" s="14"/>
      <c r="E1515" s="14" t="s">
        <v>328</v>
      </c>
      <c r="F1515" s="14"/>
      <c r="G1515" s="14"/>
      <c r="H1515" s="14"/>
      <c r="I1515" s="14"/>
      <c r="J1515" s="14"/>
      <c r="K1515" s="14"/>
      <c r="L1515" s="134" t="s">
        <v>328</v>
      </c>
      <c r="M1515" s="249"/>
      <c r="N1515" s="249"/>
    </row>
    <row r="1516" spans="2:14" x14ac:dyDescent="0.25">
      <c r="B1516" s="14"/>
      <c r="C1516" s="14" t="s">
        <v>328</v>
      </c>
      <c r="D1516" s="14"/>
      <c r="E1516" s="14" t="s">
        <v>328</v>
      </c>
      <c r="F1516" s="14"/>
      <c r="G1516" s="14"/>
      <c r="H1516" s="14"/>
      <c r="I1516" s="14"/>
      <c r="J1516" s="14"/>
      <c r="K1516" s="14"/>
      <c r="L1516" s="134" t="s">
        <v>328</v>
      </c>
      <c r="M1516" s="249"/>
      <c r="N1516" s="249"/>
    </row>
    <row r="1517" spans="2:14" x14ac:dyDescent="0.25">
      <c r="B1517" s="14"/>
      <c r="C1517" s="14"/>
      <c r="D1517" s="14" t="s">
        <v>328</v>
      </c>
      <c r="E1517" s="14"/>
      <c r="F1517" s="14"/>
      <c r="G1517" s="14"/>
      <c r="H1517" s="14" t="s">
        <v>328</v>
      </c>
      <c r="I1517" s="14"/>
      <c r="J1517" s="14"/>
      <c r="K1517" s="14"/>
      <c r="L1517" s="134" t="s">
        <v>328</v>
      </c>
      <c r="M1517" s="249"/>
      <c r="N1517" s="249"/>
    </row>
    <row r="1518" spans="2:14" x14ac:dyDescent="0.25">
      <c r="B1518" s="14"/>
      <c r="C1518" s="14"/>
      <c r="D1518" s="14" t="s">
        <v>328</v>
      </c>
      <c r="E1518" s="14"/>
      <c r="F1518" s="14"/>
      <c r="G1518" s="14"/>
      <c r="H1518" s="14" t="s">
        <v>328</v>
      </c>
      <c r="I1518" s="14"/>
      <c r="J1518" s="14" t="s">
        <v>328</v>
      </c>
      <c r="K1518" s="14"/>
      <c r="L1518" s="134"/>
      <c r="M1518" s="249"/>
      <c r="N1518" s="249"/>
    </row>
    <row r="1519" spans="2:14" x14ac:dyDescent="0.25">
      <c r="B1519" s="14"/>
      <c r="C1519" s="14"/>
      <c r="D1519" s="14" t="s">
        <v>328</v>
      </c>
      <c r="E1519" s="14"/>
      <c r="F1519" s="14" t="s">
        <v>328</v>
      </c>
      <c r="G1519" s="14"/>
      <c r="H1519" s="14"/>
      <c r="I1519" s="14" t="s">
        <v>328</v>
      </c>
      <c r="J1519" s="14"/>
      <c r="K1519" s="14"/>
      <c r="L1519" s="134"/>
      <c r="M1519" s="249"/>
      <c r="N1519" s="249"/>
    </row>
    <row r="1520" spans="2:14" x14ac:dyDescent="0.25">
      <c r="B1520" s="14"/>
      <c r="C1520" s="14"/>
      <c r="D1520" s="14" t="s">
        <v>328</v>
      </c>
      <c r="E1520" s="14"/>
      <c r="F1520" s="14"/>
      <c r="G1520" s="14"/>
      <c r="H1520" s="14" t="s">
        <v>328</v>
      </c>
      <c r="I1520" s="14"/>
      <c r="J1520" s="14"/>
      <c r="K1520" s="14" t="s">
        <v>328</v>
      </c>
      <c r="L1520" s="134"/>
      <c r="M1520" s="249"/>
      <c r="N1520" s="249"/>
    </row>
    <row r="1521" spans="2:14" x14ac:dyDescent="0.25">
      <c r="B1521" s="14"/>
      <c r="C1521" s="14"/>
      <c r="D1521" s="14" t="s">
        <v>328</v>
      </c>
      <c r="E1521" s="14"/>
      <c r="F1521" s="14"/>
      <c r="G1521" s="14"/>
      <c r="H1521" s="14" t="s">
        <v>328</v>
      </c>
      <c r="I1521" s="14" t="s">
        <v>328</v>
      </c>
      <c r="J1521" s="14"/>
      <c r="K1521" s="14"/>
      <c r="L1521" s="134"/>
      <c r="M1521" s="249"/>
      <c r="N1521" s="249"/>
    </row>
    <row r="1522" spans="2:14" x14ac:dyDescent="0.25">
      <c r="B1522" s="14"/>
      <c r="C1522" s="14"/>
      <c r="D1522" s="14" t="s">
        <v>328</v>
      </c>
      <c r="E1522" s="14"/>
      <c r="F1522" s="14"/>
      <c r="G1522" s="14"/>
      <c r="H1522" s="14" t="s">
        <v>328</v>
      </c>
      <c r="I1522" s="14"/>
      <c r="J1522" s="14" t="s">
        <v>328</v>
      </c>
      <c r="K1522" s="14"/>
      <c r="L1522" s="134"/>
      <c r="M1522" s="249"/>
      <c r="N1522" s="249"/>
    </row>
    <row r="1523" spans="2:14" x14ac:dyDescent="0.25">
      <c r="B1523" s="14"/>
      <c r="C1523" s="14"/>
      <c r="D1523" s="14" t="s">
        <v>328</v>
      </c>
      <c r="E1523" s="14"/>
      <c r="F1523" s="14"/>
      <c r="G1523" s="14"/>
      <c r="H1523" s="14" t="s">
        <v>328</v>
      </c>
      <c r="I1523" s="14" t="s">
        <v>328</v>
      </c>
      <c r="J1523" s="14"/>
      <c r="K1523" s="14"/>
      <c r="L1523" s="134"/>
      <c r="M1523" s="249"/>
      <c r="N1523" s="249"/>
    </row>
    <row r="1524" spans="2:14" x14ac:dyDescent="0.25">
      <c r="B1524" s="14"/>
      <c r="C1524" s="14"/>
      <c r="D1524" s="14" t="s">
        <v>328</v>
      </c>
      <c r="E1524" s="14"/>
      <c r="F1524" s="14"/>
      <c r="G1524" s="14"/>
      <c r="H1524" s="14" t="s">
        <v>328</v>
      </c>
      <c r="I1524" s="14"/>
      <c r="J1524" s="14" t="s">
        <v>328</v>
      </c>
      <c r="K1524" s="14"/>
      <c r="L1524" s="134"/>
      <c r="M1524" s="249"/>
      <c r="N1524" s="249"/>
    </row>
    <row r="1525" spans="2:14" x14ac:dyDescent="0.25">
      <c r="B1525" s="14"/>
      <c r="C1525" s="14"/>
      <c r="D1525" s="14" t="s">
        <v>328</v>
      </c>
      <c r="E1525" s="14" t="s">
        <v>328</v>
      </c>
      <c r="F1525" s="14"/>
      <c r="G1525" s="14"/>
      <c r="H1525" s="14"/>
      <c r="I1525" s="14"/>
      <c r="J1525" s="14"/>
      <c r="K1525" s="14" t="s">
        <v>328</v>
      </c>
      <c r="L1525" s="134"/>
      <c r="M1525" s="249"/>
      <c r="N1525" s="249"/>
    </row>
    <row r="1526" spans="2:14" x14ac:dyDescent="0.25">
      <c r="B1526" s="14"/>
      <c r="C1526" s="14"/>
      <c r="D1526" s="14" t="s">
        <v>328</v>
      </c>
      <c r="E1526" s="14" t="s">
        <v>328</v>
      </c>
      <c r="F1526" s="14"/>
      <c r="G1526" s="14"/>
      <c r="H1526" s="14"/>
      <c r="I1526" s="14"/>
      <c r="J1526" s="14"/>
      <c r="K1526" s="14"/>
      <c r="L1526" s="134" t="s">
        <v>328</v>
      </c>
      <c r="M1526" s="249"/>
      <c r="N1526" s="249"/>
    </row>
    <row r="1527" spans="2:14" x14ac:dyDescent="0.25">
      <c r="B1527" s="14"/>
      <c r="C1527" s="14"/>
      <c r="D1527" s="14" t="s">
        <v>328</v>
      </c>
      <c r="E1527" s="14"/>
      <c r="F1527" s="14" t="s">
        <v>328</v>
      </c>
      <c r="G1527" s="14"/>
      <c r="H1527" s="14"/>
      <c r="I1527" s="14" t="s">
        <v>328</v>
      </c>
      <c r="J1527" s="14"/>
      <c r="K1527" s="14"/>
      <c r="L1527" s="134"/>
      <c r="M1527" s="249"/>
      <c r="N1527" s="249"/>
    </row>
    <row r="1528" spans="2:14" x14ac:dyDescent="0.25">
      <c r="B1528" s="14"/>
      <c r="C1528" s="14"/>
      <c r="D1528" s="14" t="s">
        <v>328</v>
      </c>
      <c r="E1528" s="14"/>
      <c r="F1528" s="14"/>
      <c r="G1528" s="14"/>
      <c r="H1528" s="14" t="s">
        <v>328</v>
      </c>
      <c r="I1528" s="14"/>
      <c r="J1528" s="14"/>
      <c r="K1528" s="14" t="s">
        <v>328</v>
      </c>
      <c r="L1528" s="134"/>
      <c r="M1528" s="249"/>
      <c r="N1528" s="249"/>
    </row>
    <row r="1529" spans="2:14" x14ac:dyDescent="0.25">
      <c r="B1529" s="14"/>
      <c r="C1529" s="14"/>
      <c r="D1529" s="14" t="s">
        <v>328</v>
      </c>
      <c r="E1529" s="14" t="s">
        <v>328</v>
      </c>
      <c r="F1529" s="14"/>
      <c r="G1529" s="14"/>
      <c r="H1529" s="14"/>
      <c r="I1529" s="14"/>
      <c r="J1529" s="14" t="s">
        <v>328</v>
      </c>
      <c r="K1529" s="14"/>
      <c r="L1529" s="134"/>
      <c r="M1529" s="249"/>
      <c r="N1529" s="249"/>
    </row>
    <row r="1530" spans="2:14" x14ac:dyDescent="0.25">
      <c r="B1530" s="14"/>
      <c r="C1530" s="14"/>
      <c r="D1530" s="14" t="s">
        <v>328</v>
      </c>
      <c r="E1530" s="14" t="s">
        <v>328</v>
      </c>
      <c r="F1530" s="14"/>
      <c r="G1530" s="14"/>
      <c r="H1530" s="14"/>
      <c r="I1530" s="14"/>
      <c r="J1530" s="14"/>
      <c r="K1530" s="14" t="s">
        <v>328</v>
      </c>
      <c r="L1530" s="134"/>
      <c r="M1530" s="249"/>
      <c r="N1530" s="249"/>
    </row>
    <row r="1531" spans="2:14" x14ac:dyDescent="0.25">
      <c r="B1531" s="14"/>
      <c r="C1531" s="14"/>
      <c r="D1531" s="14" t="s">
        <v>328</v>
      </c>
      <c r="E1531" s="14" t="s">
        <v>328</v>
      </c>
      <c r="F1531" s="14"/>
      <c r="G1531" s="14"/>
      <c r="H1531" s="14"/>
      <c r="I1531" s="14"/>
      <c r="J1531" s="14"/>
      <c r="K1531" s="14" t="s">
        <v>328</v>
      </c>
      <c r="L1531" s="134"/>
      <c r="M1531" s="249"/>
      <c r="N1531" s="249"/>
    </row>
    <row r="1532" spans="2:14" x14ac:dyDescent="0.25">
      <c r="B1532" s="14"/>
      <c r="C1532" s="14"/>
      <c r="D1532" s="14" t="s">
        <v>328</v>
      </c>
      <c r="E1532" s="14" t="s">
        <v>328</v>
      </c>
      <c r="F1532" s="14"/>
      <c r="G1532" s="14"/>
      <c r="H1532" s="14"/>
      <c r="I1532" s="14"/>
      <c r="J1532" s="14"/>
      <c r="K1532" s="14"/>
      <c r="L1532" s="134" t="s">
        <v>328</v>
      </c>
      <c r="M1532" s="249"/>
      <c r="N1532" s="249"/>
    </row>
    <row r="1533" spans="2:14" x14ac:dyDescent="0.25">
      <c r="B1533" s="14"/>
      <c r="C1533" s="14"/>
      <c r="D1533" s="14" t="s">
        <v>328</v>
      </c>
      <c r="E1533" s="14" t="s">
        <v>328</v>
      </c>
      <c r="F1533" s="14"/>
      <c r="G1533" s="14"/>
      <c r="H1533" s="14"/>
      <c r="I1533" s="14"/>
      <c r="J1533" s="14" t="s">
        <v>328</v>
      </c>
      <c r="K1533" s="14"/>
      <c r="L1533" s="134"/>
      <c r="M1533" s="249"/>
      <c r="N1533" s="249"/>
    </row>
    <row r="1534" spans="2:14" x14ac:dyDescent="0.25">
      <c r="B1534" s="14"/>
      <c r="C1534" s="14"/>
      <c r="D1534" s="14" t="s">
        <v>328</v>
      </c>
      <c r="E1534" s="14" t="s">
        <v>328</v>
      </c>
      <c r="F1534" s="14"/>
      <c r="G1534" s="14"/>
      <c r="H1534" s="14"/>
      <c r="I1534" s="14"/>
      <c r="J1534" s="14" t="s">
        <v>328</v>
      </c>
      <c r="K1534" s="14"/>
      <c r="L1534" s="134"/>
      <c r="M1534" s="249"/>
      <c r="N1534" s="249"/>
    </row>
    <row r="1535" spans="2:14" x14ac:dyDescent="0.25">
      <c r="B1535" s="14"/>
      <c r="C1535" s="14"/>
      <c r="D1535" s="14" t="s">
        <v>328</v>
      </c>
      <c r="E1535" s="14"/>
      <c r="F1535" s="14"/>
      <c r="G1535" s="14"/>
      <c r="H1535" s="14" t="s">
        <v>328</v>
      </c>
      <c r="I1535" s="14"/>
      <c r="J1535" s="14" t="s">
        <v>328</v>
      </c>
      <c r="K1535" s="14"/>
      <c r="L1535" s="134"/>
      <c r="M1535" s="249"/>
      <c r="N1535" s="249"/>
    </row>
    <row r="1536" spans="2:14" x14ac:dyDescent="0.25">
      <c r="B1536" s="14"/>
      <c r="C1536" s="14"/>
      <c r="D1536" s="14" t="s">
        <v>328</v>
      </c>
      <c r="E1536" s="14" t="s">
        <v>328</v>
      </c>
      <c r="F1536" s="14"/>
      <c r="G1536" s="14"/>
      <c r="H1536" s="14"/>
      <c r="I1536" s="14"/>
      <c r="J1536" s="14"/>
      <c r="K1536" s="14" t="s">
        <v>328</v>
      </c>
      <c r="L1536" s="134"/>
      <c r="M1536" s="249"/>
      <c r="N1536" s="249"/>
    </row>
    <row r="1537" spans="2:14" x14ac:dyDescent="0.25">
      <c r="B1537" s="14"/>
      <c r="C1537" s="14"/>
      <c r="D1537" s="14" t="s">
        <v>328</v>
      </c>
      <c r="E1537" s="14"/>
      <c r="F1537" s="14"/>
      <c r="G1537" s="14"/>
      <c r="H1537" s="14" t="s">
        <v>328</v>
      </c>
      <c r="I1537" s="14"/>
      <c r="J1537" s="14" t="s">
        <v>328</v>
      </c>
      <c r="K1537" s="14"/>
      <c r="L1537" s="134"/>
      <c r="M1537" s="249"/>
      <c r="N1537" s="249"/>
    </row>
    <row r="1538" spans="2:14" x14ac:dyDescent="0.25">
      <c r="B1538" s="14"/>
      <c r="C1538" s="14"/>
      <c r="D1538" s="14" t="s">
        <v>328</v>
      </c>
      <c r="E1538" s="14" t="s">
        <v>328</v>
      </c>
      <c r="F1538" s="14"/>
      <c r="G1538" s="14"/>
      <c r="H1538" s="14"/>
      <c r="I1538" s="14"/>
      <c r="J1538" s="14"/>
      <c r="K1538" s="14" t="s">
        <v>328</v>
      </c>
      <c r="L1538" s="134"/>
      <c r="M1538" s="249"/>
      <c r="N1538" s="249"/>
    </row>
    <row r="1539" spans="2:14" x14ac:dyDescent="0.25">
      <c r="B1539" s="14"/>
      <c r="C1539" s="14"/>
      <c r="D1539" s="14" t="s">
        <v>328</v>
      </c>
      <c r="E1539" s="14"/>
      <c r="F1539" s="14"/>
      <c r="G1539" s="14"/>
      <c r="H1539" s="14" t="s">
        <v>328</v>
      </c>
      <c r="I1539" s="14"/>
      <c r="J1539" s="14"/>
      <c r="K1539" s="14" t="s">
        <v>328</v>
      </c>
      <c r="L1539" s="134"/>
      <c r="M1539" s="249"/>
      <c r="N1539" s="249"/>
    </row>
    <row r="1540" spans="2:14" x14ac:dyDescent="0.25">
      <c r="B1540" s="14"/>
      <c r="C1540" s="14"/>
      <c r="D1540" s="14" t="s">
        <v>328</v>
      </c>
      <c r="E1540" s="14" t="s">
        <v>328</v>
      </c>
      <c r="F1540" s="14"/>
      <c r="G1540" s="14"/>
      <c r="H1540" s="14"/>
      <c r="I1540" s="14"/>
      <c r="J1540" s="14" t="s">
        <v>328</v>
      </c>
      <c r="K1540" s="14"/>
      <c r="L1540" s="134"/>
      <c r="M1540" s="249"/>
      <c r="N1540" s="249"/>
    </row>
    <row r="1541" spans="2:14" x14ac:dyDescent="0.25">
      <c r="B1541" s="14"/>
      <c r="C1541" s="14"/>
      <c r="D1541" s="14" t="s">
        <v>328</v>
      </c>
      <c r="E1541" s="14" t="s">
        <v>328</v>
      </c>
      <c r="F1541" s="14"/>
      <c r="G1541" s="14"/>
      <c r="H1541" s="14"/>
      <c r="I1541" s="14"/>
      <c r="J1541" s="14"/>
      <c r="K1541" s="14" t="s">
        <v>328</v>
      </c>
      <c r="L1541" s="134"/>
      <c r="M1541" s="249"/>
      <c r="N1541" s="249"/>
    </row>
    <row r="1542" spans="2:14" x14ac:dyDescent="0.25">
      <c r="B1542" s="14"/>
      <c r="C1542" s="14"/>
      <c r="D1542" s="14" t="s">
        <v>328</v>
      </c>
      <c r="E1542" s="14"/>
      <c r="F1542" s="14"/>
      <c r="G1542" s="14"/>
      <c r="H1542" s="14" t="s">
        <v>328</v>
      </c>
      <c r="I1542" s="14" t="s">
        <v>328</v>
      </c>
      <c r="J1542" s="14"/>
      <c r="K1542" s="14"/>
      <c r="L1542" s="134"/>
      <c r="M1542" s="249"/>
      <c r="N1542" s="249"/>
    </row>
    <row r="1543" spans="2:14" x14ac:dyDescent="0.25">
      <c r="B1543" s="14"/>
      <c r="C1543" s="14"/>
      <c r="D1543" s="14" t="s">
        <v>328</v>
      </c>
      <c r="E1543" s="14" t="s">
        <v>328</v>
      </c>
      <c r="F1543" s="14"/>
      <c r="G1543" s="14"/>
      <c r="H1543" s="14"/>
      <c r="I1543" s="14"/>
      <c r="J1543" s="14"/>
      <c r="K1543" s="14"/>
      <c r="L1543" s="134" t="s">
        <v>328</v>
      </c>
      <c r="M1543" s="249"/>
      <c r="N1543" s="249"/>
    </row>
    <row r="1544" spans="2:14" x14ac:dyDescent="0.25">
      <c r="B1544" s="14"/>
      <c r="C1544" s="14"/>
      <c r="D1544" s="14" t="s">
        <v>328</v>
      </c>
      <c r="E1544" s="14"/>
      <c r="F1544" s="14"/>
      <c r="G1544" s="14"/>
      <c r="H1544" s="14" t="s">
        <v>328</v>
      </c>
      <c r="I1544" s="14"/>
      <c r="J1544" s="14"/>
      <c r="K1544" s="14" t="s">
        <v>328</v>
      </c>
      <c r="L1544" s="134"/>
      <c r="M1544" s="249"/>
      <c r="N1544" s="249"/>
    </row>
    <row r="1545" spans="2:14" x14ac:dyDescent="0.25">
      <c r="B1545" s="14"/>
      <c r="C1545" s="14"/>
      <c r="D1545" s="14" t="s">
        <v>328</v>
      </c>
      <c r="E1545" s="14"/>
      <c r="F1545" s="14"/>
      <c r="G1545" s="14"/>
      <c r="H1545" s="14" t="s">
        <v>328</v>
      </c>
      <c r="I1545" s="14"/>
      <c r="J1545" s="14" t="s">
        <v>328</v>
      </c>
      <c r="K1545" s="14"/>
      <c r="L1545" s="134"/>
      <c r="M1545" s="249"/>
      <c r="N1545" s="249"/>
    </row>
    <row r="1546" spans="2:14" x14ac:dyDescent="0.25">
      <c r="B1546" s="14"/>
      <c r="C1546" s="14"/>
      <c r="D1546" s="14" t="s">
        <v>328</v>
      </c>
      <c r="E1546" s="14"/>
      <c r="F1546" s="14"/>
      <c r="G1546" s="14"/>
      <c r="H1546" s="14" t="s">
        <v>328</v>
      </c>
      <c r="I1546" s="14"/>
      <c r="J1546" s="14"/>
      <c r="K1546" s="14"/>
      <c r="L1546" s="134" t="s">
        <v>328</v>
      </c>
      <c r="M1546" s="249"/>
      <c r="N1546" s="249"/>
    </row>
    <row r="1547" spans="2:14" x14ac:dyDescent="0.25">
      <c r="B1547" s="14"/>
      <c r="C1547" s="14"/>
      <c r="D1547" s="14" t="s">
        <v>328</v>
      </c>
      <c r="E1547" s="14" t="s">
        <v>328</v>
      </c>
      <c r="F1547" s="14"/>
      <c r="G1547" s="14"/>
      <c r="H1547" s="14"/>
      <c r="I1547" s="14"/>
      <c r="J1547" s="14" t="s">
        <v>328</v>
      </c>
      <c r="K1547" s="14"/>
      <c r="L1547" s="134"/>
      <c r="M1547" s="249"/>
      <c r="N1547" s="249"/>
    </row>
    <row r="1548" spans="2:14" x14ac:dyDescent="0.25">
      <c r="B1548" s="14"/>
      <c r="C1548" s="14"/>
      <c r="D1548" s="14" t="s">
        <v>328</v>
      </c>
      <c r="E1548" s="14" t="s">
        <v>328</v>
      </c>
      <c r="F1548" s="14"/>
      <c r="G1548" s="14"/>
      <c r="H1548" s="14"/>
      <c r="I1548" s="14"/>
      <c r="J1548" s="14"/>
      <c r="K1548" s="14" t="s">
        <v>328</v>
      </c>
      <c r="L1548" s="134"/>
      <c r="M1548" s="249"/>
      <c r="N1548" s="249"/>
    </row>
    <row r="1549" spans="2:14" x14ac:dyDescent="0.25">
      <c r="B1549" s="14"/>
      <c r="C1549" s="14"/>
      <c r="D1549" s="14" t="s">
        <v>328</v>
      </c>
      <c r="E1549" s="14" t="s">
        <v>328</v>
      </c>
      <c r="F1549" s="14"/>
      <c r="G1549" s="14"/>
      <c r="H1549" s="14"/>
      <c r="I1549" s="14"/>
      <c r="J1549" s="14"/>
      <c r="K1549" s="14" t="s">
        <v>328</v>
      </c>
      <c r="L1549" s="134"/>
      <c r="M1549" s="249"/>
      <c r="N1549" s="249"/>
    </row>
    <row r="1550" spans="2:14" x14ac:dyDescent="0.25">
      <c r="B1550" s="14"/>
      <c r="C1550" s="14"/>
      <c r="D1550" s="14" t="s">
        <v>328</v>
      </c>
      <c r="E1550" s="14"/>
      <c r="F1550" s="14"/>
      <c r="G1550" s="14"/>
      <c r="H1550" s="14" t="s">
        <v>328</v>
      </c>
      <c r="I1550" s="14" t="s">
        <v>328</v>
      </c>
      <c r="J1550" s="14"/>
      <c r="K1550" s="14"/>
      <c r="L1550" s="134"/>
      <c r="M1550" s="249"/>
      <c r="N1550" s="249"/>
    </row>
    <row r="1551" spans="2:14" x14ac:dyDescent="0.25">
      <c r="B1551" s="14"/>
      <c r="C1551" s="14"/>
      <c r="D1551" s="14" t="s">
        <v>328</v>
      </c>
      <c r="E1551" s="14"/>
      <c r="F1551" s="14"/>
      <c r="G1551" s="14"/>
      <c r="H1551" s="14" t="s">
        <v>328</v>
      </c>
      <c r="I1551" s="14"/>
      <c r="J1551" s="14" t="s">
        <v>328</v>
      </c>
      <c r="K1551" s="14"/>
      <c r="L1551" s="134"/>
      <c r="M1551" s="249"/>
      <c r="N1551" s="249"/>
    </row>
    <row r="1552" spans="2:14" x14ac:dyDescent="0.25">
      <c r="B1552" s="14"/>
      <c r="C1552" s="14"/>
      <c r="D1552" s="14" t="s">
        <v>328</v>
      </c>
      <c r="E1552" s="14" t="s">
        <v>328</v>
      </c>
      <c r="F1552" s="14"/>
      <c r="G1552" s="14"/>
      <c r="H1552" s="14"/>
      <c r="I1552" s="14"/>
      <c r="J1552" s="14"/>
      <c r="K1552" s="14" t="s">
        <v>328</v>
      </c>
      <c r="L1552" s="134"/>
      <c r="M1552" s="249"/>
      <c r="N1552" s="249"/>
    </row>
    <row r="1553" spans="2:14" x14ac:dyDescent="0.25">
      <c r="B1553" s="14"/>
      <c r="C1553" s="14"/>
      <c r="D1553" s="14" t="s">
        <v>328</v>
      </c>
      <c r="E1553" s="14" t="s">
        <v>328</v>
      </c>
      <c r="F1553" s="14"/>
      <c r="G1553" s="14"/>
      <c r="H1553" s="14"/>
      <c r="I1553" s="14"/>
      <c r="J1553" s="14"/>
      <c r="K1553" s="14" t="s">
        <v>328</v>
      </c>
      <c r="L1553" s="134"/>
      <c r="M1553" s="249"/>
      <c r="N1553" s="249"/>
    </row>
    <row r="1554" spans="2:14" x14ac:dyDescent="0.25">
      <c r="B1554" s="14"/>
      <c r="C1554" s="14"/>
      <c r="D1554" s="14" t="s">
        <v>328</v>
      </c>
      <c r="E1554" s="14" t="s">
        <v>328</v>
      </c>
      <c r="F1554" s="14"/>
      <c r="G1554" s="14"/>
      <c r="H1554" s="14"/>
      <c r="I1554" s="14"/>
      <c r="J1554" s="14"/>
      <c r="K1554" s="14" t="s">
        <v>328</v>
      </c>
      <c r="L1554" s="134"/>
      <c r="M1554" s="249"/>
      <c r="N1554" s="249"/>
    </row>
    <row r="1555" spans="2:14" x14ac:dyDescent="0.25">
      <c r="B1555" s="14"/>
      <c r="C1555" s="14"/>
      <c r="D1555" s="14" t="s">
        <v>328</v>
      </c>
      <c r="E1555" s="14" t="s">
        <v>328</v>
      </c>
      <c r="F1555" s="14"/>
      <c r="G1555" s="14"/>
      <c r="H1555" s="14"/>
      <c r="I1555" s="14"/>
      <c r="J1555" s="14"/>
      <c r="K1555" s="14" t="s">
        <v>328</v>
      </c>
      <c r="L1555" s="134"/>
      <c r="M1555" s="249"/>
      <c r="N1555" s="249"/>
    </row>
    <row r="1556" spans="2:14" x14ac:dyDescent="0.25">
      <c r="B1556" s="14"/>
      <c r="C1556" s="14"/>
      <c r="D1556" s="14" t="s">
        <v>328</v>
      </c>
      <c r="E1556" s="14"/>
      <c r="F1556" s="14"/>
      <c r="G1556" s="14"/>
      <c r="H1556" s="14" t="s">
        <v>328</v>
      </c>
      <c r="I1556" s="14"/>
      <c r="J1556" s="14" t="s">
        <v>328</v>
      </c>
      <c r="K1556" s="14"/>
      <c r="L1556" s="134"/>
      <c r="M1556" s="249"/>
      <c r="N1556" s="249"/>
    </row>
    <row r="1557" spans="2:14" x14ac:dyDescent="0.25">
      <c r="B1557" s="14" t="s">
        <v>328</v>
      </c>
      <c r="C1557" s="14"/>
      <c r="D1557" s="14"/>
      <c r="E1557" s="14" t="s">
        <v>328</v>
      </c>
      <c r="F1557" s="14"/>
      <c r="G1557" s="14"/>
      <c r="H1557" s="14"/>
      <c r="I1557" s="14"/>
      <c r="J1557" s="14"/>
      <c r="K1557" s="14"/>
      <c r="L1557" s="134" t="s">
        <v>328</v>
      </c>
      <c r="M1557" s="249"/>
      <c r="N1557" s="249"/>
    </row>
    <row r="1558" spans="2:14" x14ac:dyDescent="0.25">
      <c r="B1558" s="14"/>
      <c r="C1558" s="14"/>
      <c r="D1558" s="14" t="s">
        <v>328</v>
      </c>
      <c r="E1558" s="14" t="s">
        <v>328</v>
      </c>
      <c r="F1558" s="14"/>
      <c r="G1558" s="14"/>
      <c r="H1558" s="14"/>
      <c r="I1558" s="14"/>
      <c r="J1558" s="14" t="s">
        <v>328</v>
      </c>
      <c r="K1558" s="14"/>
      <c r="L1558" s="134"/>
      <c r="M1558" s="249"/>
      <c r="N1558" s="249"/>
    </row>
    <row r="1559" spans="2:14" x14ac:dyDescent="0.25">
      <c r="B1559" s="14"/>
      <c r="C1559" s="14"/>
      <c r="D1559" s="14" t="s">
        <v>328</v>
      </c>
      <c r="E1559" s="14" t="s">
        <v>328</v>
      </c>
      <c r="F1559" s="14"/>
      <c r="G1559" s="14"/>
      <c r="H1559" s="14"/>
      <c r="I1559" s="14"/>
      <c r="J1559" s="14"/>
      <c r="K1559" s="14" t="s">
        <v>328</v>
      </c>
      <c r="L1559" s="134"/>
      <c r="M1559" s="249"/>
      <c r="N1559" s="249"/>
    </row>
    <row r="1560" spans="2:14" x14ac:dyDescent="0.25">
      <c r="B1560" s="14"/>
      <c r="C1560" s="14"/>
      <c r="D1560" s="14" t="s">
        <v>328</v>
      </c>
      <c r="E1560" s="14" t="s">
        <v>328</v>
      </c>
      <c r="F1560" s="14"/>
      <c r="G1560" s="14"/>
      <c r="H1560" s="14"/>
      <c r="I1560" s="14"/>
      <c r="J1560" s="14" t="s">
        <v>328</v>
      </c>
      <c r="K1560" s="14"/>
      <c r="L1560" s="134"/>
      <c r="M1560" s="249"/>
      <c r="N1560" s="249"/>
    </row>
    <row r="1561" spans="2:14" x14ac:dyDescent="0.25">
      <c r="B1561" s="14"/>
      <c r="C1561" s="14"/>
      <c r="D1561" s="14" t="s">
        <v>328</v>
      </c>
      <c r="E1561" s="14" t="s">
        <v>328</v>
      </c>
      <c r="F1561" s="14"/>
      <c r="G1561" s="14"/>
      <c r="H1561" s="14"/>
      <c r="I1561" s="14"/>
      <c r="J1561" s="14"/>
      <c r="K1561" s="14" t="s">
        <v>328</v>
      </c>
      <c r="L1561" s="134"/>
      <c r="M1561" s="249"/>
      <c r="N1561" s="249"/>
    </row>
    <row r="1562" spans="2:14" x14ac:dyDescent="0.25">
      <c r="B1562" s="14"/>
      <c r="C1562" s="14"/>
      <c r="D1562" s="14" t="s">
        <v>328</v>
      </c>
      <c r="E1562" s="14" t="s">
        <v>328</v>
      </c>
      <c r="F1562" s="14"/>
      <c r="G1562" s="14"/>
      <c r="H1562" s="14"/>
      <c r="I1562" s="14"/>
      <c r="J1562" s="14" t="s">
        <v>328</v>
      </c>
      <c r="K1562" s="14"/>
      <c r="L1562" s="134"/>
      <c r="M1562" s="249"/>
      <c r="N1562" s="249"/>
    </row>
    <row r="1563" spans="2:14" x14ac:dyDescent="0.25">
      <c r="B1563" s="14"/>
      <c r="C1563" s="14"/>
      <c r="D1563" s="14" t="s">
        <v>328</v>
      </c>
      <c r="E1563" s="14" t="s">
        <v>328</v>
      </c>
      <c r="F1563" s="14"/>
      <c r="G1563" s="14"/>
      <c r="H1563" s="14"/>
      <c r="I1563" s="14"/>
      <c r="J1563" s="14" t="s">
        <v>328</v>
      </c>
      <c r="K1563" s="14"/>
      <c r="L1563" s="134"/>
      <c r="M1563" s="249"/>
      <c r="N1563" s="249"/>
    </row>
    <row r="1564" spans="2:14" x14ac:dyDescent="0.25">
      <c r="B1564" s="14"/>
      <c r="C1564" s="14"/>
      <c r="D1564" s="14" t="s">
        <v>328</v>
      </c>
      <c r="E1564" s="14"/>
      <c r="F1564" s="14"/>
      <c r="G1564" s="14"/>
      <c r="H1564" s="14" t="s">
        <v>328</v>
      </c>
      <c r="I1564" s="14" t="s">
        <v>328</v>
      </c>
      <c r="J1564" s="14"/>
      <c r="K1564" s="14"/>
      <c r="L1564" s="134"/>
      <c r="M1564" s="249"/>
      <c r="N1564" s="249"/>
    </row>
    <row r="1565" spans="2:14" x14ac:dyDescent="0.25">
      <c r="B1565" s="14"/>
      <c r="C1565" s="14"/>
      <c r="D1565" s="14" t="s">
        <v>328</v>
      </c>
      <c r="E1565" s="14" t="s">
        <v>328</v>
      </c>
      <c r="F1565" s="14"/>
      <c r="G1565" s="14"/>
      <c r="H1565" s="14"/>
      <c r="I1565" s="14"/>
      <c r="J1565" s="14"/>
      <c r="K1565" s="14" t="s">
        <v>328</v>
      </c>
      <c r="L1565" s="134"/>
      <c r="M1565" s="249"/>
      <c r="N1565" s="249"/>
    </row>
    <row r="1566" spans="2:14" x14ac:dyDescent="0.25">
      <c r="B1566" s="14"/>
      <c r="C1566" s="14"/>
      <c r="D1566" s="14" t="s">
        <v>328</v>
      </c>
      <c r="E1566" s="14"/>
      <c r="F1566" s="14"/>
      <c r="G1566" s="14"/>
      <c r="H1566" s="14" t="s">
        <v>328</v>
      </c>
      <c r="I1566" s="14"/>
      <c r="J1566" s="14"/>
      <c r="K1566" s="14" t="s">
        <v>328</v>
      </c>
      <c r="L1566" s="134"/>
      <c r="M1566" s="249"/>
      <c r="N1566" s="249"/>
    </row>
    <row r="1567" spans="2:14" x14ac:dyDescent="0.25">
      <c r="B1567" s="14"/>
      <c r="C1567" s="14"/>
      <c r="D1567" s="14" t="s">
        <v>328</v>
      </c>
      <c r="E1567" s="14"/>
      <c r="F1567" s="14"/>
      <c r="G1567" s="14"/>
      <c r="H1567" s="14" t="s">
        <v>328</v>
      </c>
      <c r="I1567" s="14"/>
      <c r="J1567" s="14" t="s">
        <v>328</v>
      </c>
      <c r="K1567" s="14"/>
      <c r="L1567" s="134"/>
      <c r="M1567" s="249"/>
      <c r="N1567" s="249"/>
    </row>
    <row r="1568" spans="2:14" x14ac:dyDescent="0.25">
      <c r="B1568" s="14"/>
      <c r="C1568" s="14"/>
      <c r="D1568" s="14" t="s">
        <v>328</v>
      </c>
      <c r="E1568" s="14" t="s">
        <v>328</v>
      </c>
      <c r="F1568" s="14"/>
      <c r="G1568" s="14"/>
      <c r="H1568" s="14"/>
      <c r="I1568" s="14"/>
      <c r="J1568" s="14"/>
      <c r="K1568" s="14" t="s">
        <v>328</v>
      </c>
      <c r="L1568" s="134"/>
      <c r="M1568" s="249"/>
      <c r="N1568" s="249"/>
    </row>
    <row r="1569" spans="2:14" x14ac:dyDescent="0.25">
      <c r="B1569" s="14"/>
      <c r="C1569" s="14"/>
      <c r="D1569" s="14" t="s">
        <v>328</v>
      </c>
      <c r="E1569" s="14"/>
      <c r="F1569" s="14"/>
      <c r="G1569" s="14"/>
      <c r="H1569" s="14" t="s">
        <v>328</v>
      </c>
      <c r="I1569" s="14"/>
      <c r="J1569" s="14"/>
      <c r="K1569" s="14" t="s">
        <v>328</v>
      </c>
      <c r="L1569" s="134"/>
      <c r="M1569" s="249"/>
      <c r="N1569" s="249"/>
    </row>
    <row r="1570" spans="2:14" x14ac:dyDescent="0.25">
      <c r="B1570" s="14" t="s">
        <v>328</v>
      </c>
      <c r="C1570" s="14"/>
      <c r="D1570" s="14"/>
      <c r="E1570" s="14" t="s">
        <v>328</v>
      </c>
      <c r="F1570" s="14"/>
      <c r="G1570" s="14"/>
      <c r="H1570" s="14"/>
      <c r="I1570" s="14"/>
      <c r="J1570" s="14"/>
      <c r="K1570" s="14" t="s">
        <v>328</v>
      </c>
      <c r="L1570" s="134"/>
      <c r="M1570" s="249"/>
      <c r="N1570" s="249"/>
    </row>
    <row r="1571" spans="2:14" x14ac:dyDescent="0.25">
      <c r="B1571" s="14"/>
      <c r="C1571" s="14"/>
      <c r="D1571" s="14" t="s">
        <v>328</v>
      </c>
      <c r="E1571" s="14" t="s">
        <v>328</v>
      </c>
      <c r="F1571" s="14"/>
      <c r="G1571" s="14"/>
      <c r="H1571" s="14"/>
      <c r="I1571" s="14"/>
      <c r="J1571" s="14"/>
      <c r="K1571" s="14" t="s">
        <v>328</v>
      </c>
      <c r="L1571" s="134"/>
      <c r="M1571" s="249"/>
      <c r="N1571" s="249"/>
    </row>
    <row r="1572" spans="2:14" x14ac:dyDescent="0.25">
      <c r="B1572" s="14"/>
      <c r="C1572" s="14"/>
      <c r="D1572" s="14" t="s">
        <v>328</v>
      </c>
      <c r="E1572" s="14"/>
      <c r="F1572" s="14"/>
      <c r="G1572" s="14"/>
      <c r="H1572" s="14" t="s">
        <v>328</v>
      </c>
      <c r="I1572" s="14" t="s">
        <v>328</v>
      </c>
      <c r="J1572" s="14"/>
      <c r="K1572" s="14"/>
      <c r="L1572" s="134"/>
      <c r="M1572" s="249"/>
      <c r="N1572" s="249"/>
    </row>
    <row r="1573" spans="2:14" x14ac:dyDescent="0.25">
      <c r="B1573" s="14"/>
      <c r="C1573" s="14"/>
      <c r="D1573" s="14" t="s">
        <v>328</v>
      </c>
      <c r="E1573" s="14"/>
      <c r="F1573" s="14"/>
      <c r="G1573" s="14"/>
      <c r="H1573" s="14" t="s">
        <v>328</v>
      </c>
      <c r="I1573" s="14"/>
      <c r="J1573" s="14"/>
      <c r="K1573" s="14" t="s">
        <v>328</v>
      </c>
      <c r="L1573" s="134"/>
      <c r="M1573" s="249"/>
      <c r="N1573" s="249"/>
    </row>
    <row r="1574" spans="2:14" x14ac:dyDescent="0.25">
      <c r="B1574" s="14"/>
      <c r="C1574" s="14"/>
      <c r="D1574" s="14" t="s">
        <v>328</v>
      </c>
      <c r="E1574" s="14"/>
      <c r="F1574" s="14" t="s">
        <v>328</v>
      </c>
      <c r="G1574" s="14"/>
      <c r="H1574" s="14"/>
      <c r="I1574" s="14"/>
      <c r="J1574" s="14"/>
      <c r="K1574" s="14" t="s">
        <v>328</v>
      </c>
      <c r="L1574" s="134"/>
      <c r="M1574" s="249"/>
      <c r="N1574" s="249"/>
    </row>
    <row r="1575" spans="2:14" x14ac:dyDescent="0.25">
      <c r="B1575" s="14"/>
      <c r="C1575" s="14"/>
      <c r="D1575" s="14" t="s">
        <v>328</v>
      </c>
      <c r="E1575" s="14"/>
      <c r="F1575" s="14"/>
      <c r="G1575" s="14"/>
      <c r="H1575" s="14" t="s">
        <v>328</v>
      </c>
      <c r="I1575" s="14" t="s">
        <v>328</v>
      </c>
      <c r="J1575" s="14"/>
      <c r="K1575" s="14"/>
      <c r="L1575" s="134"/>
      <c r="M1575" s="249"/>
      <c r="N1575" s="249"/>
    </row>
    <row r="1576" spans="2:14" x14ac:dyDescent="0.25">
      <c r="B1576" s="14"/>
      <c r="C1576" s="14"/>
      <c r="D1576" s="14" t="s">
        <v>328</v>
      </c>
      <c r="E1576" s="14"/>
      <c r="F1576" s="14"/>
      <c r="G1576" s="14"/>
      <c r="H1576" s="14" t="s">
        <v>328</v>
      </c>
      <c r="I1576" s="14"/>
      <c r="J1576" s="14"/>
      <c r="K1576" s="14"/>
      <c r="L1576" s="134" t="s">
        <v>328</v>
      </c>
      <c r="M1576" s="249"/>
      <c r="N1576" s="249"/>
    </row>
    <row r="1577" spans="2:14" x14ac:dyDescent="0.25">
      <c r="B1577" s="14"/>
      <c r="C1577" s="14"/>
      <c r="D1577" s="14" t="s">
        <v>328</v>
      </c>
      <c r="E1577" s="14" t="s">
        <v>328</v>
      </c>
      <c r="F1577" s="14"/>
      <c r="G1577" s="14"/>
      <c r="H1577" s="14"/>
      <c r="I1577" s="14"/>
      <c r="J1577" s="14" t="s">
        <v>328</v>
      </c>
      <c r="K1577" s="14"/>
      <c r="L1577" s="134"/>
      <c r="M1577" s="249"/>
      <c r="N1577" s="249"/>
    </row>
    <row r="1578" spans="2:14" x14ac:dyDescent="0.25">
      <c r="B1578" s="14" t="s">
        <v>328</v>
      </c>
      <c r="C1578" s="14"/>
      <c r="D1578" s="14"/>
      <c r="E1578" s="14" t="s">
        <v>328</v>
      </c>
      <c r="F1578" s="14"/>
      <c r="G1578" s="14"/>
      <c r="H1578" s="14"/>
      <c r="I1578" s="14"/>
      <c r="J1578" s="14" t="s">
        <v>328</v>
      </c>
      <c r="K1578" s="14"/>
      <c r="L1578" s="134"/>
      <c r="M1578" s="249"/>
      <c r="N1578" s="249"/>
    </row>
    <row r="1579" spans="2:14" x14ac:dyDescent="0.25">
      <c r="B1579" s="14"/>
      <c r="C1579" s="14"/>
      <c r="D1579" s="14" t="s">
        <v>328</v>
      </c>
      <c r="E1579" s="14"/>
      <c r="F1579" s="14"/>
      <c r="G1579" s="14" t="s">
        <v>328</v>
      </c>
      <c r="H1579" s="14"/>
      <c r="I1579" s="14"/>
      <c r="J1579" s="14"/>
      <c r="K1579" s="14" t="s">
        <v>328</v>
      </c>
      <c r="L1579" s="134"/>
      <c r="M1579" s="249"/>
      <c r="N1579" s="249"/>
    </row>
    <row r="1580" spans="2:14" x14ac:dyDescent="0.25">
      <c r="B1580" s="14"/>
      <c r="C1580" s="14"/>
      <c r="D1580" s="14" t="s">
        <v>328</v>
      </c>
      <c r="E1580" s="14" t="s">
        <v>328</v>
      </c>
      <c r="F1580" s="14"/>
      <c r="G1580" s="14"/>
      <c r="H1580" s="14"/>
      <c r="I1580" s="14"/>
      <c r="J1580" s="14" t="s">
        <v>328</v>
      </c>
      <c r="K1580" s="14"/>
      <c r="L1580" s="134"/>
      <c r="M1580" s="249"/>
      <c r="N1580" s="249"/>
    </row>
    <row r="1581" spans="2:14" x14ac:dyDescent="0.25">
      <c r="B1581" s="14"/>
      <c r="C1581" s="14"/>
      <c r="D1581" s="14" t="s">
        <v>328</v>
      </c>
      <c r="E1581" s="14"/>
      <c r="F1581" s="14"/>
      <c r="G1581" s="14"/>
      <c r="H1581" s="14" t="s">
        <v>328</v>
      </c>
      <c r="I1581" s="14"/>
      <c r="J1581" s="14"/>
      <c r="K1581" s="14" t="s">
        <v>328</v>
      </c>
      <c r="L1581" s="134"/>
      <c r="M1581" s="249"/>
      <c r="N1581" s="249"/>
    </row>
    <row r="1582" spans="2:14" x14ac:dyDescent="0.25">
      <c r="B1582" s="14"/>
      <c r="C1582" s="14"/>
      <c r="D1582" s="14" t="s">
        <v>328</v>
      </c>
      <c r="E1582" s="14"/>
      <c r="F1582" s="14" t="s">
        <v>328</v>
      </c>
      <c r="G1582" s="14"/>
      <c r="H1582" s="14"/>
      <c r="I1582" s="14"/>
      <c r="J1582" s="14"/>
      <c r="K1582" s="14" t="s">
        <v>328</v>
      </c>
      <c r="L1582" s="134"/>
      <c r="M1582" s="249"/>
      <c r="N1582" s="249"/>
    </row>
    <row r="1583" spans="2:14" x14ac:dyDescent="0.25">
      <c r="B1583" s="14"/>
      <c r="C1583" s="14"/>
      <c r="D1583" s="14" t="s">
        <v>328</v>
      </c>
      <c r="E1583" s="14"/>
      <c r="F1583" s="14"/>
      <c r="G1583" s="14" t="s">
        <v>328</v>
      </c>
      <c r="H1583" s="14"/>
      <c r="I1583" s="14"/>
      <c r="J1583" s="14"/>
      <c r="K1583" s="14"/>
      <c r="L1583" s="134" t="s">
        <v>328</v>
      </c>
      <c r="M1583" s="249"/>
      <c r="N1583" s="249"/>
    </row>
    <row r="1584" spans="2:14" x14ac:dyDescent="0.25">
      <c r="B1584" s="14"/>
      <c r="C1584" s="14"/>
      <c r="D1584" s="14" t="s">
        <v>328</v>
      </c>
      <c r="E1584" s="14" t="s">
        <v>328</v>
      </c>
      <c r="F1584" s="14"/>
      <c r="G1584" s="14"/>
      <c r="H1584" s="14"/>
      <c r="I1584" s="14"/>
      <c r="J1584" s="14"/>
      <c r="K1584" s="14"/>
      <c r="L1584" s="134" t="s">
        <v>328</v>
      </c>
      <c r="M1584" s="249"/>
      <c r="N1584" s="249"/>
    </row>
    <row r="1585" spans="2:14" x14ac:dyDescent="0.25">
      <c r="B1585" s="14"/>
      <c r="C1585" s="14"/>
      <c r="D1585" s="14" t="s">
        <v>328</v>
      </c>
      <c r="E1585" s="14"/>
      <c r="F1585" s="14"/>
      <c r="G1585" s="14"/>
      <c r="H1585" s="14" t="s">
        <v>328</v>
      </c>
      <c r="I1585" s="14"/>
      <c r="J1585" s="14" t="s">
        <v>328</v>
      </c>
      <c r="K1585" s="14"/>
      <c r="L1585" s="134"/>
      <c r="M1585" s="249"/>
      <c r="N1585" s="249"/>
    </row>
    <row r="1586" spans="2:14" x14ac:dyDescent="0.25">
      <c r="B1586" s="14"/>
      <c r="C1586" s="14"/>
      <c r="D1586" s="14" t="s">
        <v>328</v>
      </c>
      <c r="E1586" s="14" t="s">
        <v>328</v>
      </c>
      <c r="F1586" s="14"/>
      <c r="G1586" s="14"/>
      <c r="H1586" s="14"/>
      <c r="I1586" s="14"/>
      <c r="J1586" s="14"/>
      <c r="K1586" s="14" t="s">
        <v>328</v>
      </c>
      <c r="L1586" s="134"/>
      <c r="M1586" s="249"/>
      <c r="N1586" s="249"/>
    </row>
    <row r="1587" spans="2:14" x14ac:dyDescent="0.25">
      <c r="B1587" s="14"/>
      <c r="C1587" s="14"/>
      <c r="D1587" s="14" t="s">
        <v>328</v>
      </c>
      <c r="E1587" s="14" t="s">
        <v>328</v>
      </c>
      <c r="F1587" s="14"/>
      <c r="G1587" s="14"/>
      <c r="H1587" s="14"/>
      <c r="I1587" s="14"/>
      <c r="J1587" s="14"/>
      <c r="K1587" s="14" t="s">
        <v>328</v>
      </c>
      <c r="L1587" s="134"/>
      <c r="M1587" s="249"/>
      <c r="N1587" s="249"/>
    </row>
    <row r="1588" spans="2:14" x14ac:dyDescent="0.25">
      <c r="B1588" s="14"/>
      <c r="C1588" s="14"/>
      <c r="D1588" s="14" t="s">
        <v>328</v>
      </c>
      <c r="E1588" s="14" t="s">
        <v>328</v>
      </c>
      <c r="F1588" s="14"/>
      <c r="G1588" s="14"/>
      <c r="H1588" s="14"/>
      <c r="I1588" s="14"/>
      <c r="J1588" s="14"/>
      <c r="K1588" s="14" t="s">
        <v>328</v>
      </c>
      <c r="L1588" s="134"/>
      <c r="M1588" s="249"/>
      <c r="N1588" s="249"/>
    </row>
    <row r="1589" spans="2:14" x14ac:dyDescent="0.25">
      <c r="B1589" s="14"/>
      <c r="C1589" s="14"/>
      <c r="D1589" s="14" t="s">
        <v>328</v>
      </c>
      <c r="E1589" s="14"/>
      <c r="F1589" s="14" t="s">
        <v>328</v>
      </c>
      <c r="G1589" s="14"/>
      <c r="H1589" s="14"/>
      <c r="I1589" s="14"/>
      <c r="J1589" s="14"/>
      <c r="K1589" s="14"/>
      <c r="L1589" s="134" t="s">
        <v>328</v>
      </c>
      <c r="M1589" s="249"/>
      <c r="N1589" s="249"/>
    </row>
    <row r="1590" spans="2:14" x14ac:dyDescent="0.25">
      <c r="B1590" s="14"/>
      <c r="C1590" s="14"/>
      <c r="D1590" s="14" t="s">
        <v>328</v>
      </c>
      <c r="E1590" s="14" t="s">
        <v>328</v>
      </c>
      <c r="F1590" s="14"/>
      <c r="G1590" s="14"/>
      <c r="H1590" s="14"/>
      <c r="I1590" s="14"/>
      <c r="J1590" s="14"/>
      <c r="K1590" s="14" t="s">
        <v>328</v>
      </c>
      <c r="L1590" s="134"/>
      <c r="M1590" s="249"/>
      <c r="N1590" s="249"/>
    </row>
    <row r="1591" spans="2:14" x14ac:dyDescent="0.25">
      <c r="B1591" s="14"/>
      <c r="C1591" s="14"/>
      <c r="D1591" s="14" t="s">
        <v>328</v>
      </c>
      <c r="E1591" s="14" t="s">
        <v>328</v>
      </c>
      <c r="F1591" s="14"/>
      <c r="G1591" s="14"/>
      <c r="H1591" s="14"/>
      <c r="I1591" s="14" t="s">
        <v>328</v>
      </c>
      <c r="J1591" s="14"/>
      <c r="K1591" s="14"/>
      <c r="L1591" s="134"/>
      <c r="M1591" s="249"/>
      <c r="N1591" s="249"/>
    </row>
    <row r="1592" spans="2:14" x14ac:dyDescent="0.25">
      <c r="B1592" s="14"/>
      <c r="C1592" s="14"/>
      <c r="D1592" s="14" t="s">
        <v>328</v>
      </c>
      <c r="E1592" s="14" t="s">
        <v>328</v>
      </c>
      <c r="F1592" s="14"/>
      <c r="G1592" s="14"/>
      <c r="H1592" s="14"/>
      <c r="I1592" s="14"/>
      <c r="J1592" s="14" t="s">
        <v>328</v>
      </c>
      <c r="K1592" s="14"/>
      <c r="L1592" s="134"/>
      <c r="M1592" s="249"/>
      <c r="N1592" s="249"/>
    </row>
    <row r="1593" spans="2:14" x14ac:dyDescent="0.25">
      <c r="B1593" s="14"/>
      <c r="C1593" s="14"/>
      <c r="D1593" s="14" t="s">
        <v>328</v>
      </c>
      <c r="E1593" s="14" t="s">
        <v>328</v>
      </c>
      <c r="F1593" s="14"/>
      <c r="G1593" s="14"/>
      <c r="H1593" s="14"/>
      <c r="I1593" s="14"/>
      <c r="J1593" s="14"/>
      <c r="K1593" s="14"/>
      <c r="L1593" s="134" t="s">
        <v>328</v>
      </c>
      <c r="M1593" s="249"/>
      <c r="N1593" s="249"/>
    </row>
    <row r="1594" spans="2:14" x14ac:dyDescent="0.25">
      <c r="B1594" s="14"/>
      <c r="C1594" s="14"/>
      <c r="D1594" s="14" t="s">
        <v>328</v>
      </c>
      <c r="E1594" s="14" t="s">
        <v>328</v>
      </c>
      <c r="F1594" s="14"/>
      <c r="G1594" s="14"/>
      <c r="H1594" s="14"/>
      <c r="I1594" s="14"/>
      <c r="J1594" s="14"/>
      <c r="K1594" s="14" t="s">
        <v>328</v>
      </c>
      <c r="L1594" s="134"/>
      <c r="M1594" s="249"/>
      <c r="N1594" s="249"/>
    </row>
    <row r="1595" spans="2:14" x14ac:dyDescent="0.25">
      <c r="B1595" s="14"/>
      <c r="C1595" s="14"/>
      <c r="D1595" s="14" t="s">
        <v>328</v>
      </c>
      <c r="E1595" s="14" t="s">
        <v>328</v>
      </c>
      <c r="F1595" s="14"/>
      <c r="G1595" s="14"/>
      <c r="H1595" s="14"/>
      <c r="I1595" s="14"/>
      <c r="J1595" s="14" t="s">
        <v>328</v>
      </c>
      <c r="K1595" s="14"/>
      <c r="L1595" s="134"/>
      <c r="M1595" s="249"/>
      <c r="N1595" s="249"/>
    </row>
    <row r="1596" spans="2:14" x14ac:dyDescent="0.25">
      <c r="B1596" s="14"/>
      <c r="C1596" s="14"/>
      <c r="D1596" s="14" t="s">
        <v>328</v>
      </c>
      <c r="E1596" s="14"/>
      <c r="F1596" s="14"/>
      <c r="G1596" s="14"/>
      <c r="H1596" s="14" t="s">
        <v>328</v>
      </c>
      <c r="I1596" s="14"/>
      <c r="J1596" s="14"/>
      <c r="K1596" s="14" t="s">
        <v>328</v>
      </c>
      <c r="L1596" s="134"/>
      <c r="M1596" s="249"/>
      <c r="N1596" s="249"/>
    </row>
    <row r="1597" spans="2:14" x14ac:dyDescent="0.25">
      <c r="B1597" s="14"/>
      <c r="C1597" s="14"/>
      <c r="D1597" s="14" t="s">
        <v>328</v>
      </c>
      <c r="E1597" s="14" t="s">
        <v>328</v>
      </c>
      <c r="F1597" s="14"/>
      <c r="G1597" s="14"/>
      <c r="H1597" s="14"/>
      <c r="I1597" s="14"/>
      <c r="J1597" s="14" t="s">
        <v>328</v>
      </c>
      <c r="K1597" s="14"/>
      <c r="L1597" s="134"/>
      <c r="M1597" s="249"/>
      <c r="N1597" s="249"/>
    </row>
    <row r="1598" spans="2:14" x14ac:dyDescent="0.25">
      <c r="B1598" s="14"/>
      <c r="C1598" s="14"/>
      <c r="D1598" s="14" t="s">
        <v>328</v>
      </c>
      <c r="E1598" s="14" t="s">
        <v>328</v>
      </c>
      <c r="F1598" s="14"/>
      <c r="G1598" s="14"/>
      <c r="H1598" s="14"/>
      <c r="I1598" s="14"/>
      <c r="J1598" s="14"/>
      <c r="K1598" s="14"/>
      <c r="L1598" s="134" t="s">
        <v>328</v>
      </c>
      <c r="M1598" s="249"/>
      <c r="N1598" s="249"/>
    </row>
    <row r="1599" spans="2:14" x14ac:dyDescent="0.25">
      <c r="B1599" s="14"/>
      <c r="C1599" s="14"/>
      <c r="D1599" s="14" t="s">
        <v>328</v>
      </c>
      <c r="E1599" s="14" t="s">
        <v>328</v>
      </c>
      <c r="F1599" s="14"/>
      <c r="G1599" s="14"/>
      <c r="H1599" s="14"/>
      <c r="I1599" s="14"/>
      <c r="J1599" s="14" t="s">
        <v>328</v>
      </c>
      <c r="K1599" s="14"/>
      <c r="L1599" s="134"/>
      <c r="M1599" s="249"/>
      <c r="N1599" s="249"/>
    </row>
    <row r="1600" spans="2:14" x14ac:dyDescent="0.25">
      <c r="B1600" s="14"/>
      <c r="C1600" s="14"/>
      <c r="D1600" s="14" t="s">
        <v>328</v>
      </c>
      <c r="E1600" s="14"/>
      <c r="F1600" s="14"/>
      <c r="G1600" s="14" t="s">
        <v>328</v>
      </c>
      <c r="H1600" s="14"/>
      <c r="I1600" s="14" t="s">
        <v>328</v>
      </c>
      <c r="J1600" s="14"/>
      <c r="K1600" s="14"/>
      <c r="L1600" s="134"/>
      <c r="M1600" s="249"/>
      <c r="N1600" s="249"/>
    </row>
    <row r="1601" spans="2:14" x14ac:dyDescent="0.25">
      <c r="B1601" s="14"/>
      <c r="C1601" s="14"/>
      <c r="D1601" s="14" t="s">
        <v>328</v>
      </c>
      <c r="E1601" s="14"/>
      <c r="F1601" s="14"/>
      <c r="G1601" s="14"/>
      <c r="H1601" s="14" t="s">
        <v>328</v>
      </c>
      <c r="I1601" s="14"/>
      <c r="J1601" s="14"/>
      <c r="K1601" s="14"/>
      <c r="L1601" s="134" t="s">
        <v>328</v>
      </c>
      <c r="M1601" s="249"/>
      <c r="N1601" s="249"/>
    </row>
    <row r="1602" spans="2:14" x14ac:dyDescent="0.25">
      <c r="B1602" s="14" t="s">
        <v>328</v>
      </c>
      <c r="C1602" s="14"/>
      <c r="D1602" s="14"/>
      <c r="E1602" s="14" t="s">
        <v>328</v>
      </c>
      <c r="F1602" s="14"/>
      <c r="G1602" s="14"/>
      <c r="H1602" s="14"/>
      <c r="I1602" s="14"/>
      <c r="J1602" s="14"/>
      <c r="K1602" s="14" t="s">
        <v>328</v>
      </c>
      <c r="L1602" s="134"/>
      <c r="M1602" s="249"/>
      <c r="N1602" s="249"/>
    </row>
    <row r="1603" spans="2:14" x14ac:dyDescent="0.25">
      <c r="B1603" s="14"/>
      <c r="C1603" s="14"/>
      <c r="D1603" s="14" t="s">
        <v>328</v>
      </c>
      <c r="E1603" s="14"/>
      <c r="F1603" s="14"/>
      <c r="G1603" s="14" t="s">
        <v>328</v>
      </c>
      <c r="H1603" s="14"/>
      <c r="I1603" s="14"/>
      <c r="J1603" s="14"/>
      <c r="K1603" s="14" t="s">
        <v>328</v>
      </c>
      <c r="L1603" s="134"/>
      <c r="M1603" s="249"/>
      <c r="N1603" s="249"/>
    </row>
    <row r="1604" spans="2:14" x14ac:dyDescent="0.25">
      <c r="B1604" s="14"/>
      <c r="C1604" s="14"/>
      <c r="D1604" s="14" t="s">
        <v>328</v>
      </c>
      <c r="E1604" s="14"/>
      <c r="F1604" s="14"/>
      <c r="G1604" s="14"/>
      <c r="H1604" s="14" t="s">
        <v>328</v>
      </c>
      <c r="I1604" s="14"/>
      <c r="J1604" s="14"/>
      <c r="K1604" s="14" t="s">
        <v>328</v>
      </c>
      <c r="L1604" s="134"/>
      <c r="M1604" s="249"/>
      <c r="N1604" s="249"/>
    </row>
    <row r="1605" spans="2:14" x14ac:dyDescent="0.25">
      <c r="B1605" s="14"/>
      <c r="C1605" s="14"/>
      <c r="D1605" s="14" t="s">
        <v>328</v>
      </c>
      <c r="E1605" s="14"/>
      <c r="F1605" s="14" t="s">
        <v>328</v>
      </c>
      <c r="G1605" s="14"/>
      <c r="H1605" s="14"/>
      <c r="I1605" s="14"/>
      <c r="J1605" s="14"/>
      <c r="K1605" s="14" t="s">
        <v>328</v>
      </c>
      <c r="L1605" s="134"/>
      <c r="M1605" s="249"/>
      <c r="N1605" s="249"/>
    </row>
    <row r="1606" spans="2:14" x14ac:dyDescent="0.25">
      <c r="B1606" s="14"/>
      <c r="C1606" s="14"/>
      <c r="D1606" s="14" t="s">
        <v>328</v>
      </c>
      <c r="E1606" s="14"/>
      <c r="F1606" s="14"/>
      <c r="G1606" s="14"/>
      <c r="H1606" s="14" t="s">
        <v>328</v>
      </c>
      <c r="I1606" s="14"/>
      <c r="J1606" s="14"/>
      <c r="K1606" s="14"/>
      <c r="L1606" s="134" t="s">
        <v>328</v>
      </c>
      <c r="M1606" s="249"/>
      <c r="N1606" s="249"/>
    </row>
    <row r="1607" spans="2:14" x14ac:dyDescent="0.25">
      <c r="B1607" s="14"/>
      <c r="C1607" s="14"/>
      <c r="D1607" s="14" t="s">
        <v>328</v>
      </c>
      <c r="E1607" s="14"/>
      <c r="F1607" s="14"/>
      <c r="G1607" s="14"/>
      <c r="H1607" s="14" t="s">
        <v>328</v>
      </c>
      <c r="I1607" s="14"/>
      <c r="J1607" s="14"/>
      <c r="K1607" s="14"/>
      <c r="L1607" s="134" t="s">
        <v>328</v>
      </c>
      <c r="M1607" s="249"/>
      <c r="N1607" s="249"/>
    </row>
    <row r="1608" spans="2:14" x14ac:dyDescent="0.25">
      <c r="B1608" s="14"/>
      <c r="C1608" s="14"/>
      <c r="D1608" s="14" t="s">
        <v>328</v>
      </c>
      <c r="E1608" s="14"/>
      <c r="F1608" s="14"/>
      <c r="G1608" s="14"/>
      <c r="H1608" s="14" t="s">
        <v>328</v>
      </c>
      <c r="I1608" s="14"/>
      <c r="J1608" s="14"/>
      <c r="K1608" s="14" t="s">
        <v>328</v>
      </c>
      <c r="L1608" s="134"/>
      <c r="M1608" s="249"/>
      <c r="N1608" s="249"/>
    </row>
    <row r="1609" spans="2:14" x14ac:dyDescent="0.25">
      <c r="B1609" s="14"/>
      <c r="C1609" s="14"/>
      <c r="D1609" s="14" t="s">
        <v>328</v>
      </c>
      <c r="E1609" s="14"/>
      <c r="F1609" s="14"/>
      <c r="G1609" s="14"/>
      <c r="H1609" s="14" t="s">
        <v>328</v>
      </c>
      <c r="I1609" s="14"/>
      <c r="J1609" s="14"/>
      <c r="K1609" s="14" t="s">
        <v>328</v>
      </c>
      <c r="L1609" s="134"/>
      <c r="M1609" s="249"/>
      <c r="N1609" s="249"/>
    </row>
    <row r="1610" spans="2:14" x14ac:dyDescent="0.25">
      <c r="B1610" s="14"/>
      <c r="C1610" s="14"/>
      <c r="D1610" s="14" t="s">
        <v>328</v>
      </c>
      <c r="E1610" s="14"/>
      <c r="F1610" s="14"/>
      <c r="G1610" s="14"/>
      <c r="H1610" s="14" t="s">
        <v>328</v>
      </c>
      <c r="I1610" s="14"/>
      <c r="J1610" s="14"/>
      <c r="K1610" s="14" t="s">
        <v>328</v>
      </c>
      <c r="L1610" s="134"/>
      <c r="M1610" s="249"/>
      <c r="N1610" s="249"/>
    </row>
    <row r="1611" spans="2:14" x14ac:dyDescent="0.25">
      <c r="B1611" s="14"/>
      <c r="C1611" s="14"/>
      <c r="D1611" s="14" t="s">
        <v>328</v>
      </c>
      <c r="E1611" s="14"/>
      <c r="F1611" s="14"/>
      <c r="G1611" s="14"/>
      <c r="H1611" s="14" t="s">
        <v>328</v>
      </c>
      <c r="I1611" s="14" t="s">
        <v>328</v>
      </c>
      <c r="J1611" s="14"/>
      <c r="K1611" s="14"/>
      <c r="L1611" s="134"/>
      <c r="M1611" s="249"/>
      <c r="N1611" s="249"/>
    </row>
    <row r="1612" spans="2:14" x14ac:dyDescent="0.25">
      <c r="B1612" s="14"/>
      <c r="C1612" s="14"/>
      <c r="D1612" s="14" t="s">
        <v>328</v>
      </c>
      <c r="E1612" s="14"/>
      <c r="F1612" s="14"/>
      <c r="G1612" s="14"/>
      <c r="H1612" s="14" t="s">
        <v>328</v>
      </c>
      <c r="I1612" s="14"/>
      <c r="J1612" s="14"/>
      <c r="K1612" s="14"/>
      <c r="L1612" s="134" t="s">
        <v>328</v>
      </c>
      <c r="M1612" s="249"/>
      <c r="N1612" s="249"/>
    </row>
    <row r="1613" spans="2:14" x14ac:dyDescent="0.25">
      <c r="B1613" s="14"/>
      <c r="C1613" s="14"/>
      <c r="D1613" s="14" t="s">
        <v>328</v>
      </c>
      <c r="E1613" s="14"/>
      <c r="F1613" s="14"/>
      <c r="G1613" s="14"/>
      <c r="H1613" s="14" t="s">
        <v>328</v>
      </c>
      <c r="I1613" s="14"/>
      <c r="J1613" s="14"/>
      <c r="K1613" s="14"/>
      <c r="L1613" s="134" t="s">
        <v>328</v>
      </c>
      <c r="M1613" s="249"/>
      <c r="N1613" s="249"/>
    </row>
    <row r="1614" spans="2:14" x14ac:dyDescent="0.25">
      <c r="B1614" s="14"/>
      <c r="C1614" s="14"/>
      <c r="D1614" s="14" t="s">
        <v>328</v>
      </c>
      <c r="E1614" s="14"/>
      <c r="F1614" s="14"/>
      <c r="G1614" s="14"/>
      <c r="H1614" s="14" t="s">
        <v>328</v>
      </c>
      <c r="I1614" s="14"/>
      <c r="J1614" s="14"/>
      <c r="K1614" s="14"/>
      <c r="L1614" s="134" t="s">
        <v>328</v>
      </c>
      <c r="M1614" s="249"/>
      <c r="N1614" s="249"/>
    </row>
    <row r="1615" spans="2:14" x14ac:dyDescent="0.25">
      <c r="B1615" s="14"/>
      <c r="C1615" s="14"/>
      <c r="D1615" s="14" t="s">
        <v>328</v>
      </c>
      <c r="E1615" s="14"/>
      <c r="F1615" s="14"/>
      <c r="G1615" s="14"/>
      <c r="H1615" s="14" t="s">
        <v>328</v>
      </c>
      <c r="I1615" s="14"/>
      <c r="J1615" s="14"/>
      <c r="K1615" s="14"/>
      <c r="L1615" s="134" t="s">
        <v>328</v>
      </c>
      <c r="M1615" s="249"/>
      <c r="N1615" s="249"/>
    </row>
    <row r="1616" spans="2:14" x14ac:dyDescent="0.25">
      <c r="B1616" s="14"/>
      <c r="C1616" s="14"/>
      <c r="D1616" s="14" t="s">
        <v>328</v>
      </c>
      <c r="E1616" s="14"/>
      <c r="F1616" s="14"/>
      <c r="G1616" s="14"/>
      <c r="H1616" s="14" t="s">
        <v>328</v>
      </c>
      <c r="I1616" s="14"/>
      <c r="J1616" s="14"/>
      <c r="K1616" s="14" t="s">
        <v>328</v>
      </c>
      <c r="L1616" s="134"/>
      <c r="M1616" s="249"/>
      <c r="N1616" s="249"/>
    </row>
    <row r="1617" spans="2:14" x14ac:dyDescent="0.25">
      <c r="B1617" s="14"/>
      <c r="C1617" s="14"/>
      <c r="D1617" s="14" t="s">
        <v>328</v>
      </c>
      <c r="E1617" s="14"/>
      <c r="F1617" s="14" t="s">
        <v>328</v>
      </c>
      <c r="G1617" s="14"/>
      <c r="H1617" s="14"/>
      <c r="I1617" s="14" t="s">
        <v>328</v>
      </c>
      <c r="J1617" s="14"/>
      <c r="K1617" s="14"/>
      <c r="L1617" s="134"/>
      <c r="M1617" s="249"/>
      <c r="N1617" s="249"/>
    </row>
    <row r="1618" spans="2:14" x14ac:dyDescent="0.25">
      <c r="B1618" s="14"/>
      <c r="C1618" s="14"/>
      <c r="D1618" s="14" t="s">
        <v>328</v>
      </c>
      <c r="E1618" s="14"/>
      <c r="F1618" s="14"/>
      <c r="G1618" s="14"/>
      <c r="H1618" s="14" t="s">
        <v>328</v>
      </c>
      <c r="I1618" s="14"/>
      <c r="J1618" s="14"/>
      <c r="K1618" s="14" t="s">
        <v>328</v>
      </c>
      <c r="L1618" s="134"/>
      <c r="M1618" s="249"/>
      <c r="N1618" s="249"/>
    </row>
    <row r="1619" spans="2:14" x14ac:dyDescent="0.25">
      <c r="B1619" s="14"/>
      <c r="C1619" s="14"/>
      <c r="D1619" s="14" t="s">
        <v>328</v>
      </c>
      <c r="E1619" s="14"/>
      <c r="F1619" s="14"/>
      <c r="G1619" s="14"/>
      <c r="H1619" s="14" t="s">
        <v>328</v>
      </c>
      <c r="I1619" s="14"/>
      <c r="J1619" s="14" t="s">
        <v>328</v>
      </c>
      <c r="K1619" s="14"/>
      <c r="L1619" s="134"/>
      <c r="M1619" s="249"/>
      <c r="N1619" s="249"/>
    </row>
    <row r="1620" spans="2:14" x14ac:dyDescent="0.25">
      <c r="B1620" s="14"/>
      <c r="C1620" s="14"/>
      <c r="D1620" s="14" t="s">
        <v>328</v>
      </c>
      <c r="E1620" s="14"/>
      <c r="F1620" s="14" t="s">
        <v>328</v>
      </c>
      <c r="G1620" s="14"/>
      <c r="H1620" s="14"/>
      <c r="I1620" s="14"/>
      <c r="J1620" s="14"/>
      <c r="K1620" s="14" t="s">
        <v>328</v>
      </c>
      <c r="L1620" s="134"/>
      <c r="M1620" s="249"/>
      <c r="N1620" s="249"/>
    </row>
    <row r="1621" spans="2:14" x14ac:dyDescent="0.25">
      <c r="B1621" s="14"/>
      <c r="C1621" s="14"/>
      <c r="D1621" s="14" t="s">
        <v>328</v>
      </c>
      <c r="E1621" s="14"/>
      <c r="F1621" s="14"/>
      <c r="G1621" s="14"/>
      <c r="H1621" s="14" t="s">
        <v>328</v>
      </c>
      <c r="I1621" s="14"/>
      <c r="J1621" s="14"/>
      <c r="K1621" s="14" t="s">
        <v>328</v>
      </c>
      <c r="L1621" s="134"/>
      <c r="M1621" s="249"/>
      <c r="N1621" s="249"/>
    </row>
    <row r="1622" spans="2:14" x14ac:dyDescent="0.25">
      <c r="B1622" s="14"/>
      <c r="C1622" s="14"/>
      <c r="D1622" s="14" t="s">
        <v>328</v>
      </c>
      <c r="E1622" s="14"/>
      <c r="F1622" s="14"/>
      <c r="G1622" s="14"/>
      <c r="H1622" s="14" t="s">
        <v>328</v>
      </c>
      <c r="I1622" s="14"/>
      <c r="J1622" s="14"/>
      <c r="K1622" s="14"/>
      <c r="L1622" s="134" t="s">
        <v>328</v>
      </c>
      <c r="M1622" s="249"/>
      <c r="N1622" s="249"/>
    </row>
    <row r="1623" spans="2:14" x14ac:dyDescent="0.25">
      <c r="B1623" s="14"/>
      <c r="C1623" s="14"/>
      <c r="D1623" s="14" t="s">
        <v>328</v>
      </c>
      <c r="E1623" s="14"/>
      <c r="F1623" s="14"/>
      <c r="G1623" s="14"/>
      <c r="H1623" s="14" t="s">
        <v>328</v>
      </c>
      <c r="I1623" s="14"/>
      <c r="J1623" s="14" t="s">
        <v>328</v>
      </c>
      <c r="K1623" s="14"/>
      <c r="L1623" s="134"/>
      <c r="M1623" s="249"/>
      <c r="N1623" s="249"/>
    </row>
    <row r="1624" spans="2:14" x14ac:dyDescent="0.25">
      <c r="B1624" s="14"/>
      <c r="C1624" s="14"/>
      <c r="D1624" s="14" t="s">
        <v>328</v>
      </c>
      <c r="E1624" s="14"/>
      <c r="F1624" s="14"/>
      <c r="G1624" s="14"/>
      <c r="H1624" s="14" t="s">
        <v>328</v>
      </c>
      <c r="I1624" s="14"/>
      <c r="J1624" s="14"/>
      <c r="K1624" s="14" t="s">
        <v>328</v>
      </c>
      <c r="L1624" s="134"/>
      <c r="M1624" s="249"/>
      <c r="N1624" s="249"/>
    </row>
    <row r="1625" spans="2:14" x14ac:dyDescent="0.25">
      <c r="B1625" s="14"/>
      <c r="C1625" s="14"/>
      <c r="D1625" s="14" t="s">
        <v>328</v>
      </c>
      <c r="E1625" s="14"/>
      <c r="F1625" s="14"/>
      <c r="G1625" s="14"/>
      <c r="H1625" s="14" t="s">
        <v>328</v>
      </c>
      <c r="I1625" s="14"/>
      <c r="J1625" s="14"/>
      <c r="K1625" s="14"/>
      <c r="L1625" s="134" t="s">
        <v>328</v>
      </c>
      <c r="M1625" s="249"/>
      <c r="N1625" s="249"/>
    </row>
    <row r="1626" spans="2:14" x14ac:dyDescent="0.25">
      <c r="B1626" s="14"/>
      <c r="C1626" s="14"/>
      <c r="D1626" s="14" t="s">
        <v>328</v>
      </c>
      <c r="E1626" s="14"/>
      <c r="F1626" s="14"/>
      <c r="G1626" s="14"/>
      <c r="H1626" s="14" t="s">
        <v>328</v>
      </c>
      <c r="I1626" s="14"/>
      <c r="J1626" s="14"/>
      <c r="K1626" s="14" t="s">
        <v>328</v>
      </c>
      <c r="L1626" s="134"/>
      <c r="M1626" s="249"/>
      <c r="N1626" s="249"/>
    </row>
    <row r="1627" spans="2:14" x14ac:dyDescent="0.25">
      <c r="B1627" s="14"/>
      <c r="C1627" s="14"/>
      <c r="D1627" s="14" t="s">
        <v>328</v>
      </c>
      <c r="E1627" s="14"/>
      <c r="F1627" s="14"/>
      <c r="G1627" s="14"/>
      <c r="H1627" s="14" t="s">
        <v>328</v>
      </c>
      <c r="I1627" s="14"/>
      <c r="J1627" s="14" t="s">
        <v>328</v>
      </c>
      <c r="K1627" s="14"/>
      <c r="L1627" s="134"/>
      <c r="M1627" s="249"/>
      <c r="N1627" s="249"/>
    </row>
    <row r="1628" spans="2:14" x14ac:dyDescent="0.25">
      <c r="B1628" s="14"/>
      <c r="C1628" s="14"/>
      <c r="D1628" s="14" t="s">
        <v>328</v>
      </c>
      <c r="E1628" s="14"/>
      <c r="F1628" s="14"/>
      <c r="G1628" s="14"/>
      <c r="H1628" s="14" t="s">
        <v>328</v>
      </c>
      <c r="I1628" s="14"/>
      <c r="J1628" s="14"/>
      <c r="K1628" s="14"/>
      <c r="L1628" s="134" t="s">
        <v>328</v>
      </c>
      <c r="M1628" s="249"/>
      <c r="N1628" s="249"/>
    </row>
    <row r="1629" spans="2:14" x14ac:dyDescent="0.25">
      <c r="B1629" s="14"/>
      <c r="C1629" s="14"/>
      <c r="D1629" s="14" t="s">
        <v>328</v>
      </c>
      <c r="E1629" s="14"/>
      <c r="F1629" s="14"/>
      <c r="G1629" s="14"/>
      <c r="H1629" s="14" t="s">
        <v>328</v>
      </c>
      <c r="I1629" s="14"/>
      <c r="J1629" s="14"/>
      <c r="K1629" s="14"/>
      <c r="L1629" s="134" t="s">
        <v>328</v>
      </c>
      <c r="M1629" s="249"/>
      <c r="N1629" s="249"/>
    </row>
    <row r="1630" spans="2:14" x14ac:dyDescent="0.25">
      <c r="B1630" s="14"/>
      <c r="C1630" s="14"/>
      <c r="D1630" s="14" t="s">
        <v>328</v>
      </c>
      <c r="E1630" s="14"/>
      <c r="F1630" s="14"/>
      <c r="G1630" s="14"/>
      <c r="H1630" s="14" t="s">
        <v>328</v>
      </c>
      <c r="I1630" s="14"/>
      <c r="J1630" s="14" t="s">
        <v>328</v>
      </c>
      <c r="K1630" s="14"/>
      <c r="L1630" s="134"/>
      <c r="M1630" s="249"/>
      <c r="N1630" s="249"/>
    </row>
    <row r="1631" spans="2:14" x14ac:dyDescent="0.25">
      <c r="B1631" s="14"/>
      <c r="C1631" s="14"/>
      <c r="D1631" s="14" t="s">
        <v>328</v>
      </c>
      <c r="E1631" s="14"/>
      <c r="F1631" s="14"/>
      <c r="G1631" s="14"/>
      <c r="H1631" s="14" t="s">
        <v>328</v>
      </c>
      <c r="I1631" s="14"/>
      <c r="J1631" s="14" t="s">
        <v>328</v>
      </c>
      <c r="K1631" s="14"/>
      <c r="L1631" s="134"/>
      <c r="M1631" s="249"/>
      <c r="N1631" s="249"/>
    </row>
    <row r="1632" spans="2:14" x14ac:dyDescent="0.25">
      <c r="B1632" s="14"/>
      <c r="C1632" s="14"/>
      <c r="D1632" s="14" t="s">
        <v>328</v>
      </c>
      <c r="E1632" s="14"/>
      <c r="F1632" s="14"/>
      <c r="G1632" s="14"/>
      <c r="H1632" s="14" t="s">
        <v>328</v>
      </c>
      <c r="I1632" s="14"/>
      <c r="J1632" s="14"/>
      <c r="K1632" s="14" t="s">
        <v>328</v>
      </c>
      <c r="L1632" s="134"/>
      <c r="M1632" s="249"/>
      <c r="N1632" s="249"/>
    </row>
    <row r="1633" spans="2:14" x14ac:dyDescent="0.25">
      <c r="B1633" s="14"/>
      <c r="C1633" s="14"/>
      <c r="D1633" s="14" t="s">
        <v>328</v>
      </c>
      <c r="E1633" s="14"/>
      <c r="F1633" s="14"/>
      <c r="G1633" s="14"/>
      <c r="H1633" s="14" t="s">
        <v>328</v>
      </c>
      <c r="I1633" s="14" t="s">
        <v>328</v>
      </c>
      <c r="J1633" s="14"/>
      <c r="K1633" s="14"/>
      <c r="L1633" s="134"/>
      <c r="M1633" s="249"/>
      <c r="N1633" s="249"/>
    </row>
    <row r="1634" spans="2:14" x14ac:dyDescent="0.25">
      <c r="B1634" s="14"/>
      <c r="C1634" s="14"/>
      <c r="D1634" s="14" t="s">
        <v>328</v>
      </c>
      <c r="E1634" s="14"/>
      <c r="F1634" s="14"/>
      <c r="G1634" s="14" t="s">
        <v>328</v>
      </c>
      <c r="H1634" s="14"/>
      <c r="I1634" s="14"/>
      <c r="J1634" s="14" t="s">
        <v>328</v>
      </c>
      <c r="K1634" s="14"/>
      <c r="L1634" s="134"/>
      <c r="M1634" s="249"/>
      <c r="N1634" s="249"/>
    </row>
    <row r="1635" spans="2:14" x14ac:dyDescent="0.25">
      <c r="B1635" s="14"/>
      <c r="C1635" s="14"/>
      <c r="D1635" s="14" t="s">
        <v>328</v>
      </c>
      <c r="E1635" s="14"/>
      <c r="F1635" s="14"/>
      <c r="G1635" s="14"/>
      <c r="H1635" s="14" t="s">
        <v>328</v>
      </c>
      <c r="I1635" s="14" t="s">
        <v>328</v>
      </c>
      <c r="J1635" s="14"/>
      <c r="K1635" s="14"/>
      <c r="L1635" s="134"/>
      <c r="M1635" s="249"/>
      <c r="N1635" s="249"/>
    </row>
    <row r="1636" spans="2:14" x14ac:dyDescent="0.25">
      <c r="B1636" s="14"/>
      <c r="C1636" s="14"/>
      <c r="D1636" s="14" t="s">
        <v>328</v>
      </c>
      <c r="E1636" s="14"/>
      <c r="F1636" s="14" t="s">
        <v>328</v>
      </c>
      <c r="G1636" s="14"/>
      <c r="H1636" s="14"/>
      <c r="I1636" s="14"/>
      <c r="J1636" s="14"/>
      <c r="K1636" s="14" t="s">
        <v>328</v>
      </c>
      <c r="L1636" s="134"/>
      <c r="M1636" s="249"/>
      <c r="N1636" s="249"/>
    </row>
    <row r="1637" spans="2:14" x14ac:dyDescent="0.25">
      <c r="B1637" s="14"/>
      <c r="C1637" s="14"/>
      <c r="D1637" s="14" t="s">
        <v>328</v>
      </c>
      <c r="E1637" s="14" t="s">
        <v>328</v>
      </c>
      <c r="F1637" s="14"/>
      <c r="G1637" s="14"/>
      <c r="H1637" s="14"/>
      <c r="I1637" s="14"/>
      <c r="J1637" s="14"/>
      <c r="K1637" s="14"/>
      <c r="L1637" s="134" t="s">
        <v>328</v>
      </c>
      <c r="M1637" s="249"/>
      <c r="N1637" s="249"/>
    </row>
    <row r="1638" spans="2:14" x14ac:dyDescent="0.25">
      <c r="B1638" s="14"/>
      <c r="C1638" s="14"/>
      <c r="D1638" s="14" t="s">
        <v>328</v>
      </c>
      <c r="E1638" s="14"/>
      <c r="F1638" s="14"/>
      <c r="G1638" s="14"/>
      <c r="H1638" s="14" t="s">
        <v>328</v>
      </c>
      <c r="I1638" s="14"/>
      <c r="J1638" s="14"/>
      <c r="K1638" s="14"/>
      <c r="L1638" s="134" t="s">
        <v>328</v>
      </c>
      <c r="M1638" s="249"/>
      <c r="N1638" s="249"/>
    </row>
    <row r="1639" spans="2:14" x14ac:dyDescent="0.25">
      <c r="B1639" s="14"/>
      <c r="C1639" s="14"/>
      <c r="D1639" s="14" t="s">
        <v>328</v>
      </c>
      <c r="E1639" s="14" t="s">
        <v>328</v>
      </c>
      <c r="F1639" s="14"/>
      <c r="G1639" s="14"/>
      <c r="H1639" s="14"/>
      <c r="I1639" s="14"/>
      <c r="J1639" s="14"/>
      <c r="K1639" s="14" t="s">
        <v>328</v>
      </c>
      <c r="L1639" s="134"/>
      <c r="M1639" s="249"/>
      <c r="N1639" s="249"/>
    </row>
    <row r="1640" spans="2:14" x14ac:dyDescent="0.25">
      <c r="B1640" s="14"/>
      <c r="C1640" s="14"/>
      <c r="D1640" s="14" t="s">
        <v>328</v>
      </c>
      <c r="E1640" s="14"/>
      <c r="F1640" s="14"/>
      <c r="G1640" s="14"/>
      <c r="H1640" s="14" t="s">
        <v>328</v>
      </c>
      <c r="I1640" s="14"/>
      <c r="J1640" s="14"/>
      <c r="K1640" s="14"/>
      <c r="L1640" s="134" t="s">
        <v>328</v>
      </c>
      <c r="M1640" s="249"/>
      <c r="N1640" s="249"/>
    </row>
    <row r="1641" spans="2:14" x14ac:dyDescent="0.25">
      <c r="B1641" s="14"/>
      <c r="C1641" s="14"/>
      <c r="D1641" s="14" t="s">
        <v>328</v>
      </c>
      <c r="E1641" s="14"/>
      <c r="F1641" s="14" t="s">
        <v>328</v>
      </c>
      <c r="G1641" s="14"/>
      <c r="H1641" s="14"/>
      <c r="I1641" s="14"/>
      <c r="J1641" s="14"/>
      <c r="K1641" s="14" t="s">
        <v>328</v>
      </c>
      <c r="L1641" s="134"/>
      <c r="M1641" s="249"/>
      <c r="N1641" s="249"/>
    </row>
    <row r="1642" spans="2:14" x14ac:dyDescent="0.25">
      <c r="B1642" s="14"/>
      <c r="C1642" s="14"/>
      <c r="D1642" s="14" t="s">
        <v>328</v>
      </c>
      <c r="E1642" s="14"/>
      <c r="F1642" s="14"/>
      <c r="G1642" s="14"/>
      <c r="H1642" s="14" t="s">
        <v>328</v>
      </c>
      <c r="I1642" s="14"/>
      <c r="J1642" s="14"/>
      <c r="K1642" s="14" t="s">
        <v>328</v>
      </c>
      <c r="L1642" s="134"/>
      <c r="M1642" s="249"/>
      <c r="N1642" s="249"/>
    </row>
    <row r="1643" spans="2:14" x14ac:dyDescent="0.25">
      <c r="B1643" s="14"/>
      <c r="C1643" s="14"/>
      <c r="D1643" s="14" t="s">
        <v>328</v>
      </c>
      <c r="E1643" s="14"/>
      <c r="F1643" s="14"/>
      <c r="G1643" s="14"/>
      <c r="H1643" s="14" t="s">
        <v>328</v>
      </c>
      <c r="I1643" s="14"/>
      <c r="J1643" s="14"/>
      <c r="K1643" s="14"/>
      <c r="L1643" s="134" t="s">
        <v>328</v>
      </c>
      <c r="M1643" s="249"/>
      <c r="N1643" s="249"/>
    </row>
    <row r="1644" spans="2:14" x14ac:dyDescent="0.25">
      <c r="B1644" s="14"/>
      <c r="C1644" s="14"/>
      <c r="D1644" s="14" t="s">
        <v>328</v>
      </c>
      <c r="E1644" s="14"/>
      <c r="F1644" s="14" t="s">
        <v>328</v>
      </c>
      <c r="G1644" s="14"/>
      <c r="H1644" s="14"/>
      <c r="I1644" s="14"/>
      <c r="J1644" s="14"/>
      <c r="K1644" s="14"/>
      <c r="L1644" s="134" t="s">
        <v>328</v>
      </c>
      <c r="M1644" s="249"/>
      <c r="N1644" s="249"/>
    </row>
    <row r="1645" spans="2:14" x14ac:dyDescent="0.25">
      <c r="B1645" s="14"/>
      <c r="C1645" s="14"/>
      <c r="D1645" s="14" t="s">
        <v>328</v>
      </c>
      <c r="E1645" s="14"/>
      <c r="F1645" s="14"/>
      <c r="G1645" s="14"/>
      <c r="H1645" s="14" t="s">
        <v>328</v>
      </c>
      <c r="I1645" s="14"/>
      <c r="J1645" s="14"/>
      <c r="K1645" s="14"/>
      <c r="L1645" s="134" t="s">
        <v>328</v>
      </c>
      <c r="M1645" s="249"/>
      <c r="N1645" s="249"/>
    </row>
    <row r="1646" spans="2:14" x14ac:dyDescent="0.25">
      <c r="B1646" s="14"/>
      <c r="C1646" s="14"/>
      <c r="D1646" s="14" t="s">
        <v>328</v>
      </c>
      <c r="E1646" s="14" t="s">
        <v>328</v>
      </c>
      <c r="F1646" s="14"/>
      <c r="G1646" s="14"/>
      <c r="H1646" s="14"/>
      <c r="I1646" s="14"/>
      <c r="J1646" s="14"/>
      <c r="K1646" s="14" t="s">
        <v>328</v>
      </c>
      <c r="L1646" s="134"/>
      <c r="M1646" s="249"/>
      <c r="N1646" s="249"/>
    </row>
    <row r="1647" spans="2:14" x14ac:dyDescent="0.25">
      <c r="B1647" s="14"/>
      <c r="C1647" s="14"/>
      <c r="D1647" s="14" t="s">
        <v>328</v>
      </c>
      <c r="E1647" s="14"/>
      <c r="F1647" s="14"/>
      <c r="G1647" s="14"/>
      <c r="H1647" s="14" t="s">
        <v>328</v>
      </c>
      <c r="I1647" s="14"/>
      <c r="J1647" s="14"/>
      <c r="K1647" s="14"/>
      <c r="L1647" s="134" t="s">
        <v>328</v>
      </c>
      <c r="M1647" s="249"/>
      <c r="N1647" s="249"/>
    </row>
    <row r="1648" spans="2:14" x14ac:dyDescent="0.25">
      <c r="B1648" s="14"/>
      <c r="C1648" s="14"/>
      <c r="D1648" s="14" t="s">
        <v>328</v>
      </c>
      <c r="E1648" s="14"/>
      <c r="F1648" s="14" t="s">
        <v>328</v>
      </c>
      <c r="G1648" s="14"/>
      <c r="H1648" s="14"/>
      <c r="I1648" s="14"/>
      <c r="J1648" s="14"/>
      <c r="K1648" s="14"/>
      <c r="L1648" s="134" t="s">
        <v>328</v>
      </c>
      <c r="M1648" s="249"/>
      <c r="N1648" s="249"/>
    </row>
    <row r="1649" spans="2:14" x14ac:dyDescent="0.25">
      <c r="B1649" s="14"/>
      <c r="C1649" s="14"/>
      <c r="D1649" s="14" t="s">
        <v>328</v>
      </c>
      <c r="E1649" s="14" t="s">
        <v>328</v>
      </c>
      <c r="F1649" s="14"/>
      <c r="G1649" s="14"/>
      <c r="H1649" s="14"/>
      <c r="I1649" s="14"/>
      <c r="J1649" s="14"/>
      <c r="K1649" s="14" t="s">
        <v>328</v>
      </c>
      <c r="L1649" s="134"/>
      <c r="M1649" s="249"/>
      <c r="N1649" s="249"/>
    </row>
    <row r="1650" spans="2:14" x14ac:dyDescent="0.25">
      <c r="B1650" s="14"/>
      <c r="C1650" s="14"/>
      <c r="D1650" s="14" t="s">
        <v>328</v>
      </c>
      <c r="E1650" s="14"/>
      <c r="F1650" s="14"/>
      <c r="G1650" s="14"/>
      <c r="H1650" s="14" t="s">
        <v>328</v>
      </c>
      <c r="I1650" s="14" t="s">
        <v>328</v>
      </c>
      <c r="J1650" s="14"/>
      <c r="K1650" s="14"/>
      <c r="L1650" s="134"/>
      <c r="M1650" s="249"/>
      <c r="N1650" s="249"/>
    </row>
    <row r="1651" spans="2:14" x14ac:dyDescent="0.25">
      <c r="B1651" s="14"/>
      <c r="C1651" s="14"/>
      <c r="D1651" s="14" t="s">
        <v>328</v>
      </c>
      <c r="E1651" s="14"/>
      <c r="F1651" s="14"/>
      <c r="G1651" s="14"/>
      <c r="H1651" s="14" t="s">
        <v>328</v>
      </c>
      <c r="I1651" s="14"/>
      <c r="J1651" s="14"/>
      <c r="K1651" s="14"/>
      <c r="L1651" s="134" t="s">
        <v>328</v>
      </c>
      <c r="M1651" s="249"/>
      <c r="N1651" s="249"/>
    </row>
    <row r="1652" spans="2:14" x14ac:dyDescent="0.25">
      <c r="B1652" s="14"/>
      <c r="C1652" s="14"/>
      <c r="D1652" s="14" t="s">
        <v>328</v>
      </c>
      <c r="E1652" s="14"/>
      <c r="F1652" s="14" t="s">
        <v>328</v>
      </c>
      <c r="G1652" s="14"/>
      <c r="H1652" s="14"/>
      <c r="I1652" s="14"/>
      <c r="J1652" s="14"/>
      <c r="K1652" s="14"/>
      <c r="L1652" s="134" t="s">
        <v>328</v>
      </c>
      <c r="M1652" s="249"/>
      <c r="N1652" s="249"/>
    </row>
    <row r="1653" spans="2:14" x14ac:dyDescent="0.25">
      <c r="B1653" s="14"/>
      <c r="C1653" s="14"/>
      <c r="D1653" s="14" t="s">
        <v>328</v>
      </c>
      <c r="E1653" s="14"/>
      <c r="F1653" s="14" t="s">
        <v>328</v>
      </c>
      <c r="G1653" s="14"/>
      <c r="H1653" s="14"/>
      <c r="I1653" s="14"/>
      <c r="J1653" s="14"/>
      <c r="K1653" s="14"/>
      <c r="L1653" s="134" t="s">
        <v>328</v>
      </c>
      <c r="M1653" s="249"/>
      <c r="N1653" s="249"/>
    </row>
    <row r="1654" spans="2:14" x14ac:dyDescent="0.25">
      <c r="B1654" s="14"/>
      <c r="C1654" s="14"/>
      <c r="D1654" s="14" t="s">
        <v>328</v>
      </c>
      <c r="E1654" s="14" t="s">
        <v>328</v>
      </c>
      <c r="F1654" s="14"/>
      <c r="G1654" s="14"/>
      <c r="H1654" s="14"/>
      <c r="I1654" s="14"/>
      <c r="J1654" s="14"/>
      <c r="K1654" s="14" t="s">
        <v>328</v>
      </c>
      <c r="L1654" s="134"/>
      <c r="M1654" s="249"/>
      <c r="N1654" s="249"/>
    </row>
    <row r="1655" spans="2:14" x14ac:dyDescent="0.25">
      <c r="B1655" s="14"/>
      <c r="C1655" s="14"/>
      <c r="D1655" s="14" t="s">
        <v>328</v>
      </c>
      <c r="E1655" s="14"/>
      <c r="F1655" s="14"/>
      <c r="G1655" s="14" t="s">
        <v>328</v>
      </c>
      <c r="H1655" s="14"/>
      <c r="I1655" s="14"/>
      <c r="J1655" s="14" t="s">
        <v>328</v>
      </c>
      <c r="K1655" s="14"/>
      <c r="L1655" s="134"/>
      <c r="M1655" s="249"/>
      <c r="N1655" s="249"/>
    </row>
    <row r="1656" spans="2:14" x14ac:dyDescent="0.25">
      <c r="B1656" s="14"/>
      <c r="C1656" s="14"/>
      <c r="D1656" s="14" t="s">
        <v>328</v>
      </c>
      <c r="E1656" s="14" t="s">
        <v>328</v>
      </c>
      <c r="F1656" s="14"/>
      <c r="G1656" s="14"/>
      <c r="H1656" s="14"/>
      <c r="I1656" s="14"/>
      <c r="J1656" s="14" t="s">
        <v>328</v>
      </c>
      <c r="K1656" s="14"/>
      <c r="L1656" s="134"/>
      <c r="M1656" s="249"/>
      <c r="N1656" s="249"/>
    </row>
    <row r="1657" spans="2:14" x14ac:dyDescent="0.25">
      <c r="B1657" s="14"/>
      <c r="C1657" s="14"/>
      <c r="D1657" s="14" t="s">
        <v>328</v>
      </c>
      <c r="E1657" s="14"/>
      <c r="F1657" s="14"/>
      <c r="G1657" s="14"/>
      <c r="H1657" s="14" t="s">
        <v>328</v>
      </c>
      <c r="I1657" s="14"/>
      <c r="J1657" s="14"/>
      <c r="K1657" s="14" t="s">
        <v>328</v>
      </c>
      <c r="L1657" s="134"/>
      <c r="M1657" s="249"/>
      <c r="N1657" s="249"/>
    </row>
    <row r="1658" spans="2:14" x14ac:dyDescent="0.25">
      <c r="B1658" s="14"/>
      <c r="C1658" s="14"/>
      <c r="D1658" s="14" t="s">
        <v>328</v>
      </c>
      <c r="E1658" s="14"/>
      <c r="F1658" s="14" t="s">
        <v>328</v>
      </c>
      <c r="G1658" s="14"/>
      <c r="H1658" s="14"/>
      <c r="I1658" s="14"/>
      <c r="J1658" s="14"/>
      <c r="K1658" s="14"/>
      <c r="L1658" s="134" t="s">
        <v>328</v>
      </c>
      <c r="M1658" s="249"/>
      <c r="N1658" s="249"/>
    </row>
    <row r="1659" spans="2:14" x14ac:dyDescent="0.25">
      <c r="B1659" s="14"/>
      <c r="C1659" s="14"/>
      <c r="D1659" s="14" t="s">
        <v>328</v>
      </c>
      <c r="E1659" s="14"/>
      <c r="F1659" s="14"/>
      <c r="G1659" s="14"/>
      <c r="H1659" s="14" t="s">
        <v>328</v>
      </c>
      <c r="I1659" s="14"/>
      <c r="J1659" s="14"/>
      <c r="K1659" s="14"/>
      <c r="L1659" s="134" t="s">
        <v>328</v>
      </c>
      <c r="M1659" s="249"/>
      <c r="N1659" s="249"/>
    </row>
    <row r="1660" spans="2:14" x14ac:dyDescent="0.25">
      <c r="B1660" s="14"/>
      <c r="C1660" s="14"/>
      <c r="D1660" s="14" t="s">
        <v>328</v>
      </c>
      <c r="E1660" s="14"/>
      <c r="F1660" s="14"/>
      <c r="G1660" s="14"/>
      <c r="H1660" s="14" t="s">
        <v>328</v>
      </c>
      <c r="I1660" s="14" t="s">
        <v>328</v>
      </c>
      <c r="J1660" s="14"/>
      <c r="K1660" s="14"/>
      <c r="L1660" s="134"/>
      <c r="M1660" s="249"/>
      <c r="N1660" s="249"/>
    </row>
    <row r="1661" spans="2:14" x14ac:dyDescent="0.25">
      <c r="B1661" s="14"/>
      <c r="C1661" s="14"/>
      <c r="D1661" s="14" t="s">
        <v>328</v>
      </c>
      <c r="E1661" s="14"/>
      <c r="F1661" s="14" t="s">
        <v>328</v>
      </c>
      <c r="G1661" s="14"/>
      <c r="H1661" s="14"/>
      <c r="I1661" s="14"/>
      <c r="J1661" s="14"/>
      <c r="K1661" s="14" t="s">
        <v>328</v>
      </c>
      <c r="L1661" s="134"/>
      <c r="M1661" s="249"/>
      <c r="N1661" s="249"/>
    </row>
    <row r="1662" spans="2:14" x14ac:dyDescent="0.25">
      <c r="B1662" s="14" t="s">
        <v>328</v>
      </c>
      <c r="C1662" s="14"/>
      <c r="D1662" s="14"/>
      <c r="E1662" s="14" t="s">
        <v>328</v>
      </c>
      <c r="F1662" s="14"/>
      <c r="G1662" s="14"/>
      <c r="H1662" s="14"/>
      <c r="I1662" s="14"/>
      <c r="J1662" s="14"/>
      <c r="K1662" s="14" t="s">
        <v>328</v>
      </c>
      <c r="L1662" s="134"/>
      <c r="M1662" s="249"/>
      <c r="N1662" s="249"/>
    </row>
    <row r="1663" spans="2:14" x14ac:dyDescent="0.25">
      <c r="B1663" s="14"/>
      <c r="C1663" s="14"/>
      <c r="D1663" s="14" t="s">
        <v>328</v>
      </c>
      <c r="E1663" s="14"/>
      <c r="F1663" s="14"/>
      <c r="G1663" s="14"/>
      <c r="H1663" s="14" t="s">
        <v>328</v>
      </c>
      <c r="I1663" s="14"/>
      <c r="J1663" s="14" t="s">
        <v>328</v>
      </c>
      <c r="K1663" s="14"/>
      <c r="L1663" s="134"/>
      <c r="M1663" s="249"/>
      <c r="N1663" s="249"/>
    </row>
    <row r="1664" spans="2:14" x14ac:dyDescent="0.25">
      <c r="B1664" s="14"/>
      <c r="C1664" s="14"/>
      <c r="D1664" s="14" t="s">
        <v>328</v>
      </c>
      <c r="E1664" s="14"/>
      <c r="F1664" s="14"/>
      <c r="G1664" s="14"/>
      <c r="H1664" s="14" t="s">
        <v>328</v>
      </c>
      <c r="I1664" s="14"/>
      <c r="J1664" s="14"/>
      <c r="K1664" s="14"/>
      <c r="L1664" s="134" t="s">
        <v>328</v>
      </c>
      <c r="M1664" s="249"/>
      <c r="N1664" s="249"/>
    </row>
    <row r="1665" spans="2:14" x14ac:dyDescent="0.25">
      <c r="B1665" s="14"/>
      <c r="C1665" s="14"/>
      <c r="D1665" s="14" t="s">
        <v>328</v>
      </c>
      <c r="E1665" s="14"/>
      <c r="F1665" s="14"/>
      <c r="G1665" s="14"/>
      <c r="H1665" s="14" t="s">
        <v>328</v>
      </c>
      <c r="I1665" s="14"/>
      <c r="J1665" s="14"/>
      <c r="K1665" s="14" t="s">
        <v>328</v>
      </c>
      <c r="L1665" s="134"/>
      <c r="M1665" s="249"/>
      <c r="N1665" s="249"/>
    </row>
    <row r="1666" spans="2:14" x14ac:dyDescent="0.25">
      <c r="B1666" s="14"/>
      <c r="C1666" s="14"/>
      <c r="D1666" s="14" t="s">
        <v>328</v>
      </c>
      <c r="E1666" s="14"/>
      <c r="F1666" s="14"/>
      <c r="G1666" s="14"/>
      <c r="H1666" s="14" t="s">
        <v>328</v>
      </c>
      <c r="I1666" s="14"/>
      <c r="J1666" s="14"/>
      <c r="K1666" s="14"/>
      <c r="L1666" s="134" t="s">
        <v>328</v>
      </c>
      <c r="M1666" s="249"/>
      <c r="N1666" s="249"/>
    </row>
    <row r="1667" spans="2:14" x14ac:dyDescent="0.25">
      <c r="B1667" s="14"/>
      <c r="C1667" s="14"/>
      <c r="D1667" s="14" t="s">
        <v>328</v>
      </c>
      <c r="E1667" s="14" t="s">
        <v>328</v>
      </c>
      <c r="F1667" s="14"/>
      <c r="G1667" s="14"/>
      <c r="H1667" s="14"/>
      <c r="I1667" s="14"/>
      <c r="J1667" s="14"/>
      <c r="K1667" s="14"/>
      <c r="L1667" s="134" t="s">
        <v>328</v>
      </c>
      <c r="M1667" s="249"/>
      <c r="N1667" s="249"/>
    </row>
    <row r="1668" spans="2:14" x14ac:dyDescent="0.25">
      <c r="B1668" s="14"/>
      <c r="C1668" s="14"/>
      <c r="D1668" s="14" t="s">
        <v>328</v>
      </c>
      <c r="E1668" s="14"/>
      <c r="F1668" s="14" t="s">
        <v>328</v>
      </c>
      <c r="G1668" s="14"/>
      <c r="H1668" s="14"/>
      <c r="I1668" s="14"/>
      <c r="J1668" s="14"/>
      <c r="K1668" s="14"/>
      <c r="L1668" s="134" t="s">
        <v>328</v>
      </c>
      <c r="M1668" s="249"/>
      <c r="N1668" s="249"/>
    </row>
    <row r="1669" spans="2:14" x14ac:dyDescent="0.25">
      <c r="B1669" s="14"/>
      <c r="C1669" s="14"/>
      <c r="D1669" s="14" t="s">
        <v>328</v>
      </c>
      <c r="E1669" s="14" t="s">
        <v>328</v>
      </c>
      <c r="F1669" s="14"/>
      <c r="G1669" s="14"/>
      <c r="H1669" s="14"/>
      <c r="I1669" s="14"/>
      <c r="J1669" s="14"/>
      <c r="K1669" s="14" t="s">
        <v>328</v>
      </c>
      <c r="L1669" s="134"/>
      <c r="M1669" s="249"/>
      <c r="N1669" s="249"/>
    </row>
    <row r="1670" spans="2:14" x14ac:dyDescent="0.25">
      <c r="B1670" s="14"/>
      <c r="C1670" s="14"/>
      <c r="D1670" s="14" t="s">
        <v>328</v>
      </c>
      <c r="E1670" s="14" t="s">
        <v>328</v>
      </c>
      <c r="F1670" s="14"/>
      <c r="G1670" s="14"/>
      <c r="H1670" s="14"/>
      <c r="I1670" s="14" t="s">
        <v>328</v>
      </c>
      <c r="J1670" s="14"/>
      <c r="K1670" s="14"/>
      <c r="L1670" s="134"/>
      <c r="M1670" s="249"/>
      <c r="N1670" s="249"/>
    </row>
    <row r="1671" spans="2:14" x14ac:dyDescent="0.25">
      <c r="B1671" s="14"/>
      <c r="C1671" s="14"/>
      <c r="D1671" s="14" t="s">
        <v>328</v>
      </c>
      <c r="E1671" s="14"/>
      <c r="F1671" s="14"/>
      <c r="G1671" s="14"/>
      <c r="H1671" s="14" t="s">
        <v>328</v>
      </c>
      <c r="I1671" s="14"/>
      <c r="J1671" s="14"/>
      <c r="K1671" s="14" t="s">
        <v>328</v>
      </c>
      <c r="L1671" s="134"/>
      <c r="M1671" s="249"/>
      <c r="N1671" s="249"/>
    </row>
    <row r="1672" spans="2:14" x14ac:dyDescent="0.25">
      <c r="B1672" s="14"/>
      <c r="C1672" s="14"/>
      <c r="D1672" s="14" t="s">
        <v>328</v>
      </c>
      <c r="E1672" s="14" t="s">
        <v>328</v>
      </c>
      <c r="F1672" s="14"/>
      <c r="G1672" s="14"/>
      <c r="H1672" s="14"/>
      <c r="I1672" s="14"/>
      <c r="J1672" s="14"/>
      <c r="K1672" s="14" t="s">
        <v>328</v>
      </c>
      <c r="L1672" s="134"/>
      <c r="M1672" s="249"/>
      <c r="N1672" s="249"/>
    </row>
    <row r="1673" spans="2:14" x14ac:dyDescent="0.25">
      <c r="B1673" s="14"/>
      <c r="C1673" s="14"/>
      <c r="D1673" s="14" t="s">
        <v>328</v>
      </c>
      <c r="E1673" s="14"/>
      <c r="F1673" s="14"/>
      <c r="G1673" s="14"/>
      <c r="H1673" s="14" t="s">
        <v>328</v>
      </c>
      <c r="I1673" s="14"/>
      <c r="J1673" s="14"/>
      <c r="K1673" s="14" t="s">
        <v>328</v>
      </c>
      <c r="L1673" s="134"/>
      <c r="M1673" s="249"/>
      <c r="N1673" s="249"/>
    </row>
    <row r="1674" spans="2:14" x14ac:dyDescent="0.25">
      <c r="B1674" s="14"/>
      <c r="C1674" s="14"/>
      <c r="D1674" s="14" t="s">
        <v>328</v>
      </c>
      <c r="E1674" s="14"/>
      <c r="F1674" s="14"/>
      <c r="G1674" s="14"/>
      <c r="H1674" s="14" t="s">
        <v>328</v>
      </c>
      <c r="I1674" s="14"/>
      <c r="J1674" s="14" t="s">
        <v>328</v>
      </c>
      <c r="K1674" s="14"/>
      <c r="L1674" s="134"/>
      <c r="M1674" s="249"/>
      <c r="N1674" s="249"/>
    </row>
    <row r="1675" spans="2:14" x14ac:dyDescent="0.25">
      <c r="B1675" s="14"/>
      <c r="C1675" s="14"/>
      <c r="D1675" s="14" t="s">
        <v>328</v>
      </c>
      <c r="E1675" s="14"/>
      <c r="F1675" s="14"/>
      <c r="G1675" s="14"/>
      <c r="H1675" s="14" t="s">
        <v>328</v>
      </c>
      <c r="I1675" s="14" t="s">
        <v>328</v>
      </c>
      <c r="J1675" s="14"/>
      <c r="K1675" s="14"/>
      <c r="L1675" s="134"/>
      <c r="M1675" s="249"/>
      <c r="N1675" s="249"/>
    </row>
    <row r="1676" spans="2:14" x14ac:dyDescent="0.25">
      <c r="B1676" s="14" t="s">
        <v>328</v>
      </c>
      <c r="C1676" s="14"/>
      <c r="D1676" s="14"/>
      <c r="E1676" s="14" t="s">
        <v>328</v>
      </c>
      <c r="F1676" s="14"/>
      <c r="G1676" s="14"/>
      <c r="H1676" s="14"/>
      <c r="I1676" s="14"/>
      <c r="J1676" s="14"/>
      <c r="K1676" s="14" t="s">
        <v>328</v>
      </c>
      <c r="L1676" s="134"/>
      <c r="M1676" s="249"/>
      <c r="N1676" s="249"/>
    </row>
    <row r="1677" spans="2:14" x14ac:dyDescent="0.25">
      <c r="B1677" s="14" t="s">
        <v>328</v>
      </c>
      <c r="C1677" s="14"/>
      <c r="D1677" s="14"/>
      <c r="E1677" s="14" t="s">
        <v>328</v>
      </c>
      <c r="F1677" s="14"/>
      <c r="G1677" s="14"/>
      <c r="H1677" s="14"/>
      <c r="I1677" s="14"/>
      <c r="J1677" s="14"/>
      <c r="K1677" s="14"/>
      <c r="L1677" s="134" t="s">
        <v>328</v>
      </c>
      <c r="M1677" s="249"/>
      <c r="N1677" s="249"/>
    </row>
    <row r="1678" spans="2:14" x14ac:dyDescent="0.25">
      <c r="B1678" s="14"/>
      <c r="C1678" s="14"/>
      <c r="D1678" s="14" t="s">
        <v>328</v>
      </c>
      <c r="E1678" s="14" t="s">
        <v>328</v>
      </c>
      <c r="F1678" s="14"/>
      <c r="G1678" s="14"/>
      <c r="H1678" s="14"/>
      <c r="I1678" s="119"/>
      <c r="J1678" s="14"/>
      <c r="K1678" s="14"/>
      <c r="L1678" s="134" t="s">
        <v>328</v>
      </c>
      <c r="M1678" s="249"/>
      <c r="N1678" s="249"/>
    </row>
    <row r="1679" spans="2:14" x14ac:dyDescent="0.25">
      <c r="B1679" s="14"/>
      <c r="C1679" s="14"/>
      <c r="D1679" s="14" t="s">
        <v>328</v>
      </c>
      <c r="E1679" s="14"/>
      <c r="F1679" s="14"/>
      <c r="G1679" s="14"/>
      <c r="H1679" s="14" t="s">
        <v>328</v>
      </c>
      <c r="I1679" s="14"/>
      <c r="J1679" s="14"/>
      <c r="K1679" s="14"/>
      <c r="L1679" s="134" t="s">
        <v>328</v>
      </c>
      <c r="M1679" s="249"/>
      <c r="N1679" s="249"/>
    </row>
    <row r="1680" spans="2:14" x14ac:dyDescent="0.25">
      <c r="B1680" s="14"/>
      <c r="C1680" s="14"/>
      <c r="D1680" s="14" t="s">
        <v>328</v>
      </c>
      <c r="E1680" s="14"/>
      <c r="F1680" s="14"/>
      <c r="G1680" s="14"/>
      <c r="H1680" s="14" t="s">
        <v>328</v>
      </c>
      <c r="I1680" s="14"/>
      <c r="J1680" s="14"/>
      <c r="K1680" s="14" t="s">
        <v>328</v>
      </c>
      <c r="L1680" s="134"/>
      <c r="M1680" s="249"/>
      <c r="N1680" s="249"/>
    </row>
    <row r="1681" spans="2:14" x14ac:dyDescent="0.25">
      <c r="B1681" s="14"/>
      <c r="C1681" s="14" t="s">
        <v>328</v>
      </c>
      <c r="D1681" s="14"/>
      <c r="E1681" s="14" t="s">
        <v>328</v>
      </c>
      <c r="F1681" s="14"/>
      <c r="G1681" s="14"/>
      <c r="H1681" s="14"/>
      <c r="I1681" s="14"/>
      <c r="J1681" s="14"/>
      <c r="K1681" s="14"/>
      <c r="L1681" s="134" t="s">
        <v>328</v>
      </c>
      <c r="M1681" s="249"/>
      <c r="N1681" s="249"/>
    </row>
    <row r="1682" spans="2:14" x14ac:dyDescent="0.25">
      <c r="B1682" s="14"/>
      <c r="C1682" s="14"/>
      <c r="D1682" s="14" t="s">
        <v>328</v>
      </c>
      <c r="E1682" s="14"/>
      <c r="F1682" s="14"/>
      <c r="G1682" s="14"/>
      <c r="H1682" s="14" t="s">
        <v>328</v>
      </c>
      <c r="I1682" s="14"/>
      <c r="J1682" s="14" t="s">
        <v>328</v>
      </c>
      <c r="K1682" s="14"/>
      <c r="L1682" s="134"/>
      <c r="M1682" s="249"/>
      <c r="N1682" s="249"/>
    </row>
    <row r="1683" spans="2:14" x14ac:dyDescent="0.25">
      <c r="B1683" s="14"/>
      <c r="C1683" s="14"/>
      <c r="D1683" s="14" t="s">
        <v>328</v>
      </c>
      <c r="E1683" s="14"/>
      <c r="F1683" s="14" t="s">
        <v>328</v>
      </c>
      <c r="G1683" s="14"/>
      <c r="H1683" s="14"/>
      <c r="I1683" s="14"/>
      <c r="J1683" s="14"/>
      <c r="K1683" s="14"/>
      <c r="L1683" s="134" t="s">
        <v>328</v>
      </c>
      <c r="M1683" s="249"/>
      <c r="N1683" s="249"/>
    </row>
    <row r="1684" spans="2:14" x14ac:dyDescent="0.25">
      <c r="B1684" s="14"/>
      <c r="C1684" s="14"/>
      <c r="D1684" s="14" t="s">
        <v>328</v>
      </c>
      <c r="E1684" s="14"/>
      <c r="F1684" s="14" t="s">
        <v>328</v>
      </c>
      <c r="G1684" s="14"/>
      <c r="H1684" s="14"/>
      <c r="I1684" s="14" t="s">
        <v>328</v>
      </c>
      <c r="J1684" s="14"/>
      <c r="K1684" s="14"/>
      <c r="L1684" s="134"/>
      <c r="M1684" s="249"/>
      <c r="N1684" s="249"/>
    </row>
    <row r="1685" spans="2:14" x14ac:dyDescent="0.25">
      <c r="B1685" s="14"/>
      <c r="C1685" s="14"/>
      <c r="D1685" s="14" t="s">
        <v>328</v>
      </c>
      <c r="E1685" s="14" t="s">
        <v>328</v>
      </c>
      <c r="F1685" s="14"/>
      <c r="G1685" s="14"/>
      <c r="H1685" s="14"/>
      <c r="I1685" s="14"/>
      <c r="J1685" s="14"/>
      <c r="K1685" s="14" t="s">
        <v>328</v>
      </c>
      <c r="L1685" s="134"/>
      <c r="M1685" s="249"/>
      <c r="N1685" s="249"/>
    </row>
    <row r="1686" spans="2:14" x14ac:dyDescent="0.25">
      <c r="B1686" s="14"/>
      <c r="C1686" s="14"/>
      <c r="D1686" s="14" t="s">
        <v>328</v>
      </c>
      <c r="E1686" s="14" t="s">
        <v>328</v>
      </c>
      <c r="F1686" s="14"/>
      <c r="G1686" s="14"/>
      <c r="H1686" s="14"/>
      <c r="I1686" s="14"/>
      <c r="J1686" s="14" t="s">
        <v>328</v>
      </c>
      <c r="K1686" s="14"/>
      <c r="L1686" s="134"/>
      <c r="M1686" s="249"/>
      <c r="N1686" s="249"/>
    </row>
    <row r="1687" spans="2:14" x14ac:dyDescent="0.25">
      <c r="B1687" s="14"/>
      <c r="C1687" s="14"/>
      <c r="D1687" s="14" t="s">
        <v>328</v>
      </c>
      <c r="E1687" s="14"/>
      <c r="F1687" s="14"/>
      <c r="G1687" s="14"/>
      <c r="H1687" s="14" t="s">
        <v>328</v>
      </c>
      <c r="I1687" s="14"/>
      <c r="J1687" s="14"/>
      <c r="K1687" s="14"/>
      <c r="L1687" s="134" t="s">
        <v>328</v>
      </c>
      <c r="M1687" s="249"/>
      <c r="N1687" s="249"/>
    </row>
    <row r="1688" spans="2:14" x14ac:dyDescent="0.25">
      <c r="B1688" s="14"/>
      <c r="C1688" s="14"/>
      <c r="D1688" s="14" t="s">
        <v>328</v>
      </c>
      <c r="E1688" s="14"/>
      <c r="F1688" s="14"/>
      <c r="G1688" s="14"/>
      <c r="H1688" s="14" t="s">
        <v>328</v>
      </c>
      <c r="I1688" s="14"/>
      <c r="J1688" s="14"/>
      <c r="K1688" s="14"/>
      <c r="L1688" s="134" t="s">
        <v>328</v>
      </c>
      <c r="M1688" s="249"/>
      <c r="N1688" s="249"/>
    </row>
    <row r="1689" spans="2:14" x14ac:dyDescent="0.25">
      <c r="B1689" s="14"/>
      <c r="C1689" s="14"/>
      <c r="D1689" s="14" t="s">
        <v>328</v>
      </c>
      <c r="E1689" s="14"/>
      <c r="F1689" s="14"/>
      <c r="G1689" s="14"/>
      <c r="H1689" s="14" t="s">
        <v>328</v>
      </c>
      <c r="I1689" s="14"/>
      <c r="J1689" s="14"/>
      <c r="K1689" s="14"/>
      <c r="L1689" s="134" t="s">
        <v>328</v>
      </c>
      <c r="M1689" s="249"/>
      <c r="N1689" s="249"/>
    </row>
    <row r="1690" spans="2:14" x14ac:dyDescent="0.25">
      <c r="B1690" s="14"/>
      <c r="C1690" s="14"/>
      <c r="D1690" s="14" t="s">
        <v>328</v>
      </c>
      <c r="E1690" s="14"/>
      <c r="F1690" s="14"/>
      <c r="G1690" s="14"/>
      <c r="H1690" s="14" t="s">
        <v>328</v>
      </c>
      <c r="I1690" s="14"/>
      <c r="J1690" s="14"/>
      <c r="K1690" s="14" t="s">
        <v>328</v>
      </c>
      <c r="L1690" s="134"/>
      <c r="M1690" s="249"/>
      <c r="N1690" s="249"/>
    </row>
    <row r="1691" spans="2:14" x14ac:dyDescent="0.25">
      <c r="B1691" s="14"/>
      <c r="C1691" s="14"/>
      <c r="D1691" s="14" t="s">
        <v>328</v>
      </c>
      <c r="E1691" s="14"/>
      <c r="F1691" s="14" t="s">
        <v>328</v>
      </c>
      <c r="G1691" s="14"/>
      <c r="H1691" s="14"/>
      <c r="I1691" s="14"/>
      <c r="J1691" s="14"/>
      <c r="K1691" s="14" t="s">
        <v>328</v>
      </c>
      <c r="L1691" s="134"/>
      <c r="M1691" s="249"/>
      <c r="N1691" s="249"/>
    </row>
    <row r="1692" spans="2:14" x14ac:dyDescent="0.25">
      <c r="B1692" s="14"/>
      <c r="C1692" s="14"/>
      <c r="D1692" s="14" t="s">
        <v>328</v>
      </c>
      <c r="E1692" s="14"/>
      <c r="F1692" s="14"/>
      <c r="G1692" s="14"/>
      <c r="H1692" s="14" t="s">
        <v>328</v>
      </c>
      <c r="I1692" s="14"/>
      <c r="J1692" s="14" t="s">
        <v>328</v>
      </c>
      <c r="K1692" s="14"/>
      <c r="L1692" s="134"/>
      <c r="M1692" s="249"/>
      <c r="N1692" s="249"/>
    </row>
    <row r="1693" spans="2:14" x14ac:dyDescent="0.25">
      <c r="B1693" s="14"/>
      <c r="C1693" s="14"/>
      <c r="D1693" s="14" t="s">
        <v>328</v>
      </c>
      <c r="E1693" s="14"/>
      <c r="F1693" s="14" t="s">
        <v>328</v>
      </c>
      <c r="G1693" s="14"/>
      <c r="H1693" s="14"/>
      <c r="I1693" s="14"/>
      <c r="J1693" s="14" t="s">
        <v>328</v>
      </c>
      <c r="K1693" s="14"/>
      <c r="L1693" s="134"/>
      <c r="M1693" s="249"/>
      <c r="N1693" s="249"/>
    </row>
    <row r="1694" spans="2:14" x14ac:dyDescent="0.25">
      <c r="B1694" s="14"/>
      <c r="C1694" s="14"/>
      <c r="D1694" s="14" t="s">
        <v>328</v>
      </c>
      <c r="E1694" s="14"/>
      <c r="F1694" s="14" t="s">
        <v>328</v>
      </c>
      <c r="G1694" s="14"/>
      <c r="H1694" s="14"/>
      <c r="I1694" s="14"/>
      <c r="J1694" s="14"/>
      <c r="K1694" s="14"/>
      <c r="L1694" s="134" t="s">
        <v>328</v>
      </c>
      <c r="M1694" s="249"/>
      <c r="N1694" s="249"/>
    </row>
    <row r="1695" spans="2:14" x14ac:dyDescent="0.25">
      <c r="B1695" s="14"/>
      <c r="C1695" s="14"/>
      <c r="D1695" s="14" t="s">
        <v>328</v>
      </c>
      <c r="E1695" s="14"/>
      <c r="F1695" s="14"/>
      <c r="G1695" s="14"/>
      <c r="H1695" s="14" t="s">
        <v>328</v>
      </c>
      <c r="I1695" s="14"/>
      <c r="J1695" s="14"/>
      <c r="K1695" s="14" t="s">
        <v>328</v>
      </c>
      <c r="L1695" s="134"/>
      <c r="M1695" s="249"/>
      <c r="N1695" s="249"/>
    </row>
    <row r="1696" spans="2:14" x14ac:dyDescent="0.25">
      <c r="B1696" s="14"/>
      <c r="C1696" s="14"/>
      <c r="D1696" s="14" t="s">
        <v>328</v>
      </c>
      <c r="E1696" s="14"/>
      <c r="F1696" s="14"/>
      <c r="G1696" s="14" t="s">
        <v>328</v>
      </c>
      <c r="H1696" s="14"/>
      <c r="I1696" s="14" t="s">
        <v>328</v>
      </c>
      <c r="J1696" s="14"/>
      <c r="K1696" s="14"/>
      <c r="L1696" s="134"/>
      <c r="M1696" s="249"/>
      <c r="N1696" s="249"/>
    </row>
    <row r="1697" spans="2:14" x14ac:dyDescent="0.25">
      <c r="B1697" s="14"/>
      <c r="C1697" s="14"/>
      <c r="D1697" s="14" t="s">
        <v>328</v>
      </c>
      <c r="E1697" s="14"/>
      <c r="F1697" s="14"/>
      <c r="G1697" s="14"/>
      <c r="H1697" s="14" t="s">
        <v>328</v>
      </c>
      <c r="I1697" s="14"/>
      <c r="J1697" s="14"/>
      <c r="K1697" s="14"/>
      <c r="L1697" s="134" t="s">
        <v>328</v>
      </c>
      <c r="M1697" s="249"/>
      <c r="N1697" s="249"/>
    </row>
    <row r="1698" spans="2:14" x14ac:dyDescent="0.25">
      <c r="B1698" s="14"/>
      <c r="C1698" s="14"/>
      <c r="D1698" s="14" t="s">
        <v>328</v>
      </c>
      <c r="E1698" s="14" t="s">
        <v>328</v>
      </c>
      <c r="F1698" s="14"/>
      <c r="G1698" s="14"/>
      <c r="H1698" s="14"/>
      <c r="I1698" s="14"/>
      <c r="J1698" s="14"/>
      <c r="K1698" s="14"/>
      <c r="L1698" s="134" t="s">
        <v>328</v>
      </c>
      <c r="M1698" s="249"/>
      <c r="N1698" s="249"/>
    </row>
    <row r="1699" spans="2:14" x14ac:dyDescent="0.25">
      <c r="B1699" s="14"/>
      <c r="C1699" s="14"/>
      <c r="D1699" s="14" t="s">
        <v>328</v>
      </c>
      <c r="E1699" s="14" t="s">
        <v>328</v>
      </c>
      <c r="F1699" s="14"/>
      <c r="G1699" s="14"/>
      <c r="H1699" s="14"/>
      <c r="I1699" s="14"/>
      <c r="J1699" s="14"/>
      <c r="K1699" s="14" t="s">
        <v>328</v>
      </c>
      <c r="L1699" s="134"/>
      <c r="M1699" s="249"/>
      <c r="N1699" s="249"/>
    </row>
    <row r="1700" spans="2:14" x14ac:dyDescent="0.25">
      <c r="B1700" s="14"/>
      <c r="C1700" s="14"/>
      <c r="D1700" s="14" t="s">
        <v>328</v>
      </c>
      <c r="E1700" s="14" t="s">
        <v>328</v>
      </c>
      <c r="F1700" s="14"/>
      <c r="G1700" s="14"/>
      <c r="H1700" s="14"/>
      <c r="I1700" s="14"/>
      <c r="J1700" s="14"/>
      <c r="K1700" s="14" t="s">
        <v>328</v>
      </c>
      <c r="L1700" s="134"/>
      <c r="M1700" s="249"/>
      <c r="N1700" s="249"/>
    </row>
    <row r="1701" spans="2:14" x14ac:dyDescent="0.25">
      <c r="B1701" s="14"/>
      <c r="C1701" s="14"/>
      <c r="D1701" s="14" t="s">
        <v>328</v>
      </c>
      <c r="E1701" s="14"/>
      <c r="F1701" s="14"/>
      <c r="G1701" s="14"/>
      <c r="H1701" s="14" t="s">
        <v>328</v>
      </c>
      <c r="I1701" s="14" t="s">
        <v>328</v>
      </c>
      <c r="J1701" s="14"/>
      <c r="K1701" s="14"/>
      <c r="L1701" s="134"/>
      <c r="M1701" s="249"/>
      <c r="N1701" s="249"/>
    </row>
    <row r="1702" spans="2:14" x14ac:dyDescent="0.25">
      <c r="B1702" s="14"/>
      <c r="C1702" s="14"/>
      <c r="D1702" s="14" t="s">
        <v>328</v>
      </c>
      <c r="E1702" s="14"/>
      <c r="F1702" s="14"/>
      <c r="G1702" s="14"/>
      <c r="H1702" s="14" t="s">
        <v>328</v>
      </c>
      <c r="I1702" s="14"/>
      <c r="J1702" s="14"/>
      <c r="K1702" s="14" t="s">
        <v>328</v>
      </c>
      <c r="L1702" s="134"/>
      <c r="M1702" s="249"/>
      <c r="N1702" s="249"/>
    </row>
    <row r="1703" spans="2:14" x14ac:dyDescent="0.25">
      <c r="B1703" s="14"/>
      <c r="C1703" s="14"/>
      <c r="D1703" s="14" t="s">
        <v>328</v>
      </c>
      <c r="E1703" s="14" t="s">
        <v>328</v>
      </c>
      <c r="F1703" s="14"/>
      <c r="G1703" s="14"/>
      <c r="H1703" s="14"/>
      <c r="I1703" s="14"/>
      <c r="J1703" s="14"/>
      <c r="K1703" s="14" t="s">
        <v>328</v>
      </c>
      <c r="L1703" s="134"/>
      <c r="M1703" s="249"/>
      <c r="N1703" s="249"/>
    </row>
    <row r="1704" spans="2:14" x14ac:dyDescent="0.25">
      <c r="B1704" s="14"/>
      <c r="C1704" s="14"/>
      <c r="D1704" s="14" t="s">
        <v>328</v>
      </c>
      <c r="E1704" s="14"/>
      <c r="F1704" s="14"/>
      <c r="G1704" s="14"/>
      <c r="H1704" s="14" t="s">
        <v>328</v>
      </c>
      <c r="I1704" s="14"/>
      <c r="J1704" s="14"/>
      <c r="K1704" s="14" t="s">
        <v>328</v>
      </c>
      <c r="L1704" s="134"/>
      <c r="M1704" s="249"/>
      <c r="N1704" s="249"/>
    </row>
    <row r="1705" spans="2:14" x14ac:dyDescent="0.25">
      <c r="B1705" s="14"/>
      <c r="C1705" s="14"/>
      <c r="D1705" s="14" t="s">
        <v>328</v>
      </c>
      <c r="E1705" s="14"/>
      <c r="F1705" s="14"/>
      <c r="G1705" s="14"/>
      <c r="H1705" s="14" t="s">
        <v>328</v>
      </c>
      <c r="I1705" s="14"/>
      <c r="J1705" s="14"/>
      <c r="K1705" s="14" t="s">
        <v>328</v>
      </c>
      <c r="L1705" s="134"/>
      <c r="M1705" s="249"/>
      <c r="N1705" s="249"/>
    </row>
    <row r="1706" spans="2:14" x14ac:dyDescent="0.25">
      <c r="B1706" s="14"/>
      <c r="C1706" s="14"/>
      <c r="D1706" s="14" t="s">
        <v>328</v>
      </c>
      <c r="E1706" s="14" t="s">
        <v>328</v>
      </c>
      <c r="F1706" s="14"/>
      <c r="G1706" s="14"/>
      <c r="H1706" s="14"/>
      <c r="I1706" s="14"/>
      <c r="J1706" s="14"/>
      <c r="K1706" s="14" t="s">
        <v>328</v>
      </c>
      <c r="L1706" s="134"/>
      <c r="M1706" s="249"/>
      <c r="N1706" s="249"/>
    </row>
    <row r="1707" spans="2:14" x14ac:dyDescent="0.25">
      <c r="B1707" s="14"/>
      <c r="C1707" s="14"/>
      <c r="D1707" s="14" t="s">
        <v>328</v>
      </c>
      <c r="E1707" s="14"/>
      <c r="F1707" s="14" t="s">
        <v>328</v>
      </c>
      <c r="G1707" s="14"/>
      <c r="H1707" s="14"/>
      <c r="I1707" s="14"/>
      <c r="J1707" s="14" t="s">
        <v>328</v>
      </c>
      <c r="K1707" s="14"/>
      <c r="L1707" s="134"/>
      <c r="M1707" s="249"/>
      <c r="N1707" s="249"/>
    </row>
    <row r="1708" spans="2:14" x14ac:dyDescent="0.25">
      <c r="B1708" s="14"/>
      <c r="C1708" s="14"/>
      <c r="D1708" s="14" t="s">
        <v>328</v>
      </c>
      <c r="E1708" s="14" t="s">
        <v>328</v>
      </c>
      <c r="F1708" s="14"/>
      <c r="G1708" s="14"/>
      <c r="H1708" s="14"/>
      <c r="I1708" s="14"/>
      <c r="J1708" s="14"/>
      <c r="K1708" s="14"/>
      <c r="L1708" s="134" t="s">
        <v>328</v>
      </c>
      <c r="M1708" s="249"/>
      <c r="N1708" s="249"/>
    </row>
    <row r="1709" spans="2:14" x14ac:dyDescent="0.25">
      <c r="B1709" s="14"/>
      <c r="C1709" s="14"/>
      <c r="D1709" s="14" t="s">
        <v>328</v>
      </c>
      <c r="E1709" s="14" t="s">
        <v>328</v>
      </c>
      <c r="F1709" s="14"/>
      <c r="G1709" s="14"/>
      <c r="H1709" s="14"/>
      <c r="I1709" s="14"/>
      <c r="J1709" s="14" t="s">
        <v>328</v>
      </c>
      <c r="K1709" s="14"/>
      <c r="L1709" s="134"/>
      <c r="M1709" s="249"/>
      <c r="N1709" s="249"/>
    </row>
    <row r="1710" spans="2:14" x14ac:dyDescent="0.25">
      <c r="B1710" s="14"/>
      <c r="C1710" s="14"/>
      <c r="D1710" s="14" t="s">
        <v>328</v>
      </c>
      <c r="E1710" s="14" t="s">
        <v>328</v>
      </c>
      <c r="F1710" s="14"/>
      <c r="G1710" s="14"/>
      <c r="H1710" s="14"/>
      <c r="I1710" s="14"/>
      <c r="J1710" s="14"/>
      <c r="K1710" s="14" t="s">
        <v>328</v>
      </c>
      <c r="L1710" s="134"/>
      <c r="M1710" s="249"/>
      <c r="N1710" s="249"/>
    </row>
    <row r="1711" spans="2:14" x14ac:dyDescent="0.25">
      <c r="B1711" s="14"/>
      <c r="C1711" s="14"/>
      <c r="D1711" s="14" t="s">
        <v>328</v>
      </c>
      <c r="E1711" s="14"/>
      <c r="F1711" s="14"/>
      <c r="G1711" s="14"/>
      <c r="H1711" s="14" t="s">
        <v>328</v>
      </c>
      <c r="I1711" s="14"/>
      <c r="J1711" s="14"/>
      <c r="K1711" s="14" t="s">
        <v>328</v>
      </c>
      <c r="L1711" s="134"/>
      <c r="M1711" s="249"/>
      <c r="N1711" s="249"/>
    </row>
    <row r="1712" spans="2:14" x14ac:dyDescent="0.25">
      <c r="B1712" s="14"/>
      <c r="C1712" s="14"/>
      <c r="D1712" s="14" t="s">
        <v>328</v>
      </c>
      <c r="E1712" s="14"/>
      <c r="F1712" s="14"/>
      <c r="G1712" s="14"/>
      <c r="H1712" s="14" t="s">
        <v>328</v>
      </c>
      <c r="I1712" s="14"/>
      <c r="J1712" s="14" t="s">
        <v>328</v>
      </c>
      <c r="K1712" s="14"/>
      <c r="L1712" s="134"/>
      <c r="M1712" s="249"/>
      <c r="N1712" s="249"/>
    </row>
    <row r="1713" spans="2:14" x14ac:dyDescent="0.25">
      <c r="B1713" s="14"/>
      <c r="C1713" s="14"/>
      <c r="D1713" s="14" t="s">
        <v>328</v>
      </c>
      <c r="E1713" s="14"/>
      <c r="F1713" s="14" t="s">
        <v>328</v>
      </c>
      <c r="G1713" s="14"/>
      <c r="H1713" s="14"/>
      <c r="I1713" s="14"/>
      <c r="J1713" s="14"/>
      <c r="K1713" s="14" t="s">
        <v>328</v>
      </c>
      <c r="L1713" s="134"/>
      <c r="M1713" s="249"/>
      <c r="N1713" s="249"/>
    </row>
    <row r="1714" spans="2:14" x14ac:dyDescent="0.25">
      <c r="B1714" s="14"/>
      <c r="C1714" s="14"/>
      <c r="D1714" s="14" t="s">
        <v>328</v>
      </c>
      <c r="E1714" s="14"/>
      <c r="F1714" s="14" t="s">
        <v>328</v>
      </c>
      <c r="G1714" s="14"/>
      <c r="H1714" s="14"/>
      <c r="I1714" s="14"/>
      <c r="J1714" s="14"/>
      <c r="K1714" s="14" t="s">
        <v>328</v>
      </c>
      <c r="L1714" s="134"/>
      <c r="M1714" s="249"/>
      <c r="N1714" s="249"/>
    </row>
    <row r="1715" spans="2:14" x14ac:dyDescent="0.25">
      <c r="B1715" s="14"/>
      <c r="C1715" s="14"/>
      <c r="D1715" s="14" t="s">
        <v>328</v>
      </c>
      <c r="E1715" s="14"/>
      <c r="F1715" s="14"/>
      <c r="G1715" s="14"/>
      <c r="H1715" s="14" t="s">
        <v>328</v>
      </c>
      <c r="I1715" s="14"/>
      <c r="J1715" s="14" t="s">
        <v>328</v>
      </c>
      <c r="K1715" s="14"/>
      <c r="L1715" s="134"/>
      <c r="M1715" s="249"/>
      <c r="N1715" s="249"/>
    </row>
    <row r="1716" spans="2:14" x14ac:dyDescent="0.25">
      <c r="B1716" s="14"/>
      <c r="C1716" s="14"/>
      <c r="D1716" s="14" t="s">
        <v>328</v>
      </c>
      <c r="E1716" s="14"/>
      <c r="F1716" s="14"/>
      <c r="G1716" s="14"/>
      <c r="H1716" s="14" t="s">
        <v>328</v>
      </c>
      <c r="I1716" s="14"/>
      <c r="J1716" s="14"/>
      <c r="K1716" s="14"/>
      <c r="L1716" s="134" t="s">
        <v>328</v>
      </c>
      <c r="M1716" s="249"/>
      <c r="N1716" s="249"/>
    </row>
    <row r="1717" spans="2:14" x14ac:dyDescent="0.25">
      <c r="B1717" s="14" t="s">
        <v>328</v>
      </c>
      <c r="C1717" s="14"/>
      <c r="D1717" s="14"/>
      <c r="E1717" s="14" t="s">
        <v>328</v>
      </c>
      <c r="F1717" s="14"/>
      <c r="G1717" s="14"/>
      <c r="H1717" s="14"/>
      <c r="I1717" s="14" t="s">
        <v>328</v>
      </c>
      <c r="J1717" s="14"/>
      <c r="K1717" s="14"/>
      <c r="L1717" s="134"/>
      <c r="M1717" s="249"/>
      <c r="N1717" s="249"/>
    </row>
    <row r="1718" spans="2:14" x14ac:dyDescent="0.25">
      <c r="B1718" s="14"/>
      <c r="C1718" s="14"/>
      <c r="D1718" s="14" t="s">
        <v>328</v>
      </c>
      <c r="E1718" s="14"/>
      <c r="F1718" s="14" t="s">
        <v>328</v>
      </c>
      <c r="G1718" s="14"/>
      <c r="H1718" s="14"/>
      <c r="I1718" s="14"/>
      <c r="J1718" s="14"/>
      <c r="K1718" s="14" t="s">
        <v>328</v>
      </c>
      <c r="L1718" s="134"/>
      <c r="M1718" s="249"/>
      <c r="N1718" s="249"/>
    </row>
    <row r="1719" spans="2:14" x14ac:dyDescent="0.25">
      <c r="B1719" s="14"/>
      <c r="C1719" s="14"/>
      <c r="D1719" s="14" t="s">
        <v>328</v>
      </c>
      <c r="E1719" s="14"/>
      <c r="F1719" s="14" t="s">
        <v>328</v>
      </c>
      <c r="G1719" s="14"/>
      <c r="H1719" s="14"/>
      <c r="I1719" s="14"/>
      <c r="J1719" s="14"/>
      <c r="K1719" s="14" t="s">
        <v>328</v>
      </c>
      <c r="L1719" s="134"/>
      <c r="M1719" s="249"/>
      <c r="N1719" s="249"/>
    </row>
    <row r="1720" spans="2:14" x14ac:dyDescent="0.25">
      <c r="B1720" s="14"/>
      <c r="C1720" s="14"/>
      <c r="D1720" s="14" t="s">
        <v>328</v>
      </c>
      <c r="E1720" s="14"/>
      <c r="F1720" s="14" t="s">
        <v>328</v>
      </c>
      <c r="G1720" s="14"/>
      <c r="H1720" s="14"/>
      <c r="I1720" s="14" t="s">
        <v>328</v>
      </c>
      <c r="J1720" s="14"/>
      <c r="K1720" s="14"/>
      <c r="L1720" s="134"/>
      <c r="M1720" s="249"/>
      <c r="N1720" s="249"/>
    </row>
    <row r="1721" spans="2:14" x14ac:dyDescent="0.25">
      <c r="B1721" s="14"/>
      <c r="C1721" s="14"/>
      <c r="D1721" s="14" t="s">
        <v>328</v>
      </c>
      <c r="E1721" s="14"/>
      <c r="F1721" s="14" t="s">
        <v>328</v>
      </c>
      <c r="G1721" s="14"/>
      <c r="H1721" s="14"/>
      <c r="I1721" s="14"/>
      <c r="J1721" s="14"/>
      <c r="K1721" s="14" t="s">
        <v>328</v>
      </c>
      <c r="L1721" s="134"/>
      <c r="M1721" s="249"/>
      <c r="N1721" s="249"/>
    </row>
    <row r="1722" spans="2:14" x14ac:dyDescent="0.25">
      <c r="B1722" s="14"/>
      <c r="C1722" s="14"/>
      <c r="D1722" s="14" t="s">
        <v>328</v>
      </c>
      <c r="E1722" s="14"/>
      <c r="F1722" s="14"/>
      <c r="G1722" s="14"/>
      <c r="H1722" s="14" t="s">
        <v>328</v>
      </c>
      <c r="I1722" s="14"/>
      <c r="J1722" s="14"/>
      <c r="K1722" s="14" t="s">
        <v>328</v>
      </c>
      <c r="L1722" s="134"/>
      <c r="M1722" s="249"/>
      <c r="N1722" s="249"/>
    </row>
    <row r="1723" spans="2:14" x14ac:dyDescent="0.25">
      <c r="B1723" s="14"/>
      <c r="C1723" s="14"/>
      <c r="D1723" s="14" t="s">
        <v>328</v>
      </c>
      <c r="E1723" s="14"/>
      <c r="F1723" s="14"/>
      <c r="G1723" s="14"/>
      <c r="H1723" s="14" t="s">
        <v>328</v>
      </c>
      <c r="I1723" s="14" t="s">
        <v>328</v>
      </c>
      <c r="J1723" s="14"/>
      <c r="K1723" s="14"/>
      <c r="L1723" s="134"/>
      <c r="M1723" s="249"/>
      <c r="N1723" s="249"/>
    </row>
    <row r="1724" spans="2:14" x14ac:dyDescent="0.25">
      <c r="B1724" s="14"/>
      <c r="C1724" s="14"/>
      <c r="D1724" s="14" t="s">
        <v>328</v>
      </c>
      <c r="E1724" s="14"/>
      <c r="F1724" s="14"/>
      <c r="G1724" s="14"/>
      <c r="H1724" s="14" t="s">
        <v>328</v>
      </c>
      <c r="I1724" s="14"/>
      <c r="J1724" s="14"/>
      <c r="K1724" s="14"/>
      <c r="L1724" s="134" t="s">
        <v>328</v>
      </c>
      <c r="M1724" s="249"/>
      <c r="N1724" s="249"/>
    </row>
    <row r="1725" spans="2:14" x14ac:dyDescent="0.25">
      <c r="B1725" s="14"/>
      <c r="C1725" s="14"/>
      <c r="D1725" s="14" t="s">
        <v>328</v>
      </c>
      <c r="E1725" s="14"/>
      <c r="F1725" s="14" t="s">
        <v>328</v>
      </c>
      <c r="G1725" s="14"/>
      <c r="H1725" s="14"/>
      <c r="I1725" s="14"/>
      <c r="J1725" s="14" t="s">
        <v>328</v>
      </c>
      <c r="K1725" s="14"/>
      <c r="L1725" s="134"/>
      <c r="M1725" s="249"/>
      <c r="N1725" s="249"/>
    </row>
    <row r="1726" spans="2:14" x14ac:dyDescent="0.25">
      <c r="B1726" s="14"/>
      <c r="C1726" s="14"/>
      <c r="D1726" s="14" t="s">
        <v>328</v>
      </c>
      <c r="E1726" s="14"/>
      <c r="F1726" s="14" t="s">
        <v>328</v>
      </c>
      <c r="G1726" s="14"/>
      <c r="H1726" s="14"/>
      <c r="I1726" s="14"/>
      <c r="J1726" s="14"/>
      <c r="K1726" s="14" t="s">
        <v>328</v>
      </c>
      <c r="L1726" s="134"/>
      <c r="M1726" s="249"/>
      <c r="N1726" s="249"/>
    </row>
    <row r="1727" spans="2:14" x14ac:dyDescent="0.25">
      <c r="B1727" s="14"/>
      <c r="C1727" s="14"/>
      <c r="D1727" s="14" t="s">
        <v>328</v>
      </c>
      <c r="E1727" s="14"/>
      <c r="F1727" s="14"/>
      <c r="G1727" s="14"/>
      <c r="H1727" s="14" t="s">
        <v>328</v>
      </c>
      <c r="I1727" s="14"/>
      <c r="J1727" s="14"/>
      <c r="K1727" s="14"/>
      <c r="L1727" s="134" t="s">
        <v>328</v>
      </c>
      <c r="M1727" s="249"/>
      <c r="N1727" s="249"/>
    </row>
    <row r="1728" spans="2:14" x14ac:dyDescent="0.25">
      <c r="B1728" s="14"/>
      <c r="C1728" s="14"/>
      <c r="D1728" s="14" t="s">
        <v>328</v>
      </c>
      <c r="E1728" s="14"/>
      <c r="F1728" s="14"/>
      <c r="G1728" s="14"/>
      <c r="H1728" s="14" t="s">
        <v>328</v>
      </c>
      <c r="I1728" s="14"/>
      <c r="J1728" s="14"/>
      <c r="K1728" s="14" t="s">
        <v>328</v>
      </c>
      <c r="L1728" s="134"/>
      <c r="M1728" s="249"/>
      <c r="N1728" s="249"/>
    </row>
    <row r="1729" spans="2:14" x14ac:dyDescent="0.25">
      <c r="B1729" s="14"/>
      <c r="C1729" s="14"/>
      <c r="D1729" s="14" t="s">
        <v>328</v>
      </c>
      <c r="E1729" s="14"/>
      <c r="F1729" s="14"/>
      <c r="G1729" s="14"/>
      <c r="H1729" s="14" t="s">
        <v>328</v>
      </c>
      <c r="I1729" s="14"/>
      <c r="J1729" s="14" t="s">
        <v>328</v>
      </c>
      <c r="K1729" s="14"/>
      <c r="L1729" s="134"/>
      <c r="M1729" s="249"/>
      <c r="N1729" s="249"/>
    </row>
    <row r="1730" spans="2:14" x14ac:dyDescent="0.25">
      <c r="B1730" s="14" t="s">
        <v>328</v>
      </c>
      <c r="C1730" s="14"/>
      <c r="D1730" s="14"/>
      <c r="E1730" s="14" t="s">
        <v>328</v>
      </c>
      <c r="F1730" s="14"/>
      <c r="G1730" s="14"/>
      <c r="H1730" s="14"/>
      <c r="I1730" s="14" t="s">
        <v>328</v>
      </c>
      <c r="J1730" s="14"/>
      <c r="K1730" s="14"/>
      <c r="L1730" s="134"/>
      <c r="M1730" s="249"/>
      <c r="N1730" s="249"/>
    </row>
    <row r="1731" spans="2:14" x14ac:dyDescent="0.25">
      <c r="B1731" s="14"/>
      <c r="C1731" s="14"/>
      <c r="D1731" s="14" t="s">
        <v>328</v>
      </c>
      <c r="E1731" s="14"/>
      <c r="F1731" s="14"/>
      <c r="G1731" s="14"/>
      <c r="H1731" s="14" t="s">
        <v>328</v>
      </c>
      <c r="I1731" s="14"/>
      <c r="J1731" s="14" t="s">
        <v>328</v>
      </c>
      <c r="K1731" s="14"/>
      <c r="L1731" s="134"/>
      <c r="M1731" s="249"/>
      <c r="N1731" s="249"/>
    </row>
    <row r="1732" spans="2:14" x14ac:dyDescent="0.25">
      <c r="B1732" s="14"/>
      <c r="C1732" s="14"/>
      <c r="D1732" s="14" t="s">
        <v>328</v>
      </c>
      <c r="E1732" s="14"/>
      <c r="F1732" s="14"/>
      <c r="G1732" s="14"/>
      <c r="H1732" s="14" t="s">
        <v>328</v>
      </c>
      <c r="I1732" s="14"/>
      <c r="J1732" s="14"/>
      <c r="K1732" s="14" t="s">
        <v>328</v>
      </c>
      <c r="L1732" s="134"/>
      <c r="M1732" s="249"/>
      <c r="N1732" s="249"/>
    </row>
    <row r="1733" spans="2:14" x14ac:dyDescent="0.25">
      <c r="B1733" s="14"/>
      <c r="C1733" s="14"/>
      <c r="D1733" s="14" t="s">
        <v>328</v>
      </c>
      <c r="E1733" s="14"/>
      <c r="F1733" s="14" t="s">
        <v>328</v>
      </c>
      <c r="G1733" s="14"/>
      <c r="H1733" s="14"/>
      <c r="I1733" s="14"/>
      <c r="J1733" s="14"/>
      <c r="K1733" s="14" t="s">
        <v>328</v>
      </c>
      <c r="L1733" s="134"/>
      <c r="M1733" s="249"/>
      <c r="N1733" s="249"/>
    </row>
    <row r="1734" spans="2:14" x14ac:dyDescent="0.25">
      <c r="B1734" s="14"/>
      <c r="C1734" s="14"/>
      <c r="D1734" s="14" t="s">
        <v>328</v>
      </c>
      <c r="E1734" s="14"/>
      <c r="F1734" s="14"/>
      <c r="G1734" s="14"/>
      <c r="H1734" s="14" t="s">
        <v>328</v>
      </c>
      <c r="I1734" s="14"/>
      <c r="J1734" s="14"/>
      <c r="K1734" s="14" t="s">
        <v>328</v>
      </c>
      <c r="L1734" s="134"/>
      <c r="M1734" s="249"/>
      <c r="N1734" s="249"/>
    </row>
    <row r="1735" spans="2:14" x14ac:dyDescent="0.25">
      <c r="B1735" s="14"/>
      <c r="C1735" s="14"/>
      <c r="D1735" s="14" t="s">
        <v>328</v>
      </c>
      <c r="E1735" s="14"/>
      <c r="F1735" s="14" t="s">
        <v>328</v>
      </c>
      <c r="G1735" s="14"/>
      <c r="H1735" s="14"/>
      <c r="I1735" s="14" t="s">
        <v>328</v>
      </c>
      <c r="J1735" s="14"/>
      <c r="K1735" s="14"/>
      <c r="L1735" s="134"/>
      <c r="M1735" s="249"/>
      <c r="N1735" s="249"/>
    </row>
    <row r="1736" spans="2:14" x14ac:dyDescent="0.25">
      <c r="B1736" s="14"/>
      <c r="C1736" s="14"/>
      <c r="D1736" s="14" t="s">
        <v>328</v>
      </c>
      <c r="E1736" s="14"/>
      <c r="F1736" s="14"/>
      <c r="G1736" s="14"/>
      <c r="H1736" s="14" t="s">
        <v>328</v>
      </c>
      <c r="I1736" s="14"/>
      <c r="J1736" s="14"/>
      <c r="K1736" s="14"/>
      <c r="L1736" s="134" t="s">
        <v>328</v>
      </c>
      <c r="M1736" s="249"/>
      <c r="N1736" s="249"/>
    </row>
    <row r="1737" spans="2:14" x14ac:dyDescent="0.25">
      <c r="B1737" s="14" t="s">
        <v>328</v>
      </c>
      <c r="C1737" s="14"/>
      <c r="D1737" s="14"/>
      <c r="E1737" s="14" t="s">
        <v>328</v>
      </c>
      <c r="F1737" s="14"/>
      <c r="G1737" s="14"/>
      <c r="H1737" s="14"/>
      <c r="I1737" s="14"/>
      <c r="J1737" s="14" t="s">
        <v>328</v>
      </c>
      <c r="K1737" s="14"/>
      <c r="L1737" s="134"/>
      <c r="M1737" s="249"/>
      <c r="N1737" s="249"/>
    </row>
    <row r="1738" spans="2:14" x14ac:dyDescent="0.25">
      <c r="B1738" s="14"/>
      <c r="C1738" s="14"/>
      <c r="D1738" s="14" t="s">
        <v>328</v>
      </c>
      <c r="E1738" s="14"/>
      <c r="F1738" s="14" t="s">
        <v>328</v>
      </c>
      <c r="G1738" s="14"/>
      <c r="H1738" s="14"/>
      <c r="I1738" s="14"/>
      <c r="J1738" s="14"/>
      <c r="K1738" s="14" t="s">
        <v>328</v>
      </c>
      <c r="L1738" s="134"/>
      <c r="M1738" s="249"/>
      <c r="N1738" s="249"/>
    </row>
    <row r="1739" spans="2:14" x14ac:dyDescent="0.25">
      <c r="B1739" s="14"/>
      <c r="C1739" s="14"/>
      <c r="D1739" s="14" t="s">
        <v>328</v>
      </c>
      <c r="E1739" s="14"/>
      <c r="F1739" s="14"/>
      <c r="G1739" s="14"/>
      <c r="H1739" s="14" t="s">
        <v>328</v>
      </c>
      <c r="I1739" s="14"/>
      <c r="J1739" s="14"/>
      <c r="K1739" s="14"/>
      <c r="L1739" s="134" t="s">
        <v>328</v>
      </c>
      <c r="M1739" s="249"/>
      <c r="N1739" s="249"/>
    </row>
    <row r="1740" spans="2:14" x14ac:dyDescent="0.25">
      <c r="B1740" s="14" t="s">
        <v>328</v>
      </c>
      <c r="C1740" s="14"/>
      <c r="D1740" s="14"/>
      <c r="E1740" s="14" t="s">
        <v>328</v>
      </c>
      <c r="F1740" s="14"/>
      <c r="G1740" s="14"/>
      <c r="H1740" s="14"/>
      <c r="I1740" s="14"/>
      <c r="J1740" s="14" t="s">
        <v>328</v>
      </c>
      <c r="K1740" s="14"/>
      <c r="L1740" s="134"/>
      <c r="M1740" s="249"/>
      <c r="N1740" s="249"/>
    </row>
    <row r="1741" spans="2:14" x14ac:dyDescent="0.25">
      <c r="B1741" s="14"/>
      <c r="C1741" s="14"/>
      <c r="D1741" s="14" t="s">
        <v>328</v>
      </c>
      <c r="E1741" s="14"/>
      <c r="F1741" s="14" t="s">
        <v>328</v>
      </c>
      <c r="G1741" s="14"/>
      <c r="H1741" s="14"/>
      <c r="I1741" s="14"/>
      <c r="J1741" s="14"/>
      <c r="K1741" s="14" t="s">
        <v>328</v>
      </c>
      <c r="L1741" s="134"/>
      <c r="M1741" s="249"/>
      <c r="N1741" s="249"/>
    </row>
    <row r="1742" spans="2:14" x14ac:dyDescent="0.25">
      <c r="B1742" s="14" t="s">
        <v>328</v>
      </c>
      <c r="C1742" s="14"/>
      <c r="D1742" s="14"/>
      <c r="E1742" s="14"/>
      <c r="F1742" s="14"/>
      <c r="G1742" s="14" t="s">
        <v>328</v>
      </c>
      <c r="H1742" s="14"/>
      <c r="I1742" s="14" t="s">
        <v>328</v>
      </c>
      <c r="J1742" s="14"/>
      <c r="K1742" s="14"/>
      <c r="L1742" s="134"/>
      <c r="M1742" s="249"/>
      <c r="N1742" s="249"/>
    </row>
    <row r="1743" spans="2:14" x14ac:dyDescent="0.25">
      <c r="B1743" s="14"/>
      <c r="C1743" s="14"/>
      <c r="D1743" s="14" t="s">
        <v>328</v>
      </c>
      <c r="E1743" s="14"/>
      <c r="F1743" s="14"/>
      <c r="G1743" s="14"/>
      <c r="H1743" s="14" t="s">
        <v>328</v>
      </c>
      <c r="I1743" s="14"/>
      <c r="J1743" s="14"/>
      <c r="K1743" s="14" t="s">
        <v>328</v>
      </c>
      <c r="L1743" s="134"/>
      <c r="M1743" s="249"/>
      <c r="N1743" s="249"/>
    </row>
    <row r="1744" spans="2:14" x14ac:dyDescent="0.25">
      <c r="B1744" s="14"/>
      <c r="C1744" s="14"/>
      <c r="D1744" s="14" t="s">
        <v>328</v>
      </c>
      <c r="E1744" s="14"/>
      <c r="F1744" s="14" t="s">
        <v>328</v>
      </c>
      <c r="G1744" s="14"/>
      <c r="H1744" s="14"/>
      <c r="I1744" s="14"/>
      <c r="J1744" s="14" t="s">
        <v>328</v>
      </c>
      <c r="K1744" s="14"/>
      <c r="L1744" s="134"/>
      <c r="M1744" s="249"/>
      <c r="N1744" s="249"/>
    </row>
    <row r="1745" spans="2:14" x14ac:dyDescent="0.25">
      <c r="B1745" s="14"/>
      <c r="C1745" s="14"/>
      <c r="D1745" s="14" t="s">
        <v>328</v>
      </c>
      <c r="E1745" s="14"/>
      <c r="F1745" s="14"/>
      <c r="G1745" s="14"/>
      <c r="H1745" s="14" t="s">
        <v>328</v>
      </c>
      <c r="I1745" s="14"/>
      <c r="J1745" s="14"/>
      <c r="K1745" s="14" t="s">
        <v>328</v>
      </c>
      <c r="L1745" s="134"/>
      <c r="M1745" s="249"/>
      <c r="N1745" s="249"/>
    </row>
    <row r="1746" spans="2:14" x14ac:dyDescent="0.25">
      <c r="B1746" s="14"/>
      <c r="C1746" s="14"/>
      <c r="D1746" s="14" t="s">
        <v>328</v>
      </c>
      <c r="E1746" s="14"/>
      <c r="F1746" s="14"/>
      <c r="G1746" s="14"/>
      <c r="H1746" s="14" t="s">
        <v>328</v>
      </c>
      <c r="I1746" s="14"/>
      <c r="J1746" s="14"/>
      <c r="K1746" s="14" t="s">
        <v>328</v>
      </c>
      <c r="L1746" s="134"/>
      <c r="M1746" s="249"/>
      <c r="N1746" s="249"/>
    </row>
    <row r="1747" spans="2:14" x14ac:dyDescent="0.25">
      <c r="B1747" s="14"/>
      <c r="C1747" s="14"/>
      <c r="D1747" s="14" t="s">
        <v>328</v>
      </c>
      <c r="E1747" s="14"/>
      <c r="F1747" s="14" t="s">
        <v>328</v>
      </c>
      <c r="G1747" s="14"/>
      <c r="H1747" s="14"/>
      <c r="I1747" s="14"/>
      <c r="J1747" s="14"/>
      <c r="K1747" s="14" t="s">
        <v>328</v>
      </c>
      <c r="L1747" s="134"/>
      <c r="M1747" s="249"/>
      <c r="N1747" s="249"/>
    </row>
    <row r="1748" spans="2:14" x14ac:dyDescent="0.25">
      <c r="B1748" s="14" t="s">
        <v>328</v>
      </c>
      <c r="C1748" s="14"/>
      <c r="D1748" s="14"/>
      <c r="E1748" s="14" t="s">
        <v>328</v>
      </c>
      <c r="F1748" s="14"/>
      <c r="G1748" s="14"/>
      <c r="H1748" s="14"/>
      <c r="I1748" s="14"/>
      <c r="J1748" s="14"/>
      <c r="K1748" s="14" t="s">
        <v>328</v>
      </c>
      <c r="L1748" s="134"/>
      <c r="M1748" s="249"/>
      <c r="N1748" s="249"/>
    </row>
    <row r="1749" spans="2:14" x14ac:dyDescent="0.25">
      <c r="B1749" s="14"/>
      <c r="C1749" s="14"/>
      <c r="D1749" s="14" t="s">
        <v>328</v>
      </c>
      <c r="E1749" s="14"/>
      <c r="F1749" s="14"/>
      <c r="G1749" s="14"/>
      <c r="H1749" s="14" t="s">
        <v>328</v>
      </c>
      <c r="I1749" s="14"/>
      <c r="J1749" s="14"/>
      <c r="K1749" s="14"/>
      <c r="L1749" s="134" t="s">
        <v>328</v>
      </c>
      <c r="M1749" s="249"/>
      <c r="N1749" s="249"/>
    </row>
    <row r="1750" spans="2:14" x14ac:dyDescent="0.25">
      <c r="B1750" s="14"/>
      <c r="C1750" s="14"/>
      <c r="D1750" s="14" t="s">
        <v>328</v>
      </c>
      <c r="E1750" s="14"/>
      <c r="F1750" s="14"/>
      <c r="G1750" s="14"/>
      <c r="H1750" s="14" t="s">
        <v>328</v>
      </c>
      <c r="I1750" s="14"/>
      <c r="J1750" s="14" t="s">
        <v>328</v>
      </c>
      <c r="K1750" s="14"/>
      <c r="L1750" s="134"/>
      <c r="M1750" s="249"/>
      <c r="N1750" s="249"/>
    </row>
    <row r="1751" spans="2:14" x14ac:dyDescent="0.25">
      <c r="B1751" s="14"/>
      <c r="C1751" s="14"/>
      <c r="D1751" s="14" t="s">
        <v>328</v>
      </c>
      <c r="E1751" s="14"/>
      <c r="F1751" s="14" t="s">
        <v>328</v>
      </c>
      <c r="G1751" s="14"/>
      <c r="H1751" s="14"/>
      <c r="I1751" s="14"/>
      <c r="J1751" s="14"/>
      <c r="K1751" s="14" t="s">
        <v>328</v>
      </c>
      <c r="L1751" s="134"/>
      <c r="M1751" s="249"/>
      <c r="N1751" s="249"/>
    </row>
    <row r="1752" spans="2:14" x14ac:dyDescent="0.25">
      <c r="B1752" s="14"/>
      <c r="C1752" s="14"/>
      <c r="D1752" s="14" t="s">
        <v>328</v>
      </c>
      <c r="E1752" s="14"/>
      <c r="F1752" s="14" t="s">
        <v>328</v>
      </c>
      <c r="G1752" s="14"/>
      <c r="H1752" s="14"/>
      <c r="I1752" s="14"/>
      <c r="J1752" s="14"/>
      <c r="K1752" s="14" t="s">
        <v>328</v>
      </c>
      <c r="L1752" s="134"/>
      <c r="M1752" s="249"/>
      <c r="N1752" s="249"/>
    </row>
    <row r="1753" spans="2:14" x14ac:dyDescent="0.25">
      <c r="B1753" s="14"/>
      <c r="C1753" s="14"/>
      <c r="D1753" s="14" t="s">
        <v>328</v>
      </c>
      <c r="E1753" s="14" t="s">
        <v>328</v>
      </c>
      <c r="F1753" s="14"/>
      <c r="G1753" s="14"/>
      <c r="H1753" s="14"/>
      <c r="I1753" s="14"/>
      <c r="J1753" s="14" t="s">
        <v>328</v>
      </c>
      <c r="K1753" s="14"/>
      <c r="L1753" s="134"/>
      <c r="M1753" s="249"/>
      <c r="N1753" s="249"/>
    </row>
    <row r="1754" spans="2:14" x14ac:dyDescent="0.25">
      <c r="B1754" s="14"/>
      <c r="C1754" s="14"/>
      <c r="D1754" s="14" t="s">
        <v>328</v>
      </c>
      <c r="E1754" s="14"/>
      <c r="F1754" s="14" t="s">
        <v>328</v>
      </c>
      <c r="G1754" s="14"/>
      <c r="H1754" s="14"/>
      <c r="I1754" s="14"/>
      <c r="J1754" s="14"/>
      <c r="K1754" s="14" t="s">
        <v>328</v>
      </c>
      <c r="L1754" s="134"/>
      <c r="M1754" s="249"/>
      <c r="N1754" s="249"/>
    </row>
    <row r="1755" spans="2:14" x14ac:dyDescent="0.25">
      <c r="B1755" s="14"/>
      <c r="C1755" s="14"/>
      <c r="D1755" s="14" t="s">
        <v>328</v>
      </c>
      <c r="E1755" s="14"/>
      <c r="F1755" s="14"/>
      <c r="G1755" s="14"/>
      <c r="H1755" s="14" t="s">
        <v>328</v>
      </c>
      <c r="I1755" s="14"/>
      <c r="J1755" s="14"/>
      <c r="K1755" s="14" t="s">
        <v>328</v>
      </c>
      <c r="L1755" s="134"/>
      <c r="M1755" s="249"/>
      <c r="N1755" s="249"/>
    </row>
    <row r="1756" spans="2:14" x14ac:dyDescent="0.25">
      <c r="B1756" s="14"/>
      <c r="C1756" s="14"/>
      <c r="D1756" s="14" t="s">
        <v>328</v>
      </c>
      <c r="E1756" s="14"/>
      <c r="F1756" s="14"/>
      <c r="G1756" s="14"/>
      <c r="H1756" s="14" t="s">
        <v>328</v>
      </c>
      <c r="I1756" s="14"/>
      <c r="J1756" s="14"/>
      <c r="K1756" s="14"/>
      <c r="L1756" s="134" t="s">
        <v>328</v>
      </c>
      <c r="M1756" s="249"/>
      <c r="N1756" s="249"/>
    </row>
    <row r="1757" spans="2:14" x14ac:dyDescent="0.25">
      <c r="B1757" s="14"/>
      <c r="C1757" s="14"/>
      <c r="D1757" s="14" t="s">
        <v>328</v>
      </c>
      <c r="E1757" s="14"/>
      <c r="F1757" s="14"/>
      <c r="G1757" s="14"/>
      <c r="H1757" s="14" t="s">
        <v>328</v>
      </c>
      <c r="I1757" s="14"/>
      <c r="J1757" s="14"/>
      <c r="K1757" s="14"/>
      <c r="L1757" s="134" t="s">
        <v>328</v>
      </c>
      <c r="M1757" s="249"/>
      <c r="N1757" s="249"/>
    </row>
    <row r="1758" spans="2:14" x14ac:dyDescent="0.25">
      <c r="B1758" s="14"/>
      <c r="C1758" s="14"/>
      <c r="D1758" s="14" t="s">
        <v>328</v>
      </c>
      <c r="E1758" s="14"/>
      <c r="F1758" s="14"/>
      <c r="G1758" s="14"/>
      <c r="H1758" s="14" t="s">
        <v>328</v>
      </c>
      <c r="I1758" s="14"/>
      <c r="J1758" s="14"/>
      <c r="K1758" s="14"/>
      <c r="L1758" s="134" t="s">
        <v>328</v>
      </c>
      <c r="M1758" s="249"/>
      <c r="N1758" s="249"/>
    </row>
    <row r="1759" spans="2:14" x14ac:dyDescent="0.25">
      <c r="B1759" s="14"/>
      <c r="C1759" s="14"/>
      <c r="D1759" s="14" t="s">
        <v>328</v>
      </c>
      <c r="E1759" s="14"/>
      <c r="F1759" s="14"/>
      <c r="G1759" s="14"/>
      <c r="H1759" s="14" t="s">
        <v>328</v>
      </c>
      <c r="I1759" s="14"/>
      <c r="J1759" s="14"/>
      <c r="K1759" s="14" t="s">
        <v>328</v>
      </c>
      <c r="L1759" s="134"/>
      <c r="M1759" s="249"/>
      <c r="N1759" s="249"/>
    </row>
    <row r="1760" spans="2:14" x14ac:dyDescent="0.25">
      <c r="B1760" s="14"/>
      <c r="C1760" s="14"/>
      <c r="D1760" s="14" t="s">
        <v>328</v>
      </c>
      <c r="E1760" s="14"/>
      <c r="F1760" s="14" t="s">
        <v>328</v>
      </c>
      <c r="G1760" s="14"/>
      <c r="H1760" s="14"/>
      <c r="I1760" s="14"/>
      <c r="J1760" s="14"/>
      <c r="K1760" s="14" t="s">
        <v>328</v>
      </c>
      <c r="L1760" s="134"/>
      <c r="M1760" s="249"/>
      <c r="N1760" s="249"/>
    </row>
    <row r="1761" spans="2:14" x14ac:dyDescent="0.25">
      <c r="B1761" s="14"/>
      <c r="C1761" s="14"/>
      <c r="D1761" s="14" t="s">
        <v>328</v>
      </c>
      <c r="E1761" s="14"/>
      <c r="F1761" s="14"/>
      <c r="G1761" s="14"/>
      <c r="H1761" s="14" t="s">
        <v>328</v>
      </c>
      <c r="I1761" s="14"/>
      <c r="J1761" s="14"/>
      <c r="K1761" s="14" t="s">
        <v>328</v>
      </c>
      <c r="L1761" s="134"/>
      <c r="M1761" s="249"/>
      <c r="N1761" s="249"/>
    </row>
    <row r="1762" spans="2:14" x14ac:dyDescent="0.25">
      <c r="B1762" s="14"/>
      <c r="C1762" s="14"/>
      <c r="D1762" s="14" t="s">
        <v>328</v>
      </c>
      <c r="E1762" s="14"/>
      <c r="F1762" s="14" t="s">
        <v>328</v>
      </c>
      <c r="G1762" s="14"/>
      <c r="H1762" s="14"/>
      <c r="I1762" s="14"/>
      <c r="J1762" s="14"/>
      <c r="K1762" s="14" t="s">
        <v>328</v>
      </c>
      <c r="L1762" s="134"/>
      <c r="M1762" s="249"/>
      <c r="N1762" s="249"/>
    </row>
    <row r="1763" spans="2:14" x14ac:dyDescent="0.25">
      <c r="B1763" s="14"/>
      <c r="C1763" s="14"/>
      <c r="D1763" s="14" t="s">
        <v>328</v>
      </c>
      <c r="E1763" s="14"/>
      <c r="F1763" s="14" t="s">
        <v>328</v>
      </c>
      <c r="G1763" s="14"/>
      <c r="H1763" s="14"/>
      <c r="I1763" s="14"/>
      <c r="J1763" s="14"/>
      <c r="K1763" s="14" t="s">
        <v>328</v>
      </c>
      <c r="L1763" s="134"/>
      <c r="M1763" s="249"/>
      <c r="N1763" s="249"/>
    </row>
    <row r="1764" spans="2:14" x14ac:dyDescent="0.25">
      <c r="B1764" s="14"/>
      <c r="C1764" s="14"/>
      <c r="D1764" s="14" t="s">
        <v>328</v>
      </c>
      <c r="E1764" s="14"/>
      <c r="F1764" s="14"/>
      <c r="G1764" s="14"/>
      <c r="H1764" s="14" t="s">
        <v>328</v>
      </c>
      <c r="I1764" s="14"/>
      <c r="J1764" s="14"/>
      <c r="K1764" s="14"/>
      <c r="L1764" s="134" t="s">
        <v>328</v>
      </c>
      <c r="M1764" s="249"/>
      <c r="N1764" s="249"/>
    </row>
    <row r="1765" spans="2:14" x14ac:dyDescent="0.25">
      <c r="B1765" s="14"/>
      <c r="C1765" s="14"/>
      <c r="D1765" s="14" t="s">
        <v>328</v>
      </c>
      <c r="E1765" s="14"/>
      <c r="F1765" s="14"/>
      <c r="G1765" s="14"/>
      <c r="H1765" s="14" t="s">
        <v>328</v>
      </c>
      <c r="I1765" s="14"/>
      <c r="J1765" s="14" t="s">
        <v>328</v>
      </c>
      <c r="K1765" s="14"/>
      <c r="L1765" s="134"/>
      <c r="M1765" s="249"/>
      <c r="N1765" s="249"/>
    </row>
    <row r="1766" spans="2:14" x14ac:dyDescent="0.25">
      <c r="B1766" s="14"/>
      <c r="C1766" s="14"/>
      <c r="D1766" s="14" t="s">
        <v>328</v>
      </c>
      <c r="E1766" s="14" t="s">
        <v>328</v>
      </c>
      <c r="F1766" s="14"/>
      <c r="G1766" s="14"/>
      <c r="H1766" s="14"/>
      <c r="I1766" s="14"/>
      <c r="J1766" s="14"/>
      <c r="K1766" s="14" t="s">
        <v>328</v>
      </c>
      <c r="L1766" s="134"/>
      <c r="M1766" s="249"/>
      <c r="N1766" s="249"/>
    </row>
    <row r="1767" spans="2:14" x14ac:dyDescent="0.25">
      <c r="B1767" s="14"/>
      <c r="C1767" s="14"/>
      <c r="D1767" s="14" t="s">
        <v>328</v>
      </c>
      <c r="E1767" s="14"/>
      <c r="F1767" s="14"/>
      <c r="G1767" s="14"/>
      <c r="H1767" s="14" t="s">
        <v>328</v>
      </c>
      <c r="I1767" s="14"/>
      <c r="J1767" s="14"/>
      <c r="K1767" s="14" t="s">
        <v>328</v>
      </c>
      <c r="L1767" s="134"/>
      <c r="M1767" s="249"/>
      <c r="N1767" s="249"/>
    </row>
    <row r="1768" spans="2:14" x14ac:dyDescent="0.25">
      <c r="B1768" s="14"/>
      <c r="C1768" s="14"/>
      <c r="D1768" s="14" t="s">
        <v>328</v>
      </c>
      <c r="E1768" s="14"/>
      <c r="F1768" s="14"/>
      <c r="G1768" s="14"/>
      <c r="H1768" s="14" t="s">
        <v>328</v>
      </c>
      <c r="I1768" s="14"/>
      <c r="J1768" s="14"/>
      <c r="K1768" s="14"/>
      <c r="L1768" s="134" t="s">
        <v>328</v>
      </c>
      <c r="M1768" s="249"/>
      <c r="N1768" s="249"/>
    </row>
    <row r="1769" spans="2:14" x14ac:dyDescent="0.25">
      <c r="B1769" s="14"/>
      <c r="C1769" s="14"/>
      <c r="D1769" s="14" t="s">
        <v>328</v>
      </c>
      <c r="E1769" s="14"/>
      <c r="F1769" s="14"/>
      <c r="G1769" s="14"/>
      <c r="H1769" s="14" t="s">
        <v>328</v>
      </c>
      <c r="I1769" s="14"/>
      <c r="J1769" s="14"/>
      <c r="K1769" s="14" t="s">
        <v>328</v>
      </c>
      <c r="L1769" s="134"/>
      <c r="M1769" s="249"/>
      <c r="N1769" s="249"/>
    </row>
    <row r="1770" spans="2:14" x14ac:dyDescent="0.25">
      <c r="B1770" s="14"/>
      <c r="C1770" s="14"/>
      <c r="D1770" s="14" t="s">
        <v>328</v>
      </c>
      <c r="E1770" s="14"/>
      <c r="F1770" s="14"/>
      <c r="G1770" s="14"/>
      <c r="H1770" s="14" t="s">
        <v>328</v>
      </c>
      <c r="I1770" s="14"/>
      <c r="J1770" s="14"/>
      <c r="K1770" s="14"/>
      <c r="L1770" s="134" t="s">
        <v>328</v>
      </c>
      <c r="M1770" s="249"/>
      <c r="N1770" s="249"/>
    </row>
    <row r="1771" spans="2:14" x14ac:dyDescent="0.25">
      <c r="B1771" s="14"/>
      <c r="C1771" s="14"/>
      <c r="D1771" s="14" t="s">
        <v>328</v>
      </c>
      <c r="E1771" s="14"/>
      <c r="F1771" s="14"/>
      <c r="G1771" s="14"/>
      <c r="H1771" s="14" t="s">
        <v>328</v>
      </c>
      <c r="I1771" s="14"/>
      <c r="J1771" s="14"/>
      <c r="K1771" s="14" t="s">
        <v>328</v>
      </c>
      <c r="L1771" s="134"/>
      <c r="M1771" s="249"/>
      <c r="N1771" s="249"/>
    </row>
    <row r="1772" spans="2:14" x14ac:dyDescent="0.25">
      <c r="B1772" s="14"/>
      <c r="C1772" s="14"/>
      <c r="D1772" s="14" t="s">
        <v>328</v>
      </c>
      <c r="E1772" s="14"/>
      <c r="F1772" s="14"/>
      <c r="G1772" s="14"/>
      <c r="H1772" s="14" t="s">
        <v>328</v>
      </c>
      <c r="I1772" s="14"/>
      <c r="J1772" s="14"/>
      <c r="K1772" s="14"/>
      <c r="L1772" s="134" t="s">
        <v>328</v>
      </c>
      <c r="M1772" s="249"/>
      <c r="N1772" s="249"/>
    </row>
    <row r="1773" spans="2:14" x14ac:dyDescent="0.25">
      <c r="B1773" s="14"/>
      <c r="C1773" s="14"/>
      <c r="D1773" s="14" t="s">
        <v>328</v>
      </c>
      <c r="E1773" s="14"/>
      <c r="F1773" s="14" t="s">
        <v>328</v>
      </c>
      <c r="G1773" s="14"/>
      <c r="H1773" s="14"/>
      <c r="I1773" s="14"/>
      <c r="J1773" s="14"/>
      <c r="K1773" s="14" t="s">
        <v>328</v>
      </c>
      <c r="L1773" s="134"/>
      <c r="M1773" s="249"/>
      <c r="N1773" s="249"/>
    </row>
    <row r="1774" spans="2:14" x14ac:dyDescent="0.25">
      <c r="B1774" s="14"/>
      <c r="C1774" s="14"/>
      <c r="D1774" s="14" t="s">
        <v>328</v>
      </c>
      <c r="E1774" s="14" t="s">
        <v>328</v>
      </c>
      <c r="F1774" s="14"/>
      <c r="G1774" s="14"/>
      <c r="H1774" s="14"/>
      <c r="I1774" s="14" t="s">
        <v>328</v>
      </c>
      <c r="J1774" s="14"/>
      <c r="K1774" s="14"/>
      <c r="L1774" s="134"/>
      <c r="M1774" s="249"/>
      <c r="N1774" s="249"/>
    </row>
    <row r="1775" spans="2:14" x14ac:dyDescent="0.25">
      <c r="B1775" s="14"/>
      <c r="C1775" s="14"/>
      <c r="D1775" s="14" t="s">
        <v>328</v>
      </c>
      <c r="E1775" s="14"/>
      <c r="F1775" s="14" t="s">
        <v>328</v>
      </c>
      <c r="G1775" s="14"/>
      <c r="H1775" s="14"/>
      <c r="I1775" s="14"/>
      <c r="J1775" s="14"/>
      <c r="K1775" s="14" t="s">
        <v>328</v>
      </c>
      <c r="L1775" s="134"/>
      <c r="M1775" s="249"/>
      <c r="N1775" s="249"/>
    </row>
    <row r="1776" spans="2:14" x14ac:dyDescent="0.25">
      <c r="B1776" s="14"/>
      <c r="C1776" s="14"/>
      <c r="D1776" s="14" t="s">
        <v>328</v>
      </c>
      <c r="E1776" s="14"/>
      <c r="F1776" s="14" t="s">
        <v>328</v>
      </c>
      <c r="G1776" s="14"/>
      <c r="H1776" s="14"/>
      <c r="I1776" s="14"/>
      <c r="J1776" s="14"/>
      <c r="K1776" s="14" t="s">
        <v>328</v>
      </c>
      <c r="L1776" s="134"/>
      <c r="M1776" s="249"/>
      <c r="N1776" s="249"/>
    </row>
    <row r="1777" spans="2:14" x14ac:dyDescent="0.25">
      <c r="B1777" s="14" t="s">
        <v>328</v>
      </c>
      <c r="C1777" s="14"/>
      <c r="D1777" s="14"/>
      <c r="E1777" s="14" t="s">
        <v>328</v>
      </c>
      <c r="F1777" s="14"/>
      <c r="G1777" s="14"/>
      <c r="H1777" s="14"/>
      <c r="I1777" s="14" t="s">
        <v>328</v>
      </c>
      <c r="J1777" s="14"/>
      <c r="K1777" s="14"/>
      <c r="L1777" s="134"/>
      <c r="M1777" s="249"/>
      <c r="N1777" s="249"/>
    </row>
    <row r="1778" spans="2:14" x14ac:dyDescent="0.25">
      <c r="B1778" s="14"/>
      <c r="C1778" s="14"/>
      <c r="D1778" s="14" t="s">
        <v>328</v>
      </c>
      <c r="E1778" s="14"/>
      <c r="F1778" s="14" t="s">
        <v>328</v>
      </c>
      <c r="G1778" s="14"/>
      <c r="H1778" s="14"/>
      <c r="I1778" s="14" t="s">
        <v>328</v>
      </c>
      <c r="J1778" s="14"/>
      <c r="K1778" s="14"/>
      <c r="L1778" s="134"/>
      <c r="M1778" s="249"/>
      <c r="N1778" s="249"/>
    </row>
    <row r="1779" spans="2:14" x14ac:dyDescent="0.25">
      <c r="B1779" s="14"/>
      <c r="C1779" s="14"/>
      <c r="D1779" s="14" t="s">
        <v>328</v>
      </c>
      <c r="E1779" s="14"/>
      <c r="F1779" s="14"/>
      <c r="G1779" s="14"/>
      <c r="H1779" s="14" t="s">
        <v>328</v>
      </c>
      <c r="I1779" s="14"/>
      <c r="J1779" s="14"/>
      <c r="K1779" s="14"/>
      <c r="L1779" s="134" t="s">
        <v>328</v>
      </c>
      <c r="M1779" s="249"/>
      <c r="N1779" s="249"/>
    </row>
    <row r="1780" spans="2:14" x14ac:dyDescent="0.25">
      <c r="B1780" s="14"/>
      <c r="C1780" s="14"/>
      <c r="D1780" s="14" t="s">
        <v>328</v>
      </c>
      <c r="E1780" s="14"/>
      <c r="F1780" s="14"/>
      <c r="G1780" s="14"/>
      <c r="H1780" s="14" t="s">
        <v>328</v>
      </c>
      <c r="I1780" s="14" t="s">
        <v>328</v>
      </c>
      <c r="J1780" s="14"/>
      <c r="K1780" s="14"/>
      <c r="L1780" s="134"/>
      <c r="M1780" s="249"/>
      <c r="N1780" s="249"/>
    </row>
    <row r="1781" spans="2:14" x14ac:dyDescent="0.25">
      <c r="B1781" s="14"/>
      <c r="C1781" s="14"/>
      <c r="D1781" s="14" t="s">
        <v>328</v>
      </c>
      <c r="E1781" s="14"/>
      <c r="F1781" s="14"/>
      <c r="G1781" s="14"/>
      <c r="H1781" s="14" t="s">
        <v>328</v>
      </c>
      <c r="I1781" s="14"/>
      <c r="J1781" s="14"/>
      <c r="K1781" s="14" t="s">
        <v>328</v>
      </c>
      <c r="L1781" s="134"/>
      <c r="M1781" s="249"/>
      <c r="N1781" s="249"/>
    </row>
    <row r="1782" spans="2:14" x14ac:dyDescent="0.25">
      <c r="B1782" s="14"/>
      <c r="C1782" s="14"/>
      <c r="D1782" s="14" t="s">
        <v>328</v>
      </c>
      <c r="E1782" s="14"/>
      <c r="F1782" s="14" t="s">
        <v>328</v>
      </c>
      <c r="G1782" s="14"/>
      <c r="H1782" s="14"/>
      <c r="I1782" s="14" t="s">
        <v>328</v>
      </c>
      <c r="J1782" s="14"/>
      <c r="K1782" s="14"/>
      <c r="L1782" s="134"/>
      <c r="M1782" s="249"/>
      <c r="N1782" s="249"/>
    </row>
    <row r="1783" spans="2:14" x14ac:dyDescent="0.25">
      <c r="B1783" s="14"/>
      <c r="C1783" s="14"/>
      <c r="D1783" s="14" t="s">
        <v>328</v>
      </c>
      <c r="E1783" s="14"/>
      <c r="F1783" s="14"/>
      <c r="G1783" s="14"/>
      <c r="H1783" s="14" t="s">
        <v>328</v>
      </c>
      <c r="I1783" s="14"/>
      <c r="J1783" s="14"/>
      <c r="K1783" s="14"/>
      <c r="L1783" s="134" t="s">
        <v>328</v>
      </c>
      <c r="M1783" s="249"/>
      <c r="N1783" s="249"/>
    </row>
    <row r="1784" spans="2:14" x14ac:dyDescent="0.25">
      <c r="B1784" s="14"/>
      <c r="C1784" s="14"/>
      <c r="D1784" s="14" t="s">
        <v>328</v>
      </c>
      <c r="E1784" s="14"/>
      <c r="F1784" s="14"/>
      <c r="G1784" s="14"/>
      <c r="H1784" s="14" t="s">
        <v>328</v>
      </c>
      <c r="I1784" s="14"/>
      <c r="J1784" s="14"/>
      <c r="K1784" s="14"/>
      <c r="L1784" s="134" t="s">
        <v>328</v>
      </c>
      <c r="M1784" s="249"/>
      <c r="N1784" s="249"/>
    </row>
    <row r="1785" spans="2:14" x14ac:dyDescent="0.25">
      <c r="B1785" s="14"/>
      <c r="C1785" s="14"/>
      <c r="D1785" s="14" t="s">
        <v>328</v>
      </c>
      <c r="E1785" s="14"/>
      <c r="F1785" s="14"/>
      <c r="G1785" s="14"/>
      <c r="H1785" s="14" t="s">
        <v>328</v>
      </c>
      <c r="I1785" s="14"/>
      <c r="J1785" s="14" t="s">
        <v>328</v>
      </c>
      <c r="K1785" s="14"/>
      <c r="L1785" s="134"/>
      <c r="M1785" s="249"/>
      <c r="N1785" s="249"/>
    </row>
    <row r="1786" spans="2:14" x14ac:dyDescent="0.25">
      <c r="B1786" s="14"/>
      <c r="C1786" s="14"/>
      <c r="D1786" s="14" t="s">
        <v>328</v>
      </c>
      <c r="E1786" s="14"/>
      <c r="F1786" s="14"/>
      <c r="G1786" s="14"/>
      <c r="H1786" s="14" t="s">
        <v>328</v>
      </c>
      <c r="I1786" s="14"/>
      <c r="J1786" s="14"/>
      <c r="K1786" s="14" t="s">
        <v>328</v>
      </c>
      <c r="L1786" s="134"/>
      <c r="M1786" s="249"/>
      <c r="N1786" s="249"/>
    </row>
    <row r="1787" spans="2:14" x14ac:dyDescent="0.25">
      <c r="B1787" s="14"/>
      <c r="C1787" s="14"/>
      <c r="D1787" s="14" t="s">
        <v>328</v>
      </c>
      <c r="E1787" s="14"/>
      <c r="F1787" s="14"/>
      <c r="G1787" s="14"/>
      <c r="H1787" s="14" t="s">
        <v>328</v>
      </c>
      <c r="I1787" s="14" t="s">
        <v>328</v>
      </c>
      <c r="J1787" s="14"/>
      <c r="K1787" s="14"/>
      <c r="L1787" s="134"/>
      <c r="M1787" s="249"/>
      <c r="N1787" s="249"/>
    </row>
    <row r="1788" spans="2:14" x14ac:dyDescent="0.25">
      <c r="B1788" s="14"/>
      <c r="C1788" s="14"/>
      <c r="D1788" s="14" t="s">
        <v>328</v>
      </c>
      <c r="E1788" s="14"/>
      <c r="F1788" s="14"/>
      <c r="G1788" s="14"/>
      <c r="H1788" s="14" t="s">
        <v>328</v>
      </c>
      <c r="I1788" s="14"/>
      <c r="J1788" s="14"/>
      <c r="K1788" s="14" t="s">
        <v>328</v>
      </c>
      <c r="L1788" s="134"/>
      <c r="M1788" s="249"/>
      <c r="N1788" s="249"/>
    </row>
    <row r="1789" spans="2:14" x14ac:dyDescent="0.25">
      <c r="B1789" s="14"/>
      <c r="C1789" s="14"/>
      <c r="D1789" s="14" t="s">
        <v>328</v>
      </c>
      <c r="E1789" s="14"/>
      <c r="F1789" s="14"/>
      <c r="G1789" s="14"/>
      <c r="H1789" s="14" t="s">
        <v>328</v>
      </c>
      <c r="I1789" s="14"/>
      <c r="J1789" s="14"/>
      <c r="K1789" s="14"/>
      <c r="L1789" s="134" t="s">
        <v>328</v>
      </c>
      <c r="M1789" s="249"/>
      <c r="N1789" s="249"/>
    </row>
    <row r="1790" spans="2:14" x14ac:dyDescent="0.25">
      <c r="B1790" s="14"/>
      <c r="C1790" s="14"/>
      <c r="D1790" s="14" t="s">
        <v>328</v>
      </c>
      <c r="E1790" s="14"/>
      <c r="F1790" s="14"/>
      <c r="G1790" s="14"/>
      <c r="H1790" s="14" t="s">
        <v>328</v>
      </c>
      <c r="I1790" s="14"/>
      <c r="J1790" s="14"/>
      <c r="K1790" s="14"/>
      <c r="L1790" s="134" t="s">
        <v>328</v>
      </c>
      <c r="M1790" s="249"/>
      <c r="N1790" s="249"/>
    </row>
    <row r="1791" spans="2:14" x14ac:dyDescent="0.25">
      <c r="B1791" s="14"/>
      <c r="C1791" s="14"/>
      <c r="D1791" s="14" t="s">
        <v>328</v>
      </c>
      <c r="E1791" s="14"/>
      <c r="F1791" s="14"/>
      <c r="G1791" s="14"/>
      <c r="H1791" s="14" t="s">
        <v>328</v>
      </c>
      <c r="I1791" s="14"/>
      <c r="J1791" s="14"/>
      <c r="K1791" s="14"/>
      <c r="L1791" s="134" t="s">
        <v>328</v>
      </c>
      <c r="M1791" s="249"/>
      <c r="N1791" s="249"/>
    </row>
    <row r="1792" spans="2:14" x14ac:dyDescent="0.25">
      <c r="B1792" s="14"/>
      <c r="C1792" s="14"/>
      <c r="D1792" s="14" t="s">
        <v>328</v>
      </c>
      <c r="E1792" s="14"/>
      <c r="F1792" s="14"/>
      <c r="G1792" s="14"/>
      <c r="H1792" s="14" t="s">
        <v>328</v>
      </c>
      <c r="I1792" s="14" t="s">
        <v>328</v>
      </c>
      <c r="J1792" s="14"/>
      <c r="K1792" s="14"/>
      <c r="L1792" s="134"/>
      <c r="M1792" s="249"/>
      <c r="N1792" s="249"/>
    </row>
    <row r="1793" spans="2:14" x14ac:dyDescent="0.25">
      <c r="B1793" s="14"/>
      <c r="C1793" s="14"/>
      <c r="D1793" s="14" t="s">
        <v>328</v>
      </c>
      <c r="E1793" s="14"/>
      <c r="F1793" s="14"/>
      <c r="G1793" s="14"/>
      <c r="H1793" s="14" t="s">
        <v>328</v>
      </c>
      <c r="I1793" s="14" t="s">
        <v>328</v>
      </c>
      <c r="J1793" s="14"/>
      <c r="K1793" s="14"/>
      <c r="L1793" s="134"/>
      <c r="M1793" s="249"/>
      <c r="N1793" s="249"/>
    </row>
    <row r="1794" spans="2:14" x14ac:dyDescent="0.25">
      <c r="B1794" s="14"/>
      <c r="C1794" s="14"/>
      <c r="D1794" s="14" t="s">
        <v>328</v>
      </c>
      <c r="E1794" s="14"/>
      <c r="F1794" s="14"/>
      <c r="G1794" s="14"/>
      <c r="H1794" s="14" t="s">
        <v>328</v>
      </c>
      <c r="I1794" s="14"/>
      <c r="J1794" s="14" t="s">
        <v>328</v>
      </c>
      <c r="K1794" s="14"/>
      <c r="L1794" s="134"/>
      <c r="M1794" s="249"/>
      <c r="N1794" s="249"/>
    </row>
    <row r="1795" spans="2:14" x14ac:dyDescent="0.25">
      <c r="B1795" s="14"/>
      <c r="C1795" s="14"/>
      <c r="D1795" s="14" t="s">
        <v>328</v>
      </c>
      <c r="E1795" s="14"/>
      <c r="F1795" s="14"/>
      <c r="G1795" s="14"/>
      <c r="H1795" s="14" t="s">
        <v>328</v>
      </c>
      <c r="I1795" s="14" t="s">
        <v>328</v>
      </c>
      <c r="J1795" s="14"/>
      <c r="K1795" s="14"/>
      <c r="L1795" s="134"/>
      <c r="M1795" s="249"/>
      <c r="N1795" s="249"/>
    </row>
    <row r="1796" spans="2:14" x14ac:dyDescent="0.25">
      <c r="B1796" s="14"/>
      <c r="C1796" s="14"/>
      <c r="D1796" s="14" t="s">
        <v>328</v>
      </c>
      <c r="E1796" s="14"/>
      <c r="F1796" s="14"/>
      <c r="G1796" s="14"/>
      <c r="H1796" s="14" t="s">
        <v>328</v>
      </c>
      <c r="I1796" s="14"/>
      <c r="J1796" s="14"/>
      <c r="K1796" s="14"/>
      <c r="L1796" s="134" t="s">
        <v>328</v>
      </c>
      <c r="M1796" s="249"/>
      <c r="N1796" s="249"/>
    </row>
    <row r="1797" spans="2:14" x14ac:dyDescent="0.25">
      <c r="B1797" s="14"/>
      <c r="C1797" s="14"/>
      <c r="D1797" s="14" t="s">
        <v>328</v>
      </c>
      <c r="E1797" s="14"/>
      <c r="F1797" s="14"/>
      <c r="G1797" s="14"/>
      <c r="H1797" s="14" t="s">
        <v>328</v>
      </c>
      <c r="I1797" s="14" t="s">
        <v>328</v>
      </c>
      <c r="J1797" s="14"/>
      <c r="K1797" s="14"/>
      <c r="L1797" s="134"/>
      <c r="M1797" s="249"/>
      <c r="N1797" s="249"/>
    </row>
    <row r="1798" spans="2:14" x14ac:dyDescent="0.25">
      <c r="B1798" s="14"/>
      <c r="C1798" s="14"/>
      <c r="D1798" s="14" t="s">
        <v>328</v>
      </c>
      <c r="E1798" s="14"/>
      <c r="F1798" s="14"/>
      <c r="G1798" s="14"/>
      <c r="H1798" s="14" t="s">
        <v>328</v>
      </c>
      <c r="I1798" s="14"/>
      <c r="J1798" s="14"/>
      <c r="K1798" s="14"/>
      <c r="L1798" s="134" t="s">
        <v>328</v>
      </c>
      <c r="M1798" s="249"/>
      <c r="N1798" s="249"/>
    </row>
    <row r="1799" spans="2:14" x14ac:dyDescent="0.25">
      <c r="B1799" s="14"/>
      <c r="C1799" s="14"/>
      <c r="D1799" s="14" t="s">
        <v>328</v>
      </c>
      <c r="E1799" s="14"/>
      <c r="F1799" s="14"/>
      <c r="G1799" s="14"/>
      <c r="H1799" s="14" t="s">
        <v>328</v>
      </c>
      <c r="I1799" s="14"/>
      <c r="J1799" s="14"/>
      <c r="K1799" s="14" t="s">
        <v>328</v>
      </c>
      <c r="L1799" s="134"/>
      <c r="M1799" s="249"/>
      <c r="N1799" s="249"/>
    </row>
    <row r="1800" spans="2:14" x14ac:dyDescent="0.25">
      <c r="B1800" s="14"/>
      <c r="C1800" s="14"/>
      <c r="D1800" s="14" t="s">
        <v>328</v>
      </c>
      <c r="E1800" s="14"/>
      <c r="F1800" s="14"/>
      <c r="G1800" s="14"/>
      <c r="H1800" s="14" t="s">
        <v>328</v>
      </c>
      <c r="I1800" s="14"/>
      <c r="J1800" s="14"/>
      <c r="K1800" s="14"/>
      <c r="L1800" s="134" t="s">
        <v>328</v>
      </c>
      <c r="M1800" s="249"/>
      <c r="N1800" s="249"/>
    </row>
    <row r="1801" spans="2:14" x14ac:dyDescent="0.25">
      <c r="B1801" s="14"/>
      <c r="C1801" s="14"/>
      <c r="D1801" s="14" t="s">
        <v>328</v>
      </c>
      <c r="E1801" s="14"/>
      <c r="F1801" s="14"/>
      <c r="G1801" s="14"/>
      <c r="H1801" s="14" t="s">
        <v>328</v>
      </c>
      <c r="I1801" s="14"/>
      <c r="J1801" s="14"/>
      <c r="K1801" s="14" t="s">
        <v>328</v>
      </c>
      <c r="L1801" s="134"/>
      <c r="M1801" s="249"/>
      <c r="N1801" s="249"/>
    </row>
    <row r="1802" spans="2:14" x14ac:dyDescent="0.25">
      <c r="B1802" s="14"/>
      <c r="C1802" s="14"/>
      <c r="D1802" s="14" t="s">
        <v>328</v>
      </c>
      <c r="E1802" s="14"/>
      <c r="F1802" s="14"/>
      <c r="G1802" s="14"/>
      <c r="H1802" s="14" t="s">
        <v>328</v>
      </c>
      <c r="I1802" s="14"/>
      <c r="J1802" s="14" t="s">
        <v>328</v>
      </c>
      <c r="K1802" s="14"/>
      <c r="L1802" s="134"/>
      <c r="M1802" s="249"/>
      <c r="N1802" s="249"/>
    </row>
    <row r="1803" spans="2:14" x14ac:dyDescent="0.25">
      <c r="B1803" s="14"/>
      <c r="C1803" s="14"/>
      <c r="D1803" s="14" t="s">
        <v>328</v>
      </c>
      <c r="E1803" s="14"/>
      <c r="F1803" s="14"/>
      <c r="G1803" s="14"/>
      <c r="H1803" s="14" t="s">
        <v>328</v>
      </c>
      <c r="I1803" s="14" t="s">
        <v>328</v>
      </c>
      <c r="J1803" s="14"/>
      <c r="K1803" s="14"/>
      <c r="L1803" s="134"/>
      <c r="M1803" s="249"/>
      <c r="N1803" s="249"/>
    </row>
    <row r="1804" spans="2:14" x14ac:dyDescent="0.25">
      <c r="B1804" s="14"/>
      <c r="C1804" s="14"/>
      <c r="D1804" s="14" t="s">
        <v>328</v>
      </c>
      <c r="E1804" s="14"/>
      <c r="F1804" s="14"/>
      <c r="G1804" s="14"/>
      <c r="H1804" s="14" t="s">
        <v>328</v>
      </c>
      <c r="I1804" s="14" t="s">
        <v>328</v>
      </c>
      <c r="J1804" s="14"/>
      <c r="K1804" s="14"/>
      <c r="L1804" s="134"/>
      <c r="M1804" s="249"/>
      <c r="N1804" s="249"/>
    </row>
    <row r="1805" spans="2:14" x14ac:dyDescent="0.25">
      <c r="B1805" s="14"/>
      <c r="C1805" s="14"/>
      <c r="D1805" s="14" t="s">
        <v>328</v>
      </c>
      <c r="E1805" s="14"/>
      <c r="F1805" s="14"/>
      <c r="G1805" s="14"/>
      <c r="H1805" s="14" t="s">
        <v>328</v>
      </c>
      <c r="I1805" s="14"/>
      <c r="J1805" s="14"/>
      <c r="K1805" s="14"/>
      <c r="L1805" s="134" t="s">
        <v>328</v>
      </c>
      <c r="M1805" s="249"/>
      <c r="N1805" s="249"/>
    </row>
    <row r="1806" spans="2:14" x14ac:dyDescent="0.25">
      <c r="B1806" s="14"/>
      <c r="C1806" s="14"/>
      <c r="D1806" s="14" t="s">
        <v>328</v>
      </c>
      <c r="E1806" s="14"/>
      <c r="F1806" s="14"/>
      <c r="G1806" s="14"/>
      <c r="H1806" s="14" t="s">
        <v>328</v>
      </c>
      <c r="I1806" s="14"/>
      <c r="J1806" s="14"/>
      <c r="K1806" s="14" t="s">
        <v>328</v>
      </c>
      <c r="L1806" s="134"/>
      <c r="M1806" s="249"/>
      <c r="N1806" s="249"/>
    </row>
    <row r="1807" spans="2:14" x14ac:dyDescent="0.25">
      <c r="B1807" s="14"/>
      <c r="C1807" s="14"/>
      <c r="D1807" s="14" t="s">
        <v>328</v>
      </c>
      <c r="E1807" s="14"/>
      <c r="F1807" s="14"/>
      <c r="G1807" s="14"/>
      <c r="H1807" s="14" t="s">
        <v>328</v>
      </c>
      <c r="I1807" s="14"/>
      <c r="J1807" s="14"/>
      <c r="K1807" s="14" t="s">
        <v>328</v>
      </c>
      <c r="L1807" s="134"/>
      <c r="M1807" s="249"/>
      <c r="N1807" s="249"/>
    </row>
    <row r="1808" spans="2:14" x14ac:dyDescent="0.25">
      <c r="B1808" s="14"/>
      <c r="C1808" s="14"/>
      <c r="D1808" s="14" t="s">
        <v>328</v>
      </c>
      <c r="E1808" s="14"/>
      <c r="F1808" s="14"/>
      <c r="G1808" s="14"/>
      <c r="H1808" s="14" t="s">
        <v>328</v>
      </c>
      <c r="I1808" s="14"/>
      <c r="J1808" s="14"/>
      <c r="K1808" s="14"/>
      <c r="L1808" s="134" t="s">
        <v>328</v>
      </c>
      <c r="M1808" s="249"/>
      <c r="N1808" s="249"/>
    </row>
    <row r="1809" spans="2:14" x14ac:dyDescent="0.25">
      <c r="B1809" s="14"/>
      <c r="C1809" s="14"/>
      <c r="D1809" s="14" t="s">
        <v>328</v>
      </c>
      <c r="E1809" s="14" t="s">
        <v>328</v>
      </c>
      <c r="F1809" s="14"/>
      <c r="G1809" s="14"/>
      <c r="H1809" s="14"/>
      <c r="I1809" s="14"/>
      <c r="J1809" s="14"/>
      <c r="K1809" s="14" t="s">
        <v>328</v>
      </c>
      <c r="L1809" s="134"/>
      <c r="M1809" s="249"/>
      <c r="N1809" s="249"/>
    </row>
    <row r="1810" spans="2:14" x14ac:dyDescent="0.25">
      <c r="B1810" s="14"/>
      <c r="C1810" s="14"/>
      <c r="D1810" s="14" t="s">
        <v>328</v>
      </c>
      <c r="E1810" s="14"/>
      <c r="F1810" s="14"/>
      <c r="G1810" s="14"/>
      <c r="H1810" s="14" t="s">
        <v>328</v>
      </c>
      <c r="I1810" s="14"/>
      <c r="J1810" s="14"/>
      <c r="K1810" s="14" t="s">
        <v>328</v>
      </c>
      <c r="L1810" s="134"/>
      <c r="M1810" s="249"/>
      <c r="N1810" s="249"/>
    </row>
    <row r="1811" spans="2:14" x14ac:dyDescent="0.25">
      <c r="B1811" s="14"/>
      <c r="C1811" s="14"/>
      <c r="D1811" s="14" t="s">
        <v>328</v>
      </c>
      <c r="E1811" s="14"/>
      <c r="F1811" s="14"/>
      <c r="G1811" s="14"/>
      <c r="H1811" s="14" t="s">
        <v>328</v>
      </c>
      <c r="I1811" s="14" t="s">
        <v>328</v>
      </c>
      <c r="J1811" s="14"/>
      <c r="K1811" s="14"/>
      <c r="L1811" s="134"/>
      <c r="M1811" s="249"/>
      <c r="N1811" s="249"/>
    </row>
    <row r="1812" spans="2:14" x14ac:dyDescent="0.25">
      <c r="B1812" s="14"/>
      <c r="C1812" s="14"/>
      <c r="D1812" s="14" t="s">
        <v>328</v>
      </c>
      <c r="E1812" s="14"/>
      <c r="F1812" s="14" t="s">
        <v>328</v>
      </c>
      <c r="G1812" s="14"/>
      <c r="H1812" s="14"/>
      <c r="I1812" s="14" t="s">
        <v>328</v>
      </c>
      <c r="J1812" s="14"/>
      <c r="K1812" s="14"/>
      <c r="L1812" s="134"/>
      <c r="M1812" s="249"/>
      <c r="N1812" s="249"/>
    </row>
    <row r="1813" spans="2:14" x14ac:dyDescent="0.25">
      <c r="B1813" s="14"/>
      <c r="C1813" s="14"/>
      <c r="D1813" s="14" t="s">
        <v>328</v>
      </c>
      <c r="E1813" s="14"/>
      <c r="F1813" s="14"/>
      <c r="G1813" s="14"/>
      <c r="H1813" s="14" t="s">
        <v>328</v>
      </c>
      <c r="I1813" s="14"/>
      <c r="J1813" s="14"/>
      <c r="K1813" s="14"/>
      <c r="L1813" s="134" t="s">
        <v>328</v>
      </c>
      <c r="M1813" s="249"/>
      <c r="N1813" s="249"/>
    </row>
    <row r="1814" spans="2:14" x14ac:dyDescent="0.25">
      <c r="B1814" s="14"/>
      <c r="C1814" s="14"/>
      <c r="D1814" s="14" t="s">
        <v>328</v>
      </c>
      <c r="E1814" s="14" t="s">
        <v>328</v>
      </c>
      <c r="F1814" s="14"/>
      <c r="G1814" s="14"/>
      <c r="H1814" s="14"/>
      <c r="I1814" s="14"/>
      <c r="J1814" s="14" t="s">
        <v>328</v>
      </c>
      <c r="K1814" s="14"/>
      <c r="L1814" s="134"/>
      <c r="M1814" s="249"/>
      <c r="N1814" s="249"/>
    </row>
    <row r="1815" spans="2:14" x14ac:dyDescent="0.25">
      <c r="B1815" s="14"/>
      <c r="C1815" s="14"/>
      <c r="D1815" s="14" t="s">
        <v>328</v>
      </c>
      <c r="E1815" s="14"/>
      <c r="F1815" s="14" t="s">
        <v>328</v>
      </c>
      <c r="G1815" s="14"/>
      <c r="H1815" s="14"/>
      <c r="I1815" s="14" t="s">
        <v>328</v>
      </c>
      <c r="J1815" s="14"/>
      <c r="K1815" s="14"/>
      <c r="L1815" s="134"/>
      <c r="M1815" s="249"/>
      <c r="N1815" s="249"/>
    </row>
    <row r="1816" spans="2:14" x14ac:dyDescent="0.25">
      <c r="B1816" s="14"/>
      <c r="C1816" s="14"/>
      <c r="D1816" s="14" t="s">
        <v>328</v>
      </c>
      <c r="E1816" s="14"/>
      <c r="F1816" s="14"/>
      <c r="G1816" s="14"/>
      <c r="H1816" s="14" t="s">
        <v>328</v>
      </c>
      <c r="I1816" s="14" t="s">
        <v>328</v>
      </c>
      <c r="J1816" s="14"/>
      <c r="K1816" s="14"/>
      <c r="L1816" s="134"/>
      <c r="M1816" s="249"/>
      <c r="N1816" s="249"/>
    </row>
    <row r="1817" spans="2:14" x14ac:dyDescent="0.25">
      <c r="B1817" s="14"/>
      <c r="C1817" s="14"/>
      <c r="D1817" s="14" t="s">
        <v>328</v>
      </c>
      <c r="E1817" s="14"/>
      <c r="F1817" s="14"/>
      <c r="G1817" s="14"/>
      <c r="H1817" s="14" t="s">
        <v>328</v>
      </c>
      <c r="I1817" s="14" t="s">
        <v>328</v>
      </c>
      <c r="J1817" s="14"/>
      <c r="K1817" s="14"/>
      <c r="L1817" s="134"/>
      <c r="M1817" s="249"/>
      <c r="N1817" s="249"/>
    </row>
    <row r="1818" spans="2:14" x14ac:dyDescent="0.25">
      <c r="B1818" s="14"/>
      <c r="C1818" s="14"/>
      <c r="D1818" s="14" t="s">
        <v>328</v>
      </c>
      <c r="E1818" s="14"/>
      <c r="F1818" s="14"/>
      <c r="G1818" s="14"/>
      <c r="H1818" s="14" t="s">
        <v>328</v>
      </c>
      <c r="I1818" s="14" t="s">
        <v>328</v>
      </c>
      <c r="J1818" s="14"/>
      <c r="K1818" s="14"/>
      <c r="L1818" s="134"/>
      <c r="M1818" s="249"/>
      <c r="N1818" s="249"/>
    </row>
    <row r="1819" spans="2:14" x14ac:dyDescent="0.25">
      <c r="B1819" s="14"/>
      <c r="C1819" s="14"/>
      <c r="D1819" s="14" t="s">
        <v>328</v>
      </c>
      <c r="E1819" s="14"/>
      <c r="F1819" s="14"/>
      <c r="G1819" s="14"/>
      <c r="H1819" s="14" t="s">
        <v>328</v>
      </c>
      <c r="I1819" s="14"/>
      <c r="J1819" s="14"/>
      <c r="K1819" s="14" t="s">
        <v>328</v>
      </c>
      <c r="L1819" s="134"/>
      <c r="M1819" s="249"/>
      <c r="N1819" s="249"/>
    </row>
    <row r="1820" spans="2:14" x14ac:dyDescent="0.25">
      <c r="B1820" s="14"/>
      <c r="C1820" s="14"/>
      <c r="D1820" s="14" t="s">
        <v>328</v>
      </c>
      <c r="E1820" s="14"/>
      <c r="F1820" s="14"/>
      <c r="G1820" s="14"/>
      <c r="H1820" s="14" t="s">
        <v>328</v>
      </c>
      <c r="I1820" s="14"/>
      <c r="J1820" s="14"/>
      <c r="K1820" s="14"/>
      <c r="L1820" s="134" t="s">
        <v>328</v>
      </c>
      <c r="M1820" s="249"/>
      <c r="N1820" s="249"/>
    </row>
    <row r="1821" spans="2:14" x14ac:dyDescent="0.25">
      <c r="B1821" s="14"/>
      <c r="C1821" s="14"/>
      <c r="D1821" s="14" t="s">
        <v>328</v>
      </c>
      <c r="E1821" s="14"/>
      <c r="F1821" s="14"/>
      <c r="G1821" s="14"/>
      <c r="H1821" s="14" t="s">
        <v>328</v>
      </c>
      <c r="I1821" s="14" t="s">
        <v>328</v>
      </c>
      <c r="J1821" s="14"/>
      <c r="K1821" s="14"/>
      <c r="L1821" s="134"/>
      <c r="M1821" s="249"/>
      <c r="N1821" s="249"/>
    </row>
    <row r="1822" spans="2:14" x14ac:dyDescent="0.25">
      <c r="B1822" s="14"/>
      <c r="C1822" s="14"/>
      <c r="D1822" s="14" t="s">
        <v>328</v>
      </c>
      <c r="E1822" s="14"/>
      <c r="F1822" s="14" t="s">
        <v>328</v>
      </c>
      <c r="G1822" s="14"/>
      <c r="H1822" s="14"/>
      <c r="I1822" s="14" t="s">
        <v>328</v>
      </c>
      <c r="J1822" s="14"/>
      <c r="K1822" s="14"/>
      <c r="L1822" s="134"/>
      <c r="M1822" s="249"/>
      <c r="N1822" s="249"/>
    </row>
    <row r="1823" spans="2:14" x14ac:dyDescent="0.25">
      <c r="B1823" s="14"/>
      <c r="C1823" s="14"/>
      <c r="D1823" s="14" t="s">
        <v>328</v>
      </c>
      <c r="E1823" s="14"/>
      <c r="F1823" s="14" t="s">
        <v>328</v>
      </c>
      <c r="G1823" s="14"/>
      <c r="H1823" s="14"/>
      <c r="I1823" s="14"/>
      <c r="J1823" s="14"/>
      <c r="K1823" s="14" t="s">
        <v>328</v>
      </c>
      <c r="L1823" s="134"/>
      <c r="M1823" s="249"/>
      <c r="N1823" s="249"/>
    </row>
    <row r="1824" spans="2:14" x14ac:dyDescent="0.25">
      <c r="B1824" s="14"/>
      <c r="C1824" s="14"/>
      <c r="D1824" s="14" t="s">
        <v>328</v>
      </c>
      <c r="E1824" s="14"/>
      <c r="F1824" s="14"/>
      <c r="G1824" s="14"/>
      <c r="H1824" s="14" t="s">
        <v>328</v>
      </c>
      <c r="I1824" s="14"/>
      <c r="J1824" s="14"/>
      <c r="K1824" s="14"/>
      <c r="L1824" s="134" t="s">
        <v>328</v>
      </c>
      <c r="M1824" s="249"/>
      <c r="N1824" s="249"/>
    </row>
    <row r="1825" spans="2:14" x14ac:dyDescent="0.25">
      <c r="B1825" s="14"/>
      <c r="C1825" s="14"/>
      <c r="D1825" s="14" t="s">
        <v>328</v>
      </c>
      <c r="E1825" s="14"/>
      <c r="F1825" s="14"/>
      <c r="G1825" s="14"/>
      <c r="H1825" s="14" t="s">
        <v>328</v>
      </c>
      <c r="I1825" s="14"/>
      <c r="J1825" s="14"/>
      <c r="K1825" s="14" t="s">
        <v>328</v>
      </c>
      <c r="L1825" s="134"/>
      <c r="M1825" s="249"/>
      <c r="N1825" s="249"/>
    </row>
    <row r="1826" spans="2:14" x14ac:dyDescent="0.25">
      <c r="B1826" s="14"/>
      <c r="C1826" s="14"/>
      <c r="D1826" s="14" t="s">
        <v>328</v>
      </c>
      <c r="E1826" s="14"/>
      <c r="F1826" s="14"/>
      <c r="G1826" s="14"/>
      <c r="H1826" s="14" t="s">
        <v>328</v>
      </c>
      <c r="I1826" s="14"/>
      <c r="J1826" s="14"/>
      <c r="K1826" s="14"/>
      <c r="L1826" s="134" t="s">
        <v>328</v>
      </c>
      <c r="M1826" s="249"/>
      <c r="N1826" s="249"/>
    </row>
    <row r="1827" spans="2:14" x14ac:dyDescent="0.25">
      <c r="B1827" s="14"/>
      <c r="C1827" s="14"/>
      <c r="D1827" s="14" t="s">
        <v>328</v>
      </c>
      <c r="E1827" s="14"/>
      <c r="F1827" s="14"/>
      <c r="G1827" s="14"/>
      <c r="H1827" s="14" t="s">
        <v>328</v>
      </c>
      <c r="I1827" s="14"/>
      <c r="J1827" s="14" t="s">
        <v>328</v>
      </c>
      <c r="K1827" s="14"/>
      <c r="L1827" s="134"/>
      <c r="M1827" s="249"/>
      <c r="N1827" s="249"/>
    </row>
    <row r="1828" spans="2:14" x14ac:dyDescent="0.25">
      <c r="B1828" s="14"/>
      <c r="C1828" s="14"/>
      <c r="D1828" s="14" t="s">
        <v>328</v>
      </c>
      <c r="E1828" s="14"/>
      <c r="F1828" s="14" t="s">
        <v>328</v>
      </c>
      <c r="G1828" s="14"/>
      <c r="H1828" s="14"/>
      <c r="I1828" s="14" t="s">
        <v>328</v>
      </c>
      <c r="J1828" s="14"/>
      <c r="K1828" s="14"/>
      <c r="L1828" s="134"/>
      <c r="M1828" s="249"/>
      <c r="N1828" s="249"/>
    </row>
    <row r="1829" spans="2:14" x14ac:dyDescent="0.25">
      <c r="B1829" s="14"/>
      <c r="C1829" s="14"/>
      <c r="D1829" s="14" t="s">
        <v>328</v>
      </c>
      <c r="E1829" s="14"/>
      <c r="F1829" s="14" t="s">
        <v>328</v>
      </c>
      <c r="G1829" s="14"/>
      <c r="H1829" s="14"/>
      <c r="I1829" s="14" t="s">
        <v>328</v>
      </c>
      <c r="J1829" s="14"/>
      <c r="K1829" s="14"/>
      <c r="L1829" s="134"/>
      <c r="M1829" s="249"/>
      <c r="N1829" s="249"/>
    </row>
    <row r="1830" spans="2:14" x14ac:dyDescent="0.25">
      <c r="B1830" s="14"/>
      <c r="C1830" s="14"/>
      <c r="D1830" s="14" t="s">
        <v>328</v>
      </c>
      <c r="E1830" s="14"/>
      <c r="F1830" s="14"/>
      <c r="G1830" s="14"/>
      <c r="H1830" s="14" t="s">
        <v>328</v>
      </c>
      <c r="I1830" s="14"/>
      <c r="J1830" s="14"/>
      <c r="K1830" s="14" t="s">
        <v>328</v>
      </c>
      <c r="L1830" s="134"/>
      <c r="M1830" s="249"/>
      <c r="N1830" s="249"/>
    </row>
    <row r="1831" spans="2:14" x14ac:dyDescent="0.25">
      <c r="B1831" s="14"/>
      <c r="C1831" s="14"/>
      <c r="D1831" s="14" t="s">
        <v>328</v>
      </c>
      <c r="E1831" s="14"/>
      <c r="F1831" s="14"/>
      <c r="G1831" s="14"/>
      <c r="H1831" s="14" t="s">
        <v>328</v>
      </c>
      <c r="I1831" s="14"/>
      <c r="J1831" s="14"/>
      <c r="K1831" s="14"/>
      <c r="L1831" s="134" t="s">
        <v>328</v>
      </c>
      <c r="M1831" s="249"/>
      <c r="N1831" s="249"/>
    </row>
    <row r="1832" spans="2:14" x14ac:dyDescent="0.25">
      <c r="B1832" s="14"/>
      <c r="C1832" s="14"/>
      <c r="D1832" s="14" t="s">
        <v>328</v>
      </c>
      <c r="E1832" s="14"/>
      <c r="F1832" s="14"/>
      <c r="G1832" s="14"/>
      <c r="H1832" s="14" t="s">
        <v>328</v>
      </c>
      <c r="I1832" s="14" t="s">
        <v>328</v>
      </c>
      <c r="J1832" s="14"/>
      <c r="K1832" s="14"/>
      <c r="L1832" s="134"/>
      <c r="M1832" s="249"/>
      <c r="N1832" s="249"/>
    </row>
    <row r="1833" spans="2:14" x14ac:dyDescent="0.25">
      <c r="B1833" s="14"/>
      <c r="C1833" s="14"/>
      <c r="D1833" s="14" t="s">
        <v>328</v>
      </c>
      <c r="E1833" s="14"/>
      <c r="F1833" s="14"/>
      <c r="G1833" s="14"/>
      <c r="H1833" s="14" t="s">
        <v>328</v>
      </c>
      <c r="I1833" s="14" t="s">
        <v>328</v>
      </c>
      <c r="J1833" s="14"/>
      <c r="K1833" s="14"/>
      <c r="L1833" s="134"/>
      <c r="M1833" s="249"/>
      <c r="N1833" s="249"/>
    </row>
    <row r="1834" spans="2:14" x14ac:dyDescent="0.25">
      <c r="B1834" s="14"/>
      <c r="C1834" s="14"/>
      <c r="D1834" s="14" t="s">
        <v>328</v>
      </c>
      <c r="E1834" s="14"/>
      <c r="F1834" s="14"/>
      <c r="G1834" s="14"/>
      <c r="H1834" s="14" t="s">
        <v>328</v>
      </c>
      <c r="I1834" s="14"/>
      <c r="J1834" s="14"/>
      <c r="K1834" s="14"/>
      <c r="L1834" s="134" t="s">
        <v>328</v>
      </c>
      <c r="M1834" s="249"/>
      <c r="N1834" s="249"/>
    </row>
    <row r="1835" spans="2:14" x14ac:dyDescent="0.25">
      <c r="B1835" s="14"/>
      <c r="C1835" s="14"/>
      <c r="D1835" s="14" t="s">
        <v>328</v>
      </c>
      <c r="E1835" s="14"/>
      <c r="F1835" s="14"/>
      <c r="G1835" s="14"/>
      <c r="H1835" s="14" t="s">
        <v>328</v>
      </c>
      <c r="I1835" s="14"/>
      <c r="J1835" s="14" t="s">
        <v>328</v>
      </c>
      <c r="K1835" s="14"/>
      <c r="L1835" s="134"/>
      <c r="M1835" s="249"/>
      <c r="N1835" s="249"/>
    </row>
    <row r="1836" spans="2:14" x14ac:dyDescent="0.25">
      <c r="B1836" s="14"/>
      <c r="C1836" s="14"/>
      <c r="D1836" s="14" t="s">
        <v>328</v>
      </c>
      <c r="E1836" s="14"/>
      <c r="F1836" s="14"/>
      <c r="G1836" s="14"/>
      <c r="H1836" s="14" t="s">
        <v>328</v>
      </c>
      <c r="I1836" s="14" t="s">
        <v>328</v>
      </c>
      <c r="J1836" s="14"/>
      <c r="K1836" s="14"/>
      <c r="L1836" s="134"/>
      <c r="M1836" s="249"/>
      <c r="N1836" s="249"/>
    </row>
    <row r="1837" spans="2:14" x14ac:dyDescent="0.25">
      <c r="B1837" s="14"/>
      <c r="C1837" s="14"/>
      <c r="D1837" s="14" t="s">
        <v>328</v>
      </c>
      <c r="E1837" s="14"/>
      <c r="F1837" s="14" t="s">
        <v>328</v>
      </c>
      <c r="G1837" s="14"/>
      <c r="H1837" s="14"/>
      <c r="I1837" s="14"/>
      <c r="J1837" s="14" t="s">
        <v>328</v>
      </c>
      <c r="K1837" s="14"/>
      <c r="L1837" s="134"/>
      <c r="M1837" s="249"/>
      <c r="N1837" s="249"/>
    </row>
    <row r="1838" spans="2:14" x14ac:dyDescent="0.25">
      <c r="B1838" s="14"/>
      <c r="C1838" s="14"/>
      <c r="D1838" s="14" t="s">
        <v>328</v>
      </c>
      <c r="E1838" s="14"/>
      <c r="F1838" s="14"/>
      <c r="G1838" s="14"/>
      <c r="H1838" s="14" t="s">
        <v>328</v>
      </c>
      <c r="I1838" s="14"/>
      <c r="J1838" s="14"/>
      <c r="K1838" s="14" t="s">
        <v>328</v>
      </c>
      <c r="L1838" s="134"/>
      <c r="M1838" s="249"/>
      <c r="N1838" s="249"/>
    </row>
    <row r="1839" spans="2:14" x14ac:dyDescent="0.25">
      <c r="B1839" s="14"/>
      <c r="C1839" s="14"/>
      <c r="D1839" s="14" t="s">
        <v>328</v>
      </c>
      <c r="E1839" s="14"/>
      <c r="F1839" s="14"/>
      <c r="G1839" s="14"/>
      <c r="H1839" s="14" t="s">
        <v>328</v>
      </c>
      <c r="I1839" s="14"/>
      <c r="J1839" s="14" t="s">
        <v>328</v>
      </c>
      <c r="K1839" s="14"/>
      <c r="L1839" s="134"/>
      <c r="M1839" s="249"/>
      <c r="N1839" s="249"/>
    </row>
    <row r="1840" spans="2:14" x14ac:dyDescent="0.25">
      <c r="B1840" s="14"/>
      <c r="C1840" s="14"/>
      <c r="D1840" s="14" t="s">
        <v>328</v>
      </c>
      <c r="E1840" s="14"/>
      <c r="F1840" s="14"/>
      <c r="G1840" s="14"/>
      <c r="H1840" s="14" t="s">
        <v>328</v>
      </c>
      <c r="I1840" s="14"/>
      <c r="J1840" s="14"/>
      <c r="K1840" s="14" t="s">
        <v>328</v>
      </c>
      <c r="L1840" s="134"/>
      <c r="M1840" s="249"/>
      <c r="N1840" s="249"/>
    </row>
    <row r="1841" spans="2:14" x14ac:dyDescent="0.25">
      <c r="B1841" s="14"/>
      <c r="C1841" s="14"/>
      <c r="D1841" s="14" t="s">
        <v>328</v>
      </c>
      <c r="E1841" s="14"/>
      <c r="F1841" s="14"/>
      <c r="G1841" s="14"/>
      <c r="H1841" s="14" t="s">
        <v>328</v>
      </c>
      <c r="I1841" s="14"/>
      <c r="J1841" s="14"/>
      <c r="K1841" s="14"/>
      <c r="L1841" s="134" t="s">
        <v>328</v>
      </c>
      <c r="M1841" s="249"/>
      <c r="N1841" s="249"/>
    </row>
    <row r="1842" spans="2:14" x14ac:dyDescent="0.25">
      <c r="B1842" s="14"/>
      <c r="C1842" s="14"/>
      <c r="D1842" s="14" t="s">
        <v>328</v>
      </c>
      <c r="E1842" s="14"/>
      <c r="F1842" s="14"/>
      <c r="G1842" s="14"/>
      <c r="H1842" s="14" t="s">
        <v>328</v>
      </c>
      <c r="I1842" s="14"/>
      <c r="J1842" s="14"/>
      <c r="K1842" s="14" t="s">
        <v>328</v>
      </c>
      <c r="L1842" s="134"/>
      <c r="M1842" s="249"/>
      <c r="N1842" s="249"/>
    </row>
    <row r="1843" spans="2:14" x14ac:dyDescent="0.25">
      <c r="B1843" s="14"/>
      <c r="C1843" s="14"/>
      <c r="D1843" s="14" t="s">
        <v>328</v>
      </c>
      <c r="E1843" s="14"/>
      <c r="F1843" s="14"/>
      <c r="G1843" s="14"/>
      <c r="H1843" s="14" t="s">
        <v>328</v>
      </c>
      <c r="I1843" s="14"/>
      <c r="J1843" s="14"/>
      <c r="K1843" s="14" t="s">
        <v>328</v>
      </c>
      <c r="L1843" s="134"/>
      <c r="M1843" s="249"/>
      <c r="N1843" s="249"/>
    </row>
    <row r="1844" spans="2:14" x14ac:dyDescent="0.25">
      <c r="B1844" s="14"/>
      <c r="C1844" s="14"/>
      <c r="D1844" s="14" t="s">
        <v>328</v>
      </c>
      <c r="E1844" s="14"/>
      <c r="F1844" s="14" t="s">
        <v>328</v>
      </c>
      <c r="G1844" s="14"/>
      <c r="H1844" s="14"/>
      <c r="I1844" s="14" t="s">
        <v>328</v>
      </c>
      <c r="J1844" s="14"/>
      <c r="K1844" s="14"/>
      <c r="L1844" s="134"/>
      <c r="M1844" s="249"/>
      <c r="N1844" s="249"/>
    </row>
    <row r="1845" spans="2:14" x14ac:dyDescent="0.25">
      <c r="B1845" s="14"/>
      <c r="C1845" s="14"/>
      <c r="D1845" s="14" t="s">
        <v>328</v>
      </c>
      <c r="E1845" s="14"/>
      <c r="F1845" s="14" t="s">
        <v>328</v>
      </c>
      <c r="G1845" s="14"/>
      <c r="H1845" s="14"/>
      <c r="I1845" s="14"/>
      <c r="J1845" s="14"/>
      <c r="K1845" s="14" t="s">
        <v>328</v>
      </c>
      <c r="L1845" s="134"/>
      <c r="M1845" s="249"/>
      <c r="N1845" s="249"/>
    </row>
    <row r="1846" spans="2:14" x14ac:dyDescent="0.25">
      <c r="B1846" s="14"/>
      <c r="C1846" s="14"/>
      <c r="D1846" s="14" t="s">
        <v>328</v>
      </c>
      <c r="E1846" s="14"/>
      <c r="F1846" s="14"/>
      <c r="G1846" s="14"/>
      <c r="H1846" s="14" t="s">
        <v>328</v>
      </c>
      <c r="I1846" s="14"/>
      <c r="J1846" s="14"/>
      <c r="K1846" s="14"/>
      <c r="L1846" s="134" t="s">
        <v>328</v>
      </c>
      <c r="M1846" s="249"/>
      <c r="N1846" s="249"/>
    </row>
    <row r="1847" spans="2:14" x14ac:dyDescent="0.25">
      <c r="B1847" s="14"/>
      <c r="C1847" s="14"/>
      <c r="D1847" s="14" t="s">
        <v>328</v>
      </c>
      <c r="E1847" s="14"/>
      <c r="F1847" s="14"/>
      <c r="G1847" s="14"/>
      <c r="H1847" s="14" t="s">
        <v>328</v>
      </c>
      <c r="I1847" s="14"/>
      <c r="J1847" s="14"/>
      <c r="K1847" s="14"/>
      <c r="L1847" s="134" t="s">
        <v>328</v>
      </c>
      <c r="M1847" s="249"/>
      <c r="N1847" s="249"/>
    </row>
    <row r="1848" spans="2:14" x14ac:dyDescent="0.25">
      <c r="B1848" s="14"/>
      <c r="C1848" s="14"/>
      <c r="D1848" s="14" t="s">
        <v>328</v>
      </c>
      <c r="E1848" s="14"/>
      <c r="F1848" s="14"/>
      <c r="G1848" s="14"/>
      <c r="H1848" s="14" t="s">
        <v>328</v>
      </c>
      <c r="I1848" s="14" t="s">
        <v>328</v>
      </c>
      <c r="J1848" s="14"/>
      <c r="K1848" s="14"/>
      <c r="L1848" s="134"/>
      <c r="M1848" s="249"/>
      <c r="N1848" s="249"/>
    </row>
    <row r="1849" spans="2:14" x14ac:dyDescent="0.25">
      <c r="B1849" s="14"/>
      <c r="C1849" s="14"/>
      <c r="D1849" s="14" t="s">
        <v>328</v>
      </c>
      <c r="E1849" s="14"/>
      <c r="F1849" s="14"/>
      <c r="G1849" s="14"/>
      <c r="H1849" s="14" t="s">
        <v>328</v>
      </c>
      <c r="I1849" s="14"/>
      <c r="J1849" s="14"/>
      <c r="K1849" s="14"/>
      <c r="L1849" s="134" t="s">
        <v>328</v>
      </c>
      <c r="M1849" s="249"/>
      <c r="N1849" s="249"/>
    </row>
    <row r="1850" spans="2:14" x14ac:dyDescent="0.25">
      <c r="B1850" s="14"/>
      <c r="C1850" s="14"/>
      <c r="D1850" s="14" t="s">
        <v>328</v>
      </c>
      <c r="E1850" s="14"/>
      <c r="F1850" s="14"/>
      <c r="G1850" s="14"/>
      <c r="H1850" s="14" t="s">
        <v>328</v>
      </c>
      <c r="I1850" s="14"/>
      <c r="J1850" s="14"/>
      <c r="K1850" s="14"/>
      <c r="L1850" s="134" t="s">
        <v>328</v>
      </c>
      <c r="M1850" s="249"/>
      <c r="N1850" s="249"/>
    </row>
    <row r="1851" spans="2:14" x14ac:dyDescent="0.25">
      <c r="B1851" s="14"/>
      <c r="C1851" s="14"/>
      <c r="D1851" s="14" t="s">
        <v>328</v>
      </c>
      <c r="E1851" s="14"/>
      <c r="F1851" s="14"/>
      <c r="G1851" s="14"/>
      <c r="H1851" s="14" t="s">
        <v>328</v>
      </c>
      <c r="I1851" s="14"/>
      <c r="J1851" s="14"/>
      <c r="K1851" s="14" t="s">
        <v>328</v>
      </c>
      <c r="L1851" s="134"/>
      <c r="M1851" s="249"/>
      <c r="N1851" s="249"/>
    </row>
    <row r="1852" spans="2:14" x14ac:dyDescent="0.25">
      <c r="B1852" s="14"/>
      <c r="C1852" s="14"/>
      <c r="D1852" s="14" t="s">
        <v>328</v>
      </c>
      <c r="E1852" s="14"/>
      <c r="F1852" s="14" t="s">
        <v>328</v>
      </c>
      <c r="G1852" s="14"/>
      <c r="H1852" s="14"/>
      <c r="I1852" s="14"/>
      <c r="J1852" s="14"/>
      <c r="K1852" s="14" t="s">
        <v>328</v>
      </c>
      <c r="L1852" s="134"/>
      <c r="M1852" s="249"/>
      <c r="N1852" s="249"/>
    </row>
    <row r="1853" spans="2:14" x14ac:dyDescent="0.25">
      <c r="B1853" s="14"/>
      <c r="C1853" s="14"/>
      <c r="D1853" s="14" t="s">
        <v>328</v>
      </c>
      <c r="E1853" s="14"/>
      <c r="F1853" s="14"/>
      <c r="G1853" s="14"/>
      <c r="H1853" s="14" t="s">
        <v>328</v>
      </c>
      <c r="I1853" s="14"/>
      <c r="J1853" s="14"/>
      <c r="K1853" s="14"/>
      <c r="L1853" s="134" t="s">
        <v>328</v>
      </c>
      <c r="M1853" s="249"/>
      <c r="N1853" s="249"/>
    </row>
    <row r="1854" spans="2:14" x14ac:dyDescent="0.25">
      <c r="B1854" s="14"/>
      <c r="C1854" s="14"/>
      <c r="D1854" s="14" t="s">
        <v>328</v>
      </c>
      <c r="E1854" s="14"/>
      <c r="F1854" s="14"/>
      <c r="G1854" s="14"/>
      <c r="H1854" s="14" t="s">
        <v>328</v>
      </c>
      <c r="I1854" s="14"/>
      <c r="J1854" s="14" t="s">
        <v>328</v>
      </c>
      <c r="K1854" s="14"/>
      <c r="L1854" s="134"/>
      <c r="M1854" s="249"/>
      <c r="N1854" s="249"/>
    </row>
    <row r="1855" spans="2:14" x14ac:dyDescent="0.25">
      <c r="B1855" s="14"/>
      <c r="C1855" s="14"/>
      <c r="D1855" s="14" t="s">
        <v>328</v>
      </c>
      <c r="E1855" s="14"/>
      <c r="F1855" s="14"/>
      <c r="G1855" s="14"/>
      <c r="H1855" s="14" t="s">
        <v>328</v>
      </c>
      <c r="I1855" s="14"/>
      <c r="J1855" s="14"/>
      <c r="K1855" s="14" t="s">
        <v>328</v>
      </c>
      <c r="L1855" s="134"/>
      <c r="M1855" s="249"/>
      <c r="N1855" s="249"/>
    </row>
    <row r="1856" spans="2:14" x14ac:dyDescent="0.25">
      <c r="B1856" s="14"/>
      <c r="C1856" s="14"/>
      <c r="D1856" s="14" t="s">
        <v>328</v>
      </c>
      <c r="E1856" s="14"/>
      <c r="F1856" s="14"/>
      <c r="G1856" s="14"/>
      <c r="H1856" s="14" t="s">
        <v>328</v>
      </c>
      <c r="I1856" s="14"/>
      <c r="J1856" s="14"/>
      <c r="K1856" s="14" t="s">
        <v>328</v>
      </c>
      <c r="L1856" s="134"/>
      <c r="M1856" s="249"/>
      <c r="N1856" s="249"/>
    </row>
    <row r="1857" spans="2:14" x14ac:dyDescent="0.25">
      <c r="B1857" s="14"/>
      <c r="C1857" s="14"/>
      <c r="D1857" s="14" t="s">
        <v>328</v>
      </c>
      <c r="E1857" s="14"/>
      <c r="F1857" s="14"/>
      <c r="G1857" s="14"/>
      <c r="H1857" s="14" t="s">
        <v>328</v>
      </c>
      <c r="I1857" s="14"/>
      <c r="J1857" s="14"/>
      <c r="K1857" s="14" t="s">
        <v>328</v>
      </c>
      <c r="L1857" s="134"/>
      <c r="M1857" s="249"/>
      <c r="N1857" s="249"/>
    </row>
    <row r="1858" spans="2:14" x14ac:dyDescent="0.25">
      <c r="B1858" s="14"/>
      <c r="C1858" s="14"/>
      <c r="D1858" s="14" t="s">
        <v>328</v>
      </c>
      <c r="E1858" s="14"/>
      <c r="F1858" s="14"/>
      <c r="G1858" s="14"/>
      <c r="H1858" s="14" t="s">
        <v>328</v>
      </c>
      <c r="I1858" s="14"/>
      <c r="J1858" s="14"/>
      <c r="K1858" s="14"/>
      <c r="L1858" s="134" t="s">
        <v>328</v>
      </c>
      <c r="M1858" s="249"/>
      <c r="N1858" s="249"/>
    </row>
    <row r="1859" spans="2:14" x14ac:dyDescent="0.25">
      <c r="B1859" s="14"/>
      <c r="C1859" s="14"/>
      <c r="D1859" s="14" t="s">
        <v>328</v>
      </c>
      <c r="E1859" s="14"/>
      <c r="F1859" s="14"/>
      <c r="G1859" s="14"/>
      <c r="H1859" s="14" t="s">
        <v>328</v>
      </c>
      <c r="I1859" s="14" t="s">
        <v>328</v>
      </c>
      <c r="J1859" s="14"/>
      <c r="K1859" s="14"/>
      <c r="L1859" s="134"/>
      <c r="M1859" s="249"/>
      <c r="N1859" s="249"/>
    </row>
    <row r="1860" spans="2:14" x14ac:dyDescent="0.25">
      <c r="B1860" s="14"/>
      <c r="C1860" s="14"/>
      <c r="D1860" s="14" t="s">
        <v>328</v>
      </c>
      <c r="E1860" s="14"/>
      <c r="F1860" s="14"/>
      <c r="G1860" s="14"/>
      <c r="H1860" s="14" t="s">
        <v>328</v>
      </c>
      <c r="I1860" s="14"/>
      <c r="J1860" s="14"/>
      <c r="K1860" s="14" t="s">
        <v>328</v>
      </c>
      <c r="L1860" s="134"/>
      <c r="M1860" s="249"/>
      <c r="N1860" s="249"/>
    </row>
    <row r="1861" spans="2:14" x14ac:dyDescent="0.25">
      <c r="B1861" s="14"/>
      <c r="C1861" s="14"/>
      <c r="D1861" s="14" t="s">
        <v>328</v>
      </c>
      <c r="E1861" s="14"/>
      <c r="F1861" s="14"/>
      <c r="G1861" s="14"/>
      <c r="H1861" s="14" t="s">
        <v>328</v>
      </c>
      <c r="I1861" s="14"/>
      <c r="J1861" s="14"/>
      <c r="K1861" s="14" t="s">
        <v>328</v>
      </c>
      <c r="L1861" s="134"/>
      <c r="M1861" s="249"/>
      <c r="N1861" s="249"/>
    </row>
    <row r="1862" spans="2:14" x14ac:dyDescent="0.25">
      <c r="B1862" s="14"/>
      <c r="C1862" s="14"/>
      <c r="D1862" s="14" t="s">
        <v>328</v>
      </c>
      <c r="E1862" s="14"/>
      <c r="F1862" s="14"/>
      <c r="G1862" s="14"/>
      <c r="H1862" s="14" t="s">
        <v>328</v>
      </c>
      <c r="I1862" s="14"/>
      <c r="J1862" s="14"/>
      <c r="K1862" s="14" t="s">
        <v>328</v>
      </c>
      <c r="L1862" s="134"/>
      <c r="M1862" s="249"/>
      <c r="N1862" s="249"/>
    </row>
    <row r="1863" spans="2:14" x14ac:dyDescent="0.25">
      <c r="B1863" s="14"/>
      <c r="C1863" s="14"/>
      <c r="D1863" s="14" t="s">
        <v>328</v>
      </c>
      <c r="E1863" s="14"/>
      <c r="F1863" s="14"/>
      <c r="G1863" s="14"/>
      <c r="H1863" s="14" t="s">
        <v>328</v>
      </c>
      <c r="I1863" s="14"/>
      <c r="J1863" s="14"/>
      <c r="K1863" s="14" t="s">
        <v>328</v>
      </c>
      <c r="L1863" s="134"/>
      <c r="M1863" s="249"/>
      <c r="N1863" s="249"/>
    </row>
    <row r="1864" spans="2:14" x14ac:dyDescent="0.25">
      <c r="B1864" s="14"/>
      <c r="C1864" s="14"/>
      <c r="D1864" s="14" t="s">
        <v>328</v>
      </c>
      <c r="E1864" s="14"/>
      <c r="F1864" s="14"/>
      <c r="G1864" s="14"/>
      <c r="H1864" s="14" t="s">
        <v>328</v>
      </c>
      <c r="I1864" s="14"/>
      <c r="J1864" s="14"/>
      <c r="K1864" s="14" t="s">
        <v>328</v>
      </c>
      <c r="L1864" s="134"/>
      <c r="M1864" s="249"/>
      <c r="N1864" s="249"/>
    </row>
    <row r="1865" spans="2:14" x14ac:dyDescent="0.25">
      <c r="B1865" s="14"/>
      <c r="C1865" s="14"/>
      <c r="D1865" s="14" t="s">
        <v>328</v>
      </c>
      <c r="E1865" s="14"/>
      <c r="F1865" s="14" t="s">
        <v>328</v>
      </c>
      <c r="G1865" s="14"/>
      <c r="H1865" s="14"/>
      <c r="I1865" s="14"/>
      <c r="J1865" s="14"/>
      <c r="K1865" s="14"/>
      <c r="L1865" s="134" t="s">
        <v>328</v>
      </c>
      <c r="M1865" s="249"/>
      <c r="N1865" s="249"/>
    </row>
    <row r="1866" spans="2:14" x14ac:dyDescent="0.25">
      <c r="B1866" s="14"/>
      <c r="C1866" s="14"/>
      <c r="D1866" s="14" t="s">
        <v>328</v>
      </c>
      <c r="E1866" s="14"/>
      <c r="F1866" s="14" t="s">
        <v>328</v>
      </c>
      <c r="G1866" s="14"/>
      <c r="H1866" s="14"/>
      <c r="I1866" s="14"/>
      <c r="J1866" s="14" t="s">
        <v>328</v>
      </c>
      <c r="K1866" s="14"/>
      <c r="L1866" s="134"/>
      <c r="M1866" s="249"/>
      <c r="N1866" s="249"/>
    </row>
    <row r="1867" spans="2:14" x14ac:dyDescent="0.25">
      <c r="B1867" s="14"/>
      <c r="C1867" s="14"/>
      <c r="D1867" s="14" t="s">
        <v>328</v>
      </c>
      <c r="E1867" s="14"/>
      <c r="F1867" s="14"/>
      <c r="G1867" s="14"/>
      <c r="H1867" s="14" t="s">
        <v>328</v>
      </c>
      <c r="I1867" s="14"/>
      <c r="J1867" s="14"/>
      <c r="K1867" s="14" t="s">
        <v>328</v>
      </c>
      <c r="L1867" s="134"/>
      <c r="M1867" s="249"/>
      <c r="N1867" s="249"/>
    </row>
    <row r="1868" spans="2:14" x14ac:dyDescent="0.25">
      <c r="B1868" s="14" t="s">
        <v>328</v>
      </c>
      <c r="C1868" s="14"/>
      <c r="D1868" s="14"/>
      <c r="E1868" s="14" t="s">
        <v>328</v>
      </c>
      <c r="F1868" s="14"/>
      <c r="G1868" s="14"/>
      <c r="H1868" s="14"/>
      <c r="I1868" s="14"/>
      <c r="J1868" s="14" t="s">
        <v>328</v>
      </c>
      <c r="K1868" s="14"/>
      <c r="L1868" s="134"/>
      <c r="M1868" s="249"/>
      <c r="N1868" s="249"/>
    </row>
    <row r="1869" spans="2:14" x14ac:dyDescent="0.25">
      <c r="B1869" s="14"/>
      <c r="C1869" s="14"/>
      <c r="D1869" s="14" t="s">
        <v>328</v>
      </c>
      <c r="E1869" s="14"/>
      <c r="F1869" s="14"/>
      <c r="G1869" s="14"/>
      <c r="H1869" s="14" t="s">
        <v>328</v>
      </c>
      <c r="I1869" s="14"/>
      <c r="J1869" s="14"/>
      <c r="K1869" s="14" t="s">
        <v>328</v>
      </c>
      <c r="L1869" s="134"/>
      <c r="M1869" s="249"/>
      <c r="N1869" s="249"/>
    </row>
    <row r="1870" spans="2:14" x14ac:dyDescent="0.25">
      <c r="B1870" s="14"/>
      <c r="C1870" s="14"/>
      <c r="D1870" s="14" t="s">
        <v>328</v>
      </c>
      <c r="E1870" s="14"/>
      <c r="F1870" s="14" t="s">
        <v>328</v>
      </c>
      <c r="G1870" s="14"/>
      <c r="H1870" s="14"/>
      <c r="I1870" s="14"/>
      <c r="J1870" s="14" t="s">
        <v>328</v>
      </c>
      <c r="K1870" s="14"/>
      <c r="L1870" s="134"/>
      <c r="M1870" s="249"/>
      <c r="N1870" s="249"/>
    </row>
    <row r="1871" spans="2:14" x14ac:dyDescent="0.25">
      <c r="B1871" s="14"/>
      <c r="C1871" s="14"/>
      <c r="D1871" s="14" t="s">
        <v>328</v>
      </c>
      <c r="E1871" s="14"/>
      <c r="F1871" s="14"/>
      <c r="G1871" s="14"/>
      <c r="H1871" s="14" t="s">
        <v>328</v>
      </c>
      <c r="I1871" s="14"/>
      <c r="J1871" s="14"/>
      <c r="K1871" s="14" t="s">
        <v>328</v>
      </c>
      <c r="L1871" s="134"/>
      <c r="M1871" s="249"/>
      <c r="N1871" s="249"/>
    </row>
    <row r="1872" spans="2:14" x14ac:dyDescent="0.25">
      <c r="B1872" s="14"/>
      <c r="C1872" s="14"/>
      <c r="D1872" s="14" t="s">
        <v>328</v>
      </c>
      <c r="E1872" s="14"/>
      <c r="F1872" s="14" t="s">
        <v>328</v>
      </c>
      <c r="G1872" s="14"/>
      <c r="H1872" s="14"/>
      <c r="I1872" s="14"/>
      <c r="J1872" s="14" t="s">
        <v>328</v>
      </c>
      <c r="K1872" s="14"/>
      <c r="L1872" s="134"/>
      <c r="M1872" s="249"/>
      <c r="N1872" s="249"/>
    </row>
    <row r="1873" spans="2:14" x14ac:dyDescent="0.25">
      <c r="B1873" s="14"/>
      <c r="C1873" s="14"/>
      <c r="D1873" s="14" t="s">
        <v>328</v>
      </c>
      <c r="E1873" s="14" t="s">
        <v>328</v>
      </c>
      <c r="F1873" s="14"/>
      <c r="G1873" s="14"/>
      <c r="H1873" s="14"/>
      <c r="I1873" s="14"/>
      <c r="J1873" s="14" t="s">
        <v>328</v>
      </c>
      <c r="K1873" s="14"/>
      <c r="L1873" s="134"/>
      <c r="M1873" s="249"/>
      <c r="N1873" s="249"/>
    </row>
    <row r="1874" spans="2:14" x14ac:dyDescent="0.25">
      <c r="B1874" s="14"/>
      <c r="C1874" s="14"/>
      <c r="D1874" s="14" t="s">
        <v>328</v>
      </c>
      <c r="E1874" s="14"/>
      <c r="F1874" s="14"/>
      <c r="G1874" s="14"/>
      <c r="H1874" s="14" t="s">
        <v>328</v>
      </c>
      <c r="I1874" s="14" t="s">
        <v>328</v>
      </c>
      <c r="J1874" s="14"/>
      <c r="K1874" s="14"/>
      <c r="L1874" s="134"/>
      <c r="M1874" s="249"/>
      <c r="N1874" s="249"/>
    </row>
    <row r="1875" spans="2:14" x14ac:dyDescent="0.25">
      <c r="B1875" s="14"/>
      <c r="C1875" s="14"/>
      <c r="D1875" s="14" t="s">
        <v>328</v>
      </c>
      <c r="E1875" s="14"/>
      <c r="F1875" s="14"/>
      <c r="G1875" s="14"/>
      <c r="H1875" s="14" t="s">
        <v>328</v>
      </c>
      <c r="I1875" s="14"/>
      <c r="J1875" s="14"/>
      <c r="K1875" s="14"/>
      <c r="L1875" s="134" t="s">
        <v>328</v>
      </c>
      <c r="M1875" s="249"/>
      <c r="N1875" s="249"/>
    </row>
    <row r="1876" spans="2:14" x14ac:dyDescent="0.25">
      <c r="B1876" s="14"/>
      <c r="C1876" s="14"/>
      <c r="D1876" s="14" t="s">
        <v>328</v>
      </c>
      <c r="E1876" s="14"/>
      <c r="F1876" s="14"/>
      <c r="G1876" s="14"/>
      <c r="H1876" s="14" t="s">
        <v>328</v>
      </c>
      <c r="I1876" s="14"/>
      <c r="J1876" s="14"/>
      <c r="K1876" s="14" t="s">
        <v>328</v>
      </c>
      <c r="L1876" s="134"/>
      <c r="M1876" s="249"/>
      <c r="N1876" s="249"/>
    </row>
    <row r="1877" spans="2:14" x14ac:dyDescent="0.25">
      <c r="B1877" s="14"/>
      <c r="C1877" s="14"/>
      <c r="D1877" s="14" t="s">
        <v>328</v>
      </c>
      <c r="E1877" s="14"/>
      <c r="F1877" s="14" t="s">
        <v>328</v>
      </c>
      <c r="G1877" s="14"/>
      <c r="H1877" s="14"/>
      <c r="I1877" s="14" t="s">
        <v>328</v>
      </c>
      <c r="J1877" s="14"/>
      <c r="K1877" s="14"/>
      <c r="L1877" s="134"/>
      <c r="M1877" s="249"/>
      <c r="N1877" s="249"/>
    </row>
    <row r="1878" spans="2:14" x14ac:dyDescent="0.25">
      <c r="B1878" s="14"/>
      <c r="C1878" s="14"/>
      <c r="D1878" s="14" t="s">
        <v>328</v>
      </c>
      <c r="E1878" s="14"/>
      <c r="F1878" s="14"/>
      <c r="G1878" s="14"/>
      <c r="H1878" s="14" t="s">
        <v>328</v>
      </c>
      <c r="I1878" s="14"/>
      <c r="J1878" s="14"/>
      <c r="K1878" s="14"/>
      <c r="L1878" s="134" t="s">
        <v>328</v>
      </c>
      <c r="M1878" s="249"/>
      <c r="N1878" s="249"/>
    </row>
    <row r="1879" spans="2:14" x14ac:dyDescent="0.25">
      <c r="B1879" s="14"/>
      <c r="C1879" s="14"/>
      <c r="D1879" s="14" t="s">
        <v>328</v>
      </c>
      <c r="E1879" s="14"/>
      <c r="F1879" s="14"/>
      <c r="G1879" s="14"/>
      <c r="H1879" s="14" t="s">
        <v>328</v>
      </c>
      <c r="I1879" s="14"/>
      <c r="J1879" s="14"/>
      <c r="K1879" s="14" t="s">
        <v>328</v>
      </c>
      <c r="L1879" s="134"/>
      <c r="M1879" s="249"/>
      <c r="N1879" s="249"/>
    </row>
    <row r="1880" spans="2:14" x14ac:dyDescent="0.25">
      <c r="B1880" s="14"/>
      <c r="C1880" s="14"/>
      <c r="D1880" s="14" t="s">
        <v>328</v>
      </c>
      <c r="E1880" s="14"/>
      <c r="F1880" s="14" t="s">
        <v>328</v>
      </c>
      <c r="G1880" s="14"/>
      <c r="H1880" s="14"/>
      <c r="I1880" s="14"/>
      <c r="J1880" s="14"/>
      <c r="K1880" s="14" t="s">
        <v>328</v>
      </c>
      <c r="L1880" s="134"/>
      <c r="M1880" s="249"/>
      <c r="N1880" s="249"/>
    </row>
    <row r="1881" spans="2:14" x14ac:dyDescent="0.25">
      <c r="B1881" s="14"/>
      <c r="C1881" s="14"/>
      <c r="D1881" s="14" t="s">
        <v>328</v>
      </c>
      <c r="E1881" s="14"/>
      <c r="F1881" s="14" t="s">
        <v>328</v>
      </c>
      <c r="G1881" s="14"/>
      <c r="H1881" s="14"/>
      <c r="I1881" s="14"/>
      <c r="J1881" s="14"/>
      <c r="K1881" s="14" t="s">
        <v>328</v>
      </c>
      <c r="L1881" s="134"/>
      <c r="M1881" s="249"/>
      <c r="N1881" s="249"/>
    </row>
    <row r="1882" spans="2:14" x14ac:dyDescent="0.25">
      <c r="B1882" s="14"/>
      <c r="C1882" s="14"/>
      <c r="D1882" s="14" t="s">
        <v>328</v>
      </c>
      <c r="E1882" s="14"/>
      <c r="F1882" s="14"/>
      <c r="G1882" s="14"/>
      <c r="H1882" s="14" t="s">
        <v>328</v>
      </c>
      <c r="I1882" s="14"/>
      <c r="J1882" s="14"/>
      <c r="K1882" s="14"/>
      <c r="L1882" s="134" t="s">
        <v>328</v>
      </c>
      <c r="M1882" s="249"/>
      <c r="N1882" s="249"/>
    </row>
    <row r="1883" spans="2:14" x14ac:dyDescent="0.25">
      <c r="B1883" s="14"/>
      <c r="C1883" s="14"/>
      <c r="D1883" s="14" t="s">
        <v>328</v>
      </c>
      <c r="E1883" s="14"/>
      <c r="F1883" s="14"/>
      <c r="G1883" s="14"/>
      <c r="H1883" s="14" t="s">
        <v>328</v>
      </c>
      <c r="I1883" s="14"/>
      <c r="J1883" s="14"/>
      <c r="K1883" s="14"/>
      <c r="L1883" s="134" t="s">
        <v>328</v>
      </c>
      <c r="M1883" s="249"/>
      <c r="N1883" s="249"/>
    </row>
    <row r="1884" spans="2:14" x14ac:dyDescent="0.25">
      <c r="B1884" s="14"/>
      <c r="C1884" s="14"/>
      <c r="D1884" s="14" t="s">
        <v>328</v>
      </c>
      <c r="E1884" s="14"/>
      <c r="F1884" s="14"/>
      <c r="G1884" s="14"/>
      <c r="H1884" s="14" t="s">
        <v>328</v>
      </c>
      <c r="I1884" s="14"/>
      <c r="J1884" s="14"/>
      <c r="K1884" s="14"/>
      <c r="L1884" s="134" t="s">
        <v>328</v>
      </c>
      <c r="M1884" s="249"/>
      <c r="N1884" s="249"/>
    </row>
    <row r="1885" spans="2:14" x14ac:dyDescent="0.25">
      <c r="B1885" s="14"/>
      <c r="C1885" s="14"/>
      <c r="D1885" s="14" t="s">
        <v>328</v>
      </c>
      <c r="E1885" s="14"/>
      <c r="F1885" s="14"/>
      <c r="G1885" s="14"/>
      <c r="H1885" s="14" t="s">
        <v>328</v>
      </c>
      <c r="I1885" s="14"/>
      <c r="J1885" s="14" t="s">
        <v>328</v>
      </c>
      <c r="K1885" s="14"/>
      <c r="L1885" s="134"/>
      <c r="M1885" s="249"/>
      <c r="N1885" s="249"/>
    </row>
    <row r="1886" spans="2:14" x14ac:dyDescent="0.25">
      <c r="B1886" s="14"/>
      <c r="C1886" s="14"/>
      <c r="D1886" s="14" t="s">
        <v>328</v>
      </c>
      <c r="E1886" s="14"/>
      <c r="F1886" s="14"/>
      <c r="G1886" s="14"/>
      <c r="H1886" s="14" t="s">
        <v>328</v>
      </c>
      <c r="I1886" s="14"/>
      <c r="J1886" s="14"/>
      <c r="K1886" s="14"/>
      <c r="L1886" s="134" t="s">
        <v>328</v>
      </c>
      <c r="M1886" s="249"/>
      <c r="N1886" s="249"/>
    </row>
    <row r="1887" spans="2:14" x14ac:dyDescent="0.25">
      <c r="B1887" s="14"/>
      <c r="C1887" s="14"/>
      <c r="D1887" s="14" t="s">
        <v>328</v>
      </c>
      <c r="E1887" s="14"/>
      <c r="F1887" s="14"/>
      <c r="G1887" s="14"/>
      <c r="H1887" s="14" t="s">
        <v>328</v>
      </c>
      <c r="I1887" s="14"/>
      <c r="J1887" s="14"/>
      <c r="K1887" s="14"/>
      <c r="L1887" s="134" t="s">
        <v>328</v>
      </c>
      <c r="M1887" s="249"/>
      <c r="N1887" s="249"/>
    </row>
    <row r="1888" spans="2:14" x14ac:dyDescent="0.25">
      <c r="B1888" s="14"/>
      <c r="C1888" s="14"/>
      <c r="D1888" s="14" t="s">
        <v>328</v>
      </c>
      <c r="E1888" s="14"/>
      <c r="F1888" s="14"/>
      <c r="G1888" s="14"/>
      <c r="H1888" s="14" t="s">
        <v>328</v>
      </c>
      <c r="I1888" s="14"/>
      <c r="J1888" s="14"/>
      <c r="K1888" s="14"/>
      <c r="L1888" s="134" t="s">
        <v>328</v>
      </c>
      <c r="M1888" s="249"/>
      <c r="N1888" s="249"/>
    </row>
    <row r="1889" spans="2:14" x14ac:dyDescent="0.25">
      <c r="B1889" s="14"/>
      <c r="C1889" s="14"/>
      <c r="D1889" s="14" t="s">
        <v>328</v>
      </c>
      <c r="E1889" s="14"/>
      <c r="F1889" s="14"/>
      <c r="G1889" s="14"/>
      <c r="H1889" s="14" t="s">
        <v>328</v>
      </c>
      <c r="I1889" s="14"/>
      <c r="J1889" s="14"/>
      <c r="K1889" s="14"/>
      <c r="L1889" s="134" t="s">
        <v>328</v>
      </c>
      <c r="M1889" s="249"/>
      <c r="N1889" s="249"/>
    </row>
    <row r="1890" spans="2:14" x14ac:dyDescent="0.25">
      <c r="B1890" s="14"/>
      <c r="C1890" s="14"/>
      <c r="D1890" s="14" t="s">
        <v>328</v>
      </c>
      <c r="E1890" s="14"/>
      <c r="F1890" s="14"/>
      <c r="G1890" s="14"/>
      <c r="H1890" s="14" t="s">
        <v>328</v>
      </c>
      <c r="I1890" s="14"/>
      <c r="J1890" s="14" t="s">
        <v>328</v>
      </c>
      <c r="K1890" s="14"/>
      <c r="L1890" s="134"/>
      <c r="M1890" s="249"/>
      <c r="N1890" s="249"/>
    </row>
    <row r="1891" spans="2:14" x14ac:dyDescent="0.25">
      <c r="B1891" s="14"/>
      <c r="C1891" s="14"/>
      <c r="D1891" s="14" t="s">
        <v>328</v>
      </c>
      <c r="E1891" s="14"/>
      <c r="F1891" s="14"/>
      <c r="G1891" s="14"/>
      <c r="H1891" s="14" t="s">
        <v>328</v>
      </c>
      <c r="I1891" s="14"/>
      <c r="J1891" s="14" t="s">
        <v>328</v>
      </c>
      <c r="K1891" s="14"/>
      <c r="L1891" s="134"/>
      <c r="M1891" s="249"/>
      <c r="N1891" s="249"/>
    </row>
    <row r="1892" spans="2:14" x14ac:dyDescent="0.25">
      <c r="B1892" s="14"/>
      <c r="C1892" s="14"/>
      <c r="D1892" s="14" t="s">
        <v>328</v>
      </c>
      <c r="E1892" s="14"/>
      <c r="F1892" s="14"/>
      <c r="G1892" s="14"/>
      <c r="H1892" s="14" t="s">
        <v>328</v>
      </c>
      <c r="I1892" s="14"/>
      <c r="J1892" s="14"/>
      <c r="K1892" s="14"/>
      <c r="L1892" s="134" t="s">
        <v>328</v>
      </c>
      <c r="M1892" s="249"/>
      <c r="N1892" s="249"/>
    </row>
    <row r="1893" spans="2:14" x14ac:dyDescent="0.25">
      <c r="B1893" s="14"/>
      <c r="C1893" s="14"/>
      <c r="D1893" s="14" t="s">
        <v>328</v>
      </c>
      <c r="E1893" s="14"/>
      <c r="F1893" s="14"/>
      <c r="G1893" s="14"/>
      <c r="H1893" s="14" t="s">
        <v>328</v>
      </c>
      <c r="I1893" s="14"/>
      <c r="J1893" s="14"/>
      <c r="K1893" s="14" t="s">
        <v>328</v>
      </c>
      <c r="L1893" s="134"/>
      <c r="M1893" s="249"/>
      <c r="N1893" s="249"/>
    </row>
  </sheetData>
  <pageMargins left="0.7" right="0.7" top="0.75" bottom="0.75" header="0.3" footer="0.3"/>
  <pageSetup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05"/>
  <sheetViews>
    <sheetView zoomScale="80" zoomScaleNormal="80"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baseColWidth="10" defaultColWidth="11.42578125" defaultRowHeight="15" x14ac:dyDescent="0.25"/>
  <cols>
    <col min="1" max="1" width="18" style="17" customWidth="1"/>
    <col min="2" max="3" width="11.42578125" style="17"/>
    <col min="4" max="4" width="12.5703125" style="17" customWidth="1"/>
    <col min="5" max="5" width="15" style="17" customWidth="1"/>
    <col min="6" max="6" width="14" style="17" customWidth="1"/>
    <col min="7" max="7" width="13.7109375" style="17" customWidth="1"/>
    <col min="8" max="8" width="13" style="17" customWidth="1"/>
    <col min="9" max="9" width="15.140625" style="17" customWidth="1"/>
    <col min="10" max="10" width="12.7109375" style="28" customWidth="1"/>
    <col min="11" max="13" width="11.5703125" style="17" customWidth="1"/>
    <col min="14" max="14" width="14" style="28" customWidth="1"/>
    <col min="15" max="15" width="11.5703125" style="29" customWidth="1"/>
    <col min="16" max="16" width="11.85546875" style="17" customWidth="1"/>
    <col min="17" max="17" width="11.5703125" style="17" customWidth="1"/>
    <col min="18" max="18" width="11.5703125" style="28" customWidth="1"/>
    <col min="19" max="19" width="13.7109375" style="17" customWidth="1"/>
    <col min="20" max="20" width="12.140625" style="17" customWidth="1"/>
    <col min="21" max="21" width="12.7109375" style="17" customWidth="1"/>
    <col min="22" max="22" width="12.7109375" style="30" customWidth="1"/>
    <col min="23" max="23" width="13.140625" style="28" customWidth="1"/>
    <col min="24" max="28" width="11.5703125" style="17" customWidth="1"/>
    <col min="29" max="29" width="13.7109375" style="17" customWidth="1"/>
    <col min="30" max="30" width="12.7109375" style="17" customWidth="1"/>
    <col min="31" max="31" width="9.85546875" style="17" customWidth="1"/>
    <col min="32" max="32" width="11.5703125" style="17" customWidth="1"/>
    <col min="33" max="33" width="12.42578125" style="17" customWidth="1"/>
    <col min="34" max="34" width="11.5703125" style="17" customWidth="1"/>
    <col min="35" max="35" width="8.85546875" style="17" customWidth="1"/>
    <col min="36" max="36" width="11.5703125" style="17" customWidth="1"/>
    <col min="37" max="37" width="10.28515625" style="17" customWidth="1"/>
    <col min="38" max="38" width="8.28515625" style="17" customWidth="1"/>
    <col min="39" max="39" width="8.140625" style="17" customWidth="1"/>
    <col min="40" max="40" width="10.42578125" style="28" customWidth="1"/>
    <col min="41" max="44" width="15.5703125" style="28" customWidth="1"/>
    <col min="45" max="47" width="11.42578125" style="32"/>
    <col min="48" max="48" width="12.42578125" style="32" customWidth="1"/>
    <col min="49" max="50" width="11.42578125" style="32"/>
    <col min="51" max="51" width="28.42578125" style="17" customWidth="1"/>
    <col min="52" max="52" width="11.42578125" style="17"/>
    <col min="53" max="53" width="11.42578125" style="249"/>
    <col min="54" max="16384" width="11.42578125" style="17"/>
  </cols>
  <sheetData>
    <row r="1" spans="1:55" ht="15.75" thickBot="1" x14ac:dyDescent="0.3">
      <c r="O1" s="29">
        <v>0.5</v>
      </c>
      <c r="W1" s="31">
        <v>11.14</v>
      </c>
    </row>
    <row r="2" spans="1:55" ht="51" customHeight="1" x14ac:dyDescent="0.25">
      <c r="B2" s="355" t="s">
        <v>0</v>
      </c>
      <c r="C2" s="355" t="s">
        <v>102</v>
      </c>
      <c r="D2" s="355" t="s">
        <v>107</v>
      </c>
      <c r="E2" s="316" t="s">
        <v>104</v>
      </c>
      <c r="F2" s="317"/>
      <c r="G2" s="317"/>
      <c r="H2" s="317"/>
      <c r="I2" s="318"/>
      <c r="J2" s="319" t="s">
        <v>157</v>
      </c>
      <c r="K2" s="310" t="s">
        <v>109</v>
      </c>
      <c r="L2" s="311"/>
      <c r="M2" s="312"/>
      <c r="N2" s="319" t="s">
        <v>114</v>
      </c>
      <c r="O2" s="339" t="s">
        <v>115</v>
      </c>
      <c r="P2" s="342" t="s">
        <v>116</v>
      </c>
      <c r="Q2" s="342" t="s">
        <v>117</v>
      </c>
      <c r="R2" s="319" t="s">
        <v>278</v>
      </c>
      <c r="S2" s="33" t="s">
        <v>118</v>
      </c>
      <c r="T2" s="334" t="s">
        <v>120</v>
      </c>
      <c r="U2" s="335"/>
      <c r="V2" s="336" t="s">
        <v>123</v>
      </c>
      <c r="W2" s="336" t="s">
        <v>123</v>
      </c>
      <c r="X2" s="334" t="s">
        <v>131</v>
      </c>
      <c r="Y2" s="369"/>
      <c r="Z2" s="369"/>
      <c r="AA2" s="369"/>
      <c r="AB2" s="369"/>
      <c r="AC2" s="335"/>
      <c r="AD2" s="316" t="s">
        <v>132</v>
      </c>
      <c r="AE2" s="317"/>
      <c r="AF2" s="317"/>
      <c r="AG2" s="317"/>
      <c r="AH2" s="317"/>
      <c r="AI2" s="317"/>
      <c r="AJ2" s="317"/>
      <c r="AK2" s="317"/>
      <c r="AL2" s="317"/>
      <c r="AM2" s="318"/>
      <c r="AN2" s="366" t="s">
        <v>143</v>
      </c>
      <c r="AO2" s="367"/>
      <c r="AP2" s="367"/>
      <c r="AQ2" s="367"/>
      <c r="AR2" s="368"/>
      <c r="AS2" s="352" t="s">
        <v>151</v>
      </c>
      <c r="AT2" s="353"/>
      <c r="AU2" s="353"/>
      <c r="AV2" s="353"/>
      <c r="AW2" s="353"/>
      <c r="AX2" s="354"/>
    </row>
    <row r="3" spans="1:55" ht="30" customHeight="1" x14ac:dyDescent="0.25">
      <c r="B3" s="356"/>
      <c r="C3" s="356"/>
      <c r="D3" s="356"/>
      <c r="E3" s="34" t="s">
        <v>57</v>
      </c>
      <c r="F3" s="330" t="s">
        <v>49</v>
      </c>
      <c r="G3" s="330"/>
      <c r="H3" s="330"/>
      <c r="I3" s="331"/>
      <c r="J3" s="320"/>
      <c r="K3" s="322" t="s">
        <v>110</v>
      </c>
      <c r="L3" s="328" t="s">
        <v>111</v>
      </c>
      <c r="M3" s="329"/>
      <c r="N3" s="320"/>
      <c r="O3" s="340"/>
      <c r="P3" s="266"/>
      <c r="Q3" s="266"/>
      <c r="R3" s="320"/>
      <c r="S3" s="343" t="s">
        <v>119</v>
      </c>
      <c r="T3" s="322" t="s">
        <v>121</v>
      </c>
      <c r="U3" s="326" t="s">
        <v>122</v>
      </c>
      <c r="V3" s="337"/>
      <c r="W3" s="337"/>
      <c r="X3" s="322" t="s">
        <v>124</v>
      </c>
      <c r="Y3" s="332" t="s">
        <v>125</v>
      </c>
      <c r="Z3" s="332" t="s">
        <v>126</v>
      </c>
      <c r="AA3" s="332" t="s">
        <v>127</v>
      </c>
      <c r="AB3" s="332" t="s">
        <v>128</v>
      </c>
      <c r="AC3" s="326"/>
      <c r="AD3" s="322" t="s">
        <v>133</v>
      </c>
      <c r="AE3" s="332" t="s">
        <v>134</v>
      </c>
      <c r="AF3" s="332" t="s">
        <v>135</v>
      </c>
      <c r="AG3" s="332" t="s">
        <v>136</v>
      </c>
      <c r="AH3" s="332" t="s">
        <v>137</v>
      </c>
      <c r="AI3" s="332" t="s">
        <v>138</v>
      </c>
      <c r="AJ3" s="332" t="s">
        <v>139</v>
      </c>
      <c r="AK3" s="332" t="s">
        <v>140</v>
      </c>
      <c r="AL3" s="332" t="s">
        <v>141</v>
      </c>
      <c r="AM3" s="326" t="s">
        <v>142</v>
      </c>
      <c r="AN3" s="349" t="s">
        <v>400</v>
      </c>
      <c r="AO3" s="364" t="s">
        <v>144</v>
      </c>
      <c r="AP3" s="346" t="s">
        <v>341</v>
      </c>
      <c r="AQ3" s="346" t="s">
        <v>343</v>
      </c>
      <c r="AR3" s="344" t="s">
        <v>283</v>
      </c>
      <c r="AS3" s="358" t="s">
        <v>145</v>
      </c>
      <c r="AT3" s="360" t="s">
        <v>146</v>
      </c>
      <c r="AU3" s="360" t="s">
        <v>147</v>
      </c>
      <c r="AV3" s="360" t="s">
        <v>148</v>
      </c>
      <c r="AW3" s="360" t="s">
        <v>149</v>
      </c>
      <c r="AX3" s="362" t="s">
        <v>150</v>
      </c>
    </row>
    <row r="4" spans="1:55" ht="15" customHeight="1" x14ac:dyDescent="0.25">
      <c r="B4" s="356"/>
      <c r="C4" s="356"/>
      <c r="D4" s="356"/>
      <c r="E4" s="322" t="s">
        <v>103</v>
      </c>
      <c r="F4" s="330" t="s">
        <v>105</v>
      </c>
      <c r="G4" s="330"/>
      <c r="H4" s="328" t="s">
        <v>108</v>
      </c>
      <c r="I4" s="329"/>
      <c r="J4" s="320"/>
      <c r="K4" s="322"/>
      <c r="L4" s="324" t="s">
        <v>112</v>
      </c>
      <c r="M4" s="326" t="s">
        <v>113</v>
      </c>
      <c r="N4" s="320"/>
      <c r="O4" s="340"/>
      <c r="P4" s="266"/>
      <c r="Q4" s="266"/>
      <c r="R4" s="320"/>
      <c r="S4" s="343"/>
      <c r="T4" s="322"/>
      <c r="U4" s="326"/>
      <c r="V4" s="337"/>
      <c r="W4" s="337"/>
      <c r="X4" s="322"/>
      <c r="Y4" s="332"/>
      <c r="Z4" s="332"/>
      <c r="AA4" s="332"/>
      <c r="AB4" s="332" t="s">
        <v>129</v>
      </c>
      <c r="AC4" s="326" t="s">
        <v>130</v>
      </c>
      <c r="AD4" s="322"/>
      <c r="AE4" s="332"/>
      <c r="AF4" s="332"/>
      <c r="AG4" s="332"/>
      <c r="AH4" s="332"/>
      <c r="AI4" s="332"/>
      <c r="AJ4" s="332"/>
      <c r="AK4" s="332"/>
      <c r="AL4" s="332"/>
      <c r="AM4" s="326"/>
      <c r="AN4" s="350"/>
      <c r="AO4" s="364"/>
      <c r="AP4" s="347"/>
      <c r="AQ4" s="347"/>
      <c r="AR4" s="344"/>
      <c r="AS4" s="358"/>
      <c r="AT4" s="360"/>
      <c r="AU4" s="360"/>
      <c r="AV4" s="360"/>
      <c r="AW4" s="360"/>
      <c r="AX4" s="362"/>
    </row>
    <row r="5" spans="1:55" ht="19.5" customHeight="1" thickBot="1" x14ac:dyDescent="0.3">
      <c r="B5" s="357"/>
      <c r="C5" s="357"/>
      <c r="D5" s="357"/>
      <c r="E5" s="323"/>
      <c r="F5" s="243" t="s">
        <v>107</v>
      </c>
      <c r="G5" s="243" t="s">
        <v>106</v>
      </c>
      <c r="H5" s="243" t="s">
        <v>107</v>
      </c>
      <c r="I5" s="245" t="s">
        <v>106</v>
      </c>
      <c r="J5" s="321"/>
      <c r="K5" s="323"/>
      <c r="L5" s="325"/>
      <c r="M5" s="327"/>
      <c r="N5" s="321"/>
      <c r="O5" s="341"/>
      <c r="P5" s="267"/>
      <c r="Q5" s="267"/>
      <c r="R5" s="321"/>
      <c r="S5" s="276"/>
      <c r="T5" s="323"/>
      <c r="U5" s="327"/>
      <c r="V5" s="338"/>
      <c r="W5" s="338"/>
      <c r="X5" s="323"/>
      <c r="Y5" s="333"/>
      <c r="Z5" s="333"/>
      <c r="AA5" s="333"/>
      <c r="AB5" s="333"/>
      <c r="AC5" s="327"/>
      <c r="AD5" s="323"/>
      <c r="AE5" s="333"/>
      <c r="AF5" s="333"/>
      <c r="AG5" s="333"/>
      <c r="AH5" s="333"/>
      <c r="AI5" s="333"/>
      <c r="AJ5" s="333"/>
      <c r="AK5" s="333"/>
      <c r="AL5" s="333"/>
      <c r="AM5" s="327"/>
      <c r="AN5" s="351"/>
      <c r="AO5" s="365"/>
      <c r="AP5" s="348"/>
      <c r="AQ5" s="348"/>
      <c r="AR5" s="345"/>
      <c r="AS5" s="359"/>
      <c r="AT5" s="361"/>
      <c r="AU5" s="361"/>
      <c r="AV5" s="361"/>
      <c r="AW5" s="361"/>
      <c r="AX5" s="363"/>
    </row>
    <row r="6" spans="1:55" ht="15.75" thickBot="1" x14ac:dyDescent="0.3"/>
    <row r="7" spans="1:55" s="3" customFormat="1" ht="75.75" thickBot="1" x14ac:dyDescent="0.3">
      <c r="A7" s="3" t="s">
        <v>402</v>
      </c>
      <c r="B7" s="242" t="s">
        <v>0</v>
      </c>
      <c r="C7" s="242" t="s">
        <v>153</v>
      </c>
      <c r="D7" s="242" t="s">
        <v>107</v>
      </c>
      <c r="E7" s="242" t="s">
        <v>152</v>
      </c>
      <c r="F7" s="242" t="s">
        <v>154</v>
      </c>
      <c r="G7" s="242" t="s">
        <v>158</v>
      </c>
      <c r="H7" s="242" t="s">
        <v>155</v>
      </c>
      <c r="I7" s="242" t="s">
        <v>156</v>
      </c>
      <c r="J7" s="244" t="s">
        <v>157</v>
      </c>
      <c r="K7" s="242" t="s">
        <v>274</v>
      </c>
      <c r="L7" s="242" t="s">
        <v>275</v>
      </c>
      <c r="M7" s="242" t="s">
        <v>276</v>
      </c>
      <c r="N7" s="244" t="s">
        <v>339</v>
      </c>
      <c r="O7" s="35" t="s">
        <v>159</v>
      </c>
      <c r="P7" s="242" t="s">
        <v>277</v>
      </c>
      <c r="Q7" s="242" t="s">
        <v>160</v>
      </c>
      <c r="R7" s="244" t="s">
        <v>279</v>
      </c>
      <c r="S7" s="242" t="s">
        <v>118</v>
      </c>
      <c r="T7" s="242" t="s">
        <v>161</v>
      </c>
      <c r="U7" s="242" t="s">
        <v>162</v>
      </c>
      <c r="V7" s="36" t="s">
        <v>350</v>
      </c>
      <c r="W7" s="244" t="s">
        <v>1008</v>
      </c>
      <c r="X7" s="242" t="s">
        <v>307</v>
      </c>
      <c r="Y7" s="242" t="s">
        <v>163</v>
      </c>
      <c r="Z7" s="242" t="s">
        <v>164</v>
      </c>
      <c r="AA7" s="242" t="s">
        <v>165</v>
      </c>
      <c r="AB7" s="242" t="s">
        <v>166</v>
      </c>
      <c r="AC7" s="242" t="s">
        <v>167</v>
      </c>
      <c r="AD7" s="242" t="s">
        <v>168</v>
      </c>
      <c r="AE7" s="242" t="s">
        <v>169</v>
      </c>
      <c r="AF7" s="242" t="s">
        <v>170</v>
      </c>
      <c r="AG7" s="242" t="s">
        <v>280</v>
      </c>
      <c r="AH7" s="242" t="s">
        <v>171</v>
      </c>
      <c r="AI7" s="242" t="s">
        <v>172</v>
      </c>
      <c r="AJ7" s="242" t="s">
        <v>173</v>
      </c>
      <c r="AK7" s="242" t="s">
        <v>174</v>
      </c>
      <c r="AL7" s="242" t="s">
        <v>175</v>
      </c>
      <c r="AM7" s="242" t="s">
        <v>176</v>
      </c>
      <c r="AN7" s="37" t="s">
        <v>401</v>
      </c>
      <c r="AO7" s="38" t="s">
        <v>281</v>
      </c>
      <c r="AP7" s="39" t="s">
        <v>342</v>
      </c>
      <c r="AQ7" s="39" t="s">
        <v>344</v>
      </c>
      <c r="AR7" s="40" t="s">
        <v>282</v>
      </c>
      <c r="AS7" s="41" t="s">
        <v>361</v>
      </c>
      <c r="AT7" s="41" t="s">
        <v>362</v>
      </c>
      <c r="AU7" s="41" t="s">
        <v>363</v>
      </c>
      <c r="AV7" s="41" t="s">
        <v>364</v>
      </c>
      <c r="AW7" s="41" t="s">
        <v>365</v>
      </c>
      <c r="AX7" s="41" t="s">
        <v>366</v>
      </c>
      <c r="BA7" s="136" t="s">
        <v>813</v>
      </c>
      <c r="BC7" s="3" t="s">
        <v>2533</v>
      </c>
    </row>
    <row r="8" spans="1:55" x14ac:dyDescent="0.25">
      <c r="A8" s="49" t="s">
        <v>1854</v>
      </c>
      <c r="B8" s="54" t="s">
        <v>308</v>
      </c>
      <c r="C8" s="55" t="s">
        <v>337</v>
      </c>
      <c r="D8" s="55">
        <v>2008</v>
      </c>
      <c r="E8" s="55" t="s">
        <v>338</v>
      </c>
      <c r="F8" s="55"/>
      <c r="G8" s="55"/>
      <c r="H8" s="55"/>
      <c r="I8" s="55"/>
      <c r="J8" s="56">
        <v>485000</v>
      </c>
      <c r="K8" s="55" t="s">
        <v>328</v>
      </c>
      <c r="L8" s="55"/>
      <c r="M8" s="55"/>
      <c r="N8" s="56">
        <v>1900</v>
      </c>
      <c r="O8" s="57">
        <v>0.5</v>
      </c>
      <c r="P8" s="55">
        <v>1</v>
      </c>
      <c r="Q8" s="55">
        <v>350</v>
      </c>
      <c r="R8" s="56">
        <v>575</v>
      </c>
      <c r="S8" s="55" t="s">
        <v>340</v>
      </c>
      <c r="T8" s="55">
        <v>1.5</v>
      </c>
      <c r="U8" s="55">
        <v>1.8</v>
      </c>
      <c r="V8" s="58" t="s">
        <v>352</v>
      </c>
      <c r="W8" s="56" t="s">
        <v>352</v>
      </c>
      <c r="X8" s="55"/>
      <c r="Y8" s="55"/>
      <c r="Z8" s="55"/>
      <c r="AA8" s="55"/>
      <c r="AB8" s="55"/>
      <c r="AC8" s="55" t="s">
        <v>328</v>
      </c>
      <c r="AD8" s="55" t="s">
        <v>328</v>
      </c>
      <c r="AE8" s="55" t="s">
        <v>328</v>
      </c>
      <c r="AF8" s="55"/>
      <c r="AG8" s="55"/>
      <c r="AH8" s="55"/>
      <c r="AI8" s="55"/>
      <c r="AJ8" s="55"/>
      <c r="AK8" s="55"/>
      <c r="AL8" s="55" t="s">
        <v>328</v>
      </c>
      <c r="AM8" s="55"/>
      <c r="AN8" s="56">
        <v>5500</v>
      </c>
      <c r="AO8" s="56">
        <v>10000</v>
      </c>
      <c r="AP8" s="56">
        <v>1500</v>
      </c>
      <c r="AQ8" s="56">
        <v>85000</v>
      </c>
      <c r="AR8" s="56">
        <v>15000</v>
      </c>
      <c r="AS8" s="59">
        <v>96000</v>
      </c>
      <c r="AT8" s="59">
        <v>48000</v>
      </c>
      <c r="AU8" s="59">
        <v>32188.23529411765</v>
      </c>
      <c r="AV8" s="59">
        <v>30000</v>
      </c>
      <c r="AW8" s="59">
        <v>15000</v>
      </c>
      <c r="AX8" s="60">
        <v>0</v>
      </c>
      <c r="AZ8" s="14" t="s">
        <v>337</v>
      </c>
      <c r="BA8" s="249">
        <f>COUNTIF($B$8:$B$987,B8)</f>
        <v>1</v>
      </c>
      <c r="BB8" s="249">
        <v>0</v>
      </c>
      <c r="BC8" s="249">
        <f t="shared" ref="BC8:BC71" si="0">IF(H8&gt;D8,(IF(H8&gt;F8,H8,(IF(F8&gt;D8,F8,D8)))),(IF(F8&gt;D8,F8,D8)))</f>
        <v>2008</v>
      </c>
    </row>
    <row r="9" spans="1:55" x14ac:dyDescent="0.25">
      <c r="A9" s="50" t="s">
        <v>1854</v>
      </c>
      <c r="B9" s="61" t="s">
        <v>309</v>
      </c>
      <c r="C9" s="14" t="s">
        <v>348</v>
      </c>
      <c r="D9" s="14">
        <v>1995</v>
      </c>
      <c r="E9" s="14"/>
      <c r="F9" s="14"/>
      <c r="G9" s="14"/>
      <c r="H9" s="14">
        <v>2002</v>
      </c>
      <c r="I9" s="14" t="s">
        <v>349</v>
      </c>
      <c r="J9" s="13">
        <v>1200000</v>
      </c>
      <c r="K9" s="14"/>
      <c r="L9" s="14"/>
      <c r="M9" s="14" t="s">
        <v>328</v>
      </c>
      <c r="N9" s="13">
        <v>12000</v>
      </c>
      <c r="O9" s="24">
        <v>0.5</v>
      </c>
      <c r="P9" s="14">
        <v>1</v>
      </c>
      <c r="Q9" s="14">
        <v>250</v>
      </c>
      <c r="R9" s="13" t="s">
        <v>352</v>
      </c>
      <c r="S9" s="14" t="s">
        <v>340</v>
      </c>
      <c r="T9" s="14">
        <v>1.7</v>
      </c>
      <c r="U9" s="14">
        <v>2.5</v>
      </c>
      <c r="V9" s="25">
        <v>498.20466786355473</v>
      </c>
      <c r="W9" s="26">
        <v>5550</v>
      </c>
      <c r="X9" s="14"/>
      <c r="Y9" s="14"/>
      <c r="Z9" s="14"/>
      <c r="AA9" s="14"/>
      <c r="AB9" s="14" t="s">
        <v>328</v>
      </c>
      <c r="AC9" s="14"/>
      <c r="AD9" s="14"/>
      <c r="AE9" s="14" t="s">
        <v>328</v>
      </c>
      <c r="AF9" s="14"/>
      <c r="AG9" s="14" t="s">
        <v>328</v>
      </c>
      <c r="AH9" s="14"/>
      <c r="AI9" s="14"/>
      <c r="AJ9" s="14"/>
      <c r="AK9" s="14"/>
      <c r="AL9" s="14"/>
      <c r="AM9" s="14"/>
      <c r="AN9" s="13">
        <v>7000</v>
      </c>
      <c r="AO9" s="13">
        <v>10000</v>
      </c>
      <c r="AP9" s="13">
        <v>11000</v>
      </c>
      <c r="AQ9" s="13">
        <v>120000</v>
      </c>
      <c r="AR9" s="13">
        <v>10000</v>
      </c>
      <c r="AS9" s="26">
        <v>0</v>
      </c>
      <c r="AT9" s="26">
        <v>0</v>
      </c>
      <c r="AU9" s="26">
        <v>120000</v>
      </c>
      <c r="AV9" s="26">
        <v>20000</v>
      </c>
      <c r="AW9" s="26">
        <v>12000</v>
      </c>
      <c r="AX9" s="62">
        <v>0</v>
      </c>
      <c r="AZ9" s="14" t="s">
        <v>348</v>
      </c>
      <c r="BA9" s="249">
        <f t="shared" ref="BA9:BA72" si="1">COUNTIF($B$8:$B$987,B9)</f>
        <v>2</v>
      </c>
      <c r="BB9" s="249">
        <v>0</v>
      </c>
      <c r="BC9" s="249">
        <f t="shared" si="0"/>
        <v>2002</v>
      </c>
    </row>
    <row r="10" spans="1:55" x14ac:dyDescent="0.25">
      <c r="A10" s="50" t="s">
        <v>1854</v>
      </c>
      <c r="B10" s="61" t="s">
        <v>309</v>
      </c>
      <c r="C10" s="14" t="s">
        <v>351</v>
      </c>
      <c r="D10" s="14">
        <v>1988</v>
      </c>
      <c r="E10" s="14"/>
      <c r="F10" s="14"/>
      <c r="G10" s="14"/>
      <c r="H10" s="14">
        <v>1997</v>
      </c>
      <c r="I10" s="14" t="s">
        <v>338</v>
      </c>
      <c r="J10" s="13" t="s">
        <v>352</v>
      </c>
      <c r="K10" s="14"/>
      <c r="L10" s="14"/>
      <c r="M10" s="14" t="s">
        <v>328</v>
      </c>
      <c r="N10" s="13">
        <v>6000</v>
      </c>
      <c r="O10" s="24">
        <v>0.5</v>
      </c>
      <c r="P10" s="14">
        <v>1</v>
      </c>
      <c r="Q10" s="14">
        <v>250</v>
      </c>
      <c r="R10" s="13" t="s">
        <v>352</v>
      </c>
      <c r="S10" s="14" t="s">
        <v>340</v>
      </c>
      <c r="T10" s="14">
        <v>1.5</v>
      </c>
      <c r="U10" s="14">
        <v>2.2000000000000002</v>
      </c>
      <c r="V10" s="25">
        <v>291.74147217235185</v>
      </c>
      <c r="W10" s="26">
        <v>3250</v>
      </c>
      <c r="X10" s="14"/>
      <c r="Y10" s="14" t="s">
        <v>328</v>
      </c>
      <c r="Z10" s="14"/>
      <c r="AA10" s="14"/>
      <c r="AB10" s="14"/>
      <c r="AC10" s="14"/>
      <c r="AD10" s="14"/>
      <c r="AE10" s="14" t="s">
        <v>328</v>
      </c>
      <c r="AF10" s="14"/>
      <c r="AG10" s="14" t="s">
        <v>328</v>
      </c>
      <c r="AH10" s="14"/>
      <c r="AI10" s="14"/>
      <c r="AJ10" s="14"/>
      <c r="AK10" s="14"/>
      <c r="AL10" s="14"/>
      <c r="AM10" s="14"/>
      <c r="AN10" s="13">
        <v>7000</v>
      </c>
      <c r="AO10" s="13">
        <v>10000</v>
      </c>
      <c r="AP10" s="13">
        <v>11000</v>
      </c>
      <c r="AQ10" s="13">
        <v>120000</v>
      </c>
      <c r="AR10" s="13">
        <v>8000</v>
      </c>
      <c r="AS10" s="26">
        <v>96000</v>
      </c>
      <c r="AT10" s="26">
        <v>0</v>
      </c>
      <c r="AU10" s="26">
        <v>72000</v>
      </c>
      <c r="AV10" s="26">
        <v>30000</v>
      </c>
      <c r="AW10" s="26">
        <v>12000</v>
      </c>
      <c r="AX10" s="62">
        <v>10000</v>
      </c>
      <c r="AZ10" s="14" t="s">
        <v>351</v>
      </c>
      <c r="BA10" s="249">
        <f t="shared" si="1"/>
        <v>2</v>
      </c>
      <c r="BB10" s="249">
        <v>0</v>
      </c>
      <c r="BC10" s="249">
        <f t="shared" si="0"/>
        <v>1997</v>
      </c>
    </row>
    <row r="11" spans="1:55" x14ac:dyDescent="0.25">
      <c r="A11" s="50" t="s">
        <v>1854</v>
      </c>
      <c r="B11" s="61" t="s">
        <v>310</v>
      </c>
      <c r="C11" s="14" t="s">
        <v>351</v>
      </c>
      <c r="D11" s="14">
        <v>1985</v>
      </c>
      <c r="E11" s="14"/>
      <c r="F11" s="14">
        <v>1994</v>
      </c>
      <c r="G11" s="14" t="s">
        <v>349</v>
      </c>
      <c r="H11" s="14"/>
      <c r="I11" s="14"/>
      <c r="J11" s="13">
        <v>1000000</v>
      </c>
      <c r="K11" s="14"/>
      <c r="L11" s="14" t="s">
        <v>328</v>
      </c>
      <c r="M11" s="14"/>
      <c r="N11" s="13">
        <v>5845.5</v>
      </c>
      <c r="O11" s="24">
        <v>0.5</v>
      </c>
      <c r="P11" s="14">
        <v>1</v>
      </c>
      <c r="Q11" s="14">
        <v>370</v>
      </c>
      <c r="R11" s="13">
        <v>775</v>
      </c>
      <c r="S11" s="14" t="s">
        <v>340</v>
      </c>
      <c r="T11" s="14">
        <v>1.8</v>
      </c>
      <c r="U11" s="14">
        <v>2.5</v>
      </c>
      <c r="V11" s="25">
        <v>251.67639138240574</v>
      </c>
      <c r="W11" s="26">
        <v>2803.6750000000002</v>
      </c>
      <c r="X11" s="14"/>
      <c r="Y11" s="14"/>
      <c r="Z11" s="14"/>
      <c r="AA11" s="14"/>
      <c r="AB11" s="14" t="s">
        <v>328</v>
      </c>
      <c r="AC11" s="14"/>
      <c r="AD11" s="14"/>
      <c r="AE11" s="14" t="s">
        <v>328</v>
      </c>
      <c r="AF11" s="14"/>
      <c r="AG11" s="14"/>
      <c r="AH11" s="14"/>
      <c r="AI11" s="14"/>
      <c r="AJ11" s="14"/>
      <c r="AK11" s="14"/>
      <c r="AL11" s="14"/>
      <c r="AM11" s="14"/>
      <c r="AN11" s="13">
        <v>6000</v>
      </c>
      <c r="AO11" s="13">
        <v>15000</v>
      </c>
      <c r="AP11" s="13">
        <v>6000</v>
      </c>
      <c r="AQ11" s="13">
        <v>70000</v>
      </c>
      <c r="AR11" s="13">
        <v>30000</v>
      </c>
      <c r="AS11" s="26">
        <v>0</v>
      </c>
      <c r="AT11" s="26">
        <v>0</v>
      </c>
      <c r="AU11" s="26">
        <v>125260.71428571429</v>
      </c>
      <c r="AV11" s="26">
        <v>40000</v>
      </c>
      <c r="AW11" s="26">
        <v>15000</v>
      </c>
      <c r="AX11" s="62">
        <v>0</v>
      </c>
      <c r="AZ11" s="14" t="s">
        <v>351</v>
      </c>
      <c r="BA11" s="249">
        <f t="shared" si="1"/>
        <v>1</v>
      </c>
      <c r="BB11" s="249">
        <v>0</v>
      </c>
      <c r="BC11" s="249">
        <f t="shared" si="0"/>
        <v>1994</v>
      </c>
    </row>
    <row r="12" spans="1:55" x14ac:dyDescent="0.25">
      <c r="A12" s="50" t="s">
        <v>1854</v>
      </c>
      <c r="B12" s="61" t="s">
        <v>311</v>
      </c>
      <c r="C12" s="14" t="s">
        <v>337</v>
      </c>
      <c r="D12" s="14">
        <v>1999</v>
      </c>
      <c r="E12" s="14" t="s">
        <v>338</v>
      </c>
      <c r="F12" s="14"/>
      <c r="G12" s="14"/>
      <c r="H12" s="14"/>
      <c r="I12" s="14"/>
      <c r="J12" s="13">
        <v>850000</v>
      </c>
      <c r="K12" s="14" t="s">
        <v>328</v>
      </c>
      <c r="L12" s="14"/>
      <c r="M12" s="14"/>
      <c r="N12" s="13">
        <v>5000</v>
      </c>
      <c r="O12" s="24">
        <v>0.3</v>
      </c>
      <c r="P12" s="14">
        <v>1</v>
      </c>
      <c r="Q12" s="14">
        <v>370</v>
      </c>
      <c r="R12" s="13">
        <v>750</v>
      </c>
      <c r="S12" s="14" t="s">
        <v>340</v>
      </c>
      <c r="T12" s="14">
        <v>1.8</v>
      </c>
      <c r="U12" s="14">
        <v>2.4500000000000002</v>
      </c>
      <c r="V12" s="25">
        <v>188.50987432675043</v>
      </c>
      <c r="W12" s="26">
        <v>2100</v>
      </c>
      <c r="X12" s="14"/>
      <c r="Y12" s="14"/>
      <c r="Z12" s="14"/>
      <c r="AA12" s="14"/>
      <c r="AB12" s="14" t="s">
        <v>328</v>
      </c>
      <c r="AC12" s="14"/>
      <c r="AD12" s="14"/>
      <c r="AE12" s="14" t="s">
        <v>328</v>
      </c>
      <c r="AF12" s="14"/>
      <c r="AG12" s="14"/>
      <c r="AH12" s="14"/>
      <c r="AI12" s="14"/>
      <c r="AJ12" s="14"/>
      <c r="AK12" s="14"/>
      <c r="AL12" s="14"/>
      <c r="AM12" s="14"/>
      <c r="AN12" s="13">
        <v>7500</v>
      </c>
      <c r="AO12" s="13">
        <v>25000</v>
      </c>
      <c r="AP12" s="13">
        <v>10000</v>
      </c>
      <c r="AQ12" s="13">
        <v>80000</v>
      </c>
      <c r="AR12" s="13">
        <v>30000</v>
      </c>
      <c r="AS12" s="26">
        <v>0</v>
      </c>
      <c r="AT12" s="26">
        <v>0</v>
      </c>
      <c r="AU12" s="26">
        <v>97500</v>
      </c>
      <c r="AV12" s="26">
        <v>35000</v>
      </c>
      <c r="AW12" s="26">
        <v>12000</v>
      </c>
      <c r="AX12" s="62">
        <v>5000</v>
      </c>
      <c r="AZ12" s="14" t="s">
        <v>337</v>
      </c>
      <c r="BA12" s="249">
        <f t="shared" si="1"/>
        <v>1</v>
      </c>
      <c r="BB12" s="249">
        <v>0</v>
      </c>
      <c r="BC12" s="249">
        <f t="shared" si="0"/>
        <v>1999</v>
      </c>
    </row>
    <row r="13" spans="1:55" x14ac:dyDescent="0.25">
      <c r="A13" s="50" t="s">
        <v>1854</v>
      </c>
      <c r="B13" s="61" t="s">
        <v>312</v>
      </c>
      <c r="C13" s="14" t="s">
        <v>337</v>
      </c>
      <c r="D13" s="14">
        <v>1985</v>
      </c>
      <c r="E13" s="14"/>
      <c r="F13" s="14"/>
      <c r="G13" s="14"/>
      <c r="H13" s="14">
        <v>1998</v>
      </c>
      <c r="I13" s="14" t="s">
        <v>349</v>
      </c>
      <c r="J13" s="13">
        <v>1100000</v>
      </c>
      <c r="K13" s="14"/>
      <c r="L13" s="14"/>
      <c r="M13" s="14" t="s">
        <v>328</v>
      </c>
      <c r="N13" s="13">
        <v>10000</v>
      </c>
      <c r="O13" s="24">
        <v>0.5</v>
      </c>
      <c r="P13" s="14">
        <v>1</v>
      </c>
      <c r="Q13" s="14">
        <v>350</v>
      </c>
      <c r="R13" s="13">
        <v>750</v>
      </c>
      <c r="S13" s="14" t="s">
        <v>340</v>
      </c>
      <c r="T13" s="14">
        <v>1.8</v>
      </c>
      <c r="U13" s="14">
        <v>2</v>
      </c>
      <c r="V13" s="25">
        <v>485.86175942549369</v>
      </c>
      <c r="W13" s="26">
        <v>5412.5</v>
      </c>
      <c r="X13" s="14"/>
      <c r="Y13" s="14"/>
      <c r="Z13" s="14"/>
      <c r="AA13" s="14"/>
      <c r="AB13" s="14" t="s">
        <v>328</v>
      </c>
      <c r="AC13" s="14"/>
      <c r="AD13" s="14"/>
      <c r="AE13" s="14" t="s">
        <v>328</v>
      </c>
      <c r="AF13" s="14"/>
      <c r="AG13" s="14"/>
      <c r="AH13" s="14"/>
      <c r="AI13" s="14"/>
      <c r="AJ13" s="14"/>
      <c r="AK13" s="14"/>
      <c r="AL13" s="14"/>
      <c r="AM13" s="14"/>
      <c r="AN13" s="13">
        <v>7000</v>
      </c>
      <c r="AO13" s="13">
        <v>16000</v>
      </c>
      <c r="AP13" s="13">
        <v>10000</v>
      </c>
      <c r="AQ13" s="13">
        <v>80000</v>
      </c>
      <c r="AR13" s="13">
        <v>16000</v>
      </c>
      <c r="AS13" s="26">
        <v>0</v>
      </c>
      <c r="AT13" s="26">
        <v>0</v>
      </c>
      <c r="AU13" s="26">
        <v>50000</v>
      </c>
      <c r="AV13" s="26">
        <v>30000</v>
      </c>
      <c r="AW13" s="26">
        <v>15000</v>
      </c>
      <c r="AX13" s="62">
        <v>0</v>
      </c>
      <c r="AZ13" s="14" t="s">
        <v>337</v>
      </c>
      <c r="BA13" s="249">
        <f t="shared" si="1"/>
        <v>1</v>
      </c>
      <c r="BB13" s="249">
        <v>0</v>
      </c>
      <c r="BC13" s="249">
        <f t="shared" si="0"/>
        <v>1998</v>
      </c>
    </row>
    <row r="14" spans="1:55" x14ac:dyDescent="0.25">
      <c r="A14" s="50" t="s">
        <v>1854</v>
      </c>
      <c r="B14" s="61" t="s">
        <v>313</v>
      </c>
      <c r="C14" s="14" t="s">
        <v>337</v>
      </c>
      <c r="D14" s="14">
        <v>2000</v>
      </c>
      <c r="E14" s="14" t="s">
        <v>349</v>
      </c>
      <c r="F14" s="14"/>
      <c r="G14" s="14"/>
      <c r="H14" s="14"/>
      <c r="I14" s="14"/>
      <c r="J14" s="13">
        <v>600000</v>
      </c>
      <c r="K14" s="14"/>
      <c r="L14" s="14" t="s">
        <v>328</v>
      </c>
      <c r="M14" s="14"/>
      <c r="N14" s="13">
        <v>4166.666666666667</v>
      </c>
      <c r="O14" s="24">
        <v>0.5</v>
      </c>
      <c r="P14" s="14">
        <v>1</v>
      </c>
      <c r="Q14" s="14">
        <v>250</v>
      </c>
      <c r="R14" s="13">
        <v>475</v>
      </c>
      <c r="S14" s="14" t="s">
        <v>340</v>
      </c>
      <c r="T14" s="14">
        <v>1.7</v>
      </c>
      <c r="U14" s="14">
        <v>2.4</v>
      </c>
      <c r="V14" s="25">
        <v>168.31238779174146</v>
      </c>
      <c r="W14" s="26">
        <v>1875</v>
      </c>
      <c r="X14" s="14" t="s">
        <v>328</v>
      </c>
      <c r="Y14" s="14"/>
      <c r="Z14" s="14"/>
      <c r="AA14" s="14"/>
      <c r="AB14" s="14"/>
      <c r="AC14" s="14"/>
      <c r="AD14" s="14"/>
      <c r="AE14" s="14" t="s">
        <v>328</v>
      </c>
      <c r="AF14" s="14"/>
      <c r="AG14" s="14"/>
      <c r="AH14" s="14"/>
      <c r="AI14" s="14"/>
      <c r="AJ14" s="14"/>
      <c r="AK14" s="14"/>
      <c r="AL14" s="14"/>
      <c r="AM14" s="14"/>
      <c r="AN14" s="13">
        <v>6500</v>
      </c>
      <c r="AO14" s="13">
        <v>10000</v>
      </c>
      <c r="AP14" s="13">
        <v>10000</v>
      </c>
      <c r="AQ14" s="13">
        <v>100000</v>
      </c>
      <c r="AR14" s="13">
        <v>20000</v>
      </c>
      <c r="AS14" s="26">
        <v>0</v>
      </c>
      <c r="AT14" s="26">
        <v>50000</v>
      </c>
      <c r="AU14" s="26">
        <v>62500.000000000007</v>
      </c>
      <c r="AV14" s="26">
        <v>25000</v>
      </c>
      <c r="AW14" s="26">
        <v>15000</v>
      </c>
      <c r="AX14" s="62">
        <v>0</v>
      </c>
      <c r="AZ14" s="14" t="s">
        <v>337</v>
      </c>
      <c r="BA14" s="249">
        <f t="shared" si="1"/>
        <v>1</v>
      </c>
      <c r="BB14" s="249">
        <v>0</v>
      </c>
      <c r="BC14" s="249">
        <f t="shared" si="0"/>
        <v>2000</v>
      </c>
    </row>
    <row r="15" spans="1:55" x14ac:dyDescent="0.25">
      <c r="A15" s="50" t="s">
        <v>1854</v>
      </c>
      <c r="B15" s="61" t="s">
        <v>314</v>
      </c>
      <c r="C15" s="14" t="s">
        <v>359</v>
      </c>
      <c r="D15" s="14">
        <v>2004</v>
      </c>
      <c r="E15" s="14" t="s">
        <v>338</v>
      </c>
      <c r="F15" s="14"/>
      <c r="G15" s="14"/>
      <c r="H15" s="14"/>
      <c r="I15" s="14"/>
      <c r="J15" s="13">
        <v>560000</v>
      </c>
      <c r="K15" s="14"/>
      <c r="L15" s="14" t="s">
        <v>328</v>
      </c>
      <c r="M15" s="14"/>
      <c r="N15" s="13">
        <v>5000</v>
      </c>
      <c r="O15" s="24">
        <v>0.5</v>
      </c>
      <c r="P15" s="14">
        <v>1</v>
      </c>
      <c r="Q15" s="14">
        <v>350</v>
      </c>
      <c r="R15" s="13">
        <v>700</v>
      </c>
      <c r="S15" s="14" t="s">
        <v>340</v>
      </c>
      <c r="T15" s="14">
        <v>1.8</v>
      </c>
      <c r="U15" s="14">
        <v>2.5</v>
      </c>
      <c r="V15" s="25">
        <v>197.48653500897666</v>
      </c>
      <c r="W15" s="26">
        <v>2200</v>
      </c>
      <c r="X15" s="14"/>
      <c r="Y15" s="14"/>
      <c r="Z15" s="14"/>
      <c r="AA15" s="14"/>
      <c r="AB15" s="14"/>
      <c r="AC15" s="14" t="s">
        <v>328</v>
      </c>
      <c r="AD15" s="14"/>
      <c r="AE15" s="14" t="s">
        <v>328</v>
      </c>
      <c r="AF15" s="14"/>
      <c r="AG15" s="14"/>
      <c r="AH15" s="14"/>
      <c r="AI15" s="14"/>
      <c r="AJ15" s="14"/>
      <c r="AK15" s="14"/>
      <c r="AL15" s="14"/>
      <c r="AM15" s="14"/>
      <c r="AN15" s="13">
        <v>7500</v>
      </c>
      <c r="AO15" s="13">
        <v>15000</v>
      </c>
      <c r="AP15" s="13">
        <v>5000</v>
      </c>
      <c r="AQ15" s="13">
        <v>75000</v>
      </c>
      <c r="AR15" s="13">
        <v>15000</v>
      </c>
      <c r="AS15" s="26">
        <v>114000</v>
      </c>
      <c r="AT15" s="26">
        <v>0</v>
      </c>
      <c r="AU15" s="26">
        <v>120000</v>
      </c>
      <c r="AV15" s="26">
        <v>25000</v>
      </c>
      <c r="AW15" s="26">
        <v>15000</v>
      </c>
      <c r="AX15" s="62">
        <v>0</v>
      </c>
      <c r="AZ15" s="14" t="s">
        <v>359</v>
      </c>
      <c r="BA15" s="249">
        <f t="shared" si="1"/>
        <v>2</v>
      </c>
      <c r="BB15" s="249">
        <v>0</v>
      </c>
      <c r="BC15" s="249">
        <f t="shared" si="0"/>
        <v>2004</v>
      </c>
    </row>
    <row r="16" spans="1:55" x14ac:dyDescent="0.25">
      <c r="A16" s="50" t="s">
        <v>1854</v>
      </c>
      <c r="B16" s="61" t="s">
        <v>314</v>
      </c>
      <c r="C16" s="14" t="s">
        <v>348</v>
      </c>
      <c r="D16" s="14">
        <v>1992</v>
      </c>
      <c r="E16" s="14"/>
      <c r="F16" s="14">
        <v>2002</v>
      </c>
      <c r="G16" s="14" t="s">
        <v>349</v>
      </c>
      <c r="H16" s="14"/>
      <c r="I16" s="14"/>
      <c r="J16" s="13" t="s">
        <v>352</v>
      </c>
      <c r="K16" s="14"/>
      <c r="L16" s="14"/>
      <c r="M16" s="14" t="s">
        <v>328</v>
      </c>
      <c r="N16" s="13">
        <v>5000</v>
      </c>
      <c r="O16" s="24">
        <v>0.5</v>
      </c>
      <c r="P16" s="14">
        <v>1</v>
      </c>
      <c r="Q16" s="14">
        <v>250</v>
      </c>
      <c r="R16" s="13">
        <v>500</v>
      </c>
      <c r="S16" s="14" t="s">
        <v>340</v>
      </c>
      <c r="T16" s="14">
        <v>1.5</v>
      </c>
      <c r="U16" s="14">
        <v>2.2000000000000002</v>
      </c>
      <c r="V16" s="25">
        <v>251.34649910233392</v>
      </c>
      <c r="W16" s="26">
        <v>2800</v>
      </c>
      <c r="X16" s="14" t="s">
        <v>328</v>
      </c>
      <c r="Y16" s="14"/>
      <c r="Z16" s="14"/>
      <c r="AA16" s="14"/>
      <c r="AB16" s="14"/>
      <c r="AC16" s="14"/>
      <c r="AD16" s="14"/>
      <c r="AE16" s="14" t="s">
        <v>328</v>
      </c>
      <c r="AF16" s="14"/>
      <c r="AG16" s="14"/>
      <c r="AH16" s="14"/>
      <c r="AI16" s="14"/>
      <c r="AJ16" s="14"/>
      <c r="AK16" s="14"/>
      <c r="AL16" s="14"/>
      <c r="AM16" s="14"/>
      <c r="AN16" s="13">
        <v>7500</v>
      </c>
      <c r="AO16" s="13">
        <v>15000</v>
      </c>
      <c r="AP16" s="13">
        <v>6000</v>
      </c>
      <c r="AQ16" s="13">
        <v>75000</v>
      </c>
      <c r="AR16" s="13">
        <v>15000</v>
      </c>
      <c r="AS16" s="26">
        <v>108000</v>
      </c>
      <c r="AT16" s="26">
        <v>0</v>
      </c>
      <c r="AU16" s="26">
        <v>100000</v>
      </c>
      <c r="AV16" s="26">
        <v>30000</v>
      </c>
      <c r="AW16" s="26">
        <v>12000</v>
      </c>
      <c r="AX16" s="62">
        <v>14000</v>
      </c>
      <c r="AZ16" s="14" t="s">
        <v>348</v>
      </c>
      <c r="BA16" s="249">
        <f t="shared" si="1"/>
        <v>2</v>
      </c>
      <c r="BB16" s="249">
        <v>0</v>
      </c>
      <c r="BC16" s="249">
        <f t="shared" si="0"/>
        <v>2002</v>
      </c>
    </row>
    <row r="17" spans="1:55" x14ac:dyDescent="0.25">
      <c r="A17" s="50" t="s">
        <v>1854</v>
      </c>
      <c r="B17" s="61" t="s">
        <v>315</v>
      </c>
      <c r="C17" s="14" t="s">
        <v>337</v>
      </c>
      <c r="D17" s="14">
        <v>1996</v>
      </c>
      <c r="E17" s="14"/>
      <c r="F17" s="14"/>
      <c r="G17" s="14"/>
      <c r="H17" s="14">
        <v>2006</v>
      </c>
      <c r="I17" s="14" t="s">
        <v>360</v>
      </c>
      <c r="J17" s="13">
        <v>1150000</v>
      </c>
      <c r="K17" s="14"/>
      <c r="L17" s="14" t="s">
        <v>328</v>
      </c>
      <c r="M17" s="14"/>
      <c r="N17" s="13">
        <v>3750</v>
      </c>
      <c r="O17" s="24">
        <v>0.5</v>
      </c>
      <c r="P17" s="14">
        <v>1</v>
      </c>
      <c r="Q17" s="14">
        <v>250</v>
      </c>
      <c r="R17" s="13" t="s">
        <v>352</v>
      </c>
      <c r="S17" s="14" t="s">
        <v>340</v>
      </c>
      <c r="T17" s="14">
        <v>1.4</v>
      </c>
      <c r="U17" s="14">
        <v>2</v>
      </c>
      <c r="V17" s="25">
        <v>188.50987432675043</v>
      </c>
      <c r="W17" s="26">
        <v>2100</v>
      </c>
      <c r="X17" s="14"/>
      <c r="Y17" s="14" t="s">
        <v>328</v>
      </c>
      <c r="Z17" s="14"/>
      <c r="AA17" s="14"/>
      <c r="AB17" s="14"/>
      <c r="AC17" s="14"/>
      <c r="AD17" s="14"/>
      <c r="AE17" s="14" t="s">
        <v>328</v>
      </c>
      <c r="AF17" s="14"/>
      <c r="AG17" s="14"/>
      <c r="AH17" s="14"/>
      <c r="AI17" s="14"/>
      <c r="AJ17" s="14"/>
      <c r="AK17" s="14"/>
      <c r="AL17" s="14"/>
      <c r="AM17" s="14"/>
      <c r="AN17" s="13">
        <v>7000</v>
      </c>
      <c r="AO17" s="13">
        <v>40000</v>
      </c>
      <c r="AP17" s="13">
        <v>30000</v>
      </c>
      <c r="AQ17" s="13">
        <v>70000</v>
      </c>
      <c r="AR17" s="13">
        <v>100000</v>
      </c>
      <c r="AS17" s="26">
        <v>114000</v>
      </c>
      <c r="AT17" s="26">
        <v>50400</v>
      </c>
      <c r="AU17" s="26">
        <v>80357.142857142855</v>
      </c>
      <c r="AV17" s="26">
        <v>35000</v>
      </c>
      <c r="AW17" s="26">
        <v>12000</v>
      </c>
      <c r="AX17" s="62">
        <v>18000</v>
      </c>
      <c r="AZ17" s="14" t="s">
        <v>337</v>
      </c>
      <c r="BA17" s="249">
        <f t="shared" si="1"/>
        <v>7</v>
      </c>
      <c r="BB17" s="249">
        <v>0</v>
      </c>
      <c r="BC17" s="249">
        <f t="shared" si="0"/>
        <v>2006</v>
      </c>
    </row>
    <row r="18" spans="1:55" x14ac:dyDescent="0.25">
      <c r="A18" s="50" t="s">
        <v>1854</v>
      </c>
      <c r="B18" s="61" t="s">
        <v>315</v>
      </c>
      <c r="C18" s="14" t="s">
        <v>337</v>
      </c>
      <c r="D18" s="14">
        <v>1996</v>
      </c>
      <c r="E18" s="14"/>
      <c r="F18" s="14">
        <v>2007</v>
      </c>
      <c r="G18" s="14" t="s">
        <v>360</v>
      </c>
      <c r="H18" s="14"/>
      <c r="I18" s="14"/>
      <c r="J18" s="13">
        <v>1000000</v>
      </c>
      <c r="K18" s="14"/>
      <c r="L18" s="14" t="s">
        <v>328</v>
      </c>
      <c r="M18" s="14"/>
      <c r="N18" s="13">
        <v>3750</v>
      </c>
      <c r="O18" s="24">
        <v>0.5</v>
      </c>
      <c r="P18" s="14">
        <v>1</v>
      </c>
      <c r="Q18" s="14">
        <v>250</v>
      </c>
      <c r="R18" s="13" t="s">
        <v>352</v>
      </c>
      <c r="S18" s="14" t="s">
        <v>340</v>
      </c>
      <c r="T18" s="14">
        <v>1.4</v>
      </c>
      <c r="U18" s="14">
        <v>2</v>
      </c>
      <c r="V18" s="25">
        <v>188.50987432675043</v>
      </c>
      <c r="W18" s="26">
        <v>2100</v>
      </c>
      <c r="X18" s="14"/>
      <c r="Y18" s="14"/>
      <c r="Z18" s="14"/>
      <c r="AA18" s="14"/>
      <c r="AB18" s="14" t="s">
        <v>328</v>
      </c>
      <c r="AC18" s="14"/>
      <c r="AD18" s="14"/>
      <c r="AE18" s="14" t="s">
        <v>328</v>
      </c>
      <c r="AF18" s="14"/>
      <c r="AG18" s="14"/>
      <c r="AH18" s="14"/>
      <c r="AI18" s="14"/>
      <c r="AJ18" s="14"/>
      <c r="AK18" s="14"/>
      <c r="AL18" s="14"/>
      <c r="AM18" s="14"/>
      <c r="AN18" s="13">
        <v>7000</v>
      </c>
      <c r="AO18" s="13">
        <v>40000</v>
      </c>
      <c r="AP18" s="13">
        <v>30000</v>
      </c>
      <c r="AQ18" s="13">
        <v>70000</v>
      </c>
      <c r="AR18" s="13">
        <v>100000</v>
      </c>
      <c r="AS18" s="26">
        <v>114000</v>
      </c>
      <c r="AT18" s="26">
        <v>50400</v>
      </c>
      <c r="AU18" s="26">
        <v>80357.142857142855</v>
      </c>
      <c r="AV18" s="26">
        <v>35000</v>
      </c>
      <c r="AW18" s="26">
        <v>12000</v>
      </c>
      <c r="AX18" s="62">
        <v>14000</v>
      </c>
      <c r="AZ18" s="14" t="s">
        <v>337</v>
      </c>
      <c r="BA18" s="249">
        <f t="shared" si="1"/>
        <v>7</v>
      </c>
      <c r="BB18" s="249">
        <v>0</v>
      </c>
      <c r="BC18" s="249">
        <f t="shared" si="0"/>
        <v>2007</v>
      </c>
    </row>
    <row r="19" spans="1:55" x14ac:dyDescent="0.25">
      <c r="A19" s="50" t="s">
        <v>1854</v>
      </c>
      <c r="B19" s="61" t="s">
        <v>315</v>
      </c>
      <c r="C19" s="14" t="s">
        <v>337</v>
      </c>
      <c r="D19" s="14">
        <v>2000</v>
      </c>
      <c r="E19" s="14" t="s">
        <v>349</v>
      </c>
      <c r="F19" s="14"/>
      <c r="G19" s="14"/>
      <c r="H19" s="14"/>
      <c r="I19" s="14"/>
      <c r="J19" s="13">
        <v>650000</v>
      </c>
      <c r="K19" s="14"/>
      <c r="L19" s="14" t="s">
        <v>328</v>
      </c>
      <c r="M19" s="14"/>
      <c r="N19" s="13">
        <v>4166.666666666667</v>
      </c>
      <c r="O19" s="24">
        <v>0.5</v>
      </c>
      <c r="P19" s="14">
        <v>1</v>
      </c>
      <c r="Q19" s="14">
        <v>350</v>
      </c>
      <c r="R19" s="13" t="s">
        <v>352</v>
      </c>
      <c r="S19" s="14" t="s">
        <v>340</v>
      </c>
      <c r="T19" s="14">
        <v>1.5</v>
      </c>
      <c r="U19" s="14">
        <v>2.2000000000000002</v>
      </c>
      <c r="V19" s="25">
        <v>197.48653500897666</v>
      </c>
      <c r="W19" s="26">
        <v>2200</v>
      </c>
      <c r="X19" s="14"/>
      <c r="Y19" s="14"/>
      <c r="Z19" s="14"/>
      <c r="AA19" s="14"/>
      <c r="AB19" s="14" t="s">
        <v>328</v>
      </c>
      <c r="AC19" s="14"/>
      <c r="AD19" s="14"/>
      <c r="AE19" s="14" t="s">
        <v>328</v>
      </c>
      <c r="AF19" s="14"/>
      <c r="AG19" s="14"/>
      <c r="AH19" s="14"/>
      <c r="AI19" s="14"/>
      <c r="AJ19" s="14"/>
      <c r="AK19" s="14"/>
      <c r="AL19" s="14"/>
      <c r="AM19" s="14"/>
      <c r="AN19" s="13">
        <v>7000</v>
      </c>
      <c r="AO19" s="13">
        <v>60000</v>
      </c>
      <c r="AP19" s="13">
        <v>30000</v>
      </c>
      <c r="AQ19" s="13">
        <v>70000</v>
      </c>
      <c r="AR19" s="13">
        <v>100000</v>
      </c>
      <c r="AS19" s="26">
        <v>114000</v>
      </c>
      <c r="AT19" s="26">
        <v>50400</v>
      </c>
      <c r="AU19" s="26">
        <v>89285.714285714304</v>
      </c>
      <c r="AV19" s="26">
        <v>30000</v>
      </c>
      <c r="AW19" s="26">
        <v>12000</v>
      </c>
      <c r="AX19" s="62">
        <v>0</v>
      </c>
      <c r="AZ19" s="14" t="s">
        <v>337</v>
      </c>
      <c r="BA19" s="249">
        <f t="shared" si="1"/>
        <v>7</v>
      </c>
      <c r="BB19" s="249">
        <v>0</v>
      </c>
      <c r="BC19" s="249">
        <f t="shared" si="0"/>
        <v>2000</v>
      </c>
    </row>
    <row r="20" spans="1:55" x14ac:dyDescent="0.25">
      <c r="A20" s="50" t="s">
        <v>1854</v>
      </c>
      <c r="B20" s="61" t="s">
        <v>315</v>
      </c>
      <c r="C20" s="14" t="s">
        <v>337</v>
      </c>
      <c r="D20" s="14">
        <v>2001</v>
      </c>
      <c r="E20" s="14" t="s">
        <v>367</v>
      </c>
      <c r="F20" s="14"/>
      <c r="G20" s="14"/>
      <c r="H20" s="14"/>
      <c r="I20" s="14"/>
      <c r="J20" s="13">
        <v>550000</v>
      </c>
      <c r="K20" s="14" t="s">
        <v>328</v>
      </c>
      <c r="L20" s="14"/>
      <c r="M20" s="14"/>
      <c r="N20" s="13">
        <v>4166.666666666667</v>
      </c>
      <c r="O20" s="24">
        <v>0.5</v>
      </c>
      <c r="P20" s="14">
        <v>1</v>
      </c>
      <c r="Q20" s="14">
        <v>380</v>
      </c>
      <c r="R20" s="13" t="s">
        <v>352</v>
      </c>
      <c r="S20" s="14" t="s">
        <v>340</v>
      </c>
      <c r="T20" s="14">
        <v>1.5</v>
      </c>
      <c r="U20" s="14">
        <v>2.2000000000000002</v>
      </c>
      <c r="V20" s="25">
        <v>197.48653500897666</v>
      </c>
      <c r="W20" s="26">
        <v>2200</v>
      </c>
      <c r="X20" s="14"/>
      <c r="Y20" s="14"/>
      <c r="Z20" s="14"/>
      <c r="AA20" s="14"/>
      <c r="AB20" s="14" t="s">
        <v>328</v>
      </c>
      <c r="AC20" s="14"/>
      <c r="AD20" s="14"/>
      <c r="AE20" s="14" t="s">
        <v>328</v>
      </c>
      <c r="AF20" s="14"/>
      <c r="AG20" s="14"/>
      <c r="AH20" s="14"/>
      <c r="AI20" s="14"/>
      <c r="AJ20" s="14"/>
      <c r="AK20" s="14"/>
      <c r="AL20" s="14"/>
      <c r="AM20" s="14"/>
      <c r="AN20" s="13">
        <v>7000</v>
      </c>
      <c r="AO20" s="13">
        <v>60000</v>
      </c>
      <c r="AP20" s="13">
        <v>30000</v>
      </c>
      <c r="AQ20" s="13">
        <v>70000</v>
      </c>
      <c r="AR20" s="13">
        <v>100000</v>
      </c>
      <c r="AS20" s="26">
        <v>114000</v>
      </c>
      <c r="AT20" s="26">
        <v>50400</v>
      </c>
      <c r="AU20" s="26">
        <v>89285.714285714304</v>
      </c>
      <c r="AV20" s="26">
        <v>30000</v>
      </c>
      <c r="AW20" s="26">
        <v>12000</v>
      </c>
      <c r="AX20" s="62">
        <v>0</v>
      </c>
      <c r="AZ20" s="14" t="s">
        <v>337</v>
      </c>
      <c r="BA20" s="249">
        <f t="shared" si="1"/>
        <v>7</v>
      </c>
      <c r="BB20" s="249">
        <v>0</v>
      </c>
      <c r="BC20" s="249">
        <f t="shared" si="0"/>
        <v>2001</v>
      </c>
    </row>
    <row r="21" spans="1:55" x14ac:dyDescent="0.25">
      <c r="A21" s="50" t="s">
        <v>1854</v>
      </c>
      <c r="B21" s="61" t="s">
        <v>315</v>
      </c>
      <c r="C21" s="14" t="s">
        <v>337</v>
      </c>
      <c r="D21" s="14">
        <v>2006</v>
      </c>
      <c r="E21" s="14" t="s">
        <v>349</v>
      </c>
      <c r="F21" s="14"/>
      <c r="G21" s="14"/>
      <c r="H21" s="14"/>
      <c r="I21" s="14"/>
      <c r="J21" s="13">
        <v>400000</v>
      </c>
      <c r="K21" s="14" t="s">
        <v>328</v>
      </c>
      <c r="L21" s="14"/>
      <c r="M21" s="14"/>
      <c r="N21" s="13">
        <v>5000</v>
      </c>
      <c r="O21" s="24">
        <v>0.5</v>
      </c>
      <c r="P21" s="14">
        <v>1</v>
      </c>
      <c r="Q21" s="14">
        <v>380</v>
      </c>
      <c r="R21" s="13" t="s">
        <v>352</v>
      </c>
      <c r="S21" s="14" t="s">
        <v>340</v>
      </c>
      <c r="T21" s="14">
        <v>1.6</v>
      </c>
      <c r="U21" s="14">
        <v>2.4</v>
      </c>
      <c r="V21" s="25">
        <v>228.90484739676839</v>
      </c>
      <c r="W21" s="26">
        <v>2550</v>
      </c>
      <c r="X21" s="14"/>
      <c r="Y21" s="14"/>
      <c r="Z21" s="14"/>
      <c r="AA21" s="14"/>
      <c r="AB21" s="14" t="s">
        <v>328</v>
      </c>
      <c r="AC21" s="14"/>
      <c r="AD21" s="14"/>
      <c r="AE21" s="14" t="s">
        <v>328</v>
      </c>
      <c r="AF21" s="14"/>
      <c r="AG21" s="14"/>
      <c r="AH21" s="14" t="s">
        <v>328</v>
      </c>
      <c r="AI21" s="14"/>
      <c r="AJ21" s="14"/>
      <c r="AK21" s="14"/>
      <c r="AL21" s="14"/>
      <c r="AM21" s="14"/>
      <c r="AN21" s="13">
        <v>12500</v>
      </c>
      <c r="AO21" s="13">
        <v>60000</v>
      </c>
      <c r="AP21" s="13">
        <v>30000</v>
      </c>
      <c r="AQ21" s="13">
        <v>70000</v>
      </c>
      <c r="AR21" s="13">
        <v>200000</v>
      </c>
      <c r="AS21" s="26">
        <v>114000</v>
      </c>
      <c r="AT21" s="26">
        <v>50400</v>
      </c>
      <c r="AU21" s="26">
        <v>107142.85714285716</v>
      </c>
      <c r="AV21" s="26">
        <v>25000</v>
      </c>
      <c r="AW21" s="26">
        <v>12000</v>
      </c>
      <c r="AX21" s="62">
        <v>0</v>
      </c>
      <c r="AZ21" s="14" t="s">
        <v>337</v>
      </c>
      <c r="BA21" s="249">
        <f t="shared" si="1"/>
        <v>7</v>
      </c>
      <c r="BB21" s="249">
        <v>0</v>
      </c>
      <c r="BC21" s="249">
        <f t="shared" si="0"/>
        <v>2006</v>
      </c>
    </row>
    <row r="22" spans="1:55" x14ac:dyDescent="0.25">
      <c r="A22" s="50" t="s">
        <v>1854</v>
      </c>
      <c r="B22" s="61" t="s">
        <v>315</v>
      </c>
      <c r="C22" s="14" t="s">
        <v>337</v>
      </c>
      <c r="D22" s="14">
        <v>2007</v>
      </c>
      <c r="E22" s="14" t="s">
        <v>338</v>
      </c>
      <c r="F22" s="14"/>
      <c r="G22" s="14"/>
      <c r="H22" s="14"/>
      <c r="I22" s="14"/>
      <c r="J22" s="13">
        <v>350000</v>
      </c>
      <c r="K22" s="14" t="s">
        <v>328</v>
      </c>
      <c r="L22" s="14"/>
      <c r="M22" s="14"/>
      <c r="N22" s="13">
        <v>5000</v>
      </c>
      <c r="O22" s="24">
        <v>0.5</v>
      </c>
      <c r="P22" s="14">
        <v>1</v>
      </c>
      <c r="Q22" s="14">
        <v>380</v>
      </c>
      <c r="R22" s="13" t="s">
        <v>352</v>
      </c>
      <c r="S22" s="14" t="s">
        <v>340</v>
      </c>
      <c r="T22" s="14">
        <v>1.6</v>
      </c>
      <c r="U22" s="14">
        <v>2.4</v>
      </c>
      <c r="V22" s="25">
        <v>228.90484739676839</v>
      </c>
      <c r="W22" s="26">
        <v>2550</v>
      </c>
      <c r="X22" s="14"/>
      <c r="Y22" s="14"/>
      <c r="Z22" s="14"/>
      <c r="AA22" s="14"/>
      <c r="AB22" s="14" t="s">
        <v>328</v>
      </c>
      <c r="AC22" s="14"/>
      <c r="AD22" s="14" t="s">
        <v>328</v>
      </c>
      <c r="AE22" s="14" t="s">
        <v>328</v>
      </c>
      <c r="AF22" s="14"/>
      <c r="AG22" s="14"/>
      <c r="AH22" s="14" t="s">
        <v>328</v>
      </c>
      <c r="AI22" s="14"/>
      <c r="AJ22" s="14"/>
      <c r="AK22" s="14"/>
      <c r="AL22" s="14"/>
      <c r="AM22" s="14"/>
      <c r="AN22" s="13">
        <v>12500</v>
      </c>
      <c r="AO22" s="13">
        <v>60000</v>
      </c>
      <c r="AP22" s="13">
        <v>30000</v>
      </c>
      <c r="AQ22" s="13">
        <v>70000</v>
      </c>
      <c r="AR22" s="13">
        <v>200000</v>
      </c>
      <c r="AS22" s="26">
        <v>114000</v>
      </c>
      <c r="AT22" s="26">
        <v>50400</v>
      </c>
      <c r="AU22" s="26">
        <v>107142.85714285716</v>
      </c>
      <c r="AV22" s="26">
        <v>25000</v>
      </c>
      <c r="AW22" s="26">
        <v>12000</v>
      </c>
      <c r="AX22" s="62">
        <v>0</v>
      </c>
      <c r="AZ22" s="14" t="s">
        <v>337</v>
      </c>
      <c r="BA22" s="249">
        <f t="shared" si="1"/>
        <v>7</v>
      </c>
      <c r="BB22" s="249">
        <v>0</v>
      </c>
      <c r="BC22" s="249">
        <f t="shared" si="0"/>
        <v>2007</v>
      </c>
    </row>
    <row r="23" spans="1:55" x14ac:dyDescent="0.25">
      <c r="A23" s="50" t="s">
        <v>1854</v>
      </c>
      <c r="B23" s="61" t="s">
        <v>315</v>
      </c>
      <c r="C23" s="14" t="s">
        <v>337</v>
      </c>
      <c r="D23" s="14">
        <v>2008</v>
      </c>
      <c r="E23" s="14" t="s">
        <v>338</v>
      </c>
      <c r="F23" s="14"/>
      <c r="G23" s="14"/>
      <c r="H23" s="14"/>
      <c r="I23" s="14"/>
      <c r="J23" s="13">
        <v>300000</v>
      </c>
      <c r="K23" s="14" t="s">
        <v>328</v>
      </c>
      <c r="L23" s="14"/>
      <c r="M23" s="14"/>
      <c r="N23" s="13">
        <v>5000</v>
      </c>
      <c r="O23" s="24">
        <v>0.5</v>
      </c>
      <c r="P23" s="14">
        <v>1</v>
      </c>
      <c r="Q23" s="14">
        <v>380</v>
      </c>
      <c r="R23" s="13" t="s">
        <v>352</v>
      </c>
      <c r="S23" s="14" t="s">
        <v>340</v>
      </c>
      <c r="T23" s="14">
        <v>1.6</v>
      </c>
      <c r="U23" s="14">
        <v>2.5</v>
      </c>
      <c r="V23" s="25">
        <v>228.90484739676839</v>
      </c>
      <c r="W23" s="26">
        <v>2550</v>
      </c>
      <c r="X23" s="14"/>
      <c r="Y23" s="14"/>
      <c r="Z23" s="14"/>
      <c r="AA23" s="14"/>
      <c r="AB23" s="14" t="s">
        <v>328</v>
      </c>
      <c r="AC23" s="14"/>
      <c r="AD23" s="14" t="s">
        <v>328</v>
      </c>
      <c r="AE23" s="14" t="s">
        <v>328</v>
      </c>
      <c r="AF23" s="14"/>
      <c r="AG23" s="14"/>
      <c r="AH23" s="14" t="s">
        <v>328</v>
      </c>
      <c r="AI23" s="14"/>
      <c r="AJ23" s="14"/>
      <c r="AK23" s="14"/>
      <c r="AL23" s="14"/>
      <c r="AM23" s="14"/>
      <c r="AN23" s="13">
        <v>12500</v>
      </c>
      <c r="AO23" s="13">
        <v>60000</v>
      </c>
      <c r="AP23" s="13">
        <v>30000</v>
      </c>
      <c r="AQ23" s="13">
        <v>70000</v>
      </c>
      <c r="AR23" s="13">
        <v>200000</v>
      </c>
      <c r="AS23" s="26">
        <v>114000</v>
      </c>
      <c r="AT23" s="26">
        <v>50400</v>
      </c>
      <c r="AU23" s="26">
        <v>107142.85714285716</v>
      </c>
      <c r="AV23" s="26">
        <v>25000</v>
      </c>
      <c r="AW23" s="26">
        <v>12000</v>
      </c>
      <c r="AX23" s="62">
        <v>0</v>
      </c>
      <c r="AZ23" s="14" t="s">
        <v>337</v>
      </c>
      <c r="BA23" s="249">
        <f t="shared" si="1"/>
        <v>7</v>
      </c>
      <c r="BB23" s="249">
        <v>0</v>
      </c>
      <c r="BC23" s="249">
        <f t="shared" si="0"/>
        <v>2008</v>
      </c>
    </row>
    <row r="24" spans="1:55" x14ac:dyDescent="0.25">
      <c r="A24" s="50" t="s">
        <v>1854</v>
      </c>
      <c r="B24" s="61" t="s">
        <v>316</v>
      </c>
      <c r="C24" s="14" t="s">
        <v>351</v>
      </c>
      <c r="D24" s="14">
        <v>1994</v>
      </c>
      <c r="E24" s="14" t="s">
        <v>360</v>
      </c>
      <c r="F24" s="14"/>
      <c r="G24" s="14"/>
      <c r="H24" s="14"/>
      <c r="I24" s="14"/>
      <c r="J24" s="13">
        <v>750000</v>
      </c>
      <c r="K24" s="14" t="s">
        <v>328</v>
      </c>
      <c r="L24" s="14"/>
      <c r="M24" s="14"/>
      <c r="N24" s="13">
        <v>2500</v>
      </c>
      <c r="O24" s="24">
        <v>0.5</v>
      </c>
      <c r="P24" s="14">
        <v>1</v>
      </c>
      <c r="Q24" s="14">
        <v>380</v>
      </c>
      <c r="R24" s="13">
        <v>675</v>
      </c>
      <c r="S24" s="14" t="s">
        <v>340</v>
      </c>
      <c r="T24" s="14">
        <v>1.7</v>
      </c>
      <c r="U24" s="14">
        <v>2.1</v>
      </c>
      <c r="V24" s="25">
        <v>116.69658886894075</v>
      </c>
      <c r="W24" s="26">
        <v>1300</v>
      </c>
      <c r="X24" s="14"/>
      <c r="Y24" s="14"/>
      <c r="Z24" s="14"/>
      <c r="AA24" s="14"/>
      <c r="AB24" s="14" t="s">
        <v>328</v>
      </c>
      <c r="AC24" s="14"/>
      <c r="AD24" s="14"/>
      <c r="AE24" s="14" t="s">
        <v>328</v>
      </c>
      <c r="AF24" s="14"/>
      <c r="AG24" s="14"/>
      <c r="AH24" s="14"/>
      <c r="AI24" s="14"/>
      <c r="AJ24" s="14"/>
      <c r="AK24" s="14"/>
      <c r="AL24" s="14"/>
      <c r="AM24" s="14"/>
      <c r="AN24" s="13">
        <v>6000</v>
      </c>
      <c r="AO24" s="13">
        <v>10000</v>
      </c>
      <c r="AP24" s="13">
        <v>30000</v>
      </c>
      <c r="AQ24" s="13">
        <v>80000</v>
      </c>
      <c r="AR24" s="13">
        <v>16000</v>
      </c>
      <c r="AS24" s="26">
        <v>105600</v>
      </c>
      <c r="AT24" s="26">
        <v>48000</v>
      </c>
      <c r="AU24" s="26">
        <v>46875</v>
      </c>
      <c r="AV24" s="26">
        <v>40000</v>
      </c>
      <c r="AW24" s="26">
        <v>15000</v>
      </c>
      <c r="AX24" s="62">
        <v>0</v>
      </c>
      <c r="AZ24" s="14" t="s">
        <v>351</v>
      </c>
      <c r="BA24" s="249">
        <f t="shared" si="1"/>
        <v>2</v>
      </c>
      <c r="BB24" s="249">
        <v>0</v>
      </c>
      <c r="BC24" s="249">
        <f t="shared" si="0"/>
        <v>1994</v>
      </c>
    </row>
    <row r="25" spans="1:55" x14ac:dyDescent="0.25">
      <c r="A25" s="50" t="s">
        <v>1854</v>
      </c>
      <c r="B25" s="61" t="s">
        <v>316</v>
      </c>
      <c r="C25" s="14" t="s">
        <v>351</v>
      </c>
      <c r="D25" s="14">
        <v>1994</v>
      </c>
      <c r="E25" s="14"/>
      <c r="F25" s="14">
        <v>2004</v>
      </c>
      <c r="G25" s="14" t="s">
        <v>360</v>
      </c>
      <c r="H25" s="14"/>
      <c r="I25" s="14"/>
      <c r="J25" s="13">
        <v>800000</v>
      </c>
      <c r="K25" s="14" t="s">
        <v>328</v>
      </c>
      <c r="L25" s="14"/>
      <c r="M25" s="14"/>
      <c r="N25" s="13">
        <v>2500</v>
      </c>
      <c r="O25" s="24">
        <v>0.5</v>
      </c>
      <c r="P25" s="14">
        <v>1</v>
      </c>
      <c r="Q25" s="14">
        <v>380</v>
      </c>
      <c r="R25" s="13">
        <v>675</v>
      </c>
      <c r="S25" s="14" t="s">
        <v>340</v>
      </c>
      <c r="T25" s="14">
        <v>1.7</v>
      </c>
      <c r="U25" s="14">
        <v>2.1</v>
      </c>
      <c r="V25" s="25">
        <v>116.69658886894075</v>
      </c>
      <c r="W25" s="26">
        <v>1300</v>
      </c>
      <c r="X25" s="14"/>
      <c r="Y25" s="14"/>
      <c r="Z25" s="14"/>
      <c r="AA25" s="14"/>
      <c r="AB25" s="14" t="s">
        <v>328</v>
      </c>
      <c r="AC25" s="14"/>
      <c r="AD25" s="14"/>
      <c r="AE25" s="14" t="s">
        <v>328</v>
      </c>
      <c r="AF25" s="14"/>
      <c r="AG25" s="14"/>
      <c r="AH25" s="14"/>
      <c r="AI25" s="14"/>
      <c r="AJ25" s="14"/>
      <c r="AK25" s="14"/>
      <c r="AL25" s="14"/>
      <c r="AM25" s="14"/>
      <c r="AN25" s="13">
        <v>6000</v>
      </c>
      <c r="AO25" s="13">
        <v>10000</v>
      </c>
      <c r="AP25" s="13">
        <v>30000</v>
      </c>
      <c r="AQ25" s="13">
        <v>80000</v>
      </c>
      <c r="AR25" s="13">
        <v>16000</v>
      </c>
      <c r="AS25" s="26">
        <v>105600</v>
      </c>
      <c r="AT25" s="26">
        <v>48000</v>
      </c>
      <c r="AU25" s="26">
        <v>46875</v>
      </c>
      <c r="AV25" s="26">
        <v>40000</v>
      </c>
      <c r="AW25" s="26">
        <v>15000</v>
      </c>
      <c r="AX25" s="62">
        <v>0</v>
      </c>
      <c r="AZ25" s="14" t="s">
        <v>351</v>
      </c>
      <c r="BA25" s="249">
        <f t="shared" si="1"/>
        <v>2</v>
      </c>
      <c r="BB25" s="249">
        <v>0</v>
      </c>
      <c r="BC25" s="249">
        <f t="shared" si="0"/>
        <v>2004</v>
      </c>
    </row>
    <row r="26" spans="1:55" x14ac:dyDescent="0.25">
      <c r="A26" s="50" t="s">
        <v>1854</v>
      </c>
      <c r="B26" s="61" t="s">
        <v>317</v>
      </c>
      <c r="C26" s="14" t="s">
        <v>351</v>
      </c>
      <c r="D26" s="14">
        <v>1994</v>
      </c>
      <c r="E26" s="14" t="s">
        <v>349</v>
      </c>
      <c r="F26" s="14"/>
      <c r="G26" s="14"/>
      <c r="H26" s="14"/>
      <c r="I26" s="14"/>
      <c r="J26" s="13">
        <v>720000</v>
      </c>
      <c r="K26" s="14"/>
      <c r="L26" s="14"/>
      <c r="M26" s="14" t="s">
        <v>328</v>
      </c>
      <c r="N26" s="13">
        <v>3000</v>
      </c>
      <c r="O26" s="24">
        <v>0.3</v>
      </c>
      <c r="P26" s="14">
        <v>1</v>
      </c>
      <c r="Q26" s="14">
        <v>380</v>
      </c>
      <c r="R26" s="13">
        <v>750</v>
      </c>
      <c r="S26" s="14" t="s">
        <v>340</v>
      </c>
      <c r="T26" s="14">
        <v>1.9</v>
      </c>
      <c r="U26" s="14">
        <v>2.2999999999999998</v>
      </c>
      <c r="V26" s="25">
        <v>134.64991023339317</v>
      </c>
      <c r="W26" s="26">
        <v>1500</v>
      </c>
      <c r="X26" s="14"/>
      <c r="Y26" s="14"/>
      <c r="Z26" s="14"/>
      <c r="AA26" s="14"/>
      <c r="AB26" s="14"/>
      <c r="AC26" s="14" t="s">
        <v>328</v>
      </c>
      <c r="AD26" s="14" t="s">
        <v>328</v>
      </c>
      <c r="AE26" s="14" t="s">
        <v>328</v>
      </c>
      <c r="AF26" s="14"/>
      <c r="AG26" s="14"/>
      <c r="AH26" s="14"/>
      <c r="AI26" s="14"/>
      <c r="AJ26" s="14"/>
      <c r="AK26" s="14"/>
      <c r="AL26" s="14"/>
      <c r="AM26" s="14"/>
      <c r="AN26" s="13">
        <v>7000</v>
      </c>
      <c r="AO26" s="13">
        <v>25000</v>
      </c>
      <c r="AP26" s="13">
        <v>12000</v>
      </c>
      <c r="AQ26" s="13">
        <v>80000</v>
      </c>
      <c r="AR26" s="13">
        <v>20000</v>
      </c>
      <c r="AS26" s="26">
        <v>96000</v>
      </c>
      <c r="AT26" s="26">
        <v>45600</v>
      </c>
      <c r="AU26" s="26">
        <v>50000</v>
      </c>
      <c r="AV26" s="26">
        <v>30000</v>
      </c>
      <c r="AW26" s="26">
        <v>12000</v>
      </c>
      <c r="AX26" s="62">
        <v>0</v>
      </c>
      <c r="AZ26" s="14" t="s">
        <v>351</v>
      </c>
      <c r="BA26" s="249">
        <f t="shared" si="1"/>
        <v>5</v>
      </c>
      <c r="BB26" s="249">
        <v>0</v>
      </c>
      <c r="BC26" s="249">
        <f t="shared" si="0"/>
        <v>1994</v>
      </c>
    </row>
    <row r="27" spans="1:55" x14ac:dyDescent="0.25">
      <c r="A27" s="50" t="s">
        <v>1854</v>
      </c>
      <c r="B27" s="61" t="s">
        <v>317</v>
      </c>
      <c r="C27" s="14" t="s">
        <v>348</v>
      </c>
      <c r="D27" s="14">
        <v>1994</v>
      </c>
      <c r="E27" s="14" t="s">
        <v>349</v>
      </c>
      <c r="F27" s="14"/>
      <c r="G27" s="14"/>
      <c r="H27" s="14"/>
      <c r="I27" s="14"/>
      <c r="J27" s="13">
        <v>700000</v>
      </c>
      <c r="K27" s="14"/>
      <c r="L27" s="14"/>
      <c r="M27" s="14" t="s">
        <v>328</v>
      </c>
      <c r="N27" s="13">
        <v>3000</v>
      </c>
      <c r="O27" s="24">
        <v>0.3</v>
      </c>
      <c r="P27" s="14">
        <v>1</v>
      </c>
      <c r="Q27" s="14">
        <v>380</v>
      </c>
      <c r="R27" s="13">
        <v>750</v>
      </c>
      <c r="S27" s="14" t="s">
        <v>340</v>
      </c>
      <c r="T27" s="14">
        <v>1.9</v>
      </c>
      <c r="U27" s="14">
        <v>2.2999999999999998</v>
      </c>
      <c r="V27" s="25">
        <v>134.64991023339317</v>
      </c>
      <c r="W27" s="26">
        <v>1500</v>
      </c>
      <c r="X27" s="14"/>
      <c r="Y27" s="14"/>
      <c r="Z27" s="14"/>
      <c r="AA27" s="14"/>
      <c r="AB27" s="14"/>
      <c r="AC27" s="14" t="s">
        <v>328</v>
      </c>
      <c r="AD27" s="14"/>
      <c r="AE27" s="14" t="s">
        <v>328</v>
      </c>
      <c r="AF27" s="14"/>
      <c r="AG27" s="14"/>
      <c r="AH27" s="14"/>
      <c r="AI27" s="14"/>
      <c r="AJ27" s="14"/>
      <c r="AK27" s="14"/>
      <c r="AL27" s="14"/>
      <c r="AM27" s="14"/>
      <c r="AN27" s="13">
        <v>7000</v>
      </c>
      <c r="AO27" s="13">
        <v>25000</v>
      </c>
      <c r="AP27" s="13">
        <v>12000</v>
      </c>
      <c r="AQ27" s="13">
        <v>80000</v>
      </c>
      <c r="AR27" s="13">
        <v>20000</v>
      </c>
      <c r="AS27" s="26">
        <v>96000</v>
      </c>
      <c r="AT27" s="26">
        <v>45600</v>
      </c>
      <c r="AU27" s="26">
        <v>40000</v>
      </c>
      <c r="AV27" s="26">
        <v>30000</v>
      </c>
      <c r="AW27" s="26">
        <v>12000</v>
      </c>
      <c r="AX27" s="62">
        <v>0</v>
      </c>
      <c r="AZ27" s="14" t="s">
        <v>348</v>
      </c>
      <c r="BA27" s="249">
        <f t="shared" si="1"/>
        <v>5</v>
      </c>
      <c r="BB27" s="249">
        <v>0</v>
      </c>
      <c r="BC27" s="249">
        <f t="shared" si="0"/>
        <v>1994</v>
      </c>
    </row>
    <row r="28" spans="1:55" x14ac:dyDescent="0.25">
      <c r="A28" s="50" t="s">
        <v>1854</v>
      </c>
      <c r="B28" s="61" t="s">
        <v>317</v>
      </c>
      <c r="C28" s="14" t="s">
        <v>348</v>
      </c>
      <c r="D28" s="14">
        <v>1993</v>
      </c>
      <c r="E28" s="14" t="s">
        <v>370</v>
      </c>
      <c r="F28" s="14"/>
      <c r="G28" s="14"/>
      <c r="H28" s="14"/>
      <c r="I28" s="14"/>
      <c r="J28" s="13">
        <v>760000</v>
      </c>
      <c r="K28" s="14"/>
      <c r="L28" s="14" t="s">
        <v>328</v>
      </c>
      <c r="M28" s="14"/>
      <c r="N28" s="13">
        <v>3000</v>
      </c>
      <c r="O28" s="24">
        <v>0.3</v>
      </c>
      <c r="P28" s="14">
        <v>1</v>
      </c>
      <c r="Q28" s="14">
        <v>250</v>
      </c>
      <c r="R28" s="13">
        <v>500</v>
      </c>
      <c r="S28" s="14" t="s">
        <v>340</v>
      </c>
      <c r="T28" s="14">
        <v>1.9</v>
      </c>
      <c r="U28" s="14">
        <v>2.2999999999999998</v>
      </c>
      <c r="V28" s="25">
        <v>134.64991023339317</v>
      </c>
      <c r="W28" s="26">
        <v>1500</v>
      </c>
      <c r="X28" s="14"/>
      <c r="Y28" s="14"/>
      <c r="Z28" s="14"/>
      <c r="AA28" s="14"/>
      <c r="AB28" s="14" t="s">
        <v>328</v>
      </c>
      <c r="AC28" s="14"/>
      <c r="AD28" s="14"/>
      <c r="AE28" s="14" t="s">
        <v>328</v>
      </c>
      <c r="AF28" s="14"/>
      <c r="AG28" s="14"/>
      <c r="AH28" s="14"/>
      <c r="AI28" s="14"/>
      <c r="AJ28" s="14"/>
      <c r="AK28" s="14"/>
      <c r="AL28" s="14"/>
      <c r="AM28" s="14"/>
      <c r="AN28" s="13">
        <v>7000</v>
      </c>
      <c r="AO28" s="13">
        <v>25000</v>
      </c>
      <c r="AP28" s="13">
        <v>12000</v>
      </c>
      <c r="AQ28" s="13">
        <v>80000</v>
      </c>
      <c r="AR28" s="13">
        <v>20000</v>
      </c>
      <c r="AS28" s="26">
        <v>96000</v>
      </c>
      <c r="AT28" s="26">
        <v>45600</v>
      </c>
      <c r="AU28" s="26">
        <v>40000</v>
      </c>
      <c r="AV28" s="26">
        <v>30000</v>
      </c>
      <c r="AW28" s="26">
        <v>12000</v>
      </c>
      <c r="AX28" s="62">
        <v>12000</v>
      </c>
      <c r="AZ28" s="14" t="s">
        <v>348</v>
      </c>
      <c r="BA28" s="249">
        <f t="shared" si="1"/>
        <v>5</v>
      </c>
      <c r="BB28" s="249">
        <v>0</v>
      </c>
      <c r="BC28" s="249">
        <f t="shared" si="0"/>
        <v>1993</v>
      </c>
    </row>
    <row r="29" spans="1:55" x14ac:dyDescent="0.25">
      <c r="A29" s="50" t="s">
        <v>1854</v>
      </c>
      <c r="B29" s="61" t="s">
        <v>317</v>
      </c>
      <c r="C29" s="14" t="s">
        <v>348</v>
      </c>
      <c r="D29" s="14">
        <v>1990</v>
      </c>
      <c r="E29" s="14"/>
      <c r="F29" s="14">
        <v>1998</v>
      </c>
      <c r="G29" s="14" t="s">
        <v>360</v>
      </c>
      <c r="H29" s="14"/>
      <c r="I29" s="14"/>
      <c r="J29" s="13">
        <v>850000</v>
      </c>
      <c r="K29" s="14"/>
      <c r="L29" s="14" t="s">
        <v>328</v>
      </c>
      <c r="M29" s="14"/>
      <c r="N29" s="13">
        <v>3000</v>
      </c>
      <c r="O29" s="24">
        <v>0.3</v>
      </c>
      <c r="P29" s="14">
        <v>1</v>
      </c>
      <c r="Q29" s="14">
        <v>250</v>
      </c>
      <c r="R29" s="13">
        <v>400</v>
      </c>
      <c r="S29" s="14" t="s">
        <v>371</v>
      </c>
      <c r="T29" s="14">
        <v>1.6</v>
      </c>
      <c r="U29" s="14">
        <v>2</v>
      </c>
      <c r="V29" s="25">
        <v>152.60323159784559</v>
      </c>
      <c r="W29" s="26">
        <v>1700</v>
      </c>
      <c r="X29" s="14"/>
      <c r="Y29" s="14"/>
      <c r="Z29" s="14"/>
      <c r="AA29" s="14"/>
      <c r="AB29" s="14" t="s">
        <v>328</v>
      </c>
      <c r="AC29" s="14"/>
      <c r="AD29" s="14"/>
      <c r="AE29" s="14" t="s">
        <v>328</v>
      </c>
      <c r="AF29" s="14"/>
      <c r="AG29" s="14"/>
      <c r="AH29" s="14"/>
      <c r="AI29" s="14"/>
      <c r="AJ29" s="14"/>
      <c r="AK29" s="14"/>
      <c r="AL29" s="14"/>
      <c r="AM29" s="14"/>
      <c r="AN29" s="13">
        <v>7000</v>
      </c>
      <c r="AO29" s="13">
        <v>20000</v>
      </c>
      <c r="AP29" s="13">
        <v>12000</v>
      </c>
      <c r="AQ29" s="13">
        <v>80000</v>
      </c>
      <c r="AR29" s="13" t="s">
        <v>385</v>
      </c>
      <c r="AS29" s="26">
        <v>96000</v>
      </c>
      <c r="AT29" s="26">
        <v>45600</v>
      </c>
      <c r="AU29" s="26">
        <v>40000</v>
      </c>
      <c r="AV29" s="26">
        <v>40000</v>
      </c>
      <c r="AW29" s="26">
        <v>12000</v>
      </c>
      <c r="AX29" s="62">
        <v>0</v>
      </c>
      <c r="AZ29" s="14" t="s">
        <v>348</v>
      </c>
      <c r="BA29" s="249">
        <f t="shared" si="1"/>
        <v>5</v>
      </c>
      <c r="BB29" s="249">
        <v>0</v>
      </c>
      <c r="BC29" s="249">
        <f t="shared" si="0"/>
        <v>1998</v>
      </c>
    </row>
    <row r="30" spans="1:55" x14ac:dyDescent="0.25">
      <c r="A30" s="50" t="s">
        <v>1854</v>
      </c>
      <c r="B30" s="61" t="s">
        <v>317</v>
      </c>
      <c r="C30" s="14" t="s">
        <v>348</v>
      </c>
      <c r="D30" s="14">
        <v>1982</v>
      </c>
      <c r="E30" s="14" t="s">
        <v>370</v>
      </c>
      <c r="F30" s="14"/>
      <c r="G30" s="14"/>
      <c r="H30" s="14"/>
      <c r="I30" s="14"/>
      <c r="J30" s="13">
        <v>1150000</v>
      </c>
      <c r="K30" s="14"/>
      <c r="L30" s="14"/>
      <c r="M30" s="14" t="s">
        <v>328</v>
      </c>
      <c r="N30" s="13">
        <v>3000</v>
      </c>
      <c r="O30" s="24">
        <v>0.3</v>
      </c>
      <c r="P30" s="14">
        <v>1</v>
      </c>
      <c r="Q30" s="14">
        <v>250</v>
      </c>
      <c r="R30" s="13">
        <v>400</v>
      </c>
      <c r="S30" s="14" t="s">
        <v>371</v>
      </c>
      <c r="T30" s="14">
        <v>1.6</v>
      </c>
      <c r="U30" s="14">
        <v>2</v>
      </c>
      <c r="V30" s="25">
        <v>152.60323159784559</v>
      </c>
      <c r="W30" s="26">
        <v>1700</v>
      </c>
      <c r="X30" s="14"/>
      <c r="Y30" s="14"/>
      <c r="Z30" s="14"/>
      <c r="AA30" s="14"/>
      <c r="AB30" s="14" t="s">
        <v>328</v>
      </c>
      <c r="AC30" s="14"/>
      <c r="AD30" s="14"/>
      <c r="AE30" s="14" t="s">
        <v>328</v>
      </c>
      <c r="AF30" s="14"/>
      <c r="AG30" s="14"/>
      <c r="AH30" s="14"/>
      <c r="AI30" s="14"/>
      <c r="AJ30" s="14"/>
      <c r="AK30" s="14"/>
      <c r="AL30" s="14"/>
      <c r="AM30" s="14"/>
      <c r="AN30" s="13">
        <v>7000</v>
      </c>
      <c r="AO30" s="13">
        <v>20000</v>
      </c>
      <c r="AP30" s="13">
        <v>12000</v>
      </c>
      <c r="AQ30" s="13">
        <v>80000</v>
      </c>
      <c r="AR30" s="13" t="s">
        <v>385</v>
      </c>
      <c r="AS30" s="26">
        <v>96000</v>
      </c>
      <c r="AT30" s="26">
        <v>45600</v>
      </c>
      <c r="AU30" s="26">
        <v>40000</v>
      </c>
      <c r="AV30" s="26">
        <v>40000</v>
      </c>
      <c r="AW30" s="26">
        <v>12000</v>
      </c>
      <c r="AX30" s="62">
        <v>18000</v>
      </c>
      <c r="AZ30" s="14" t="s">
        <v>348</v>
      </c>
      <c r="BA30" s="249">
        <f t="shared" si="1"/>
        <v>5</v>
      </c>
      <c r="BB30" s="249">
        <v>0</v>
      </c>
      <c r="BC30" s="249">
        <f t="shared" si="0"/>
        <v>1982</v>
      </c>
    </row>
    <row r="31" spans="1:55" x14ac:dyDescent="0.25">
      <c r="A31" s="50" t="s">
        <v>1854</v>
      </c>
      <c r="B31" s="61" t="s">
        <v>318</v>
      </c>
      <c r="C31" s="14" t="s">
        <v>351</v>
      </c>
      <c r="D31" s="14">
        <v>1994</v>
      </c>
      <c r="E31" s="14" t="s">
        <v>370</v>
      </c>
      <c r="F31" s="14"/>
      <c r="G31" s="14"/>
      <c r="H31" s="14"/>
      <c r="I31" s="14"/>
      <c r="J31" s="13">
        <v>500000</v>
      </c>
      <c r="K31" s="14"/>
      <c r="L31" s="14"/>
      <c r="M31" s="14" t="s">
        <v>328</v>
      </c>
      <c r="N31" s="13">
        <v>2165</v>
      </c>
      <c r="O31" s="24">
        <v>0.5</v>
      </c>
      <c r="P31" s="14">
        <v>1</v>
      </c>
      <c r="Q31" s="14">
        <v>125</v>
      </c>
      <c r="R31" s="13">
        <v>450</v>
      </c>
      <c r="S31" s="14" t="s">
        <v>340</v>
      </c>
      <c r="T31" s="14">
        <v>1.5</v>
      </c>
      <c r="U31" s="14">
        <v>1.8</v>
      </c>
      <c r="V31" s="25">
        <v>174.91023339317772</v>
      </c>
      <c r="W31" s="26">
        <v>1948.5</v>
      </c>
      <c r="X31" s="14"/>
      <c r="Y31" s="14"/>
      <c r="Z31" s="14"/>
      <c r="AA31" s="14"/>
      <c r="AB31" s="14" t="s">
        <v>328</v>
      </c>
      <c r="AC31" s="14"/>
      <c r="AD31" s="14"/>
      <c r="AE31" s="14" t="s">
        <v>328</v>
      </c>
      <c r="AF31" s="14"/>
      <c r="AG31" s="14"/>
      <c r="AH31" s="14"/>
      <c r="AI31" s="14"/>
      <c r="AJ31" s="14"/>
      <c r="AK31" s="14"/>
      <c r="AL31" s="14"/>
      <c r="AM31" s="14"/>
      <c r="AN31" s="13">
        <v>6000</v>
      </c>
      <c r="AO31" s="13">
        <v>6495</v>
      </c>
      <c r="AP31" s="13">
        <v>6000</v>
      </c>
      <c r="AQ31" s="13">
        <v>70000</v>
      </c>
      <c r="AR31" s="13">
        <v>6495</v>
      </c>
      <c r="AS31" s="26">
        <v>0</v>
      </c>
      <c r="AT31" s="26">
        <v>50400</v>
      </c>
      <c r="AU31" s="26">
        <v>46392.857142857145</v>
      </c>
      <c r="AV31" s="26">
        <v>35000</v>
      </c>
      <c r="AW31" s="26">
        <v>12000</v>
      </c>
      <c r="AX31" s="62">
        <v>0</v>
      </c>
      <c r="AZ31" s="14" t="s">
        <v>351</v>
      </c>
      <c r="BA31" s="249">
        <f t="shared" si="1"/>
        <v>1</v>
      </c>
      <c r="BB31" s="249">
        <v>0</v>
      </c>
      <c r="BC31" s="249">
        <f t="shared" si="0"/>
        <v>1994</v>
      </c>
    </row>
    <row r="32" spans="1:55" x14ac:dyDescent="0.25">
      <c r="A32" s="50" t="s">
        <v>1854</v>
      </c>
      <c r="B32" s="61" t="s">
        <v>319</v>
      </c>
      <c r="C32" s="14" t="s">
        <v>348</v>
      </c>
      <c r="D32" s="14">
        <v>1975</v>
      </c>
      <c r="E32" s="14"/>
      <c r="F32" s="14"/>
      <c r="G32" s="14"/>
      <c r="H32" s="14">
        <v>1994</v>
      </c>
      <c r="I32" s="14" t="s">
        <v>349</v>
      </c>
      <c r="J32" s="13">
        <v>2000000</v>
      </c>
      <c r="K32" s="14"/>
      <c r="L32" s="14"/>
      <c r="M32" s="14" t="s">
        <v>328</v>
      </c>
      <c r="N32" s="13">
        <v>6495</v>
      </c>
      <c r="O32" s="24">
        <v>0.5</v>
      </c>
      <c r="P32" s="14">
        <v>1</v>
      </c>
      <c r="Q32" s="14">
        <v>350</v>
      </c>
      <c r="R32" s="13">
        <v>450</v>
      </c>
      <c r="S32" s="14" t="s">
        <v>340</v>
      </c>
      <c r="T32" s="14">
        <v>1.3</v>
      </c>
      <c r="U32" s="14">
        <v>1.6</v>
      </c>
      <c r="V32" s="25" t="s">
        <v>352</v>
      </c>
      <c r="W32" s="13" t="s">
        <v>352</v>
      </c>
      <c r="X32" s="14"/>
      <c r="Y32" s="14"/>
      <c r="Z32" s="14"/>
      <c r="AA32" s="14"/>
      <c r="AB32" s="14" t="s">
        <v>328</v>
      </c>
      <c r="AC32" s="14"/>
      <c r="AD32" s="14"/>
      <c r="AE32" s="14" t="s">
        <v>328</v>
      </c>
      <c r="AF32" s="14"/>
      <c r="AG32" s="14"/>
      <c r="AH32" s="14"/>
      <c r="AI32" s="14"/>
      <c r="AJ32" s="14"/>
      <c r="AK32" s="14"/>
      <c r="AL32" s="14"/>
      <c r="AM32" s="14"/>
      <c r="AN32" s="13">
        <v>6500</v>
      </c>
      <c r="AO32" s="13">
        <v>18000</v>
      </c>
      <c r="AP32" s="13">
        <v>5000</v>
      </c>
      <c r="AQ32" s="13">
        <v>95000</v>
      </c>
      <c r="AR32" s="13">
        <v>18000</v>
      </c>
      <c r="AS32" s="26">
        <v>117600</v>
      </c>
      <c r="AT32" s="26">
        <v>0</v>
      </c>
      <c r="AU32" s="26">
        <v>65633.684210526306</v>
      </c>
      <c r="AV32" s="26">
        <v>40000</v>
      </c>
      <c r="AW32" s="26">
        <v>15000</v>
      </c>
      <c r="AX32" s="62">
        <v>8000</v>
      </c>
      <c r="AZ32" s="14" t="s">
        <v>348</v>
      </c>
      <c r="BA32" s="249">
        <f t="shared" si="1"/>
        <v>3</v>
      </c>
      <c r="BB32" s="249">
        <v>0</v>
      </c>
      <c r="BC32" s="249">
        <f t="shared" si="0"/>
        <v>1994</v>
      </c>
    </row>
    <row r="33" spans="1:55" x14ac:dyDescent="0.25">
      <c r="A33" s="50" t="s">
        <v>1854</v>
      </c>
      <c r="B33" s="61" t="s">
        <v>319</v>
      </c>
      <c r="C33" s="14" t="s">
        <v>348</v>
      </c>
      <c r="D33" s="14">
        <v>1978</v>
      </c>
      <c r="E33" s="14"/>
      <c r="F33" s="14"/>
      <c r="G33" s="14"/>
      <c r="H33" s="14">
        <v>1994</v>
      </c>
      <c r="I33" s="14" t="s">
        <v>360</v>
      </c>
      <c r="J33" s="13">
        <v>2000000</v>
      </c>
      <c r="K33" s="14"/>
      <c r="L33" s="14"/>
      <c r="M33" s="14" t="s">
        <v>328</v>
      </c>
      <c r="N33" s="13">
        <v>6495</v>
      </c>
      <c r="O33" s="24">
        <v>0.5</v>
      </c>
      <c r="P33" s="14">
        <v>1</v>
      </c>
      <c r="Q33" s="14">
        <v>350</v>
      </c>
      <c r="R33" s="13">
        <v>450</v>
      </c>
      <c r="S33" s="14" t="s">
        <v>340</v>
      </c>
      <c r="T33" s="14">
        <v>1.3</v>
      </c>
      <c r="U33" s="14">
        <v>1.6</v>
      </c>
      <c r="V33" s="25" t="s">
        <v>352</v>
      </c>
      <c r="W33" s="13" t="s">
        <v>352</v>
      </c>
      <c r="X33" s="14"/>
      <c r="Y33" s="14"/>
      <c r="Z33" s="14"/>
      <c r="AA33" s="14"/>
      <c r="AB33" s="14" t="s">
        <v>328</v>
      </c>
      <c r="AC33" s="14"/>
      <c r="AD33" s="14"/>
      <c r="AE33" s="14" t="s">
        <v>328</v>
      </c>
      <c r="AF33" s="14"/>
      <c r="AG33" s="14"/>
      <c r="AH33" s="14"/>
      <c r="AI33" s="14"/>
      <c r="AJ33" s="14"/>
      <c r="AK33" s="14"/>
      <c r="AL33" s="14"/>
      <c r="AM33" s="14"/>
      <c r="AN33" s="13">
        <v>6500</v>
      </c>
      <c r="AO33" s="13">
        <v>18000</v>
      </c>
      <c r="AP33" s="13">
        <v>5000</v>
      </c>
      <c r="AQ33" s="13">
        <v>95000</v>
      </c>
      <c r="AR33" s="13">
        <v>18000</v>
      </c>
      <c r="AS33" s="26">
        <v>117600</v>
      </c>
      <c r="AT33" s="26">
        <v>0</v>
      </c>
      <c r="AU33" s="26">
        <v>65633.684210526306</v>
      </c>
      <c r="AV33" s="26">
        <v>40000</v>
      </c>
      <c r="AW33" s="26">
        <v>15000</v>
      </c>
      <c r="AX33" s="62">
        <v>0</v>
      </c>
      <c r="AZ33" s="14" t="s">
        <v>348</v>
      </c>
      <c r="BA33" s="249">
        <f t="shared" si="1"/>
        <v>3</v>
      </c>
      <c r="BB33" s="249">
        <v>0</v>
      </c>
      <c r="BC33" s="249">
        <f t="shared" si="0"/>
        <v>1994</v>
      </c>
    </row>
    <row r="34" spans="1:55" x14ac:dyDescent="0.25">
      <c r="A34" s="50" t="s">
        <v>1854</v>
      </c>
      <c r="B34" s="61" t="s">
        <v>319</v>
      </c>
      <c r="C34" s="14" t="s">
        <v>337</v>
      </c>
      <c r="D34" s="14">
        <v>1995</v>
      </c>
      <c r="E34" s="14" t="s">
        <v>338</v>
      </c>
      <c r="F34" s="14"/>
      <c r="G34" s="14"/>
      <c r="H34" s="14"/>
      <c r="I34" s="14"/>
      <c r="J34" s="13">
        <v>1600000</v>
      </c>
      <c r="K34" s="14"/>
      <c r="L34" s="14"/>
      <c r="M34" s="14" t="s">
        <v>328</v>
      </c>
      <c r="N34" s="13">
        <v>8660</v>
      </c>
      <c r="O34" s="24">
        <v>0.5</v>
      </c>
      <c r="P34" s="14">
        <v>1</v>
      </c>
      <c r="Q34" s="14">
        <v>380</v>
      </c>
      <c r="R34" s="13">
        <v>500</v>
      </c>
      <c r="S34" s="14" t="s">
        <v>340</v>
      </c>
      <c r="T34" s="14">
        <v>1.5</v>
      </c>
      <c r="U34" s="14">
        <v>1.8</v>
      </c>
      <c r="V34" s="25" t="s">
        <v>352</v>
      </c>
      <c r="W34" s="13" t="s">
        <v>352</v>
      </c>
      <c r="X34" s="14"/>
      <c r="Y34" s="14"/>
      <c r="Z34" s="14"/>
      <c r="AA34" s="14"/>
      <c r="AB34" s="14" t="s">
        <v>328</v>
      </c>
      <c r="AC34" s="14"/>
      <c r="AD34" s="14"/>
      <c r="AE34" s="14" t="s">
        <v>328</v>
      </c>
      <c r="AF34" s="14"/>
      <c r="AG34" s="14"/>
      <c r="AH34" s="14"/>
      <c r="AI34" s="14"/>
      <c r="AJ34" s="14"/>
      <c r="AK34" s="14"/>
      <c r="AL34" s="14"/>
      <c r="AM34" s="14"/>
      <c r="AN34" s="13">
        <v>6500</v>
      </c>
      <c r="AO34" s="13">
        <v>20000</v>
      </c>
      <c r="AP34" s="13">
        <v>5000</v>
      </c>
      <c r="AQ34" s="13">
        <v>95000</v>
      </c>
      <c r="AR34" s="13">
        <v>20000</v>
      </c>
      <c r="AS34" s="26">
        <v>0</v>
      </c>
      <c r="AT34" s="26">
        <v>0</v>
      </c>
      <c r="AU34" s="26">
        <v>109389.47368421052</v>
      </c>
      <c r="AV34" s="26">
        <v>40000</v>
      </c>
      <c r="AW34" s="26">
        <v>15000</v>
      </c>
      <c r="AX34" s="62">
        <v>12000</v>
      </c>
      <c r="AZ34" s="14" t="s">
        <v>337</v>
      </c>
      <c r="BA34" s="249">
        <f t="shared" si="1"/>
        <v>3</v>
      </c>
      <c r="BB34" s="249">
        <v>0</v>
      </c>
      <c r="BC34" s="249">
        <f t="shared" si="0"/>
        <v>1995</v>
      </c>
    </row>
    <row r="35" spans="1:55" x14ac:dyDescent="0.25">
      <c r="A35" s="50" t="s">
        <v>1854</v>
      </c>
      <c r="B35" s="61" t="s">
        <v>320</v>
      </c>
      <c r="C35" s="14" t="s">
        <v>351</v>
      </c>
      <c r="D35" s="14">
        <v>1982</v>
      </c>
      <c r="E35" s="14" t="s">
        <v>374</v>
      </c>
      <c r="F35" s="14"/>
      <c r="G35" s="14"/>
      <c r="H35" s="14"/>
      <c r="I35" s="14"/>
      <c r="J35" s="13">
        <v>2000000</v>
      </c>
      <c r="K35" s="14" t="s">
        <v>328</v>
      </c>
      <c r="L35" s="14"/>
      <c r="M35" s="14"/>
      <c r="N35" s="13">
        <v>2598</v>
      </c>
      <c r="O35" s="24">
        <v>0.5</v>
      </c>
      <c r="P35" s="14">
        <v>1</v>
      </c>
      <c r="Q35" s="14">
        <v>380</v>
      </c>
      <c r="R35" s="13">
        <v>700</v>
      </c>
      <c r="S35" s="14" t="s">
        <v>340</v>
      </c>
      <c r="T35" s="14">
        <v>1.9</v>
      </c>
      <c r="U35" s="14">
        <v>2.2000000000000002</v>
      </c>
      <c r="V35" s="25">
        <v>1250</v>
      </c>
      <c r="W35" s="13">
        <v>1250</v>
      </c>
      <c r="X35" s="14"/>
      <c r="Y35" s="14"/>
      <c r="Z35" s="14"/>
      <c r="AA35" s="14"/>
      <c r="AB35" s="14" t="s">
        <v>328</v>
      </c>
      <c r="AC35" s="14"/>
      <c r="AD35" s="14"/>
      <c r="AE35" s="14" t="s">
        <v>328</v>
      </c>
      <c r="AF35" s="14"/>
      <c r="AG35" s="14"/>
      <c r="AH35" s="14"/>
      <c r="AI35" s="14"/>
      <c r="AJ35" s="14"/>
      <c r="AK35" s="14"/>
      <c r="AL35" s="14"/>
      <c r="AM35" s="14"/>
      <c r="AN35" s="13">
        <v>7500</v>
      </c>
      <c r="AO35" s="13">
        <v>15000</v>
      </c>
      <c r="AP35" s="13">
        <v>6500</v>
      </c>
      <c r="AQ35" s="13">
        <v>130000</v>
      </c>
      <c r="AR35" s="13">
        <v>15000</v>
      </c>
      <c r="AS35" s="26">
        <v>98400</v>
      </c>
      <c r="AT35" s="26">
        <v>0</v>
      </c>
      <c r="AU35" s="26">
        <v>29976.923076923078</v>
      </c>
      <c r="AV35" s="26">
        <v>45000</v>
      </c>
      <c r="AW35" s="26">
        <v>15000</v>
      </c>
      <c r="AX35" s="62">
        <v>0</v>
      </c>
      <c r="AZ35" s="14" t="s">
        <v>351</v>
      </c>
      <c r="BA35" s="249">
        <f t="shared" si="1"/>
        <v>3</v>
      </c>
      <c r="BB35" s="249">
        <v>0</v>
      </c>
      <c r="BC35" s="249">
        <f t="shared" si="0"/>
        <v>1982</v>
      </c>
    </row>
    <row r="36" spans="1:55" x14ac:dyDescent="0.25">
      <c r="A36" s="50" t="s">
        <v>1854</v>
      </c>
      <c r="B36" s="61" t="s">
        <v>320</v>
      </c>
      <c r="C36" s="14" t="s">
        <v>351</v>
      </c>
      <c r="D36" s="14">
        <v>1989</v>
      </c>
      <c r="E36" s="14" t="s">
        <v>374</v>
      </c>
      <c r="F36" s="14"/>
      <c r="G36" s="14"/>
      <c r="H36" s="14"/>
      <c r="I36" s="14"/>
      <c r="J36" s="13">
        <v>2000000</v>
      </c>
      <c r="K36" s="14" t="s">
        <v>328</v>
      </c>
      <c r="L36" s="14"/>
      <c r="M36" s="14"/>
      <c r="N36" s="13">
        <v>2598</v>
      </c>
      <c r="O36" s="24">
        <v>0.5</v>
      </c>
      <c r="P36" s="14">
        <v>1</v>
      </c>
      <c r="Q36" s="14">
        <v>380</v>
      </c>
      <c r="R36" s="13">
        <v>700</v>
      </c>
      <c r="S36" s="14" t="s">
        <v>340</v>
      </c>
      <c r="T36" s="14">
        <v>1.9</v>
      </c>
      <c r="U36" s="14">
        <v>2.2000000000000002</v>
      </c>
      <c r="V36" s="25">
        <v>1250</v>
      </c>
      <c r="W36" s="13">
        <v>1250</v>
      </c>
      <c r="X36" s="14"/>
      <c r="Y36" s="14"/>
      <c r="Z36" s="14"/>
      <c r="AA36" s="14"/>
      <c r="AB36" s="14" t="s">
        <v>328</v>
      </c>
      <c r="AC36" s="14"/>
      <c r="AD36" s="14"/>
      <c r="AE36" s="14" t="s">
        <v>328</v>
      </c>
      <c r="AF36" s="14"/>
      <c r="AG36" s="14"/>
      <c r="AH36" s="14"/>
      <c r="AI36" s="14"/>
      <c r="AJ36" s="14"/>
      <c r="AK36" s="14"/>
      <c r="AL36" s="14"/>
      <c r="AM36" s="14"/>
      <c r="AN36" s="13">
        <v>7500</v>
      </c>
      <c r="AO36" s="13">
        <v>15000</v>
      </c>
      <c r="AP36" s="13">
        <v>6500</v>
      </c>
      <c r="AQ36" s="13">
        <v>130000</v>
      </c>
      <c r="AR36" s="13">
        <v>15000</v>
      </c>
      <c r="AS36" s="26">
        <v>98400</v>
      </c>
      <c r="AT36" s="26">
        <v>0</v>
      </c>
      <c r="AU36" s="26">
        <v>29976.923076923078</v>
      </c>
      <c r="AV36" s="26">
        <v>40000</v>
      </c>
      <c r="AW36" s="26">
        <v>15000</v>
      </c>
      <c r="AX36" s="62">
        <v>0</v>
      </c>
      <c r="AZ36" s="14" t="s">
        <v>351</v>
      </c>
      <c r="BA36" s="249">
        <f t="shared" si="1"/>
        <v>3</v>
      </c>
      <c r="BB36" s="249">
        <v>0</v>
      </c>
      <c r="BC36" s="249">
        <f t="shared" si="0"/>
        <v>1989</v>
      </c>
    </row>
    <row r="37" spans="1:55" x14ac:dyDescent="0.25">
      <c r="A37" s="50" t="s">
        <v>1854</v>
      </c>
      <c r="B37" s="61" t="s">
        <v>320</v>
      </c>
      <c r="C37" s="14" t="s">
        <v>351</v>
      </c>
      <c r="D37" s="14">
        <v>1991</v>
      </c>
      <c r="E37" s="14" t="s">
        <v>349</v>
      </c>
      <c r="F37" s="14"/>
      <c r="G37" s="14"/>
      <c r="H37" s="14"/>
      <c r="I37" s="14"/>
      <c r="J37" s="13">
        <v>1500000</v>
      </c>
      <c r="K37" s="14" t="s">
        <v>328</v>
      </c>
      <c r="L37" s="14"/>
      <c r="M37" s="14"/>
      <c r="N37" s="13">
        <v>3464</v>
      </c>
      <c r="O37" s="24">
        <v>0.5</v>
      </c>
      <c r="P37" s="14">
        <v>1</v>
      </c>
      <c r="Q37" s="14">
        <v>380</v>
      </c>
      <c r="R37" s="13">
        <v>700</v>
      </c>
      <c r="S37" s="14" t="s">
        <v>340</v>
      </c>
      <c r="T37" s="14">
        <v>2.1</v>
      </c>
      <c r="U37" s="14">
        <v>2.5</v>
      </c>
      <c r="V37" s="25">
        <v>1700</v>
      </c>
      <c r="W37" s="13">
        <v>1700</v>
      </c>
      <c r="X37" s="14"/>
      <c r="Y37" s="14"/>
      <c r="Z37" s="14"/>
      <c r="AA37" s="14"/>
      <c r="AB37" s="14" t="s">
        <v>328</v>
      </c>
      <c r="AC37" s="14"/>
      <c r="AD37" s="14"/>
      <c r="AE37" s="14" t="s">
        <v>328</v>
      </c>
      <c r="AF37" s="14"/>
      <c r="AG37" s="14"/>
      <c r="AH37" s="14"/>
      <c r="AI37" s="14"/>
      <c r="AJ37" s="14"/>
      <c r="AK37" s="14"/>
      <c r="AL37" s="14"/>
      <c r="AM37" s="14"/>
      <c r="AN37" s="13">
        <v>7500</v>
      </c>
      <c r="AO37" s="13">
        <v>15000</v>
      </c>
      <c r="AP37" s="13">
        <v>6500</v>
      </c>
      <c r="AQ37" s="13">
        <v>130000</v>
      </c>
      <c r="AR37" s="13">
        <v>15000</v>
      </c>
      <c r="AS37" s="26">
        <v>0</v>
      </c>
      <c r="AT37" s="26">
        <v>0</v>
      </c>
      <c r="AU37" s="26">
        <v>39969.230769230773</v>
      </c>
      <c r="AV37" s="26">
        <v>35000</v>
      </c>
      <c r="AW37" s="26">
        <v>15000</v>
      </c>
      <c r="AX37" s="62">
        <v>0</v>
      </c>
      <c r="AZ37" s="14" t="s">
        <v>351</v>
      </c>
      <c r="BA37" s="249">
        <f t="shared" si="1"/>
        <v>3</v>
      </c>
      <c r="BB37" s="249">
        <v>0</v>
      </c>
      <c r="BC37" s="249">
        <f t="shared" si="0"/>
        <v>1991</v>
      </c>
    </row>
    <row r="38" spans="1:55" x14ac:dyDescent="0.25">
      <c r="A38" s="50" t="s">
        <v>1854</v>
      </c>
      <c r="B38" s="61" t="s">
        <v>321</v>
      </c>
      <c r="C38" s="14" t="s">
        <v>348</v>
      </c>
      <c r="D38" s="14">
        <v>1969</v>
      </c>
      <c r="E38" s="14"/>
      <c r="F38" s="14">
        <v>2000</v>
      </c>
      <c r="G38" s="14" t="s">
        <v>349</v>
      </c>
      <c r="H38" s="14"/>
      <c r="I38" s="14"/>
      <c r="J38" s="13">
        <v>2500000</v>
      </c>
      <c r="K38" s="14"/>
      <c r="L38" s="14"/>
      <c r="M38" s="14" t="s">
        <v>328</v>
      </c>
      <c r="N38" s="13">
        <v>4500</v>
      </c>
      <c r="O38" s="24">
        <v>0.2</v>
      </c>
      <c r="P38" s="14">
        <v>2</v>
      </c>
      <c r="Q38" s="14">
        <v>300</v>
      </c>
      <c r="R38" s="13">
        <v>1200</v>
      </c>
      <c r="S38" s="14" t="s">
        <v>340</v>
      </c>
      <c r="T38" s="14">
        <v>1.8</v>
      </c>
      <c r="U38" s="14">
        <v>2.1</v>
      </c>
      <c r="V38" s="25">
        <v>2500</v>
      </c>
      <c r="W38" s="13">
        <v>2500</v>
      </c>
      <c r="X38" s="14"/>
      <c r="Y38" s="14"/>
      <c r="Z38" s="14"/>
      <c r="AA38" s="14"/>
      <c r="AB38" s="14" t="s">
        <v>328</v>
      </c>
      <c r="AC38" s="14"/>
      <c r="AD38" s="14"/>
      <c r="AE38" s="14" t="s">
        <v>328</v>
      </c>
      <c r="AF38" s="14"/>
      <c r="AG38" s="14"/>
      <c r="AH38" s="14" t="s">
        <v>328</v>
      </c>
      <c r="AI38" s="14"/>
      <c r="AJ38" s="14"/>
      <c r="AK38" s="14"/>
      <c r="AL38" s="14"/>
      <c r="AM38" s="14"/>
      <c r="AN38" s="13">
        <v>15000</v>
      </c>
      <c r="AO38" s="13">
        <v>10000</v>
      </c>
      <c r="AP38" s="13">
        <v>8000</v>
      </c>
      <c r="AQ38" s="13">
        <v>70000</v>
      </c>
      <c r="AR38" s="13">
        <v>10000</v>
      </c>
      <c r="AS38" s="26">
        <v>105600</v>
      </c>
      <c r="AT38" s="26">
        <v>0</v>
      </c>
      <c r="AU38" s="26">
        <v>100285.71428571429</v>
      </c>
      <c r="AV38" s="26">
        <v>35000</v>
      </c>
      <c r="AW38" s="26">
        <v>15000</v>
      </c>
      <c r="AX38" s="62">
        <v>0</v>
      </c>
      <c r="AZ38" s="14" t="s">
        <v>348</v>
      </c>
      <c r="BA38" s="249">
        <f t="shared" si="1"/>
        <v>2</v>
      </c>
      <c r="BB38" s="249">
        <v>0</v>
      </c>
      <c r="BC38" s="249">
        <f t="shared" si="0"/>
        <v>2000</v>
      </c>
    </row>
    <row r="39" spans="1:55" x14ac:dyDescent="0.25">
      <c r="A39" s="50" t="s">
        <v>1854</v>
      </c>
      <c r="B39" s="61" t="s">
        <v>321</v>
      </c>
      <c r="C39" s="14" t="s">
        <v>348</v>
      </c>
      <c r="D39" s="14">
        <v>1998</v>
      </c>
      <c r="E39" s="14" t="s">
        <v>338</v>
      </c>
      <c r="F39" s="14"/>
      <c r="G39" s="14"/>
      <c r="H39" s="14"/>
      <c r="I39" s="14"/>
      <c r="J39" s="13">
        <v>950000</v>
      </c>
      <c r="K39" s="14"/>
      <c r="L39" s="14"/>
      <c r="M39" s="14" t="s">
        <v>328</v>
      </c>
      <c r="N39" s="13">
        <v>6000</v>
      </c>
      <c r="O39" s="24">
        <v>0.2</v>
      </c>
      <c r="P39" s="14">
        <v>2</v>
      </c>
      <c r="Q39" s="14">
        <v>350</v>
      </c>
      <c r="R39" s="13">
        <v>1300</v>
      </c>
      <c r="S39" s="14" t="s">
        <v>340</v>
      </c>
      <c r="T39" s="14">
        <v>1.6</v>
      </c>
      <c r="U39" s="14">
        <v>1.9</v>
      </c>
      <c r="V39" s="25">
        <v>3200</v>
      </c>
      <c r="W39" s="13">
        <v>3200</v>
      </c>
      <c r="X39" s="14"/>
      <c r="Y39" s="14"/>
      <c r="Z39" s="14"/>
      <c r="AA39" s="14"/>
      <c r="AB39" s="14" t="s">
        <v>328</v>
      </c>
      <c r="AC39" s="14"/>
      <c r="AD39" s="14"/>
      <c r="AE39" s="14" t="s">
        <v>328</v>
      </c>
      <c r="AF39" s="14"/>
      <c r="AG39" s="14"/>
      <c r="AH39" s="14" t="s">
        <v>328</v>
      </c>
      <c r="AI39" s="14"/>
      <c r="AJ39" s="14"/>
      <c r="AK39" s="14"/>
      <c r="AL39" s="14"/>
      <c r="AM39" s="14"/>
      <c r="AN39" s="13">
        <v>15000</v>
      </c>
      <c r="AO39" s="13">
        <v>10000</v>
      </c>
      <c r="AP39" s="13">
        <v>8000</v>
      </c>
      <c r="AQ39" s="13">
        <v>80000</v>
      </c>
      <c r="AR39" s="13">
        <v>10000</v>
      </c>
      <c r="AS39" s="26">
        <v>105600</v>
      </c>
      <c r="AT39" s="26">
        <v>0</v>
      </c>
      <c r="AU39" s="26">
        <v>117000</v>
      </c>
      <c r="AV39" s="26">
        <v>40000</v>
      </c>
      <c r="AW39" s="26">
        <v>15000</v>
      </c>
      <c r="AX39" s="62">
        <v>0</v>
      </c>
      <c r="AZ39" s="14" t="s">
        <v>348</v>
      </c>
      <c r="BA39" s="249">
        <f t="shared" si="1"/>
        <v>2</v>
      </c>
      <c r="BB39" s="249">
        <v>0</v>
      </c>
      <c r="BC39" s="249">
        <f t="shared" si="0"/>
        <v>1998</v>
      </c>
    </row>
    <row r="40" spans="1:55" x14ac:dyDescent="0.25">
      <c r="A40" s="50" t="s">
        <v>1854</v>
      </c>
      <c r="B40" s="61" t="s">
        <v>322</v>
      </c>
      <c r="C40" s="14" t="s">
        <v>351</v>
      </c>
      <c r="D40" s="14">
        <v>1994</v>
      </c>
      <c r="E40" s="14" t="s">
        <v>338</v>
      </c>
      <c r="F40" s="14"/>
      <c r="G40" s="14"/>
      <c r="H40" s="14"/>
      <c r="I40" s="14"/>
      <c r="J40" s="13">
        <v>1400000</v>
      </c>
      <c r="K40" s="14"/>
      <c r="L40" s="14"/>
      <c r="M40" s="14" t="s">
        <v>328</v>
      </c>
      <c r="N40" s="13">
        <v>5000</v>
      </c>
      <c r="O40" s="24">
        <v>0.5</v>
      </c>
      <c r="P40" s="14">
        <v>1</v>
      </c>
      <c r="Q40" s="14">
        <v>375</v>
      </c>
      <c r="R40" s="13">
        <v>600</v>
      </c>
      <c r="S40" s="14" t="s">
        <v>340</v>
      </c>
      <c r="T40" s="14">
        <v>1.5</v>
      </c>
      <c r="U40" s="14">
        <v>2</v>
      </c>
      <c r="V40" s="25">
        <v>3000</v>
      </c>
      <c r="W40" s="13">
        <v>3000</v>
      </c>
      <c r="X40" s="14" t="s">
        <v>328</v>
      </c>
      <c r="Y40" s="14"/>
      <c r="Z40" s="14"/>
      <c r="AA40" s="14"/>
      <c r="AB40" s="14"/>
      <c r="AC40" s="14"/>
      <c r="AD40" s="14"/>
      <c r="AE40" s="14" t="s">
        <v>328</v>
      </c>
      <c r="AF40" s="14"/>
      <c r="AG40" s="14"/>
      <c r="AH40" s="14"/>
      <c r="AI40" s="14"/>
      <c r="AJ40" s="14"/>
      <c r="AK40" s="14"/>
      <c r="AL40" s="14"/>
      <c r="AM40" s="14"/>
      <c r="AN40" s="13">
        <v>6000</v>
      </c>
      <c r="AO40" s="13">
        <v>30000</v>
      </c>
      <c r="AP40" s="13">
        <v>5000</v>
      </c>
      <c r="AQ40" s="13">
        <v>60000</v>
      </c>
      <c r="AR40" s="13">
        <v>30000</v>
      </c>
      <c r="AS40" s="26">
        <v>102000</v>
      </c>
      <c r="AT40" s="26">
        <v>0</v>
      </c>
      <c r="AU40" s="26">
        <v>120000</v>
      </c>
      <c r="AV40" s="26">
        <v>35000</v>
      </c>
      <c r="AW40" s="26">
        <v>12000</v>
      </c>
      <c r="AX40" s="62">
        <v>0</v>
      </c>
      <c r="AZ40" s="14" t="s">
        <v>351</v>
      </c>
      <c r="BA40" s="249">
        <f t="shared" si="1"/>
        <v>2</v>
      </c>
      <c r="BB40" s="249">
        <v>0</v>
      </c>
      <c r="BC40" s="249">
        <f t="shared" si="0"/>
        <v>1994</v>
      </c>
    </row>
    <row r="41" spans="1:55" x14ac:dyDescent="0.25">
      <c r="A41" s="50" t="s">
        <v>1854</v>
      </c>
      <c r="B41" s="61" t="s">
        <v>322</v>
      </c>
      <c r="C41" s="14" t="s">
        <v>351</v>
      </c>
      <c r="D41" s="14">
        <v>2000</v>
      </c>
      <c r="E41" s="14" t="s">
        <v>338</v>
      </c>
      <c r="F41" s="14"/>
      <c r="G41" s="14"/>
      <c r="H41" s="14"/>
      <c r="I41" s="14"/>
      <c r="J41" s="13">
        <v>1200000</v>
      </c>
      <c r="K41" s="14"/>
      <c r="L41" s="14" t="s">
        <v>328</v>
      </c>
      <c r="M41" s="14"/>
      <c r="N41" s="13">
        <v>5833.333333333333</v>
      </c>
      <c r="O41" s="24">
        <v>0.5</v>
      </c>
      <c r="P41" s="14">
        <v>1</v>
      </c>
      <c r="Q41" s="14">
        <v>375</v>
      </c>
      <c r="R41" s="13">
        <v>700</v>
      </c>
      <c r="S41" s="14" t="s">
        <v>340</v>
      </c>
      <c r="T41" s="14">
        <v>1.8</v>
      </c>
      <c r="U41" s="14">
        <v>2.1</v>
      </c>
      <c r="V41" s="25">
        <v>3500</v>
      </c>
      <c r="W41" s="13">
        <v>3500</v>
      </c>
      <c r="X41" s="14"/>
      <c r="Y41" s="14" t="s">
        <v>328</v>
      </c>
      <c r="Z41" s="14"/>
      <c r="AA41" s="14"/>
      <c r="AB41" s="14"/>
      <c r="AC41" s="14"/>
      <c r="AD41" s="14"/>
      <c r="AE41" s="14" t="s">
        <v>328</v>
      </c>
      <c r="AF41" s="14"/>
      <c r="AG41" s="14"/>
      <c r="AH41" s="14"/>
      <c r="AI41" s="14"/>
      <c r="AJ41" s="14"/>
      <c r="AK41" s="14"/>
      <c r="AL41" s="14"/>
      <c r="AM41" s="14"/>
      <c r="AN41" s="13">
        <v>6000</v>
      </c>
      <c r="AO41" s="13">
        <v>30000</v>
      </c>
      <c r="AP41" s="13">
        <v>5000</v>
      </c>
      <c r="AQ41" s="13">
        <v>70000</v>
      </c>
      <c r="AR41" s="13">
        <v>30000</v>
      </c>
      <c r="AS41" s="26">
        <v>0</v>
      </c>
      <c r="AT41" s="26">
        <v>0</v>
      </c>
      <c r="AU41" s="26">
        <v>119999.99999999997</v>
      </c>
      <c r="AV41" s="26">
        <v>35000</v>
      </c>
      <c r="AW41" s="26">
        <v>12000</v>
      </c>
      <c r="AX41" s="62">
        <v>0</v>
      </c>
      <c r="AZ41" s="14" t="s">
        <v>351</v>
      </c>
      <c r="BA41" s="249">
        <f t="shared" si="1"/>
        <v>2</v>
      </c>
      <c r="BB41" s="249">
        <v>0</v>
      </c>
      <c r="BC41" s="249">
        <f t="shared" si="0"/>
        <v>2000</v>
      </c>
    </row>
    <row r="42" spans="1:55" x14ac:dyDescent="0.25">
      <c r="A42" s="50" t="s">
        <v>1854</v>
      </c>
      <c r="B42" s="61" t="s">
        <v>323</v>
      </c>
      <c r="C42" s="14" t="s">
        <v>348</v>
      </c>
      <c r="D42" s="14">
        <v>1992</v>
      </c>
      <c r="E42" s="14" t="s">
        <v>370</v>
      </c>
      <c r="F42" s="14"/>
      <c r="G42" s="14"/>
      <c r="H42" s="14"/>
      <c r="I42" s="14"/>
      <c r="J42" s="13">
        <v>705000</v>
      </c>
      <c r="K42" s="14"/>
      <c r="L42" s="14"/>
      <c r="M42" s="14" t="s">
        <v>328</v>
      </c>
      <c r="N42" s="13">
        <v>2800</v>
      </c>
      <c r="O42" s="24">
        <v>0.5</v>
      </c>
      <c r="P42" s="14">
        <v>1</v>
      </c>
      <c r="Q42" s="14">
        <v>300</v>
      </c>
      <c r="R42" s="13">
        <v>550</v>
      </c>
      <c r="S42" s="14" t="s">
        <v>340</v>
      </c>
      <c r="T42" s="14">
        <v>1.6</v>
      </c>
      <c r="U42" s="14">
        <v>2.5</v>
      </c>
      <c r="V42" s="25">
        <v>1351.3513513513515</v>
      </c>
      <c r="W42" s="13">
        <v>1351.3513513513515</v>
      </c>
      <c r="X42" s="14"/>
      <c r="Y42" s="14"/>
      <c r="Z42" s="14"/>
      <c r="AA42" s="14"/>
      <c r="AB42" s="14"/>
      <c r="AC42" s="14" t="s">
        <v>328</v>
      </c>
      <c r="AD42" s="14"/>
      <c r="AE42" s="14" t="s">
        <v>328</v>
      </c>
      <c r="AF42" s="14"/>
      <c r="AG42" s="14"/>
      <c r="AH42" s="14"/>
      <c r="AI42" s="14"/>
      <c r="AJ42" s="14"/>
      <c r="AK42" s="14"/>
      <c r="AL42" s="14"/>
      <c r="AM42" s="14"/>
      <c r="AN42" s="13">
        <v>7500</v>
      </c>
      <c r="AO42" s="13">
        <v>15000</v>
      </c>
      <c r="AP42" s="13">
        <v>11000</v>
      </c>
      <c r="AQ42" s="13">
        <v>75000</v>
      </c>
      <c r="AR42" s="13">
        <v>15000</v>
      </c>
      <c r="AS42" s="26">
        <v>0</v>
      </c>
      <c r="AT42" s="26">
        <v>0</v>
      </c>
      <c r="AU42" s="26">
        <v>35840</v>
      </c>
      <c r="AV42" s="26">
        <v>37500</v>
      </c>
      <c r="AW42" s="26">
        <v>15000</v>
      </c>
      <c r="AX42" s="62">
        <v>0</v>
      </c>
      <c r="AZ42" s="14" t="s">
        <v>348</v>
      </c>
      <c r="BA42" s="249">
        <f t="shared" si="1"/>
        <v>1</v>
      </c>
      <c r="BB42" s="249">
        <v>0</v>
      </c>
      <c r="BC42" s="249">
        <f t="shared" si="0"/>
        <v>1992</v>
      </c>
    </row>
    <row r="43" spans="1:55" x14ac:dyDescent="0.25">
      <c r="A43" s="50" t="s">
        <v>1854</v>
      </c>
      <c r="B43" s="61" t="s">
        <v>324</v>
      </c>
      <c r="C43" s="14" t="s">
        <v>348</v>
      </c>
      <c r="D43" s="14">
        <v>1992</v>
      </c>
      <c r="E43" s="14" t="s">
        <v>349</v>
      </c>
      <c r="F43" s="14"/>
      <c r="G43" s="14"/>
      <c r="H43" s="14"/>
      <c r="I43" s="14"/>
      <c r="J43" s="13">
        <v>2100000</v>
      </c>
      <c r="K43" s="14"/>
      <c r="L43" s="14"/>
      <c r="M43" s="14" t="s">
        <v>328</v>
      </c>
      <c r="N43" s="13">
        <v>15000</v>
      </c>
      <c r="O43" s="24">
        <v>0.5</v>
      </c>
      <c r="P43" s="14">
        <v>2</v>
      </c>
      <c r="Q43" s="14">
        <v>350</v>
      </c>
      <c r="R43" s="13">
        <v>1500</v>
      </c>
      <c r="S43" s="14" t="s">
        <v>340</v>
      </c>
      <c r="T43" s="14">
        <v>1.5</v>
      </c>
      <c r="U43" s="14">
        <v>2.2000000000000002</v>
      </c>
      <c r="V43" s="25">
        <v>7657.6576576576581</v>
      </c>
      <c r="W43" s="13">
        <v>7657.6576576576581</v>
      </c>
      <c r="X43" s="14"/>
      <c r="Y43" s="14"/>
      <c r="Z43" s="14"/>
      <c r="AA43" s="14"/>
      <c r="AB43" s="14"/>
      <c r="AC43" s="14" t="s">
        <v>328</v>
      </c>
      <c r="AD43" s="14"/>
      <c r="AE43" s="14" t="s">
        <v>328</v>
      </c>
      <c r="AF43" s="14"/>
      <c r="AG43" s="14"/>
      <c r="AH43" s="14"/>
      <c r="AI43" s="14"/>
      <c r="AJ43" s="14"/>
      <c r="AK43" s="14"/>
      <c r="AL43" s="14"/>
      <c r="AM43" s="14"/>
      <c r="AN43" s="13">
        <v>7500</v>
      </c>
      <c r="AO43" s="13">
        <v>15000</v>
      </c>
      <c r="AP43" s="13">
        <v>7000</v>
      </c>
      <c r="AQ43" s="13">
        <v>120000</v>
      </c>
      <c r="AR43" s="13">
        <v>15000</v>
      </c>
      <c r="AS43" s="26">
        <v>0</v>
      </c>
      <c r="AT43" s="26">
        <v>0</v>
      </c>
      <c r="AU43" s="26">
        <v>225000</v>
      </c>
      <c r="AV43" s="26">
        <v>40000</v>
      </c>
      <c r="AW43" s="26">
        <v>12000</v>
      </c>
      <c r="AX43" s="62">
        <v>0</v>
      </c>
      <c r="AZ43" s="14" t="s">
        <v>348</v>
      </c>
      <c r="BA43" s="249">
        <f t="shared" si="1"/>
        <v>1</v>
      </c>
      <c r="BB43" s="249">
        <v>0</v>
      </c>
      <c r="BC43" s="249">
        <f t="shared" si="0"/>
        <v>1992</v>
      </c>
    </row>
    <row r="44" spans="1:55" x14ac:dyDescent="0.25">
      <c r="A44" s="50" t="s">
        <v>1854</v>
      </c>
      <c r="B44" s="61" t="s">
        <v>325</v>
      </c>
      <c r="C44" s="14" t="s">
        <v>348</v>
      </c>
      <c r="D44" s="14">
        <v>2002</v>
      </c>
      <c r="E44" s="14" t="s">
        <v>381</v>
      </c>
      <c r="F44" s="14"/>
      <c r="G44" s="14"/>
      <c r="H44" s="14"/>
      <c r="I44" s="14"/>
      <c r="J44" s="13">
        <v>930000</v>
      </c>
      <c r="K44" s="14"/>
      <c r="L44" s="14" t="s">
        <v>328</v>
      </c>
      <c r="M44" s="14"/>
      <c r="N44" s="13">
        <v>6500</v>
      </c>
      <c r="O44" s="24">
        <v>0.2</v>
      </c>
      <c r="P44" s="14">
        <v>2</v>
      </c>
      <c r="Q44" s="14">
        <v>370</v>
      </c>
      <c r="R44" s="13">
        <v>650</v>
      </c>
      <c r="S44" s="14" t="s">
        <v>340</v>
      </c>
      <c r="T44" s="14">
        <v>1.8</v>
      </c>
      <c r="U44" s="14">
        <v>2.2000000000000002</v>
      </c>
      <c r="V44" s="25">
        <v>3409.090909090909</v>
      </c>
      <c r="W44" s="13">
        <v>3409.090909090909</v>
      </c>
      <c r="X44" s="14"/>
      <c r="Y44" s="14"/>
      <c r="Z44" s="14"/>
      <c r="AA44" s="14"/>
      <c r="AB44" s="14" t="s">
        <v>328</v>
      </c>
      <c r="AC44" s="14"/>
      <c r="AD44" s="14"/>
      <c r="AE44" s="14" t="s">
        <v>328</v>
      </c>
      <c r="AF44" s="14"/>
      <c r="AG44" s="14"/>
      <c r="AH44" s="14" t="s">
        <v>328</v>
      </c>
      <c r="AI44" s="14"/>
      <c r="AJ44" s="14"/>
      <c r="AK44" s="14"/>
      <c r="AL44" s="14" t="s">
        <v>328</v>
      </c>
      <c r="AM44" s="14"/>
      <c r="AN44" s="13">
        <v>15000</v>
      </c>
      <c r="AO44" s="13">
        <v>15000</v>
      </c>
      <c r="AP44" s="13">
        <v>7000</v>
      </c>
      <c r="AQ44" s="13">
        <v>100000</v>
      </c>
      <c r="AR44" s="13">
        <v>15000</v>
      </c>
      <c r="AS44" s="26">
        <v>0</v>
      </c>
      <c r="AT44" s="26">
        <v>0</v>
      </c>
      <c r="AU44" s="26">
        <v>70200</v>
      </c>
      <c r="AV44" s="26">
        <v>20000</v>
      </c>
      <c r="AW44" s="26">
        <v>15000</v>
      </c>
      <c r="AX44" s="62">
        <v>0</v>
      </c>
      <c r="AZ44" s="14" t="s">
        <v>348</v>
      </c>
      <c r="BA44" s="249">
        <f t="shared" si="1"/>
        <v>1</v>
      </c>
      <c r="BB44" s="249">
        <v>0</v>
      </c>
      <c r="BC44" s="249">
        <f t="shared" si="0"/>
        <v>2002</v>
      </c>
    </row>
    <row r="45" spans="1:55" x14ac:dyDescent="0.25">
      <c r="A45" s="50" t="s">
        <v>1854</v>
      </c>
      <c r="B45" s="61" t="s">
        <v>326</v>
      </c>
      <c r="C45" s="14" t="s">
        <v>351</v>
      </c>
      <c r="D45" s="14">
        <v>1998</v>
      </c>
      <c r="E45" s="14" t="s">
        <v>349</v>
      </c>
      <c r="F45" s="14"/>
      <c r="G45" s="14"/>
      <c r="H45" s="14"/>
      <c r="I45" s="14"/>
      <c r="J45" s="13">
        <v>1000000</v>
      </c>
      <c r="K45" s="14" t="s">
        <v>328</v>
      </c>
      <c r="L45" s="14"/>
      <c r="M45" s="14"/>
      <c r="N45" s="13">
        <v>5000</v>
      </c>
      <c r="O45" s="24">
        <v>0.5</v>
      </c>
      <c r="P45" s="14">
        <v>2</v>
      </c>
      <c r="Q45" s="14">
        <v>350</v>
      </c>
      <c r="R45" s="13">
        <v>1200</v>
      </c>
      <c r="S45" s="14" t="s">
        <v>340</v>
      </c>
      <c r="T45" s="14">
        <v>1.7</v>
      </c>
      <c r="U45" s="14">
        <v>2.2000000000000002</v>
      </c>
      <c r="V45" s="25">
        <v>2727.2727272727275</v>
      </c>
      <c r="W45" s="13">
        <v>2727.2727272727275</v>
      </c>
      <c r="X45" s="14"/>
      <c r="Y45" s="14"/>
      <c r="Z45" s="14"/>
      <c r="AA45" s="14"/>
      <c r="AB45" s="14" t="s">
        <v>328</v>
      </c>
      <c r="AC45" s="14"/>
      <c r="AD45" s="14" t="s">
        <v>328</v>
      </c>
      <c r="AE45" s="14" t="s">
        <v>328</v>
      </c>
      <c r="AF45" s="14"/>
      <c r="AG45" s="14"/>
      <c r="AH45" s="14" t="s">
        <v>328</v>
      </c>
      <c r="AI45" s="14"/>
      <c r="AJ45" s="14"/>
      <c r="AK45" s="14"/>
      <c r="AL45" s="14" t="s">
        <v>328</v>
      </c>
      <c r="AM45" s="14"/>
      <c r="AN45" s="13">
        <v>15000</v>
      </c>
      <c r="AO45" s="13">
        <v>30000</v>
      </c>
      <c r="AP45" s="13">
        <v>7000</v>
      </c>
      <c r="AQ45" s="13">
        <v>85000</v>
      </c>
      <c r="AR45" s="13">
        <v>30000</v>
      </c>
      <c r="AS45" s="26">
        <v>0</v>
      </c>
      <c r="AT45" s="26">
        <v>0</v>
      </c>
      <c r="AU45" s="26">
        <v>52941.176470588238</v>
      </c>
      <c r="AV45" s="26">
        <v>25000</v>
      </c>
      <c r="AW45" s="26">
        <v>12000</v>
      </c>
      <c r="AX45" s="62">
        <v>10000</v>
      </c>
      <c r="AZ45" s="14" t="s">
        <v>351</v>
      </c>
      <c r="BA45" s="249">
        <f t="shared" si="1"/>
        <v>1</v>
      </c>
      <c r="BB45" s="249">
        <v>0</v>
      </c>
      <c r="BC45" s="249">
        <f t="shared" si="0"/>
        <v>1998</v>
      </c>
    </row>
    <row r="46" spans="1:55" x14ac:dyDescent="0.25">
      <c r="A46" s="50" t="s">
        <v>1854</v>
      </c>
      <c r="B46" s="61" t="s">
        <v>327</v>
      </c>
      <c r="C46" s="14" t="s">
        <v>351</v>
      </c>
      <c r="D46" s="14">
        <v>1974</v>
      </c>
      <c r="E46" s="14"/>
      <c r="F46" s="14">
        <v>1992</v>
      </c>
      <c r="G46" s="14" t="s">
        <v>370</v>
      </c>
      <c r="H46" s="14"/>
      <c r="I46" s="14"/>
      <c r="J46" s="13">
        <v>1900000</v>
      </c>
      <c r="K46" s="14"/>
      <c r="L46" s="14"/>
      <c r="M46" s="14" t="s">
        <v>328</v>
      </c>
      <c r="N46" s="13">
        <v>4000</v>
      </c>
      <c r="O46" s="24">
        <v>0.3</v>
      </c>
      <c r="P46" s="14">
        <v>1</v>
      </c>
      <c r="Q46" s="14">
        <v>300</v>
      </c>
      <c r="R46" s="13">
        <v>600</v>
      </c>
      <c r="S46" s="14" t="s">
        <v>340</v>
      </c>
      <c r="T46" s="14">
        <v>1.8</v>
      </c>
      <c r="U46" s="14">
        <v>2</v>
      </c>
      <c r="V46" s="25">
        <v>2090.909090909091</v>
      </c>
      <c r="W46" s="13">
        <v>2090.909090909091</v>
      </c>
      <c r="X46" s="14"/>
      <c r="Y46" s="14"/>
      <c r="Z46" s="14"/>
      <c r="AA46" s="14"/>
      <c r="AB46" s="14" t="s">
        <v>328</v>
      </c>
      <c r="AC46" s="14"/>
      <c r="AD46" s="14" t="s">
        <v>328</v>
      </c>
      <c r="AE46" s="14" t="s">
        <v>328</v>
      </c>
      <c r="AF46" s="14"/>
      <c r="AG46" s="14"/>
      <c r="AH46" s="14"/>
      <c r="AI46" s="14"/>
      <c r="AJ46" s="14"/>
      <c r="AK46" s="14"/>
      <c r="AL46" s="14"/>
      <c r="AM46" s="14"/>
      <c r="AN46" s="13">
        <v>6500</v>
      </c>
      <c r="AO46" s="13">
        <v>10000</v>
      </c>
      <c r="AP46" s="13">
        <v>7000</v>
      </c>
      <c r="AQ46" s="13">
        <v>100000</v>
      </c>
      <c r="AR46" s="13">
        <v>10000</v>
      </c>
      <c r="AS46" s="26">
        <v>0</v>
      </c>
      <c r="AT46" s="26">
        <v>0</v>
      </c>
      <c r="AU46" s="26">
        <v>62400</v>
      </c>
      <c r="AV46" s="26">
        <v>45000</v>
      </c>
      <c r="AW46" s="26">
        <v>12000</v>
      </c>
      <c r="AX46" s="62">
        <v>15000</v>
      </c>
      <c r="AZ46" s="14" t="s">
        <v>351</v>
      </c>
      <c r="BA46" s="249">
        <f t="shared" si="1"/>
        <v>1</v>
      </c>
      <c r="BB46" s="249">
        <v>0</v>
      </c>
      <c r="BC46" s="249">
        <f t="shared" si="0"/>
        <v>1992</v>
      </c>
    </row>
    <row r="47" spans="1:55" x14ac:dyDescent="0.25">
      <c r="A47" s="50" t="s">
        <v>1854</v>
      </c>
      <c r="B47" s="61" t="s">
        <v>390</v>
      </c>
      <c r="C47" s="14" t="s">
        <v>348</v>
      </c>
      <c r="D47" s="14">
        <v>1980</v>
      </c>
      <c r="E47" s="14" t="s">
        <v>384</v>
      </c>
      <c r="F47" s="14"/>
      <c r="G47" s="14"/>
      <c r="H47" s="14"/>
      <c r="I47" s="14"/>
      <c r="J47" s="13">
        <v>250000</v>
      </c>
      <c r="K47" s="14" t="s">
        <v>328</v>
      </c>
      <c r="L47" s="14"/>
      <c r="M47" s="14"/>
      <c r="N47" s="13">
        <v>600</v>
      </c>
      <c r="O47" s="24">
        <v>0.3</v>
      </c>
      <c r="P47" s="14">
        <v>1</v>
      </c>
      <c r="Q47" s="14">
        <v>60</v>
      </c>
      <c r="R47" s="13">
        <v>300</v>
      </c>
      <c r="S47" s="14" t="s">
        <v>371</v>
      </c>
      <c r="T47" s="14">
        <v>5</v>
      </c>
      <c r="U47" s="14">
        <v>7</v>
      </c>
      <c r="V47" s="25">
        <v>115</v>
      </c>
      <c r="W47" s="13">
        <v>115</v>
      </c>
      <c r="X47" s="14" t="s">
        <v>328</v>
      </c>
      <c r="Y47" s="14"/>
      <c r="Z47" s="14"/>
      <c r="AA47" s="14"/>
      <c r="AB47" s="14"/>
      <c r="AC47" s="14"/>
      <c r="AD47" s="14"/>
      <c r="AE47" s="14"/>
      <c r="AF47" s="14"/>
      <c r="AG47" s="14" t="s">
        <v>328</v>
      </c>
      <c r="AH47" s="14"/>
      <c r="AI47" s="14"/>
      <c r="AJ47" s="14"/>
      <c r="AK47" s="14"/>
      <c r="AL47" s="14"/>
      <c r="AM47" s="14"/>
      <c r="AN47" s="13">
        <v>5000</v>
      </c>
      <c r="AO47" s="13">
        <v>7000</v>
      </c>
      <c r="AP47" s="13">
        <v>15000</v>
      </c>
      <c r="AQ47" s="13">
        <v>50000</v>
      </c>
      <c r="AR47" s="13" t="s">
        <v>385</v>
      </c>
      <c r="AS47" s="26">
        <v>86400</v>
      </c>
      <c r="AT47" s="26">
        <v>0</v>
      </c>
      <c r="AU47" s="26">
        <v>20000</v>
      </c>
      <c r="AV47" s="26">
        <v>20000</v>
      </c>
      <c r="AW47" s="26">
        <v>7000</v>
      </c>
      <c r="AX47" s="62">
        <v>4000</v>
      </c>
      <c r="AZ47" s="14" t="s">
        <v>348</v>
      </c>
      <c r="BA47" s="249">
        <f t="shared" si="1"/>
        <v>7</v>
      </c>
      <c r="BB47" s="249">
        <v>0</v>
      </c>
      <c r="BC47" s="249">
        <f t="shared" si="0"/>
        <v>1980</v>
      </c>
    </row>
    <row r="48" spans="1:55" x14ac:dyDescent="0.25">
      <c r="A48" s="50" t="s">
        <v>1854</v>
      </c>
      <c r="B48" s="61" t="s">
        <v>390</v>
      </c>
      <c r="C48" s="14" t="s">
        <v>348</v>
      </c>
      <c r="D48" s="14">
        <v>1982</v>
      </c>
      <c r="E48" s="14" t="s">
        <v>384</v>
      </c>
      <c r="F48" s="14"/>
      <c r="G48" s="14"/>
      <c r="H48" s="14"/>
      <c r="I48" s="14"/>
      <c r="J48" s="13">
        <v>225000</v>
      </c>
      <c r="K48" s="14" t="s">
        <v>328</v>
      </c>
      <c r="L48" s="14"/>
      <c r="M48" s="14"/>
      <c r="N48" s="13">
        <v>600</v>
      </c>
      <c r="O48" s="24">
        <v>0.3</v>
      </c>
      <c r="P48" s="14">
        <v>1</v>
      </c>
      <c r="Q48" s="14">
        <v>60</v>
      </c>
      <c r="R48" s="13">
        <v>300</v>
      </c>
      <c r="S48" s="14" t="s">
        <v>371</v>
      </c>
      <c r="T48" s="14">
        <v>5</v>
      </c>
      <c r="U48" s="14">
        <v>7</v>
      </c>
      <c r="V48" s="25">
        <v>115</v>
      </c>
      <c r="W48" s="13">
        <v>115</v>
      </c>
      <c r="X48" s="14" t="s">
        <v>328</v>
      </c>
      <c r="Y48" s="14"/>
      <c r="Z48" s="14"/>
      <c r="AA48" s="14"/>
      <c r="AB48" s="14"/>
      <c r="AC48" s="14"/>
      <c r="AD48" s="14"/>
      <c r="AE48" s="14"/>
      <c r="AF48" s="14"/>
      <c r="AG48" s="14" t="s">
        <v>328</v>
      </c>
      <c r="AH48" s="14"/>
      <c r="AI48" s="14"/>
      <c r="AJ48" s="14"/>
      <c r="AK48" s="14"/>
      <c r="AL48" s="14"/>
      <c r="AM48" s="14"/>
      <c r="AN48" s="13">
        <v>5000</v>
      </c>
      <c r="AO48" s="13">
        <v>7000</v>
      </c>
      <c r="AP48" s="13">
        <v>15000</v>
      </c>
      <c r="AQ48" s="13">
        <v>50000</v>
      </c>
      <c r="AR48" s="13" t="s">
        <v>385</v>
      </c>
      <c r="AS48" s="26">
        <v>86400</v>
      </c>
      <c r="AT48" s="26">
        <v>0</v>
      </c>
      <c r="AU48" s="26">
        <v>20000</v>
      </c>
      <c r="AV48" s="26">
        <v>20000</v>
      </c>
      <c r="AW48" s="26">
        <v>7000</v>
      </c>
      <c r="AX48" s="62">
        <v>4000</v>
      </c>
      <c r="AZ48" s="14" t="s">
        <v>348</v>
      </c>
      <c r="BA48" s="249">
        <f t="shared" si="1"/>
        <v>7</v>
      </c>
      <c r="BB48" s="249">
        <v>0</v>
      </c>
      <c r="BC48" s="249">
        <f t="shared" si="0"/>
        <v>1982</v>
      </c>
    </row>
    <row r="49" spans="1:55" x14ac:dyDescent="0.25">
      <c r="A49" s="50" t="s">
        <v>1854</v>
      </c>
      <c r="B49" s="61" t="s">
        <v>390</v>
      </c>
      <c r="C49" s="14" t="s">
        <v>348</v>
      </c>
      <c r="D49" s="14">
        <v>1984</v>
      </c>
      <c r="E49" s="14" t="s">
        <v>384</v>
      </c>
      <c r="F49" s="14"/>
      <c r="G49" s="14"/>
      <c r="H49" s="14"/>
      <c r="I49" s="14"/>
      <c r="J49" s="13">
        <v>200000</v>
      </c>
      <c r="K49" s="14" t="s">
        <v>328</v>
      </c>
      <c r="L49" s="14"/>
      <c r="M49" s="14"/>
      <c r="N49" s="13">
        <v>600</v>
      </c>
      <c r="O49" s="24">
        <v>0.3</v>
      </c>
      <c r="P49" s="14">
        <v>1</v>
      </c>
      <c r="Q49" s="14">
        <v>60</v>
      </c>
      <c r="R49" s="13">
        <v>300</v>
      </c>
      <c r="S49" s="14" t="s">
        <v>371</v>
      </c>
      <c r="T49" s="14">
        <v>5</v>
      </c>
      <c r="U49" s="14">
        <v>7</v>
      </c>
      <c r="V49" s="25">
        <v>115</v>
      </c>
      <c r="W49" s="13">
        <v>115</v>
      </c>
      <c r="X49" s="14"/>
      <c r="Y49" s="14"/>
      <c r="Z49" s="14"/>
      <c r="AA49" s="14"/>
      <c r="AB49" s="14" t="s">
        <v>328</v>
      </c>
      <c r="AC49" s="14"/>
      <c r="AD49" s="14"/>
      <c r="AE49" s="14"/>
      <c r="AF49" s="14"/>
      <c r="AG49" s="14" t="s">
        <v>328</v>
      </c>
      <c r="AH49" s="14"/>
      <c r="AI49" s="14"/>
      <c r="AJ49" s="14"/>
      <c r="AK49" s="14"/>
      <c r="AL49" s="14"/>
      <c r="AM49" s="14"/>
      <c r="AN49" s="13">
        <v>5000</v>
      </c>
      <c r="AO49" s="13">
        <v>7000</v>
      </c>
      <c r="AP49" s="13">
        <v>15000</v>
      </c>
      <c r="AQ49" s="13">
        <v>50000</v>
      </c>
      <c r="AR49" s="13" t="s">
        <v>385</v>
      </c>
      <c r="AS49" s="26">
        <v>86400</v>
      </c>
      <c r="AT49" s="26">
        <v>0</v>
      </c>
      <c r="AU49" s="26">
        <v>20000</v>
      </c>
      <c r="AV49" s="26">
        <v>20000</v>
      </c>
      <c r="AW49" s="26">
        <v>7000</v>
      </c>
      <c r="AX49" s="62">
        <v>4000</v>
      </c>
      <c r="AZ49" s="14" t="s">
        <v>348</v>
      </c>
      <c r="BA49" s="249">
        <f t="shared" si="1"/>
        <v>7</v>
      </c>
      <c r="BB49" s="249">
        <v>0</v>
      </c>
      <c r="BC49" s="249">
        <f t="shared" si="0"/>
        <v>1984</v>
      </c>
    </row>
    <row r="50" spans="1:55" x14ac:dyDescent="0.25">
      <c r="A50" s="50" t="s">
        <v>1854</v>
      </c>
      <c r="B50" s="61" t="s">
        <v>390</v>
      </c>
      <c r="C50" s="14" t="s">
        <v>348</v>
      </c>
      <c r="D50" s="14">
        <v>1985</v>
      </c>
      <c r="E50" s="14" t="s">
        <v>360</v>
      </c>
      <c r="F50" s="14"/>
      <c r="G50" s="14"/>
      <c r="H50" s="14"/>
      <c r="I50" s="14"/>
      <c r="J50" s="13">
        <v>270000</v>
      </c>
      <c r="K50" s="14" t="s">
        <v>328</v>
      </c>
      <c r="L50" s="14"/>
      <c r="M50" s="14"/>
      <c r="N50" s="13">
        <v>800</v>
      </c>
      <c r="O50" s="24">
        <v>0.3</v>
      </c>
      <c r="P50" s="14">
        <v>1</v>
      </c>
      <c r="Q50" s="14">
        <v>60</v>
      </c>
      <c r="R50" s="13">
        <v>240</v>
      </c>
      <c r="S50" s="14" t="s">
        <v>371</v>
      </c>
      <c r="T50" s="14">
        <v>4.5</v>
      </c>
      <c r="U50" s="14">
        <v>6.5</v>
      </c>
      <c r="V50" s="25">
        <v>160</v>
      </c>
      <c r="W50" s="13">
        <v>160</v>
      </c>
      <c r="X50" s="14"/>
      <c r="Y50" s="14"/>
      <c r="Z50" s="14"/>
      <c r="AA50" s="14"/>
      <c r="AB50" s="14" t="s">
        <v>328</v>
      </c>
      <c r="AC50" s="14"/>
      <c r="AD50" s="14"/>
      <c r="AE50" s="14"/>
      <c r="AF50" s="14"/>
      <c r="AG50" s="14" t="s">
        <v>328</v>
      </c>
      <c r="AH50" s="14"/>
      <c r="AI50" s="14"/>
      <c r="AJ50" s="14"/>
      <c r="AK50" s="14"/>
      <c r="AL50" s="14" t="s">
        <v>328</v>
      </c>
      <c r="AM50" s="14"/>
      <c r="AN50" s="13">
        <v>5000</v>
      </c>
      <c r="AO50" s="13">
        <v>8000</v>
      </c>
      <c r="AP50" s="13">
        <v>15000</v>
      </c>
      <c r="AQ50" s="13">
        <v>50000</v>
      </c>
      <c r="AR50" s="13" t="s">
        <v>385</v>
      </c>
      <c r="AS50" s="26">
        <v>86400</v>
      </c>
      <c r="AT50" s="26">
        <v>0</v>
      </c>
      <c r="AU50" s="26">
        <v>22000</v>
      </c>
      <c r="AV50" s="26">
        <v>22000</v>
      </c>
      <c r="AW50" s="26">
        <v>7500</v>
      </c>
      <c r="AX50" s="62">
        <v>8000</v>
      </c>
      <c r="AZ50" s="14" t="s">
        <v>348</v>
      </c>
      <c r="BA50" s="249">
        <f t="shared" si="1"/>
        <v>7</v>
      </c>
      <c r="BB50" s="249">
        <v>0</v>
      </c>
      <c r="BC50" s="249">
        <f t="shared" si="0"/>
        <v>1985</v>
      </c>
    </row>
    <row r="51" spans="1:55" x14ac:dyDescent="0.25">
      <c r="A51" s="50" t="s">
        <v>1854</v>
      </c>
      <c r="B51" s="61" t="s">
        <v>390</v>
      </c>
      <c r="C51" s="14" t="s">
        <v>348</v>
      </c>
      <c r="D51" s="14">
        <v>1990</v>
      </c>
      <c r="E51" s="14" t="s">
        <v>360</v>
      </c>
      <c r="F51" s="14"/>
      <c r="G51" s="14"/>
      <c r="H51" s="14"/>
      <c r="I51" s="14"/>
      <c r="J51" s="13">
        <v>210000</v>
      </c>
      <c r="K51" s="14" t="s">
        <v>328</v>
      </c>
      <c r="L51" s="14"/>
      <c r="M51" s="14"/>
      <c r="N51" s="13">
        <v>800</v>
      </c>
      <c r="O51" s="24">
        <v>0.3</v>
      </c>
      <c r="P51" s="14">
        <v>1</v>
      </c>
      <c r="Q51" s="14">
        <v>60</v>
      </c>
      <c r="R51" s="13">
        <v>240</v>
      </c>
      <c r="S51" s="14" t="s">
        <v>371</v>
      </c>
      <c r="T51" s="14">
        <v>4.5</v>
      </c>
      <c r="U51" s="14">
        <v>6.5</v>
      </c>
      <c r="V51" s="25">
        <v>160</v>
      </c>
      <c r="W51" s="13">
        <v>160</v>
      </c>
      <c r="X51" s="14"/>
      <c r="Y51" s="14"/>
      <c r="Z51" s="14"/>
      <c r="AA51" s="14"/>
      <c r="AB51" s="14" t="s">
        <v>328</v>
      </c>
      <c r="AC51" s="14"/>
      <c r="AD51" s="14"/>
      <c r="AE51" s="14"/>
      <c r="AF51" s="14"/>
      <c r="AG51" s="14" t="s">
        <v>328</v>
      </c>
      <c r="AH51" s="14"/>
      <c r="AI51" s="14"/>
      <c r="AJ51" s="14"/>
      <c r="AK51" s="14"/>
      <c r="AL51" s="14" t="s">
        <v>328</v>
      </c>
      <c r="AM51" s="14"/>
      <c r="AN51" s="13">
        <v>5000</v>
      </c>
      <c r="AO51" s="13">
        <v>8000</v>
      </c>
      <c r="AP51" s="13">
        <v>15000</v>
      </c>
      <c r="AQ51" s="13">
        <v>50000</v>
      </c>
      <c r="AR51" s="13" t="s">
        <v>385</v>
      </c>
      <c r="AS51" s="26">
        <v>86400</v>
      </c>
      <c r="AT51" s="26">
        <v>0</v>
      </c>
      <c r="AU51" s="26">
        <v>22000</v>
      </c>
      <c r="AV51" s="26">
        <v>22000</v>
      </c>
      <c r="AW51" s="26">
        <v>7500</v>
      </c>
      <c r="AX51" s="62">
        <v>0</v>
      </c>
      <c r="AZ51" s="14" t="s">
        <v>348</v>
      </c>
      <c r="BA51" s="249">
        <f t="shared" si="1"/>
        <v>7</v>
      </c>
      <c r="BB51" s="249">
        <v>0</v>
      </c>
      <c r="BC51" s="249">
        <f t="shared" si="0"/>
        <v>1990</v>
      </c>
    </row>
    <row r="52" spans="1:55" x14ac:dyDescent="0.25">
      <c r="A52" s="50" t="s">
        <v>1854</v>
      </c>
      <c r="B52" s="61" t="s">
        <v>390</v>
      </c>
      <c r="C52" s="14" t="s">
        <v>348</v>
      </c>
      <c r="D52" s="14">
        <v>1995</v>
      </c>
      <c r="E52" s="14" t="s">
        <v>349</v>
      </c>
      <c r="F52" s="14"/>
      <c r="G52" s="14"/>
      <c r="H52" s="14"/>
      <c r="I52" s="14"/>
      <c r="J52" s="13">
        <v>240000</v>
      </c>
      <c r="K52" s="14" t="s">
        <v>328</v>
      </c>
      <c r="L52" s="14"/>
      <c r="M52" s="14"/>
      <c r="N52" s="13">
        <v>1200</v>
      </c>
      <c r="O52" s="24">
        <v>0.3</v>
      </c>
      <c r="P52" s="14">
        <v>1</v>
      </c>
      <c r="Q52" s="14">
        <v>250</v>
      </c>
      <c r="R52" s="13">
        <v>450</v>
      </c>
      <c r="S52" s="14" t="s">
        <v>340</v>
      </c>
      <c r="T52" s="14">
        <v>1.8</v>
      </c>
      <c r="U52" s="14">
        <v>2.2000000000000002</v>
      </c>
      <c r="V52" s="25">
        <v>600</v>
      </c>
      <c r="W52" s="13">
        <v>600</v>
      </c>
      <c r="X52" s="14"/>
      <c r="Y52" s="14"/>
      <c r="Z52" s="14"/>
      <c r="AA52" s="14"/>
      <c r="AB52" s="14" t="s">
        <v>328</v>
      </c>
      <c r="AC52" s="14"/>
      <c r="AD52" s="14"/>
      <c r="AE52" s="14" t="s">
        <v>328</v>
      </c>
      <c r="AF52" s="14"/>
      <c r="AG52" s="14"/>
      <c r="AH52" s="14"/>
      <c r="AI52" s="14"/>
      <c r="AJ52" s="14"/>
      <c r="AK52" s="14"/>
      <c r="AL52" s="14" t="s">
        <v>328</v>
      </c>
      <c r="AM52" s="14"/>
      <c r="AN52" s="13">
        <v>5000</v>
      </c>
      <c r="AO52" s="13">
        <v>15000</v>
      </c>
      <c r="AP52" s="13">
        <v>15000</v>
      </c>
      <c r="AQ52" s="13">
        <v>80000</v>
      </c>
      <c r="AR52" s="13">
        <v>15000</v>
      </c>
      <c r="AS52" s="26">
        <v>93600</v>
      </c>
      <c r="AT52" s="26">
        <v>0</v>
      </c>
      <c r="AU52" s="26">
        <v>40000</v>
      </c>
      <c r="AV52" s="26">
        <v>35000</v>
      </c>
      <c r="AW52" s="26">
        <v>12000</v>
      </c>
      <c r="AX52" s="62">
        <v>15000</v>
      </c>
      <c r="AZ52" s="14" t="s">
        <v>348</v>
      </c>
      <c r="BA52" s="249">
        <f t="shared" si="1"/>
        <v>7</v>
      </c>
      <c r="BB52" s="249">
        <v>0</v>
      </c>
      <c r="BC52" s="249">
        <f t="shared" si="0"/>
        <v>1995</v>
      </c>
    </row>
    <row r="53" spans="1:55" x14ac:dyDescent="0.25">
      <c r="A53" s="50" t="s">
        <v>1854</v>
      </c>
      <c r="B53" s="61" t="s">
        <v>390</v>
      </c>
      <c r="C53" s="14" t="s">
        <v>348</v>
      </c>
      <c r="D53" s="14">
        <v>2000</v>
      </c>
      <c r="E53" s="14" t="s">
        <v>349</v>
      </c>
      <c r="F53" s="14"/>
      <c r="G53" s="14"/>
      <c r="H53" s="14"/>
      <c r="I53" s="14"/>
      <c r="J53" s="13">
        <v>185000</v>
      </c>
      <c r="K53" s="14" t="s">
        <v>328</v>
      </c>
      <c r="L53" s="14"/>
      <c r="M53" s="14"/>
      <c r="N53" s="13">
        <v>1200</v>
      </c>
      <c r="O53" s="24">
        <v>0.3</v>
      </c>
      <c r="P53" s="14">
        <v>1</v>
      </c>
      <c r="Q53" s="14">
        <v>250</v>
      </c>
      <c r="R53" s="13">
        <v>450</v>
      </c>
      <c r="S53" s="14" t="s">
        <v>340</v>
      </c>
      <c r="T53" s="14">
        <v>1.8</v>
      </c>
      <c r="U53" s="14">
        <v>2.2000000000000002</v>
      </c>
      <c r="V53" s="25">
        <v>600</v>
      </c>
      <c r="W53" s="13">
        <v>600</v>
      </c>
      <c r="X53" s="14"/>
      <c r="Y53" s="14"/>
      <c r="Z53" s="14"/>
      <c r="AA53" s="14"/>
      <c r="AB53" s="14" t="s">
        <v>328</v>
      </c>
      <c r="AC53" s="14"/>
      <c r="AD53" s="14"/>
      <c r="AE53" s="14" t="s">
        <v>328</v>
      </c>
      <c r="AF53" s="14"/>
      <c r="AG53" s="14"/>
      <c r="AH53" s="14"/>
      <c r="AI53" s="14"/>
      <c r="AJ53" s="14"/>
      <c r="AK53" s="14"/>
      <c r="AL53" s="14" t="s">
        <v>328</v>
      </c>
      <c r="AM53" s="14"/>
      <c r="AN53" s="13">
        <v>5000</v>
      </c>
      <c r="AO53" s="13">
        <v>15000</v>
      </c>
      <c r="AP53" s="13">
        <v>15000</v>
      </c>
      <c r="AQ53" s="13">
        <v>80000</v>
      </c>
      <c r="AR53" s="13">
        <v>15000</v>
      </c>
      <c r="AS53" s="26">
        <v>93600</v>
      </c>
      <c r="AT53" s="26">
        <v>0</v>
      </c>
      <c r="AU53" s="26">
        <v>40000</v>
      </c>
      <c r="AV53" s="26">
        <v>35000</v>
      </c>
      <c r="AW53" s="26">
        <v>12000</v>
      </c>
      <c r="AX53" s="62">
        <v>0</v>
      </c>
      <c r="AZ53" s="14" t="s">
        <v>348</v>
      </c>
      <c r="BA53" s="249">
        <f t="shared" si="1"/>
        <v>7</v>
      </c>
      <c r="BB53" s="249">
        <v>1</v>
      </c>
      <c r="BC53" s="249">
        <f t="shared" si="0"/>
        <v>2000</v>
      </c>
    </row>
    <row r="54" spans="1:55" x14ac:dyDescent="0.25">
      <c r="A54" s="50" t="s">
        <v>1854</v>
      </c>
      <c r="B54" s="61" t="s">
        <v>391</v>
      </c>
      <c r="C54" s="14" t="s">
        <v>337</v>
      </c>
      <c r="D54" s="14">
        <v>1998</v>
      </c>
      <c r="E54" s="14" t="s">
        <v>456</v>
      </c>
      <c r="F54" s="14"/>
      <c r="G54" s="14"/>
      <c r="H54" s="14"/>
      <c r="I54" s="14"/>
      <c r="J54" s="13">
        <v>2100000</v>
      </c>
      <c r="K54" s="14"/>
      <c r="L54" s="14"/>
      <c r="M54" s="14" t="s">
        <v>328</v>
      </c>
      <c r="N54" s="13">
        <v>14072.5</v>
      </c>
      <c r="O54" s="24">
        <v>0.5</v>
      </c>
      <c r="P54" s="14">
        <v>2</v>
      </c>
      <c r="Q54" s="14">
        <v>300</v>
      </c>
      <c r="R54" s="13">
        <v>1000</v>
      </c>
      <c r="S54" s="14" t="s">
        <v>340</v>
      </c>
      <c r="T54" s="14">
        <v>1.2</v>
      </c>
      <c r="U54" s="14">
        <v>1.8</v>
      </c>
      <c r="V54" s="25">
        <v>9500</v>
      </c>
      <c r="W54" s="13">
        <v>9500</v>
      </c>
      <c r="X54" s="14"/>
      <c r="Y54" s="14" t="s">
        <v>328</v>
      </c>
      <c r="Z54" s="14"/>
      <c r="AA54" s="14"/>
      <c r="AB54" s="14"/>
      <c r="AC54" s="14"/>
      <c r="AD54" s="14" t="s">
        <v>328</v>
      </c>
      <c r="AE54" s="14" t="s">
        <v>328</v>
      </c>
      <c r="AF54" s="14"/>
      <c r="AG54" s="14"/>
      <c r="AH54" s="14"/>
      <c r="AI54" s="14"/>
      <c r="AJ54" s="14"/>
      <c r="AK54" s="14"/>
      <c r="AL54" s="14" t="s">
        <v>328</v>
      </c>
      <c r="AM54" s="14"/>
      <c r="AN54" s="13">
        <v>7000</v>
      </c>
      <c r="AO54" s="13">
        <v>30000</v>
      </c>
      <c r="AP54" s="13">
        <v>12000</v>
      </c>
      <c r="AQ54" s="13">
        <v>80000</v>
      </c>
      <c r="AR54" s="13">
        <v>30000</v>
      </c>
      <c r="AS54" s="26">
        <v>0</v>
      </c>
      <c r="AT54" s="26">
        <v>0</v>
      </c>
      <c r="AU54" s="26">
        <v>60000</v>
      </c>
      <c r="AV54" s="26">
        <v>45000</v>
      </c>
      <c r="AW54" s="26">
        <v>15000</v>
      </c>
      <c r="AX54" s="62">
        <v>0</v>
      </c>
      <c r="AZ54" s="14" t="s">
        <v>337</v>
      </c>
      <c r="BA54" s="249">
        <f t="shared" si="1"/>
        <v>1</v>
      </c>
      <c r="BB54" s="249">
        <v>0</v>
      </c>
      <c r="BC54" s="249">
        <f t="shared" si="0"/>
        <v>1998</v>
      </c>
    </row>
    <row r="55" spans="1:55" x14ac:dyDescent="0.25">
      <c r="A55" s="50" t="s">
        <v>1854</v>
      </c>
      <c r="B55" s="61" t="s">
        <v>392</v>
      </c>
      <c r="C55" s="14" t="s">
        <v>337</v>
      </c>
      <c r="D55" s="14">
        <v>1979</v>
      </c>
      <c r="E55" s="14" t="s">
        <v>349</v>
      </c>
      <c r="F55" s="14"/>
      <c r="G55" s="14"/>
      <c r="H55" s="14"/>
      <c r="I55" s="14"/>
      <c r="J55" s="13">
        <v>2000000</v>
      </c>
      <c r="K55" s="14"/>
      <c r="L55" s="14"/>
      <c r="M55" s="14" t="s">
        <v>328</v>
      </c>
      <c r="N55" s="13">
        <v>5000</v>
      </c>
      <c r="O55" s="24">
        <v>0.4</v>
      </c>
      <c r="P55" s="14">
        <v>1</v>
      </c>
      <c r="Q55" s="14">
        <v>300</v>
      </c>
      <c r="R55" s="13">
        <v>500</v>
      </c>
      <c r="S55" s="14" t="s">
        <v>340</v>
      </c>
      <c r="T55" s="14">
        <v>1.4</v>
      </c>
      <c r="U55" s="14">
        <v>2.1</v>
      </c>
      <c r="V55" s="25">
        <v>3300</v>
      </c>
      <c r="W55" s="13">
        <v>3300</v>
      </c>
      <c r="X55" s="14" t="s">
        <v>328</v>
      </c>
      <c r="Y55" s="14"/>
      <c r="Z55" s="14"/>
      <c r="AA55" s="14"/>
      <c r="AB55" s="14"/>
      <c r="AC55" s="14"/>
      <c r="AD55" s="14"/>
      <c r="AE55" s="14" t="s">
        <v>328</v>
      </c>
      <c r="AF55" s="14"/>
      <c r="AG55" s="14"/>
      <c r="AH55" s="14"/>
      <c r="AI55" s="14"/>
      <c r="AJ55" s="14"/>
      <c r="AK55" s="14"/>
      <c r="AL55" s="14"/>
      <c r="AM55" s="14"/>
      <c r="AN55" s="13">
        <v>6000</v>
      </c>
      <c r="AO55" s="13">
        <v>15000</v>
      </c>
      <c r="AP55" s="13">
        <v>5000</v>
      </c>
      <c r="AQ55" s="13">
        <v>80000</v>
      </c>
      <c r="AR55" s="13">
        <v>15000</v>
      </c>
      <c r="AS55" s="26">
        <v>0</v>
      </c>
      <c r="AT55" s="26">
        <v>0</v>
      </c>
      <c r="AU55" s="26">
        <v>50000</v>
      </c>
      <c r="AV55" s="26">
        <v>40000</v>
      </c>
      <c r="AW55" s="26">
        <v>12000</v>
      </c>
      <c r="AX55" s="62">
        <v>0</v>
      </c>
      <c r="AY55" s="42"/>
      <c r="AZ55" s="14" t="s">
        <v>337</v>
      </c>
      <c r="BA55" s="249">
        <f t="shared" si="1"/>
        <v>1</v>
      </c>
      <c r="BB55" s="249">
        <v>0</v>
      </c>
      <c r="BC55" s="249">
        <f t="shared" si="0"/>
        <v>1979</v>
      </c>
    </row>
    <row r="56" spans="1:55" x14ac:dyDescent="0.25">
      <c r="A56" s="50" t="s">
        <v>1854</v>
      </c>
      <c r="B56" s="61" t="s">
        <v>393</v>
      </c>
      <c r="C56" s="14" t="s">
        <v>348</v>
      </c>
      <c r="D56" s="14">
        <v>1985</v>
      </c>
      <c r="E56" s="14"/>
      <c r="F56" s="14">
        <v>2005</v>
      </c>
      <c r="G56" s="14" t="s">
        <v>456</v>
      </c>
      <c r="H56" s="14"/>
      <c r="I56" s="14"/>
      <c r="J56" s="13">
        <v>2100000</v>
      </c>
      <c r="K56" s="14"/>
      <c r="L56" s="14"/>
      <c r="M56" s="14" t="s">
        <v>328</v>
      </c>
      <c r="N56" s="13">
        <v>5000</v>
      </c>
      <c r="O56" s="24">
        <v>0.25</v>
      </c>
      <c r="P56" s="14">
        <v>1</v>
      </c>
      <c r="Q56" s="14">
        <v>380</v>
      </c>
      <c r="R56" s="13">
        <v>800</v>
      </c>
      <c r="S56" s="14" t="s">
        <v>340</v>
      </c>
      <c r="T56" s="14">
        <v>1.9</v>
      </c>
      <c r="U56" s="14">
        <v>2.2999999999999998</v>
      </c>
      <c r="V56" s="25">
        <v>2600</v>
      </c>
      <c r="W56" s="13">
        <v>2600</v>
      </c>
      <c r="X56" s="14"/>
      <c r="Y56" s="14"/>
      <c r="Z56" s="14"/>
      <c r="AA56" s="14"/>
      <c r="AB56" s="14" t="s">
        <v>328</v>
      </c>
      <c r="AC56" s="14"/>
      <c r="AD56" s="14" t="s">
        <v>328</v>
      </c>
      <c r="AE56" s="14" t="s">
        <v>328</v>
      </c>
      <c r="AF56" s="14"/>
      <c r="AG56" s="14"/>
      <c r="AH56" s="14" t="s">
        <v>328</v>
      </c>
      <c r="AI56" s="14"/>
      <c r="AJ56" s="14"/>
      <c r="AK56" s="14"/>
      <c r="AL56" s="14" t="s">
        <v>328</v>
      </c>
      <c r="AM56" s="14"/>
      <c r="AN56" s="13">
        <v>12000</v>
      </c>
      <c r="AO56" s="13">
        <v>15000</v>
      </c>
      <c r="AP56" s="13">
        <v>7000</v>
      </c>
      <c r="AQ56" s="13">
        <v>100000</v>
      </c>
      <c r="AR56" s="13">
        <v>15000</v>
      </c>
      <c r="AS56" s="26">
        <v>0</v>
      </c>
      <c r="AT56" s="26">
        <v>0</v>
      </c>
      <c r="AU56" s="26">
        <v>60000</v>
      </c>
      <c r="AV56" s="26">
        <v>25000</v>
      </c>
      <c r="AW56" s="26">
        <v>12000</v>
      </c>
      <c r="AX56" s="62">
        <v>0</v>
      </c>
      <c r="AZ56" s="14" t="s">
        <v>348</v>
      </c>
      <c r="BA56" s="249">
        <f t="shared" si="1"/>
        <v>2</v>
      </c>
      <c r="BB56" s="249">
        <v>0</v>
      </c>
      <c r="BC56" s="249">
        <f t="shared" si="0"/>
        <v>2005</v>
      </c>
    </row>
    <row r="57" spans="1:55" x14ac:dyDescent="0.25">
      <c r="A57" s="50" t="s">
        <v>1854</v>
      </c>
      <c r="B57" s="61" t="s">
        <v>393</v>
      </c>
      <c r="C57" s="14" t="s">
        <v>348</v>
      </c>
      <c r="D57" s="14">
        <v>1992</v>
      </c>
      <c r="E57" s="14" t="s">
        <v>338</v>
      </c>
      <c r="F57" s="14"/>
      <c r="G57" s="14"/>
      <c r="H57" s="14"/>
      <c r="I57" s="14"/>
      <c r="J57" s="13">
        <v>780000</v>
      </c>
      <c r="K57" s="14"/>
      <c r="L57" s="14" t="s">
        <v>328</v>
      </c>
      <c r="M57" s="14"/>
      <c r="N57" s="13">
        <v>5000</v>
      </c>
      <c r="O57" s="24">
        <v>0.25</v>
      </c>
      <c r="P57" s="14">
        <v>1</v>
      </c>
      <c r="Q57" s="14">
        <v>380</v>
      </c>
      <c r="R57" s="13">
        <v>750</v>
      </c>
      <c r="S57" s="14" t="s">
        <v>340</v>
      </c>
      <c r="T57" s="14">
        <v>1.8</v>
      </c>
      <c r="U57" s="14">
        <v>2.2000000000000002</v>
      </c>
      <c r="V57" s="25">
        <v>2700</v>
      </c>
      <c r="W57" s="13">
        <v>2700</v>
      </c>
      <c r="X57" s="14"/>
      <c r="Y57" s="14"/>
      <c r="Z57" s="14"/>
      <c r="AA57" s="14"/>
      <c r="AB57" s="14" t="s">
        <v>328</v>
      </c>
      <c r="AC57" s="14"/>
      <c r="AD57" s="14" t="s">
        <v>328</v>
      </c>
      <c r="AE57" s="14" t="s">
        <v>328</v>
      </c>
      <c r="AF57" s="14"/>
      <c r="AG57" s="14"/>
      <c r="AH57" s="14"/>
      <c r="AI57" s="14"/>
      <c r="AJ57" s="14"/>
      <c r="AK57" s="14"/>
      <c r="AL57" s="14" t="s">
        <v>328</v>
      </c>
      <c r="AM57" s="14"/>
      <c r="AN57" s="13">
        <v>7000</v>
      </c>
      <c r="AO57" s="13">
        <v>20000</v>
      </c>
      <c r="AP57" s="13">
        <v>7000</v>
      </c>
      <c r="AQ57" s="13">
        <v>100000</v>
      </c>
      <c r="AR57" s="13">
        <v>20000</v>
      </c>
      <c r="AS57" s="26">
        <v>99600</v>
      </c>
      <c r="AT57" s="26">
        <v>0</v>
      </c>
      <c r="AU57" s="26">
        <v>60000</v>
      </c>
      <c r="AV57" s="26">
        <v>30000</v>
      </c>
      <c r="AW57" s="26">
        <v>12000</v>
      </c>
      <c r="AX57" s="62">
        <v>0</v>
      </c>
      <c r="AZ57" s="14" t="s">
        <v>348</v>
      </c>
      <c r="BA57" s="249">
        <f t="shared" si="1"/>
        <v>2</v>
      </c>
      <c r="BB57" s="249">
        <v>0</v>
      </c>
      <c r="BC57" s="249">
        <f t="shared" si="0"/>
        <v>1992</v>
      </c>
    </row>
    <row r="58" spans="1:55" x14ac:dyDescent="0.25">
      <c r="A58" s="50" t="s">
        <v>1854</v>
      </c>
      <c r="B58" s="61" t="s">
        <v>394</v>
      </c>
      <c r="C58" s="14" t="s">
        <v>348</v>
      </c>
      <c r="D58" s="14">
        <v>2004</v>
      </c>
      <c r="E58" s="14" t="s">
        <v>360</v>
      </c>
      <c r="F58" s="14"/>
      <c r="G58" s="14"/>
      <c r="H58" s="14"/>
      <c r="I58" s="14"/>
      <c r="J58" s="13">
        <v>75000</v>
      </c>
      <c r="K58" s="14" t="s">
        <v>328</v>
      </c>
      <c r="L58" s="14"/>
      <c r="M58" s="14"/>
      <c r="N58" s="13">
        <v>750</v>
      </c>
      <c r="O58" s="24">
        <v>0.3</v>
      </c>
      <c r="P58" s="14">
        <v>1</v>
      </c>
      <c r="Q58" s="14">
        <v>150</v>
      </c>
      <c r="R58" s="13">
        <v>375</v>
      </c>
      <c r="S58" s="14" t="s">
        <v>371</v>
      </c>
      <c r="T58" s="14">
        <v>2.2999999999999998</v>
      </c>
      <c r="U58" s="14">
        <v>2.6</v>
      </c>
      <c r="V58" s="25">
        <v>1250</v>
      </c>
      <c r="W58" s="13">
        <v>1250</v>
      </c>
      <c r="X58" s="14" t="s">
        <v>328</v>
      </c>
      <c r="Y58" s="14"/>
      <c r="Z58" s="14"/>
      <c r="AA58" s="14"/>
      <c r="AB58" s="14"/>
      <c r="AC58" s="14"/>
      <c r="AD58" s="14"/>
      <c r="AE58" s="14"/>
      <c r="AF58" s="14"/>
      <c r="AG58" s="14" t="s">
        <v>328</v>
      </c>
      <c r="AH58" s="14" t="s">
        <v>328</v>
      </c>
      <c r="AI58" s="14"/>
      <c r="AJ58" s="14"/>
      <c r="AK58" s="14"/>
      <c r="AL58" s="14" t="s">
        <v>328</v>
      </c>
      <c r="AM58" s="14"/>
      <c r="AN58" s="13">
        <v>12000</v>
      </c>
      <c r="AO58" s="13">
        <v>12000</v>
      </c>
      <c r="AP58" s="13">
        <v>15000</v>
      </c>
      <c r="AQ58" s="13">
        <v>60000</v>
      </c>
      <c r="AR58" s="13" t="s">
        <v>385</v>
      </c>
      <c r="AS58" s="26">
        <v>108000</v>
      </c>
      <c r="AT58" s="26">
        <v>78000</v>
      </c>
      <c r="AU58" s="26">
        <v>6000</v>
      </c>
      <c r="AV58" s="26">
        <v>18000</v>
      </c>
      <c r="AW58" s="26">
        <v>18000</v>
      </c>
      <c r="AX58" s="62">
        <v>0</v>
      </c>
      <c r="AZ58" s="14" t="s">
        <v>348</v>
      </c>
      <c r="BA58" s="249">
        <f t="shared" si="1"/>
        <v>5</v>
      </c>
      <c r="BB58" s="249">
        <v>0</v>
      </c>
      <c r="BC58" s="249">
        <f t="shared" si="0"/>
        <v>2004</v>
      </c>
    </row>
    <row r="59" spans="1:55" x14ac:dyDescent="0.25">
      <c r="A59" s="50" t="s">
        <v>1854</v>
      </c>
      <c r="B59" s="61" t="s">
        <v>394</v>
      </c>
      <c r="C59" s="14" t="s">
        <v>348</v>
      </c>
      <c r="D59" s="14">
        <v>2004</v>
      </c>
      <c r="E59" s="14" t="s">
        <v>360</v>
      </c>
      <c r="F59" s="14"/>
      <c r="G59" s="14"/>
      <c r="H59" s="14"/>
      <c r="I59" s="14"/>
      <c r="J59" s="13">
        <v>70000</v>
      </c>
      <c r="K59" s="14" t="s">
        <v>328</v>
      </c>
      <c r="L59" s="14"/>
      <c r="M59" s="14"/>
      <c r="N59" s="13">
        <v>750</v>
      </c>
      <c r="O59" s="24">
        <v>0.3</v>
      </c>
      <c r="P59" s="14">
        <v>1</v>
      </c>
      <c r="Q59" s="14">
        <v>150</v>
      </c>
      <c r="R59" s="13">
        <v>375</v>
      </c>
      <c r="S59" s="14" t="s">
        <v>371</v>
      </c>
      <c r="T59" s="14">
        <v>2.2999999999999998</v>
      </c>
      <c r="U59" s="14">
        <v>2.6</v>
      </c>
      <c r="V59" s="25">
        <v>1250</v>
      </c>
      <c r="W59" s="13">
        <v>1250</v>
      </c>
      <c r="X59" s="14" t="s">
        <v>328</v>
      </c>
      <c r="Y59" s="14"/>
      <c r="Z59" s="14"/>
      <c r="AA59" s="14"/>
      <c r="AB59" s="14"/>
      <c r="AC59" s="14"/>
      <c r="AD59" s="14"/>
      <c r="AE59" s="14"/>
      <c r="AF59" s="14"/>
      <c r="AG59" s="14" t="s">
        <v>328</v>
      </c>
      <c r="AH59" s="14" t="s">
        <v>328</v>
      </c>
      <c r="AI59" s="14"/>
      <c r="AJ59" s="14"/>
      <c r="AK59" s="14"/>
      <c r="AL59" s="14" t="s">
        <v>328</v>
      </c>
      <c r="AM59" s="14"/>
      <c r="AN59" s="13">
        <v>12000</v>
      </c>
      <c r="AO59" s="13">
        <v>12000</v>
      </c>
      <c r="AP59" s="13">
        <v>15000</v>
      </c>
      <c r="AQ59" s="13">
        <v>60000</v>
      </c>
      <c r="AR59" s="13" t="s">
        <v>385</v>
      </c>
      <c r="AS59" s="26">
        <v>108000</v>
      </c>
      <c r="AT59" s="26">
        <v>78000</v>
      </c>
      <c r="AU59" s="26">
        <v>6000</v>
      </c>
      <c r="AV59" s="26">
        <v>18000</v>
      </c>
      <c r="AW59" s="26">
        <v>18000</v>
      </c>
      <c r="AX59" s="62">
        <v>0</v>
      </c>
      <c r="AZ59" s="14" t="s">
        <v>348</v>
      </c>
      <c r="BA59" s="249">
        <f t="shared" si="1"/>
        <v>5</v>
      </c>
      <c r="BB59" s="249">
        <v>0</v>
      </c>
      <c r="BC59" s="249">
        <f t="shared" si="0"/>
        <v>2004</v>
      </c>
    </row>
    <row r="60" spans="1:55" x14ac:dyDescent="0.25">
      <c r="A60" s="50" t="s">
        <v>1854</v>
      </c>
      <c r="B60" s="61" t="s">
        <v>394</v>
      </c>
      <c r="C60" s="14" t="s">
        <v>348</v>
      </c>
      <c r="D60" s="14">
        <v>2006</v>
      </c>
      <c r="E60" s="14" t="s">
        <v>360</v>
      </c>
      <c r="F60" s="14"/>
      <c r="G60" s="14"/>
      <c r="H60" s="14"/>
      <c r="I60" s="14"/>
      <c r="J60" s="13">
        <v>61000</v>
      </c>
      <c r="K60" s="14" t="s">
        <v>328</v>
      </c>
      <c r="L60" s="14"/>
      <c r="M60" s="14"/>
      <c r="N60" s="13">
        <v>750</v>
      </c>
      <c r="O60" s="24">
        <v>0.3</v>
      </c>
      <c r="P60" s="14">
        <v>1</v>
      </c>
      <c r="Q60" s="14">
        <v>150</v>
      </c>
      <c r="R60" s="13">
        <v>375</v>
      </c>
      <c r="S60" s="14" t="s">
        <v>371</v>
      </c>
      <c r="T60" s="14">
        <v>2.2999999999999998</v>
      </c>
      <c r="U60" s="14">
        <v>2.6</v>
      </c>
      <c r="V60" s="25">
        <v>1250</v>
      </c>
      <c r="W60" s="13">
        <v>1250</v>
      </c>
      <c r="X60" s="14" t="s">
        <v>328</v>
      </c>
      <c r="Y60" s="14"/>
      <c r="Z60" s="14"/>
      <c r="AA60" s="14"/>
      <c r="AB60" s="14"/>
      <c r="AC60" s="14"/>
      <c r="AD60" s="14"/>
      <c r="AE60" s="14"/>
      <c r="AF60" s="14"/>
      <c r="AG60" s="14" t="s">
        <v>328</v>
      </c>
      <c r="AH60" s="14" t="s">
        <v>328</v>
      </c>
      <c r="AI60" s="14"/>
      <c r="AJ60" s="14"/>
      <c r="AK60" s="14"/>
      <c r="AL60" s="14" t="s">
        <v>328</v>
      </c>
      <c r="AM60" s="14"/>
      <c r="AN60" s="13">
        <v>12000</v>
      </c>
      <c r="AO60" s="13">
        <v>12000</v>
      </c>
      <c r="AP60" s="13">
        <v>15000</v>
      </c>
      <c r="AQ60" s="13">
        <v>60000</v>
      </c>
      <c r="AR60" s="13" t="s">
        <v>385</v>
      </c>
      <c r="AS60" s="26">
        <v>108000</v>
      </c>
      <c r="AT60" s="26">
        <v>78000</v>
      </c>
      <c r="AU60" s="26">
        <v>6000</v>
      </c>
      <c r="AV60" s="26">
        <v>16000</v>
      </c>
      <c r="AW60" s="26">
        <v>18000</v>
      </c>
      <c r="AX60" s="62">
        <v>0</v>
      </c>
      <c r="AZ60" s="14" t="s">
        <v>348</v>
      </c>
      <c r="BA60" s="249">
        <f t="shared" si="1"/>
        <v>5</v>
      </c>
      <c r="BB60" s="249">
        <v>0</v>
      </c>
      <c r="BC60" s="249">
        <f t="shared" si="0"/>
        <v>2006</v>
      </c>
    </row>
    <row r="61" spans="1:55" x14ac:dyDescent="0.25">
      <c r="A61" s="50" t="s">
        <v>1854</v>
      </c>
      <c r="B61" s="61" t="s">
        <v>394</v>
      </c>
      <c r="C61" s="14" t="s">
        <v>348</v>
      </c>
      <c r="D61" s="14">
        <v>2010</v>
      </c>
      <c r="E61" s="14" t="s">
        <v>360</v>
      </c>
      <c r="F61" s="14"/>
      <c r="G61" s="14"/>
      <c r="H61" s="14"/>
      <c r="I61" s="14"/>
      <c r="J61" s="13">
        <v>25000</v>
      </c>
      <c r="K61" s="14" t="s">
        <v>328</v>
      </c>
      <c r="L61" s="14"/>
      <c r="M61" s="14"/>
      <c r="N61" s="13">
        <v>750</v>
      </c>
      <c r="O61" s="24">
        <v>0.3</v>
      </c>
      <c r="P61" s="14">
        <v>1</v>
      </c>
      <c r="Q61" s="14">
        <v>150</v>
      </c>
      <c r="R61" s="13">
        <v>375</v>
      </c>
      <c r="S61" s="14" t="s">
        <v>371</v>
      </c>
      <c r="T61" s="14">
        <v>2.2999999999999998</v>
      </c>
      <c r="U61" s="14">
        <v>2.6</v>
      </c>
      <c r="V61" s="25">
        <v>1250</v>
      </c>
      <c r="W61" s="13">
        <v>1250</v>
      </c>
      <c r="X61" s="14"/>
      <c r="Y61" s="14"/>
      <c r="Z61" s="14"/>
      <c r="AA61" s="14"/>
      <c r="AB61" s="14"/>
      <c r="AC61" s="14" t="s">
        <v>328</v>
      </c>
      <c r="AD61" s="14"/>
      <c r="AE61" s="14"/>
      <c r="AF61" s="14"/>
      <c r="AG61" s="14" t="s">
        <v>328</v>
      </c>
      <c r="AH61" s="14" t="s">
        <v>328</v>
      </c>
      <c r="AI61" s="14"/>
      <c r="AJ61" s="14"/>
      <c r="AK61" s="14"/>
      <c r="AL61" s="14" t="s">
        <v>328</v>
      </c>
      <c r="AM61" s="14"/>
      <c r="AN61" s="13">
        <v>12000</v>
      </c>
      <c r="AO61" s="13">
        <v>12000</v>
      </c>
      <c r="AP61" s="13">
        <v>15000</v>
      </c>
      <c r="AQ61" s="13">
        <v>60000</v>
      </c>
      <c r="AR61" s="13" t="s">
        <v>385</v>
      </c>
      <c r="AS61" s="26">
        <v>108000</v>
      </c>
      <c r="AT61" s="26">
        <v>78000</v>
      </c>
      <c r="AU61" s="26">
        <v>6000</v>
      </c>
      <c r="AV61" s="26">
        <v>15000</v>
      </c>
      <c r="AW61" s="26">
        <v>18000</v>
      </c>
      <c r="AX61" s="62">
        <v>0</v>
      </c>
      <c r="AZ61" s="14" t="s">
        <v>348</v>
      </c>
      <c r="BA61" s="249">
        <f t="shared" si="1"/>
        <v>5</v>
      </c>
      <c r="BB61" s="249">
        <v>0</v>
      </c>
      <c r="BC61" s="249">
        <f t="shared" si="0"/>
        <v>2010</v>
      </c>
    </row>
    <row r="62" spans="1:55" x14ac:dyDescent="0.25">
      <c r="A62" s="50" t="s">
        <v>1854</v>
      </c>
      <c r="B62" s="61" t="s">
        <v>394</v>
      </c>
      <c r="C62" s="14" t="s">
        <v>348</v>
      </c>
      <c r="D62" s="14">
        <v>2012</v>
      </c>
      <c r="E62" s="14" t="s">
        <v>360</v>
      </c>
      <c r="F62" s="14"/>
      <c r="G62" s="14"/>
      <c r="H62" s="14"/>
      <c r="I62" s="14"/>
      <c r="J62" s="13">
        <v>14500</v>
      </c>
      <c r="K62" s="14" t="s">
        <v>328</v>
      </c>
      <c r="L62" s="14"/>
      <c r="M62" s="14"/>
      <c r="N62" s="13">
        <v>750</v>
      </c>
      <c r="O62" s="24">
        <v>0.3</v>
      </c>
      <c r="P62" s="14">
        <v>1</v>
      </c>
      <c r="Q62" s="14">
        <v>150</v>
      </c>
      <c r="R62" s="13">
        <v>375</v>
      </c>
      <c r="S62" s="14" t="s">
        <v>371</v>
      </c>
      <c r="T62" s="14">
        <v>2.2999999999999998</v>
      </c>
      <c r="U62" s="14">
        <v>2.6</v>
      </c>
      <c r="V62" s="25">
        <v>1250</v>
      </c>
      <c r="W62" s="13">
        <v>1250</v>
      </c>
      <c r="X62" s="14"/>
      <c r="Y62" s="14"/>
      <c r="Z62" s="14"/>
      <c r="AA62" s="14"/>
      <c r="AB62" s="14"/>
      <c r="AC62" s="14" t="s">
        <v>328</v>
      </c>
      <c r="AD62" s="14"/>
      <c r="AE62" s="14"/>
      <c r="AF62" s="14"/>
      <c r="AG62" s="14" t="s">
        <v>328</v>
      </c>
      <c r="AH62" s="14" t="s">
        <v>328</v>
      </c>
      <c r="AI62" s="14"/>
      <c r="AJ62" s="14"/>
      <c r="AK62" s="14"/>
      <c r="AL62" s="14" t="s">
        <v>328</v>
      </c>
      <c r="AM62" s="14"/>
      <c r="AN62" s="13">
        <v>12000</v>
      </c>
      <c r="AO62" s="13">
        <v>12000</v>
      </c>
      <c r="AP62" s="13">
        <v>15000</v>
      </c>
      <c r="AQ62" s="13">
        <v>60000</v>
      </c>
      <c r="AR62" s="13" t="s">
        <v>385</v>
      </c>
      <c r="AS62" s="26">
        <v>108000</v>
      </c>
      <c r="AT62" s="26">
        <v>78000</v>
      </c>
      <c r="AU62" s="26">
        <v>6000</v>
      </c>
      <c r="AV62" s="26">
        <v>15000</v>
      </c>
      <c r="AW62" s="26">
        <v>18000</v>
      </c>
      <c r="AX62" s="62">
        <v>0</v>
      </c>
      <c r="AZ62" s="14" t="s">
        <v>348</v>
      </c>
      <c r="BA62" s="249">
        <f t="shared" si="1"/>
        <v>5</v>
      </c>
      <c r="BB62" s="249">
        <v>0</v>
      </c>
      <c r="BC62" s="249">
        <f t="shared" si="0"/>
        <v>2012</v>
      </c>
    </row>
    <row r="63" spans="1:55" x14ac:dyDescent="0.25">
      <c r="A63" s="50" t="s">
        <v>1404</v>
      </c>
      <c r="B63" s="61" t="s">
        <v>403</v>
      </c>
      <c r="C63" s="14" t="s">
        <v>337</v>
      </c>
      <c r="D63" s="14">
        <v>1991</v>
      </c>
      <c r="E63" s="14" t="s">
        <v>338</v>
      </c>
      <c r="F63" s="14"/>
      <c r="G63" s="14"/>
      <c r="H63" s="14"/>
      <c r="I63" s="14"/>
      <c r="J63" s="13" t="s">
        <v>908</v>
      </c>
      <c r="K63" s="14"/>
      <c r="L63" s="14"/>
      <c r="M63" s="14" t="s">
        <v>328</v>
      </c>
      <c r="N63" s="13">
        <v>3200</v>
      </c>
      <c r="O63" s="24">
        <v>0.5</v>
      </c>
      <c r="P63" s="14">
        <v>3</v>
      </c>
      <c r="Q63" s="14">
        <v>400</v>
      </c>
      <c r="R63" s="13">
        <v>2160</v>
      </c>
      <c r="S63" s="14" t="s">
        <v>340</v>
      </c>
      <c r="T63" s="14">
        <v>1.8</v>
      </c>
      <c r="U63" s="14">
        <v>2</v>
      </c>
      <c r="V63" s="25">
        <v>2333.9317773788148</v>
      </c>
      <c r="W63" s="26">
        <v>26000</v>
      </c>
      <c r="X63" s="14"/>
      <c r="Y63" s="14" t="s">
        <v>328</v>
      </c>
      <c r="Z63" s="14"/>
      <c r="AA63" s="14"/>
      <c r="AB63" s="14"/>
      <c r="AC63" s="14"/>
      <c r="AD63" s="14" t="s">
        <v>328</v>
      </c>
      <c r="AE63" s="14"/>
      <c r="AF63" s="14"/>
      <c r="AG63" s="14" t="s">
        <v>328</v>
      </c>
      <c r="AH63" s="14" t="s">
        <v>328</v>
      </c>
      <c r="AI63" s="14" t="s">
        <v>328</v>
      </c>
      <c r="AJ63" s="14"/>
      <c r="AK63" s="14" t="s">
        <v>328</v>
      </c>
      <c r="AL63" s="14"/>
      <c r="AM63" s="14"/>
      <c r="AN63" s="13">
        <v>3000</v>
      </c>
      <c r="AO63" s="13">
        <v>6000</v>
      </c>
      <c r="AP63" s="13">
        <v>12000</v>
      </c>
      <c r="AQ63" s="13">
        <v>60000</v>
      </c>
      <c r="AR63" s="13">
        <v>3000</v>
      </c>
      <c r="AS63" s="26">
        <v>216000</v>
      </c>
      <c r="AT63" s="26">
        <v>48000</v>
      </c>
      <c r="AU63" s="26">
        <v>960000</v>
      </c>
      <c r="AV63" s="26">
        <v>600000</v>
      </c>
      <c r="AW63" s="26">
        <v>9000</v>
      </c>
      <c r="AX63" s="62">
        <v>0</v>
      </c>
      <c r="AZ63" s="14" t="s">
        <v>337</v>
      </c>
      <c r="BA63" s="249">
        <f t="shared" si="1"/>
        <v>1</v>
      </c>
      <c r="BB63" s="249">
        <v>0</v>
      </c>
      <c r="BC63" s="249">
        <f t="shared" si="0"/>
        <v>1991</v>
      </c>
    </row>
    <row r="64" spans="1:55" x14ac:dyDescent="0.25">
      <c r="A64" s="50" t="s">
        <v>1404</v>
      </c>
      <c r="B64" s="61" t="s">
        <v>408</v>
      </c>
      <c r="C64" s="14" t="s">
        <v>337</v>
      </c>
      <c r="D64" s="14">
        <v>1985</v>
      </c>
      <c r="E64" s="14" t="s">
        <v>407</v>
      </c>
      <c r="F64" s="14"/>
      <c r="G64" s="14"/>
      <c r="H64" s="14"/>
      <c r="I64" s="14"/>
      <c r="J64" s="13">
        <v>1500000</v>
      </c>
      <c r="K64" s="14"/>
      <c r="L64" s="14"/>
      <c r="M64" s="14" t="s">
        <v>328</v>
      </c>
      <c r="N64" s="13">
        <v>4500</v>
      </c>
      <c r="O64" s="24">
        <v>0.5</v>
      </c>
      <c r="P64" s="14">
        <v>2</v>
      </c>
      <c r="Q64" s="14">
        <v>400</v>
      </c>
      <c r="R64" s="13">
        <v>1440</v>
      </c>
      <c r="S64" s="14" t="s">
        <v>340</v>
      </c>
      <c r="T64" s="14">
        <v>1.8</v>
      </c>
      <c r="U64" s="14">
        <v>2</v>
      </c>
      <c r="V64" s="25">
        <v>134.64991023339317</v>
      </c>
      <c r="W64" s="26">
        <v>1500</v>
      </c>
      <c r="X64" s="14" t="s">
        <v>328</v>
      </c>
      <c r="Y64" s="14"/>
      <c r="Z64" s="14"/>
      <c r="AA64" s="14"/>
      <c r="AB64" s="14"/>
      <c r="AC64" s="14"/>
      <c r="AD64" s="14"/>
      <c r="AE64" s="14"/>
      <c r="AF64" s="14"/>
      <c r="AG64" s="14" t="s">
        <v>328</v>
      </c>
      <c r="AH64" s="14" t="s">
        <v>328</v>
      </c>
      <c r="AI64" s="14"/>
      <c r="AJ64" s="14"/>
      <c r="AK64" s="14"/>
      <c r="AL64" s="14"/>
      <c r="AM64" s="14"/>
      <c r="AN64" s="13">
        <v>12000</v>
      </c>
      <c r="AO64" s="13">
        <v>54000</v>
      </c>
      <c r="AP64" s="13">
        <v>4500</v>
      </c>
      <c r="AQ64" s="13">
        <v>54000</v>
      </c>
      <c r="AR64" s="13" t="s">
        <v>480</v>
      </c>
      <c r="AS64" s="26">
        <v>96000</v>
      </c>
      <c r="AT64" s="26">
        <v>0</v>
      </c>
      <c r="AU64" s="13" t="s">
        <v>480</v>
      </c>
      <c r="AV64" s="26">
        <v>60000</v>
      </c>
      <c r="AW64" s="26">
        <v>7000</v>
      </c>
      <c r="AX64" s="62">
        <v>0</v>
      </c>
      <c r="AZ64" s="14" t="s">
        <v>337</v>
      </c>
      <c r="BA64" s="249">
        <f t="shared" si="1"/>
        <v>5</v>
      </c>
      <c r="BB64" s="249">
        <v>0</v>
      </c>
      <c r="BC64" s="249">
        <f t="shared" si="0"/>
        <v>1985</v>
      </c>
    </row>
    <row r="65" spans="1:55" x14ac:dyDescent="0.25">
      <c r="A65" s="50" t="s">
        <v>1404</v>
      </c>
      <c r="B65" s="61" t="s">
        <v>408</v>
      </c>
      <c r="C65" s="14" t="s">
        <v>337</v>
      </c>
      <c r="D65" s="14">
        <v>1986</v>
      </c>
      <c r="E65" s="14" t="s">
        <v>407</v>
      </c>
      <c r="F65" s="14"/>
      <c r="G65" s="14"/>
      <c r="H65" s="14"/>
      <c r="I65" s="14"/>
      <c r="J65" s="13">
        <v>1500000</v>
      </c>
      <c r="K65" s="14"/>
      <c r="L65" s="14"/>
      <c r="M65" s="14" t="s">
        <v>328</v>
      </c>
      <c r="N65" s="13">
        <v>4500</v>
      </c>
      <c r="O65" s="24">
        <v>0.5</v>
      </c>
      <c r="P65" s="14">
        <v>2</v>
      </c>
      <c r="Q65" s="14">
        <v>400</v>
      </c>
      <c r="R65" s="13">
        <v>1440</v>
      </c>
      <c r="S65" s="14" t="s">
        <v>340</v>
      </c>
      <c r="T65" s="14">
        <v>1.8</v>
      </c>
      <c r="U65" s="14">
        <v>2</v>
      </c>
      <c r="V65" s="25">
        <v>134.64991023339317</v>
      </c>
      <c r="W65" s="26">
        <v>1500</v>
      </c>
      <c r="X65" s="14"/>
      <c r="Y65" s="14"/>
      <c r="Z65" s="14"/>
      <c r="AA65" s="14" t="s">
        <v>328</v>
      </c>
      <c r="AB65" s="14"/>
      <c r="AC65" s="14"/>
      <c r="AD65" s="14"/>
      <c r="AE65" s="14"/>
      <c r="AF65" s="14"/>
      <c r="AG65" s="14" t="s">
        <v>328</v>
      </c>
      <c r="AH65" s="14" t="s">
        <v>328</v>
      </c>
      <c r="AI65" s="14"/>
      <c r="AJ65" s="14"/>
      <c r="AK65" s="14"/>
      <c r="AL65" s="14"/>
      <c r="AM65" s="14"/>
      <c r="AN65" s="13">
        <v>12000</v>
      </c>
      <c r="AO65" s="13">
        <v>54000</v>
      </c>
      <c r="AP65" s="13">
        <v>4500</v>
      </c>
      <c r="AQ65" s="13">
        <v>54000</v>
      </c>
      <c r="AR65" s="13" t="s">
        <v>480</v>
      </c>
      <c r="AS65" s="26">
        <v>96000</v>
      </c>
      <c r="AT65" s="26">
        <v>0</v>
      </c>
      <c r="AU65" s="13" t="s">
        <v>480</v>
      </c>
      <c r="AV65" s="26">
        <v>60000</v>
      </c>
      <c r="AW65" s="26">
        <v>7000</v>
      </c>
      <c r="AX65" s="62">
        <v>0</v>
      </c>
      <c r="AZ65" s="14" t="s">
        <v>337</v>
      </c>
      <c r="BA65" s="249">
        <f t="shared" si="1"/>
        <v>5</v>
      </c>
      <c r="BB65" s="249">
        <v>0</v>
      </c>
      <c r="BC65" s="249">
        <f t="shared" si="0"/>
        <v>1986</v>
      </c>
    </row>
    <row r="66" spans="1:55" x14ac:dyDescent="0.25">
      <c r="A66" s="50" t="s">
        <v>1404</v>
      </c>
      <c r="B66" s="61" t="s">
        <v>408</v>
      </c>
      <c r="C66" s="14" t="s">
        <v>337</v>
      </c>
      <c r="D66" s="14">
        <v>1987</v>
      </c>
      <c r="E66" s="14" t="s">
        <v>407</v>
      </c>
      <c r="F66" s="14"/>
      <c r="G66" s="14"/>
      <c r="H66" s="14"/>
      <c r="I66" s="14"/>
      <c r="J66" s="13">
        <v>1500000</v>
      </c>
      <c r="K66" s="14"/>
      <c r="L66" s="14"/>
      <c r="M66" s="14" t="s">
        <v>328</v>
      </c>
      <c r="N66" s="13">
        <v>4500</v>
      </c>
      <c r="O66" s="24">
        <v>0.5</v>
      </c>
      <c r="P66" s="14">
        <v>2</v>
      </c>
      <c r="Q66" s="14">
        <v>400</v>
      </c>
      <c r="R66" s="13">
        <v>1440</v>
      </c>
      <c r="S66" s="14" t="s">
        <v>340</v>
      </c>
      <c r="T66" s="14">
        <v>1.8</v>
      </c>
      <c r="U66" s="14">
        <v>2</v>
      </c>
      <c r="V66" s="25">
        <v>134.64991023339317</v>
      </c>
      <c r="W66" s="26">
        <v>1500</v>
      </c>
      <c r="X66" s="14"/>
      <c r="Y66" s="14" t="s">
        <v>328</v>
      </c>
      <c r="Z66" s="14"/>
      <c r="AA66" s="14"/>
      <c r="AB66" s="14"/>
      <c r="AC66" s="14"/>
      <c r="AD66" s="14" t="s">
        <v>328</v>
      </c>
      <c r="AE66" s="14"/>
      <c r="AF66" s="14"/>
      <c r="AG66" s="14" t="s">
        <v>328</v>
      </c>
      <c r="AH66" s="14" t="s">
        <v>328</v>
      </c>
      <c r="AI66" s="14"/>
      <c r="AJ66" s="14"/>
      <c r="AK66" s="14"/>
      <c r="AL66" s="14"/>
      <c r="AM66" s="14"/>
      <c r="AN66" s="13">
        <v>12000</v>
      </c>
      <c r="AO66" s="13">
        <v>54000</v>
      </c>
      <c r="AP66" s="13">
        <v>4500</v>
      </c>
      <c r="AQ66" s="13">
        <v>54000</v>
      </c>
      <c r="AR66" s="13" t="s">
        <v>480</v>
      </c>
      <c r="AS66" s="26">
        <v>96000</v>
      </c>
      <c r="AT66" s="26">
        <v>0</v>
      </c>
      <c r="AU66" s="13" t="s">
        <v>480</v>
      </c>
      <c r="AV66" s="26">
        <v>60000</v>
      </c>
      <c r="AW66" s="26">
        <v>7000</v>
      </c>
      <c r="AX66" s="62">
        <v>0</v>
      </c>
      <c r="AZ66" s="14" t="s">
        <v>337</v>
      </c>
      <c r="BA66" s="249">
        <f t="shared" si="1"/>
        <v>5</v>
      </c>
      <c r="BB66" s="249">
        <v>0</v>
      </c>
      <c r="BC66" s="249">
        <f t="shared" si="0"/>
        <v>1987</v>
      </c>
    </row>
    <row r="67" spans="1:55" x14ac:dyDescent="0.25">
      <c r="A67" s="50" t="s">
        <v>1404</v>
      </c>
      <c r="B67" s="61" t="s">
        <v>408</v>
      </c>
      <c r="C67" s="14" t="s">
        <v>337</v>
      </c>
      <c r="D67" s="14">
        <v>1983</v>
      </c>
      <c r="E67" s="14" t="s">
        <v>407</v>
      </c>
      <c r="F67" s="14"/>
      <c r="G67" s="14"/>
      <c r="H67" s="14"/>
      <c r="I67" s="14"/>
      <c r="J67" s="13">
        <v>1500000</v>
      </c>
      <c r="K67" s="14"/>
      <c r="L67" s="14"/>
      <c r="M67" s="14" t="s">
        <v>328</v>
      </c>
      <c r="N67" s="13">
        <v>4500</v>
      </c>
      <c r="O67" s="24">
        <v>0.5</v>
      </c>
      <c r="P67" s="14">
        <v>2</v>
      </c>
      <c r="Q67" s="14">
        <v>400</v>
      </c>
      <c r="R67" s="13">
        <v>1440</v>
      </c>
      <c r="S67" s="14" t="s">
        <v>340</v>
      </c>
      <c r="T67" s="14">
        <v>1.8</v>
      </c>
      <c r="U67" s="14">
        <v>2</v>
      </c>
      <c r="V67" s="25">
        <v>134.64991023339317</v>
      </c>
      <c r="W67" s="26">
        <v>1500</v>
      </c>
      <c r="X67" s="14"/>
      <c r="Y67" s="14"/>
      <c r="Z67" s="14"/>
      <c r="AA67" s="14"/>
      <c r="AB67" s="14" t="s">
        <v>328</v>
      </c>
      <c r="AC67" s="14"/>
      <c r="AD67" s="14"/>
      <c r="AE67" s="14"/>
      <c r="AF67" s="14"/>
      <c r="AG67" s="14" t="s">
        <v>328</v>
      </c>
      <c r="AH67" s="14" t="s">
        <v>328</v>
      </c>
      <c r="AI67" s="14"/>
      <c r="AJ67" s="14"/>
      <c r="AK67" s="14"/>
      <c r="AL67" s="14"/>
      <c r="AM67" s="14"/>
      <c r="AN67" s="13">
        <v>12000</v>
      </c>
      <c r="AO67" s="13">
        <v>54000</v>
      </c>
      <c r="AP67" s="13">
        <v>4500</v>
      </c>
      <c r="AQ67" s="13">
        <v>54000</v>
      </c>
      <c r="AR67" s="13" t="s">
        <v>480</v>
      </c>
      <c r="AS67" s="26">
        <v>96000</v>
      </c>
      <c r="AT67" s="26">
        <v>0</v>
      </c>
      <c r="AU67" s="13" t="s">
        <v>480</v>
      </c>
      <c r="AV67" s="26">
        <v>60000</v>
      </c>
      <c r="AW67" s="26">
        <v>7000</v>
      </c>
      <c r="AX67" s="62">
        <v>0</v>
      </c>
      <c r="AZ67" s="14" t="s">
        <v>337</v>
      </c>
      <c r="BA67" s="249">
        <f t="shared" si="1"/>
        <v>5</v>
      </c>
      <c r="BB67" s="249">
        <v>0</v>
      </c>
      <c r="BC67" s="249">
        <f t="shared" si="0"/>
        <v>1983</v>
      </c>
    </row>
    <row r="68" spans="1:55" x14ac:dyDescent="0.25">
      <c r="A68" s="50" t="s">
        <v>1404</v>
      </c>
      <c r="B68" s="61" t="s">
        <v>408</v>
      </c>
      <c r="C68" s="14" t="s">
        <v>337</v>
      </c>
      <c r="D68" s="14">
        <v>1985</v>
      </c>
      <c r="E68" s="14" t="s">
        <v>407</v>
      </c>
      <c r="F68" s="14"/>
      <c r="G68" s="14"/>
      <c r="H68" s="14"/>
      <c r="I68" s="14"/>
      <c r="J68" s="13">
        <v>1500000</v>
      </c>
      <c r="K68" s="14"/>
      <c r="L68" s="14"/>
      <c r="M68" s="14" t="s">
        <v>328</v>
      </c>
      <c r="N68" s="13">
        <v>4500</v>
      </c>
      <c r="O68" s="24">
        <v>0.5</v>
      </c>
      <c r="P68" s="14">
        <v>2</v>
      </c>
      <c r="Q68" s="14">
        <v>400</v>
      </c>
      <c r="R68" s="13">
        <v>1440</v>
      </c>
      <c r="S68" s="14" t="s">
        <v>340</v>
      </c>
      <c r="T68" s="14">
        <v>1.8</v>
      </c>
      <c r="U68" s="14">
        <v>2</v>
      </c>
      <c r="V68" s="25">
        <v>134.64991023339317</v>
      </c>
      <c r="W68" s="26">
        <v>1500</v>
      </c>
      <c r="X68" s="14"/>
      <c r="Y68" s="14" t="s">
        <v>328</v>
      </c>
      <c r="Z68" s="14"/>
      <c r="AA68" s="14"/>
      <c r="AB68" s="14"/>
      <c r="AC68" s="14"/>
      <c r="AD68" s="14"/>
      <c r="AE68" s="14"/>
      <c r="AF68" s="14"/>
      <c r="AG68" s="14" t="s">
        <v>328</v>
      </c>
      <c r="AH68" s="14" t="s">
        <v>328</v>
      </c>
      <c r="AI68" s="14"/>
      <c r="AJ68" s="14"/>
      <c r="AK68" s="14"/>
      <c r="AL68" s="14"/>
      <c r="AM68" s="14"/>
      <c r="AN68" s="13">
        <v>12000</v>
      </c>
      <c r="AO68" s="13">
        <v>54000</v>
      </c>
      <c r="AP68" s="13">
        <v>4500</v>
      </c>
      <c r="AQ68" s="13">
        <v>54000</v>
      </c>
      <c r="AR68" s="13" t="s">
        <v>480</v>
      </c>
      <c r="AS68" s="26">
        <v>96000</v>
      </c>
      <c r="AT68" s="26">
        <v>0</v>
      </c>
      <c r="AU68" s="13" t="s">
        <v>480</v>
      </c>
      <c r="AV68" s="26">
        <v>60000</v>
      </c>
      <c r="AW68" s="26">
        <v>7000</v>
      </c>
      <c r="AX68" s="62">
        <v>0</v>
      </c>
      <c r="AZ68" s="14" t="s">
        <v>337</v>
      </c>
      <c r="BA68" s="249">
        <f t="shared" si="1"/>
        <v>5</v>
      </c>
      <c r="BB68" s="249">
        <v>0</v>
      </c>
      <c r="BC68" s="249">
        <f t="shared" si="0"/>
        <v>1985</v>
      </c>
    </row>
    <row r="69" spans="1:55" x14ac:dyDescent="0.25">
      <c r="A69" s="50" t="s">
        <v>1404</v>
      </c>
      <c r="B69" s="61" t="s">
        <v>413</v>
      </c>
      <c r="C69" s="14" t="s">
        <v>337</v>
      </c>
      <c r="D69" s="14">
        <v>2004</v>
      </c>
      <c r="E69" s="14" t="s">
        <v>477</v>
      </c>
      <c r="F69" s="14"/>
      <c r="G69" s="14"/>
      <c r="H69" s="14"/>
      <c r="I69" s="14"/>
      <c r="J69" s="13">
        <v>1000000</v>
      </c>
      <c r="K69" s="14"/>
      <c r="L69" s="14"/>
      <c r="M69" s="14" t="s">
        <v>328</v>
      </c>
      <c r="N69" s="13">
        <v>9300</v>
      </c>
      <c r="O69" s="24">
        <v>0.5</v>
      </c>
      <c r="P69" s="14">
        <v>3</v>
      </c>
      <c r="Q69" s="14">
        <v>340</v>
      </c>
      <c r="R69" s="13">
        <v>2040</v>
      </c>
      <c r="S69" s="14" t="s">
        <v>340</v>
      </c>
      <c r="T69" s="14">
        <v>2</v>
      </c>
      <c r="U69" s="14">
        <v>5</v>
      </c>
      <c r="V69" s="25">
        <v>897.66606822262111</v>
      </c>
      <c r="W69" s="26">
        <v>10000</v>
      </c>
      <c r="X69" s="14"/>
      <c r="Y69" s="14" t="s">
        <v>328</v>
      </c>
      <c r="Z69" s="14"/>
      <c r="AA69" s="14"/>
      <c r="AB69" s="14"/>
      <c r="AC69" s="14"/>
      <c r="AD69" s="14" t="s">
        <v>328</v>
      </c>
      <c r="AE69" s="14" t="s">
        <v>328</v>
      </c>
      <c r="AF69" s="14"/>
      <c r="AG69" s="14" t="s">
        <v>328</v>
      </c>
      <c r="AH69" s="14"/>
      <c r="AI69" s="14" t="s">
        <v>328</v>
      </c>
      <c r="AJ69" s="14"/>
      <c r="AK69" s="14" t="s">
        <v>328</v>
      </c>
      <c r="AL69" s="14" t="s">
        <v>328</v>
      </c>
      <c r="AM69" s="14" t="s">
        <v>328</v>
      </c>
      <c r="AN69" s="13">
        <v>20000</v>
      </c>
      <c r="AO69" s="13">
        <v>12000</v>
      </c>
      <c r="AP69" s="13">
        <v>9300</v>
      </c>
      <c r="AQ69" s="13">
        <v>56000</v>
      </c>
      <c r="AR69" s="13">
        <v>50000</v>
      </c>
      <c r="AS69" s="26">
        <v>360000</v>
      </c>
      <c r="AT69" s="26">
        <v>96000</v>
      </c>
      <c r="AU69" s="26">
        <v>50000</v>
      </c>
      <c r="AV69" s="26">
        <v>120000</v>
      </c>
      <c r="AW69" s="26">
        <v>42000</v>
      </c>
      <c r="AX69" s="62">
        <v>0</v>
      </c>
      <c r="AZ69" s="14" t="s">
        <v>414</v>
      </c>
      <c r="BA69" s="249">
        <f t="shared" si="1"/>
        <v>2</v>
      </c>
      <c r="BB69" s="249">
        <v>0</v>
      </c>
      <c r="BC69" s="249">
        <f t="shared" si="0"/>
        <v>2004</v>
      </c>
    </row>
    <row r="70" spans="1:55" x14ac:dyDescent="0.25">
      <c r="A70" s="50" t="s">
        <v>1404</v>
      </c>
      <c r="B70" s="61" t="s">
        <v>413</v>
      </c>
      <c r="C70" s="14" t="s">
        <v>337</v>
      </c>
      <c r="D70" s="14">
        <v>2006</v>
      </c>
      <c r="E70" s="14" t="s">
        <v>407</v>
      </c>
      <c r="F70" s="14"/>
      <c r="G70" s="14"/>
      <c r="H70" s="14"/>
      <c r="I70" s="14"/>
      <c r="J70" s="13">
        <v>1000000</v>
      </c>
      <c r="K70" s="14"/>
      <c r="L70" s="14"/>
      <c r="M70" s="14" t="s">
        <v>328</v>
      </c>
      <c r="N70" s="13">
        <v>12000</v>
      </c>
      <c r="O70" s="24">
        <v>0.5</v>
      </c>
      <c r="P70" s="14">
        <v>3</v>
      </c>
      <c r="Q70" s="14">
        <v>340</v>
      </c>
      <c r="R70" s="13">
        <v>2040</v>
      </c>
      <c r="S70" s="14" t="s">
        <v>340</v>
      </c>
      <c r="T70" s="14">
        <v>2</v>
      </c>
      <c r="U70" s="14">
        <v>5</v>
      </c>
      <c r="V70" s="25">
        <v>897.66606822262111</v>
      </c>
      <c r="W70" s="26">
        <v>10000</v>
      </c>
      <c r="X70" s="14"/>
      <c r="Y70" s="14" t="s">
        <v>328</v>
      </c>
      <c r="Z70" s="14"/>
      <c r="AA70" s="14"/>
      <c r="AB70" s="14"/>
      <c r="AC70" s="14"/>
      <c r="AD70" s="14" t="s">
        <v>328</v>
      </c>
      <c r="AE70" s="14" t="s">
        <v>328</v>
      </c>
      <c r="AF70" s="14"/>
      <c r="AG70" s="14" t="s">
        <v>328</v>
      </c>
      <c r="AH70" s="14"/>
      <c r="AI70" s="14" t="s">
        <v>328</v>
      </c>
      <c r="AJ70" s="14"/>
      <c r="AK70" s="14" t="s">
        <v>328</v>
      </c>
      <c r="AL70" s="14" t="s">
        <v>328</v>
      </c>
      <c r="AM70" s="14" t="s">
        <v>328</v>
      </c>
      <c r="AN70" s="13">
        <v>20000</v>
      </c>
      <c r="AO70" s="13">
        <v>12000</v>
      </c>
      <c r="AP70" s="13">
        <v>12000</v>
      </c>
      <c r="AQ70" s="13">
        <v>72000</v>
      </c>
      <c r="AR70" s="13">
        <v>50000</v>
      </c>
      <c r="AS70" s="26">
        <v>360000</v>
      </c>
      <c r="AT70" s="26">
        <v>96000</v>
      </c>
      <c r="AU70" s="26">
        <v>50000</v>
      </c>
      <c r="AV70" s="26">
        <v>120000</v>
      </c>
      <c r="AW70" s="26">
        <v>52000</v>
      </c>
      <c r="AX70" s="62">
        <v>0</v>
      </c>
      <c r="AZ70" s="14" t="s">
        <v>414</v>
      </c>
      <c r="BA70" s="249">
        <f t="shared" si="1"/>
        <v>2</v>
      </c>
      <c r="BB70" s="249">
        <v>0</v>
      </c>
      <c r="BC70" s="249">
        <f t="shared" si="0"/>
        <v>2006</v>
      </c>
    </row>
    <row r="71" spans="1:55" x14ac:dyDescent="0.25">
      <c r="A71" s="50" t="s">
        <v>1404</v>
      </c>
      <c r="B71" s="61" t="s">
        <v>416</v>
      </c>
      <c r="C71" s="14" t="s">
        <v>337</v>
      </c>
      <c r="D71" s="14">
        <v>2000</v>
      </c>
      <c r="E71" s="14"/>
      <c r="F71" s="14">
        <v>2003</v>
      </c>
      <c r="G71" s="14" t="s">
        <v>407</v>
      </c>
      <c r="H71" s="14"/>
      <c r="I71" s="14"/>
      <c r="J71" s="13">
        <v>300000</v>
      </c>
      <c r="K71" s="14" t="s">
        <v>328</v>
      </c>
      <c r="L71" s="14"/>
      <c r="M71" s="14"/>
      <c r="N71" s="13">
        <v>10000</v>
      </c>
      <c r="O71" s="24">
        <v>0.35</v>
      </c>
      <c r="P71" s="14">
        <v>2</v>
      </c>
      <c r="Q71" s="14">
        <v>200</v>
      </c>
      <c r="R71" s="13">
        <v>1000</v>
      </c>
      <c r="S71" s="14" t="s">
        <v>340</v>
      </c>
      <c r="T71" s="14">
        <v>2.5</v>
      </c>
      <c r="U71" s="14">
        <v>2.8</v>
      </c>
      <c r="V71" s="25">
        <v>1795.3321364452422</v>
      </c>
      <c r="W71" s="26">
        <v>20000</v>
      </c>
      <c r="X71" s="14"/>
      <c r="Y71" s="14"/>
      <c r="Z71" s="14"/>
      <c r="AA71" s="14"/>
      <c r="AB71" s="14" t="s">
        <v>328</v>
      </c>
      <c r="AC71" s="14"/>
      <c r="AD71" s="14"/>
      <c r="AE71" s="14" t="s">
        <v>328</v>
      </c>
      <c r="AF71" s="14"/>
      <c r="AG71" s="14" t="s">
        <v>328</v>
      </c>
      <c r="AH71" s="14" t="s">
        <v>328</v>
      </c>
      <c r="AI71" s="14" t="s">
        <v>328</v>
      </c>
      <c r="AJ71" s="14" t="s">
        <v>328</v>
      </c>
      <c r="AK71" s="14" t="s">
        <v>328</v>
      </c>
      <c r="AL71" s="14"/>
      <c r="AM71" s="14" t="s">
        <v>328</v>
      </c>
      <c r="AN71" s="13">
        <v>10000</v>
      </c>
      <c r="AO71" s="13">
        <v>60000</v>
      </c>
      <c r="AP71" s="13">
        <v>60000</v>
      </c>
      <c r="AQ71" s="13">
        <v>120000</v>
      </c>
      <c r="AR71" s="13">
        <v>60000</v>
      </c>
      <c r="AS71" s="26">
        <v>104000</v>
      </c>
      <c r="AT71" s="26">
        <v>0</v>
      </c>
      <c r="AU71" s="26">
        <v>3000</v>
      </c>
      <c r="AV71" s="26">
        <v>36000</v>
      </c>
      <c r="AW71" s="26">
        <v>5000</v>
      </c>
      <c r="AX71" s="62">
        <v>36000</v>
      </c>
      <c r="AZ71" s="14" t="s">
        <v>421</v>
      </c>
      <c r="BA71" s="249">
        <f t="shared" si="1"/>
        <v>10</v>
      </c>
      <c r="BB71" s="249">
        <v>0</v>
      </c>
      <c r="BC71" s="249">
        <f t="shared" si="0"/>
        <v>2003</v>
      </c>
    </row>
    <row r="72" spans="1:55" x14ac:dyDescent="0.25">
      <c r="A72" s="50" t="s">
        <v>1404</v>
      </c>
      <c r="B72" s="61" t="s">
        <v>416</v>
      </c>
      <c r="C72" s="14" t="s">
        <v>337</v>
      </c>
      <c r="D72" s="14">
        <v>2000</v>
      </c>
      <c r="E72" s="14"/>
      <c r="F72" s="14">
        <v>2003</v>
      </c>
      <c r="G72" s="14" t="s">
        <v>407</v>
      </c>
      <c r="H72" s="14"/>
      <c r="I72" s="14"/>
      <c r="J72" s="13">
        <v>300000</v>
      </c>
      <c r="K72" s="14" t="s">
        <v>328</v>
      </c>
      <c r="L72" s="14"/>
      <c r="M72" s="14"/>
      <c r="N72" s="13">
        <v>10000</v>
      </c>
      <c r="O72" s="24">
        <v>0.35</v>
      </c>
      <c r="P72" s="14">
        <v>2</v>
      </c>
      <c r="Q72" s="14">
        <v>200</v>
      </c>
      <c r="R72" s="13">
        <v>1000</v>
      </c>
      <c r="S72" s="14" t="s">
        <v>340</v>
      </c>
      <c r="T72" s="14">
        <v>2.5</v>
      </c>
      <c r="U72" s="14">
        <v>2.8</v>
      </c>
      <c r="V72" s="25">
        <v>1795.3321364452422</v>
      </c>
      <c r="W72" s="26">
        <v>20000</v>
      </c>
      <c r="X72" s="14"/>
      <c r="Y72" s="14"/>
      <c r="Z72" s="14"/>
      <c r="AA72" s="14"/>
      <c r="AB72" s="14" t="s">
        <v>328</v>
      </c>
      <c r="AC72" s="14"/>
      <c r="AD72" s="14"/>
      <c r="AE72" s="14" t="s">
        <v>328</v>
      </c>
      <c r="AF72" s="14"/>
      <c r="AG72" s="14" t="s">
        <v>328</v>
      </c>
      <c r="AH72" s="14" t="s">
        <v>328</v>
      </c>
      <c r="AI72" s="14" t="s">
        <v>328</v>
      </c>
      <c r="AJ72" s="14" t="s">
        <v>328</v>
      </c>
      <c r="AK72" s="14" t="s">
        <v>328</v>
      </c>
      <c r="AL72" s="14"/>
      <c r="AM72" s="14" t="s">
        <v>328</v>
      </c>
      <c r="AN72" s="13">
        <v>10000</v>
      </c>
      <c r="AO72" s="13">
        <v>60000</v>
      </c>
      <c r="AP72" s="13">
        <v>60000</v>
      </c>
      <c r="AQ72" s="13">
        <v>120000</v>
      </c>
      <c r="AR72" s="13">
        <v>60000</v>
      </c>
      <c r="AS72" s="26">
        <v>104000</v>
      </c>
      <c r="AT72" s="26">
        <v>0</v>
      </c>
      <c r="AU72" s="26">
        <v>3000</v>
      </c>
      <c r="AV72" s="26">
        <v>36000</v>
      </c>
      <c r="AW72" s="26">
        <v>5000</v>
      </c>
      <c r="AX72" s="62">
        <v>36000</v>
      </c>
      <c r="AZ72" s="14" t="s">
        <v>421</v>
      </c>
      <c r="BA72" s="249">
        <f t="shared" si="1"/>
        <v>10</v>
      </c>
      <c r="BB72" s="249">
        <v>0</v>
      </c>
      <c r="BC72" s="249">
        <f t="shared" ref="BC72:BC135" si="2">IF(H72&gt;D72,(IF(H72&gt;F72,H72,(IF(F72&gt;D72,F72,D72)))),(IF(F72&gt;D72,F72,D72)))</f>
        <v>2003</v>
      </c>
    </row>
    <row r="73" spans="1:55" x14ac:dyDescent="0.25">
      <c r="A73" s="50" t="s">
        <v>1404</v>
      </c>
      <c r="B73" s="61" t="s">
        <v>416</v>
      </c>
      <c r="C73" s="14" t="s">
        <v>337</v>
      </c>
      <c r="D73" s="14">
        <v>2001</v>
      </c>
      <c r="E73" s="14"/>
      <c r="F73" s="14">
        <v>2004</v>
      </c>
      <c r="G73" s="14" t="s">
        <v>407</v>
      </c>
      <c r="H73" s="14"/>
      <c r="I73" s="14"/>
      <c r="J73" s="13">
        <v>300000</v>
      </c>
      <c r="K73" s="14" t="s">
        <v>328</v>
      </c>
      <c r="L73" s="14"/>
      <c r="M73" s="14"/>
      <c r="N73" s="13">
        <v>10000</v>
      </c>
      <c r="O73" s="24">
        <v>0.35</v>
      </c>
      <c r="P73" s="14">
        <v>2</v>
      </c>
      <c r="Q73" s="14">
        <v>200</v>
      </c>
      <c r="R73" s="13">
        <v>1000</v>
      </c>
      <c r="S73" s="14" t="s">
        <v>340</v>
      </c>
      <c r="T73" s="14">
        <v>2.5</v>
      </c>
      <c r="U73" s="14">
        <v>2.8</v>
      </c>
      <c r="V73" s="25">
        <v>1795.3321364452422</v>
      </c>
      <c r="W73" s="26">
        <v>20000</v>
      </c>
      <c r="X73" s="14"/>
      <c r="Y73" s="14"/>
      <c r="Z73" s="14"/>
      <c r="AA73" s="14"/>
      <c r="AB73" s="14" t="s">
        <v>328</v>
      </c>
      <c r="AC73" s="14"/>
      <c r="AD73" s="14"/>
      <c r="AE73" s="14" t="s">
        <v>328</v>
      </c>
      <c r="AF73" s="14"/>
      <c r="AG73" s="14" t="s">
        <v>328</v>
      </c>
      <c r="AH73" s="14" t="s">
        <v>328</v>
      </c>
      <c r="AI73" s="14" t="s">
        <v>328</v>
      </c>
      <c r="AJ73" s="14" t="s">
        <v>328</v>
      </c>
      <c r="AK73" s="14" t="s">
        <v>328</v>
      </c>
      <c r="AL73" s="14"/>
      <c r="AM73" s="14" t="s">
        <v>328</v>
      </c>
      <c r="AN73" s="13">
        <v>10000</v>
      </c>
      <c r="AO73" s="13">
        <v>60000</v>
      </c>
      <c r="AP73" s="13">
        <v>60000</v>
      </c>
      <c r="AQ73" s="13">
        <v>120000</v>
      </c>
      <c r="AR73" s="13">
        <v>60000</v>
      </c>
      <c r="AS73" s="26">
        <v>104000</v>
      </c>
      <c r="AT73" s="26">
        <v>0</v>
      </c>
      <c r="AU73" s="26">
        <v>3000</v>
      </c>
      <c r="AV73" s="26">
        <v>36000</v>
      </c>
      <c r="AW73" s="26">
        <v>5000</v>
      </c>
      <c r="AX73" s="62">
        <v>36000</v>
      </c>
      <c r="AZ73" s="14" t="s">
        <v>421</v>
      </c>
      <c r="BA73" s="249">
        <f t="shared" ref="BA73:BA136" si="3">COUNTIF($B$8:$B$987,B73)</f>
        <v>10</v>
      </c>
      <c r="BB73" s="249">
        <v>0</v>
      </c>
      <c r="BC73" s="249">
        <f t="shared" si="2"/>
        <v>2004</v>
      </c>
    </row>
    <row r="74" spans="1:55" x14ac:dyDescent="0.25">
      <c r="A74" s="50" t="s">
        <v>1404</v>
      </c>
      <c r="B74" s="61" t="s">
        <v>416</v>
      </c>
      <c r="C74" s="14" t="s">
        <v>337</v>
      </c>
      <c r="D74" s="14">
        <v>2001</v>
      </c>
      <c r="E74" s="14"/>
      <c r="F74" s="14">
        <v>2004</v>
      </c>
      <c r="G74" s="14" t="s">
        <v>407</v>
      </c>
      <c r="H74" s="14"/>
      <c r="I74" s="14"/>
      <c r="J74" s="13">
        <v>300000</v>
      </c>
      <c r="K74" s="14" t="s">
        <v>328</v>
      </c>
      <c r="L74" s="14"/>
      <c r="M74" s="14"/>
      <c r="N74" s="13">
        <v>10000</v>
      </c>
      <c r="O74" s="24">
        <v>0.35</v>
      </c>
      <c r="P74" s="14">
        <v>2</v>
      </c>
      <c r="Q74" s="14">
        <v>200</v>
      </c>
      <c r="R74" s="13">
        <v>1000</v>
      </c>
      <c r="S74" s="14" t="s">
        <v>340</v>
      </c>
      <c r="T74" s="14">
        <v>2.5</v>
      </c>
      <c r="U74" s="14">
        <v>2.8</v>
      </c>
      <c r="V74" s="25">
        <v>1795.3321364452422</v>
      </c>
      <c r="W74" s="26">
        <v>20000</v>
      </c>
      <c r="X74" s="14"/>
      <c r="Y74" s="14"/>
      <c r="Z74" s="14"/>
      <c r="AA74" s="14"/>
      <c r="AB74" s="14" t="s">
        <v>328</v>
      </c>
      <c r="AC74" s="14"/>
      <c r="AD74" s="14"/>
      <c r="AE74" s="14" t="s">
        <v>328</v>
      </c>
      <c r="AF74" s="14"/>
      <c r="AG74" s="14" t="s">
        <v>328</v>
      </c>
      <c r="AH74" s="14" t="s">
        <v>328</v>
      </c>
      <c r="AI74" s="14" t="s">
        <v>328</v>
      </c>
      <c r="AJ74" s="14" t="s">
        <v>328</v>
      </c>
      <c r="AK74" s="14" t="s">
        <v>328</v>
      </c>
      <c r="AL74" s="14"/>
      <c r="AM74" s="14" t="s">
        <v>328</v>
      </c>
      <c r="AN74" s="13">
        <v>10000</v>
      </c>
      <c r="AO74" s="13">
        <v>60000</v>
      </c>
      <c r="AP74" s="13">
        <v>60000</v>
      </c>
      <c r="AQ74" s="13">
        <v>120000</v>
      </c>
      <c r="AR74" s="13">
        <v>60000</v>
      </c>
      <c r="AS74" s="26">
        <v>104000</v>
      </c>
      <c r="AT74" s="26">
        <v>0</v>
      </c>
      <c r="AU74" s="26">
        <v>3000</v>
      </c>
      <c r="AV74" s="26">
        <v>36000</v>
      </c>
      <c r="AW74" s="26">
        <v>5000</v>
      </c>
      <c r="AX74" s="62">
        <v>36000</v>
      </c>
      <c r="AZ74" s="14" t="s">
        <v>421</v>
      </c>
      <c r="BA74" s="249">
        <f t="shared" si="3"/>
        <v>10</v>
      </c>
      <c r="BB74" s="249">
        <v>0</v>
      </c>
      <c r="BC74" s="249">
        <f t="shared" si="2"/>
        <v>2004</v>
      </c>
    </row>
    <row r="75" spans="1:55" x14ac:dyDescent="0.25">
      <c r="A75" s="50" t="s">
        <v>1404</v>
      </c>
      <c r="B75" s="61" t="s">
        <v>416</v>
      </c>
      <c r="C75" s="14" t="s">
        <v>337</v>
      </c>
      <c r="D75" s="14">
        <v>2002</v>
      </c>
      <c r="E75" s="14"/>
      <c r="F75" s="14">
        <v>2005</v>
      </c>
      <c r="G75" s="14" t="s">
        <v>407</v>
      </c>
      <c r="H75" s="14"/>
      <c r="I75" s="14"/>
      <c r="J75" s="13">
        <v>300000</v>
      </c>
      <c r="K75" s="14" t="s">
        <v>328</v>
      </c>
      <c r="L75" s="14"/>
      <c r="M75" s="14"/>
      <c r="N75" s="13">
        <v>10000</v>
      </c>
      <c r="O75" s="24">
        <v>0.35</v>
      </c>
      <c r="P75" s="14">
        <v>2</v>
      </c>
      <c r="Q75" s="14">
        <v>200</v>
      </c>
      <c r="R75" s="13">
        <v>1000</v>
      </c>
      <c r="S75" s="14" t="s">
        <v>340</v>
      </c>
      <c r="T75" s="14">
        <v>2.5</v>
      </c>
      <c r="U75" s="14">
        <v>2.8</v>
      </c>
      <c r="V75" s="25">
        <v>1795.3321364452422</v>
      </c>
      <c r="W75" s="26">
        <v>20000</v>
      </c>
      <c r="X75" s="14"/>
      <c r="Y75" s="14"/>
      <c r="Z75" s="14"/>
      <c r="AA75" s="14"/>
      <c r="AB75" s="14" t="s">
        <v>328</v>
      </c>
      <c r="AC75" s="14"/>
      <c r="AD75" s="14"/>
      <c r="AE75" s="14" t="s">
        <v>328</v>
      </c>
      <c r="AF75" s="14"/>
      <c r="AG75" s="14" t="s">
        <v>328</v>
      </c>
      <c r="AH75" s="14" t="s">
        <v>328</v>
      </c>
      <c r="AI75" s="14" t="s">
        <v>328</v>
      </c>
      <c r="AJ75" s="14" t="s">
        <v>328</v>
      </c>
      <c r="AK75" s="14" t="s">
        <v>328</v>
      </c>
      <c r="AL75" s="14"/>
      <c r="AM75" s="14" t="s">
        <v>328</v>
      </c>
      <c r="AN75" s="13">
        <v>10000</v>
      </c>
      <c r="AO75" s="13">
        <v>60000</v>
      </c>
      <c r="AP75" s="13">
        <v>60000</v>
      </c>
      <c r="AQ75" s="13">
        <v>120000</v>
      </c>
      <c r="AR75" s="13">
        <v>60000</v>
      </c>
      <c r="AS75" s="26">
        <v>104000</v>
      </c>
      <c r="AT75" s="26">
        <v>0</v>
      </c>
      <c r="AU75" s="26">
        <v>3000</v>
      </c>
      <c r="AV75" s="26">
        <v>36000</v>
      </c>
      <c r="AW75" s="26">
        <v>5000</v>
      </c>
      <c r="AX75" s="62">
        <v>36000</v>
      </c>
      <c r="AZ75" s="14" t="s">
        <v>421</v>
      </c>
      <c r="BA75" s="249">
        <f t="shared" si="3"/>
        <v>10</v>
      </c>
      <c r="BB75" s="249">
        <v>0</v>
      </c>
      <c r="BC75" s="249">
        <f t="shared" si="2"/>
        <v>2005</v>
      </c>
    </row>
    <row r="76" spans="1:55" x14ac:dyDescent="0.25">
      <c r="A76" s="50" t="s">
        <v>1404</v>
      </c>
      <c r="B76" s="61" t="s">
        <v>416</v>
      </c>
      <c r="C76" s="14" t="s">
        <v>337</v>
      </c>
      <c r="D76" s="14">
        <v>2002</v>
      </c>
      <c r="E76" s="14"/>
      <c r="F76" s="14">
        <v>2005</v>
      </c>
      <c r="G76" s="14" t="s">
        <v>407</v>
      </c>
      <c r="H76" s="14"/>
      <c r="I76" s="14"/>
      <c r="J76" s="13">
        <v>300000</v>
      </c>
      <c r="K76" s="14"/>
      <c r="L76" s="14"/>
      <c r="M76" s="14" t="s">
        <v>328</v>
      </c>
      <c r="N76" s="13">
        <v>10000</v>
      </c>
      <c r="O76" s="24">
        <v>0.35</v>
      </c>
      <c r="P76" s="14">
        <v>2</v>
      </c>
      <c r="Q76" s="14">
        <v>200</v>
      </c>
      <c r="R76" s="13">
        <v>1000</v>
      </c>
      <c r="S76" s="14" t="s">
        <v>340</v>
      </c>
      <c r="T76" s="14">
        <v>2.5</v>
      </c>
      <c r="U76" s="14">
        <v>2.8</v>
      </c>
      <c r="V76" s="25">
        <v>1795.3321364452422</v>
      </c>
      <c r="W76" s="26">
        <v>20000</v>
      </c>
      <c r="X76" s="14"/>
      <c r="Y76" s="14"/>
      <c r="Z76" s="14"/>
      <c r="AA76" s="14"/>
      <c r="AB76" s="14" t="s">
        <v>328</v>
      </c>
      <c r="AC76" s="14"/>
      <c r="AD76" s="14"/>
      <c r="AE76" s="14" t="s">
        <v>328</v>
      </c>
      <c r="AF76" s="14"/>
      <c r="AG76" s="14" t="s">
        <v>328</v>
      </c>
      <c r="AH76" s="14" t="s">
        <v>328</v>
      </c>
      <c r="AI76" s="14" t="s">
        <v>328</v>
      </c>
      <c r="AJ76" s="14" t="s">
        <v>328</v>
      </c>
      <c r="AK76" s="14" t="s">
        <v>328</v>
      </c>
      <c r="AL76" s="14"/>
      <c r="AM76" s="14"/>
      <c r="AN76" s="13">
        <v>10000</v>
      </c>
      <c r="AO76" s="13">
        <v>60000</v>
      </c>
      <c r="AP76" s="13">
        <v>60000</v>
      </c>
      <c r="AQ76" s="13">
        <v>120000</v>
      </c>
      <c r="AR76" s="13">
        <v>60000</v>
      </c>
      <c r="AS76" s="26">
        <v>104000</v>
      </c>
      <c r="AT76" s="26">
        <v>0</v>
      </c>
      <c r="AU76" s="26">
        <v>3000</v>
      </c>
      <c r="AV76" s="26">
        <v>36000</v>
      </c>
      <c r="AW76" s="26">
        <v>5000</v>
      </c>
      <c r="AX76" s="62">
        <v>36000</v>
      </c>
      <c r="AZ76" s="14" t="s">
        <v>421</v>
      </c>
      <c r="BA76" s="249">
        <f t="shared" si="3"/>
        <v>10</v>
      </c>
      <c r="BB76" s="249">
        <v>0</v>
      </c>
      <c r="BC76" s="249">
        <f t="shared" si="2"/>
        <v>2005</v>
      </c>
    </row>
    <row r="77" spans="1:55" x14ac:dyDescent="0.25">
      <c r="A77" s="50" t="s">
        <v>1404</v>
      </c>
      <c r="B77" s="61" t="s">
        <v>416</v>
      </c>
      <c r="C77" s="14" t="s">
        <v>337</v>
      </c>
      <c r="D77" s="14">
        <v>2004</v>
      </c>
      <c r="E77" s="14"/>
      <c r="F77" s="14">
        <v>2007</v>
      </c>
      <c r="G77" s="14" t="s">
        <v>407</v>
      </c>
      <c r="H77" s="14"/>
      <c r="I77" s="14"/>
      <c r="J77" s="13">
        <v>300000</v>
      </c>
      <c r="K77" s="14"/>
      <c r="L77" s="14"/>
      <c r="M77" s="14" t="s">
        <v>328</v>
      </c>
      <c r="N77" s="13">
        <v>10000</v>
      </c>
      <c r="O77" s="24">
        <v>0.35</v>
      </c>
      <c r="P77" s="14">
        <v>2</v>
      </c>
      <c r="Q77" s="14">
        <v>200</v>
      </c>
      <c r="R77" s="13">
        <v>1000</v>
      </c>
      <c r="S77" s="14" t="s">
        <v>340</v>
      </c>
      <c r="T77" s="14">
        <v>2.5</v>
      </c>
      <c r="U77" s="14">
        <v>2.8</v>
      </c>
      <c r="V77" s="25">
        <v>1795.3321364452422</v>
      </c>
      <c r="W77" s="26">
        <v>20000</v>
      </c>
      <c r="X77" s="14"/>
      <c r="Y77" s="14"/>
      <c r="Z77" s="14"/>
      <c r="AA77" s="14"/>
      <c r="AB77" s="14" t="s">
        <v>328</v>
      </c>
      <c r="AC77" s="14"/>
      <c r="AD77" s="14"/>
      <c r="AE77" s="14" t="s">
        <v>328</v>
      </c>
      <c r="AF77" s="14"/>
      <c r="AG77" s="14" t="s">
        <v>328</v>
      </c>
      <c r="AH77" s="14" t="s">
        <v>328</v>
      </c>
      <c r="AI77" s="14" t="s">
        <v>328</v>
      </c>
      <c r="AJ77" s="14" t="s">
        <v>328</v>
      </c>
      <c r="AK77" s="14" t="s">
        <v>328</v>
      </c>
      <c r="AL77" s="14"/>
      <c r="AM77" s="14"/>
      <c r="AN77" s="13">
        <v>10000</v>
      </c>
      <c r="AO77" s="13">
        <v>60000</v>
      </c>
      <c r="AP77" s="13">
        <v>60000</v>
      </c>
      <c r="AQ77" s="13">
        <v>120000</v>
      </c>
      <c r="AR77" s="13">
        <v>60000</v>
      </c>
      <c r="AS77" s="26">
        <v>104000</v>
      </c>
      <c r="AT77" s="26">
        <v>0</v>
      </c>
      <c r="AU77" s="26">
        <v>3000</v>
      </c>
      <c r="AV77" s="26">
        <v>36000</v>
      </c>
      <c r="AW77" s="26">
        <v>5000</v>
      </c>
      <c r="AX77" s="62">
        <v>36000</v>
      </c>
      <c r="AZ77" s="14" t="s">
        <v>421</v>
      </c>
      <c r="BA77" s="249">
        <f t="shared" si="3"/>
        <v>10</v>
      </c>
      <c r="BB77" s="249">
        <v>0</v>
      </c>
      <c r="BC77" s="249">
        <f t="shared" si="2"/>
        <v>2007</v>
      </c>
    </row>
    <row r="78" spans="1:55" x14ac:dyDescent="0.25">
      <c r="A78" s="50" t="s">
        <v>1404</v>
      </c>
      <c r="B78" s="61" t="s">
        <v>416</v>
      </c>
      <c r="C78" s="14" t="s">
        <v>337</v>
      </c>
      <c r="D78" s="14">
        <v>2005</v>
      </c>
      <c r="E78" s="14"/>
      <c r="F78" s="14">
        <v>2008</v>
      </c>
      <c r="G78" s="14" t="s">
        <v>407</v>
      </c>
      <c r="H78" s="14"/>
      <c r="I78" s="14"/>
      <c r="J78" s="13">
        <v>300000</v>
      </c>
      <c r="K78" s="14"/>
      <c r="L78" s="14"/>
      <c r="M78" s="14" t="s">
        <v>328</v>
      </c>
      <c r="N78" s="13">
        <v>10000</v>
      </c>
      <c r="O78" s="24">
        <v>0.35</v>
      </c>
      <c r="P78" s="14">
        <v>2</v>
      </c>
      <c r="Q78" s="14">
        <v>200</v>
      </c>
      <c r="R78" s="13">
        <v>1000</v>
      </c>
      <c r="S78" s="14" t="s">
        <v>340</v>
      </c>
      <c r="T78" s="14">
        <v>2.5</v>
      </c>
      <c r="U78" s="14">
        <v>2.8</v>
      </c>
      <c r="V78" s="25">
        <v>1795.3321364452422</v>
      </c>
      <c r="W78" s="26">
        <v>20000</v>
      </c>
      <c r="X78" s="14"/>
      <c r="Y78" s="14"/>
      <c r="Z78" s="14"/>
      <c r="AA78" s="14"/>
      <c r="AB78" s="14" t="s">
        <v>328</v>
      </c>
      <c r="AC78" s="14"/>
      <c r="AD78" s="14"/>
      <c r="AE78" s="14" t="s">
        <v>328</v>
      </c>
      <c r="AF78" s="14"/>
      <c r="AG78" s="14" t="s">
        <v>328</v>
      </c>
      <c r="AH78" s="14" t="s">
        <v>328</v>
      </c>
      <c r="AI78" s="14" t="s">
        <v>328</v>
      </c>
      <c r="AJ78" s="14" t="s">
        <v>328</v>
      </c>
      <c r="AK78" s="14" t="s">
        <v>328</v>
      </c>
      <c r="AL78" s="14"/>
      <c r="AM78" s="14"/>
      <c r="AN78" s="13">
        <v>10000</v>
      </c>
      <c r="AO78" s="13">
        <v>60000</v>
      </c>
      <c r="AP78" s="13">
        <v>60000</v>
      </c>
      <c r="AQ78" s="13">
        <v>120000</v>
      </c>
      <c r="AR78" s="13">
        <v>60000</v>
      </c>
      <c r="AS78" s="26">
        <v>104000</v>
      </c>
      <c r="AT78" s="26">
        <v>0</v>
      </c>
      <c r="AU78" s="26">
        <v>3000</v>
      </c>
      <c r="AV78" s="26">
        <v>36000</v>
      </c>
      <c r="AW78" s="26">
        <v>5000</v>
      </c>
      <c r="AX78" s="62">
        <v>36000</v>
      </c>
      <c r="AZ78" s="14" t="s">
        <v>421</v>
      </c>
      <c r="BA78" s="249">
        <f t="shared" si="3"/>
        <v>10</v>
      </c>
      <c r="BB78" s="249">
        <v>0</v>
      </c>
      <c r="BC78" s="249">
        <f t="shared" si="2"/>
        <v>2008</v>
      </c>
    </row>
    <row r="79" spans="1:55" x14ac:dyDescent="0.25">
      <c r="A79" s="50" t="s">
        <v>1404</v>
      </c>
      <c r="B79" s="61" t="s">
        <v>416</v>
      </c>
      <c r="C79" s="14" t="s">
        <v>337</v>
      </c>
      <c r="D79" s="14">
        <v>2006</v>
      </c>
      <c r="E79" s="14"/>
      <c r="F79" s="14">
        <v>2009</v>
      </c>
      <c r="G79" s="14" t="s">
        <v>407</v>
      </c>
      <c r="H79" s="14"/>
      <c r="I79" s="14"/>
      <c r="J79" s="13">
        <v>300000</v>
      </c>
      <c r="K79" s="14"/>
      <c r="L79" s="14"/>
      <c r="M79" s="14" t="s">
        <v>328</v>
      </c>
      <c r="N79" s="13">
        <v>10000</v>
      </c>
      <c r="O79" s="24">
        <v>0.35</v>
      </c>
      <c r="P79" s="14">
        <v>2</v>
      </c>
      <c r="Q79" s="14">
        <v>200</v>
      </c>
      <c r="R79" s="13">
        <v>1000</v>
      </c>
      <c r="S79" s="14" t="s">
        <v>340</v>
      </c>
      <c r="T79" s="14">
        <v>2.5</v>
      </c>
      <c r="U79" s="14">
        <v>2.8</v>
      </c>
      <c r="V79" s="25">
        <v>1795.3321364452422</v>
      </c>
      <c r="W79" s="26">
        <v>20000</v>
      </c>
      <c r="X79" s="14"/>
      <c r="Y79" s="14"/>
      <c r="Z79" s="14"/>
      <c r="AA79" s="14"/>
      <c r="AB79" s="14" t="s">
        <v>328</v>
      </c>
      <c r="AC79" s="14"/>
      <c r="AD79" s="14"/>
      <c r="AE79" s="14" t="s">
        <v>328</v>
      </c>
      <c r="AF79" s="14"/>
      <c r="AG79" s="14" t="s">
        <v>328</v>
      </c>
      <c r="AH79" s="14" t="s">
        <v>328</v>
      </c>
      <c r="AI79" s="14" t="s">
        <v>328</v>
      </c>
      <c r="AJ79" s="14" t="s">
        <v>328</v>
      </c>
      <c r="AK79" s="14" t="s">
        <v>328</v>
      </c>
      <c r="AL79" s="14"/>
      <c r="AM79" s="14"/>
      <c r="AN79" s="13">
        <v>10000</v>
      </c>
      <c r="AO79" s="13">
        <v>60000</v>
      </c>
      <c r="AP79" s="13">
        <v>60000</v>
      </c>
      <c r="AQ79" s="13">
        <v>120000</v>
      </c>
      <c r="AR79" s="13">
        <v>60000</v>
      </c>
      <c r="AS79" s="26">
        <v>104000</v>
      </c>
      <c r="AT79" s="26">
        <v>0</v>
      </c>
      <c r="AU79" s="26">
        <v>3000</v>
      </c>
      <c r="AV79" s="26">
        <v>36000</v>
      </c>
      <c r="AW79" s="26">
        <v>5000</v>
      </c>
      <c r="AX79" s="62">
        <v>36000</v>
      </c>
      <c r="AZ79" s="14" t="s">
        <v>421</v>
      </c>
      <c r="BA79" s="249">
        <f t="shared" si="3"/>
        <v>10</v>
      </c>
      <c r="BB79" s="249">
        <v>0</v>
      </c>
      <c r="BC79" s="249">
        <f t="shared" si="2"/>
        <v>2009</v>
      </c>
    </row>
    <row r="80" spans="1:55" x14ac:dyDescent="0.25">
      <c r="A80" s="50" t="s">
        <v>1404</v>
      </c>
      <c r="B80" s="61" t="s">
        <v>416</v>
      </c>
      <c r="C80" s="14" t="s">
        <v>337</v>
      </c>
      <c r="D80" s="14">
        <v>2006</v>
      </c>
      <c r="E80" s="14"/>
      <c r="F80" s="14">
        <v>2009</v>
      </c>
      <c r="G80" s="14" t="s">
        <v>407</v>
      </c>
      <c r="H80" s="14"/>
      <c r="I80" s="14"/>
      <c r="J80" s="13">
        <v>300000</v>
      </c>
      <c r="K80" s="14"/>
      <c r="L80" s="14"/>
      <c r="M80" s="14" t="s">
        <v>328</v>
      </c>
      <c r="N80" s="13">
        <v>10000</v>
      </c>
      <c r="O80" s="24">
        <v>0.35</v>
      </c>
      <c r="P80" s="14">
        <v>2</v>
      </c>
      <c r="Q80" s="14">
        <v>200</v>
      </c>
      <c r="R80" s="13">
        <v>1000</v>
      </c>
      <c r="S80" s="14" t="s">
        <v>340</v>
      </c>
      <c r="T80" s="14">
        <v>2.5</v>
      </c>
      <c r="U80" s="14">
        <v>2.8</v>
      </c>
      <c r="V80" s="25">
        <v>1795.3321364452422</v>
      </c>
      <c r="W80" s="26">
        <v>20000</v>
      </c>
      <c r="X80" s="14"/>
      <c r="Y80" s="14"/>
      <c r="Z80" s="14"/>
      <c r="AA80" s="14"/>
      <c r="AB80" s="14" t="s">
        <v>328</v>
      </c>
      <c r="AC80" s="14"/>
      <c r="AD80" s="14"/>
      <c r="AE80" s="14" t="s">
        <v>328</v>
      </c>
      <c r="AF80" s="14"/>
      <c r="AG80" s="14" t="s">
        <v>328</v>
      </c>
      <c r="AH80" s="14" t="s">
        <v>328</v>
      </c>
      <c r="AI80" s="14" t="s">
        <v>328</v>
      </c>
      <c r="AJ80" s="14" t="s">
        <v>328</v>
      </c>
      <c r="AK80" s="14" t="s">
        <v>328</v>
      </c>
      <c r="AL80" s="14"/>
      <c r="AM80" s="14"/>
      <c r="AN80" s="13">
        <v>10000</v>
      </c>
      <c r="AO80" s="13">
        <v>60000</v>
      </c>
      <c r="AP80" s="13">
        <v>60000</v>
      </c>
      <c r="AQ80" s="13">
        <v>120000</v>
      </c>
      <c r="AR80" s="13">
        <v>60000</v>
      </c>
      <c r="AS80" s="26">
        <v>104000</v>
      </c>
      <c r="AT80" s="26">
        <v>0</v>
      </c>
      <c r="AU80" s="26">
        <v>3000</v>
      </c>
      <c r="AV80" s="26">
        <v>36000</v>
      </c>
      <c r="AW80" s="26">
        <v>5000</v>
      </c>
      <c r="AX80" s="62">
        <v>36000</v>
      </c>
      <c r="AZ80" s="14" t="s">
        <v>421</v>
      </c>
      <c r="BA80" s="249">
        <f t="shared" si="3"/>
        <v>10</v>
      </c>
      <c r="BB80" s="249">
        <v>0</v>
      </c>
      <c r="BC80" s="249">
        <f t="shared" si="2"/>
        <v>2009</v>
      </c>
    </row>
    <row r="81" spans="1:55" x14ac:dyDescent="0.25">
      <c r="A81" s="50" t="s">
        <v>1404</v>
      </c>
      <c r="B81" s="61" t="s">
        <v>417</v>
      </c>
      <c r="C81" s="14" t="s">
        <v>337</v>
      </c>
      <c r="D81" s="14">
        <v>2012</v>
      </c>
      <c r="E81" s="14" t="s">
        <v>338</v>
      </c>
      <c r="F81" s="14"/>
      <c r="G81" s="14"/>
      <c r="H81" s="14"/>
      <c r="I81" s="14"/>
      <c r="J81" s="13">
        <v>62000</v>
      </c>
      <c r="K81" s="14" t="s">
        <v>328</v>
      </c>
      <c r="L81" s="14"/>
      <c r="M81" s="14"/>
      <c r="N81" s="13">
        <v>26000</v>
      </c>
      <c r="O81" s="24">
        <v>0.5</v>
      </c>
      <c r="P81" s="14">
        <v>2</v>
      </c>
      <c r="Q81" s="14">
        <v>100</v>
      </c>
      <c r="R81" s="13">
        <v>400</v>
      </c>
      <c r="S81" s="14" t="s">
        <v>340</v>
      </c>
      <c r="T81" s="14">
        <v>2</v>
      </c>
      <c r="U81" s="14">
        <v>2.4</v>
      </c>
      <c r="V81" s="25">
        <v>6283.6624775583477</v>
      </c>
      <c r="W81" s="26">
        <v>70000</v>
      </c>
      <c r="X81" s="14"/>
      <c r="Y81" s="14"/>
      <c r="Z81" s="14" t="s">
        <v>328</v>
      </c>
      <c r="AA81" s="14"/>
      <c r="AB81" s="14"/>
      <c r="AC81" s="14"/>
      <c r="AD81" s="14"/>
      <c r="AE81" s="14"/>
      <c r="AF81" s="14"/>
      <c r="AG81" s="14" t="s">
        <v>328</v>
      </c>
      <c r="AH81" s="14" t="s">
        <v>328</v>
      </c>
      <c r="AI81" s="14" t="s">
        <v>328</v>
      </c>
      <c r="AJ81" s="14" t="s">
        <v>328</v>
      </c>
      <c r="AK81" s="14" t="s">
        <v>328</v>
      </c>
      <c r="AL81" s="14" t="s">
        <v>328</v>
      </c>
      <c r="AM81" s="14" t="s">
        <v>328</v>
      </c>
      <c r="AN81" s="13">
        <v>156000</v>
      </c>
      <c r="AO81" s="13">
        <v>312000</v>
      </c>
      <c r="AP81" s="13">
        <v>156000</v>
      </c>
      <c r="AQ81" s="13" t="s">
        <v>415</v>
      </c>
      <c r="AR81" s="13" t="s">
        <v>409</v>
      </c>
      <c r="AS81" s="26">
        <v>260000</v>
      </c>
      <c r="AT81" s="26">
        <v>0</v>
      </c>
      <c r="AU81" s="13" t="s">
        <v>415</v>
      </c>
      <c r="AV81" s="13" t="s">
        <v>415</v>
      </c>
      <c r="AW81" s="26">
        <v>400000</v>
      </c>
      <c r="AX81" s="62">
        <v>50000</v>
      </c>
      <c r="AZ81" s="14" t="s">
        <v>421</v>
      </c>
      <c r="BA81" s="249">
        <f t="shared" si="3"/>
        <v>16</v>
      </c>
      <c r="BB81" s="249">
        <v>0</v>
      </c>
      <c r="BC81" s="249">
        <f t="shared" si="2"/>
        <v>2012</v>
      </c>
    </row>
    <row r="82" spans="1:55" x14ac:dyDescent="0.25">
      <c r="A82" s="50" t="s">
        <v>1404</v>
      </c>
      <c r="B82" s="61" t="s">
        <v>417</v>
      </c>
      <c r="C82" s="14" t="s">
        <v>337</v>
      </c>
      <c r="D82" s="14">
        <v>2012</v>
      </c>
      <c r="E82" s="14" t="s">
        <v>338</v>
      </c>
      <c r="F82" s="14"/>
      <c r="G82" s="14"/>
      <c r="H82" s="14"/>
      <c r="I82" s="14"/>
      <c r="J82" s="13">
        <v>62000</v>
      </c>
      <c r="K82" s="14" t="s">
        <v>328</v>
      </c>
      <c r="L82" s="14"/>
      <c r="M82" s="14"/>
      <c r="N82" s="13">
        <v>26000</v>
      </c>
      <c r="O82" s="24">
        <v>0.5</v>
      </c>
      <c r="P82" s="14">
        <v>2</v>
      </c>
      <c r="Q82" s="14">
        <v>100</v>
      </c>
      <c r="R82" s="13">
        <v>400</v>
      </c>
      <c r="S82" s="14" t="s">
        <v>340</v>
      </c>
      <c r="T82" s="14">
        <v>2</v>
      </c>
      <c r="U82" s="14">
        <v>2.4</v>
      </c>
      <c r="V82" s="25">
        <v>6283.6624775583477</v>
      </c>
      <c r="W82" s="26">
        <v>70000</v>
      </c>
      <c r="X82" s="14"/>
      <c r="Y82" s="14"/>
      <c r="Z82" s="14" t="s">
        <v>328</v>
      </c>
      <c r="AA82" s="14"/>
      <c r="AB82" s="14"/>
      <c r="AC82" s="14"/>
      <c r="AD82" s="14"/>
      <c r="AE82" s="14"/>
      <c r="AF82" s="14"/>
      <c r="AG82" s="14" t="s">
        <v>328</v>
      </c>
      <c r="AH82" s="14" t="s">
        <v>328</v>
      </c>
      <c r="AI82" s="14" t="s">
        <v>328</v>
      </c>
      <c r="AJ82" s="14" t="s">
        <v>328</v>
      </c>
      <c r="AK82" s="14" t="s">
        <v>328</v>
      </c>
      <c r="AL82" s="14" t="s">
        <v>328</v>
      </c>
      <c r="AM82" s="14" t="s">
        <v>328</v>
      </c>
      <c r="AN82" s="13">
        <v>156000</v>
      </c>
      <c r="AO82" s="13">
        <v>312000</v>
      </c>
      <c r="AP82" s="13">
        <v>156000</v>
      </c>
      <c r="AQ82" s="13" t="s">
        <v>415</v>
      </c>
      <c r="AR82" s="13" t="s">
        <v>409</v>
      </c>
      <c r="AS82" s="26">
        <v>260000</v>
      </c>
      <c r="AT82" s="26">
        <v>0</v>
      </c>
      <c r="AU82" s="13" t="s">
        <v>415</v>
      </c>
      <c r="AV82" s="13" t="s">
        <v>415</v>
      </c>
      <c r="AW82" s="26">
        <v>400000</v>
      </c>
      <c r="AX82" s="62">
        <v>50000</v>
      </c>
      <c r="AZ82" s="14" t="s">
        <v>421</v>
      </c>
      <c r="BA82" s="249">
        <f t="shared" si="3"/>
        <v>16</v>
      </c>
      <c r="BB82" s="249">
        <v>0</v>
      </c>
      <c r="BC82" s="249">
        <f t="shared" si="2"/>
        <v>2012</v>
      </c>
    </row>
    <row r="83" spans="1:55" x14ac:dyDescent="0.25">
      <c r="A83" s="50" t="s">
        <v>1404</v>
      </c>
      <c r="B83" s="61" t="s">
        <v>417</v>
      </c>
      <c r="C83" s="14" t="s">
        <v>337</v>
      </c>
      <c r="D83" s="14">
        <v>2012</v>
      </c>
      <c r="E83" s="14" t="s">
        <v>338</v>
      </c>
      <c r="F83" s="14"/>
      <c r="G83" s="14"/>
      <c r="H83" s="14"/>
      <c r="I83" s="14"/>
      <c r="J83" s="13">
        <v>62000</v>
      </c>
      <c r="K83" s="14" t="s">
        <v>328</v>
      </c>
      <c r="L83" s="14"/>
      <c r="M83" s="14"/>
      <c r="N83" s="13">
        <v>26000</v>
      </c>
      <c r="O83" s="24">
        <v>0.5</v>
      </c>
      <c r="P83" s="14">
        <v>2</v>
      </c>
      <c r="Q83" s="14">
        <v>100</v>
      </c>
      <c r="R83" s="13">
        <v>400</v>
      </c>
      <c r="S83" s="14" t="s">
        <v>340</v>
      </c>
      <c r="T83" s="14">
        <v>2</v>
      </c>
      <c r="U83" s="14">
        <v>2.4</v>
      </c>
      <c r="V83" s="25">
        <v>6283.6624775583477</v>
      </c>
      <c r="W83" s="26">
        <v>70000</v>
      </c>
      <c r="X83" s="14"/>
      <c r="Y83" s="14"/>
      <c r="Z83" s="14" t="s">
        <v>328</v>
      </c>
      <c r="AA83" s="14"/>
      <c r="AB83" s="14"/>
      <c r="AC83" s="14"/>
      <c r="AD83" s="14"/>
      <c r="AE83" s="14"/>
      <c r="AF83" s="14"/>
      <c r="AG83" s="14" t="s">
        <v>328</v>
      </c>
      <c r="AH83" s="14" t="s">
        <v>328</v>
      </c>
      <c r="AI83" s="14" t="s">
        <v>328</v>
      </c>
      <c r="AJ83" s="14" t="s">
        <v>328</v>
      </c>
      <c r="AK83" s="14" t="s">
        <v>328</v>
      </c>
      <c r="AL83" s="14" t="s">
        <v>328</v>
      </c>
      <c r="AM83" s="14" t="s">
        <v>328</v>
      </c>
      <c r="AN83" s="13">
        <v>156000</v>
      </c>
      <c r="AO83" s="13">
        <v>312000</v>
      </c>
      <c r="AP83" s="13">
        <v>156000</v>
      </c>
      <c r="AQ83" s="13" t="s">
        <v>415</v>
      </c>
      <c r="AR83" s="13" t="s">
        <v>409</v>
      </c>
      <c r="AS83" s="26">
        <v>260000</v>
      </c>
      <c r="AT83" s="26">
        <v>0</v>
      </c>
      <c r="AU83" s="13" t="s">
        <v>415</v>
      </c>
      <c r="AV83" s="13" t="s">
        <v>415</v>
      </c>
      <c r="AW83" s="26">
        <v>400000</v>
      </c>
      <c r="AX83" s="62">
        <v>50000</v>
      </c>
      <c r="AZ83" s="14" t="s">
        <v>421</v>
      </c>
      <c r="BA83" s="249">
        <f t="shared" si="3"/>
        <v>16</v>
      </c>
      <c r="BB83" s="249">
        <v>0</v>
      </c>
      <c r="BC83" s="249">
        <f t="shared" si="2"/>
        <v>2012</v>
      </c>
    </row>
    <row r="84" spans="1:55" x14ac:dyDescent="0.25">
      <c r="A84" s="50" t="s">
        <v>1404</v>
      </c>
      <c r="B84" s="61" t="s">
        <v>417</v>
      </c>
      <c r="C84" s="14" t="s">
        <v>337</v>
      </c>
      <c r="D84" s="14">
        <v>2012</v>
      </c>
      <c r="E84" s="14" t="s">
        <v>338</v>
      </c>
      <c r="F84" s="14"/>
      <c r="G84" s="14"/>
      <c r="H84" s="14"/>
      <c r="I84" s="14"/>
      <c r="J84" s="13">
        <v>62000</v>
      </c>
      <c r="K84" s="14" t="s">
        <v>328</v>
      </c>
      <c r="L84" s="14"/>
      <c r="M84" s="14"/>
      <c r="N84" s="13">
        <v>26000</v>
      </c>
      <c r="O84" s="24">
        <v>0.5</v>
      </c>
      <c r="P84" s="14">
        <v>2</v>
      </c>
      <c r="Q84" s="14">
        <v>100</v>
      </c>
      <c r="R84" s="13">
        <v>400</v>
      </c>
      <c r="S84" s="14" t="s">
        <v>340</v>
      </c>
      <c r="T84" s="14">
        <v>2</v>
      </c>
      <c r="U84" s="14">
        <v>2.4</v>
      </c>
      <c r="V84" s="25">
        <v>6283.6624775583477</v>
      </c>
      <c r="W84" s="26">
        <v>70000</v>
      </c>
      <c r="X84" s="14"/>
      <c r="Y84" s="14"/>
      <c r="Z84" s="14" t="s">
        <v>328</v>
      </c>
      <c r="AA84" s="14"/>
      <c r="AB84" s="14"/>
      <c r="AC84" s="14"/>
      <c r="AD84" s="14"/>
      <c r="AE84" s="14"/>
      <c r="AF84" s="14"/>
      <c r="AG84" s="14" t="s">
        <v>328</v>
      </c>
      <c r="AH84" s="14" t="s">
        <v>328</v>
      </c>
      <c r="AI84" s="14" t="s">
        <v>328</v>
      </c>
      <c r="AJ84" s="14" t="s">
        <v>328</v>
      </c>
      <c r="AK84" s="14" t="s">
        <v>328</v>
      </c>
      <c r="AL84" s="14" t="s">
        <v>328</v>
      </c>
      <c r="AM84" s="14" t="s">
        <v>328</v>
      </c>
      <c r="AN84" s="13">
        <v>156000</v>
      </c>
      <c r="AO84" s="13">
        <v>312000</v>
      </c>
      <c r="AP84" s="13">
        <v>156000</v>
      </c>
      <c r="AQ84" s="13" t="s">
        <v>415</v>
      </c>
      <c r="AR84" s="13" t="s">
        <v>409</v>
      </c>
      <c r="AS84" s="26">
        <v>260000</v>
      </c>
      <c r="AT84" s="26">
        <v>0</v>
      </c>
      <c r="AU84" s="13" t="s">
        <v>415</v>
      </c>
      <c r="AV84" s="13" t="s">
        <v>415</v>
      </c>
      <c r="AW84" s="26">
        <v>400000</v>
      </c>
      <c r="AX84" s="62">
        <v>50000</v>
      </c>
      <c r="AZ84" s="14" t="s">
        <v>421</v>
      </c>
      <c r="BA84" s="249">
        <f t="shared" si="3"/>
        <v>16</v>
      </c>
      <c r="BB84" s="249">
        <v>0</v>
      </c>
      <c r="BC84" s="249">
        <f t="shared" si="2"/>
        <v>2012</v>
      </c>
    </row>
    <row r="85" spans="1:55" x14ac:dyDescent="0.25">
      <c r="A85" s="50" t="s">
        <v>1404</v>
      </c>
      <c r="B85" s="61" t="s">
        <v>417</v>
      </c>
      <c r="C85" s="14" t="s">
        <v>337</v>
      </c>
      <c r="D85" s="14">
        <v>2012</v>
      </c>
      <c r="E85" s="14" t="s">
        <v>338</v>
      </c>
      <c r="F85" s="14"/>
      <c r="G85" s="14"/>
      <c r="H85" s="14"/>
      <c r="I85" s="14"/>
      <c r="J85" s="13">
        <v>62000</v>
      </c>
      <c r="K85" s="14" t="s">
        <v>328</v>
      </c>
      <c r="L85" s="14"/>
      <c r="M85" s="14"/>
      <c r="N85" s="13">
        <v>26000</v>
      </c>
      <c r="O85" s="24">
        <v>0.5</v>
      </c>
      <c r="P85" s="14">
        <v>2</v>
      </c>
      <c r="Q85" s="14">
        <v>100</v>
      </c>
      <c r="R85" s="13">
        <v>400</v>
      </c>
      <c r="S85" s="14" t="s">
        <v>340</v>
      </c>
      <c r="T85" s="14">
        <v>2</v>
      </c>
      <c r="U85" s="14">
        <v>2.4</v>
      </c>
      <c r="V85" s="25">
        <v>6283.6624775583477</v>
      </c>
      <c r="W85" s="26">
        <v>70000</v>
      </c>
      <c r="X85" s="14"/>
      <c r="Y85" s="14"/>
      <c r="Z85" s="14" t="s">
        <v>328</v>
      </c>
      <c r="AA85" s="14"/>
      <c r="AB85" s="14"/>
      <c r="AC85" s="14"/>
      <c r="AD85" s="14"/>
      <c r="AE85" s="14"/>
      <c r="AF85" s="14"/>
      <c r="AG85" s="14" t="s">
        <v>328</v>
      </c>
      <c r="AH85" s="14" t="s">
        <v>328</v>
      </c>
      <c r="AI85" s="14" t="s">
        <v>328</v>
      </c>
      <c r="AJ85" s="14" t="s">
        <v>328</v>
      </c>
      <c r="AK85" s="14" t="s">
        <v>328</v>
      </c>
      <c r="AL85" s="14" t="s">
        <v>328</v>
      </c>
      <c r="AM85" s="14" t="s">
        <v>328</v>
      </c>
      <c r="AN85" s="13">
        <v>156000</v>
      </c>
      <c r="AO85" s="13">
        <v>312000</v>
      </c>
      <c r="AP85" s="13">
        <v>156000</v>
      </c>
      <c r="AQ85" s="13" t="s">
        <v>415</v>
      </c>
      <c r="AR85" s="13" t="s">
        <v>409</v>
      </c>
      <c r="AS85" s="26">
        <v>260000</v>
      </c>
      <c r="AT85" s="26">
        <v>0</v>
      </c>
      <c r="AU85" s="13" t="s">
        <v>415</v>
      </c>
      <c r="AV85" s="13" t="s">
        <v>415</v>
      </c>
      <c r="AW85" s="26">
        <v>400000</v>
      </c>
      <c r="AX85" s="62">
        <v>50000</v>
      </c>
      <c r="AZ85" s="14" t="s">
        <v>421</v>
      </c>
      <c r="BA85" s="249">
        <f t="shared" si="3"/>
        <v>16</v>
      </c>
      <c r="BB85" s="249">
        <v>0</v>
      </c>
      <c r="BC85" s="249">
        <f t="shared" si="2"/>
        <v>2012</v>
      </c>
    </row>
    <row r="86" spans="1:55" x14ac:dyDescent="0.25">
      <c r="A86" s="50" t="s">
        <v>1404</v>
      </c>
      <c r="B86" s="61" t="s">
        <v>417</v>
      </c>
      <c r="C86" s="14" t="s">
        <v>337</v>
      </c>
      <c r="D86" s="14">
        <v>2012</v>
      </c>
      <c r="E86" s="14" t="s">
        <v>338</v>
      </c>
      <c r="F86" s="14"/>
      <c r="G86" s="14"/>
      <c r="H86" s="14"/>
      <c r="I86" s="14"/>
      <c r="J86" s="13">
        <v>62000</v>
      </c>
      <c r="K86" s="14" t="s">
        <v>328</v>
      </c>
      <c r="L86" s="14"/>
      <c r="M86" s="14"/>
      <c r="N86" s="13">
        <v>26000</v>
      </c>
      <c r="O86" s="24">
        <v>0.5</v>
      </c>
      <c r="P86" s="14">
        <v>2</v>
      </c>
      <c r="Q86" s="14">
        <v>100</v>
      </c>
      <c r="R86" s="13">
        <v>400</v>
      </c>
      <c r="S86" s="14" t="s">
        <v>340</v>
      </c>
      <c r="T86" s="14">
        <v>2</v>
      </c>
      <c r="U86" s="14">
        <v>2.4</v>
      </c>
      <c r="V86" s="25">
        <v>6283.6624775583477</v>
      </c>
      <c r="W86" s="26">
        <v>70000</v>
      </c>
      <c r="X86" s="14"/>
      <c r="Y86" s="14"/>
      <c r="Z86" s="14" t="s">
        <v>328</v>
      </c>
      <c r="AA86" s="14"/>
      <c r="AB86" s="14"/>
      <c r="AC86" s="14"/>
      <c r="AD86" s="14"/>
      <c r="AE86" s="14"/>
      <c r="AF86" s="14"/>
      <c r="AG86" s="14" t="s">
        <v>328</v>
      </c>
      <c r="AH86" s="14" t="s">
        <v>328</v>
      </c>
      <c r="AI86" s="14" t="s">
        <v>328</v>
      </c>
      <c r="AJ86" s="14" t="s">
        <v>328</v>
      </c>
      <c r="AK86" s="14" t="s">
        <v>328</v>
      </c>
      <c r="AL86" s="14" t="s">
        <v>328</v>
      </c>
      <c r="AM86" s="14" t="s">
        <v>328</v>
      </c>
      <c r="AN86" s="13">
        <v>156000</v>
      </c>
      <c r="AO86" s="13">
        <v>312000</v>
      </c>
      <c r="AP86" s="13">
        <v>156000</v>
      </c>
      <c r="AQ86" s="13" t="s">
        <v>415</v>
      </c>
      <c r="AR86" s="13" t="s">
        <v>409</v>
      </c>
      <c r="AS86" s="26">
        <v>260000</v>
      </c>
      <c r="AT86" s="26">
        <v>0</v>
      </c>
      <c r="AU86" s="13" t="s">
        <v>415</v>
      </c>
      <c r="AV86" s="13" t="s">
        <v>415</v>
      </c>
      <c r="AW86" s="26">
        <v>400000</v>
      </c>
      <c r="AX86" s="62">
        <v>50000</v>
      </c>
      <c r="AZ86" s="14" t="s">
        <v>421</v>
      </c>
      <c r="BA86" s="249">
        <f t="shared" si="3"/>
        <v>16</v>
      </c>
      <c r="BB86" s="249">
        <v>0</v>
      </c>
      <c r="BC86" s="249">
        <f t="shared" si="2"/>
        <v>2012</v>
      </c>
    </row>
    <row r="87" spans="1:55" x14ac:dyDescent="0.25">
      <c r="A87" s="50" t="s">
        <v>1404</v>
      </c>
      <c r="B87" s="61" t="s">
        <v>417</v>
      </c>
      <c r="C87" s="14" t="s">
        <v>337</v>
      </c>
      <c r="D87" s="14">
        <v>2012</v>
      </c>
      <c r="E87" s="14" t="s">
        <v>338</v>
      </c>
      <c r="F87" s="14"/>
      <c r="G87" s="14"/>
      <c r="H87" s="14"/>
      <c r="I87" s="14"/>
      <c r="J87" s="13">
        <v>62000</v>
      </c>
      <c r="K87" s="14" t="s">
        <v>328</v>
      </c>
      <c r="L87" s="14"/>
      <c r="M87" s="14"/>
      <c r="N87" s="13">
        <v>26000</v>
      </c>
      <c r="O87" s="24">
        <v>0.5</v>
      </c>
      <c r="P87" s="14">
        <v>2</v>
      </c>
      <c r="Q87" s="14">
        <v>100</v>
      </c>
      <c r="R87" s="13">
        <v>400</v>
      </c>
      <c r="S87" s="14" t="s">
        <v>340</v>
      </c>
      <c r="T87" s="14">
        <v>2</v>
      </c>
      <c r="U87" s="14">
        <v>2.4</v>
      </c>
      <c r="V87" s="25">
        <v>6283.6624775583477</v>
      </c>
      <c r="W87" s="26">
        <v>70000</v>
      </c>
      <c r="X87" s="14"/>
      <c r="Y87" s="14"/>
      <c r="Z87" s="14" t="s">
        <v>328</v>
      </c>
      <c r="AA87" s="14"/>
      <c r="AB87" s="14"/>
      <c r="AC87" s="14"/>
      <c r="AD87" s="14"/>
      <c r="AE87" s="14"/>
      <c r="AF87" s="14"/>
      <c r="AG87" s="14" t="s">
        <v>328</v>
      </c>
      <c r="AH87" s="14" t="s">
        <v>328</v>
      </c>
      <c r="AI87" s="14" t="s">
        <v>328</v>
      </c>
      <c r="AJ87" s="14" t="s">
        <v>328</v>
      </c>
      <c r="AK87" s="14" t="s">
        <v>328</v>
      </c>
      <c r="AL87" s="14" t="s">
        <v>328</v>
      </c>
      <c r="AM87" s="14" t="s">
        <v>328</v>
      </c>
      <c r="AN87" s="13">
        <v>156000</v>
      </c>
      <c r="AO87" s="13">
        <v>312000</v>
      </c>
      <c r="AP87" s="13">
        <v>156000</v>
      </c>
      <c r="AQ87" s="13" t="s">
        <v>415</v>
      </c>
      <c r="AR87" s="13" t="s">
        <v>409</v>
      </c>
      <c r="AS87" s="26">
        <v>260000</v>
      </c>
      <c r="AT87" s="26">
        <v>0</v>
      </c>
      <c r="AU87" s="13" t="s">
        <v>415</v>
      </c>
      <c r="AV87" s="13" t="s">
        <v>415</v>
      </c>
      <c r="AW87" s="26">
        <v>400000</v>
      </c>
      <c r="AX87" s="62">
        <v>50000</v>
      </c>
      <c r="AZ87" s="14" t="s">
        <v>421</v>
      </c>
      <c r="BA87" s="249">
        <f t="shared" si="3"/>
        <v>16</v>
      </c>
      <c r="BB87" s="249">
        <v>0</v>
      </c>
      <c r="BC87" s="249">
        <f t="shared" si="2"/>
        <v>2012</v>
      </c>
    </row>
    <row r="88" spans="1:55" x14ac:dyDescent="0.25">
      <c r="A88" s="50" t="s">
        <v>1404</v>
      </c>
      <c r="B88" s="61" t="s">
        <v>417</v>
      </c>
      <c r="C88" s="14" t="s">
        <v>337</v>
      </c>
      <c r="D88" s="14">
        <v>2012</v>
      </c>
      <c r="E88" s="14" t="s">
        <v>338</v>
      </c>
      <c r="F88" s="14"/>
      <c r="G88" s="14"/>
      <c r="H88" s="14"/>
      <c r="I88" s="14"/>
      <c r="J88" s="13">
        <v>62000</v>
      </c>
      <c r="K88" s="14" t="s">
        <v>328</v>
      </c>
      <c r="L88" s="14"/>
      <c r="M88" s="14"/>
      <c r="N88" s="13">
        <v>26000</v>
      </c>
      <c r="O88" s="24">
        <v>0.5</v>
      </c>
      <c r="P88" s="14">
        <v>2</v>
      </c>
      <c r="Q88" s="14">
        <v>100</v>
      </c>
      <c r="R88" s="13">
        <v>400</v>
      </c>
      <c r="S88" s="14" t="s">
        <v>340</v>
      </c>
      <c r="T88" s="14">
        <v>2</v>
      </c>
      <c r="U88" s="14">
        <v>2.4</v>
      </c>
      <c r="V88" s="25">
        <v>6283.6624775583477</v>
      </c>
      <c r="W88" s="26">
        <v>70000</v>
      </c>
      <c r="X88" s="14"/>
      <c r="Y88" s="14"/>
      <c r="Z88" s="14" t="s">
        <v>328</v>
      </c>
      <c r="AA88" s="14"/>
      <c r="AB88" s="14"/>
      <c r="AC88" s="14"/>
      <c r="AD88" s="14"/>
      <c r="AE88" s="14"/>
      <c r="AF88" s="14"/>
      <c r="AG88" s="14" t="s">
        <v>328</v>
      </c>
      <c r="AH88" s="14" t="s">
        <v>328</v>
      </c>
      <c r="AI88" s="14" t="s">
        <v>328</v>
      </c>
      <c r="AJ88" s="14" t="s">
        <v>328</v>
      </c>
      <c r="AK88" s="14" t="s">
        <v>328</v>
      </c>
      <c r="AL88" s="14" t="s">
        <v>328</v>
      </c>
      <c r="AM88" s="14" t="s">
        <v>328</v>
      </c>
      <c r="AN88" s="13">
        <v>156000</v>
      </c>
      <c r="AO88" s="13">
        <v>312000</v>
      </c>
      <c r="AP88" s="13">
        <v>156000</v>
      </c>
      <c r="AQ88" s="13" t="s">
        <v>415</v>
      </c>
      <c r="AR88" s="13" t="s">
        <v>409</v>
      </c>
      <c r="AS88" s="26">
        <v>260000</v>
      </c>
      <c r="AT88" s="26">
        <v>0</v>
      </c>
      <c r="AU88" s="13" t="s">
        <v>415</v>
      </c>
      <c r="AV88" s="13" t="s">
        <v>415</v>
      </c>
      <c r="AW88" s="26">
        <v>400000</v>
      </c>
      <c r="AX88" s="62">
        <v>50000</v>
      </c>
      <c r="AZ88" s="14" t="s">
        <v>421</v>
      </c>
      <c r="BA88" s="249">
        <f t="shared" si="3"/>
        <v>16</v>
      </c>
      <c r="BB88" s="249">
        <v>0</v>
      </c>
      <c r="BC88" s="249">
        <f t="shared" si="2"/>
        <v>2012</v>
      </c>
    </row>
    <row r="89" spans="1:55" x14ac:dyDescent="0.25">
      <c r="A89" s="50" t="s">
        <v>1404</v>
      </c>
      <c r="B89" s="61" t="s">
        <v>417</v>
      </c>
      <c r="C89" s="14" t="s">
        <v>337</v>
      </c>
      <c r="D89" s="14">
        <v>2012</v>
      </c>
      <c r="E89" s="14" t="s">
        <v>338</v>
      </c>
      <c r="F89" s="14"/>
      <c r="G89" s="14"/>
      <c r="H89" s="14"/>
      <c r="I89" s="14"/>
      <c r="J89" s="13">
        <v>62000</v>
      </c>
      <c r="K89" s="14" t="s">
        <v>328</v>
      </c>
      <c r="L89" s="14"/>
      <c r="M89" s="14"/>
      <c r="N89" s="13">
        <v>26000</v>
      </c>
      <c r="O89" s="24">
        <v>0.5</v>
      </c>
      <c r="P89" s="14">
        <v>2</v>
      </c>
      <c r="Q89" s="14">
        <v>100</v>
      </c>
      <c r="R89" s="13">
        <v>400</v>
      </c>
      <c r="S89" s="14" t="s">
        <v>340</v>
      </c>
      <c r="T89" s="14">
        <v>2</v>
      </c>
      <c r="U89" s="14">
        <v>2.4</v>
      </c>
      <c r="V89" s="25">
        <v>6283.6624775583477</v>
      </c>
      <c r="W89" s="26">
        <v>70000</v>
      </c>
      <c r="X89" s="14"/>
      <c r="Y89" s="14"/>
      <c r="Z89" s="14" t="s">
        <v>328</v>
      </c>
      <c r="AA89" s="14"/>
      <c r="AB89" s="14"/>
      <c r="AC89" s="14"/>
      <c r="AD89" s="14"/>
      <c r="AE89" s="14"/>
      <c r="AF89" s="14"/>
      <c r="AG89" s="14" t="s">
        <v>328</v>
      </c>
      <c r="AH89" s="14" t="s">
        <v>328</v>
      </c>
      <c r="AI89" s="14" t="s">
        <v>328</v>
      </c>
      <c r="AJ89" s="14" t="s">
        <v>328</v>
      </c>
      <c r="AK89" s="14" t="s">
        <v>328</v>
      </c>
      <c r="AL89" s="14" t="s">
        <v>328</v>
      </c>
      <c r="AM89" s="14" t="s">
        <v>328</v>
      </c>
      <c r="AN89" s="13">
        <v>156000</v>
      </c>
      <c r="AO89" s="13">
        <v>312000</v>
      </c>
      <c r="AP89" s="13">
        <v>156000</v>
      </c>
      <c r="AQ89" s="13" t="s">
        <v>415</v>
      </c>
      <c r="AR89" s="13" t="s">
        <v>409</v>
      </c>
      <c r="AS89" s="26">
        <v>260000</v>
      </c>
      <c r="AT89" s="26">
        <v>0</v>
      </c>
      <c r="AU89" s="13" t="s">
        <v>415</v>
      </c>
      <c r="AV89" s="13" t="s">
        <v>415</v>
      </c>
      <c r="AW89" s="26">
        <v>400000</v>
      </c>
      <c r="AX89" s="62">
        <v>50000</v>
      </c>
      <c r="AZ89" s="14" t="s">
        <v>421</v>
      </c>
      <c r="BA89" s="249">
        <f t="shared" si="3"/>
        <v>16</v>
      </c>
      <c r="BB89" s="249">
        <v>0</v>
      </c>
      <c r="BC89" s="249">
        <f t="shared" si="2"/>
        <v>2012</v>
      </c>
    </row>
    <row r="90" spans="1:55" x14ac:dyDescent="0.25">
      <c r="A90" s="50" t="s">
        <v>1404</v>
      </c>
      <c r="B90" s="61" t="s">
        <v>417</v>
      </c>
      <c r="C90" s="14" t="s">
        <v>337</v>
      </c>
      <c r="D90" s="14">
        <v>2012</v>
      </c>
      <c r="E90" s="14" t="s">
        <v>338</v>
      </c>
      <c r="F90" s="14"/>
      <c r="G90" s="14"/>
      <c r="H90" s="14"/>
      <c r="I90" s="14"/>
      <c r="J90" s="13">
        <v>62000</v>
      </c>
      <c r="K90" s="14" t="s">
        <v>328</v>
      </c>
      <c r="L90" s="14"/>
      <c r="M90" s="14"/>
      <c r="N90" s="13">
        <v>26000</v>
      </c>
      <c r="O90" s="24">
        <v>0.5</v>
      </c>
      <c r="P90" s="14">
        <v>2</v>
      </c>
      <c r="Q90" s="14">
        <v>100</v>
      </c>
      <c r="R90" s="13">
        <v>400</v>
      </c>
      <c r="S90" s="14" t="s">
        <v>340</v>
      </c>
      <c r="T90" s="14">
        <v>2</v>
      </c>
      <c r="U90" s="14">
        <v>2.4</v>
      </c>
      <c r="V90" s="25">
        <v>6283.6624775583477</v>
      </c>
      <c r="W90" s="26">
        <v>70000</v>
      </c>
      <c r="X90" s="14"/>
      <c r="Y90" s="14"/>
      <c r="Z90" s="14" t="s">
        <v>328</v>
      </c>
      <c r="AA90" s="14"/>
      <c r="AB90" s="14"/>
      <c r="AC90" s="14"/>
      <c r="AD90" s="14"/>
      <c r="AE90" s="14"/>
      <c r="AF90" s="14"/>
      <c r="AG90" s="14" t="s">
        <v>328</v>
      </c>
      <c r="AH90" s="14" t="s">
        <v>328</v>
      </c>
      <c r="AI90" s="14" t="s">
        <v>328</v>
      </c>
      <c r="AJ90" s="14" t="s">
        <v>328</v>
      </c>
      <c r="AK90" s="14" t="s">
        <v>328</v>
      </c>
      <c r="AL90" s="14" t="s">
        <v>328</v>
      </c>
      <c r="AM90" s="14" t="s">
        <v>328</v>
      </c>
      <c r="AN90" s="13">
        <v>156000</v>
      </c>
      <c r="AO90" s="13">
        <v>312000</v>
      </c>
      <c r="AP90" s="13">
        <v>156000</v>
      </c>
      <c r="AQ90" s="13" t="s">
        <v>415</v>
      </c>
      <c r="AR90" s="13" t="s">
        <v>409</v>
      </c>
      <c r="AS90" s="26">
        <v>260000</v>
      </c>
      <c r="AT90" s="26">
        <v>0</v>
      </c>
      <c r="AU90" s="13" t="s">
        <v>415</v>
      </c>
      <c r="AV90" s="13" t="s">
        <v>415</v>
      </c>
      <c r="AW90" s="26">
        <v>400000</v>
      </c>
      <c r="AX90" s="62">
        <v>50000</v>
      </c>
      <c r="AZ90" s="14" t="s">
        <v>421</v>
      </c>
      <c r="BA90" s="249">
        <f t="shared" si="3"/>
        <v>16</v>
      </c>
      <c r="BB90" s="249">
        <v>0</v>
      </c>
      <c r="BC90" s="249">
        <f t="shared" si="2"/>
        <v>2012</v>
      </c>
    </row>
    <row r="91" spans="1:55" x14ac:dyDescent="0.25">
      <c r="A91" s="50" t="s">
        <v>1404</v>
      </c>
      <c r="B91" s="61" t="s">
        <v>417</v>
      </c>
      <c r="C91" s="14" t="s">
        <v>337</v>
      </c>
      <c r="D91" s="14">
        <v>2012</v>
      </c>
      <c r="E91" s="14" t="s">
        <v>338</v>
      </c>
      <c r="F91" s="14"/>
      <c r="G91" s="14"/>
      <c r="H91" s="14"/>
      <c r="I91" s="14"/>
      <c r="J91" s="13">
        <v>62000</v>
      </c>
      <c r="K91" s="14" t="s">
        <v>328</v>
      </c>
      <c r="L91" s="14"/>
      <c r="M91" s="14"/>
      <c r="N91" s="13">
        <v>26000</v>
      </c>
      <c r="O91" s="24">
        <v>0.5</v>
      </c>
      <c r="P91" s="14">
        <v>2</v>
      </c>
      <c r="Q91" s="14">
        <v>100</v>
      </c>
      <c r="R91" s="13">
        <v>400</v>
      </c>
      <c r="S91" s="14" t="s">
        <v>340</v>
      </c>
      <c r="T91" s="14">
        <v>2</v>
      </c>
      <c r="U91" s="14">
        <v>2.4</v>
      </c>
      <c r="V91" s="25">
        <v>6283.6624775583477</v>
      </c>
      <c r="W91" s="26">
        <v>70000</v>
      </c>
      <c r="X91" s="14"/>
      <c r="Y91" s="14"/>
      <c r="Z91" s="14" t="s">
        <v>328</v>
      </c>
      <c r="AA91" s="14"/>
      <c r="AB91" s="14"/>
      <c r="AC91" s="14"/>
      <c r="AD91" s="14"/>
      <c r="AE91" s="14"/>
      <c r="AF91" s="14"/>
      <c r="AG91" s="14" t="s">
        <v>328</v>
      </c>
      <c r="AH91" s="14" t="s">
        <v>328</v>
      </c>
      <c r="AI91" s="14" t="s">
        <v>328</v>
      </c>
      <c r="AJ91" s="14" t="s">
        <v>328</v>
      </c>
      <c r="AK91" s="14" t="s">
        <v>328</v>
      </c>
      <c r="AL91" s="14" t="s">
        <v>328</v>
      </c>
      <c r="AM91" s="14" t="s">
        <v>328</v>
      </c>
      <c r="AN91" s="13">
        <v>156000</v>
      </c>
      <c r="AO91" s="13">
        <v>312000</v>
      </c>
      <c r="AP91" s="13">
        <v>156000</v>
      </c>
      <c r="AQ91" s="13" t="s">
        <v>415</v>
      </c>
      <c r="AR91" s="13" t="s">
        <v>409</v>
      </c>
      <c r="AS91" s="26">
        <v>260000</v>
      </c>
      <c r="AT91" s="26">
        <v>0</v>
      </c>
      <c r="AU91" s="13" t="s">
        <v>415</v>
      </c>
      <c r="AV91" s="13" t="s">
        <v>415</v>
      </c>
      <c r="AW91" s="26">
        <v>400000</v>
      </c>
      <c r="AX91" s="62">
        <v>50000</v>
      </c>
      <c r="AZ91" s="14" t="s">
        <v>421</v>
      </c>
      <c r="BA91" s="249">
        <f t="shared" si="3"/>
        <v>16</v>
      </c>
      <c r="BB91" s="249">
        <v>0</v>
      </c>
      <c r="BC91" s="249">
        <f t="shared" si="2"/>
        <v>2012</v>
      </c>
    </row>
    <row r="92" spans="1:55" x14ac:dyDescent="0.25">
      <c r="A92" s="50" t="s">
        <v>1404</v>
      </c>
      <c r="B92" s="61" t="s">
        <v>417</v>
      </c>
      <c r="C92" s="14" t="s">
        <v>337</v>
      </c>
      <c r="D92" s="14">
        <v>2012</v>
      </c>
      <c r="E92" s="14" t="s">
        <v>338</v>
      </c>
      <c r="F92" s="14"/>
      <c r="G92" s="14"/>
      <c r="H92" s="14"/>
      <c r="I92" s="14"/>
      <c r="J92" s="13">
        <v>62000</v>
      </c>
      <c r="K92" s="14" t="s">
        <v>328</v>
      </c>
      <c r="L92" s="14"/>
      <c r="M92" s="14"/>
      <c r="N92" s="13">
        <v>26000</v>
      </c>
      <c r="O92" s="24">
        <v>0.5</v>
      </c>
      <c r="P92" s="14">
        <v>2</v>
      </c>
      <c r="Q92" s="14">
        <v>100</v>
      </c>
      <c r="R92" s="13">
        <v>400</v>
      </c>
      <c r="S92" s="14" t="s">
        <v>340</v>
      </c>
      <c r="T92" s="14">
        <v>2</v>
      </c>
      <c r="U92" s="14">
        <v>2.4</v>
      </c>
      <c r="V92" s="25">
        <v>6283.6624775583477</v>
      </c>
      <c r="W92" s="26">
        <v>70000</v>
      </c>
      <c r="X92" s="14"/>
      <c r="Y92" s="14"/>
      <c r="Z92" s="14" t="s">
        <v>328</v>
      </c>
      <c r="AA92" s="14"/>
      <c r="AB92" s="14"/>
      <c r="AC92" s="14"/>
      <c r="AD92" s="14"/>
      <c r="AE92" s="14"/>
      <c r="AF92" s="14"/>
      <c r="AG92" s="14" t="s">
        <v>328</v>
      </c>
      <c r="AH92" s="14" t="s">
        <v>328</v>
      </c>
      <c r="AI92" s="14" t="s">
        <v>328</v>
      </c>
      <c r="AJ92" s="14" t="s">
        <v>328</v>
      </c>
      <c r="AK92" s="14" t="s">
        <v>328</v>
      </c>
      <c r="AL92" s="14" t="s">
        <v>328</v>
      </c>
      <c r="AM92" s="14" t="s">
        <v>328</v>
      </c>
      <c r="AN92" s="13">
        <v>156000</v>
      </c>
      <c r="AO92" s="13">
        <v>312000</v>
      </c>
      <c r="AP92" s="13">
        <v>156000</v>
      </c>
      <c r="AQ92" s="13" t="s">
        <v>415</v>
      </c>
      <c r="AR92" s="13" t="s">
        <v>409</v>
      </c>
      <c r="AS92" s="26">
        <v>260000</v>
      </c>
      <c r="AT92" s="26">
        <v>0</v>
      </c>
      <c r="AU92" s="13" t="s">
        <v>415</v>
      </c>
      <c r="AV92" s="13" t="s">
        <v>415</v>
      </c>
      <c r="AW92" s="26">
        <v>400000</v>
      </c>
      <c r="AX92" s="62">
        <v>50000</v>
      </c>
      <c r="AZ92" s="14" t="s">
        <v>421</v>
      </c>
      <c r="BA92" s="249">
        <f t="shared" si="3"/>
        <v>16</v>
      </c>
      <c r="BB92" s="249">
        <v>0</v>
      </c>
      <c r="BC92" s="249">
        <f t="shared" si="2"/>
        <v>2012</v>
      </c>
    </row>
    <row r="93" spans="1:55" x14ac:dyDescent="0.25">
      <c r="A93" s="50" t="s">
        <v>1404</v>
      </c>
      <c r="B93" s="61" t="s">
        <v>417</v>
      </c>
      <c r="C93" s="14" t="s">
        <v>337</v>
      </c>
      <c r="D93" s="14">
        <v>2012</v>
      </c>
      <c r="E93" s="14" t="s">
        <v>338</v>
      </c>
      <c r="F93" s="14"/>
      <c r="G93" s="14"/>
      <c r="H93" s="14"/>
      <c r="I93" s="14"/>
      <c r="J93" s="13">
        <v>62000</v>
      </c>
      <c r="K93" s="14" t="s">
        <v>328</v>
      </c>
      <c r="L93" s="14"/>
      <c r="M93" s="14"/>
      <c r="N93" s="13">
        <v>26000</v>
      </c>
      <c r="O93" s="24">
        <v>0.5</v>
      </c>
      <c r="P93" s="14">
        <v>2</v>
      </c>
      <c r="Q93" s="14">
        <v>100</v>
      </c>
      <c r="R93" s="13">
        <v>400</v>
      </c>
      <c r="S93" s="14" t="s">
        <v>340</v>
      </c>
      <c r="T93" s="14">
        <v>2</v>
      </c>
      <c r="U93" s="14">
        <v>2.4</v>
      </c>
      <c r="V93" s="25">
        <v>6283.6624775583477</v>
      </c>
      <c r="W93" s="26">
        <v>70000</v>
      </c>
      <c r="X93" s="14"/>
      <c r="Y93" s="14"/>
      <c r="Z93" s="14" t="s">
        <v>328</v>
      </c>
      <c r="AA93" s="14"/>
      <c r="AB93" s="14"/>
      <c r="AC93" s="14"/>
      <c r="AD93" s="14"/>
      <c r="AE93" s="14"/>
      <c r="AF93" s="14"/>
      <c r="AG93" s="14" t="s">
        <v>328</v>
      </c>
      <c r="AH93" s="14" t="s">
        <v>328</v>
      </c>
      <c r="AI93" s="14" t="s">
        <v>328</v>
      </c>
      <c r="AJ93" s="14" t="s">
        <v>328</v>
      </c>
      <c r="AK93" s="14" t="s">
        <v>328</v>
      </c>
      <c r="AL93" s="14" t="s">
        <v>328</v>
      </c>
      <c r="AM93" s="14" t="s">
        <v>328</v>
      </c>
      <c r="AN93" s="13">
        <v>156000</v>
      </c>
      <c r="AO93" s="13">
        <v>312000</v>
      </c>
      <c r="AP93" s="13">
        <v>156000</v>
      </c>
      <c r="AQ93" s="13" t="s">
        <v>415</v>
      </c>
      <c r="AR93" s="13" t="s">
        <v>409</v>
      </c>
      <c r="AS93" s="26">
        <v>260000</v>
      </c>
      <c r="AT93" s="26">
        <v>0</v>
      </c>
      <c r="AU93" s="13" t="s">
        <v>415</v>
      </c>
      <c r="AV93" s="13" t="s">
        <v>415</v>
      </c>
      <c r="AW93" s="26">
        <v>400000</v>
      </c>
      <c r="AX93" s="62">
        <v>50000</v>
      </c>
      <c r="AZ93" s="14" t="s">
        <v>421</v>
      </c>
      <c r="BA93" s="249">
        <f t="shared" si="3"/>
        <v>16</v>
      </c>
      <c r="BB93" s="249">
        <v>0</v>
      </c>
      <c r="BC93" s="249">
        <f t="shared" si="2"/>
        <v>2012</v>
      </c>
    </row>
    <row r="94" spans="1:55" x14ac:dyDescent="0.25">
      <c r="A94" s="50" t="s">
        <v>1404</v>
      </c>
      <c r="B94" s="61" t="s">
        <v>417</v>
      </c>
      <c r="C94" s="14" t="s">
        <v>337</v>
      </c>
      <c r="D94" s="14">
        <v>2012</v>
      </c>
      <c r="E94" s="14" t="s">
        <v>338</v>
      </c>
      <c r="F94" s="14"/>
      <c r="G94" s="14"/>
      <c r="H94" s="14"/>
      <c r="I94" s="14"/>
      <c r="J94" s="13">
        <v>62000</v>
      </c>
      <c r="K94" s="14" t="s">
        <v>328</v>
      </c>
      <c r="L94" s="14"/>
      <c r="M94" s="14"/>
      <c r="N94" s="13">
        <v>26000</v>
      </c>
      <c r="O94" s="24">
        <v>0.5</v>
      </c>
      <c r="P94" s="14">
        <v>2</v>
      </c>
      <c r="Q94" s="14">
        <v>100</v>
      </c>
      <c r="R94" s="13">
        <v>400</v>
      </c>
      <c r="S94" s="14" t="s">
        <v>340</v>
      </c>
      <c r="T94" s="14">
        <v>2</v>
      </c>
      <c r="U94" s="14">
        <v>2.4</v>
      </c>
      <c r="V94" s="25">
        <v>6283.6624775583477</v>
      </c>
      <c r="W94" s="26">
        <v>70000</v>
      </c>
      <c r="X94" s="14"/>
      <c r="Y94" s="14"/>
      <c r="Z94" s="14" t="s">
        <v>328</v>
      </c>
      <c r="AA94" s="14"/>
      <c r="AB94" s="14"/>
      <c r="AC94" s="14"/>
      <c r="AD94" s="14"/>
      <c r="AE94" s="14"/>
      <c r="AF94" s="14"/>
      <c r="AG94" s="14" t="s">
        <v>328</v>
      </c>
      <c r="AH94" s="14" t="s">
        <v>328</v>
      </c>
      <c r="AI94" s="14" t="s">
        <v>328</v>
      </c>
      <c r="AJ94" s="14" t="s">
        <v>328</v>
      </c>
      <c r="AK94" s="14" t="s">
        <v>328</v>
      </c>
      <c r="AL94" s="14" t="s">
        <v>328</v>
      </c>
      <c r="AM94" s="14" t="s">
        <v>328</v>
      </c>
      <c r="AN94" s="13">
        <v>156000</v>
      </c>
      <c r="AO94" s="13">
        <v>312000</v>
      </c>
      <c r="AP94" s="13">
        <v>156000</v>
      </c>
      <c r="AQ94" s="13" t="s">
        <v>415</v>
      </c>
      <c r="AR94" s="13" t="s">
        <v>409</v>
      </c>
      <c r="AS94" s="26">
        <v>260000</v>
      </c>
      <c r="AT94" s="26">
        <v>0</v>
      </c>
      <c r="AU94" s="13" t="s">
        <v>415</v>
      </c>
      <c r="AV94" s="13" t="s">
        <v>415</v>
      </c>
      <c r="AW94" s="26">
        <v>400000</v>
      </c>
      <c r="AX94" s="62">
        <v>50000</v>
      </c>
      <c r="AZ94" s="14" t="s">
        <v>421</v>
      </c>
      <c r="BA94" s="249">
        <f t="shared" si="3"/>
        <v>16</v>
      </c>
      <c r="BB94" s="249">
        <v>0</v>
      </c>
      <c r="BC94" s="249">
        <f t="shared" si="2"/>
        <v>2012</v>
      </c>
    </row>
    <row r="95" spans="1:55" x14ac:dyDescent="0.25">
      <c r="A95" s="50" t="s">
        <v>1404</v>
      </c>
      <c r="B95" s="61" t="s">
        <v>417</v>
      </c>
      <c r="C95" s="14" t="s">
        <v>337</v>
      </c>
      <c r="D95" s="14">
        <v>2012</v>
      </c>
      <c r="E95" s="14" t="s">
        <v>338</v>
      </c>
      <c r="F95" s="14"/>
      <c r="G95" s="14"/>
      <c r="H95" s="14"/>
      <c r="I95" s="14"/>
      <c r="J95" s="13">
        <v>62000</v>
      </c>
      <c r="K95" s="14" t="s">
        <v>328</v>
      </c>
      <c r="L95" s="14"/>
      <c r="M95" s="14"/>
      <c r="N95" s="13">
        <v>26000</v>
      </c>
      <c r="O95" s="24">
        <v>0.5</v>
      </c>
      <c r="P95" s="14">
        <v>2</v>
      </c>
      <c r="Q95" s="14">
        <v>100</v>
      </c>
      <c r="R95" s="13">
        <v>400</v>
      </c>
      <c r="S95" s="14" t="s">
        <v>340</v>
      </c>
      <c r="T95" s="14">
        <v>2</v>
      </c>
      <c r="U95" s="14">
        <v>2.4</v>
      </c>
      <c r="V95" s="25">
        <v>6283.6624775583477</v>
      </c>
      <c r="W95" s="26">
        <v>70000</v>
      </c>
      <c r="X95" s="14"/>
      <c r="Y95" s="14"/>
      <c r="Z95" s="14" t="s">
        <v>328</v>
      </c>
      <c r="AA95" s="14"/>
      <c r="AB95" s="14"/>
      <c r="AC95" s="14"/>
      <c r="AD95" s="14"/>
      <c r="AE95" s="14"/>
      <c r="AF95" s="14"/>
      <c r="AG95" s="14" t="s">
        <v>328</v>
      </c>
      <c r="AH95" s="14" t="s">
        <v>328</v>
      </c>
      <c r="AI95" s="14" t="s">
        <v>328</v>
      </c>
      <c r="AJ95" s="14" t="s">
        <v>328</v>
      </c>
      <c r="AK95" s="14" t="s">
        <v>328</v>
      </c>
      <c r="AL95" s="14" t="s">
        <v>328</v>
      </c>
      <c r="AM95" s="14" t="s">
        <v>328</v>
      </c>
      <c r="AN95" s="13">
        <v>156000</v>
      </c>
      <c r="AO95" s="13">
        <v>312000</v>
      </c>
      <c r="AP95" s="13">
        <v>156000</v>
      </c>
      <c r="AQ95" s="13" t="s">
        <v>415</v>
      </c>
      <c r="AR95" s="13" t="s">
        <v>409</v>
      </c>
      <c r="AS95" s="26">
        <v>260000</v>
      </c>
      <c r="AT95" s="26">
        <v>0</v>
      </c>
      <c r="AU95" s="13" t="s">
        <v>415</v>
      </c>
      <c r="AV95" s="13" t="s">
        <v>415</v>
      </c>
      <c r="AW95" s="26">
        <v>400000</v>
      </c>
      <c r="AX95" s="62">
        <v>50000</v>
      </c>
      <c r="AZ95" s="14" t="s">
        <v>421</v>
      </c>
      <c r="BA95" s="249">
        <f t="shared" si="3"/>
        <v>16</v>
      </c>
      <c r="BB95" s="249">
        <v>0</v>
      </c>
      <c r="BC95" s="249">
        <f t="shared" si="2"/>
        <v>2012</v>
      </c>
    </row>
    <row r="96" spans="1:55" x14ac:dyDescent="0.25">
      <c r="A96" s="50" t="s">
        <v>1404</v>
      </c>
      <c r="B96" s="61" t="s">
        <v>417</v>
      </c>
      <c r="C96" s="14" t="s">
        <v>337</v>
      </c>
      <c r="D96" s="14">
        <v>2012</v>
      </c>
      <c r="E96" s="14" t="s">
        <v>338</v>
      </c>
      <c r="F96" s="14"/>
      <c r="G96" s="14"/>
      <c r="H96" s="14"/>
      <c r="I96" s="14"/>
      <c r="J96" s="13">
        <v>62000</v>
      </c>
      <c r="K96" s="14" t="s">
        <v>328</v>
      </c>
      <c r="L96" s="14"/>
      <c r="M96" s="14"/>
      <c r="N96" s="13">
        <v>26000</v>
      </c>
      <c r="O96" s="24">
        <v>0.5</v>
      </c>
      <c r="P96" s="14">
        <v>2</v>
      </c>
      <c r="Q96" s="14">
        <v>100</v>
      </c>
      <c r="R96" s="13">
        <v>400</v>
      </c>
      <c r="S96" s="14" t="s">
        <v>340</v>
      </c>
      <c r="T96" s="14">
        <v>2</v>
      </c>
      <c r="U96" s="14">
        <v>2.4</v>
      </c>
      <c r="V96" s="25">
        <v>6283.6624775583477</v>
      </c>
      <c r="W96" s="26">
        <v>70000</v>
      </c>
      <c r="X96" s="14"/>
      <c r="Y96" s="14"/>
      <c r="Z96" s="14" t="s">
        <v>328</v>
      </c>
      <c r="AA96" s="14"/>
      <c r="AB96" s="14"/>
      <c r="AC96" s="14"/>
      <c r="AD96" s="14"/>
      <c r="AE96" s="14"/>
      <c r="AF96" s="14"/>
      <c r="AG96" s="14" t="s">
        <v>328</v>
      </c>
      <c r="AH96" s="14" t="s">
        <v>328</v>
      </c>
      <c r="AI96" s="14" t="s">
        <v>328</v>
      </c>
      <c r="AJ96" s="14" t="s">
        <v>328</v>
      </c>
      <c r="AK96" s="14" t="s">
        <v>328</v>
      </c>
      <c r="AL96" s="14" t="s">
        <v>328</v>
      </c>
      <c r="AM96" s="14" t="s">
        <v>328</v>
      </c>
      <c r="AN96" s="13">
        <v>156000</v>
      </c>
      <c r="AO96" s="13">
        <v>312000</v>
      </c>
      <c r="AP96" s="13">
        <v>156000</v>
      </c>
      <c r="AQ96" s="13" t="s">
        <v>415</v>
      </c>
      <c r="AR96" s="13" t="s">
        <v>409</v>
      </c>
      <c r="AS96" s="26">
        <v>260000</v>
      </c>
      <c r="AT96" s="26">
        <v>0</v>
      </c>
      <c r="AU96" s="13" t="s">
        <v>415</v>
      </c>
      <c r="AV96" s="13" t="s">
        <v>415</v>
      </c>
      <c r="AW96" s="26">
        <v>400000</v>
      </c>
      <c r="AX96" s="62">
        <v>50000</v>
      </c>
      <c r="AZ96" s="14" t="s">
        <v>421</v>
      </c>
      <c r="BA96" s="249">
        <f t="shared" si="3"/>
        <v>16</v>
      </c>
      <c r="BB96" s="249">
        <v>0</v>
      </c>
      <c r="BC96" s="249">
        <f t="shared" si="2"/>
        <v>2012</v>
      </c>
    </row>
    <row r="97" spans="1:55" x14ac:dyDescent="0.25">
      <c r="A97" s="50" t="s">
        <v>1404</v>
      </c>
      <c r="B97" s="61" t="s">
        <v>422</v>
      </c>
      <c r="C97" s="14" t="s">
        <v>348</v>
      </c>
      <c r="D97" s="14">
        <v>1997</v>
      </c>
      <c r="E97" s="14" t="s">
        <v>429</v>
      </c>
      <c r="F97" s="14"/>
      <c r="G97" s="14"/>
      <c r="H97" s="14"/>
      <c r="I97" s="14"/>
      <c r="J97" s="13">
        <v>960000</v>
      </c>
      <c r="K97" s="14"/>
      <c r="L97" s="14"/>
      <c r="M97" s="14" t="s">
        <v>328</v>
      </c>
      <c r="N97" s="13">
        <v>5000</v>
      </c>
      <c r="O97" s="24">
        <v>0.5</v>
      </c>
      <c r="P97" s="14">
        <v>1</v>
      </c>
      <c r="Q97" s="14">
        <v>220</v>
      </c>
      <c r="R97" s="13">
        <v>440</v>
      </c>
      <c r="S97" s="14" t="s">
        <v>430</v>
      </c>
      <c r="T97" s="14">
        <v>2</v>
      </c>
      <c r="U97" s="14">
        <v>2.8</v>
      </c>
      <c r="V97" s="27">
        <v>2173.913043478261</v>
      </c>
      <c r="W97" s="22">
        <v>30739.130434782612</v>
      </c>
      <c r="X97" s="14"/>
      <c r="Y97" s="14" t="s">
        <v>328</v>
      </c>
      <c r="Z97" s="14"/>
      <c r="AA97" s="14"/>
      <c r="AB97" s="14"/>
      <c r="AC97" s="14"/>
      <c r="AD97" s="14" t="s">
        <v>328</v>
      </c>
      <c r="AE97" s="14" t="s">
        <v>328</v>
      </c>
      <c r="AF97" s="14"/>
      <c r="AG97" s="14" t="s">
        <v>328</v>
      </c>
      <c r="AH97" s="14"/>
      <c r="AI97" s="14" t="s">
        <v>328</v>
      </c>
      <c r="AJ97" s="14"/>
      <c r="AK97" s="14"/>
      <c r="AL97" s="14"/>
      <c r="AM97" s="14"/>
      <c r="AN97" s="13">
        <v>30000</v>
      </c>
      <c r="AO97" s="13">
        <v>30000</v>
      </c>
      <c r="AP97" s="13">
        <v>30000</v>
      </c>
      <c r="AQ97" s="13">
        <v>60000</v>
      </c>
      <c r="AR97" s="13" t="s">
        <v>385</v>
      </c>
      <c r="AS97" s="26">
        <v>78000</v>
      </c>
      <c r="AT97" s="26">
        <v>41600</v>
      </c>
      <c r="AU97" s="26">
        <v>7000</v>
      </c>
      <c r="AV97" s="26">
        <v>18000</v>
      </c>
      <c r="AW97" s="26">
        <v>6000</v>
      </c>
      <c r="AX97" s="62">
        <v>0</v>
      </c>
      <c r="AZ97" s="14" t="s">
        <v>348</v>
      </c>
      <c r="BA97" s="249">
        <f t="shared" si="3"/>
        <v>1</v>
      </c>
      <c r="BB97" s="249">
        <v>0</v>
      </c>
      <c r="BC97" s="249">
        <f t="shared" si="2"/>
        <v>1997</v>
      </c>
    </row>
    <row r="98" spans="1:55" x14ac:dyDescent="0.25">
      <c r="A98" s="50" t="s">
        <v>1404</v>
      </c>
      <c r="B98" s="61" t="s">
        <v>431</v>
      </c>
      <c r="C98" s="14" t="s">
        <v>348</v>
      </c>
      <c r="D98" s="14">
        <v>2008</v>
      </c>
      <c r="E98" s="14" t="s">
        <v>360</v>
      </c>
      <c r="F98" s="14"/>
      <c r="G98" s="14"/>
      <c r="H98" s="14"/>
      <c r="I98" s="14"/>
      <c r="J98" s="13">
        <v>480000</v>
      </c>
      <c r="K98" s="14" t="s">
        <v>328</v>
      </c>
      <c r="L98" s="14"/>
      <c r="M98" s="14"/>
      <c r="N98" s="13">
        <v>8000</v>
      </c>
      <c r="O98" s="24">
        <v>0.5</v>
      </c>
      <c r="P98" s="14">
        <v>1</v>
      </c>
      <c r="Q98" s="14">
        <v>120</v>
      </c>
      <c r="R98" s="13">
        <v>600</v>
      </c>
      <c r="S98" s="14" t="s">
        <v>371</v>
      </c>
      <c r="T98" s="14">
        <v>5</v>
      </c>
      <c r="U98" s="14">
        <v>7</v>
      </c>
      <c r="V98" s="25">
        <v>538.59964093357269</v>
      </c>
      <c r="W98" s="26">
        <v>6000</v>
      </c>
      <c r="X98" s="14"/>
      <c r="Y98" s="14" t="s">
        <v>328</v>
      </c>
      <c r="Z98" s="14"/>
      <c r="AA98" s="14"/>
      <c r="AB98" s="14"/>
      <c r="AC98" s="14"/>
      <c r="AD98" s="14"/>
      <c r="AE98" s="14"/>
      <c r="AF98" s="14"/>
      <c r="AG98" s="14" t="s">
        <v>328</v>
      </c>
      <c r="AH98" s="14" t="s">
        <v>328</v>
      </c>
      <c r="AI98" s="14" t="s">
        <v>328</v>
      </c>
      <c r="AJ98" s="14"/>
      <c r="AK98" s="14" t="s">
        <v>328</v>
      </c>
      <c r="AL98" s="14" t="s">
        <v>328</v>
      </c>
      <c r="AM98" s="14" t="s">
        <v>328</v>
      </c>
      <c r="AN98" s="13">
        <v>7000</v>
      </c>
      <c r="AO98" s="13">
        <v>12000</v>
      </c>
      <c r="AP98" s="13">
        <v>50000</v>
      </c>
      <c r="AQ98" s="13">
        <v>50000</v>
      </c>
      <c r="AR98" s="13" t="s">
        <v>385</v>
      </c>
      <c r="AS98" s="26">
        <v>84000</v>
      </c>
      <c r="AT98" s="26">
        <v>0</v>
      </c>
      <c r="AU98" s="26">
        <v>96000</v>
      </c>
      <c r="AV98" s="26">
        <v>60000</v>
      </c>
      <c r="AW98" s="26">
        <v>8000</v>
      </c>
      <c r="AX98" s="62">
        <v>0</v>
      </c>
      <c r="AZ98" s="14" t="s">
        <v>348</v>
      </c>
      <c r="BA98" s="249">
        <f t="shared" si="3"/>
        <v>8</v>
      </c>
      <c r="BB98" s="249">
        <v>0</v>
      </c>
      <c r="BC98" s="249">
        <f t="shared" si="2"/>
        <v>2008</v>
      </c>
    </row>
    <row r="99" spans="1:55" x14ac:dyDescent="0.25">
      <c r="A99" s="50" t="s">
        <v>1404</v>
      </c>
      <c r="B99" s="61" t="s">
        <v>431</v>
      </c>
      <c r="C99" s="14" t="s">
        <v>348</v>
      </c>
      <c r="D99" s="14">
        <v>2008</v>
      </c>
      <c r="E99" s="14" t="s">
        <v>360</v>
      </c>
      <c r="F99" s="14"/>
      <c r="G99" s="14"/>
      <c r="H99" s="14"/>
      <c r="I99" s="14"/>
      <c r="J99" s="13">
        <v>480000</v>
      </c>
      <c r="K99" s="14" t="s">
        <v>328</v>
      </c>
      <c r="L99" s="14"/>
      <c r="M99" s="14"/>
      <c r="N99" s="13">
        <v>8000</v>
      </c>
      <c r="O99" s="24">
        <v>0.5</v>
      </c>
      <c r="P99" s="14">
        <v>1</v>
      </c>
      <c r="Q99" s="14">
        <v>120</v>
      </c>
      <c r="R99" s="13">
        <v>600</v>
      </c>
      <c r="S99" s="14" t="s">
        <v>371</v>
      </c>
      <c r="T99" s="14">
        <v>5</v>
      </c>
      <c r="U99" s="14">
        <v>7</v>
      </c>
      <c r="V99" s="25">
        <v>538.59964093357269</v>
      </c>
      <c r="W99" s="26">
        <v>6000</v>
      </c>
      <c r="X99" s="14"/>
      <c r="Y99" s="14" t="s">
        <v>328</v>
      </c>
      <c r="Z99" s="14"/>
      <c r="AA99" s="14"/>
      <c r="AB99" s="14"/>
      <c r="AC99" s="14"/>
      <c r="AD99" s="14"/>
      <c r="AE99" s="14"/>
      <c r="AF99" s="14"/>
      <c r="AG99" s="14" t="s">
        <v>328</v>
      </c>
      <c r="AH99" s="14" t="s">
        <v>328</v>
      </c>
      <c r="AI99" s="14" t="s">
        <v>328</v>
      </c>
      <c r="AJ99" s="14"/>
      <c r="AK99" s="14" t="s">
        <v>328</v>
      </c>
      <c r="AL99" s="14" t="s">
        <v>328</v>
      </c>
      <c r="AM99" s="14" t="s">
        <v>328</v>
      </c>
      <c r="AN99" s="13">
        <v>7000</v>
      </c>
      <c r="AO99" s="13">
        <v>12000</v>
      </c>
      <c r="AP99" s="13">
        <v>50000</v>
      </c>
      <c r="AQ99" s="13">
        <v>50000</v>
      </c>
      <c r="AR99" s="13" t="s">
        <v>385</v>
      </c>
      <c r="AS99" s="26">
        <v>84000</v>
      </c>
      <c r="AT99" s="26">
        <v>0</v>
      </c>
      <c r="AU99" s="26">
        <v>96000</v>
      </c>
      <c r="AV99" s="26">
        <v>60000</v>
      </c>
      <c r="AW99" s="26">
        <v>8000</v>
      </c>
      <c r="AX99" s="62">
        <v>0</v>
      </c>
      <c r="AZ99" s="14" t="s">
        <v>348</v>
      </c>
      <c r="BA99" s="249">
        <f t="shared" si="3"/>
        <v>8</v>
      </c>
      <c r="BB99" s="249">
        <v>0</v>
      </c>
      <c r="BC99" s="249">
        <f t="shared" si="2"/>
        <v>2008</v>
      </c>
    </row>
    <row r="100" spans="1:55" x14ac:dyDescent="0.25">
      <c r="A100" s="50" t="s">
        <v>1404</v>
      </c>
      <c r="B100" s="61" t="s">
        <v>431</v>
      </c>
      <c r="C100" s="14" t="s">
        <v>348</v>
      </c>
      <c r="D100" s="14">
        <v>2008</v>
      </c>
      <c r="E100" s="14" t="s">
        <v>360</v>
      </c>
      <c r="F100" s="14"/>
      <c r="G100" s="14"/>
      <c r="H100" s="14"/>
      <c r="I100" s="14"/>
      <c r="J100" s="13">
        <v>480000</v>
      </c>
      <c r="K100" s="14" t="s">
        <v>328</v>
      </c>
      <c r="L100" s="14"/>
      <c r="M100" s="14"/>
      <c r="N100" s="13">
        <v>8000</v>
      </c>
      <c r="O100" s="24">
        <v>0.5</v>
      </c>
      <c r="P100" s="14">
        <v>1</v>
      </c>
      <c r="Q100" s="14">
        <v>120</v>
      </c>
      <c r="R100" s="13">
        <v>600</v>
      </c>
      <c r="S100" s="14" t="s">
        <v>371</v>
      </c>
      <c r="T100" s="14">
        <v>5</v>
      </c>
      <c r="U100" s="14">
        <v>7</v>
      </c>
      <c r="V100" s="25">
        <v>538.59964093357269</v>
      </c>
      <c r="W100" s="26">
        <v>6000</v>
      </c>
      <c r="X100" s="14"/>
      <c r="Y100" s="14" t="s">
        <v>328</v>
      </c>
      <c r="Z100" s="14"/>
      <c r="AA100" s="14"/>
      <c r="AB100" s="14"/>
      <c r="AC100" s="14"/>
      <c r="AD100" s="14"/>
      <c r="AE100" s="14"/>
      <c r="AF100" s="14"/>
      <c r="AG100" s="14" t="s">
        <v>328</v>
      </c>
      <c r="AH100" s="14" t="s">
        <v>328</v>
      </c>
      <c r="AI100" s="14" t="s">
        <v>328</v>
      </c>
      <c r="AJ100" s="14"/>
      <c r="AK100" s="14" t="s">
        <v>328</v>
      </c>
      <c r="AL100" s="14" t="s">
        <v>328</v>
      </c>
      <c r="AM100" s="14" t="s">
        <v>328</v>
      </c>
      <c r="AN100" s="13">
        <v>7000</v>
      </c>
      <c r="AO100" s="13">
        <v>12000</v>
      </c>
      <c r="AP100" s="13">
        <v>50000</v>
      </c>
      <c r="AQ100" s="13">
        <v>50000</v>
      </c>
      <c r="AR100" s="13" t="s">
        <v>385</v>
      </c>
      <c r="AS100" s="26">
        <v>84000</v>
      </c>
      <c r="AT100" s="26">
        <v>0</v>
      </c>
      <c r="AU100" s="26">
        <v>96000</v>
      </c>
      <c r="AV100" s="26">
        <v>60000</v>
      </c>
      <c r="AW100" s="26">
        <v>8000</v>
      </c>
      <c r="AX100" s="62">
        <v>0</v>
      </c>
      <c r="AZ100" s="14" t="s">
        <v>348</v>
      </c>
      <c r="BA100" s="249">
        <f t="shared" si="3"/>
        <v>8</v>
      </c>
      <c r="BB100" s="249">
        <v>0</v>
      </c>
      <c r="BC100" s="249">
        <f t="shared" si="2"/>
        <v>2008</v>
      </c>
    </row>
    <row r="101" spans="1:55" x14ac:dyDescent="0.25">
      <c r="A101" s="50" t="s">
        <v>1404</v>
      </c>
      <c r="B101" s="61" t="s">
        <v>431</v>
      </c>
      <c r="C101" s="14" t="s">
        <v>348</v>
      </c>
      <c r="D101" s="14">
        <v>2008</v>
      </c>
      <c r="E101" s="14" t="s">
        <v>360</v>
      </c>
      <c r="F101" s="14"/>
      <c r="G101" s="14"/>
      <c r="H101" s="14"/>
      <c r="I101" s="14"/>
      <c r="J101" s="13">
        <v>480000</v>
      </c>
      <c r="K101" s="14" t="s">
        <v>328</v>
      </c>
      <c r="L101" s="14"/>
      <c r="M101" s="14"/>
      <c r="N101" s="13">
        <v>8000</v>
      </c>
      <c r="O101" s="24">
        <v>0.5</v>
      </c>
      <c r="P101" s="14">
        <v>1</v>
      </c>
      <c r="Q101" s="14">
        <v>120</v>
      </c>
      <c r="R101" s="13">
        <v>600</v>
      </c>
      <c r="S101" s="14" t="s">
        <v>371</v>
      </c>
      <c r="T101" s="14">
        <v>5</v>
      </c>
      <c r="U101" s="14">
        <v>7</v>
      </c>
      <c r="V101" s="25">
        <v>538.59964093357269</v>
      </c>
      <c r="W101" s="26">
        <v>6000</v>
      </c>
      <c r="X101" s="14"/>
      <c r="Y101" s="14" t="s">
        <v>328</v>
      </c>
      <c r="Z101" s="14"/>
      <c r="AA101" s="14"/>
      <c r="AB101" s="14"/>
      <c r="AC101" s="14"/>
      <c r="AD101" s="14"/>
      <c r="AE101" s="14"/>
      <c r="AF101" s="14"/>
      <c r="AG101" s="14" t="s">
        <v>328</v>
      </c>
      <c r="AH101" s="14" t="s">
        <v>328</v>
      </c>
      <c r="AI101" s="14" t="s">
        <v>328</v>
      </c>
      <c r="AJ101" s="14"/>
      <c r="AK101" s="14" t="s">
        <v>328</v>
      </c>
      <c r="AL101" s="14" t="s">
        <v>328</v>
      </c>
      <c r="AM101" s="14" t="s">
        <v>328</v>
      </c>
      <c r="AN101" s="13">
        <v>7000</v>
      </c>
      <c r="AO101" s="13">
        <v>12000</v>
      </c>
      <c r="AP101" s="13">
        <v>50000</v>
      </c>
      <c r="AQ101" s="13">
        <v>50000</v>
      </c>
      <c r="AR101" s="13" t="s">
        <v>385</v>
      </c>
      <c r="AS101" s="26">
        <v>84000</v>
      </c>
      <c r="AT101" s="26">
        <v>0</v>
      </c>
      <c r="AU101" s="26">
        <v>96000</v>
      </c>
      <c r="AV101" s="26">
        <v>60000</v>
      </c>
      <c r="AW101" s="26">
        <v>8000</v>
      </c>
      <c r="AX101" s="62">
        <v>0</v>
      </c>
      <c r="AZ101" s="14" t="s">
        <v>348</v>
      </c>
      <c r="BA101" s="249">
        <f t="shared" si="3"/>
        <v>8</v>
      </c>
      <c r="BB101" s="249">
        <v>0</v>
      </c>
      <c r="BC101" s="249">
        <f t="shared" si="2"/>
        <v>2008</v>
      </c>
    </row>
    <row r="102" spans="1:55" x14ac:dyDescent="0.25">
      <c r="A102" s="50" t="s">
        <v>1404</v>
      </c>
      <c r="B102" s="61" t="s">
        <v>431</v>
      </c>
      <c r="C102" s="14" t="s">
        <v>348</v>
      </c>
      <c r="D102" s="14">
        <v>2008</v>
      </c>
      <c r="E102" s="14" t="s">
        <v>360</v>
      </c>
      <c r="F102" s="14"/>
      <c r="G102" s="14"/>
      <c r="H102" s="14"/>
      <c r="I102" s="14"/>
      <c r="J102" s="13">
        <v>480000</v>
      </c>
      <c r="K102" s="14" t="s">
        <v>328</v>
      </c>
      <c r="L102" s="14"/>
      <c r="M102" s="14"/>
      <c r="N102" s="13">
        <v>8000</v>
      </c>
      <c r="O102" s="24">
        <v>0.5</v>
      </c>
      <c r="P102" s="14">
        <v>1</v>
      </c>
      <c r="Q102" s="14">
        <v>120</v>
      </c>
      <c r="R102" s="13">
        <v>600</v>
      </c>
      <c r="S102" s="14" t="s">
        <v>371</v>
      </c>
      <c r="T102" s="14">
        <v>5</v>
      </c>
      <c r="U102" s="14">
        <v>7</v>
      </c>
      <c r="V102" s="25">
        <v>538.59964093357269</v>
      </c>
      <c r="W102" s="26">
        <v>6000</v>
      </c>
      <c r="X102" s="14"/>
      <c r="Y102" s="14" t="s">
        <v>328</v>
      </c>
      <c r="Z102" s="14"/>
      <c r="AA102" s="14"/>
      <c r="AB102" s="14"/>
      <c r="AC102" s="14"/>
      <c r="AD102" s="14"/>
      <c r="AE102" s="14"/>
      <c r="AF102" s="14"/>
      <c r="AG102" s="14" t="s">
        <v>328</v>
      </c>
      <c r="AH102" s="14" t="s">
        <v>328</v>
      </c>
      <c r="AI102" s="14" t="s">
        <v>328</v>
      </c>
      <c r="AJ102" s="14"/>
      <c r="AK102" s="14" t="s">
        <v>328</v>
      </c>
      <c r="AL102" s="14" t="s">
        <v>328</v>
      </c>
      <c r="AM102" s="14" t="s">
        <v>328</v>
      </c>
      <c r="AN102" s="13">
        <v>7000</v>
      </c>
      <c r="AO102" s="13">
        <v>12000</v>
      </c>
      <c r="AP102" s="13">
        <v>50000</v>
      </c>
      <c r="AQ102" s="13">
        <v>50000</v>
      </c>
      <c r="AR102" s="13" t="s">
        <v>385</v>
      </c>
      <c r="AS102" s="26">
        <v>84000</v>
      </c>
      <c r="AT102" s="26">
        <v>0</v>
      </c>
      <c r="AU102" s="26">
        <v>96000</v>
      </c>
      <c r="AV102" s="26">
        <v>60000</v>
      </c>
      <c r="AW102" s="26">
        <v>8000</v>
      </c>
      <c r="AX102" s="62">
        <v>0</v>
      </c>
      <c r="AZ102" s="14" t="s">
        <v>348</v>
      </c>
      <c r="BA102" s="249">
        <f t="shared" si="3"/>
        <v>8</v>
      </c>
      <c r="BB102" s="249">
        <v>0</v>
      </c>
      <c r="BC102" s="249">
        <f t="shared" si="2"/>
        <v>2008</v>
      </c>
    </row>
    <row r="103" spans="1:55" x14ac:dyDescent="0.25">
      <c r="A103" s="50" t="s">
        <v>1404</v>
      </c>
      <c r="B103" s="61" t="s">
        <v>431</v>
      </c>
      <c r="C103" s="14" t="s">
        <v>348</v>
      </c>
      <c r="D103" s="14">
        <v>2009</v>
      </c>
      <c r="E103" s="14" t="s">
        <v>360</v>
      </c>
      <c r="F103" s="14"/>
      <c r="G103" s="14"/>
      <c r="H103" s="14"/>
      <c r="I103" s="14"/>
      <c r="J103" s="13">
        <v>480000</v>
      </c>
      <c r="K103" s="14" t="s">
        <v>328</v>
      </c>
      <c r="L103" s="14"/>
      <c r="M103" s="14"/>
      <c r="N103" s="13">
        <v>8000</v>
      </c>
      <c r="O103" s="24">
        <v>0.5</v>
      </c>
      <c r="P103" s="14">
        <v>1</v>
      </c>
      <c r="Q103" s="14">
        <v>120</v>
      </c>
      <c r="R103" s="13">
        <v>600</v>
      </c>
      <c r="S103" s="14" t="s">
        <v>371</v>
      </c>
      <c r="T103" s="14">
        <v>5</v>
      </c>
      <c r="U103" s="14">
        <v>7</v>
      </c>
      <c r="V103" s="25">
        <v>538.59964093357269</v>
      </c>
      <c r="W103" s="26">
        <v>6000</v>
      </c>
      <c r="X103" s="14"/>
      <c r="Y103" s="14"/>
      <c r="Z103" s="14"/>
      <c r="AA103" s="14"/>
      <c r="AB103" s="14" t="s">
        <v>328</v>
      </c>
      <c r="AC103" s="14"/>
      <c r="AD103" s="14"/>
      <c r="AE103" s="14"/>
      <c r="AF103" s="14"/>
      <c r="AG103" s="14" t="s">
        <v>328</v>
      </c>
      <c r="AH103" s="14" t="s">
        <v>328</v>
      </c>
      <c r="AI103" s="14" t="s">
        <v>328</v>
      </c>
      <c r="AJ103" s="14"/>
      <c r="AK103" s="14" t="s">
        <v>328</v>
      </c>
      <c r="AL103" s="14" t="s">
        <v>328</v>
      </c>
      <c r="AM103" s="14" t="s">
        <v>328</v>
      </c>
      <c r="AN103" s="13">
        <v>7000</v>
      </c>
      <c r="AO103" s="13">
        <v>12000</v>
      </c>
      <c r="AP103" s="13">
        <v>50000</v>
      </c>
      <c r="AQ103" s="13">
        <v>50000</v>
      </c>
      <c r="AR103" s="13" t="s">
        <v>385</v>
      </c>
      <c r="AS103" s="26">
        <v>84000</v>
      </c>
      <c r="AT103" s="26">
        <v>0</v>
      </c>
      <c r="AU103" s="26">
        <v>96000</v>
      </c>
      <c r="AV103" s="26">
        <v>60000</v>
      </c>
      <c r="AW103" s="26">
        <v>8000</v>
      </c>
      <c r="AX103" s="62">
        <v>0</v>
      </c>
      <c r="AZ103" s="14" t="s">
        <v>348</v>
      </c>
      <c r="BA103" s="249">
        <f t="shared" si="3"/>
        <v>8</v>
      </c>
      <c r="BB103" s="249">
        <v>0</v>
      </c>
      <c r="BC103" s="249">
        <f t="shared" si="2"/>
        <v>2009</v>
      </c>
    </row>
    <row r="104" spans="1:55" x14ac:dyDescent="0.25">
      <c r="A104" s="50" t="s">
        <v>1404</v>
      </c>
      <c r="B104" s="61" t="s">
        <v>431</v>
      </c>
      <c r="C104" s="14" t="s">
        <v>348</v>
      </c>
      <c r="D104" s="14">
        <v>2009</v>
      </c>
      <c r="E104" s="14" t="s">
        <v>360</v>
      </c>
      <c r="F104" s="14"/>
      <c r="G104" s="14"/>
      <c r="H104" s="14"/>
      <c r="I104" s="14"/>
      <c r="J104" s="13">
        <v>480000</v>
      </c>
      <c r="K104" s="14" t="s">
        <v>328</v>
      </c>
      <c r="L104" s="14"/>
      <c r="M104" s="14"/>
      <c r="N104" s="13">
        <v>8000</v>
      </c>
      <c r="O104" s="24">
        <v>0.5</v>
      </c>
      <c r="P104" s="14">
        <v>1</v>
      </c>
      <c r="Q104" s="14">
        <v>120</v>
      </c>
      <c r="R104" s="13">
        <v>600</v>
      </c>
      <c r="S104" s="14" t="s">
        <v>371</v>
      </c>
      <c r="T104" s="14">
        <v>5</v>
      </c>
      <c r="U104" s="14">
        <v>7</v>
      </c>
      <c r="V104" s="25">
        <v>538.59964093357269</v>
      </c>
      <c r="W104" s="26">
        <v>6000</v>
      </c>
      <c r="X104" s="14"/>
      <c r="Y104" s="14"/>
      <c r="Z104" s="14"/>
      <c r="AA104" s="14"/>
      <c r="AB104" s="14" t="s">
        <v>328</v>
      </c>
      <c r="AC104" s="14"/>
      <c r="AD104" s="14"/>
      <c r="AE104" s="14"/>
      <c r="AF104" s="14"/>
      <c r="AG104" s="14" t="s">
        <v>328</v>
      </c>
      <c r="AH104" s="14" t="s">
        <v>328</v>
      </c>
      <c r="AI104" s="14" t="s">
        <v>328</v>
      </c>
      <c r="AJ104" s="14"/>
      <c r="AK104" s="14" t="s">
        <v>328</v>
      </c>
      <c r="AL104" s="14" t="s">
        <v>328</v>
      </c>
      <c r="AM104" s="14" t="s">
        <v>328</v>
      </c>
      <c r="AN104" s="13">
        <v>7000</v>
      </c>
      <c r="AO104" s="13">
        <v>12000</v>
      </c>
      <c r="AP104" s="13">
        <v>50000</v>
      </c>
      <c r="AQ104" s="13">
        <v>50000</v>
      </c>
      <c r="AR104" s="13" t="s">
        <v>385</v>
      </c>
      <c r="AS104" s="26">
        <v>84000</v>
      </c>
      <c r="AT104" s="26">
        <v>0</v>
      </c>
      <c r="AU104" s="26">
        <v>96000</v>
      </c>
      <c r="AV104" s="26">
        <v>60000</v>
      </c>
      <c r="AW104" s="26">
        <v>8000</v>
      </c>
      <c r="AX104" s="62">
        <v>0</v>
      </c>
      <c r="AZ104" s="14" t="s">
        <v>348</v>
      </c>
      <c r="BA104" s="249">
        <f t="shared" si="3"/>
        <v>8</v>
      </c>
      <c r="BB104" s="249">
        <v>0</v>
      </c>
      <c r="BC104" s="249">
        <f t="shared" si="2"/>
        <v>2009</v>
      </c>
    </row>
    <row r="105" spans="1:55" x14ac:dyDescent="0.25">
      <c r="A105" s="50" t="s">
        <v>1404</v>
      </c>
      <c r="B105" s="61" t="s">
        <v>431</v>
      </c>
      <c r="C105" s="14" t="s">
        <v>348</v>
      </c>
      <c r="D105" s="14">
        <v>2010</v>
      </c>
      <c r="E105" s="14" t="s">
        <v>360</v>
      </c>
      <c r="F105" s="14"/>
      <c r="G105" s="14"/>
      <c r="H105" s="14"/>
      <c r="I105" s="14"/>
      <c r="J105" s="13">
        <v>480000</v>
      </c>
      <c r="K105" s="14" t="s">
        <v>328</v>
      </c>
      <c r="L105" s="14"/>
      <c r="M105" s="14"/>
      <c r="N105" s="13">
        <v>8000</v>
      </c>
      <c r="O105" s="24">
        <v>0.5</v>
      </c>
      <c r="P105" s="14">
        <v>1</v>
      </c>
      <c r="Q105" s="14">
        <v>120</v>
      </c>
      <c r="R105" s="13">
        <v>600</v>
      </c>
      <c r="S105" s="14" t="s">
        <v>371</v>
      </c>
      <c r="T105" s="14">
        <v>5</v>
      </c>
      <c r="U105" s="14">
        <v>7</v>
      </c>
      <c r="V105" s="25">
        <v>538.59964093357269</v>
      </c>
      <c r="W105" s="26">
        <v>6000</v>
      </c>
      <c r="X105" s="14"/>
      <c r="Y105" s="14"/>
      <c r="Z105" s="14"/>
      <c r="AA105" s="14"/>
      <c r="AB105" s="14" t="s">
        <v>328</v>
      </c>
      <c r="AC105" s="14"/>
      <c r="AD105" s="14"/>
      <c r="AE105" s="14"/>
      <c r="AF105" s="14"/>
      <c r="AG105" s="14" t="s">
        <v>328</v>
      </c>
      <c r="AH105" s="14" t="s">
        <v>328</v>
      </c>
      <c r="AI105" s="14" t="s">
        <v>328</v>
      </c>
      <c r="AJ105" s="14"/>
      <c r="AK105" s="14" t="s">
        <v>328</v>
      </c>
      <c r="AL105" s="14" t="s">
        <v>328</v>
      </c>
      <c r="AM105" s="14" t="s">
        <v>328</v>
      </c>
      <c r="AN105" s="13">
        <v>7000</v>
      </c>
      <c r="AO105" s="13">
        <v>12000</v>
      </c>
      <c r="AP105" s="13">
        <v>50000</v>
      </c>
      <c r="AQ105" s="13">
        <v>50000</v>
      </c>
      <c r="AR105" s="13" t="s">
        <v>385</v>
      </c>
      <c r="AS105" s="26">
        <v>84000</v>
      </c>
      <c r="AT105" s="26">
        <v>0</v>
      </c>
      <c r="AU105" s="26">
        <v>96000</v>
      </c>
      <c r="AV105" s="26">
        <v>60000</v>
      </c>
      <c r="AW105" s="26">
        <v>8000</v>
      </c>
      <c r="AX105" s="62">
        <v>0</v>
      </c>
      <c r="AZ105" s="14" t="s">
        <v>348</v>
      </c>
      <c r="BA105" s="249">
        <f t="shared" si="3"/>
        <v>8</v>
      </c>
      <c r="BB105" s="249">
        <v>0</v>
      </c>
      <c r="BC105" s="249">
        <f t="shared" si="2"/>
        <v>2010</v>
      </c>
    </row>
    <row r="106" spans="1:55" x14ac:dyDescent="0.25">
      <c r="A106" s="50" t="s">
        <v>1404</v>
      </c>
      <c r="B106" s="61" t="s">
        <v>434</v>
      </c>
      <c r="C106" s="14" t="s">
        <v>348</v>
      </c>
      <c r="D106" s="14">
        <v>2006</v>
      </c>
      <c r="E106" s="14" t="s">
        <v>384</v>
      </c>
      <c r="F106" s="14"/>
      <c r="G106" s="14"/>
      <c r="H106" s="14"/>
      <c r="I106" s="14"/>
      <c r="J106" s="13">
        <v>420000</v>
      </c>
      <c r="K106" s="14" t="s">
        <v>328</v>
      </c>
      <c r="L106" s="14"/>
      <c r="M106" s="14"/>
      <c r="N106" s="13">
        <v>5000</v>
      </c>
      <c r="O106" s="24">
        <v>0.5</v>
      </c>
      <c r="P106" s="14">
        <v>1</v>
      </c>
      <c r="Q106" s="14">
        <v>200</v>
      </c>
      <c r="R106" s="13">
        <v>400</v>
      </c>
      <c r="S106" s="14" t="s">
        <v>371</v>
      </c>
      <c r="T106" s="14">
        <v>2</v>
      </c>
      <c r="U106" s="14">
        <v>2.8</v>
      </c>
      <c r="V106" s="25">
        <v>718.13285457809695</v>
      </c>
      <c r="W106" s="26">
        <v>8000</v>
      </c>
      <c r="X106" s="14"/>
      <c r="Y106" s="14" t="s">
        <v>328</v>
      </c>
      <c r="Z106" s="14"/>
      <c r="AA106" s="14"/>
      <c r="AB106" s="14"/>
      <c r="AC106" s="14"/>
      <c r="AD106" s="14"/>
      <c r="AE106" s="14"/>
      <c r="AF106" s="14"/>
      <c r="AG106" s="14" t="s">
        <v>328</v>
      </c>
      <c r="AH106" s="14" t="s">
        <v>328</v>
      </c>
      <c r="AI106" s="14" t="s">
        <v>328</v>
      </c>
      <c r="AJ106" s="14"/>
      <c r="AK106" s="14" t="s">
        <v>328</v>
      </c>
      <c r="AL106" s="14" t="s">
        <v>328</v>
      </c>
      <c r="AM106" s="14"/>
      <c r="AN106" s="13">
        <v>5000</v>
      </c>
      <c r="AO106" s="13">
        <v>5000</v>
      </c>
      <c r="AP106" s="13">
        <v>10000</v>
      </c>
      <c r="AQ106" s="13">
        <v>30000</v>
      </c>
      <c r="AR106" s="13" t="s">
        <v>385</v>
      </c>
      <c r="AS106" s="26">
        <v>72000</v>
      </c>
      <c r="AT106" s="26">
        <v>42000</v>
      </c>
      <c r="AU106" s="26">
        <v>10000</v>
      </c>
      <c r="AV106" s="26">
        <v>6000</v>
      </c>
      <c r="AW106" s="26">
        <v>8000</v>
      </c>
      <c r="AX106" s="62">
        <v>0</v>
      </c>
      <c r="AZ106" s="14" t="s">
        <v>348</v>
      </c>
      <c r="BA106" s="249">
        <f t="shared" si="3"/>
        <v>3</v>
      </c>
      <c r="BB106" s="249">
        <v>0</v>
      </c>
      <c r="BC106" s="249">
        <f t="shared" si="2"/>
        <v>2006</v>
      </c>
    </row>
    <row r="107" spans="1:55" x14ac:dyDescent="0.25">
      <c r="A107" s="50" t="s">
        <v>1404</v>
      </c>
      <c r="B107" s="61" t="s">
        <v>434</v>
      </c>
      <c r="C107" s="14" t="s">
        <v>348</v>
      </c>
      <c r="D107" s="14">
        <v>2006</v>
      </c>
      <c r="E107" s="14" t="s">
        <v>384</v>
      </c>
      <c r="F107" s="14"/>
      <c r="G107" s="14"/>
      <c r="H107" s="14"/>
      <c r="I107" s="14"/>
      <c r="J107" s="13">
        <v>420000</v>
      </c>
      <c r="K107" s="14" t="s">
        <v>328</v>
      </c>
      <c r="L107" s="14"/>
      <c r="M107" s="14"/>
      <c r="N107" s="13">
        <v>5000</v>
      </c>
      <c r="O107" s="24">
        <v>0.5</v>
      </c>
      <c r="P107" s="14">
        <v>1</v>
      </c>
      <c r="Q107" s="14">
        <v>200</v>
      </c>
      <c r="R107" s="13">
        <v>400</v>
      </c>
      <c r="S107" s="14" t="s">
        <v>371</v>
      </c>
      <c r="T107" s="14">
        <v>2</v>
      </c>
      <c r="U107" s="14">
        <v>2.8</v>
      </c>
      <c r="V107" s="25">
        <v>718.13285457809695</v>
      </c>
      <c r="W107" s="26">
        <v>8000</v>
      </c>
      <c r="X107" s="14"/>
      <c r="Y107" s="14" t="s">
        <v>328</v>
      </c>
      <c r="Z107" s="14"/>
      <c r="AA107" s="14"/>
      <c r="AB107" s="14"/>
      <c r="AC107" s="14"/>
      <c r="AD107" s="14"/>
      <c r="AE107" s="14"/>
      <c r="AF107" s="14"/>
      <c r="AG107" s="14" t="s">
        <v>328</v>
      </c>
      <c r="AH107" s="14" t="s">
        <v>328</v>
      </c>
      <c r="AI107" s="14" t="s">
        <v>328</v>
      </c>
      <c r="AJ107" s="14"/>
      <c r="AK107" s="14" t="s">
        <v>328</v>
      </c>
      <c r="AL107" s="14" t="s">
        <v>328</v>
      </c>
      <c r="AM107" s="14"/>
      <c r="AN107" s="13">
        <v>5000</v>
      </c>
      <c r="AO107" s="13">
        <v>5000</v>
      </c>
      <c r="AP107" s="13">
        <v>10000</v>
      </c>
      <c r="AQ107" s="13">
        <v>30000</v>
      </c>
      <c r="AR107" s="13" t="s">
        <v>385</v>
      </c>
      <c r="AS107" s="26">
        <v>72000</v>
      </c>
      <c r="AT107" s="26">
        <v>42000</v>
      </c>
      <c r="AU107" s="26">
        <v>10000</v>
      </c>
      <c r="AV107" s="26">
        <v>6000</v>
      </c>
      <c r="AW107" s="26">
        <v>8000</v>
      </c>
      <c r="AX107" s="62">
        <v>0</v>
      </c>
      <c r="AZ107" s="14" t="s">
        <v>348</v>
      </c>
      <c r="BA107" s="249">
        <f t="shared" si="3"/>
        <v>3</v>
      </c>
      <c r="BB107" s="249">
        <v>0</v>
      </c>
      <c r="BC107" s="249">
        <f t="shared" si="2"/>
        <v>2006</v>
      </c>
    </row>
    <row r="108" spans="1:55" x14ac:dyDescent="0.25">
      <c r="A108" s="50" t="s">
        <v>1404</v>
      </c>
      <c r="B108" s="61" t="s">
        <v>434</v>
      </c>
      <c r="C108" s="14" t="s">
        <v>348</v>
      </c>
      <c r="D108" s="14">
        <v>2006</v>
      </c>
      <c r="E108" s="14" t="s">
        <v>384</v>
      </c>
      <c r="F108" s="14"/>
      <c r="G108" s="14"/>
      <c r="H108" s="14"/>
      <c r="I108" s="14"/>
      <c r="J108" s="13">
        <v>420000</v>
      </c>
      <c r="K108" s="14" t="s">
        <v>328</v>
      </c>
      <c r="L108" s="14"/>
      <c r="M108" s="14"/>
      <c r="N108" s="13">
        <v>5000</v>
      </c>
      <c r="O108" s="24">
        <v>0.5</v>
      </c>
      <c r="P108" s="14">
        <v>1</v>
      </c>
      <c r="Q108" s="14">
        <v>200</v>
      </c>
      <c r="R108" s="13">
        <v>400</v>
      </c>
      <c r="S108" s="14" t="s">
        <v>371</v>
      </c>
      <c r="T108" s="14">
        <v>2</v>
      </c>
      <c r="U108" s="14">
        <v>2.8</v>
      </c>
      <c r="V108" s="25">
        <v>718.13285457809695</v>
      </c>
      <c r="W108" s="26">
        <v>8000</v>
      </c>
      <c r="X108" s="14"/>
      <c r="Y108" s="14" t="s">
        <v>328</v>
      </c>
      <c r="Z108" s="14"/>
      <c r="AA108" s="14"/>
      <c r="AB108" s="14"/>
      <c r="AC108" s="14"/>
      <c r="AD108" s="14"/>
      <c r="AE108" s="14"/>
      <c r="AF108" s="14"/>
      <c r="AG108" s="14" t="s">
        <v>328</v>
      </c>
      <c r="AH108" s="14" t="s">
        <v>328</v>
      </c>
      <c r="AI108" s="14" t="s">
        <v>328</v>
      </c>
      <c r="AJ108" s="14"/>
      <c r="AK108" s="14" t="s">
        <v>328</v>
      </c>
      <c r="AL108" s="14" t="s">
        <v>328</v>
      </c>
      <c r="AM108" s="14"/>
      <c r="AN108" s="13">
        <v>5000</v>
      </c>
      <c r="AO108" s="13">
        <v>5000</v>
      </c>
      <c r="AP108" s="13">
        <v>10000</v>
      </c>
      <c r="AQ108" s="13">
        <v>30000</v>
      </c>
      <c r="AR108" s="13" t="s">
        <v>385</v>
      </c>
      <c r="AS108" s="26">
        <v>72000</v>
      </c>
      <c r="AT108" s="26">
        <v>42000</v>
      </c>
      <c r="AU108" s="26">
        <v>10000</v>
      </c>
      <c r="AV108" s="26">
        <v>6000</v>
      </c>
      <c r="AW108" s="26">
        <v>8000</v>
      </c>
      <c r="AX108" s="62">
        <v>0</v>
      </c>
      <c r="AZ108" s="14" t="s">
        <v>348</v>
      </c>
      <c r="BA108" s="249">
        <f t="shared" si="3"/>
        <v>3</v>
      </c>
      <c r="BB108" s="249">
        <v>0</v>
      </c>
      <c r="BC108" s="249">
        <f t="shared" si="2"/>
        <v>2006</v>
      </c>
    </row>
    <row r="109" spans="1:55" x14ac:dyDescent="0.25">
      <c r="A109" s="50" t="s">
        <v>1404</v>
      </c>
      <c r="B109" s="61" t="s">
        <v>436</v>
      </c>
      <c r="C109" s="14" t="s">
        <v>351</v>
      </c>
      <c r="D109" s="14">
        <v>2005</v>
      </c>
      <c r="E109" s="14" t="s">
        <v>338</v>
      </c>
      <c r="F109" s="14"/>
      <c r="G109" s="14"/>
      <c r="H109" s="14"/>
      <c r="I109" s="14"/>
      <c r="J109" s="13">
        <v>1000000</v>
      </c>
      <c r="K109" s="14" t="s">
        <v>328</v>
      </c>
      <c r="L109" s="14"/>
      <c r="M109" s="14"/>
      <c r="N109" s="13">
        <v>10000</v>
      </c>
      <c r="O109" s="24">
        <v>0.3</v>
      </c>
      <c r="P109" s="14">
        <v>3</v>
      </c>
      <c r="Q109" s="14">
        <v>450</v>
      </c>
      <c r="R109" s="13">
        <v>2700</v>
      </c>
      <c r="S109" s="14" t="s">
        <v>340</v>
      </c>
      <c r="T109" s="14">
        <v>2</v>
      </c>
      <c r="U109" s="14">
        <v>2.5</v>
      </c>
      <c r="V109" s="25">
        <v>448.83303411131055</v>
      </c>
      <c r="W109" s="26">
        <v>5000</v>
      </c>
      <c r="X109" s="14"/>
      <c r="Y109" s="14"/>
      <c r="Z109" s="14"/>
      <c r="AA109" s="14"/>
      <c r="AB109" s="14" t="s">
        <v>328</v>
      </c>
      <c r="AC109" s="14"/>
      <c r="AD109" s="14"/>
      <c r="AE109" s="14" t="s">
        <v>328</v>
      </c>
      <c r="AF109" s="14"/>
      <c r="AG109" s="14" t="s">
        <v>328</v>
      </c>
      <c r="AH109" s="14" t="s">
        <v>328</v>
      </c>
      <c r="AI109" s="14" t="s">
        <v>328</v>
      </c>
      <c r="AJ109" s="14"/>
      <c r="AK109" s="14" t="s">
        <v>328</v>
      </c>
      <c r="AL109" s="14" t="s">
        <v>328</v>
      </c>
      <c r="AM109" s="14"/>
      <c r="AN109" s="13">
        <v>12000</v>
      </c>
      <c r="AO109" s="13">
        <v>6000</v>
      </c>
      <c r="AP109" s="13">
        <v>6000</v>
      </c>
      <c r="AQ109" s="13">
        <v>60000</v>
      </c>
      <c r="AR109" s="13">
        <v>12000</v>
      </c>
      <c r="AS109" s="26">
        <v>72000</v>
      </c>
      <c r="AT109" s="26">
        <v>48000</v>
      </c>
      <c r="AU109" s="26">
        <v>4000</v>
      </c>
      <c r="AV109" s="26">
        <v>48000</v>
      </c>
      <c r="AW109" s="26">
        <v>7000</v>
      </c>
      <c r="AX109" s="62">
        <v>0</v>
      </c>
      <c r="AZ109" s="14" t="s">
        <v>351</v>
      </c>
      <c r="BA109" s="249">
        <f t="shared" si="3"/>
        <v>6</v>
      </c>
      <c r="BB109" s="249">
        <v>0</v>
      </c>
      <c r="BC109" s="249">
        <f t="shared" si="2"/>
        <v>2005</v>
      </c>
    </row>
    <row r="110" spans="1:55" x14ac:dyDescent="0.25">
      <c r="A110" s="50" t="s">
        <v>1404</v>
      </c>
      <c r="B110" s="61" t="s">
        <v>436</v>
      </c>
      <c r="C110" s="14" t="s">
        <v>351</v>
      </c>
      <c r="D110" s="14">
        <v>2005</v>
      </c>
      <c r="E110" s="14" t="s">
        <v>338</v>
      </c>
      <c r="F110" s="14"/>
      <c r="G110" s="14"/>
      <c r="H110" s="14"/>
      <c r="I110" s="14"/>
      <c r="J110" s="13">
        <v>1000000</v>
      </c>
      <c r="K110" s="14" t="s">
        <v>328</v>
      </c>
      <c r="L110" s="14"/>
      <c r="M110" s="14"/>
      <c r="N110" s="13">
        <v>10000</v>
      </c>
      <c r="O110" s="24">
        <v>0.3</v>
      </c>
      <c r="P110" s="14">
        <v>3</v>
      </c>
      <c r="Q110" s="14">
        <v>450</v>
      </c>
      <c r="R110" s="13">
        <v>2700</v>
      </c>
      <c r="S110" s="14" t="s">
        <v>340</v>
      </c>
      <c r="T110" s="14">
        <v>2</v>
      </c>
      <c r="U110" s="14">
        <v>2.5</v>
      </c>
      <c r="V110" s="25">
        <v>448.83303411131055</v>
      </c>
      <c r="W110" s="26">
        <v>5000</v>
      </c>
      <c r="X110" s="14"/>
      <c r="Y110" s="14"/>
      <c r="Z110" s="14"/>
      <c r="AA110" s="14"/>
      <c r="AB110" s="14" t="s">
        <v>328</v>
      </c>
      <c r="AC110" s="14"/>
      <c r="AD110" s="14"/>
      <c r="AE110" s="14" t="s">
        <v>328</v>
      </c>
      <c r="AF110" s="14"/>
      <c r="AG110" s="14" t="s">
        <v>328</v>
      </c>
      <c r="AH110" s="14" t="s">
        <v>328</v>
      </c>
      <c r="AI110" s="14" t="s">
        <v>328</v>
      </c>
      <c r="AJ110" s="14"/>
      <c r="AK110" s="14" t="s">
        <v>328</v>
      </c>
      <c r="AL110" s="14" t="s">
        <v>328</v>
      </c>
      <c r="AM110" s="14"/>
      <c r="AN110" s="13">
        <v>12000</v>
      </c>
      <c r="AO110" s="13">
        <v>6000</v>
      </c>
      <c r="AP110" s="13">
        <v>6000</v>
      </c>
      <c r="AQ110" s="13">
        <v>60000</v>
      </c>
      <c r="AR110" s="13">
        <v>12000</v>
      </c>
      <c r="AS110" s="26">
        <v>72000</v>
      </c>
      <c r="AT110" s="26">
        <v>48000</v>
      </c>
      <c r="AU110" s="26">
        <v>4000</v>
      </c>
      <c r="AV110" s="26">
        <v>48000</v>
      </c>
      <c r="AW110" s="26">
        <v>7000</v>
      </c>
      <c r="AX110" s="62">
        <v>0</v>
      </c>
      <c r="AZ110" s="14" t="s">
        <v>351</v>
      </c>
      <c r="BA110" s="249">
        <f t="shared" si="3"/>
        <v>6</v>
      </c>
      <c r="BB110" s="249">
        <v>0</v>
      </c>
      <c r="BC110" s="249">
        <f t="shared" si="2"/>
        <v>2005</v>
      </c>
    </row>
    <row r="111" spans="1:55" x14ac:dyDescent="0.25">
      <c r="A111" s="50" t="s">
        <v>1404</v>
      </c>
      <c r="B111" s="61" t="s">
        <v>436</v>
      </c>
      <c r="C111" s="14" t="s">
        <v>351</v>
      </c>
      <c r="D111" s="14">
        <v>2005</v>
      </c>
      <c r="E111" s="14" t="s">
        <v>338</v>
      </c>
      <c r="F111" s="14"/>
      <c r="G111" s="14"/>
      <c r="H111" s="14"/>
      <c r="I111" s="14"/>
      <c r="J111" s="13">
        <v>1000000</v>
      </c>
      <c r="K111" s="14" t="s">
        <v>328</v>
      </c>
      <c r="L111" s="14"/>
      <c r="M111" s="14"/>
      <c r="N111" s="13">
        <v>10000</v>
      </c>
      <c r="O111" s="24">
        <v>0.3</v>
      </c>
      <c r="P111" s="14">
        <v>3</v>
      </c>
      <c r="Q111" s="14">
        <v>450</v>
      </c>
      <c r="R111" s="13">
        <v>2700</v>
      </c>
      <c r="S111" s="14" t="s">
        <v>340</v>
      </c>
      <c r="T111" s="14">
        <v>2</v>
      </c>
      <c r="U111" s="14">
        <v>2.5</v>
      </c>
      <c r="V111" s="25">
        <v>448.83303411131055</v>
      </c>
      <c r="W111" s="26">
        <v>5000</v>
      </c>
      <c r="X111" s="14"/>
      <c r="Y111" s="14" t="s">
        <v>328</v>
      </c>
      <c r="Z111" s="14"/>
      <c r="AA111" s="14"/>
      <c r="AB111" s="14"/>
      <c r="AC111" s="14"/>
      <c r="AD111" s="14"/>
      <c r="AE111" s="14" t="s">
        <v>328</v>
      </c>
      <c r="AF111" s="14"/>
      <c r="AG111" s="14" t="s">
        <v>328</v>
      </c>
      <c r="AH111" s="14" t="s">
        <v>328</v>
      </c>
      <c r="AI111" s="14" t="s">
        <v>328</v>
      </c>
      <c r="AJ111" s="14"/>
      <c r="AK111" s="14" t="s">
        <v>328</v>
      </c>
      <c r="AL111" s="14" t="s">
        <v>328</v>
      </c>
      <c r="AM111" s="14"/>
      <c r="AN111" s="13">
        <v>12000</v>
      </c>
      <c r="AO111" s="13">
        <v>6000</v>
      </c>
      <c r="AP111" s="13">
        <v>6000</v>
      </c>
      <c r="AQ111" s="13">
        <v>60000</v>
      </c>
      <c r="AR111" s="13">
        <v>12000</v>
      </c>
      <c r="AS111" s="26">
        <v>72000</v>
      </c>
      <c r="AT111" s="26">
        <v>48000</v>
      </c>
      <c r="AU111" s="26">
        <v>4000</v>
      </c>
      <c r="AV111" s="26">
        <v>48000</v>
      </c>
      <c r="AW111" s="26">
        <v>7000</v>
      </c>
      <c r="AX111" s="62">
        <v>0</v>
      </c>
      <c r="AZ111" s="14" t="s">
        <v>351</v>
      </c>
      <c r="BA111" s="249">
        <f t="shared" si="3"/>
        <v>6</v>
      </c>
      <c r="BB111" s="249">
        <v>0</v>
      </c>
      <c r="BC111" s="249">
        <f t="shared" si="2"/>
        <v>2005</v>
      </c>
    </row>
    <row r="112" spans="1:55" x14ac:dyDescent="0.25">
      <c r="A112" s="50" t="s">
        <v>1404</v>
      </c>
      <c r="B112" s="61" t="s">
        <v>436</v>
      </c>
      <c r="C112" s="14" t="s">
        <v>351</v>
      </c>
      <c r="D112" s="14">
        <v>2005</v>
      </c>
      <c r="E112" s="14" t="s">
        <v>338</v>
      </c>
      <c r="F112" s="14"/>
      <c r="G112" s="14"/>
      <c r="H112" s="14"/>
      <c r="I112" s="14"/>
      <c r="J112" s="13">
        <v>1000000</v>
      </c>
      <c r="K112" s="14" t="s">
        <v>328</v>
      </c>
      <c r="L112" s="14"/>
      <c r="M112" s="14"/>
      <c r="N112" s="13">
        <v>10000</v>
      </c>
      <c r="O112" s="24">
        <v>0.3</v>
      </c>
      <c r="P112" s="14">
        <v>3</v>
      </c>
      <c r="Q112" s="14">
        <v>450</v>
      </c>
      <c r="R112" s="13">
        <v>2700</v>
      </c>
      <c r="S112" s="14" t="s">
        <v>340</v>
      </c>
      <c r="T112" s="14">
        <v>2</v>
      </c>
      <c r="U112" s="14">
        <v>2.5</v>
      </c>
      <c r="V112" s="25">
        <v>448.83303411131055</v>
      </c>
      <c r="W112" s="26">
        <v>5000</v>
      </c>
      <c r="X112" s="14"/>
      <c r="Y112" s="14" t="s">
        <v>328</v>
      </c>
      <c r="Z112" s="14"/>
      <c r="AA112" s="14"/>
      <c r="AB112" s="14"/>
      <c r="AC112" s="14"/>
      <c r="AD112" s="14"/>
      <c r="AE112" s="14" t="s">
        <v>328</v>
      </c>
      <c r="AF112" s="14"/>
      <c r="AG112" s="14" t="s">
        <v>328</v>
      </c>
      <c r="AH112" s="14" t="s">
        <v>328</v>
      </c>
      <c r="AI112" s="14" t="s">
        <v>328</v>
      </c>
      <c r="AJ112" s="14"/>
      <c r="AK112" s="14" t="s">
        <v>328</v>
      </c>
      <c r="AL112" s="14" t="s">
        <v>328</v>
      </c>
      <c r="AM112" s="14"/>
      <c r="AN112" s="13">
        <v>12000</v>
      </c>
      <c r="AO112" s="13">
        <v>6000</v>
      </c>
      <c r="AP112" s="13">
        <v>6000</v>
      </c>
      <c r="AQ112" s="13">
        <v>60000</v>
      </c>
      <c r="AR112" s="13">
        <v>12000</v>
      </c>
      <c r="AS112" s="26">
        <v>72000</v>
      </c>
      <c r="AT112" s="26">
        <v>48000</v>
      </c>
      <c r="AU112" s="26">
        <v>4000</v>
      </c>
      <c r="AV112" s="26">
        <v>48000</v>
      </c>
      <c r="AW112" s="26">
        <v>7000</v>
      </c>
      <c r="AX112" s="62">
        <v>0</v>
      </c>
      <c r="AZ112" s="14" t="s">
        <v>351</v>
      </c>
      <c r="BA112" s="249">
        <f t="shared" si="3"/>
        <v>6</v>
      </c>
      <c r="BB112" s="249">
        <v>0</v>
      </c>
      <c r="BC112" s="249">
        <f t="shared" si="2"/>
        <v>2005</v>
      </c>
    </row>
    <row r="113" spans="1:55" x14ac:dyDescent="0.25">
      <c r="A113" s="50" t="s">
        <v>1404</v>
      </c>
      <c r="B113" s="61" t="s">
        <v>436</v>
      </c>
      <c r="C113" s="14" t="s">
        <v>351</v>
      </c>
      <c r="D113" s="14">
        <v>2005</v>
      </c>
      <c r="E113" s="14" t="s">
        <v>338</v>
      </c>
      <c r="F113" s="14"/>
      <c r="G113" s="14"/>
      <c r="H113" s="14"/>
      <c r="I113" s="14"/>
      <c r="J113" s="13">
        <v>1000000</v>
      </c>
      <c r="K113" s="14"/>
      <c r="L113" s="14" t="s">
        <v>328</v>
      </c>
      <c r="M113" s="14"/>
      <c r="N113" s="13">
        <v>10000</v>
      </c>
      <c r="O113" s="24">
        <v>0.3</v>
      </c>
      <c r="P113" s="14">
        <v>3</v>
      </c>
      <c r="Q113" s="14">
        <v>450</v>
      </c>
      <c r="R113" s="13">
        <v>2700</v>
      </c>
      <c r="S113" s="14" t="s">
        <v>340</v>
      </c>
      <c r="T113" s="14">
        <v>2</v>
      </c>
      <c r="U113" s="14">
        <v>2.5</v>
      </c>
      <c r="V113" s="25">
        <v>448.83303411131055</v>
      </c>
      <c r="W113" s="26">
        <v>5000</v>
      </c>
      <c r="X113" s="14"/>
      <c r="Y113" s="14" t="s">
        <v>328</v>
      </c>
      <c r="Z113" s="14"/>
      <c r="AA113" s="14"/>
      <c r="AB113" s="14"/>
      <c r="AC113" s="14"/>
      <c r="AD113" s="14"/>
      <c r="AE113" s="14" t="s">
        <v>328</v>
      </c>
      <c r="AF113" s="14"/>
      <c r="AG113" s="14" t="s">
        <v>328</v>
      </c>
      <c r="AH113" s="14" t="s">
        <v>328</v>
      </c>
      <c r="AI113" s="14" t="s">
        <v>328</v>
      </c>
      <c r="AJ113" s="14"/>
      <c r="AK113" s="14" t="s">
        <v>328</v>
      </c>
      <c r="AL113" s="14" t="s">
        <v>328</v>
      </c>
      <c r="AM113" s="14"/>
      <c r="AN113" s="13">
        <v>12000</v>
      </c>
      <c r="AO113" s="13">
        <v>6000</v>
      </c>
      <c r="AP113" s="13">
        <v>6000</v>
      </c>
      <c r="AQ113" s="13">
        <v>60000</v>
      </c>
      <c r="AR113" s="13">
        <v>12000</v>
      </c>
      <c r="AS113" s="26">
        <v>72000</v>
      </c>
      <c r="AT113" s="26">
        <v>48000</v>
      </c>
      <c r="AU113" s="26">
        <v>4000</v>
      </c>
      <c r="AV113" s="26">
        <v>48000</v>
      </c>
      <c r="AW113" s="26">
        <v>7000</v>
      </c>
      <c r="AX113" s="62">
        <v>0</v>
      </c>
      <c r="AZ113" s="14" t="s">
        <v>351</v>
      </c>
      <c r="BA113" s="249">
        <f t="shared" si="3"/>
        <v>6</v>
      </c>
      <c r="BB113" s="249">
        <v>0</v>
      </c>
      <c r="BC113" s="249">
        <f t="shared" si="2"/>
        <v>2005</v>
      </c>
    </row>
    <row r="114" spans="1:55" x14ac:dyDescent="0.25">
      <c r="A114" s="50" t="s">
        <v>1404</v>
      </c>
      <c r="B114" s="61" t="s">
        <v>436</v>
      </c>
      <c r="C114" s="14" t="s">
        <v>351</v>
      </c>
      <c r="D114" s="14">
        <v>2005</v>
      </c>
      <c r="E114" s="14" t="s">
        <v>338</v>
      </c>
      <c r="F114" s="14"/>
      <c r="G114" s="14"/>
      <c r="H114" s="14"/>
      <c r="I114" s="14"/>
      <c r="J114" s="13">
        <v>1000000</v>
      </c>
      <c r="K114" s="14"/>
      <c r="L114" s="14" t="s">
        <v>328</v>
      </c>
      <c r="M114" s="14"/>
      <c r="N114" s="13">
        <v>10000</v>
      </c>
      <c r="O114" s="24">
        <v>0.3</v>
      </c>
      <c r="P114" s="14">
        <v>3</v>
      </c>
      <c r="Q114" s="14">
        <v>450</v>
      </c>
      <c r="R114" s="13">
        <v>2700</v>
      </c>
      <c r="S114" s="14" t="s">
        <v>340</v>
      </c>
      <c r="T114" s="14">
        <v>2</v>
      </c>
      <c r="U114" s="14">
        <v>2.5</v>
      </c>
      <c r="V114" s="25">
        <v>448.83303411131055</v>
      </c>
      <c r="W114" s="26">
        <v>5000</v>
      </c>
      <c r="X114" s="14"/>
      <c r="Y114" s="14" t="s">
        <v>328</v>
      </c>
      <c r="Z114" s="14"/>
      <c r="AA114" s="14"/>
      <c r="AB114" s="14"/>
      <c r="AC114" s="14"/>
      <c r="AD114" s="14"/>
      <c r="AE114" s="14" t="s">
        <v>328</v>
      </c>
      <c r="AF114" s="14"/>
      <c r="AG114" s="14" t="s">
        <v>328</v>
      </c>
      <c r="AH114" s="14" t="s">
        <v>328</v>
      </c>
      <c r="AI114" s="14" t="s">
        <v>328</v>
      </c>
      <c r="AJ114" s="14"/>
      <c r="AK114" s="14" t="s">
        <v>328</v>
      </c>
      <c r="AL114" s="14" t="s">
        <v>328</v>
      </c>
      <c r="AM114" s="14"/>
      <c r="AN114" s="13">
        <v>12000</v>
      </c>
      <c r="AO114" s="13">
        <v>6000</v>
      </c>
      <c r="AP114" s="13">
        <v>6000</v>
      </c>
      <c r="AQ114" s="13">
        <v>60000</v>
      </c>
      <c r="AR114" s="13">
        <v>12000</v>
      </c>
      <c r="AS114" s="26">
        <v>72000</v>
      </c>
      <c r="AT114" s="26">
        <v>48000</v>
      </c>
      <c r="AU114" s="26">
        <v>4000</v>
      </c>
      <c r="AV114" s="26">
        <v>48000</v>
      </c>
      <c r="AW114" s="26">
        <v>7000</v>
      </c>
      <c r="AX114" s="62">
        <v>0</v>
      </c>
      <c r="AZ114" s="14" t="s">
        <v>351</v>
      </c>
      <c r="BA114" s="249">
        <f t="shared" si="3"/>
        <v>6</v>
      </c>
      <c r="BB114" s="249">
        <v>0</v>
      </c>
      <c r="BC114" s="249">
        <f t="shared" si="2"/>
        <v>2005</v>
      </c>
    </row>
    <row r="115" spans="1:55" x14ac:dyDescent="0.25">
      <c r="A115" s="50" t="s">
        <v>1404</v>
      </c>
      <c r="B115" s="61" t="s">
        <v>439</v>
      </c>
      <c r="C115" s="14" t="s">
        <v>337</v>
      </c>
      <c r="D115" s="14">
        <v>2003</v>
      </c>
      <c r="E115" s="14" t="s">
        <v>349</v>
      </c>
      <c r="F115" s="14"/>
      <c r="G115" s="14"/>
      <c r="H115" s="14"/>
      <c r="I115" s="14"/>
      <c r="J115" s="13">
        <v>1200000</v>
      </c>
      <c r="K115" s="14"/>
      <c r="L115" s="14" t="s">
        <v>328</v>
      </c>
      <c r="M115" s="14"/>
      <c r="N115" s="13">
        <v>10000</v>
      </c>
      <c r="O115" s="24">
        <v>0.5</v>
      </c>
      <c r="P115" s="14">
        <v>2</v>
      </c>
      <c r="Q115" s="14">
        <v>500</v>
      </c>
      <c r="R115" s="13">
        <v>2000</v>
      </c>
      <c r="S115" s="14" t="s">
        <v>340</v>
      </c>
      <c r="T115" s="14">
        <v>2</v>
      </c>
      <c r="U115" s="14">
        <v>2.5</v>
      </c>
      <c r="V115" s="25">
        <v>3590.6642728904844</v>
      </c>
      <c r="W115" s="26">
        <v>40000</v>
      </c>
      <c r="X115" s="14"/>
      <c r="Y115" s="14" t="s">
        <v>328</v>
      </c>
      <c r="Z115" s="14"/>
      <c r="AA115" s="14"/>
      <c r="AB115" s="14"/>
      <c r="AC115" s="14"/>
      <c r="AD115" s="14" t="s">
        <v>328</v>
      </c>
      <c r="AE115" s="14" t="s">
        <v>328</v>
      </c>
      <c r="AF115" s="14"/>
      <c r="AG115" s="14" t="s">
        <v>328</v>
      </c>
      <c r="AH115" s="14" t="s">
        <v>328</v>
      </c>
      <c r="AI115" s="14" t="s">
        <v>328</v>
      </c>
      <c r="AJ115" s="14"/>
      <c r="AK115" s="14" t="s">
        <v>328</v>
      </c>
      <c r="AL115" s="14" t="s">
        <v>328</v>
      </c>
      <c r="AM115" s="14"/>
      <c r="AN115" s="13">
        <v>30000</v>
      </c>
      <c r="AO115" s="13">
        <v>30000</v>
      </c>
      <c r="AP115" s="13">
        <v>30000</v>
      </c>
      <c r="AQ115" s="13">
        <v>120000</v>
      </c>
      <c r="AR115" s="13">
        <v>30000</v>
      </c>
      <c r="AS115" s="26">
        <v>144000</v>
      </c>
      <c r="AT115" s="26">
        <v>96000</v>
      </c>
      <c r="AU115" s="26">
        <v>150000</v>
      </c>
      <c r="AV115" s="26">
        <v>80000</v>
      </c>
      <c r="AW115" s="26">
        <v>10000</v>
      </c>
      <c r="AX115" s="62">
        <v>0</v>
      </c>
      <c r="AZ115" s="14" t="s">
        <v>337</v>
      </c>
      <c r="BA115" s="249">
        <f t="shared" si="3"/>
        <v>2</v>
      </c>
      <c r="BB115" s="249">
        <v>0</v>
      </c>
      <c r="BC115" s="249">
        <f t="shared" si="2"/>
        <v>2003</v>
      </c>
    </row>
    <row r="116" spans="1:55" x14ac:dyDescent="0.25">
      <c r="A116" s="50" t="s">
        <v>1404</v>
      </c>
      <c r="B116" s="61" t="s">
        <v>439</v>
      </c>
      <c r="C116" s="14" t="s">
        <v>337</v>
      </c>
      <c r="D116" s="14">
        <v>2003</v>
      </c>
      <c r="E116" s="14" t="s">
        <v>349</v>
      </c>
      <c r="F116" s="14"/>
      <c r="G116" s="14"/>
      <c r="H116" s="14"/>
      <c r="I116" s="14"/>
      <c r="J116" s="13">
        <v>1200000</v>
      </c>
      <c r="K116" s="14"/>
      <c r="L116" s="14" t="s">
        <v>328</v>
      </c>
      <c r="M116" s="14"/>
      <c r="N116" s="13">
        <v>10000</v>
      </c>
      <c r="O116" s="24">
        <v>0.5</v>
      </c>
      <c r="P116" s="14">
        <v>2</v>
      </c>
      <c r="Q116" s="14">
        <v>500</v>
      </c>
      <c r="R116" s="13">
        <v>2000</v>
      </c>
      <c r="S116" s="14" t="s">
        <v>340</v>
      </c>
      <c r="T116" s="14">
        <v>2</v>
      </c>
      <c r="U116" s="14">
        <v>2.5</v>
      </c>
      <c r="V116" s="25">
        <v>3590.6642728904844</v>
      </c>
      <c r="W116" s="26">
        <v>40000</v>
      </c>
      <c r="X116" s="14"/>
      <c r="Y116" s="14" t="s">
        <v>328</v>
      </c>
      <c r="Z116" s="14"/>
      <c r="AA116" s="14"/>
      <c r="AB116" s="14"/>
      <c r="AC116" s="14"/>
      <c r="AD116" s="14" t="s">
        <v>328</v>
      </c>
      <c r="AE116" s="14" t="s">
        <v>328</v>
      </c>
      <c r="AF116" s="14"/>
      <c r="AG116" s="14" t="s">
        <v>328</v>
      </c>
      <c r="AH116" s="14" t="s">
        <v>328</v>
      </c>
      <c r="AI116" s="14" t="s">
        <v>328</v>
      </c>
      <c r="AJ116" s="14"/>
      <c r="AK116" s="14" t="s">
        <v>328</v>
      </c>
      <c r="AL116" s="14" t="s">
        <v>328</v>
      </c>
      <c r="AM116" s="14"/>
      <c r="AN116" s="13">
        <v>30000</v>
      </c>
      <c r="AO116" s="13">
        <v>30000</v>
      </c>
      <c r="AP116" s="13">
        <v>30000</v>
      </c>
      <c r="AQ116" s="13">
        <v>120000</v>
      </c>
      <c r="AR116" s="13">
        <v>30000</v>
      </c>
      <c r="AS116" s="26">
        <v>144000</v>
      </c>
      <c r="AT116" s="26">
        <v>96000</v>
      </c>
      <c r="AU116" s="26">
        <v>150000</v>
      </c>
      <c r="AV116" s="26">
        <v>80000</v>
      </c>
      <c r="AW116" s="26">
        <v>10000</v>
      </c>
      <c r="AX116" s="62">
        <v>0</v>
      </c>
      <c r="AZ116" s="14" t="s">
        <v>337</v>
      </c>
      <c r="BA116" s="249">
        <f t="shared" si="3"/>
        <v>2</v>
      </c>
      <c r="BB116" s="249">
        <v>0</v>
      </c>
      <c r="BC116" s="249">
        <f t="shared" si="2"/>
        <v>2003</v>
      </c>
    </row>
    <row r="117" spans="1:55" x14ac:dyDescent="0.25">
      <c r="A117" s="50" t="s">
        <v>1404</v>
      </c>
      <c r="B117" s="61" t="s">
        <v>441</v>
      </c>
      <c r="C117" s="14" t="s">
        <v>337</v>
      </c>
      <c r="D117" s="14">
        <v>2008</v>
      </c>
      <c r="E117" s="14" t="s">
        <v>349</v>
      </c>
      <c r="F117" s="14"/>
      <c r="G117" s="14"/>
      <c r="H117" s="14"/>
      <c r="I117" s="14"/>
      <c r="J117" s="13">
        <v>1000000</v>
      </c>
      <c r="K117" s="14" t="s">
        <v>328</v>
      </c>
      <c r="L117" s="14"/>
      <c r="M117" s="14"/>
      <c r="N117" s="13">
        <v>30000</v>
      </c>
      <c r="O117" s="24">
        <v>0.5</v>
      </c>
      <c r="P117" s="14">
        <v>2</v>
      </c>
      <c r="Q117" s="14">
        <v>500</v>
      </c>
      <c r="R117" s="13">
        <v>2000</v>
      </c>
      <c r="S117" s="14" t="s">
        <v>340</v>
      </c>
      <c r="T117" s="14">
        <v>2</v>
      </c>
      <c r="U117" s="14">
        <v>2.5</v>
      </c>
      <c r="V117" s="25">
        <v>1077.1992818671454</v>
      </c>
      <c r="W117" s="26">
        <v>12000</v>
      </c>
      <c r="X117" s="14" t="s">
        <v>328</v>
      </c>
      <c r="Y117" s="14"/>
      <c r="Z117" s="14"/>
      <c r="AA117" s="14"/>
      <c r="AB117" s="14"/>
      <c r="AC117" s="14"/>
      <c r="AD117" s="14" t="s">
        <v>328</v>
      </c>
      <c r="AE117" s="14"/>
      <c r="AF117" s="14" t="s">
        <v>328</v>
      </c>
      <c r="AG117" s="14"/>
      <c r="AH117" s="14" t="s">
        <v>328</v>
      </c>
      <c r="AI117" s="14"/>
      <c r="AJ117" s="14"/>
      <c r="AK117" s="14"/>
      <c r="AL117" s="14" t="s">
        <v>328</v>
      </c>
      <c r="AM117" s="14"/>
      <c r="AN117" s="13">
        <v>30000</v>
      </c>
      <c r="AO117" s="13">
        <v>30000</v>
      </c>
      <c r="AP117" s="13">
        <v>50000</v>
      </c>
      <c r="AQ117" s="13">
        <v>150000</v>
      </c>
      <c r="AR117" s="13">
        <v>30000</v>
      </c>
      <c r="AS117" s="26">
        <v>120000</v>
      </c>
      <c r="AT117" s="26">
        <v>0</v>
      </c>
      <c r="AU117" s="26">
        <v>40000</v>
      </c>
      <c r="AV117" s="26">
        <v>40000</v>
      </c>
      <c r="AW117" s="26">
        <v>20000</v>
      </c>
      <c r="AX117" s="62">
        <v>0</v>
      </c>
      <c r="AZ117" s="14" t="s">
        <v>337</v>
      </c>
      <c r="BA117" s="249">
        <f t="shared" si="3"/>
        <v>7</v>
      </c>
      <c r="BB117" s="249">
        <v>0</v>
      </c>
      <c r="BC117" s="249">
        <f t="shared" si="2"/>
        <v>2008</v>
      </c>
    </row>
    <row r="118" spans="1:55" x14ac:dyDescent="0.25">
      <c r="A118" s="50" t="s">
        <v>1404</v>
      </c>
      <c r="B118" s="61" t="s">
        <v>441</v>
      </c>
      <c r="C118" s="14" t="s">
        <v>337</v>
      </c>
      <c r="D118" s="14">
        <v>2008</v>
      </c>
      <c r="E118" s="14" t="s">
        <v>349</v>
      </c>
      <c r="F118" s="14"/>
      <c r="G118" s="14"/>
      <c r="H118" s="14"/>
      <c r="I118" s="14"/>
      <c r="J118" s="13">
        <v>1200000</v>
      </c>
      <c r="K118" s="14" t="s">
        <v>328</v>
      </c>
      <c r="L118" s="14"/>
      <c r="M118" s="14"/>
      <c r="N118" s="13">
        <v>30000</v>
      </c>
      <c r="O118" s="24">
        <v>0.5</v>
      </c>
      <c r="P118" s="14">
        <v>2</v>
      </c>
      <c r="Q118" s="14">
        <v>500</v>
      </c>
      <c r="R118" s="13">
        <v>2000</v>
      </c>
      <c r="S118" s="14" t="s">
        <v>340</v>
      </c>
      <c r="T118" s="14">
        <v>2</v>
      </c>
      <c r="U118" s="14">
        <v>2.5</v>
      </c>
      <c r="V118" s="25">
        <v>1077.1992818671454</v>
      </c>
      <c r="W118" s="26">
        <v>12000</v>
      </c>
      <c r="X118" s="14" t="s">
        <v>328</v>
      </c>
      <c r="Y118" s="14"/>
      <c r="Z118" s="14"/>
      <c r="AA118" s="14"/>
      <c r="AB118" s="14"/>
      <c r="AC118" s="14"/>
      <c r="AD118" s="14" t="s">
        <v>328</v>
      </c>
      <c r="AE118" s="14"/>
      <c r="AF118" s="14" t="s">
        <v>328</v>
      </c>
      <c r="AG118" s="14"/>
      <c r="AH118" s="14" t="s">
        <v>328</v>
      </c>
      <c r="AI118" s="14"/>
      <c r="AJ118" s="14"/>
      <c r="AK118" s="14"/>
      <c r="AL118" s="14" t="s">
        <v>328</v>
      </c>
      <c r="AM118" s="14"/>
      <c r="AN118" s="13">
        <v>30000</v>
      </c>
      <c r="AO118" s="13">
        <v>30000</v>
      </c>
      <c r="AP118" s="13">
        <v>50000</v>
      </c>
      <c r="AQ118" s="13">
        <v>150000</v>
      </c>
      <c r="AR118" s="13">
        <v>30000</v>
      </c>
      <c r="AS118" s="26">
        <v>120000</v>
      </c>
      <c r="AT118" s="26">
        <v>0</v>
      </c>
      <c r="AU118" s="26">
        <v>40000</v>
      </c>
      <c r="AV118" s="26">
        <v>40000</v>
      </c>
      <c r="AW118" s="26">
        <v>20000</v>
      </c>
      <c r="AX118" s="62">
        <v>0</v>
      </c>
      <c r="AZ118" s="14" t="s">
        <v>337</v>
      </c>
      <c r="BA118" s="249">
        <f t="shared" si="3"/>
        <v>7</v>
      </c>
      <c r="BB118" s="249">
        <v>0</v>
      </c>
      <c r="BC118" s="249">
        <f t="shared" si="2"/>
        <v>2008</v>
      </c>
    </row>
    <row r="119" spans="1:55" x14ac:dyDescent="0.25">
      <c r="A119" s="50" t="s">
        <v>1404</v>
      </c>
      <c r="B119" s="61" t="s">
        <v>441</v>
      </c>
      <c r="C119" s="14" t="s">
        <v>337</v>
      </c>
      <c r="D119" s="14">
        <v>2011</v>
      </c>
      <c r="E119" s="14" t="s">
        <v>456</v>
      </c>
      <c r="F119" s="14"/>
      <c r="G119" s="14"/>
      <c r="H119" s="14"/>
      <c r="I119" s="14"/>
      <c r="J119" s="13">
        <v>900000</v>
      </c>
      <c r="K119" s="14" t="s">
        <v>328</v>
      </c>
      <c r="L119" s="14"/>
      <c r="M119" s="14"/>
      <c r="N119" s="13">
        <v>30000</v>
      </c>
      <c r="O119" s="24">
        <v>0.5</v>
      </c>
      <c r="P119" s="14">
        <v>2</v>
      </c>
      <c r="Q119" s="14">
        <v>500</v>
      </c>
      <c r="R119" s="13">
        <v>2000</v>
      </c>
      <c r="S119" s="14" t="s">
        <v>340</v>
      </c>
      <c r="T119" s="14">
        <v>2</v>
      </c>
      <c r="U119" s="14">
        <v>2.5</v>
      </c>
      <c r="V119" s="25">
        <v>1077.1992818671454</v>
      </c>
      <c r="W119" s="26">
        <v>12000</v>
      </c>
      <c r="X119" s="14"/>
      <c r="Y119" s="14" t="s">
        <v>328</v>
      </c>
      <c r="Z119" s="14"/>
      <c r="AA119" s="14"/>
      <c r="AB119" s="14"/>
      <c r="AC119" s="14"/>
      <c r="AD119" s="14" t="s">
        <v>328</v>
      </c>
      <c r="AE119" s="14"/>
      <c r="AF119" s="14" t="s">
        <v>328</v>
      </c>
      <c r="AG119" s="14"/>
      <c r="AH119" s="14" t="s">
        <v>328</v>
      </c>
      <c r="AI119" s="14"/>
      <c r="AJ119" s="14"/>
      <c r="AK119" s="14"/>
      <c r="AL119" s="14" t="s">
        <v>328</v>
      </c>
      <c r="AM119" s="14"/>
      <c r="AN119" s="13">
        <v>30000</v>
      </c>
      <c r="AO119" s="13">
        <v>30000</v>
      </c>
      <c r="AP119" s="13">
        <v>50000</v>
      </c>
      <c r="AQ119" s="13">
        <v>150000</v>
      </c>
      <c r="AR119" s="13">
        <v>30000</v>
      </c>
      <c r="AS119" s="26">
        <v>120000</v>
      </c>
      <c r="AT119" s="26">
        <v>0</v>
      </c>
      <c r="AU119" s="26">
        <v>40000</v>
      </c>
      <c r="AV119" s="26">
        <v>40000</v>
      </c>
      <c r="AW119" s="26">
        <v>20000</v>
      </c>
      <c r="AX119" s="62">
        <v>0</v>
      </c>
      <c r="AZ119" s="14" t="s">
        <v>337</v>
      </c>
      <c r="BA119" s="249">
        <f t="shared" si="3"/>
        <v>7</v>
      </c>
      <c r="BB119" s="249">
        <v>0</v>
      </c>
      <c r="BC119" s="249">
        <f t="shared" si="2"/>
        <v>2011</v>
      </c>
    </row>
    <row r="120" spans="1:55" x14ac:dyDescent="0.25">
      <c r="A120" s="50" t="s">
        <v>1404</v>
      </c>
      <c r="B120" s="61" t="s">
        <v>441</v>
      </c>
      <c r="C120" s="14" t="s">
        <v>337</v>
      </c>
      <c r="D120" s="14">
        <v>2012</v>
      </c>
      <c r="E120" s="14" t="s">
        <v>456</v>
      </c>
      <c r="F120" s="14"/>
      <c r="G120" s="14"/>
      <c r="H120" s="14"/>
      <c r="I120" s="14"/>
      <c r="J120" s="13">
        <v>400000</v>
      </c>
      <c r="K120" s="14" t="s">
        <v>328</v>
      </c>
      <c r="L120" s="14"/>
      <c r="M120" s="14"/>
      <c r="N120" s="13">
        <v>30000</v>
      </c>
      <c r="O120" s="24">
        <v>0.5</v>
      </c>
      <c r="P120" s="14">
        <v>2</v>
      </c>
      <c r="Q120" s="14">
        <v>500</v>
      </c>
      <c r="R120" s="13">
        <v>2000</v>
      </c>
      <c r="S120" s="14" t="s">
        <v>340</v>
      </c>
      <c r="T120" s="14">
        <v>2</v>
      </c>
      <c r="U120" s="14">
        <v>2.5</v>
      </c>
      <c r="V120" s="25">
        <v>1077.1992818671454</v>
      </c>
      <c r="W120" s="26">
        <v>12000</v>
      </c>
      <c r="X120" s="14"/>
      <c r="Y120" s="14"/>
      <c r="Z120" s="14"/>
      <c r="AA120" s="14"/>
      <c r="AB120" s="14" t="s">
        <v>328</v>
      </c>
      <c r="AC120" s="14"/>
      <c r="AD120" s="14" t="s">
        <v>328</v>
      </c>
      <c r="AE120" s="14"/>
      <c r="AF120" s="14" t="s">
        <v>328</v>
      </c>
      <c r="AG120" s="14"/>
      <c r="AH120" s="14" t="s">
        <v>328</v>
      </c>
      <c r="AI120" s="14"/>
      <c r="AJ120" s="14"/>
      <c r="AK120" s="14"/>
      <c r="AL120" s="14" t="s">
        <v>328</v>
      </c>
      <c r="AM120" s="14"/>
      <c r="AN120" s="13">
        <v>30000</v>
      </c>
      <c r="AO120" s="13">
        <v>30000</v>
      </c>
      <c r="AP120" s="13">
        <v>50000</v>
      </c>
      <c r="AQ120" s="13">
        <v>150000</v>
      </c>
      <c r="AR120" s="13">
        <v>30000</v>
      </c>
      <c r="AS120" s="26">
        <v>120000</v>
      </c>
      <c r="AT120" s="26">
        <v>0</v>
      </c>
      <c r="AU120" s="26">
        <v>40000</v>
      </c>
      <c r="AV120" s="26">
        <v>40000</v>
      </c>
      <c r="AW120" s="26">
        <v>20000</v>
      </c>
      <c r="AX120" s="62">
        <v>0</v>
      </c>
      <c r="AZ120" s="14" t="s">
        <v>337</v>
      </c>
      <c r="BA120" s="249">
        <f t="shared" si="3"/>
        <v>7</v>
      </c>
      <c r="BB120" s="249">
        <v>0</v>
      </c>
      <c r="BC120" s="249">
        <f t="shared" si="2"/>
        <v>2012</v>
      </c>
    </row>
    <row r="121" spans="1:55" x14ac:dyDescent="0.25">
      <c r="A121" s="50" t="s">
        <v>1404</v>
      </c>
      <c r="B121" s="61" t="s">
        <v>441</v>
      </c>
      <c r="C121" s="14" t="s">
        <v>351</v>
      </c>
      <c r="D121" s="14">
        <v>2009</v>
      </c>
      <c r="E121" s="14" t="s">
        <v>349</v>
      </c>
      <c r="F121" s="14"/>
      <c r="G121" s="14"/>
      <c r="H121" s="14"/>
      <c r="I121" s="14"/>
      <c r="J121" s="13">
        <v>950000</v>
      </c>
      <c r="K121" s="14" t="s">
        <v>328</v>
      </c>
      <c r="L121" s="14"/>
      <c r="M121" s="14"/>
      <c r="N121" s="13">
        <v>30000</v>
      </c>
      <c r="O121" s="24">
        <v>0.5</v>
      </c>
      <c r="P121" s="14">
        <v>2</v>
      </c>
      <c r="Q121" s="14">
        <v>500</v>
      </c>
      <c r="R121" s="13">
        <v>2000</v>
      </c>
      <c r="S121" s="14" t="s">
        <v>340</v>
      </c>
      <c r="T121" s="14">
        <v>2</v>
      </c>
      <c r="U121" s="14">
        <v>2.5</v>
      </c>
      <c r="V121" s="25">
        <v>1077.1992818671454</v>
      </c>
      <c r="W121" s="26">
        <v>12000</v>
      </c>
      <c r="X121" s="14"/>
      <c r="Y121" s="14" t="s">
        <v>328</v>
      </c>
      <c r="Z121" s="14"/>
      <c r="AA121" s="14"/>
      <c r="AB121" s="14"/>
      <c r="AC121" s="14"/>
      <c r="AD121" s="14" t="s">
        <v>328</v>
      </c>
      <c r="AE121" s="14" t="s">
        <v>328</v>
      </c>
      <c r="AF121" s="14" t="s">
        <v>328</v>
      </c>
      <c r="AG121" s="14"/>
      <c r="AH121" s="14" t="s">
        <v>328</v>
      </c>
      <c r="AI121" s="14"/>
      <c r="AJ121" s="14"/>
      <c r="AK121" s="14"/>
      <c r="AL121" s="14" t="s">
        <v>328</v>
      </c>
      <c r="AM121" s="14"/>
      <c r="AN121" s="13">
        <v>30000</v>
      </c>
      <c r="AO121" s="13">
        <v>30000</v>
      </c>
      <c r="AP121" s="13">
        <v>50000</v>
      </c>
      <c r="AQ121" s="13">
        <v>150000</v>
      </c>
      <c r="AR121" s="13">
        <v>30000</v>
      </c>
      <c r="AS121" s="26">
        <v>120000</v>
      </c>
      <c r="AT121" s="26">
        <v>0</v>
      </c>
      <c r="AU121" s="26">
        <v>40000</v>
      </c>
      <c r="AV121" s="26">
        <v>40000</v>
      </c>
      <c r="AW121" s="26">
        <v>20000</v>
      </c>
      <c r="AX121" s="62">
        <v>0</v>
      </c>
      <c r="AZ121" s="14" t="s">
        <v>351</v>
      </c>
      <c r="BA121" s="249">
        <f t="shared" si="3"/>
        <v>7</v>
      </c>
      <c r="BB121" s="249">
        <v>0</v>
      </c>
      <c r="BC121" s="249">
        <f t="shared" si="2"/>
        <v>2009</v>
      </c>
    </row>
    <row r="122" spans="1:55" x14ac:dyDescent="0.25">
      <c r="A122" s="50" t="s">
        <v>1404</v>
      </c>
      <c r="B122" s="61" t="s">
        <v>441</v>
      </c>
      <c r="C122" s="14" t="s">
        <v>351</v>
      </c>
      <c r="D122" s="14">
        <v>2009</v>
      </c>
      <c r="E122" s="14" t="s">
        <v>349</v>
      </c>
      <c r="F122" s="14"/>
      <c r="G122" s="14"/>
      <c r="H122" s="14"/>
      <c r="I122" s="14"/>
      <c r="J122" s="13">
        <v>800000</v>
      </c>
      <c r="K122" s="14" t="s">
        <v>328</v>
      </c>
      <c r="L122" s="14"/>
      <c r="M122" s="14"/>
      <c r="N122" s="13">
        <v>30000</v>
      </c>
      <c r="O122" s="24">
        <v>0.5</v>
      </c>
      <c r="P122" s="14">
        <v>2</v>
      </c>
      <c r="Q122" s="14">
        <v>500</v>
      </c>
      <c r="R122" s="13">
        <v>2000</v>
      </c>
      <c r="S122" s="14" t="s">
        <v>340</v>
      </c>
      <c r="T122" s="14">
        <v>2</v>
      </c>
      <c r="U122" s="14">
        <v>2.5</v>
      </c>
      <c r="V122" s="25">
        <v>1077.1992818671454</v>
      </c>
      <c r="W122" s="26">
        <v>12000</v>
      </c>
      <c r="X122" s="14"/>
      <c r="Y122" s="14" t="s">
        <v>328</v>
      </c>
      <c r="Z122" s="14"/>
      <c r="AA122" s="14"/>
      <c r="AB122" s="14"/>
      <c r="AC122" s="14"/>
      <c r="AD122" s="14" t="s">
        <v>328</v>
      </c>
      <c r="AE122" s="14"/>
      <c r="AF122" s="14" t="s">
        <v>328</v>
      </c>
      <c r="AG122" s="14"/>
      <c r="AH122" s="14" t="s">
        <v>328</v>
      </c>
      <c r="AI122" s="14"/>
      <c r="AJ122" s="14"/>
      <c r="AK122" s="14"/>
      <c r="AL122" s="14" t="s">
        <v>328</v>
      </c>
      <c r="AM122" s="14"/>
      <c r="AN122" s="13">
        <v>30000</v>
      </c>
      <c r="AO122" s="13">
        <v>30000</v>
      </c>
      <c r="AP122" s="13">
        <v>50000</v>
      </c>
      <c r="AQ122" s="13">
        <v>150000</v>
      </c>
      <c r="AR122" s="13">
        <v>30000</v>
      </c>
      <c r="AS122" s="26">
        <v>120000</v>
      </c>
      <c r="AT122" s="26">
        <v>0</v>
      </c>
      <c r="AU122" s="26">
        <v>40000</v>
      </c>
      <c r="AV122" s="26">
        <v>40000</v>
      </c>
      <c r="AW122" s="26">
        <v>20000</v>
      </c>
      <c r="AX122" s="62">
        <v>0</v>
      </c>
      <c r="AZ122" s="14" t="s">
        <v>351</v>
      </c>
      <c r="BA122" s="249">
        <f t="shared" si="3"/>
        <v>7</v>
      </c>
      <c r="BB122" s="249">
        <v>0</v>
      </c>
      <c r="BC122" s="249">
        <f t="shared" si="2"/>
        <v>2009</v>
      </c>
    </row>
    <row r="123" spans="1:55" x14ac:dyDescent="0.25">
      <c r="A123" s="50" t="s">
        <v>1404</v>
      </c>
      <c r="B123" s="61" t="s">
        <v>441</v>
      </c>
      <c r="C123" s="14" t="s">
        <v>351</v>
      </c>
      <c r="D123" s="14">
        <v>2012</v>
      </c>
      <c r="E123" s="14" t="s">
        <v>456</v>
      </c>
      <c r="F123" s="14"/>
      <c r="G123" s="14"/>
      <c r="H123" s="14"/>
      <c r="I123" s="14"/>
      <c r="J123" s="13">
        <v>300000</v>
      </c>
      <c r="K123" s="14" t="s">
        <v>328</v>
      </c>
      <c r="L123" s="14"/>
      <c r="M123" s="14"/>
      <c r="N123" s="13">
        <v>20000</v>
      </c>
      <c r="O123" s="24">
        <v>0.5</v>
      </c>
      <c r="P123" s="14">
        <v>2</v>
      </c>
      <c r="Q123" s="14">
        <v>500</v>
      </c>
      <c r="R123" s="13">
        <v>2000</v>
      </c>
      <c r="S123" s="14" t="s">
        <v>340</v>
      </c>
      <c r="T123" s="14">
        <v>2</v>
      </c>
      <c r="U123" s="14">
        <v>2.5</v>
      </c>
      <c r="V123" s="25">
        <v>1077.1992818671454</v>
      </c>
      <c r="W123" s="26">
        <v>12000</v>
      </c>
      <c r="X123" s="14"/>
      <c r="Y123" s="14"/>
      <c r="Z123" s="14"/>
      <c r="AA123" s="14"/>
      <c r="AB123" s="14" t="s">
        <v>328</v>
      </c>
      <c r="AC123" s="14"/>
      <c r="AD123" s="14" t="s">
        <v>328</v>
      </c>
      <c r="AE123" s="14"/>
      <c r="AF123" s="14" t="s">
        <v>328</v>
      </c>
      <c r="AG123" s="14"/>
      <c r="AH123" s="14" t="s">
        <v>328</v>
      </c>
      <c r="AI123" s="14"/>
      <c r="AJ123" s="14"/>
      <c r="AK123" s="14"/>
      <c r="AL123" s="14" t="s">
        <v>328</v>
      </c>
      <c r="AM123" s="14"/>
      <c r="AN123" s="13">
        <v>30000</v>
      </c>
      <c r="AO123" s="13">
        <v>30000</v>
      </c>
      <c r="AP123" s="13">
        <v>50000</v>
      </c>
      <c r="AQ123" s="13">
        <v>150000</v>
      </c>
      <c r="AR123" s="13">
        <v>30000</v>
      </c>
      <c r="AS123" s="26">
        <v>120000</v>
      </c>
      <c r="AT123" s="26">
        <v>0</v>
      </c>
      <c r="AU123" s="26">
        <v>40000</v>
      </c>
      <c r="AV123" s="26">
        <v>40000</v>
      </c>
      <c r="AW123" s="26">
        <v>20000</v>
      </c>
      <c r="AX123" s="62">
        <v>0</v>
      </c>
      <c r="AZ123" s="14" t="s">
        <v>351</v>
      </c>
      <c r="BA123" s="249">
        <f t="shared" si="3"/>
        <v>7</v>
      </c>
      <c r="BB123" s="249">
        <v>0</v>
      </c>
      <c r="BC123" s="249">
        <f t="shared" si="2"/>
        <v>2012</v>
      </c>
    </row>
    <row r="124" spans="1:55" x14ac:dyDescent="0.25">
      <c r="A124" s="50" t="s">
        <v>1404</v>
      </c>
      <c r="B124" s="61" t="s">
        <v>442</v>
      </c>
      <c r="C124" s="14" t="s">
        <v>348</v>
      </c>
      <c r="D124" s="14">
        <v>2001</v>
      </c>
      <c r="E124" s="14" t="s">
        <v>429</v>
      </c>
      <c r="F124" s="14"/>
      <c r="G124" s="14"/>
      <c r="H124" s="14"/>
      <c r="I124" s="14"/>
      <c r="J124" s="13">
        <v>300000</v>
      </c>
      <c r="K124" s="14"/>
      <c r="L124" s="14"/>
      <c r="M124" s="14" t="s">
        <v>328</v>
      </c>
      <c r="N124" s="13">
        <v>3000</v>
      </c>
      <c r="O124" s="24">
        <v>0.5</v>
      </c>
      <c r="P124" s="14">
        <v>1</v>
      </c>
      <c r="Q124" s="14">
        <v>220</v>
      </c>
      <c r="R124" s="13">
        <v>352</v>
      </c>
      <c r="S124" s="14" t="s">
        <v>430</v>
      </c>
      <c r="T124" s="14">
        <v>1.6</v>
      </c>
      <c r="U124" s="14">
        <v>1.6</v>
      </c>
      <c r="V124" s="25">
        <v>538.59964093357269</v>
      </c>
      <c r="W124" s="26">
        <v>6000</v>
      </c>
      <c r="X124" s="14"/>
      <c r="Y124" s="14"/>
      <c r="Z124" s="14"/>
      <c r="AA124" s="14"/>
      <c r="AB124" s="14"/>
      <c r="AC124" s="14" t="s">
        <v>328</v>
      </c>
      <c r="AD124" s="14"/>
      <c r="AE124" s="14" t="s">
        <v>328</v>
      </c>
      <c r="AF124" s="14"/>
      <c r="AG124" s="14"/>
      <c r="AH124" s="14"/>
      <c r="AI124" s="14"/>
      <c r="AJ124" s="14"/>
      <c r="AK124" s="14" t="s">
        <v>328</v>
      </c>
      <c r="AL124" s="14" t="s">
        <v>328</v>
      </c>
      <c r="AM124" s="14"/>
      <c r="AN124" s="13">
        <v>5000</v>
      </c>
      <c r="AO124" s="13">
        <v>5000</v>
      </c>
      <c r="AP124" s="13">
        <v>12000</v>
      </c>
      <c r="AQ124" s="13">
        <v>12000</v>
      </c>
      <c r="AR124" s="13" t="s">
        <v>385</v>
      </c>
      <c r="AS124" s="26">
        <v>78000</v>
      </c>
      <c r="AT124" s="26">
        <v>48000</v>
      </c>
      <c r="AU124" s="26">
        <v>30000</v>
      </c>
      <c r="AV124" s="26">
        <v>24000</v>
      </c>
      <c r="AW124" s="26">
        <v>12000</v>
      </c>
      <c r="AX124" s="62">
        <v>0</v>
      </c>
      <c r="AZ124" s="14" t="s">
        <v>348</v>
      </c>
      <c r="BA124" s="249">
        <f t="shared" si="3"/>
        <v>1</v>
      </c>
      <c r="BB124" s="249">
        <v>0</v>
      </c>
      <c r="BC124" s="249">
        <f t="shared" si="2"/>
        <v>2001</v>
      </c>
    </row>
    <row r="125" spans="1:55" x14ac:dyDescent="0.25">
      <c r="A125" s="50" t="s">
        <v>1404</v>
      </c>
      <c r="B125" s="61" t="s">
        <v>445</v>
      </c>
      <c r="C125" s="14" t="s">
        <v>337</v>
      </c>
      <c r="D125" s="14">
        <v>2008</v>
      </c>
      <c r="E125" s="14" t="s">
        <v>338</v>
      </c>
      <c r="F125" s="14"/>
      <c r="G125" s="14"/>
      <c r="H125" s="14"/>
      <c r="I125" s="14"/>
      <c r="J125" s="13">
        <v>1000000</v>
      </c>
      <c r="K125" s="14" t="s">
        <v>328</v>
      </c>
      <c r="L125" s="14"/>
      <c r="M125" s="14"/>
      <c r="N125" s="13">
        <v>15000</v>
      </c>
      <c r="O125" s="24">
        <v>0.5</v>
      </c>
      <c r="P125" s="14">
        <v>2</v>
      </c>
      <c r="Q125" s="14">
        <v>250</v>
      </c>
      <c r="R125" s="13">
        <v>1000</v>
      </c>
      <c r="S125" s="14" t="s">
        <v>340</v>
      </c>
      <c r="T125" s="14">
        <v>2</v>
      </c>
      <c r="U125" s="14">
        <v>2.5</v>
      </c>
      <c r="V125" s="25">
        <v>1346.4991023339317</v>
      </c>
      <c r="W125" s="26">
        <v>15000</v>
      </c>
      <c r="X125" s="14" t="s">
        <v>328</v>
      </c>
      <c r="Y125" s="14"/>
      <c r="Z125" s="14"/>
      <c r="AA125" s="14"/>
      <c r="AB125" s="14"/>
      <c r="AC125" s="14"/>
      <c r="AD125" s="14" t="s">
        <v>328</v>
      </c>
      <c r="AE125" s="14" t="s">
        <v>328</v>
      </c>
      <c r="AF125" s="14" t="s">
        <v>328</v>
      </c>
      <c r="AG125" s="14"/>
      <c r="AH125" s="14" t="s">
        <v>328</v>
      </c>
      <c r="AI125" s="14"/>
      <c r="AJ125" s="14"/>
      <c r="AK125" s="14"/>
      <c r="AL125" s="14" t="s">
        <v>328</v>
      </c>
      <c r="AM125" s="14"/>
      <c r="AN125" s="13">
        <v>20000</v>
      </c>
      <c r="AO125" s="13">
        <v>20000</v>
      </c>
      <c r="AP125" s="13">
        <v>40000</v>
      </c>
      <c r="AQ125" s="13">
        <v>80000</v>
      </c>
      <c r="AR125" s="13">
        <v>20000</v>
      </c>
      <c r="AS125" s="26">
        <v>120000</v>
      </c>
      <c r="AT125" s="26">
        <v>0</v>
      </c>
      <c r="AU125" s="26">
        <v>80000</v>
      </c>
      <c r="AV125" s="26">
        <v>30000</v>
      </c>
      <c r="AW125" s="26">
        <v>40000</v>
      </c>
      <c r="AX125" s="62">
        <v>0</v>
      </c>
      <c r="AZ125" s="14" t="s">
        <v>337</v>
      </c>
      <c r="BA125" s="249">
        <f t="shared" si="3"/>
        <v>4</v>
      </c>
      <c r="BB125" s="249">
        <v>0</v>
      </c>
      <c r="BC125" s="249">
        <f t="shared" si="2"/>
        <v>2008</v>
      </c>
    </row>
    <row r="126" spans="1:55" x14ac:dyDescent="0.25">
      <c r="A126" s="50" t="s">
        <v>1404</v>
      </c>
      <c r="B126" s="61" t="s">
        <v>445</v>
      </c>
      <c r="C126" s="14" t="s">
        <v>337</v>
      </c>
      <c r="D126" s="14">
        <v>2009</v>
      </c>
      <c r="E126" s="14" t="s">
        <v>338</v>
      </c>
      <c r="F126" s="14"/>
      <c r="G126" s="14"/>
      <c r="H126" s="14"/>
      <c r="I126" s="14"/>
      <c r="J126" s="13">
        <v>800000</v>
      </c>
      <c r="K126" s="14" t="s">
        <v>328</v>
      </c>
      <c r="L126" s="14"/>
      <c r="M126" s="14"/>
      <c r="N126" s="13">
        <v>15000</v>
      </c>
      <c r="O126" s="24">
        <v>0.5</v>
      </c>
      <c r="P126" s="14">
        <v>2</v>
      </c>
      <c r="Q126" s="14">
        <v>250</v>
      </c>
      <c r="R126" s="13">
        <v>1150</v>
      </c>
      <c r="S126" s="14" t="s">
        <v>340</v>
      </c>
      <c r="T126" s="14">
        <v>2.2999999999999998</v>
      </c>
      <c r="U126" s="14">
        <v>2.8</v>
      </c>
      <c r="V126" s="25">
        <v>1346.4991023339317</v>
      </c>
      <c r="W126" s="26">
        <v>15000</v>
      </c>
      <c r="X126" s="14" t="s">
        <v>328</v>
      </c>
      <c r="Y126" s="14"/>
      <c r="Z126" s="14"/>
      <c r="AA126" s="14"/>
      <c r="AB126" s="14"/>
      <c r="AC126" s="14"/>
      <c r="AD126" s="14" t="s">
        <v>328</v>
      </c>
      <c r="AE126" s="14" t="s">
        <v>328</v>
      </c>
      <c r="AF126" s="14" t="s">
        <v>328</v>
      </c>
      <c r="AG126" s="14"/>
      <c r="AH126" s="14" t="s">
        <v>328</v>
      </c>
      <c r="AI126" s="14"/>
      <c r="AJ126" s="14"/>
      <c r="AK126" s="14"/>
      <c r="AL126" s="14" t="s">
        <v>328</v>
      </c>
      <c r="AM126" s="14"/>
      <c r="AN126" s="13">
        <v>20000</v>
      </c>
      <c r="AO126" s="13">
        <v>20000</v>
      </c>
      <c r="AP126" s="13">
        <v>40000</v>
      </c>
      <c r="AQ126" s="13">
        <v>80000</v>
      </c>
      <c r="AR126" s="13">
        <v>20000</v>
      </c>
      <c r="AS126" s="26">
        <v>120000</v>
      </c>
      <c r="AT126" s="26">
        <v>0</v>
      </c>
      <c r="AU126" s="26">
        <v>80000</v>
      </c>
      <c r="AV126" s="26">
        <v>30000</v>
      </c>
      <c r="AW126" s="26">
        <v>40000</v>
      </c>
      <c r="AX126" s="62">
        <v>0</v>
      </c>
      <c r="AZ126" s="14" t="s">
        <v>337</v>
      </c>
      <c r="BA126" s="249">
        <f t="shared" si="3"/>
        <v>4</v>
      </c>
      <c r="BB126" s="249">
        <v>0</v>
      </c>
      <c r="BC126" s="249">
        <f t="shared" si="2"/>
        <v>2009</v>
      </c>
    </row>
    <row r="127" spans="1:55" x14ac:dyDescent="0.25">
      <c r="A127" s="50" t="s">
        <v>1404</v>
      </c>
      <c r="B127" s="61" t="s">
        <v>445</v>
      </c>
      <c r="C127" s="14" t="s">
        <v>351</v>
      </c>
      <c r="D127" s="14">
        <v>2012</v>
      </c>
      <c r="E127" s="14" t="s">
        <v>349</v>
      </c>
      <c r="F127" s="14"/>
      <c r="G127" s="14"/>
      <c r="H127" s="14"/>
      <c r="I127" s="14"/>
      <c r="J127" s="13">
        <v>300000</v>
      </c>
      <c r="K127" s="14" t="s">
        <v>328</v>
      </c>
      <c r="L127" s="14"/>
      <c r="M127" s="14"/>
      <c r="N127" s="13">
        <v>15000</v>
      </c>
      <c r="O127" s="24">
        <v>0.5</v>
      </c>
      <c r="P127" s="14">
        <v>2</v>
      </c>
      <c r="Q127" s="14">
        <v>250</v>
      </c>
      <c r="R127" s="13">
        <v>1150</v>
      </c>
      <c r="S127" s="14" t="s">
        <v>340</v>
      </c>
      <c r="T127" s="14">
        <v>2.2999999999999998</v>
      </c>
      <c r="U127" s="14">
        <v>2.8</v>
      </c>
      <c r="V127" s="25">
        <v>1346.4991023339317</v>
      </c>
      <c r="W127" s="26">
        <v>15000</v>
      </c>
      <c r="X127" s="14"/>
      <c r="Y127" s="14" t="s">
        <v>328</v>
      </c>
      <c r="Z127" s="14"/>
      <c r="AA127" s="14"/>
      <c r="AB127" s="14"/>
      <c r="AC127" s="14"/>
      <c r="AD127" s="14" t="s">
        <v>328</v>
      </c>
      <c r="AE127" s="14" t="s">
        <v>328</v>
      </c>
      <c r="AF127" s="14" t="s">
        <v>328</v>
      </c>
      <c r="AG127" s="14"/>
      <c r="AH127" s="14" t="s">
        <v>328</v>
      </c>
      <c r="AI127" s="14"/>
      <c r="AJ127" s="14"/>
      <c r="AK127" s="14"/>
      <c r="AL127" s="14" t="s">
        <v>328</v>
      </c>
      <c r="AM127" s="14"/>
      <c r="AN127" s="13">
        <v>20000</v>
      </c>
      <c r="AO127" s="13">
        <v>20000</v>
      </c>
      <c r="AP127" s="13">
        <v>40000</v>
      </c>
      <c r="AQ127" s="13">
        <v>80000</v>
      </c>
      <c r="AR127" s="13">
        <v>20000</v>
      </c>
      <c r="AS127" s="26">
        <v>120000</v>
      </c>
      <c r="AT127" s="26">
        <v>0</v>
      </c>
      <c r="AU127" s="26">
        <v>80000</v>
      </c>
      <c r="AV127" s="26">
        <v>30000</v>
      </c>
      <c r="AW127" s="26">
        <v>40000</v>
      </c>
      <c r="AX127" s="62">
        <v>0</v>
      </c>
      <c r="AZ127" s="14" t="s">
        <v>351</v>
      </c>
      <c r="BA127" s="249">
        <f t="shared" si="3"/>
        <v>4</v>
      </c>
      <c r="BB127" s="249">
        <v>0</v>
      </c>
      <c r="BC127" s="249">
        <f t="shared" si="2"/>
        <v>2012</v>
      </c>
    </row>
    <row r="128" spans="1:55" x14ac:dyDescent="0.25">
      <c r="A128" s="50" t="s">
        <v>1404</v>
      </c>
      <c r="B128" s="61" t="s">
        <v>445</v>
      </c>
      <c r="C128" s="14" t="s">
        <v>351</v>
      </c>
      <c r="D128" s="14">
        <v>2012</v>
      </c>
      <c r="E128" s="14" t="s">
        <v>349</v>
      </c>
      <c r="F128" s="14"/>
      <c r="G128" s="14"/>
      <c r="H128" s="14"/>
      <c r="I128" s="14"/>
      <c r="J128" s="13">
        <v>300000</v>
      </c>
      <c r="K128" s="14" t="s">
        <v>328</v>
      </c>
      <c r="L128" s="14"/>
      <c r="M128" s="14"/>
      <c r="N128" s="13">
        <v>15000</v>
      </c>
      <c r="O128" s="24">
        <v>0.5</v>
      </c>
      <c r="P128" s="14">
        <v>2</v>
      </c>
      <c r="Q128" s="14">
        <v>250</v>
      </c>
      <c r="R128" s="13">
        <v>1150</v>
      </c>
      <c r="S128" s="14" t="s">
        <v>340</v>
      </c>
      <c r="T128" s="14">
        <v>2.2999999999999998</v>
      </c>
      <c r="U128" s="14">
        <v>2.8</v>
      </c>
      <c r="V128" s="25">
        <v>1346.4991023339317</v>
      </c>
      <c r="W128" s="26">
        <v>15000</v>
      </c>
      <c r="X128" s="14"/>
      <c r="Y128" s="14"/>
      <c r="Z128" s="14"/>
      <c r="AA128" s="14"/>
      <c r="AB128" s="14" t="s">
        <v>328</v>
      </c>
      <c r="AC128" s="14"/>
      <c r="AD128" s="14" t="s">
        <v>328</v>
      </c>
      <c r="AE128" s="14" t="s">
        <v>328</v>
      </c>
      <c r="AF128" s="14" t="s">
        <v>328</v>
      </c>
      <c r="AG128" s="14"/>
      <c r="AH128" s="14" t="s">
        <v>328</v>
      </c>
      <c r="AI128" s="14"/>
      <c r="AJ128" s="14"/>
      <c r="AK128" s="14"/>
      <c r="AL128" s="14" t="s">
        <v>328</v>
      </c>
      <c r="AM128" s="14"/>
      <c r="AN128" s="13">
        <v>20000</v>
      </c>
      <c r="AO128" s="13">
        <v>20000</v>
      </c>
      <c r="AP128" s="13">
        <v>40000</v>
      </c>
      <c r="AQ128" s="13">
        <v>80000</v>
      </c>
      <c r="AR128" s="13">
        <v>20000</v>
      </c>
      <c r="AS128" s="26">
        <v>120000</v>
      </c>
      <c r="AT128" s="26">
        <v>0</v>
      </c>
      <c r="AU128" s="26">
        <v>80000</v>
      </c>
      <c r="AV128" s="26">
        <v>30000</v>
      </c>
      <c r="AW128" s="26">
        <v>40000</v>
      </c>
      <c r="AX128" s="62">
        <v>0</v>
      </c>
      <c r="AZ128" s="14" t="s">
        <v>351</v>
      </c>
      <c r="BA128" s="249">
        <f t="shared" si="3"/>
        <v>4</v>
      </c>
      <c r="BB128" s="249">
        <v>0</v>
      </c>
      <c r="BC128" s="249">
        <f t="shared" si="2"/>
        <v>2012</v>
      </c>
    </row>
    <row r="129" spans="1:55" x14ac:dyDescent="0.25">
      <c r="A129" s="50" t="s">
        <v>1404</v>
      </c>
      <c r="B129" s="61" t="s">
        <v>446</v>
      </c>
      <c r="C129" s="14" t="s">
        <v>337</v>
      </c>
      <c r="D129" s="14">
        <v>2012</v>
      </c>
      <c r="E129" s="14" t="s">
        <v>349</v>
      </c>
      <c r="F129" s="14"/>
      <c r="G129" s="14"/>
      <c r="H129" s="14"/>
      <c r="I129" s="14"/>
      <c r="J129" s="13">
        <v>200000</v>
      </c>
      <c r="K129" s="14" t="s">
        <v>328</v>
      </c>
      <c r="L129" s="14"/>
      <c r="M129" s="14"/>
      <c r="N129" s="13">
        <v>25000</v>
      </c>
      <c r="O129" s="24">
        <v>0.5</v>
      </c>
      <c r="P129" s="14">
        <v>2</v>
      </c>
      <c r="Q129" s="14">
        <v>100</v>
      </c>
      <c r="R129" s="13">
        <v>400</v>
      </c>
      <c r="S129" s="14" t="s">
        <v>340</v>
      </c>
      <c r="T129" s="14">
        <v>2</v>
      </c>
      <c r="U129" s="14">
        <v>2.5</v>
      </c>
      <c r="V129" s="25">
        <v>5385.9964093357266</v>
      </c>
      <c r="W129" s="26">
        <v>60000</v>
      </c>
      <c r="X129" s="14"/>
      <c r="Y129" s="14"/>
      <c r="Z129" s="14"/>
      <c r="AA129" s="14" t="s">
        <v>328</v>
      </c>
      <c r="AB129" s="14"/>
      <c r="AC129" s="14"/>
      <c r="AD129" s="14" t="s">
        <v>328</v>
      </c>
      <c r="AE129" s="14" t="s">
        <v>328</v>
      </c>
      <c r="AF129" s="14" t="s">
        <v>328</v>
      </c>
      <c r="AG129" s="14" t="s">
        <v>328</v>
      </c>
      <c r="AH129" s="14" t="s">
        <v>328</v>
      </c>
      <c r="AI129" s="14" t="s">
        <v>328</v>
      </c>
      <c r="AJ129" s="14"/>
      <c r="AK129" s="14"/>
      <c r="AL129" s="14" t="s">
        <v>328</v>
      </c>
      <c r="AM129" s="14" t="s">
        <v>328</v>
      </c>
      <c r="AN129" s="13">
        <v>40000</v>
      </c>
      <c r="AO129" s="13">
        <v>40000</v>
      </c>
      <c r="AP129" s="13">
        <v>40000</v>
      </c>
      <c r="AQ129" s="13" t="s">
        <v>498</v>
      </c>
      <c r="AR129" s="13">
        <v>40000</v>
      </c>
      <c r="AS129" s="26">
        <v>240000</v>
      </c>
      <c r="AT129" s="26">
        <v>0</v>
      </c>
      <c r="AU129" s="13" t="s">
        <v>415</v>
      </c>
      <c r="AV129" s="13" t="s">
        <v>415</v>
      </c>
      <c r="AW129" s="26">
        <v>300000</v>
      </c>
      <c r="AX129" s="62">
        <v>0</v>
      </c>
      <c r="AZ129" s="14" t="s">
        <v>337</v>
      </c>
      <c r="BA129" s="249">
        <f t="shared" si="3"/>
        <v>8</v>
      </c>
      <c r="BB129" s="249">
        <v>0</v>
      </c>
      <c r="BC129" s="249">
        <f t="shared" si="2"/>
        <v>2012</v>
      </c>
    </row>
    <row r="130" spans="1:55" x14ac:dyDescent="0.25">
      <c r="A130" s="50" t="s">
        <v>1404</v>
      </c>
      <c r="B130" s="61" t="s">
        <v>446</v>
      </c>
      <c r="C130" s="14" t="s">
        <v>337</v>
      </c>
      <c r="D130" s="14">
        <v>2012</v>
      </c>
      <c r="E130" s="14" t="s">
        <v>349</v>
      </c>
      <c r="F130" s="14"/>
      <c r="G130" s="14"/>
      <c r="H130" s="14"/>
      <c r="I130" s="14"/>
      <c r="J130" s="13">
        <v>200000</v>
      </c>
      <c r="K130" s="14" t="s">
        <v>328</v>
      </c>
      <c r="L130" s="14"/>
      <c r="M130" s="14"/>
      <c r="N130" s="13">
        <v>25000</v>
      </c>
      <c r="O130" s="24">
        <v>0.5</v>
      </c>
      <c r="P130" s="14">
        <v>2</v>
      </c>
      <c r="Q130" s="14">
        <v>100</v>
      </c>
      <c r="R130" s="13">
        <v>400</v>
      </c>
      <c r="S130" s="14" t="s">
        <v>340</v>
      </c>
      <c r="T130" s="14">
        <v>2</v>
      </c>
      <c r="U130" s="14">
        <v>2.5</v>
      </c>
      <c r="V130" s="25">
        <v>5385.9964093357266</v>
      </c>
      <c r="W130" s="26">
        <v>60000</v>
      </c>
      <c r="X130" s="14"/>
      <c r="Y130" s="14"/>
      <c r="Z130" s="14"/>
      <c r="AA130" s="14" t="s">
        <v>328</v>
      </c>
      <c r="AB130" s="14"/>
      <c r="AC130" s="14"/>
      <c r="AD130" s="14" t="s">
        <v>328</v>
      </c>
      <c r="AE130" s="14" t="s">
        <v>328</v>
      </c>
      <c r="AF130" s="14" t="s">
        <v>328</v>
      </c>
      <c r="AG130" s="14" t="s">
        <v>328</v>
      </c>
      <c r="AH130" s="14" t="s">
        <v>328</v>
      </c>
      <c r="AI130" s="14" t="s">
        <v>328</v>
      </c>
      <c r="AJ130" s="14"/>
      <c r="AK130" s="14"/>
      <c r="AL130" s="14" t="s">
        <v>328</v>
      </c>
      <c r="AM130" s="14" t="s">
        <v>328</v>
      </c>
      <c r="AN130" s="13">
        <v>40000</v>
      </c>
      <c r="AO130" s="13">
        <v>40000</v>
      </c>
      <c r="AP130" s="13">
        <v>40000</v>
      </c>
      <c r="AQ130" s="13" t="s">
        <v>498</v>
      </c>
      <c r="AR130" s="13">
        <v>40000</v>
      </c>
      <c r="AS130" s="26">
        <v>240000</v>
      </c>
      <c r="AT130" s="26">
        <v>0</v>
      </c>
      <c r="AU130" s="13" t="s">
        <v>415</v>
      </c>
      <c r="AV130" s="13" t="s">
        <v>415</v>
      </c>
      <c r="AW130" s="26">
        <v>300000</v>
      </c>
      <c r="AX130" s="62">
        <v>0</v>
      </c>
      <c r="AZ130" s="14" t="s">
        <v>337</v>
      </c>
      <c r="BA130" s="249">
        <f t="shared" si="3"/>
        <v>8</v>
      </c>
      <c r="BB130" s="249">
        <v>0</v>
      </c>
      <c r="BC130" s="249">
        <f t="shared" si="2"/>
        <v>2012</v>
      </c>
    </row>
    <row r="131" spans="1:55" x14ac:dyDescent="0.25">
      <c r="A131" s="50" t="s">
        <v>1404</v>
      </c>
      <c r="B131" s="61" t="s">
        <v>446</v>
      </c>
      <c r="C131" s="14" t="s">
        <v>337</v>
      </c>
      <c r="D131" s="14">
        <v>2012</v>
      </c>
      <c r="E131" s="14" t="s">
        <v>349</v>
      </c>
      <c r="F131" s="14"/>
      <c r="G131" s="14"/>
      <c r="H131" s="14"/>
      <c r="I131" s="14"/>
      <c r="J131" s="13">
        <v>200000</v>
      </c>
      <c r="K131" s="14" t="s">
        <v>328</v>
      </c>
      <c r="L131" s="14"/>
      <c r="M131" s="14"/>
      <c r="N131" s="13">
        <v>25000</v>
      </c>
      <c r="O131" s="24">
        <v>0.5</v>
      </c>
      <c r="P131" s="14">
        <v>2</v>
      </c>
      <c r="Q131" s="14">
        <v>100</v>
      </c>
      <c r="R131" s="13">
        <v>400</v>
      </c>
      <c r="S131" s="14" t="s">
        <v>340</v>
      </c>
      <c r="T131" s="14">
        <v>2</v>
      </c>
      <c r="U131" s="14">
        <v>2.5</v>
      </c>
      <c r="V131" s="25">
        <v>5385.9964093357266</v>
      </c>
      <c r="W131" s="26">
        <v>60000</v>
      </c>
      <c r="X131" s="14"/>
      <c r="Y131" s="14"/>
      <c r="Z131" s="14"/>
      <c r="AA131" s="14" t="s">
        <v>328</v>
      </c>
      <c r="AB131" s="14"/>
      <c r="AC131" s="14"/>
      <c r="AD131" s="14" t="s">
        <v>328</v>
      </c>
      <c r="AE131" s="14" t="s">
        <v>328</v>
      </c>
      <c r="AF131" s="14" t="s">
        <v>328</v>
      </c>
      <c r="AG131" s="14" t="s">
        <v>328</v>
      </c>
      <c r="AH131" s="14" t="s">
        <v>328</v>
      </c>
      <c r="AI131" s="14" t="s">
        <v>328</v>
      </c>
      <c r="AJ131" s="14"/>
      <c r="AK131" s="14"/>
      <c r="AL131" s="14" t="s">
        <v>328</v>
      </c>
      <c r="AM131" s="14" t="s">
        <v>328</v>
      </c>
      <c r="AN131" s="13">
        <v>40000</v>
      </c>
      <c r="AO131" s="13">
        <v>40000</v>
      </c>
      <c r="AP131" s="13">
        <v>40000</v>
      </c>
      <c r="AQ131" s="13" t="s">
        <v>498</v>
      </c>
      <c r="AR131" s="13">
        <v>40000</v>
      </c>
      <c r="AS131" s="26">
        <v>240000</v>
      </c>
      <c r="AT131" s="26">
        <v>0</v>
      </c>
      <c r="AU131" s="13" t="s">
        <v>415</v>
      </c>
      <c r="AV131" s="13" t="s">
        <v>415</v>
      </c>
      <c r="AW131" s="26">
        <v>300000</v>
      </c>
      <c r="AX131" s="62">
        <v>0</v>
      </c>
      <c r="AZ131" s="14" t="s">
        <v>337</v>
      </c>
      <c r="BA131" s="249">
        <f t="shared" si="3"/>
        <v>8</v>
      </c>
      <c r="BB131" s="249">
        <v>0</v>
      </c>
      <c r="BC131" s="249">
        <f t="shared" si="2"/>
        <v>2012</v>
      </c>
    </row>
    <row r="132" spans="1:55" x14ac:dyDescent="0.25">
      <c r="A132" s="50" t="s">
        <v>1404</v>
      </c>
      <c r="B132" s="61" t="s">
        <v>446</v>
      </c>
      <c r="C132" s="14" t="s">
        <v>337</v>
      </c>
      <c r="D132" s="14">
        <v>2012</v>
      </c>
      <c r="E132" s="14" t="s">
        <v>349</v>
      </c>
      <c r="F132" s="14"/>
      <c r="G132" s="14"/>
      <c r="H132" s="14"/>
      <c r="I132" s="14"/>
      <c r="J132" s="13">
        <v>200000</v>
      </c>
      <c r="K132" s="14" t="s">
        <v>328</v>
      </c>
      <c r="L132" s="14"/>
      <c r="M132" s="14"/>
      <c r="N132" s="13">
        <v>25000</v>
      </c>
      <c r="O132" s="24">
        <v>0.5</v>
      </c>
      <c r="P132" s="14">
        <v>2</v>
      </c>
      <c r="Q132" s="14">
        <v>100</v>
      </c>
      <c r="R132" s="13">
        <v>400</v>
      </c>
      <c r="S132" s="14" t="s">
        <v>340</v>
      </c>
      <c r="T132" s="14">
        <v>2</v>
      </c>
      <c r="U132" s="14">
        <v>2.5</v>
      </c>
      <c r="V132" s="25">
        <v>5385.9964093357266</v>
      </c>
      <c r="W132" s="26">
        <v>60000</v>
      </c>
      <c r="X132" s="14"/>
      <c r="Y132" s="14"/>
      <c r="Z132" s="14"/>
      <c r="AA132" s="14" t="s">
        <v>328</v>
      </c>
      <c r="AB132" s="14"/>
      <c r="AC132" s="14"/>
      <c r="AD132" s="14" t="s">
        <v>328</v>
      </c>
      <c r="AE132" s="14" t="s">
        <v>328</v>
      </c>
      <c r="AF132" s="14" t="s">
        <v>328</v>
      </c>
      <c r="AG132" s="14" t="s">
        <v>328</v>
      </c>
      <c r="AH132" s="14" t="s">
        <v>328</v>
      </c>
      <c r="AI132" s="14" t="s">
        <v>328</v>
      </c>
      <c r="AJ132" s="14"/>
      <c r="AK132" s="14"/>
      <c r="AL132" s="14" t="s">
        <v>328</v>
      </c>
      <c r="AM132" s="14" t="s">
        <v>328</v>
      </c>
      <c r="AN132" s="13">
        <v>40000</v>
      </c>
      <c r="AO132" s="13">
        <v>40000</v>
      </c>
      <c r="AP132" s="13">
        <v>40000</v>
      </c>
      <c r="AQ132" s="13" t="s">
        <v>498</v>
      </c>
      <c r="AR132" s="13">
        <v>40000</v>
      </c>
      <c r="AS132" s="26">
        <v>240000</v>
      </c>
      <c r="AT132" s="26">
        <v>0</v>
      </c>
      <c r="AU132" s="13" t="s">
        <v>415</v>
      </c>
      <c r="AV132" s="13" t="s">
        <v>415</v>
      </c>
      <c r="AW132" s="26">
        <v>300000</v>
      </c>
      <c r="AX132" s="62">
        <v>0</v>
      </c>
      <c r="AZ132" s="14" t="s">
        <v>337</v>
      </c>
      <c r="BA132" s="249">
        <f t="shared" si="3"/>
        <v>8</v>
      </c>
      <c r="BB132" s="249">
        <v>0</v>
      </c>
      <c r="BC132" s="249">
        <f t="shared" si="2"/>
        <v>2012</v>
      </c>
    </row>
    <row r="133" spans="1:55" x14ac:dyDescent="0.25">
      <c r="A133" s="50" t="s">
        <v>1404</v>
      </c>
      <c r="B133" s="61" t="s">
        <v>446</v>
      </c>
      <c r="C133" s="14" t="s">
        <v>337</v>
      </c>
      <c r="D133" s="14">
        <v>2013</v>
      </c>
      <c r="E133" s="14" t="s">
        <v>349</v>
      </c>
      <c r="F133" s="14"/>
      <c r="G133" s="14"/>
      <c r="H133" s="14"/>
      <c r="I133" s="14"/>
      <c r="J133" s="13">
        <v>200000</v>
      </c>
      <c r="K133" s="14" t="s">
        <v>328</v>
      </c>
      <c r="L133" s="14"/>
      <c r="M133" s="14"/>
      <c r="N133" s="13">
        <v>25000</v>
      </c>
      <c r="O133" s="24">
        <v>0.5</v>
      </c>
      <c r="P133" s="14">
        <v>2</v>
      </c>
      <c r="Q133" s="14">
        <v>100</v>
      </c>
      <c r="R133" s="13">
        <v>400</v>
      </c>
      <c r="S133" s="14" t="s">
        <v>340</v>
      </c>
      <c r="T133" s="14">
        <v>2</v>
      </c>
      <c r="U133" s="14">
        <v>2.5</v>
      </c>
      <c r="V133" s="25">
        <v>5385.9964093357266</v>
      </c>
      <c r="W133" s="26">
        <v>60000</v>
      </c>
      <c r="X133" s="14"/>
      <c r="Y133" s="14"/>
      <c r="Z133" s="14"/>
      <c r="AA133" s="14" t="s">
        <v>328</v>
      </c>
      <c r="AB133" s="14"/>
      <c r="AC133" s="14"/>
      <c r="AD133" s="14" t="s">
        <v>328</v>
      </c>
      <c r="AE133" s="14" t="s">
        <v>328</v>
      </c>
      <c r="AF133" s="14" t="s">
        <v>328</v>
      </c>
      <c r="AG133" s="14" t="s">
        <v>328</v>
      </c>
      <c r="AH133" s="14" t="s">
        <v>328</v>
      </c>
      <c r="AI133" s="14" t="s">
        <v>328</v>
      </c>
      <c r="AJ133" s="14"/>
      <c r="AK133" s="14"/>
      <c r="AL133" s="14" t="s">
        <v>328</v>
      </c>
      <c r="AM133" s="14" t="s">
        <v>328</v>
      </c>
      <c r="AN133" s="13">
        <v>40000</v>
      </c>
      <c r="AO133" s="13">
        <v>40000</v>
      </c>
      <c r="AP133" s="13">
        <v>40000</v>
      </c>
      <c r="AQ133" s="13" t="s">
        <v>498</v>
      </c>
      <c r="AR133" s="13">
        <v>40000</v>
      </c>
      <c r="AS133" s="26">
        <v>240000</v>
      </c>
      <c r="AT133" s="26">
        <v>0</v>
      </c>
      <c r="AU133" s="13" t="s">
        <v>415</v>
      </c>
      <c r="AV133" s="13" t="s">
        <v>415</v>
      </c>
      <c r="AW133" s="26">
        <v>300000</v>
      </c>
      <c r="AX133" s="62">
        <v>0</v>
      </c>
      <c r="AZ133" s="14" t="s">
        <v>337</v>
      </c>
      <c r="BA133" s="249">
        <f t="shared" si="3"/>
        <v>8</v>
      </c>
      <c r="BB133" s="249">
        <v>0</v>
      </c>
      <c r="BC133" s="249">
        <f t="shared" si="2"/>
        <v>2013</v>
      </c>
    </row>
    <row r="134" spans="1:55" x14ac:dyDescent="0.25">
      <c r="A134" s="50" t="s">
        <v>1404</v>
      </c>
      <c r="B134" s="61" t="s">
        <v>446</v>
      </c>
      <c r="C134" s="14" t="s">
        <v>337</v>
      </c>
      <c r="D134" s="14">
        <v>2013</v>
      </c>
      <c r="E134" s="14" t="s">
        <v>349</v>
      </c>
      <c r="F134" s="14"/>
      <c r="G134" s="14"/>
      <c r="H134" s="14"/>
      <c r="I134" s="14"/>
      <c r="J134" s="13">
        <v>200000</v>
      </c>
      <c r="K134" s="14" t="s">
        <v>328</v>
      </c>
      <c r="L134" s="14"/>
      <c r="M134" s="14"/>
      <c r="N134" s="13">
        <v>25000</v>
      </c>
      <c r="O134" s="24">
        <v>0.5</v>
      </c>
      <c r="P134" s="14">
        <v>2</v>
      </c>
      <c r="Q134" s="14">
        <v>100</v>
      </c>
      <c r="R134" s="13">
        <v>400</v>
      </c>
      <c r="S134" s="14" t="s">
        <v>340</v>
      </c>
      <c r="T134" s="14">
        <v>2</v>
      </c>
      <c r="U134" s="14">
        <v>2.5</v>
      </c>
      <c r="V134" s="25">
        <v>5385.9964093357266</v>
      </c>
      <c r="W134" s="26">
        <v>60000</v>
      </c>
      <c r="X134" s="14"/>
      <c r="Y134" s="14"/>
      <c r="Z134" s="14"/>
      <c r="AA134" s="14" t="s">
        <v>328</v>
      </c>
      <c r="AB134" s="14"/>
      <c r="AC134" s="14"/>
      <c r="AD134" s="14" t="s">
        <v>328</v>
      </c>
      <c r="AE134" s="14" t="s">
        <v>328</v>
      </c>
      <c r="AF134" s="14" t="s">
        <v>328</v>
      </c>
      <c r="AG134" s="14" t="s">
        <v>328</v>
      </c>
      <c r="AH134" s="14" t="s">
        <v>328</v>
      </c>
      <c r="AI134" s="14" t="s">
        <v>328</v>
      </c>
      <c r="AJ134" s="14"/>
      <c r="AK134" s="14"/>
      <c r="AL134" s="14" t="s">
        <v>328</v>
      </c>
      <c r="AM134" s="14" t="s">
        <v>328</v>
      </c>
      <c r="AN134" s="13">
        <v>40000</v>
      </c>
      <c r="AO134" s="13">
        <v>40000</v>
      </c>
      <c r="AP134" s="13">
        <v>40000</v>
      </c>
      <c r="AQ134" s="13" t="s">
        <v>498</v>
      </c>
      <c r="AR134" s="13">
        <v>40000</v>
      </c>
      <c r="AS134" s="26">
        <v>240000</v>
      </c>
      <c r="AT134" s="26">
        <v>0</v>
      </c>
      <c r="AU134" s="13" t="s">
        <v>415</v>
      </c>
      <c r="AV134" s="13" t="s">
        <v>415</v>
      </c>
      <c r="AW134" s="26">
        <v>300000</v>
      </c>
      <c r="AX134" s="62">
        <v>0</v>
      </c>
      <c r="AZ134" s="14" t="s">
        <v>337</v>
      </c>
      <c r="BA134" s="249">
        <f t="shared" si="3"/>
        <v>8</v>
      </c>
      <c r="BB134" s="249">
        <v>0</v>
      </c>
      <c r="BC134" s="249">
        <f t="shared" si="2"/>
        <v>2013</v>
      </c>
    </row>
    <row r="135" spans="1:55" x14ac:dyDescent="0.25">
      <c r="A135" s="50" t="s">
        <v>1404</v>
      </c>
      <c r="B135" s="61" t="s">
        <v>446</v>
      </c>
      <c r="C135" s="14" t="s">
        <v>337</v>
      </c>
      <c r="D135" s="14">
        <v>2013</v>
      </c>
      <c r="E135" s="14" t="s">
        <v>349</v>
      </c>
      <c r="F135" s="14"/>
      <c r="G135" s="14"/>
      <c r="H135" s="14"/>
      <c r="I135" s="14"/>
      <c r="J135" s="13">
        <v>200000</v>
      </c>
      <c r="K135" s="14" t="s">
        <v>328</v>
      </c>
      <c r="L135" s="14"/>
      <c r="M135" s="14"/>
      <c r="N135" s="13">
        <v>25000</v>
      </c>
      <c r="O135" s="24">
        <v>0.5</v>
      </c>
      <c r="P135" s="14">
        <v>2</v>
      </c>
      <c r="Q135" s="14">
        <v>100</v>
      </c>
      <c r="R135" s="13">
        <v>400</v>
      </c>
      <c r="S135" s="14" t="s">
        <v>340</v>
      </c>
      <c r="T135" s="14">
        <v>2</v>
      </c>
      <c r="U135" s="14">
        <v>2.5</v>
      </c>
      <c r="V135" s="25">
        <v>5385.9964093357266</v>
      </c>
      <c r="W135" s="26">
        <v>60000</v>
      </c>
      <c r="X135" s="14"/>
      <c r="Y135" s="14"/>
      <c r="Z135" s="14"/>
      <c r="AA135" s="14" t="s">
        <v>328</v>
      </c>
      <c r="AB135" s="14"/>
      <c r="AC135" s="14"/>
      <c r="AD135" s="14" t="s">
        <v>328</v>
      </c>
      <c r="AE135" s="14" t="s">
        <v>328</v>
      </c>
      <c r="AF135" s="14" t="s">
        <v>328</v>
      </c>
      <c r="AG135" s="14" t="s">
        <v>328</v>
      </c>
      <c r="AH135" s="14" t="s">
        <v>328</v>
      </c>
      <c r="AI135" s="14" t="s">
        <v>328</v>
      </c>
      <c r="AJ135" s="14"/>
      <c r="AK135" s="14"/>
      <c r="AL135" s="14" t="s">
        <v>328</v>
      </c>
      <c r="AM135" s="14" t="s">
        <v>328</v>
      </c>
      <c r="AN135" s="13">
        <v>40000</v>
      </c>
      <c r="AO135" s="13">
        <v>40000</v>
      </c>
      <c r="AP135" s="13">
        <v>40000</v>
      </c>
      <c r="AQ135" s="13" t="s">
        <v>498</v>
      </c>
      <c r="AR135" s="13">
        <v>40000</v>
      </c>
      <c r="AS135" s="26">
        <v>240000</v>
      </c>
      <c r="AT135" s="26">
        <v>0</v>
      </c>
      <c r="AU135" s="13" t="s">
        <v>415</v>
      </c>
      <c r="AV135" s="13" t="s">
        <v>415</v>
      </c>
      <c r="AW135" s="26">
        <v>300000</v>
      </c>
      <c r="AX135" s="62">
        <v>0</v>
      </c>
      <c r="AZ135" s="14" t="s">
        <v>337</v>
      </c>
      <c r="BA135" s="249">
        <f t="shared" si="3"/>
        <v>8</v>
      </c>
      <c r="BB135" s="249">
        <v>0</v>
      </c>
      <c r="BC135" s="249">
        <f t="shared" si="2"/>
        <v>2013</v>
      </c>
    </row>
    <row r="136" spans="1:55" x14ac:dyDescent="0.25">
      <c r="A136" s="50" t="s">
        <v>1404</v>
      </c>
      <c r="B136" s="61" t="s">
        <v>446</v>
      </c>
      <c r="C136" s="14" t="s">
        <v>337</v>
      </c>
      <c r="D136" s="14">
        <v>2013</v>
      </c>
      <c r="E136" s="14" t="s">
        <v>349</v>
      </c>
      <c r="F136" s="14"/>
      <c r="G136" s="14"/>
      <c r="H136" s="14"/>
      <c r="I136" s="14"/>
      <c r="J136" s="13">
        <v>200000</v>
      </c>
      <c r="K136" s="14" t="s">
        <v>328</v>
      </c>
      <c r="L136" s="14"/>
      <c r="M136" s="14"/>
      <c r="N136" s="13">
        <v>25000</v>
      </c>
      <c r="O136" s="24">
        <v>0.5</v>
      </c>
      <c r="P136" s="14">
        <v>2</v>
      </c>
      <c r="Q136" s="14">
        <v>100</v>
      </c>
      <c r="R136" s="13">
        <v>400</v>
      </c>
      <c r="S136" s="14" t="s">
        <v>340</v>
      </c>
      <c r="T136" s="14">
        <v>2</v>
      </c>
      <c r="U136" s="14">
        <v>2.5</v>
      </c>
      <c r="V136" s="25">
        <v>5385.9964093357266</v>
      </c>
      <c r="W136" s="26">
        <v>60000</v>
      </c>
      <c r="X136" s="14"/>
      <c r="Y136" s="14"/>
      <c r="Z136" s="14"/>
      <c r="AA136" s="14" t="s">
        <v>328</v>
      </c>
      <c r="AB136" s="14"/>
      <c r="AC136" s="14"/>
      <c r="AD136" s="14" t="s">
        <v>328</v>
      </c>
      <c r="AE136" s="14" t="s">
        <v>328</v>
      </c>
      <c r="AF136" s="14" t="s">
        <v>328</v>
      </c>
      <c r="AG136" s="14" t="s">
        <v>328</v>
      </c>
      <c r="AH136" s="14" t="s">
        <v>328</v>
      </c>
      <c r="AI136" s="14" t="s">
        <v>328</v>
      </c>
      <c r="AJ136" s="14"/>
      <c r="AK136" s="14"/>
      <c r="AL136" s="14" t="s">
        <v>328</v>
      </c>
      <c r="AM136" s="14" t="s">
        <v>328</v>
      </c>
      <c r="AN136" s="13">
        <v>40000</v>
      </c>
      <c r="AO136" s="13">
        <v>40000</v>
      </c>
      <c r="AP136" s="13">
        <v>40000</v>
      </c>
      <c r="AQ136" s="13" t="s">
        <v>498</v>
      </c>
      <c r="AR136" s="13">
        <v>40000</v>
      </c>
      <c r="AS136" s="26">
        <v>240000</v>
      </c>
      <c r="AT136" s="26">
        <v>0</v>
      </c>
      <c r="AU136" s="13" t="s">
        <v>415</v>
      </c>
      <c r="AV136" s="13" t="s">
        <v>415</v>
      </c>
      <c r="AW136" s="26">
        <v>300000</v>
      </c>
      <c r="AX136" s="62">
        <v>0</v>
      </c>
      <c r="AZ136" s="14" t="s">
        <v>337</v>
      </c>
      <c r="BA136" s="249">
        <f t="shared" si="3"/>
        <v>8</v>
      </c>
      <c r="BB136" s="249">
        <v>0</v>
      </c>
      <c r="BC136" s="249">
        <f t="shared" ref="BC136:BC199" si="4">IF(H136&gt;D136,(IF(H136&gt;F136,H136,(IF(F136&gt;D136,F136,D136)))),(IF(F136&gt;D136,F136,D136)))</f>
        <v>2013</v>
      </c>
    </row>
    <row r="137" spans="1:55" x14ac:dyDescent="0.25">
      <c r="A137" s="50" t="s">
        <v>1404</v>
      </c>
      <c r="B137" s="61" t="s">
        <v>447</v>
      </c>
      <c r="C137" s="14" t="s">
        <v>348</v>
      </c>
      <c r="D137" s="14">
        <v>2004</v>
      </c>
      <c r="E137" s="14" t="s">
        <v>360</v>
      </c>
      <c r="F137" s="14"/>
      <c r="G137" s="14"/>
      <c r="H137" s="14"/>
      <c r="I137" s="14"/>
      <c r="J137" s="13">
        <v>540000</v>
      </c>
      <c r="K137" s="14" t="s">
        <v>328</v>
      </c>
      <c r="L137" s="14"/>
      <c r="M137" s="14"/>
      <c r="N137" s="13">
        <v>5000</v>
      </c>
      <c r="O137" s="24">
        <v>0.4</v>
      </c>
      <c r="P137" s="14">
        <v>1</v>
      </c>
      <c r="Q137" s="14">
        <v>180</v>
      </c>
      <c r="R137" s="13">
        <v>720</v>
      </c>
      <c r="S137" s="14" t="s">
        <v>430</v>
      </c>
      <c r="T137" s="14">
        <v>4</v>
      </c>
      <c r="U137" s="14">
        <v>4.5</v>
      </c>
      <c r="V137" s="25">
        <v>1436.2657091561939</v>
      </c>
      <c r="W137" s="26">
        <v>16000</v>
      </c>
      <c r="X137" s="14"/>
      <c r="Y137" s="14"/>
      <c r="Z137" s="14"/>
      <c r="AA137" s="14"/>
      <c r="AB137" s="14" t="s">
        <v>328</v>
      </c>
      <c r="AC137" s="14"/>
      <c r="AD137" s="14"/>
      <c r="AE137" s="14"/>
      <c r="AF137" s="14"/>
      <c r="AG137" s="14"/>
      <c r="AH137" s="14"/>
      <c r="AI137" s="14" t="s">
        <v>328</v>
      </c>
      <c r="AJ137" s="14"/>
      <c r="AK137" s="14" t="s">
        <v>328</v>
      </c>
      <c r="AL137" s="14" t="s">
        <v>328</v>
      </c>
      <c r="AM137" s="14"/>
      <c r="AN137" s="13">
        <v>5000</v>
      </c>
      <c r="AO137" s="13">
        <v>15000</v>
      </c>
      <c r="AP137" s="13">
        <v>15000</v>
      </c>
      <c r="AQ137" s="13">
        <v>60000</v>
      </c>
      <c r="AR137" s="13" t="s">
        <v>385</v>
      </c>
      <c r="AS137" s="26">
        <v>78000</v>
      </c>
      <c r="AT137" s="26">
        <v>0</v>
      </c>
      <c r="AU137" s="26">
        <v>150000</v>
      </c>
      <c r="AV137" s="26">
        <v>100000</v>
      </c>
      <c r="AW137" s="26">
        <v>120000</v>
      </c>
      <c r="AX137" s="62">
        <v>0</v>
      </c>
      <c r="AZ137" s="14" t="s">
        <v>348</v>
      </c>
      <c r="BA137" s="249">
        <f t="shared" ref="BA137:BA200" si="5">COUNTIF($B$8:$B$987,B137)</f>
        <v>6</v>
      </c>
      <c r="BB137" s="249">
        <v>0</v>
      </c>
      <c r="BC137" s="249">
        <f t="shared" si="4"/>
        <v>2004</v>
      </c>
    </row>
    <row r="138" spans="1:55" x14ac:dyDescent="0.25">
      <c r="A138" s="50" t="s">
        <v>1404</v>
      </c>
      <c r="B138" s="61" t="s">
        <v>447</v>
      </c>
      <c r="C138" s="14" t="s">
        <v>348</v>
      </c>
      <c r="D138" s="14">
        <v>2004</v>
      </c>
      <c r="E138" s="14" t="s">
        <v>360</v>
      </c>
      <c r="F138" s="14"/>
      <c r="G138" s="14"/>
      <c r="H138" s="14"/>
      <c r="I138" s="14"/>
      <c r="J138" s="13">
        <v>540000</v>
      </c>
      <c r="K138" s="14" t="s">
        <v>328</v>
      </c>
      <c r="L138" s="14"/>
      <c r="M138" s="14"/>
      <c r="N138" s="13">
        <v>5000</v>
      </c>
      <c r="O138" s="24">
        <v>0.4</v>
      </c>
      <c r="P138" s="14">
        <v>1</v>
      </c>
      <c r="Q138" s="14">
        <v>180</v>
      </c>
      <c r="R138" s="13">
        <v>720</v>
      </c>
      <c r="S138" s="14" t="s">
        <v>430</v>
      </c>
      <c r="T138" s="14">
        <v>4</v>
      </c>
      <c r="U138" s="14">
        <v>4.5</v>
      </c>
      <c r="V138" s="25">
        <v>1436.2657091561939</v>
      </c>
      <c r="W138" s="26">
        <v>16000</v>
      </c>
      <c r="X138" s="14"/>
      <c r="Y138" s="14"/>
      <c r="Z138" s="14"/>
      <c r="AA138" s="14"/>
      <c r="AB138" s="14" t="s">
        <v>328</v>
      </c>
      <c r="AC138" s="14"/>
      <c r="AD138" s="14"/>
      <c r="AE138" s="14"/>
      <c r="AF138" s="14"/>
      <c r="AG138" s="14"/>
      <c r="AH138" s="14"/>
      <c r="AI138" s="14" t="s">
        <v>328</v>
      </c>
      <c r="AJ138" s="14"/>
      <c r="AK138" s="14" t="s">
        <v>328</v>
      </c>
      <c r="AL138" s="14"/>
      <c r="AM138" s="14"/>
      <c r="AN138" s="13">
        <v>5000</v>
      </c>
      <c r="AO138" s="13">
        <v>15000</v>
      </c>
      <c r="AP138" s="13">
        <v>15000</v>
      </c>
      <c r="AQ138" s="13">
        <v>60000</v>
      </c>
      <c r="AR138" s="13" t="s">
        <v>385</v>
      </c>
      <c r="AS138" s="26">
        <v>78000</v>
      </c>
      <c r="AT138" s="26">
        <v>0</v>
      </c>
      <c r="AU138" s="26">
        <v>150000</v>
      </c>
      <c r="AV138" s="26">
        <v>100000</v>
      </c>
      <c r="AW138" s="26">
        <v>120000</v>
      </c>
      <c r="AX138" s="62">
        <v>0</v>
      </c>
      <c r="AZ138" s="14" t="s">
        <v>348</v>
      </c>
      <c r="BA138" s="249">
        <f t="shared" si="5"/>
        <v>6</v>
      </c>
      <c r="BB138" s="249">
        <v>0</v>
      </c>
      <c r="BC138" s="249">
        <f t="shared" si="4"/>
        <v>2004</v>
      </c>
    </row>
    <row r="139" spans="1:55" x14ac:dyDescent="0.25">
      <c r="A139" s="50" t="s">
        <v>1404</v>
      </c>
      <c r="B139" s="61" t="s">
        <v>447</v>
      </c>
      <c r="C139" s="14" t="s">
        <v>348</v>
      </c>
      <c r="D139" s="14">
        <v>2002</v>
      </c>
      <c r="E139" s="14" t="s">
        <v>360</v>
      </c>
      <c r="F139" s="14"/>
      <c r="G139" s="14"/>
      <c r="H139" s="14"/>
      <c r="I139" s="14"/>
      <c r="J139" s="13">
        <v>660000</v>
      </c>
      <c r="K139" s="14" t="s">
        <v>328</v>
      </c>
      <c r="L139" s="14"/>
      <c r="M139" s="14"/>
      <c r="N139" s="13">
        <v>5000</v>
      </c>
      <c r="O139" s="24">
        <v>0.4</v>
      </c>
      <c r="P139" s="14">
        <v>1</v>
      </c>
      <c r="Q139" s="14">
        <v>180</v>
      </c>
      <c r="R139" s="13">
        <v>720</v>
      </c>
      <c r="S139" s="14" t="s">
        <v>371</v>
      </c>
      <c r="T139" s="14">
        <v>4</v>
      </c>
      <c r="U139" s="14">
        <v>4.5</v>
      </c>
      <c r="V139" s="25">
        <v>1436.2657091561939</v>
      </c>
      <c r="W139" s="26">
        <v>16000</v>
      </c>
      <c r="X139" s="14"/>
      <c r="Y139" s="14"/>
      <c r="Z139" s="14"/>
      <c r="AA139" s="14"/>
      <c r="AB139" s="14" t="s">
        <v>328</v>
      </c>
      <c r="AC139" s="14"/>
      <c r="AD139" s="14"/>
      <c r="AE139" s="14"/>
      <c r="AF139" s="14"/>
      <c r="AG139" s="14" t="s">
        <v>328</v>
      </c>
      <c r="AH139" s="14"/>
      <c r="AI139" s="14" t="s">
        <v>328</v>
      </c>
      <c r="AJ139" s="14"/>
      <c r="AK139" s="14" t="s">
        <v>328</v>
      </c>
      <c r="AL139" s="14"/>
      <c r="AM139" s="14"/>
      <c r="AN139" s="13">
        <v>5000</v>
      </c>
      <c r="AO139" s="13">
        <v>15000</v>
      </c>
      <c r="AP139" s="13">
        <v>15000</v>
      </c>
      <c r="AQ139" s="13">
        <v>60000</v>
      </c>
      <c r="AR139" s="13" t="s">
        <v>385</v>
      </c>
      <c r="AS139" s="26">
        <v>78000</v>
      </c>
      <c r="AT139" s="26">
        <v>0</v>
      </c>
      <c r="AU139" s="26">
        <v>150000</v>
      </c>
      <c r="AV139" s="26">
        <v>100000</v>
      </c>
      <c r="AW139" s="26">
        <v>120000</v>
      </c>
      <c r="AX139" s="62">
        <v>0</v>
      </c>
      <c r="AZ139" s="14" t="s">
        <v>348</v>
      </c>
      <c r="BA139" s="249">
        <f t="shared" si="5"/>
        <v>6</v>
      </c>
      <c r="BB139" s="249">
        <v>0</v>
      </c>
      <c r="BC139" s="249">
        <f t="shared" si="4"/>
        <v>2002</v>
      </c>
    </row>
    <row r="140" spans="1:55" x14ac:dyDescent="0.25">
      <c r="A140" s="50" t="s">
        <v>1404</v>
      </c>
      <c r="B140" s="61" t="s">
        <v>447</v>
      </c>
      <c r="C140" s="14" t="s">
        <v>348</v>
      </c>
      <c r="D140" s="14">
        <v>2012</v>
      </c>
      <c r="E140" s="14" t="s">
        <v>451</v>
      </c>
      <c r="F140" s="14"/>
      <c r="G140" s="14"/>
      <c r="H140" s="14"/>
      <c r="I140" s="14"/>
      <c r="J140" s="13">
        <v>120000</v>
      </c>
      <c r="K140" s="14" t="s">
        <v>328</v>
      </c>
      <c r="L140" s="14"/>
      <c r="M140" s="14"/>
      <c r="N140" s="13">
        <v>1000</v>
      </c>
      <c r="O140" s="24">
        <v>0.4</v>
      </c>
      <c r="P140" s="14">
        <v>1</v>
      </c>
      <c r="Q140" s="14">
        <v>180</v>
      </c>
      <c r="R140" s="13">
        <v>720</v>
      </c>
      <c r="S140" s="14" t="s">
        <v>371</v>
      </c>
      <c r="T140" s="14">
        <v>4</v>
      </c>
      <c r="U140" s="14">
        <v>4.5</v>
      </c>
      <c r="V140" s="25">
        <v>1436.2657091561939</v>
      </c>
      <c r="W140" s="26">
        <v>16000</v>
      </c>
      <c r="X140" s="14"/>
      <c r="Y140" s="14"/>
      <c r="Z140" s="14"/>
      <c r="AA140" s="14"/>
      <c r="AB140" s="14"/>
      <c r="AC140" s="14" t="s">
        <v>328</v>
      </c>
      <c r="AD140" s="14"/>
      <c r="AE140" s="14"/>
      <c r="AF140" s="14"/>
      <c r="AG140" s="14" t="s">
        <v>328</v>
      </c>
      <c r="AH140" s="14"/>
      <c r="AI140" s="14" t="s">
        <v>328</v>
      </c>
      <c r="AJ140" s="14"/>
      <c r="AK140" s="14" t="s">
        <v>328</v>
      </c>
      <c r="AL140" s="14"/>
      <c r="AM140" s="14"/>
      <c r="AN140" s="13">
        <v>5000</v>
      </c>
      <c r="AO140" s="13">
        <v>3000</v>
      </c>
      <c r="AP140" s="13">
        <v>3000</v>
      </c>
      <c r="AQ140" s="13">
        <v>12000</v>
      </c>
      <c r="AR140" s="13" t="s">
        <v>385</v>
      </c>
      <c r="AS140" s="26">
        <v>78000</v>
      </c>
      <c r="AT140" s="26">
        <v>0</v>
      </c>
      <c r="AU140" s="26">
        <v>150000</v>
      </c>
      <c r="AV140" s="26">
        <v>100000</v>
      </c>
      <c r="AW140" s="26">
        <v>120000</v>
      </c>
      <c r="AX140" s="62">
        <v>0</v>
      </c>
      <c r="AZ140" s="14" t="s">
        <v>348</v>
      </c>
      <c r="BA140" s="249">
        <f t="shared" si="5"/>
        <v>6</v>
      </c>
      <c r="BB140" s="249">
        <v>0</v>
      </c>
      <c r="BC140" s="249">
        <f t="shared" si="4"/>
        <v>2012</v>
      </c>
    </row>
    <row r="141" spans="1:55" x14ac:dyDescent="0.25">
      <c r="A141" s="50" t="s">
        <v>1404</v>
      </c>
      <c r="B141" s="61" t="s">
        <v>447</v>
      </c>
      <c r="C141" s="14" t="s">
        <v>351</v>
      </c>
      <c r="D141" s="14">
        <v>2008</v>
      </c>
      <c r="E141" s="14" t="s">
        <v>349</v>
      </c>
      <c r="F141" s="14"/>
      <c r="G141" s="14"/>
      <c r="H141" s="14"/>
      <c r="I141" s="14"/>
      <c r="J141" s="13">
        <v>300000</v>
      </c>
      <c r="K141" s="14" t="s">
        <v>328</v>
      </c>
      <c r="L141" s="14"/>
      <c r="M141" s="14"/>
      <c r="N141" s="13">
        <v>5000</v>
      </c>
      <c r="O141" s="24">
        <v>0.4</v>
      </c>
      <c r="P141" s="14">
        <v>2</v>
      </c>
      <c r="Q141" s="14">
        <v>150</v>
      </c>
      <c r="R141" s="13">
        <v>1200</v>
      </c>
      <c r="S141" s="14" t="s">
        <v>340</v>
      </c>
      <c r="T141" s="14">
        <v>4</v>
      </c>
      <c r="U141" s="14">
        <v>4.5</v>
      </c>
      <c r="V141" s="25">
        <v>1436.2657091561939</v>
      </c>
      <c r="W141" s="26">
        <v>16000</v>
      </c>
      <c r="X141" s="14"/>
      <c r="Y141" s="14"/>
      <c r="Z141" s="14"/>
      <c r="AA141" s="14"/>
      <c r="AB141" s="14" t="s">
        <v>328</v>
      </c>
      <c r="AC141" s="14"/>
      <c r="AD141" s="14" t="s">
        <v>328</v>
      </c>
      <c r="AE141" s="14" t="s">
        <v>328</v>
      </c>
      <c r="AF141" s="14"/>
      <c r="AG141" s="14"/>
      <c r="AH141" s="14"/>
      <c r="AI141" s="14" t="s">
        <v>328</v>
      </c>
      <c r="AJ141" s="14"/>
      <c r="AK141" s="14" t="s">
        <v>328</v>
      </c>
      <c r="AL141" s="14"/>
      <c r="AM141" s="14"/>
      <c r="AN141" s="13">
        <v>10000</v>
      </c>
      <c r="AO141" s="13">
        <v>15000</v>
      </c>
      <c r="AP141" s="13">
        <v>15000</v>
      </c>
      <c r="AQ141" s="13">
        <v>60000</v>
      </c>
      <c r="AR141" s="13">
        <v>15000</v>
      </c>
      <c r="AS141" s="26">
        <v>78000</v>
      </c>
      <c r="AT141" s="26">
        <v>0</v>
      </c>
      <c r="AU141" s="26">
        <v>150000</v>
      </c>
      <c r="AV141" s="26">
        <v>100000</v>
      </c>
      <c r="AW141" s="26">
        <v>120000</v>
      </c>
      <c r="AX141" s="62">
        <v>0</v>
      </c>
      <c r="AZ141" s="14" t="s">
        <v>351</v>
      </c>
      <c r="BA141" s="249">
        <f t="shared" si="5"/>
        <v>6</v>
      </c>
      <c r="BB141" s="249">
        <v>0</v>
      </c>
      <c r="BC141" s="249">
        <f t="shared" si="4"/>
        <v>2008</v>
      </c>
    </row>
    <row r="142" spans="1:55" x14ac:dyDescent="0.25">
      <c r="A142" s="50" t="s">
        <v>1404</v>
      </c>
      <c r="B142" s="61" t="s">
        <v>447</v>
      </c>
      <c r="C142" s="14" t="s">
        <v>351</v>
      </c>
      <c r="D142" s="14">
        <v>2009</v>
      </c>
      <c r="E142" s="14" t="s">
        <v>349</v>
      </c>
      <c r="F142" s="14"/>
      <c r="G142" s="14"/>
      <c r="H142" s="14"/>
      <c r="I142" s="14"/>
      <c r="J142" s="13">
        <v>240000</v>
      </c>
      <c r="K142" s="14" t="s">
        <v>328</v>
      </c>
      <c r="L142" s="14"/>
      <c r="M142" s="14"/>
      <c r="N142" s="13">
        <v>5000</v>
      </c>
      <c r="O142" s="24">
        <v>0.4</v>
      </c>
      <c r="P142" s="14">
        <v>2</v>
      </c>
      <c r="Q142" s="14">
        <v>150</v>
      </c>
      <c r="R142" s="13">
        <v>1200</v>
      </c>
      <c r="S142" s="14" t="s">
        <v>340</v>
      </c>
      <c r="T142" s="14">
        <v>4</v>
      </c>
      <c r="U142" s="14">
        <v>4.5</v>
      </c>
      <c r="V142" s="25">
        <v>1436.2657091561939</v>
      </c>
      <c r="W142" s="26">
        <v>16000</v>
      </c>
      <c r="X142" s="14"/>
      <c r="Y142" s="14"/>
      <c r="Z142" s="14"/>
      <c r="AA142" s="14"/>
      <c r="AB142" s="14" t="s">
        <v>328</v>
      </c>
      <c r="AC142" s="14"/>
      <c r="AD142" s="14" t="s">
        <v>328</v>
      </c>
      <c r="AE142" s="14" t="s">
        <v>328</v>
      </c>
      <c r="AF142" s="14"/>
      <c r="AG142" s="14"/>
      <c r="AH142" s="14"/>
      <c r="AI142" s="14" t="s">
        <v>328</v>
      </c>
      <c r="AJ142" s="14"/>
      <c r="AK142" s="14" t="s">
        <v>328</v>
      </c>
      <c r="AL142" s="14"/>
      <c r="AM142" s="14"/>
      <c r="AN142" s="13">
        <v>10000</v>
      </c>
      <c r="AO142" s="13">
        <v>15000</v>
      </c>
      <c r="AP142" s="13">
        <v>15000</v>
      </c>
      <c r="AQ142" s="13">
        <v>60000</v>
      </c>
      <c r="AR142" s="13">
        <v>15000</v>
      </c>
      <c r="AS142" s="26">
        <v>78000</v>
      </c>
      <c r="AT142" s="26">
        <v>0</v>
      </c>
      <c r="AU142" s="26">
        <v>150000</v>
      </c>
      <c r="AV142" s="26">
        <v>100000</v>
      </c>
      <c r="AW142" s="26">
        <v>120000</v>
      </c>
      <c r="AX142" s="62">
        <v>0</v>
      </c>
      <c r="AZ142" s="14" t="s">
        <v>351</v>
      </c>
      <c r="BA142" s="249">
        <f t="shared" si="5"/>
        <v>6</v>
      </c>
      <c r="BB142" s="249">
        <v>0</v>
      </c>
      <c r="BC142" s="249">
        <f t="shared" si="4"/>
        <v>2009</v>
      </c>
    </row>
    <row r="143" spans="1:55" x14ac:dyDescent="0.25">
      <c r="A143" s="50" t="s">
        <v>1404</v>
      </c>
      <c r="B143" s="61" t="s">
        <v>452</v>
      </c>
      <c r="C143" s="14" t="s">
        <v>337</v>
      </c>
      <c r="D143" s="14">
        <v>1982</v>
      </c>
      <c r="E143" s="14"/>
      <c r="F143" s="14"/>
      <c r="G143" s="14"/>
      <c r="H143" s="14">
        <v>1990</v>
      </c>
      <c r="I143" s="14" t="s">
        <v>338</v>
      </c>
      <c r="J143" s="13">
        <v>1900000</v>
      </c>
      <c r="K143" s="14"/>
      <c r="L143" s="14"/>
      <c r="M143" s="14" t="s">
        <v>328</v>
      </c>
      <c r="N143" s="13">
        <v>5000</v>
      </c>
      <c r="O143" s="24">
        <v>0.3</v>
      </c>
      <c r="P143" s="14">
        <v>3</v>
      </c>
      <c r="Q143" s="14">
        <v>450</v>
      </c>
      <c r="R143" s="13">
        <v>2700</v>
      </c>
      <c r="S143" s="14" t="s">
        <v>340</v>
      </c>
      <c r="T143" s="14">
        <v>2</v>
      </c>
      <c r="U143" s="14">
        <v>3</v>
      </c>
      <c r="V143" s="25">
        <v>2423.6983842010773</v>
      </c>
      <c r="W143" s="26">
        <v>27000</v>
      </c>
      <c r="X143" s="14"/>
      <c r="Y143" s="14" t="s">
        <v>328</v>
      </c>
      <c r="Z143" s="14"/>
      <c r="AA143" s="14"/>
      <c r="AB143" s="14"/>
      <c r="AC143" s="14"/>
      <c r="AD143" s="14" t="s">
        <v>328</v>
      </c>
      <c r="AE143" s="14" t="s">
        <v>328</v>
      </c>
      <c r="AF143" s="14"/>
      <c r="AG143" s="14" t="s">
        <v>328</v>
      </c>
      <c r="AH143" s="14" t="s">
        <v>328</v>
      </c>
      <c r="AI143" s="14" t="s">
        <v>328</v>
      </c>
      <c r="AJ143" s="14"/>
      <c r="AK143" s="14" t="s">
        <v>328</v>
      </c>
      <c r="AL143" s="14" t="s">
        <v>328</v>
      </c>
      <c r="AM143" s="14"/>
      <c r="AN143" s="13">
        <v>15000</v>
      </c>
      <c r="AO143" s="13">
        <v>30000</v>
      </c>
      <c r="AP143" s="13">
        <v>30000</v>
      </c>
      <c r="AQ143" s="13">
        <v>60000</v>
      </c>
      <c r="AR143" s="13">
        <v>15000</v>
      </c>
      <c r="AS143" s="26">
        <v>144000</v>
      </c>
      <c r="AT143" s="26">
        <v>108000</v>
      </c>
      <c r="AU143" s="26">
        <v>150000</v>
      </c>
      <c r="AV143" s="26">
        <v>65000</v>
      </c>
      <c r="AW143" s="26">
        <v>10000</v>
      </c>
      <c r="AX143" s="62">
        <v>0</v>
      </c>
      <c r="AZ143" s="14" t="s">
        <v>337</v>
      </c>
      <c r="BA143" s="249">
        <f t="shared" si="5"/>
        <v>3</v>
      </c>
      <c r="BB143" s="249">
        <v>0</v>
      </c>
      <c r="BC143" s="249">
        <f t="shared" si="4"/>
        <v>1990</v>
      </c>
    </row>
    <row r="144" spans="1:55" x14ac:dyDescent="0.25">
      <c r="A144" s="50" t="s">
        <v>1404</v>
      </c>
      <c r="B144" s="61" t="s">
        <v>452</v>
      </c>
      <c r="C144" s="14" t="s">
        <v>337</v>
      </c>
      <c r="D144" s="14">
        <v>1980</v>
      </c>
      <c r="E144" s="14"/>
      <c r="F144" s="14"/>
      <c r="G144" s="14"/>
      <c r="H144" s="14">
        <v>1990</v>
      </c>
      <c r="I144" s="14" t="s">
        <v>338</v>
      </c>
      <c r="J144" s="13">
        <v>1900000</v>
      </c>
      <c r="K144" s="14"/>
      <c r="L144" s="14"/>
      <c r="M144" s="14" t="s">
        <v>328</v>
      </c>
      <c r="N144" s="13">
        <v>5000</v>
      </c>
      <c r="O144" s="24">
        <v>0.5</v>
      </c>
      <c r="P144" s="14">
        <v>3</v>
      </c>
      <c r="Q144" s="14">
        <v>450</v>
      </c>
      <c r="R144" s="13">
        <v>2700</v>
      </c>
      <c r="S144" s="14" t="s">
        <v>340</v>
      </c>
      <c r="T144" s="14">
        <v>2</v>
      </c>
      <c r="U144" s="14">
        <v>3</v>
      </c>
      <c r="V144" s="25">
        <v>2423.6983842010773</v>
      </c>
      <c r="W144" s="26">
        <v>27000</v>
      </c>
      <c r="X144" s="14"/>
      <c r="Y144" s="14" t="s">
        <v>328</v>
      </c>
      <c r="Z144" s="14"/>
      <c r="AA144" s="14"/>
      <c r="AB144" s="14"/>
      <c r="AC144" s="14"/>
      <c r="AD144" s="14" t="s">
        <v>328</v>
      </c>
      <c r="AE144" s="14" t="s">
        <v>328</v>
      </c>
      <c r="AF144" s="14"/>
      <c r="AG144" s="14" t="s">
        <v>328</v>
      </c>
      <c r="AH144" s="14" t="s">
        <v>328</v>
      </c>
      <c r="AI144" s="14" t="s">
        <v>328</v>
      </c>
      <c r="AJ144" s="14"/>
      <c r="AK144" s="14" t="s">
        <v>328</v>
      </c>
      <c r="AL144" s="14" t="s">
        <v>328</v>
      </c>
      <c r="AM144" s="14"/>
      <c r="AN144" s="13">
        <v>15000</v>
      </c>
      <c r="AO144" s="13">
        <v>30000</v>
      </c>
      <c r="AP144" s="13">
        <v>30000</v>
      </c>
      <c r="AQ144" s="13">
        <v>60000</v>
      </c>
      <c r="AR144" s="13">
        <v>15000</v>
      </c>
      <c r="AS144" s="26">
        <v>144000</v>
      </c>
      <c r="AT144" s="26">
        <v>108000</v>
      </c>
      <c r="AU144" s="26">
        <v>150000</v>
      </c>
      <c r="AV144" s="26">
        <v>65000</v>
      </c>
      <c r="AW144" s="26">
        <v>10000</v>
      </c>
      <c r="AX144" s="62">
        <v>0</v>
      </c>
      <c r="AZ144" s="14" t="s">
        <v>337</v>
      </c>
      <c r="BA144" s="249">
        <f t="shared" si="5"/>
        <v>3</v>
      </c>
      <c r="BB144" s="249">
        <v>0</v>
      </c>
      <c r="BC144" s="249">
        <f t="shared" si="4"/>
        <v>1990</v>
      </c>
    </row>
    <row r="145" spans="1:55" x14ac:dyDescent="0.25">
      <c r="A145" s="50" t="s">
        <v>1404</v>
      </c>
      <c r="B145" s="61" t="s">
        <v>452</v>
      </c>
      <c r="C145" s="14" t="s">
        <v>337</v>
      </c>
      <c r="D145" s="14">
        <v>1985</v>
      </c>
      <c r="E145" s="14"/>
      <c r="F145" s="14"/>
      <c r="G145" s="14"/>
      <c r="H145" s="14">
        <v>1990</v>
      </c>
      <c r="I145" s="14" t="s">
        <v>338</v>
      </c>
      <c r="J145" s="13">
        <v>1700000</v>
      </c>
      <c r="K145" s="14"/>
      <c r="L145" s="14"/>
      <c r="M145" s="14" t="s">
        <v>328</v>
      </c>
      <c r="N145" s="13">
        <v>5000</v>
      </c>
      <c r="O145" s="24">
        <v>0.3</v>
      </c>
      <c r="P145" s="14">
        <v>3</v>
      </c>
      <c r="Q145" s="14">
        <v>450</v>
      </c>
      <c r="R145" s="13">
        <v>2700</v>
      </c>
      <c r="S145" s="14" t="s">
        <v>340</v>
      </c>
      <c r="T145" s="14">
        <v>2</v>
      </c>
      <c r="U145" s="14">
        <v>3</v>
      </c>
      <c r="V145" s="25">
        <v>2423.6983842010773</v>
      </c>
      <c r="W145" s="26">
        <v>27000</v>
      </c>
      <c r="X145" s="14"/>
      <c r="Y145" s="14" t="s">
        <v>328</v>
      </c>
      <c r="Z145" s="14"/>
      <c r="AA145" s="14"/>
      <c r="AB145" s="14"/>
      <c r="AC145" s="14"/>
      <c r="AD145" s="14" t="s">
        <v>328</v>
      </c>
      <c r="AE145" s="14" t="s">
        <v>328</v>
      </c>
      <c r="AF145" s="14"/>
      <c r="AG145" s="14" t="s">
        <v>328</v>
      </c>
      <c r="AH145" s="14" t="s">
        <v>328</v>
      </c>
      <c r="AI145" s="14" t="s">
        <v>328</v>
      </c>
      <c r="AJ145" s="14"/>
      <c r="AK145" s="14" t="s">
        <v>328</v>
      </c>
      <c r="AL145" s="14" t="s">
        <v>328</v>
      </c>
      <c r="AM145" s="14"/>
      <c r="AN145" s="13">
        <v>15000</v>
      </c>
      <c r="AO145" s="13">
        <v>30000</v>
      </c>
      <c r="AP145" s="13">
        <v>30000</v>
      </c>
      <c r="AQ145" s="13">
        <v>60000</v>
      </c>
      <c r="AR145" s="13">
        <v>15000</v>
      </c>
      <c r="AS145" s="26">
        <v>144000</v>
      </c>
      <c r="AT145" s="26">
        <v>108000</v>
      </c>
      <c r="AU145" s="26">
        <v>150000</v>
      </c>
      <c r="AV145" s="26">
        <v>65000</v>
      </c>
      <c r="AW145" s="26">
        <v>10000</v>
      </c>
      <c r="AX145" s="62">
        <v>0</v>
      </c>
      <c r="AZ145" s="14" t="s">
        <v>337</v>
      </c>
      <c r="BA145" s="249">
        <f t="shared" si="5"/>
        <v>3</v>
      </c>
      <c r="BB145" s="249">
        <v>0</v>
      </c>
      <c r="BC145" s="249">
        <f t="shared" si="4"/>
        <v>1990</v>
      </c>
    </row>
    <row r="146" spans="1:55" x14ac:dyDescent="0.25">
      <c r="A146" s="50" t="s">
        <v>1404</v>
      </c>
      <c r="B146" s="61" t="s">
        <v>454</v>
      </c>
      <c r="C146" s="14" t="s">
        <v>351</v>
      </c>
      <c r="D146" s="14">
        <v>1990</v>
      </c>
      <c r="E146" s="14"/>
      <c r="F146" s="14"/>
      <c r="G146" s="14"/>
      <c r="H146" s="14">
        <v>1995</v>
      </c>
      <c r="I146" s="14" t="s">
        <v>374</v>
      </c>
      <c r="J146" s="13">
        <v>500000</v>
      </c>
      <c r="K146" s="14"/>
      <c r="L146" s="14" t="s">
        <v>328</v>
      </c>
      <c r="M146" s="14"/>
      <c r="N146" s="13">
        <v>3000</v>
      </c>
      <c r="O146" s="24">
        <v>0.5</v>
      </c>
      <c r="P146" s="14">
        <v>2</v>
      </c>
      <c r="Q146" s="14">
        <v>450</v>
      </c>
      <c r="R146" s="13">
        <v>1800</v>
      </c>
      <c r="S146" s="14" t="s">
        <v>340</v>
      </c>
      <c r="T146" s="14">
        <v>2</v>
      </c>
      <c r="U146" s="14">
        <v>2.5</v>
      </c>
      <c r="V146" s="25">
        <v>628.36624775583482</v>
      </c>
      <c r="W146" s="26">
        <v>7000</v>
      </c>
      <c r="X146" s="14"/>
      <c r="Y146" s="14"/>
      <c r="Z146" s="14"/>
      <c r="AA146" s="14"/>
      <c r="AB146" s="14" t="s">
        <v>328</v>
      </c>
      <c r="AC146" s="14"/>
      <c r="AD146" s="14"/>
      <c r="AE146" s="14" t="s">
        <v>328</v>
      </c>
      <c r="AF146" s="14"/>
      <c r="AG146" s="14" t="s">
        <v>328</v>
      </c>
      <c r="AH146" s="14" t="s">
        <v>328</v>
      </c>
      <c r="AI146" s="14" t="s">
        <v>328</v>
      </c>
      <c r="AJ146" s="14"/>
      <c r="AK146" s="14" t="s">
        <v>328</v>
      </c>
      <c r="AL146" s="14"/>
      <c r="AM146" s="14"/>
      <c r="AN146" s="13">
        <v>18000</v>
      </c>
      <c r="AO146" s="13">
        <v>18000</v>
      </c>
      <c r="AP146" s="13">
        <v>18000</v>
      </c>
      <c r="AQ146" s="13">
        <v>36000</v>
      </c>
      <c r="AR146" s="13">
        <v>9000</v>
      </c>
      <c r="AS146" s="26">
        <v>96000</v>
      </c>
      <c r="AT146" s="26">
        <v>0</v>
      </c>
      <c r="AU146" s="26">
        <v>70000</v>
      </c>
      <c r="AV146" s="26">
        <v>70000</v>
      </c>
      <c r="AW146" s="26">
        <v>70000</v>
      </c>
      <c r="AX146" s="62">
        <v>0</v>
      </c>
      <c r="AZ146" s="14" t="s">
        <v>351</v>
      </c>
      <c r="BA146" s="249">
        <f t="shared" si="5"/>
        <v>3</v>
      </c>
      <c r="BB146" s="249">
        <v>0</v>
      </c>
      <c r="BC146" s="249">
        <f t="shared" si="4"/>
        <v>1995</v>
      </c>
    </row>
    <row r="147" spans="1:55" x14ac:dyDescent="0.25">
      <c r="A147" s="50" t="s">
        <v>1404</v>
      </c>
      <c r="B147" s="61" t="s">
        <v>454</v>
      </c>
      <c r="C147" s="14" t="s">
        <v>351</v>
      </c>
      <c r="D147" s="14">
        <v>1990</v>
      </c>
      <c r="E147" s="14"/>
      <c r="F147" s="14"/>
      <c r="G147" s="14"/>
      <c r="H147" s="14">
        <v>1995</v>
      </c>
      <c r="I147" s="14" t="s">
        <v>374</v>
      </c>
      <c r="J147" s="13">
        <v>500000</v>
      </c>
      <c r="K147" s="14"/>
      <c r="L147" s="14" t="s">
        <v>328</v>
      </c>
      <c r="M147" s="14"/>
      <c r="N147" s="13">
        <v>3000</v>
      </c>
      <c r="O147" s="24">
        <v>0.5</v>
      </c>
      <c r="P147" s="14">
        <v>2</v>
      </c>
      <c r="Q147" s="14">
        <v>450</v>
      </c>
      <c r="R147" s="13">
        <v>1800</v>
      </c>
      <c r="S147" s="14" t="s">
        <v>340</v>
      </c>
      <c r="T147" s="14">
        <v>2</v>
      </c>
      <c r="U147" s="14">
        <v>2.5</v>
      </c>
      <c r="V147" s="25">
        <v>628.36624775583482</v>
      </c>
      <c r="W147" s="26">
        <v>7000</v>
      </c>
      <c r="X147" s="14"/>
      <c r="Y147" s="14"/>
      <c r="Z147" s="14"/>
      <c r="AA147" s="14"/>
      <c r="AB147" s="14" t="s">
        <v>328</v>
      </c>
      <c r="AC147" s="14"/>
      <c r="AD147" s="14"/>
      <c r="AE147" s="14" t="s">
        <v>328</v>
      </c>
      <c r="AF147" s="14"/>
      <c r="AG147" s="14" t="s">
        <v>328</v>
      </c>
      <c r="AH147" s="14" t="s">
        <v>328</v>
      </c>
      <c r="AI147" s="14" t="s">
        <v>328</v>
      </c>
      <c r="AJ147" s="14"/>
      <c r="AK147" s="14" t="s">
        <v>328</v>
      </c>
      <c r="AL147" s="14"/>
      <c r="AM147" s="14"/>
      <c r="AN147" s="13">
        <v>18000</v>
      </c>
      <c r="AO147" s="13">
        <v>18000</v>
      </c>
      <c r="AP147" s="13">
        <v>18000</v>
      </c>
      <c r="AQ147" s="13">
        <v>36000</v>
      </c>
      <c r="AR147" s="13">
        <v>9000</v>
      </c>
      <c r="AS147" s="26">
        <v>96000</v>
      </c>
      <c r="AT147" s="26">
        <v>0</v>
      </c>
      <c r="AU147" s="26">
        <v>70000</v>
      </c>
      <c r="AV147" s="26">
        <v>70000</v>
      </c>
      <c r="AW147" s="26">
        <v>70000</v>
      </c>
      <c r="AX147" s="62">
        <v>0</v>
      </c>
      <c r="AZ147" s="14" t="s">
        <v>351</v>
      </c>
      <c r="BA147" s="249">
        <f t="shared" si="5"/>
        <v>3</v>
      </c>
      <c r="BB147" s="249">
        <v>0</v>
      </c>
      <c r="BC147" s="249">
        <f t="shared" si="4"/>
        <v>1995</v>
      </c>
    </row>
    <row r="148" spans="1:55" x14ac:dyDescent="0.25">
      <c r="A148" s="50" t="s">
        <v>1404</v>
      </c>
      <c r="B148" s="61" t="s">
        <v>454</v>
      </c>
      <c r="C148" s="14" t="s">
        <v>351</v>
      </c>
      <c r="D148" s="14">
        <v>1990</v>
      </c>
      <c r="E148" s="14"/>
      <c r="F148" s="14"/>
      <c r="G148" s="14"/>
      <c r="H148" s="14">
        <v>1995</v>
      </c>
      <c r="I148" s="14" t="s">
        <v>374</v>
      </c>
      <c r="J148" s="13">
        <v>500000</v>
      </c>
      <c r="K148" s="14"/>
      <c r="L148" s="14" t="s">
        <v>328</v>
      </c>
      <c r="M148" s="14"/>
      <c r="N148" s="13">
        <v>3000</v>
      </c>
      <c r="O148" s="24">
        <v>0.5</v>
      </c>
      <c r="P148" s="14">
        <v>2</v>
      </c>
      <c r="Q148" s="14">
        <v>450</v>
      </c>
      <c r="R148" s="13">
        <v>1800</v>
      </c>
      <c r="S148" s="14" t="s">
        <v>340</v>
      </c>
      <c r="T148" s="14">
        <v>2</v>
      </c>
      <c r="U148" s="14">
        <v>2.5</v>
      </c>
      <c r="V148" s="25">
        <v>628.36624775583482</v>
      </c>
      <c r="W148" s="26">
        <v>7000</v>
      </c>
      <c r="X148" s="14"/>
      <c r="Y148" s="14"/>
      <c r="Z148" s="14"/>
      <c r="AA148" s="14"/>
      <c r="AB148" s="14" t="s">
        <v>328</v>
      </c>
      <c r="AC148" s="14"/>
      <c r="AD148" s="14"/>
      <c r="AE148" s="14" t="s">
        <v>328</v>
      </c>
      <c r="AF148" s="14"/>
      <c r="AG148" s="14" t="s">
        <v>328</v>
      </c>
      <c r="AH148" s="14" t="s">
        <v>328</v>
      </c>
      <c r="AI148" s="14" t="s">
        <v>328</v>
      </c>
      <c r="AJ148" s="14"/>
      <c r="AK148" s="14" t="s">
        <v>328</v>
      </c>
      <c r="AL148" s="14"/>
      <c r="AM148" s="14"/>
      <c r="AN148" s="13">
        <v>18000</v>
      </c>
      <c r="AO148" s="13">
        <v>18000</v>
      </c>
      <c r="AP148" s="13">
        <v>18000</v>
      </c>
      <c r="AQ148" s="13">
        <v>36000</v>
      </c>
      <c r="AR148" s="13">
        <v>9000</v>
      </c>
      <c r="AS148" s="26">
        <v>96000</v>
      </c>
      <c r="AT148" s="26">
        <v>0</v>
      </c>
      <c r="AU148" s="26">
        <v>70000</v>
      </c>
      <c r="AV148" s="26">
        <v>70000</v>
      </c>
      <c r="AW148" s="26">
        <v>70000</v>
      </c>
      <c r="AX148" s="62">
        <v>0</v>
      </c>
      <c r="AZ148" s="14" t="s">
        <v>351</v>
      </c>
      <c r="BA148" s="249">
        <f t="shared" si="5"/>
        <v>3</v>
      </c>
      <c r="BB148" s="249">
        <v>0</v>
      </c>
      <c r="BC148" s="249">
        <f t="shared" si="4"/>
        <v>1995</v>
      </c>
    </row>
    <row r="149" spans="1:55" x14ac:dyDescent="0.25">
      <c r="A149" s="50" t="s">
        <v>1404</v>
      </c>
      <c r="B149" s="61" t="s">
        <v>455</v>
      </c>
      <c r="C149" s="14" t="s">
        <v>337</v>
      </c>
      <c r="D149" s="14">
        <v>2013</v>
      </c>
      <c r="E149" s="14" t="s">
        <v>456</v>
      </c>
      <c r="F149" s="14"/>
      <c r="G149" s="14"/>
      <c r="H149" s="14"/>
      <c r="I149" s="14"/>
      <c r="J149" s="13">
        <v>180000</v>
      </c>
      <c r="K149" s="14" t="s">
        <v>328</v>
      </c>
      <c r="L149" s="14"/>
      <c r="M149" s="14"/>
      <c r="N149" s="13">
        <v>7200</v>
      </c>
      <c r="O149" s="24">
        <v>0.4</v>
      </c>
      <c r="P149" s="14">
        <v>2</v>
      </c>
      <c r="Q149" s="14">
        <v>500</v>
      </c>
      <c r="R149" s="13">
        <v>1800</v>
      </c>
      <c r="S149" s="14" t="s">
        <v>340</v>
      </c>
      <c r="T149" s="14">
        <v>1.8</v>
      </c>
      <c r="U149" s="14">
        <v>2.2999999999999998</v>
      </c>
      <c r="V149" s="25">
        <v>359.06642728904848</v>
      </c>
      <c r="W149" s="26">
        <v>4000</v>
      </c>
      <c r="X149" s="14"/>
      <c r="Y149" s="14"/>
      <c r="Z149" s="14"/>
      <c r="AA149" s="14"/>
      <c r="AB149" s="14"/>
      <c r="AC149" s="14" t="s">
        <v>328</v>
      </c>
      <c r="AD149" s="14" t="s">
        <v>328</v>
      </c>
      <c r="AE149" s="14" t="s">
        <v>328</v>
      </c>
      <c r="AF149" s="14"/>
      <c r="AG149" s="14" t="s">
        <v>328</v>
      </c>
      <c r="AH149" s="14" t="s">
        <v>328</v>
      </c>
      <c r="AI149" s="14" t="s">
        <v>328</v>
      </c>
      <c r="AJ149" s="14" t="s">
        <v>328</v>
      </c>
      <c r="AK149" s="14" t="s">
        <v>328</v>
      </c>
      <c r="AL149" s="14"/>
      <c r="AM149" s="14"/>
      <c r="AN149" s="13">
        <v>15000</v>
      </c>
      <c r="AO149" s="13">
        <v>20000</v>
      </c>
      <c r="AP149" s="13">
        <v>40000</v>
      </c>
      <c r="AQ149" s="13">
        <v>54000</v>
      </c>
      <c r="AR149" s="13">
        <v>54000</v>
      </c>
      <c r="AS149" s="26">
        <v>192000</v>
      </c>
      <c r="AT149" s="26">
        <v>0</v>
      </c>
      <c r="AU149" s="26">
        <v>60000</v>
      </c>
      <c r="AV149" s="26">
        <v>25000</v>
      </c>
      <c r="AW149" s="26">
        <v>40000</v>
      </c>
      <c r="AX149" s="62">
        <v>0</v>
      </c>
      <c r="AZ149" s="14" t="s">
        <v>337</v>
      </c>
      <c r="BA149" s="249">
        <f t="shared" si="5"/>
        <v>1</v>
      </c>
      <c r="BB149" s="249">
        <v>0</v>
      </c>
      <c r="BC149" s="249">
        <f t="shared" si="4"/>
        <v>2013</v>
      </c>
    </row>
    <row r="150" spans="1:55" x14ac:dyDescent="0.25">
      <c r="A150" s="50" t="s">
        <v>1404</v>
      </c>
      <c r="B150" s="61" t="s">
        <v>464</v>
      </c>
      <c r="C150" s="14" t="s">
        <v>348</v>
      </c>
      <c r="D150" s="14">
        <v>1991</v>
      </c>
      <c r="E150" s="14"/>
      <c r="F150" s="14">
        <v>2000</v>
      </c>
      <c r="G150" s="14" t="s">
        <v>407</v>
      </c>
      <c r="H150" s="14"/>
      <c r="I150" s="14"/>
      <c r="J150" s="13">
        <v>1900000</v>
      </c>
      <c r="K150" s="14"/>
      <c r="L150" s="14"/>
      <c r="M150" s="14" t="s">
        <v>328</v>
      </c>
      <c r="N150" s="13">
        <v>7000</v>
      </c>
      <c r="O150" s="24">
        <v>0.5</v>
      </c>
      <c r="P150" s="14">
        <v>2</v>
      </c>
      <c r="Q150" s="14">
        <v>400</v>
      </c>
      <c r="R150" s="13">
        <v>1600</v>
      </c>
      <c r="S150" s="14" t="s">
        <v>340</v>
      </c>
      <c r="T150" s="14">
        <v>2</v>
      </c>
      <c r="U150" s="14">
        <v>2.5</v>
      </c>
      <c r="V150" s="25">
        <v>897.66606822262111</v>
      </c>
      <c r="W150" s="26">
        <v>10000</v>
      </c>
      <c r="X150" s="14"/>
      <c r="Y150" s="14"/>
      <c r="Z150" s="14"/>
      <c r="AA150" s="14"/>
      <c r="AB150" s="14" t="s">
        <v>328</v>
      </c>
      <c r="AC150" s="14"/>
      <c r="AD150" s="14"/>
      <c r="AE150" s="14" t="s">
        <v>328</v>
      </c>
      <c r="AF150" s="14"/>
      <c r="AG150" s="14" t="s">
        <v>328</v>
      </c>
      <c r="AH150" s="14" t="s">
        <v>328</v>
      </c>
      <c r="AI150" s="14" t="s">
        <v>328</v>
      </c>
      <c r="AJ150" s="14"/>
      <c r="AK150" s="14" t="s">
        <v>328</v>
      </c>
      <c r="AL150" s="14" t="s">
        <v>328</v>
      </c>
      <c r="AM150" s="14"/>
      <c r="AN150" s="13">
        <v>42000</v>
      </c>
      <c r="AO150" s="13">
        <v>42000</v>
      </c>
      <c r="AP150" s="13">
        <v>21000</v>
      </c>
      <c r="AQ150" s="13">
        <v>84000</v>
      </c>
      <c r="AR150" s="13">
        <v>21000</v>
      </c>
      <c r="AS150" s="26">
        <v>144000</v>
      </c>
      <c r="AT150" s="26">
        <v>120000</v>
      </c>
      <c r="AU150" s="26">
        <v>150000</v>
      </c>
      <c r="AV150" s="26">
        <v>60000</v>
      </c>
      <c r="AW150" s="26">
        <v>60000</v>
      </c>
      <c r="AX150" s="62">
        <v>0</v>
      </c>
      <c r="AZ150" s="14" t="s">
        <v>348</v>
      </c>
      <c r="BA150" s="249">
        <f t="shared" si="5"/>
        <v>6</v>
      </c>
      <c r="BB150" s="249">
        <v>0</v>
      </c>
      <c r="BC150" s="249">
        <f t="shared" si="4"/>
        <v>2000</v>
      </c>
    </row>
    <row r="151" spans="1:55" x14ac:dyDescent="0.25">
      <c r="A151" s="50" t="s">
        <v>1404</v>
      </c>
      <c r="B151" s="61" t="s">
        <v>464</v>
      </c>
      <c r="C151" s="14" t="s">
        <v>348</v>
      </c>
      <c r="D151" s="14">
        <v>1991</v>
      </c>
      <c r="E151" s="14"/>
      <c r="F151" s="14">
        <v>2000</v>
      </c>
      <c r="G151" s="14" t="s">
        <v>407</v>
      </c>
      <c r="H151" s="14"/>
      <c r="I151" s="14"/>
      <c r="J151" s="13">
        <v>1900000</v>
      </c>
      <c r="K151" s="14"/>
      <c r="L151" s="14"/>
      <c r="M151" s="14" t="s">
        <v>328</v>
      </c>
      <c r="N151" s="13">
        <v>7000</v>
      </c>
      <c r="O151" s="24">
        <v>0.5</v>
      </c>
      <c r="P151" s="14">
        <v>2</v>
      </c>
      <c r="Q151" s="14">
        <v>400</v>
      </c>
      <c r="R151" s="13">
        <v>1600</v>
      </c>
      <c r="S151" s="14" t="s">
        <v>340</v>
      </c>
      <c r="T151" s="14">
        <v>2</v>
      </c>
      <c r="U151" s="14">
        <v>2.5</v>
      </c>
      <c r="V151" s="25">
        <v>897.66606822262111</v>
      </c>
      <c r="W151" s="26">
        <v>10000</v>
      </c>
      <c r="X151" s="14"/>
      <c r="Y151" s="14"/>
      <c r="Z151" s="14"/>
      <c r="AA151" s="14"/>
      <c r="AB151" s="14" t="s">
        <v>328</v>
      </c>
      <c r="AC151" s="14"/>
      <c r="AD151" s="14"/>
      <c r="AE151" s="14" t="s">
        <v>328</v>
      </c>
      <c r="AF151" s="14"/>
      <c r="AG151" s="14" t="s">
        <v>328</v>
      </c>
      <c r="AH151" s="14" t="s">
        <v>328</v>
      </c>
      <c r="AI151" s="14" t="s">
        <v>328</v>
      </c>
      <c r="AJ151" s="14"/>
      <c r="AK151" s="14" t="s">
        <v>328</v>
      </c>
      <c r="AL151" s="14" t="s">
        <v>328</v>
      </c>
      <c r="AM151" s="14"/>
      <c r="AN151" s="13">
        <v>42000</v>
      </c>
      <c r="AO151" s="13">
        <v>42000</v>
      </c>
      <c r="AP151" s="13">
        <v>21000</v>
      </c>
      <c r="AQ151" s="13">
        <v>84000</v>
      </c>
      <c r="AR151" s="13">
        <v>21000</v>
      </c>
      <c r="AS151" s="26">
        <v>144000</v>
      </c>
      <c r="AT151" s="26">
        <v>120000</v>
      </c>
      <c r="AU151" s="26">
        <v>150000</v>
      </c>
      <c r="AV151" s="26">
        <v>60000</v>
      </c>
      <c r="AW151" s="26">
        <v>60000</v>
      </c>
      <c r="AX151" s="62">
        <v>0</v>
      </c>
      <c r="AZ151" s="14" t="s">
        <v>348</v>
      </c>
      <c r="BA151" s="249">
        <f t="shared" si="5"/>
        <v>6</v>
      </c>
      <c r="BB151" s="249">
        <v>0</v>
      </c>
      <c r="BC151" s="249">
        <f t="shared" si="4"/>
        <v>2000</v>
      </c>
    </row>
    <row r="152" spans="1:55" x14ac:dyDescent="0.25">
      <c r="A152" s="50" t="s">
        <v>1404</v>
      </c>
      <c r="B152" s="61" t="s">
        <v>464</v>
      </c>
      <c r="C152" s="14" t="s">
        <v>348</v>
      </c>
      <c r="D152" s="14">
        <v>1991</v>
      </c>
      <c r="E152" s="14"/>
      <c r="F152" s="14">
        <v>2000</v>
      </c>
      <c r="G152" s="14" t="s">
        <v>407</v>
      </c>
      <c r="H152" s="14"/>
      <c r="I152" s="14"/>
      <c r="J152" s="13">
        <v>1900000</v>
      </c>
      <c r="K152" s="14"/>
      <c r="L152" s="14"/>
      <c r="M152" s="14" t="s">
        <v>328</v>
      </c>
      <c r="N152" s="13">
        <v>7000</v>
      </c>
      <c r="O152" s="24">
        <v>0.5</v>
      </c>
      <c r="P152" s="14">
        <v>2</v>
      </c>
      <c r="Q152" s="14">
        <v>400</v>
      </c>
      <c r="R152" s="13">
        <v>1600</v>
      </c>
      <c r="S152" s="14" t="s">
        <v>340</v>
      </c>
      <c r="T152" s="14">
        <v>2</v>
      </c>
      <c r="U152" s="14">
        <v>2.5</v>
      </c>
      <c r="V152" s="25">
        <v>897.66606822262111</v>
      </c>
      <c r="W152" s="26">
        <v>10000</v>
      </c>
      <c r="X152" s="14"/>
      <c r="Y152" s="14"/>
      <c r="Z152" s="14"/>
      <c r="AA152" s="14"/>
      <c r="AB152" s="14" t="s">
        <v>328</v>
      </c>
      <c r="AC152" s="14"/>
      <c r="AD152" s="14"/>
      <c r="AE152" s="14" t="s">
        <v>328</v>
      </c>
      <c r="AF152" s="14"/>
      <c r="AG152" s="14" t="s">
        <v>328</v>
      </c>
      <c r="AH152" s="14" t="s">
        <v>328</v>
      </c>
      <c r="AI152" s="14" t="s">
        <v>328</v>
      </c>
      <c r="AJ152" s="14"/>
      <c r="AK152" s="14" t="s">
        <v>328</v>
      </c>
      <c r="AL152" s="14" t="s">
        <v>328</v>
      </c>
      <c r="AM152" s="14"/>
      <c r="AN152" s="13">
        <v>42000</v>
      </c>
      <c r="AO152" s="13">
        <v>42000</v>
      </c>
      <c r="AP152" s="13">
        <v>21000</v>
      </c>
      <c r="AQ152" s="13">
        <v>84000</v>
      </c>
      <c r="AR152" s="13">
        <v>21000</v>
      </c>
      <c r="AS152" s="26">
        <v>144000</v>
      </c>
      <c r="AT152" s="26">
        <v>120000</v>
      </c>
      <c r="AU152" s="26">
        <v>150000</v>
      </c>
      <c r="AV152" s="26">
        <v>60000</v>
      </c>
      <c r="AW152" s="26">
        <v>60000</v>
      </c>
      <c r="AX152" s="62">
        <v>0</v>
      </c>
      <c r="AZ152" s="14" t="s">
        <v>348</v>
      </c>
      <c r="BA152" s="249">
        <f t="shared" si="5"/>
        <v>6</v>
      </c>
      <c r="BB152" s="249">
        <v>0</v>
      </c>
      <c r="BC152" s="249">
        <f t="shared" si="4"/>
        <v>2000</v>
      </c>
    </row>
    <row r="153" spans="1:55" x14ac:dyDescent="0.25">
      <c r="A153" s="50" t="s">
        <v>1404</v>
      </c>
      <c r="B153" s="61" t="s">
        <v>464</v>
      </c>
      <c r="C153" s="14" t="s">
        <v>351</v>
      </c>
      <c r="D153" s="14">
        <v>1980</v>
      </c>
      <c r="E153" s="14"/>
      <c r="F153" s="14">
        <v>2000</v>
      </c>
      <c r="G153" s="14" t="s">
        <v>407</v>
      </c>
      <c r="H153" s="14"/>
      <c r="I153" s="14"/>
      <c r="J153" s="13">
        <v>1900000</v>
      </c>
      <c r="K153" s="14"/>
      <c r="L153" s="14"/>
      <c r="M153" s="14" t="s">
        <v>328</v>
      </c>
      <c r="N153" s="13">
        <v>5000</v>
      </c>
      <c r="O153" s="24">
        <v>0.5</v>
      </c>
      <c r="P153" s="14">
        <v>2</v>
      </c>
      <c r="Q153" s="14">
        <v>400</v>
      </c>
      <c r="R153" s="13">
        <v>1600</v>
      </c>
      <c r="S153" s="14" t="s">
        <v>340</v>
      </c>
      <c r="T153" s="14">
        <v>2</v>
      </c>
      <c r="U153" s="14">
        <v>2.5</v>
      </c>
      <c r="V153" s="25">
        <v>897.66606822262111</v>
      </c>
      <c r="W153" s="26">
        <v>10000</v>
      </c>
      <c r="X153" s="14"/>
      <c r="Y153" s="14"/>
      <c r="Z153" s="14"/>
      <c r="AA153" s="14"/>
      <c r="AB153" s="14" t="s">
        <v>328</v>
      </c>
      <c r="AC153" s="14"/>
      <c r="AD153" s="14"/>
      <c r="AE153" s="14" t="s">
        <v>328</v>
      </c>
      <c r="AF153" s="14"/>
      <c r="AG153" s="14" t="s">
        <v>328</v>
      </c>
      <c r="AH153" s="14" t="s">
        <v>328</v>
      </c>
      <c r="AI153" s="14" t="s">
        <v>328</v>
      </c>
      <c r="AJ153" s="14"/>
      <c r="AK153" s="14" t="s">
        <v>328</v>
      </c>
      <c r="AL153" s="14" t="s">
        <v>328</v>
      </c>
      <c r="AM153" s="14"/>
      <c r="AN153" s="13">
        <v>30000</v>
      </c>
      <c r="AO153" s="13">
        <v>30000</v>
      </c>
      <c r="AP153" s="13">
        <v>15000</v>
      </c>
      <c r="AQ153" s="13">
        <v>60000</v>
      </c>
      <c r="AR153" s="13">
        <v>15000</v>
      </c>
      <c r="AS153" s="26">
        <v>144000</v>
      </c>
      <c r="AT153" s="26">
        <v>0</v>
      </c>
      <c r="AU153" s="26">
        <v>150000</v>
      </c>
      <c r="AV153" s="26">
        <v>60000</v>
      </c>
      <c r="AW153" s="26">
        <v>60000</v>
      </c>
      <c r="AX153" s="62">
        <v>0</v>
      </c>
      <c r="AZ153" s="14" t="s">
        <v>351</v>
      </c>
      <c r="BA153" s="249">
        <f t="shared" si="5"/>
        <v>6</v>
      </c>
      <c r="BB153" s="249">
        <v>0</v>
      </c>
      <c r="BC153" s="249">
        <f t="shared" si="4"/>
        <v>2000</v>
      </c>
    </row>
    <row r="154" spans="1:55" x14ac:dyDescent="0.25">
      <c r="A154" s="50" t="s">
        <v>1404</v>
      </c>
      <c r="B154" s="61" t="s">
        <v>464</v>
      </c>
      <c r="C154" s="14" t="s">
        <v>351</v>
      </c>
      <c r="D154" s="14">
        <v>1980</v>
      </c>
      <c r="E154" s="14"/>
      <c r="F154" s="14">
        <v>2000</v>
      </c>
      <c r="G154" s="14" t="s">
        <v>407</v>
      </c>
      <c r="H154" s="14"/>
      <c r="I154" s="14"/>
      <c r="J154" s="13">
        <v>1900000</v>
      </c>
      <c r="K154" s="14"/>
      <c r="L154" s="14"/>
      <c r="M154" s="14" t="s">
        <v>328</v>
      </c>
      <c r="N154" s="13">
        <v>5000</v>
      </c>
      <c r="O154" s="24">
        <v>0.5</v>
      </c>
      <c r="P154" s="14">
        <v>2</v>
      </c>
      <c r="Q154" s="14">
        <v>400</v>
      </c>
      <c r="R154" s="13">
        <v>1600</v>
      </c>
      <c r="S154" s="14" t="s">
        <v>340</v>
      </c>
      <c r="T154" s="14">
        <v>2</v>
      </c>
      <c r="U154" s="14">
        <v>2.5</v>
      </c>
      <c r="V154" s="25">
        <v>897.66606822262111</v>
      </c>
      <c r="W154" s="26">
        <v>10000</v>
      </c>
      <c r="X154" s="14"/>
      <c r="Y154" s="14"/>
      <c r="Z154" s="14"/>
      <c r="AA154" s="14"/>
      <c r="AB154" s="14" t="s">
        <v>328</v>
      </c>
      <c r="AC154" s="14"/>
      <c r="AD154" s="14"/>
      <c r="AE154" s="14" t="s">
        <v>328</v>
      </c>
      <c r="AF154" s="14"/>
      <c r="AG154" s="14" t="s">
        <v>328</v>
      </c>
      <c r="AH154" s="14" t="s">
        <v>328</v>
      </c>
      <c r="AI154" s="14" t="s">
        <v>328</v>
      </c>
      <c r="AJ154" s="14"/>
      <c r="AK154" s="14" t="s">
        <v>328</v>
      </c>
      <c r="AL154" s="14" t="s">
        <v>328</v>
      </c>
      <c r="AM154" s="14"/>
      <c r="AN154" s="13">
        <v>30000</v>
      </c>
      <c r="AO154" s="13">
        <v>30000</v>
      </c>
      <c r="AP154" s="13">
        <v>15000</v>
      </c>
      <c r="AQ154" s="13">
        <v>60000</v>
      </c>
      <c r="AR154" s="13">
        <v>15000</v>
      </c>
      <c r="AS154" s="26">
        <v>144000</v>
      </c>
      <c r="AT154" s="26">
        <v>0</v>
      </c>
      <c r="AU154" s="26">
        <v>150000</v>
      </c>
      <c r="AV154" s="26">
        <v>60000</v>
      </c>
      <c r="AW154" s="26">
        <v>60000</v>
      </c>
      <c r="AX154" s="62">
        <v>0</v>
      </c>
      <c r="AZ154" s="14" t="s">
        <v>351</v>
      </c>
      <c r="BA154" s="249">
        <f t="shared" si="5"/>
        <v>6</v>
      </c>
      <c r="BB154" s="249">
        <v>0</v>
      </c>
      <c r="BC154" s="249">
        <f t="shared" si="4"/>
        <v>2000</v>
      </c>
    </row>
    <row r="155" spans="1:55" x14ac:dyDescent="0.25">
      <c r="A155" s="50" t="s">
        <v>1404</v>
      </c>
      <c r="B155" s="61" t="s">
        <v>464</v>
      </c>
      <c r="C155" s="14" t="s">
        <v>351</v>
      </c>
      <c r="D155" s="14">
        <v>1980</v>
      </c>
      <c r="E155" s="14"/>
      <c r="F155" s="14">
        <v>2000</v>
      </c>
      <c r="G155" s="14" t="s">
        <v>407</v>
      </c>
      <c r="H155" s="14"/>
      <c r="I155" s="14"/>
      <c r="J155" s="13">
        <v>1900000</v>
      </c>
      <c r="K155" s="14"/>
      <c r="L155" s="14"/>
      <c r="M155" s="14" t="s">
        <v>328</v>
      </c>
      <c r="N155" s="13">
        <v>5000</v>
      </c>
      <c r="O155" s="24">
        <v>0.5</v>
      </c>
      <c r="P155" s="14">
        <v>2</v>
      </c>
      <c r="Q155" s="14">
        <v>400</v>
      </c>
      <c r="R155" s="13">
        <v>1600</v>
      </c>
      <c r="S155" s="14" t="s">
        <v>340</v>
      </c>
      <c r="T155" s="14">
        <v>2</v>
      </c>
      <c r="U155" s="14">
        <v>2.5</v>
      </c>
      <c r="V155" s="25">
        <v>897.66606822262111</v>
      </c>
      <c r="W155" s="26">
        <v>10000</v>
      </c>
      <c r="X155" s="14"/>
      <c r="Y155" s="14"/>
      <c r="Z155" s="14"/>
      <c r="AA155" s="14"/>
      <c r="AB155" s="14" t="s">
        <v>328</v>
      </c>
      <c r="AC155" s="14"/>
      <c r="AD155" s="14"/>
      <c r="AE155" s="14" t="s">
        <v>328</v>
      </c>
      <c r="AF155" s="14"/>
      <c r="AG155" s="14" t="s">
        <v>328</v>
      </c>
      <c r="AH155" s="14" t="s">
        <v>328</v>
      </c>
      <c r="AI155" s="14" t="s">
        <v>328</v>
      </c>
      <c r="AJ155" s="14"/>
      <c r="AK155" s="14" t="s">
        <v>328</v>
      </c>
      <c r="AL155" s="14" t="s">
        <v>328</v>
      </c>
      <c r="AM155" s="14"/>
      <c r="AN155" s="13">
        <v>30000</v>
      </c>
      <c r="AO155" s="13">
        <v>30000</v>
      </c>
      <c r="AP155" s="13">
        <v>15000</v>
      </c>
      <c r="AQ155" s="13">
        <v>60000</v>
      </c>
      <c r="AR155" s="13">
        <v>15000</v>
      </c>
      <c r="AS155" s="26">
        <v>144000</v>
      </c>
      <c r="AT155" s="26">
        <v>0</v>
      </c>
      <c r="AU155" s="26">
        <v>150000</v>
      </c>
      <c r="AV155" s="26">
        <v>60000</v>
      </c>
      <c r="AW155" s="26">
        <v>60000</v>
      </c>
      <c r="AX155" s="62">
        <v>0</v>
      </c>
      <c r="AZ155" s="14" t="s">
        <v>351</v>
      </c>
      <c r="BA155" s="249">
        <f t="shared" si="5"/>
        <v>6</v>
      </c>
      <c r="BB155" s="249">
        <v>0</v>
      </c>
      <c r="BC155" s="249">
        <f t="shared" si="4"/>
        <v>2000</v>
      </c>
    </row>
    <row r="156" spans="1:55" x14ac:dyDescent="0.25">
      <c r="A156" s="50" t="s">
        <v>1404</v>
      </c>
      <c r="B156" s="61" t="s">
        <v>465</v>
      </c>
      <c r="C156" s="14" t="s">
        <v>337</v>
      </c>
      <c r="D156" s="14">
        <v>1994</v>
      </c>
      <c r="E156" s="14" t="s">
        <v>475</v>
      </c>
      <c r="F156" s="14"/>
      <c r="G156" s="14"/>
      <c r="H156" s="14"/>
      <c r="I156" s="14"/>
      <c r="J156" s="13" t="s">
        <v>352</v>
      </c>
      <c r="K156" s="14"/>
      <c r="L156" s="14"/>
      <c r="M156" s="14" t="s">
        <v>328</v>
      </c>
      <c r="N156" s="13">
        <v>60000</v>
      </c>
      <c r="O156" s="24">
        <v>0.5</v>
      </c>
      <c r="P156" s="14">
        <v>2</v>
      </c>
      <c r="Q156" s="14">
        <v>570</v>
      </c>
      <c r="R156" s="13">
        <v>2280</v>
      </c>
      <c r="S156" s="14" t="s">
        <v>340</v>
      </c>
      <c r="T156" s="14">
        <v>2</v>
      </c>
      <c r="U156" s="14">
        <v>2.5</v>
      </c>
      <c r="V156" s="27">
        <v>26086.956521739132</v>
      </c>
      <c r="W156" s="22">
        <v>368869.56521739135</v>
      </c>
      <c r="X156" s="14"/>
      <c r="Y156" s="14" t="s">
        <v>328</v>
      </c>
      <c r="Z156" s="14"/>
      <c r="AA156" s="14"/>
      <c r="AB156" s="14"/>
      <c r="AC156" s="14"/>
      <c r="AD156" s="15" t="s">
        <v>332</v>
      </c>
      <c r="AE156" s="14"/>
      <c r="AF156" s="14"/>
      <c r="AG156" s="14"/>
      <c r="AH156" s="14"/>
      <c r="AI156" s="14"/>
      <c r="AJ156" s="14"/>
      <c r="AK156" s="14"/>
      <c r="AL156" s="14"/>
      <c r="AM156" s="14"/>
      <c r="AN156" s="13">
        <v>25000</v>
      </c>
      <c r="AO156" s="13" t="s">
        <v>480</v>
      </c>
      <c r="AP156" s="13" t="s">
        <v>480</v>
      </c>
      <c r="AQ156" s="13" t="s">
        <v>480</v>
      </c>
      <c r="AR156" s="13" t="s">
        <v>480</v>
      </c>
      <c r="AS156" s="26">
        <v>120000</v>
      </c>
      <c r="AT156" s="26">
        <v>0</v>
      </c>
      <c r="AU156" s="26" t="s">
        <v>480</v>
      </c>
      <c r="AV156" s="26">
        <v>50000</v>
      </c>
      <c r="AW156" s="26">
        <v>6000</v>
      </c>
      <c r="AX156" s="62">
        <v>0</v>
      </c>
      <c r="AZ156" s="14" t="s">
        <v>337</v>
      </c>
      <c r="BA156" s="249">
        <f t="shared" si="5"/>
        <v>2</v>
      </c>
      <c r="BB156" s="249">
        <v>0</v>
      </c>
      <c r="BC156" s="249">
        <f t="shared" si="4"/>
        <v>1994</v>
      </c>
    </row>
    <row r="157" spans="1:55" x14ac:dyDescent="0.25">
      <c r="A157" s="50" t="s">
        <v>1404</v>
      </c>
      <c r="B157" s="61" t="s">
        <v>465</v>
      </c>
      <c r="C157" s="14" t="s">
        <v>337</v>
      </c>
      <c r="D157" s="14">
        <v>1993</v>
      </c>
      <c r="E157" s="14" t="s">
        <v>407</v>
      </c>
      <c r="F157" s="14"/>
      <c r="G157" s="14"/>
      <c r="H157" s="14"/>
      <c r="I157" s="14"/>
      <c r="J157" s="13" t="s">
        <v>352</v>
      </c>
      <c r="K157" s="14"/>
      <c r="L157" s="14"/>
      <c r="M157" s="14" t="s">
        <v>328</v>
      </c>
      <c r="N157" s="13">
        <v>60000</v>
      </c>
      <c r="O157" s="24">
        <v>0.5</v>
      </c>
      <c r="P157" s="14">
        <v>2</v>
      </c>
      <c r="Q157" s="14">
        <v>570</v>
      </c>
      <c r="R157" s="13">
        <v>2280</v>
      </c>
      <c r="S157" s="14" t="s">
        <v>340</v>
      </c>
      <c r="T157" s="14">
        <v>2</v>
      </c>
      <c r="U157" s="14">
        <v>2.5</v>
      </c>
      <c r="V157" s="27">
        <v>26086.956521739132</v>
      </c>
      <c r="W157" s="22">
        <v>368869.56521739135</v>
      </c>
      <c r="X157" s="14"/>
      <c r="Y157" s="14" t="s">
        <v>328</v>
      </c>
      <c r="Z157" s="14"/>
      <c r="AA157" s="14"/>
      <c r="AB157" s="14"/>
      <c r="AC157" s="14"/>
      <c r="AD157" s="15" t="s">
        <v>332</v>
      </c>
      <c r="AE157" s="14"/>
      <c r="AF157" s="14"/>
      <c r="AG157" s="14"/>
      <c r="AH157" s="14"/>
      <c r="AI157" s="14"/>
      <c r="AJ157" s="14"/>
      <c r="AK157" s="14"/>
      <c r="AL157" s="14"/>
      <c r="AM157" s="14"/>
      <c r="AN157" s="13">
        <v>25000</v>
      </c>
      <c r="AO157" s="13" t="s">
        <v>480</v>
      </c>
      <c r="AP157" s="13" t="s">
        <v>480</v>
      </c>
      <c r="AQ157" s="13" t="s">
        <v>480</v>
      </c>
      <c r="AR157" s="13" t="s">
        <v>480</v>
      </c>
      <c r="AS157" s="26">
        <v>120000</v>
      </c>
      <c r="AT157" s="26">
        <v>0</v>
      </c>
      <c r="AU157" s="26" t="s">
        <v>480</v>
      </c>
      <c r="AV157" s="26">
        <v>50000</v>
      </c>
      <c r="AW157" s="26">
        <v>6000</v>
      </c>
      <c r="AX157" s="62">
        <v>0</v>
      </c>
      <c r="AZ157" s="14" t="s">
        <v>337</v>
      </c>
      <c r="BA157" s="249">
        <f t="shared" si="5"/>
        <v>2</v>
      </c>
      <c r="BB157" s="249">
        <v>0</v>
      </c>
      <c r="BC157" s="249">
        <f t="shared" si="4"/>
        <v>1993</v>
      </c>
    </row>
    <row r="158" spans="1:55" x14ac:dyDescent="0.25">
      <c r="A158" s="50" t="s">
        <v>1404</v>
      </c>
      <c r="B158" s="61" t="s">
        <v>466</v>
      </c>
      <c r="C158" s="14" t="s">
        <v>348</v>
      </c>
      <c r="D158" s="14">
        <v>2005</v>
      </c>
      <c r="E158" s="14" t="s">
        <v>476</v>
      </c>
      <c r="F158" s="14"/>
      <c r="G158" s="14"/>
      <c r="H158" s="14"/>
      <c r="I158" s="14"/>
      <c r="J158" s="13">
        <v>200000</v>
      </c>
      <c r="K158" s="14" t="s">
        <v>328</v>
      </c>
      <c r="L158" s="14"/>
      <c r="M158" s="14"/>
      <c r="N158" s="13">
        <v>15000</v>
      </c>
      <c r="O158" s="24">
        <v>0.4</v>
      </c>
      <c r="P158" s="14">
        <v>1</v>
      </c>
      <c r="Q158" s="14">
        <v>120</v>
      </c>
      <c r="R158" s="13">
        <v>420</v>
      </c>
      <c r="S158" s="14" t="s">
        <v>371</v>
      </c>
      <c r="T158" s="14">
        <v>3.5</v>
      </c>
      <c r="U158" s="14">
        <v>4</v>
      </c>
      <c r="V158" s="25" t="s">
        <v>352</v>
      </c>
      <c r="W158" s="13" t="s">
        <v>352</v>
      </c>
      <c r="X158" s="14"/>
      <c r="Y158" s="14"/>
      <c r="Z158" s="14" t="s">
        <v>328</v>
      </c>
      <c r="AA158" s="14"/>
      <c r="AB158" s="14"/>
      <c r="AC158" s="14"/>
      <c r="AD158" s="14"/>
      <c r="AE158" s="14"/>
      <c r="AF158" s="14"/>
      <c r="AG158" s="14" t="s">
        <v>328</v>
      </c>
      <c r="AH158" s="14" t="s">
        <v>328</v>
      </c>
      <c r="AI158" s="14" t="s">
        <v>328</v>
      </c>
      <c r="AJ158" s="14" t="s">
        <v>328</v>
      </c>
      <c r="AK158" s="14" t="s">
        <v>328</v>
      </c>
      <c r="AL158" s="14" t="s">
        <v>328</v>
      </c>
      <c r="AM158" s="14"/>
      <c r="AN158" s="13">
        <v>10000</v>
      </c>
      <c r="AO158" s="13">
        <v>40000</v>
      </c>
      <c r="AP158" s="13">
        <v>40000</v>
      </c>
      <c r="AQ158" s="13">
        <v>100000</v>
      </c>
      <c r="AR158" s="13" t="s">
        <v>385</v>
      </c>
      <c r="AS158" s="26">
        <v>120000</v>
      </c>
      <c r="AT158" s="26">
        <v>60000</v>
      </c>
      <c r="AU158" s="26">
        <v>25000</v>
      </c>
      <c r="AV158" s="26">
        <v>20000</v>
      </c>
      <c r="AW158" s="26">
        <v>20000</v>
      </c>
      <c r="AX158" s="62">
        <v>0</v>
      </c>
      <c r="AZ158" s="14" t="s">
        <v>348</v>
      </c>
      <c r="BA158" s="249">
        <f t="shared" si="5"/>
        <v>2</v>
      </c>
      <c r="BB158" s="249">
        <v>0</v>
      </c>
      <c r="BC158" s="249">
        <f t="shared" si="4"/>
        <v>2005</v>
      </c>
    </row>
    <row r="159" spans="1:55" x14ac:dyDescent="0.25">
      <c r="A159" s="50" t="s">
        <v>1404</v>
      </c>
      <c r="B159" s="61" t="s">
        <v>466</v>
      </c>
      <c r="C159" s="14" t="s">
        <v>348</v>
      </c>
      <c r="D159" s="14">
        <v>2008</v>
      </c>
      <c r="E159" s="14" t="s">
        <v>1164</v>
      </c>
      <c r="F159" s="14"/>
      <c r="G159" s="14"/>
      <c r="H159" s="14"/>
      <c r="I159" s="14"/>
      <c r="J159" s="13">
        <v>140000</v>
      </c>
      <c r="K159" s="14" t="s">
        <v>328</v>
      </c>
      <c r="L159" s="14"/>
      <c r="M159" s="14"/>
      <c r="N159" s="13">
        <v>20000</v>
      </c>
      <c r="O159" s="24">
        <v>0.4</v>
      </c>
      <c r="P159" s="14">
        <v>1</v>
      </c>
      <c r="Q159" s="14">
        <v>150</v>
      </c>
      <c r="R159" s="13">
        <v>375</v>
      </c>
      <c r="S159" s="14" t="s">
        <v>340</v>
      </c>
      <c r="T159" s="14">
        <v>2.5</v>
      </c>
      <c r="U159" s="14">
        <v>3</v>
      </c>
      <c r="V159" s="25" t="s">
        <v>352</v>
      </c>
      <c r="W159" s="13" t="s">
        <v>352</v>
      </c>
      <c r="X159" s="14"/>
      <c r="Y159" s="14"/>
      <c r="Z159" s="14" t="s">
        <v>328</v>
      </c>
      <c r="AA159" s="14"/>
      <c r="AB159" s="14"/>
      <c r="AC159" s="14"/>
      <c r="AD159" s="14"/>
      <c r="AE159" s="14" t="s">
        <v>328</v>
      </c>
      <c r="AF159" s="14"/>
      <c r="AG159" s="14" t="s">
        <v>328</v>
      </c>
      <c r="AH159" s="14" t="s">
        <v>328</v>
      </c>
      <c r="AI159" s="14" t="s">
        <v>328</v>
      </c>
      <c r="AJ159" s="14" t="s">
        <v>328</v>
      </c>
      <c r="AK159" s="14" t="s">
        <v>328</v>
      </c>
      <c r="AL159" s="14"/>
      <c r="AM159" s="14" t="s">
        <v>328</v>
      </c>
      <c r="AN159" s="13">
        <v>20000</v>
      </c>
      <c r="AO159" s="13">
        <v>60000</v>
      </c>
      <c r="AP159" s="13">
        <v>40000</v>
      </c>
      <c r="AQ159" s="13">
        <v>100000</v>
      </c>
      <c r="AR159" s="13">
        <v>120000</v>
      </c>
      <c r="AS159" s="26">
        <v>120000</v>
      </c>
      <c r="AT159" s="26">
        <v>60000</v>
      </c>
      <c r="AU159" s="26">
        <v>25000</v>
      </c>
      <c r="AV159" s="26">
        <v>20000</v>
      </c>
      <c r="AW159" s="26">
        <v>20000</v>
      </c>
      <c r="AX159" s="62">
        <v>0</v>
      </c>
      <c r="AZ159" s="14" t="s">
        <v>348</v>
      </c>
      <c r="BA159" s="249">
        <f t="shared" si="5"/>
        <v>2</v>
      </c>
      <c r="BB159" s="249">
        <v>0</v>
      </c>
      <c r="BC159" s="249">
        <f t="shared" si="4"/>
        <v>2008</v>
      </c>
    </row>
    <row r="160" spans="1:55" x14ac:dyDescent="0.25">
      <c r="A160" s="50" t="s">
        <v>1404</v>
      </c>
      <c r="B160" s="61" t="s">
        <v>467</v>
      </c>
      <c r="C160" s="14" t="s">
        <v>337</v>
      </c>
      <c r="D160" s="14">
        <v>2007</v>
      </c>
      <c r="E160" s="14" t="s">
        <v>477</v>
      </c>
      <c r="F160" s="14"/>
      <c r="G160" s="14"/>
      <c r="H160" s="14"/>
      <c r="I160" s="14"/>
      <c r="J160" s="13">
        <v>1440000</v>
      </c>
      <c r="K160" s="14"/>
      <c r="L160" s="14" t="s">
        <v>328</v>
      </c>
      <c r="M160" s="14"/>
      <c r="N160" s="13">
        <v>20000</v>
      </c>
      <c r="O160" s="24">
        <v>0.5</v>
      </c>
      <c r="P160" s="14">
        <v>2</v>
      </c>
      <c r="Q160" s="14">
        <v>600</v>
      </c>
      <c r="R160" s="13">
        <v>2520</v>
      </c>
      <c r="S160" s="14" t="s">
        <v>340</v>
      </c>
      <c r="T160" s="14">
        <v>2</v>
      </c>
      <c r="U160" s="14">
        <v>2.1</v>
      </c>
      <c r="V160" s="25" t="s">
        <v>352</v>
      </c>
      <c r="W160" s="13" t="s">
        <v>352</v>
      </c>
      <c r="X160" s="14"/>
      <c r="Y160" s="14"/>
      <c r="Z160" s="14"/>
      <c r="AA160" s="14"/>
      <c r="AB160" s="14" t="s">
        <v>328</v>
      </c>
      <c r="AC160" s="14"/>
      <c r="AD160" s="15" t="s">
        <v>332</v>
      </c>
      <c r="AE160" s="14"/>
      <c r="AF160" s="14"/>
      <c r="AG160" s="14"/>
      <c r="AH160" s="14"/>
      <c r="AI160" s="14"/>
      <c r="AJ160" s="14"/>
      <c r="AK160" s="14"/>
      <c r="AL160" s="14"/>
      <c r="AM160" s="14"/>
      <c r="AN160" s="13">
        <v>25000</v>
      </c>
      <c r="AO160" s="13">
        <v>40000</v>
      </c>
      <c r="AP160" s="13">
        <v>480000</v>
      </c>
      <c r="AQ160" s="13">
        <v>480000</v>
      </c>
      <c r="AR160" s="13">
        <v>25000</v>
      </c>
      <c r="AS160" s="26">
        <v>0</v>
      </c>
      <c r="AT160" s="26">
        <v>0</v>
      </c>
      <c r="AU160" s="13" t="s">
        <v>480</v>
      </c>
      <c r="AV160" s="13" t="s">
        <v>480</v>
      </c>
      <c r="AW160" s="13">
        <v>20000</v>
      </c>
      <c r="AX160" s="62">
        <v>0</v>
      </c>
      <c r="AZ160" s="14" t="s">
        <v>337</v>
      </c>
      <c r="BA160" s="249">
        <f t="shared" si="5"/>
        <v>1</v>
      </c>
      <c r="BB160" s="249">
        <v>1</v>
      </c>
      <c r="BC160" s="249">
        <f t="shared" si="4"/>
        <v>2007</v>
      </c>
    </row>
    <row r="161" spans="1:55" x14ac:dyDescent="0.25">
      <c r="A161" s="50" t="s">
        <v>1404</v>
      </c>
      <c r="B161" s="61" t="s">
        <v>468</v>
      </c>
      <c r="C161" s="14" t="s">
        <v>348</v>
      </c>
      <c r="D161" s="14">
        <v>2004</v>
      </c>
      <c r="E161" s="14" t="s">
        <v>407</v>
      </c>
      <c r="F161" s="14"/>
      <c r="G161" s="14"/>
      <c r="H161" s="14"/>
      <c r="I161" s="14"/>
      <c r="J161" s="13">
        <v>600000</v>
      </c>
      <c r="K161" s="14"/>
      <c r="L161" s="14" t="s">
        <v>328</v>
      </c>
      <c r="M161" s="14"/>
      <c r="N161" s="13">
        <v>20000</v>
      </c>
      <c r="O161" s="24">
        <v>0.5</v>
      </c>
      <c r="P161" s="14">
        <v>2</v>
      </c>
      <c r="Q161" s="14">
        <v>600</v>
      </c>
      <c r="R161" s="13">
        <v>2640</v>
      </c>
      <c r="S161" s="14" t="s">
        <v>340</v>
      </c>
      <c r="T161" s="14">
        <v>2.2000000000000002</v>
      </c>
      <c r="U161" s="14">
        <v>2.6</v>
      </c>
      <c r="V161" s="25">
        <v>897.66606822262111</v>
      </c>
      <c r="W161" s="26">
        <v>10000</v>
      </c>
      <c r="X161" s="14"/>
      <c r="Y161" s="14"/>
      <c r="Z161" s="14"/>
      <c r="AA161" s="14"/>
      <c r="AB161" s="14" t="s">
        <v>328</v>
      </c>
      <c r="AC161" s="14"/>
      <c r="AD161" s="15" t="s">
        <v>332</v>
      </c>
      <c r="AE161" s="14"/>
      <c r="AF161" s="14"/>
      <c r="AG161" s="14"/>
      <c r="AH161" s="14"/>
      <c r="AI161" s="14"/>
      <c r="AJ161" s="14"/>
      <c r="AK161" s="14"/>
      <c r="AL161" s="14"/>
      <c r="AM161" s="14"/>
      <c r="AN161" s="13">
        <v>5000</v>
      </c>
      <c r="AO161" s="13">
        <v>5000</v>
      </c>
      <c r="AP161" s="13">
        <v>5000</v>
      </c>
      <c r="AQ161" s="13">
        <v>120000</v>
      </c>
      <c r="AR161" s="13">
        <v>5000</v>
      </c>
      <c r="AS161" s="26">
        <v>144000</v>
      </c>
      <c r="AT161" s="26">
        <v>72000</v>
      </c>
      <c r="AU161" s="26" t="s">
        <v>480</v>
      </c>
      <c r="AV161" s="26">
        <v>7000</v>
      </c>
      <c r="AW161" s="26">
        <v>2000</v>
      </c>
      <c r="AX161" s="62">
        <v>0</v>
      </c>
      <c r="AZ161" s="14" t="s">
        <v>348</v>
      </c>
      <c r="BA161" s="249">
        <f t="shared" si="5"/>
        <v>2</v>
      </c>
      <c r="BB161" s="249">
        <v>0</v>
      </c>
      <c r="BC161" s="249">
        <f t="shared" si="4"/>
        <v>2004</v>
      </c>
    </row>
    <row r="162" spans="1:55" x14ac:dyDescent="0.25">
      <c r="A162" s="50" t="s">
        <v>1404</v>
      </c>
      <c r="B162" s="61" t="s">
        <v>468</v>
      </c>
      <c r="C162" s="14" t="s">
        <v>348</v>
      </c>
      <c r="D162" s="14">
        <v>2003</v>
      </c>
      <c r="E162" s="14" t="s">
        <v>407</v>
      </c>
      <c r="F162" s="14"/>
      <c r="G162" s="14"/>
      <c r="H162" s="14"/>
      <c r="I162" s="14"/>
      <c r="J162" s="13">
        <v>800000</v>
      </c>
      <c r="K162" s="14"/>
      <c r="L162" s="14" t="s">
        <v>328</v>
      </c>
      <c r="M162" s="14"/>
      <c r="N162" s="13">
        <v>20000</v>
      </c>
      <c r="O162" s="24">
        <v>0.5</v>
      </c>
      <c r="P162" s="14">
        <v>2</v>
      </c>
      <c r="Q162" s="14">
        <v>600</v>
      </c>
      <c r="R162" s="13">
        <v>2640</v>
      </c>
      <c r="S162" s="14" t="s">
        <v>340</v>
      </c>
      <c r="T162" s="14">
        <v>2.2000000000000002</v>
      </c>
      <c r="U162" s="14">
        <v>2.6</v>
      </c>
      <c r="V162" s="25">
        <v>897.66606822262111</v>
      </c>
      <c r="W162" s="26">
        <v>10000</v>
      </c>
      <c r="X162" s="14"/>
      <c r="Y162" s="14"/>
      <c r="Z162" s="14"/>
      <c r="AA162" s="14"/>
      <c r="AB162" s="14" t="s">
        <v>328</v>
      </c>
      <c r="AC162" s="14"/>
      <c r="AD162" s="15" t="s">
        <v>332</v>
      </c>
      <c r="AE162" s="14"/>
      <c r="AF162" s="14"/>
      <c r="AG162" s="14"/>
      <c r="AH162" s="14"/>
      <c r="AI162" s="14"/>
      <c r="AJ162" s="14"/>
      <c r="AK162" s="14"/>
      <c r="AL162" s="14"/>
      <c r="AM162" s="14"/>
      <c r="AN162" s="13">
        <v>5000</v>
      </c>
      <c r="AO162" s="13">
        <v>5000</v>
      </c>
      <c r="AP162" s="13">
        <v>5000</v>
      </c>
      <c r="AQ162" s="13">
        <v>120000</v>
      </c>
      <c r="AR162" s="13">
        <v>5000</v>
      </c>
      <c r="AS162" s="26">
        <v>144000</v>
      </c>
      <c r="AT162" s="26">
        <v>72000</v>
      </c>
      <c r="AU162" s="26" t="s">
        <v>480</v>
      </c>
      <c r="AV162" s="26">
        <v>7000</v>
      </c>
      <c r="AW162" s="26">
        <v>2000</v>
      </c>
      <c r="AX162" s="62">
        <v>0</v>
      </c>
      <c r="AZ162" s="14" t="s">
        <v>348</v>
      </c>
      <c r="BA162" s="249">
        <f t="shared" si="5"/>
        <v>2</v>
      </c>
      <c r="BB162" s="249">
        <v>0</v>
      </c>
      <c r="BC162" s="249">
        <f t="shared" si="4"/>
        <v>2003</v>
      </c>
    </row>
    <row r="163" spans="1:55" x14ac:dyDescent="0.25">
      <c r="A163" s="50" t="s">
        <v>1404</v>
      </c>
      <c r="B163" s="61" t="s">
        <v>469</v>
      </c>
      <c r="C163" s="14" t="s">
        <v>348</v>
      </c>
      <c r="D163" s="14">
        <v>2004</v>
      </c>
      <c r="E163" s="14" t="s">
        <v>349</v>
      </c>
      <c r="F163" s="14"/>
      <c r="G163" s="14"/>
      <c r="H163" s="14"/>
      <c r="I163" s="14"/>
      <c r="J163" s="13">
        <v>90000</v>
      </c>
      <c r="K163" s="14" t="s">
        <v>328</v>
      </c>
      <c r="L163" s="14"/>
      <c r="M163" s="14"/>
      <c r="N163" s="13">
        <v>6000</v>
      </c>
      <c r="O163" s="24">
        <v>0.5</v>
      </c>
      <c r="P163" s="14">
        <v>1</v>
      </c>
      <c r="Q163" s="14">
        <v>600</v>
      </c>
      <c r="R163" s="13">
        <v>1200</v>
      </c>
      <c r="S163" s="14" t="s">
        <v>340</v>
      </c>
      <c r="T163" s="14">
        <v>2</v>
      </c>
      <c r="U163" s="14">
        <v>2.5</v>
      </c>
      <c r="V163" s="25">
        <v>897.66606822262111</v>
      </c>
      <c r="W163" s="26">
        <v>10000</v>
      </c>
      <c r="X163" s="14" t="s">
        <v>328</v>
      </c>
      <c r="Y163" s="14"/>
      <c r="Z163" s="14"/>
      <c r="AA163" s="14"/>
      <c r="AB163" s="14"/>
      <c r="AC163" s="14"/>
      <c r="AD163" s="14"/>
      <c r="AE163" s="14"/>
      <c r="AF163" s="14"/>
      <c r="AG163" s="14" t="s">
        <v>328</v>
      </c>
      <c r="AH163" s="14" t="s">
        <v>328</v>
      </c>
      <c r="AI163" s="14"/>
      <c r="AJ163" s="14"/>
      <c r="AK163" s="14" t="s">
        <v>328</v>
      </c>
      <c r="AL163" s="14" t="s">
        <v>328</v>
      </c>
      <c r="AM163" s="14"/>
      <c r="AN163" s="13">
        <v>10000</v>
      </c>
      <c r="AO163" s="13">
        <v>10000</v>
      </c>
      <c r="AP163" s="13">
        <v>5000</v>
      </c>
      <c r="AQ163" s="13">
        <v>400000</v>
      </c>
      <c r="AR163" s="13">
        <v>10000</v>
      </c>
      <c r="AS163" s="26">
        <v>96000</v>
      </c>
      <c r="AT163" s="26">
        <v>36000</v>
      </c>
      <c r="AU163" s="26">
        <v>20000</v>
      </c>
      <c r="AV163" s="26">
        <v>25000</v>
      </c>
      <c r="AW163" s="26">
        <v>8000</v>
      </c>
      <c r="AX163" s="62">
        <v>0</v>
      </c>
      <c r="AZ163" s="14" t="s">
        <v>348</v>
      </c>
      <c r="BA163" s="249">
        <f t="shared" si="5"/>
        <v>4</v>
      </c>
      <c r="BB163" s="249">
        <v>0</v>
      </c>
      <c r="BC163" s="249">
        <f t="shared" si="4"/>
        <v>2004</v>
      </c>
    </row>
    <row r="164" spans="1:55" x14ac:dyDescent="0.25">
      <c r="A164" s="50" t="s">
        <v>1404</v>
      </c>
      <c r="B164" s="61" t="s">
        <v>469</v>
      </c>
      <c r="C164" s="14" t="s">
        <v>348</v>
      </c>
      <c r="D164" s="14">
        <v>2004</v>
      </c>
      <c r="E164" s="14" t="s">
        <v>349</v>
      </c>
      <c r="F164" s="14"/>
      <c r="G164" s="14"/>
      <c r="H164" s="14"/>
      <c r="I164" s="14"/>
      <c r="J164" s="13">
        <v>90000</v>
      </c>
      <c r="K164" s="14" t="s">
        <v>328</v>
      </c>
      <c r="L164" s="14"/>
      <c r="M164" s="14"/>
      <c r="N164" s="13">
        <v>6000</v>
      </c>
      <c r="O164" s="24">
        <v>0.5</v>
      </c>
      <c r="P164" s="14">
        <v>1</v>
      </c>
      <c r="Q164" s="14">
        <v>600</v>
      </c>
      <c r="R164" s="13">
        <v>1200</v>
      </c>
      <c r="S164" s="14" t="s">
        <v>340</v>
      </c>
      <c r="T164" s="14">
        <v>2</v>
      </c>
      <c r="U164" s="14">
        <v>2.5</v>
      </c>
      <c r="V164" s="25">
        <v>897.66606822262111</v>
      </c>
      <c r="W164" s="26">
        <v>10000</v>
      </c>
      <c r="X164" s="14"/>
      <c r="Y164" s="14" t="s">
        <v>328</v>
      </c>
      <c r="Z164" s="14"/>
      <c r="AA164" s="14"/>
      <c r="AB164" s="14"/>
      <c r="AC164" s="14"/>
      <c r="AD164" s="14"/>
      <c r="AE164" s="14"/>
      <c r="AF164" s="14"/>
      <c r="AG164" s="14" t="s">
        <v>328</v>
      </c>
      <c r="AH164" s="14" t="s">
        <v>328</v>
      </c>
      <c r="AI164" s="14"/>
      <c r="AJ164" s="14"/>
      <c r="AK164" s="14" t="s">
        <v>328</v>
      </c>
      <c r="AL164" s="14" t="s">
        <v>328</v>
      </c>
      <c r="AM164" s="14"/>
      <c r="AN164" s="13">
        <v>10000</v>
      </c>
      <c r="AO164" s="13">
        <v>10000</v>
      </c>
      <c r="AP164" s="13">
        <v>5000</v>
      </c>
      <c r="AQ164" s="13">
        <v>400000</v>
      </c>
      <c r="AR164" s="13">
        <v>10000</v>
      </c>
      <c r="AS164" s="26">
        <v>96000</v>
      </c>
      <c r="AT164" s="26">
        <v>36000</v>
      </c>
      <c r="AU164" s="26">
        <v>20000</v>
      </c>
      <c r="AV164" s="26">
        <v>25000</v>
      </c>
      <c r="AW164" s="26">
        <v>8000</v>
      </c>
      <c r="AX164" s="62">
        <v>0</v>
      </c>
      <c r="AZ164" s="14" t="s">
        <v>348</v>
      </c>
      <c r="BA164" s="249">
        <f t="shared" si="5"/>
        <v>4</v>
      </c>
      <c r="BB164" s="249">
        <v>0</v>
      </c>
      <c r="BC164" s="249">
        <f t="shared" si="4"/>
        <v>2004</v>
      </c>
    </row>
    <row r="165" spans="1:55" x14ac:dyDescent="0.25">
      <c r="A165" s="50" t="s">
        <v>1404</v>
      </c>
      <c r="B165" s="61" t="s">
        <v>469</v>
      </c>
      <c r="C165" s="14" t="s">
        <v>348</v>
      </c>
      <c r="D165" s="14">
        <v>2003</v>
      </c>
      <c r="E165" s="14" t="s">
        <v>349</v>
      </c>
      <c r="F165" s="14"/>
      <c r="G165" s="14"/>
      <c r="H165" s="14"/>
      <c r="I165" s="14"/>
      <c r="J165" s="13">
        <v>100000</v>
      </c>
      <c r="K165" s="14" t="s">
        <v>328</v>
      </c>
      <c r="L165" s="14"/>
      <c r="M165" s="14"/>
      <c r="N165" s="13">
        <v>9000</v>
      </c>
      <c r="O165" s="24">
        <v>0.5</v>
      </c>
      <c r="P165" s="14">
        <v>1</v>
      </c>
      <c r="Q165" s="14">
        <v>600</v>
      </c>
      <c r="R165" s="13">
        <v>1200</v>
      </c>
      <c r="S165" s="14" t="s">
        <v>340</v>
      </c>
      <c r="T165" s="14">
        <v>2</v>
      </c>
      <c r="U165" s="14">
        <v>2.5</v>
      </c>
      <c r="V165" s="25">
        <v>1346.4991023339317</v>
      </c>
      <c r="W165" s="26">
        <v>15000</v>
      </c>
      <c r="X165" s="14"/>
      <c r="Y165" s="14" t="s">
        <v>328</v>
      </c>
      <c r="Z165" s="14"/>
      <c r="AA165" s="14"/>
      <c r="AB165" s="14"/>
      <c r="AC165" s="14"/>
      <c r="AD165" s="14"/>
      <c r="AE165" s="14"/>
      <c r="AF165" s="14"/>
      <c r="AG165" s="14" t="s">
        <v>328</v>
      </c>
      <c r="AH165" s="14" t="s">
        <v>328</v>
      </c>
      <c r="AI165" s="14"/>
      <c r="AJ165" s="14"/>
      <c r="AK165" s="14" t="s">
        <v>328</v>
      </c>
      <c r="AL165" s="14" t="s">
        <v>328</v>
      </c>
      <c r="AM165" s="14"/>
      <c r="AN165" s="13">
        <v>10000</v>
      </c>
      <c r="AO165" s="13">
        <v>10000</v>
      </c>
      <c r="AP165" s="13">
        <v>5000</v>
      </c>
      <c r="AQ165" s="13">
        <v>400000</v>
      </c>
      <c r="AR165" s="13">
        <v>10000</v>
      </c>
      <c r="AS165" s="26">
        <v>96000</v>
      </c>
      <c r="AT165" s="26">
        <v>36000</v>
      </c>
      <c r="AU165" s="26">
        <v>20000</v>
      </c>
      <c r="AV165" s="26">
        <v>25000</v>
      </c>
      <c r="AW165" s="26">
        <v>8000</v>
      </c>
      <c r="AX165" s="62">
        <v>0</v>
      </c>
      <c r="AZ165" s="14" t="s">
        <v>348</v>
      </c>
      <c r="BA165" s="249">
        <f t="shared" si="5"/>
        <v>4</v>
      </c>
      <c r="BB165" s="249">
        <v>0</v>
      </c>
      <c r="BC165" s="249">
        <f t="shared" si="4"/>
        <v>2003</v>
      </c>
    </row>
    <row r="166" spans="1:55" x14ac:dyDescent="0.25">
      <c r="A166" s="50" t="s">
        <v>1404</v>
      </c>
      <c r="B166" s="61" t="s">
        <v>469</v>
      </c>
      <c r="C166" s="14" t="s">
        <v>348</v>
      </c>
      <c r="D166" s="14">
        <v>2003</v>
      </c>
      <c r="E166" s="14" t="s">
        <v>349</v>
      </c>
      <c r="F166" s="14"/>
      <c r="G166" s="14"/>
      <c r="H166" s="14"/>
      <c r="I166" s="14"/>
      <c r="J166" s="13">
        <v>100000</v>
      </c>
      <c r="K166" s="14" t="s">
        <v>328</v>
      </c>
      <c r="L166" s="14"/>
      <c r="M166" s="14"/>
      <c r="N166" s="13">
        <v>6000</v>
      </c>
      <c r="O166" s="24">
        <v>0.5</v>
      </c>
      <c r="P166" s="14">
        <v>1</v>
      </c>
      <c r="Q166" s="14">
        <v>600</v>
      </c>
      <c r="R166" s="13">
        <v>1200</v>
      </c>
      <c r="S166" s="14" t="s">
        <v>340</v>
      </c>
      <c r="T166" s="14">
        <v>2</v>
      </c>
      <c r="U166" s="14">
        <v>2.5</v>
      </c>
      <c r="V166" s="25">
        <v>897.66606822262111</v>
      </c>
      <c r="W166" s="26">
        <v>10000</v>
      </c>
      <c r="X166" s="14"/>
      <c r="Y166" s="14" t="s">
        <v>328</v>
      </c>
      <c r="Z166" s="14"/>
      <c r="AA166" s="14"/>
      <c r="AB166" s="14"/>
      <c r="AC166" s="14"/>
      <c r="AD166" s="14"/>
      <c r="AE166" s="14"/>
      <c r="AF166" s="14"/>
      <c r="AG166" s="14" t="s">
        <v>328</v>
      </c>
      <c r="AH166" s="14" t="s">
        <v>328</v>
      </c>
      <c r="AI166" s="14"/>
      <c r="AJ166" s="14"/>
      <c r="AK166" s="14" t="s">
        <v>328</v>
      </c>
      <c r="AL166" s="14" t="s">
        <v>328</v>
      </c>
      <c r="AM166" s="14"/>
      <c r="AN166" s="13">
        <v>10000</v>
      </c>
      <c r="AO166" s="13">
        <v>10000</v>
      </c>
      <c r="AP166" s="13">
        <v>5000</v>
      </c>
      <c r="AQ166" s="13">
        <v>400000</v>
      </c>
      <c r="AR166" s="13">
        <v>10000</v>
      </c>
      <c r="AS166" s="26">
        <v>96000</v>
      </c>
      <c r="AT166" s="26">
        <v>36000</v>
      </c>
      <c r="AU166" s="26">
        <v>20000</v>
      </c>
      <c r="AV166" s="26">
        <v>25000</v>
      </c>
      <c r="AW166" s="26">
        <v>8000</v>
      </c>
      <c r="AX166" s="62">
        <v>0</v>
      </c>
      <c r="AZ166" s="14" t="s">
        <v>348</v>
      </c>
      <c r="BA166" s="249">
        <f t="shared" si="5"/>
        <v>4</v>
      </c>
      <c r="BB166" s="249">
        <v>0</v>
      </c>
      <c r="BC166" s="249">
        <f t="shared" si="4"/>
        <v>2003</v>
      </c>
    </row>
    <row r="167" spans="1:55" x14ac:dyDescent="0.25">
      <c r="A167" s="50" t="s">
        <v>1404</v>
      </c>
      <c r="B167" s="61" t="s">
        <v>470</v>
      </c>
      <c r="C167" s="14" t="s">
        <v>348</v>
      </c>
      <c r="D167" s="14">
        <v>2002</v>
      </c>
      <c r="E167" s="14" t="s">
        <v>407</v>
      </c>
      <c r="F167" s="14"/>
      <c r="G167" s="14"/>
      <c r="H167" s="14"/>
      <c r="I167" s="14"/>
      <c r="J167" s="13">
        <v>800000</v>
      </c>
      <c r="K167" s="14"/>
      <c r="L167" s="14"/>
      <c r="M167" s="14" t="s">
        <v>328</v>
      </c>
      <c r="N167" s="13">
        <v>30000</v>
      </c>
      <c r="O167" s="24">
        <v>0.5</v>
      </c>
      <c r="P167" s="14">
        <v>1</v>
      </c>
      <c r="Q167" s="14">
        <v>400</v>
      </c>
      <c r="R167" s="13">
        <v>1000</v>
      </c>
      <c r="S167" s="14" t="s">
        <v>340</v>
      </c>
      <c r="T167" s="14">
        <v>2.5</v>
      </c>
      <c r="U167" s="14">
        <v>3.8</v>
      </c>
      <c r="V167" s="25" t="s">
        <v>480</v>
      </c>
      <c r="W167" s="13" t="s">
        <v>480</v>
      </c>
      <c r="X167" s="14"/>
      <c r="Y167" s="14"/>
      <c r="Z167" s="14"/>
      <c r="AA167" s="14"/>
      <c r="AB167" s="14"/>
      <c r="AC167" s="14" t="s">
        <v>328</v>
      </c>
      <c r="AD167" s="14" t="s">
        <v>328</v>
      </c>
      <c r="AE167" s="14" t="s">
        <v>328</v>
      </c>
      <c r="AF167" s="14"/>
      <c r="AG167" s="14"/>
      <c r="AH167" s="14" t="s">
        <v>328</v>
      </c>
      <c r="AI167" s="14" t="s">
        <v>328</v>
      </c>
      <c r="AJ167" s="14"/>
      <c r="AK167" s="14" t="s">
        <v>328</v>
      </c>
      <c r="AL167" s="14"/>
      <c r="AM167" s="14"/>
      <c r="AN167" s="13">
        <v>10000</v>
      </c>
      <c r="AO167" s="13" t="s">
        <v>480</v>
      </c>
      <c r="AP167" s="13" t="s">
        <v>480</v>
      </c>
      <c r="AQ167" s="13">
        <v>720000</v>
      </c>
      <c r="AR167" s="13">
        <v>10000</v>
      </c>
      <c r="AS167" s="26">
        <v>130000</v>
      </c>
      <c r="AT167" s="26">
        <v>93600</v>
      </c>
      <c r="AU167" s="26">
        <v>80000</v>
      </c>
      <c r="AV167" s="26" t="s">
        <v>480</v>
      </c>
      <c r="AW167" s="26">
        <v>9000</v>
      </c>
      <c r="AX167" s="62">
        <v>0</v>
      </c>
      <c r="AZ167" s="14" t="s">
        <v>348</v>
      </c>
      <c r="BA167" s="249">
        <f t="shared" si="5"/>
        <v>2</v>
      </c>
      <c r="BB167" s="249">
        <v>0</v>
      </c>
      <c r="BC167" s="249">
        <f t="shared" si="4"/>
        <v>2002</v>
      </c>
    </row>
    <row r="168" spans="1:55" x14ac:dyDescent="0.25">
      <c r="A168" s="50" t="s">
        <v>1404</v>
      </c>
      <c r="B168" s="61" t="s">
        <v>470</v>
      </c>
      <c r="C168" s="14" t="s">
        <v>351</v>
      </c>
      <c r="D168" s="14">
        <v>1992</v>
      </c>
      <c r="E168" s="14" t="s">
        <v>475</v>
      </c>
      <c r="F168" s="14"/>
      <c r="G168" s="14"/>
      <c r="H168" s="14"/>
      <c r="I168" s="14"/>
      <c r="J168" s="13">
        <v>900000</v>
      </c>
      <c r="K168" s="14"/>
      <c r="L168" s="14"/>
      <c r="M168" s="14" t="s">
        <v>328</v>
      </c>
      <c r="N168" s="13">
        <v>30000</v>
      </c>
      <c r="O168" s="24">
        <v>0.5</v>
      </c>
      <c r="P168" s="14">
        <v>2</v>
      </c>
      <c r="Q168" s="14">
        <v>800</v>
      </c>
      <c r="R168" s="13">
        <v>4000</v>
      </c>
      <c r="S168" s="14" t="s">
        <v>340</v>
      </c>
      <c r="T168" s="14">
        <v>2.5</v>
      </c>
      <c r="U168" s="14">
        <v>3.4</v>
      </c>
      <c r="V168" s="25" t="s">
        <v>480</v>
      </c>
      <c r="W168" s="13" t="s">
        <v>480</v>
      </c>
      <c r="X168" s="14"/>
      <c r="Y168" s="14"/>
      <c r="Z168" s="14"/>
      <c r="AA168" s="14"/>
      <c r="AB168" s="14"/>
      <c r="AC168" s="14" t="s">
        <v>328</v>
      </c>
      <c r="AD168" s="14" t="s">
        <v>328</v>
      </c>
      <c r="AE168" s="14" t="s">
        <v>328</v>
      </c>
      <c r="AF168" s="14"/>
      <c r="AG168" s="14"/>
      <c r="AH168" s="14" t="s">
        <v>328</v>
      </c>
      <c r="AI168" s="14" t="s">
        <v>328</v>
      </c>
      <c r="AJ168" s="14"/>
      <c r="AK168" s="14" t="s">
        <v>328</v>
      </c>
      <c r="AL168" s="14"/>
      <c r="AM168" s="14"/>
      <c r="AN168" s="13">
        <v>10000</v>
      </c>
      <c r="AO168" s="13" t="s">
        <v>480</v>
      </c>
      <c r="AP168" s="13" t="s">
        <v>480</v>
      </c>
      <c r="AQ168" s="13">
        <v>720000</v>
      </c>
      <c r="AR168" s="13">
        <v>10000</v>
      </c>
      <c r="AS168" s="26">
        <v>130000</v>
      </c>
      <c r="AT168" s="26">
        <v>93600</v>
      </c>
      <c r="AU168" s="26">
        <v>80000</v>
      </c>
      <c r="AV168" s="26" t="s">
        <v>480</v>
      </c>
      <c r="AW168" s="26">
        <v>9000</v>
      </c>
      <c r="AX168" s="62">
        <v>0</v>
      </c>
      <c r="AZ168" s="14" t="s">
        <v>351</v>
      </c>
      <c r="BA168" s="249">
        <f t="shared" si="5"/>
        <v>2</v>
      </c>
      <c r="BB168" s="249">
        <v>0</v>
      </c>
      <c r="BC168" s="249">
        <f t="shared" si="4"/>
        <v>1992</v>
      </c>
    </row>
    <row r="169" spans="1:55" x14ac:dyDescent="0.25">
      <c r="A169" s="50" t="s">
        <v>1404</v>
      </c>
      <c r="B169" s="61" t="s">
        <v>458</v>
      </c>
      <c r="C169" s="14" t="s">
        <v>337</v>
      </c>
      <c r="D169" s="14">
        <v>1994</v>
      </c>
      <c r="E169" s="14" t="s">
        <v>456</v>
      </c>
      <c r="F169" s="14"/>
      <c r="G169" s="14"/>
      <c r="H169" s="14"/>
      <c r="I169" s="14"/>
      <c r="J169" s="13">
        <v>1000000</v>
      </c>
      <c r="K169" s="14" t="s">
        <v>328</v>
      </c>
      <c r="L169" s="14"/>
      <c r="M169" s="14"/>
      <c r="N169" s="13">
        <v>15000</v>
      </c>
      <c r="O169" s="24">
        <v>0.2</v>
      </c>
      <c r="P169" s="14">
        <v>2</v>
      </c>
      <c r="Q169" s="14">
        <v>500</v>
      </c>
      <c r="R169" s="13">
        <v>2500</v>
      </c>
      <c r="S169" s="14" t="s">
        <v>340</v>
      </c>
      <c r="T169" s="14">
        <v>2.5</v>
      </c>
      <c r="U169" s="14">
        <v>2.5</v>
      </c>
      <c r="V169" s="25">
        <v>1570.9156193895869</v>
      </c>
      <c r="W169" s="26">
        <v>17500</v>
      </c>
      <c r="X169" s="14"/>
      <c r="Y169" s="14" t="s">
        <v>328</v>
      </c>
      <c r="Z169" s="14"/>
      <c r="AA169" s="14"/>
      <c r="AB169" s="14"/>
      <c r="AC169" s="14"/>
      <c r="AD169" s="14" t="s">
        <v>328</v>
      </c>
      <c r="AE169" s="14" t="s">
        <v>328</v>
      </c>
      <c r="AF169" s="14"/>
      <c r="AG169" s="14"/>
      <c r="AH169" s="14" t="s">
        <v>328</v>
      </c>
      <c r="AI169" s="14"/>
      <c r="AJ169" s="14"/>
      <c r="AK169" s="14"/>
      <c r="AL169" s="14" t="s">
        <v>328</v>
      </c>
      <c r="AM169" s="14"/>
      <c r="AN169" s="13">
        <v>30000</v>
      </c>
      <c r="AO169" s="13">
        <v>90000</v>
      </c>
      <c r="AP169" s="13">
        <v>90000</v>
      </c>
      <c r="AQ169" s="13">
        <v>180000</v>
      </c>
      <c r="AR169" s="13">
        <v>90000</v>
      </c>
      <c r="AS169" s="26">
        <v>120000</v>
      </c>
      <c r="AT169" s="26">
        <v>60000</v>
      </c>
      <c r="AU169" s="26">
        <v>25000</v>
      </c>
      <c r="AV169" s="26">
        <v>25000</v>
      </c>
      <c r="AW169" s="26">
        <v>40000</v>
      </c>
      <c r="AX169" s="62">
        <v>0</v>
      </c>
      <c r="AZ169" s="14" t="s">
        <v>337</v>
      </c>
      <c r="BA169" s="249">
        <f t="shared" si="5"/>
        <v>4</v>
      </c>
      <c r="BB169" s="249">
        <v>0</v>
      </c>
      <c r="BC169" s="249">
        <f t="shared" si="4"/>
        <v>1994</v>
      </c>
    </row>
    <row r="170" spans="1:55" x14ac:dyDescent="0.25">
      <c r="A170" s="50" t="s">
        <v>1404</v>
      </c>
      <c r="B170" s="61" t="s">
        <v>458</v>
      </c>
      <c r="C170" s="14" t="s">
        <v>337</v>
      </c>
      <c r="D170" s="14">
        <v>1993</v>
      </c>
      <c r="E170" s="14" t="s">
        <v>456</v>
      </c>
      <c r="F170" s="14"/>
      <c r="G170" s="14"/>
      <c r="H170" s="14"/>
      <c r="I170" s="14"/>
      <c r="J170" s="13">
        <v>1000000</v>
      </c>
      <c r="K170" s="14" t="s">
        <v>328</v>
      </c>
      <c r="L170" s="14"/>
      <c r="M170" s="14"/>
      <c r="N170" s="13">
        <v>15000</v>
      </c>
      <c r="O170" s="24">
        <v>0.2</v>
      </c>
      <c r="P170" s="14">
        <v>2</v>
      </c>
      <c r="Q170" s="14">
        <v>500</v>
      </c>
      <c r="R170" s="13">
        <v>2500</v>
      </c>
      <c r="S170" s="14" t="s">
        <v>340</v>
      </c>
      <c r="T170" s="14">
        <v>2.5</v>
      </c>
      <c r="U170" s="14">
        <v>2.5</v>
      </c>
      <c r="V170" s="25">
        <v>1570.9156193895869</v>
      </c>
      <c r="W170" s="26">
        <v>17500</v>
      </c>
      <c r="X170" s="14"/>
      <c r="Y170" s="14" t="s">
        <v>328</v>
      </c>
      <c r="Z170" s="14"/>
      <c r="AA170" s="14"/>
      <c r="AB170" s="14"/>
      <c r="AC170" s="14"/>
      <c r="AD170" s="14" t="s">
        <v>328</v>
      </c>
      <c r="AE170" s="14" t="s">
        <v>328</v>
      </c>
      <c r="AF170" s="14"/>
      <c r="AG170" s="14"/>
      <c r="AH170" s="14" t="s">
        <v>328</v>
      </c>
      <c r="AI170" s="14"/>
      <c r="AJ170" s="14"/>
      <c r="AK170" s="14"/>
      <c r="AL170" s="14" t="s">
        <v>328</v>
      </c>
      <c r="AM170" s="14"/>
      <c r="AN170" s="13">
        <v>30000</v>
      </c>
      <c r="AO170" s="13">
        <v>90000</v>
      </c>
      <c r="AP170" s="13">
        <v>90000</v>
      </c>
      <c r="AQ170" s="13">
        <v>180000</v>
      </c>
      <c r="AR170" s="13">
        <v>90000</v>
      </c>
      <c r="AS170" s="26">
        <v>120000</v>
      </c>
      <c r="AT170" s="26">
        <v>60000</v>
      </c>
      <c r="AU170" s="26">
        <v>25000</v>
      </c>
      <c r="AV170" s="26">
        <v>25000</v>
      </c>
      <c r="AW170" s="26">
        <v>40000</v>
      </c>
      <c r="AX170" s="62">
        <v>0</v>
      </c>
      <c r="AZ170" s="14" t="s">
        <v>337</v>
      </c>
      <c r="BA170" s="249">
        <f t="shared" si="5"/>
        <v>4</v>
      </c>
      <c r="BB170" s="249">
        <v>0</v>
      </c>
      <c r="BC170" s="249">
        <f t="shared" si="4"/>
        <v>1993</v>
      </c>
    </row>
    <row r="171" spans="1:55" x14ac:dyDescent="0.25">
      <c r="A171" s="50" t="s">
        <v>1404</v>
      </c>
      <c r="B171" s="61" t="s">
        <v>458</v>
      </c>
      <c r="C171" s="14" t="s">
        <v>337</v>
      </c>
      <c r="D171" s="14">
        <v>2005</v>
      </c>
      <c r="E171" s="14" t="s">
        <v>456</v>
      </c>
      <c r="F171" s="14"/>
      <c r="G171" s="14"/>
      <c r="H171" s="14"/>
      <c r="I171" s="14"/>
      <c r="J171" s="13">
        <v>1000000</v>
      </c>
      <c r="K171" s="14"/>
      <c r="L171" s="14"/>
      <c r="M171" s="14" t="s">
        <v>328</v>
      </c>
      <c r="N171" s="13">
        <v>15000</v>
      </c>
      <c r="O171" s="24">
        <v>0.2</v>
      </c>
      <c r="P171" s="14">
        <v>2</v>
      </c>
      <c r="Q171" s="14">
        <v>500</v>
      </c>
      <c r="R171" s="13">
        <v>2500</v>
      </c>
      <c r="S171" s="14" t="s">
        <v>340</v>
      </c>
      <c r="T171" s="14">
        <v>2.5</v>
      </c>
      <c r="U171" s="14">
        <v>2.5</v>
      </c>
      <c r="V171" s="25">
        <v>1570.9156193895869</v>
      </c>
      <c r="W171" s="26">
        <v>17500</v>
      </c>
      <c r="X171" s="14"/>
      <c r="Y171" s="14" t="s">
        <v>328</v>
      </c>
      <c r="Z171" s="14"/>
      <c r="AA171" s="14"/>
      <c r="AB171" s="14"/>
      <c r="AC171" s="14"/>
      <c r="AD171" s="14" t="s">
        <v>328</v>
      </c>
      <c r="AE171" s="14" t="s">
        <v>328</v>
      </c>
      <c r="AF171" s="14"/>
      <c r="AG171" s="14"/>
      <c r="AH171" s="14" t="s">
        <v>328</v>
      </c>
      <c r="AI171" s="14"/>
      <c r="AJ171" s="14"/>
      <c r="AK171" s="14"/>
      <c r="AL171" s="14" t="s">
        <v>328</v>
      </c>
      <c r="AM171" s="14"/>
      <c r="AN171" s="13">
        <v>30000</v>
      </c>
      <c r="AO171" s="13">
        <v>90000</v>
      </c>
      <c r="AP171" s="13">
        <v>90000</v>
      </c>
      <c r="AQ171" s="13">
        <v>180000</v>
      </c>
      <c r="AR171" s="13">
        <v>90000</v>
      </c>
      <c r="AS171" s="26">
        <v>120000</v>
      </c>
      <c r="AT171" s="26">
        <v>60000</v>
      </c>
      <c r="AU171" s="26">
        <v>25000</v>
      </c>
      <c r="AV171" s="26">
        <v>25000</v>
      </c>
      <c r="AW171" s="26">
        <v>40000</v>
      </c>
      <c r="AX171" s="62">
        <v>0</v>
      </c>
      <c r="AZ171" s="14" t="s">
        <v>337</v>
      </c>
      <c r="BA171" s="249">
        <f t="shared" si="5"/>
        <v>4</v>
      </c>
      <c r="BB171" s="249">
        <v>0</v>
      </c>
      <c r="BC171" s="249">
        <f t="shared" si="4"/>
        <v>2005</v>
      </c>
    </row>
    <row r="172" spans="1:55" x14ac:dyDescent="0.25">
      <c r="A172" s="50" t="s">
        <v>1404</v>
      </c>
      <c r="B172" s="61" t="s">
        <v>458</v>
      </c>
      <c r="C172" s="14" t="s">
        <v>337</v>
      </c>
      <c r="D172" s="14">
        <v>2005</v>
      </c>
      <c r="E172" s="14" t="s">
        <v>456</v>
      </c>
      <c r="F172" s="14"/>
      <c r="G172" s="14"/>
      <c r="H172" s="14"/>
      <c r="I172" s="14"/>
      <c r="J172" s="13">
        <v>1000000</v>
      </c>
      <c r="K172" s="14"/>
      <c r="L172" s="14"/>
      <c r="M172" s="14" t="s">
        <v>328</v>
      </c>
      <c r="N172" s="13">
        <v>15000</v>
      </c>
      <c r="O172" s="24">
        <v>0.2</v>
      </c>
      <c r="P172" s="14">
        <v>2</v>
      </c>
      <c r="Q172" s="14">
        <v>500</v>
      </c>
      <c r="R172" s="13">
        <v>2500</v>
      </c>
      <c r="S172" s="14" t="s">
        <v>340</v>
      </c>
      <c r="T172" s="14">
        <v>2.5</v>
      </c>
      <c r="U172" s="14">
        <v>2.5</v>
      </c>
      <c r="V172" s="25">
        <v>1570.9156193895869</v>
      </c>
      <c r="W172" s="26">
        <v>17500</v>
      </c>
      <c r="X172" s="14"/>
      <c r="Y172" s="14" t="s">
        <v>328</v>
      </c>
      <c r="Z172" s="14"/>
      <c r="AA172" s="14"/>
      <c r="AB172" s="14"/>
      <c r="AC172" s="14"/>
      <c r="AD172" s="14" t="s">
        <v>328</v>
      </c>
      <c r="AE172" s="14" t="s">
        <v>328</v>
      </c>
      <c r="AF172" s="14"/>
      <c r="AG172" s="14"/>
      <c r="AH172" s="14" t="s">
        <v>328</v>
      </c>
      <c r="AI172" s="14"/>
      <c r="AJ172" s="14"/>
      <c r="AK172" s="14"/>
      <c r="AL172" s="14" t="s">
        <v>328</v>
      </c>
      <c r="AM172" s="14"/>
      <c r="AN172" s="13">
        <v>30000</v>
      </c>
      <c r="AO172" s="13">
        <v>90000</v>
      </c>
      <c r="AP172" s="13">
        <v>90000</v>
      </c>
      <c r="AQ172" s="13">
        <v>180000</v>
      </c>
      <c r="AR172" s="13">
        <v>90000</v>
      </c>
      <c r="AS172" s="26">
        <v>120000</v>
      </c>
      <c r="AT172" s="26">
        <v>60000</v>
      </c>
      <c r="AU172" s="26">
        <v>25000</v>
      </c>
      <c r="AV172" s="26">
        <v>25000</v>
      </c>
      <c r="AW172" s="26">
        <v>40000</v>
      </c>
      <c r="AX172" s="62">
        <v>0</v>
      </c>
      <c r="AZ172" s="14" t="s">
        <v>337</v>
      </c>
      <c r="BA172" s="249">
        <f t="shared" si="5"/>
        <v>4</v>
      </c>
      <c r="BB172" s="249">
        <v>0</v>
      </c>
      <c r="BC172" s="249">
        <f t="shared" si="4"/>
        <v>2005</v>
      </c>
    </row>
    <row r="173" spans="1:55" x14ac:dyDescent="0.25">
      <c r="A173" s="50" t="s">
        <v>1404</v>
      </c>
      <c r="B173" s="61" t="s">
        <v>471</v>
      </c>
      <c r="C173" s="14" t="s">
        <v>348</v>
      </c>
      <c r="D173" s="14">
        <v>2008</v>
      </c>
      <c r="E173" s="14" t="s">
        <v>407</v>
      </c>
      <c r="F173" s="14"/>
      <c r="G173" s="14"/>
      <c r="H173" s="14"/>
      <c r="I173" s="14"/>
      <c r="J173" s="13">
        <v>800000</v>
      </c>
      <c r="K173" s="14" t="s">
        <v>328</v>
      </c>
      <c r="L173" s="14"/>
      <c r="M173" s="14"/>
      <c r="N173" s="13">
        <v>1500</v>
      </c>
      <c r="O173" s="24">
        <v>0.5</v>
      </c>
      <c r="P173" s="14">
        <v>2</v>
      </c>
      <c r="Q173" s="14">
        <v>400</v>
      </c>
      <c r="R173" s="13">
        <v>1600</v>
      </c>
      <c r="S173" s="14" t="s">
        <v>340</v>
      </c>
      <c r="T173" s="14">
        <v>2</v>
      </c>
      <c r="U173" s="14">
        <v>2.5</v>
      </c>
      <c r="V173" s="25">
        <v>807.89946140035897</v>
      </c>
      <c r="W173" s="26">
        <v>9000</v>
      </c>
      <c r="X173" s="14"/>
      <c r="Y173" s="14" t="s">
        <v>328</v>
      </c>
      <c r="Z173" s="14"/>
      <c r="AA173" s="14"/>
      <c r="AB173" s="14"/>
      <c r="AC173" s="14"/>
      <c r="AD173" s="14"/>
      <c r="AE173" s="14"/>
      <c r="AF173" s="14"/>
      <c r="AG173" s="14"/>
      <c r="AH173" s="14" t="s">
        <v>328</v>
      </c>
      <c r="AI173" s="14" t="s">
        <v>328</v>
      </c>
      <c r="AJ173" s="14"/>
      <c r="AK173" s="14" t="s">
        <v>328</v>
      </c>
      <c r="AL173" s="14" t="s">
        <v>328</v>
      </c>
      <c r="AM173" s="14"/>
      <c r="AN173" s="13">
        <v>15000</v>
      </c>
      <c r="AO173" s="13">
        <v>15000</v>
      </c>
      <c r="AP173" s="13">
        <v>9000</v>
      </c>
      <c r="AQ173" s="13">
        <v>90000</v>
      </c>
      <c r="AR173" s="13">
        <v>15000</v>
      </c>
      <c r="AS173" s="26">
        <v>108000</v>
      </c>
      <c r="AT173" s="26">
        <v>108000</v>
      </c>
      <c r="AU173" s="26">
        <v>70000</v>
      </c>
      <c r="AV173" s="26">
        <v>10000</v>
      </c>
      <c r="AW173" s="26">
        <v>11000</v>
      </c>
      <c r="AX173" s="62">
        <v>0</v>
      </c>
      <c r="AZ173" s="14" t="s">
        <v>348</v>
      </c>
      <c r="BA173" s="249">
        <f t="shared" si="5"/>
        <v>1</v>
      </c>
      <c r="BB173" s="249">
        <v>0</v>
      </c>
      <c r="BC173" s="249">
        <f t="shared" si="4"/>
        <v>2008</v>
      </c>
    </row>
    <row r="174" spans="1:55" x14ac:dyDescent="0.25">
      <c r="A174" s="50" t="s">
        <v>1404</v>
      </c>
      <c r="B174" s="61" t="s">
        <v>459</v>
      </c>
      <c r="C174" s="14" t="s">
        <v>351</v>
      </c>
      <c r="D174" s="14">
        <v>1998</v>
      </c>
      <c r="E174" s="14" t="s">
        <v>407</v>
      </c>
      <c r="F174" s="14"/>
      <c r="G174" s="14"/>
      <c r="H174" s="14"/>
      <c r="I174" s="14"/>
      <c r="J174" s="13">
        <v>100000</v>
      </c>
      <c r="K174" s="14"/>
      <c r="L174" s="14"/>
      <c r="M174" s="14" t="s">
        <v>328</v>
      </c>
      <c r="N174" s="13">
        <v>3000</v>
      </c>
      <c r="O174" s="24">
        <v>0.5</v>
      </c>
      <c r="P174" s="14">
        <v>1</v>
      </c>
      <c r="Q174" s="14">
        <v>500</v>
      </c>
      <c r="R174" s="13">
        <v>4000</v>
      </c>
      <c r="S174" s="14" t="s">
        <v>340</v>
      </c>
      <c r="T174" s="14">
        <v>8</v>
      </c>
      <c r="U174" s="14">
        <v>10</v>
      </c>
      <c r="V174" s="25">
        <v>1795.3321364452422</v>
      </c>
      <c r="W174" s="26">
        <v>20000</v>
      </c>
      <c r="X174" s="14"/>
      <c r="Y174" s="14" t="s">
        <v>328</v>
      </c>
      <c r="Z174" s="14"/>
      <c r="AA174" s="14"/>
      <c r="AB174" s="14"/>
      <c r="AC174" s="14"/>
      <c r="AD174" s="14" t="s">
        <v>328</v>
      </c>
      <c r="AE174" s="14" t="s">
        <v>328</v>
      </c>
      <c r="AF174" s="14"/>
      <c r="AG174" s="14"/>
      <c r="AH174" s="14"/>
      <c r="AI174" s="14" t="s">
        <v>328</v>
      </c>
      <c r="AJ174" s="14"/>
      <c r="AK174" s="14" t="s">
        <v>328</v>
      </c>
      <c r="AL174" s="14" t="s">
        <v>328</v>
      </c>
      <c r="AM174" s="14"/>
      <c r="AN174" s="13">
        <v>5000</v>
      </c>
      <c r="AO174" s="13">
        <v>5000</v>
      </c>
      <c r="AP174" s="13">
        <v>12000</v>
      </c>
      <c r="AQ174" s="13">
        <v>50000</v>
      </c>
      <c r="AR174" s="13">
        <v>5000</v>
      </c>
      <c r="AS174" s="26">
        <v>130000</v>
      </c>
      <c r="AT174" s="26">
        <v>67600</v>
      </c>
      <c r="AU174" s="26">
        <v>20000</v>
      </c>
      <c r="AV174" s="26">
        <v>208000</v>
      </c>
      <c r="AW174" s="26">
        <v>16000</v>
      </c>
      <c r="AX174" s="62">
        <v>0</v>
      </c>
      <c r="AZ174" s="14" t="s">
        <v>351</v>
      </c>
      <c r="BA174" s="249">
        <f t="shared" si="5"/>
        <v>1</v>
      </c>
      <c r="BB174" s="249">
        <v>0</v>
      </c>
      <c r="BC174" s="249">
        <f t="shared" si="4"/>
        <v>1998</v>
      </c>
    </row>
    <row r="175" spans="1:55" x14ac:dyDescent="0.25">
      <c r="A175" s="50" t="s">
        <v>1404</v>
      </c>
      <c r="B175" s="61" t="s">
        <v>460</v>
      </c>
      <c r="C175" s="14" t="s">
        <v>337</v>
      </c>
      <c r="D175" s="14">
        <v>1985</v>
      </c>
      <c r="E175" s="14"/>
      <c r="F175" s="14"/>
      <c r="G175" s="14"/>
      <c r="H175" s="14">
        <v>1985</v>
      </c>
      <c r="I175" s="14" t="s">
        <v>374</v>
      </c>
      <c r="J175" s="13">
        <v>2000000</v>
      </c>
      <c r="K175" s="14"/>
      <c r="L175" s="14"/>
      <c r="M175" s="14" t="s">
        <v>328</v>
      </c>
      <c r="N175" s="13">
        <v>6000</v>
      </c>
      <c r="O175" s="24">
        <v>0.5</v>
      </c>
      <c r="P175" s="14">
        <v>2</v>
      </c>
      <c r="Q175" s="14">
        <v>438</v>
      </c>
      <c r="R175" s="13">
        <v>1576.8</v>
      </c>
      <c r="S175" s="14" t="s">
        <v>340</v>
      </c>
      <c r="T175" s="14">
        <v>1.8</v>
      </c>
      <c r="U175" s="14">
        <v>2</v>
      </c>
      <c r="V175" s="27">
        <v>3000</v>
      </c>
      <c r="W175" s="22">
        <v>42420</v>
      </c>
      <c r="X175" s="14"/>
      <c r="Y175" s="14" t="s">
        <v>328</v>
      </c>
      <c r="Z175" s="14"/>
      <c r="AA175" s="14"/>
      <c r="AB175" s="14"/>
      <c r="AC175" s="14"/>
      <c r="AD175" s="14"/>
      <c r="AE175" s="14" t="s">
        <v>328</v>
      </c>
      <c r="AF175" s="14"/>
      <c r="AG175" s="14" t="s">
        <v>328</v>
      </c>
      <c r="AH175" s="14" t="s">
        <v>328</v>
      </c>
      <c r="AI175" s="14" t="s">
        <v>328</v>
      </c>
      <c r="AJ175" s="14" t="s">
        <v>328</v>
      </c>
      <c r="AK175" s="14" t="s">
        <v>328</v>
      </c>
      <c r="AL175" s="14"/>
      <c r="AM175" s="14"/>
      <c r="AN175" s="13">
        <v>24000</v>
      </c>
      <c r="AO175" s="13">
        <v>10000</v>
      </c>
      <c r="AP175" s="13">
        <v>5000</v>
      </c>
      <c r="AQ175" s="13">
        <v>72000</v>
      </c>
      <c r="AR175" s="13">
        <v>18000</v>
      </c>
      <c r="AS175" s="26">
        <v>93600</v>
      </c>
      <c r="AT175" s="26">
        <v>0</v>
      </c>
      <c r="AU175" s="26">
        <v>130000</v>
      </c>
      <c r="AV175" s="26">
        <v>120000</v>
      </c>
      <c r="AW175" s="26">
        <v>0</v>
      </c>
      <c r="AX175" s="62">
        <v>170000</v>
      </c>
      <c r="AZ175" s="14" t="s">
        <v>337</v>
      </c>
      <c r="BA175" s="249">
        <f t="shared" si="5"/>
        <v>6</v>
      </c>
      <c r="BB175" s="249">
        <v>0</v>
      </c>
      <c r="BC175" s="249">
        <f t="shared" si="4"/>
        <v>1985</v>
      </c>
    </row>
    <row r="176" spans="1:55" x14ac:dyDescent="0.25">
      <c r="A176" s="50" t="s">
        <v>1404</v>
      </c>
      <c r="B176" s="61" t="s">
        <v>460</v>
      </c>
      <c r="C176" s="14" t="s">
        <v>337</v>
      </c>
      <c r="D176" s="14">
        <v>1985</v>
      </c>
      <c r="E176" s="14"/>
      <c r="F176" s="14"/>
      <c r="G176" s="14"/>
      <c r="H176" s="14">
        <v>1985</v>
      </c>
      <c r="I176" s="14" t="s">
        <v>1172</v>
      </c>
      <c r="J176" s="13">
        <v>2000000</v>
      </c>
      <c r="K176" s="14"/>
      <c r="L176" s="14"/>
      <c r="M176" s="14" t="s">
        <v>328</v>
      </c>
      <c r="N176" s="13">
        <v>6000</v>
      </c>
      <c r="O176" s="24">
        <v>0.5</v>
      </c>
      <c r="P176" s="14">
        <v>2</v>
      </c>
      <c r="Q176" s="14">
        <v>438</v>
      </c>
      <c r="R176" s="13">
        <v>1576.8</v>
      </c>
      <c r="S176" s="14" t="s">
        <v>340</v>
      </c>
      <c r="T176" s="14">
        <v>1.8</v>
      </c>
      <c r="U176" s="14">
        <v>2</v>
      </c>
      <c r="V176" s="27">
        <v>3000</v>
      </c>
      <c r="W176" s="22">
        <v>42420</v>
      </c>
      <c r="X176" s="14"/>
      <c r="Y176" s="14" t="s">
        <v>328</v>
      </c>
      <c r="Z176" s="14"/>
      <c r="AA176" s="14"/>
      <c r="AB176" s="14"/>
      <c r="AC176" s="14"/>
      <c r="AD176" s="14"/>
      <c r="AE176" s="14" t="s">
        <v>328</v>
      </c>
      <c r="AF176" s="14"/>
      <c r="AG176" s="14" t="s">
        <v>328</v>
      </c>
      <c r="AH176" s="14" t="s">
        <v>328</v>
      </c>
      <c r="AI176" s="14" t="s">
        <v>328</v>
      </c>
      <c r="AJ176" s="14" t="s">
        <v>328</v>
      </c>
      <c r="AK176" s="14" t="s">
        <v>328</v>
      </c>
      <c r="AL176" s="14"/>
      <c r="AM176" s="14"/>
      <c r="AN176" s="13">
        <v>24000</v>
      </c>
      <c r="AO176" s="13">
        <v>10000</v>
      </c>
      <c r="AP176" s="13">
        <v>5000</v>
      </c>
      <c r="AQ176" s="13">
        <v>72000</v>
      </c>
      <c r="AR176" s="13">
        <v>18000</v>
      </c>
      <c r="AS176" s="26">
        <v>93600</v>
      </c>
      <c r="AT176" s="26">
        <v>0</v>
      </c>
      <c r="AU176" s="26">
        <v>130000</v>
      </c>
      <c r="AV176" s="26">
        <v>120000</v>
      </c>
      <c r="AW176" s="26">
        <v>0</v>
      </c>
      <c r="AX176" s="62">
        <v>170000</v>
      </c>
      <c r="AZ176" s="14" t="s">
        <v>337</v>
      </c>
      <c r="BA176" s="249">
        <f t="shared" si="5"/>
        <v>6</v>
      </c>
      <c r="BB176" s="249">
        <v>0</v>
      </c>
      <c r="BC176" s="249">
        <f t="shared" si="4"/>
        <v>1985</v>
      </c>
    </row>
    <row r="177" spans="1:55" x14ac:dyDescent="0.25">
      <c r="A177" s="50" t="s">
        <v>1404</v>
      </c>
      <c r="B177" s="61" t="s">
        <v>460</v>
      </c>
      <c r="C177" s="14" t="s">
        <v>337</v>
      </c>
      <c r="D177" s="14">
        <v>1985</v>
      </c>
      <c r="E177" s="14"/>
      <c r="F177" s="14"/>
      <c r="G177" s="14"/>
      <c r="H177" s="14">
        <v>1985</v>
      </c>
      <c r="I177" s="14" t="s">
        <v>444</v>
      </c>
      <c r="J177" s="13">
        <v>2000000</v>
      </c>
      <c r="K177" s="14"/>
      <c r="L177" s="14"/>
      <c r="M177" s="14" t="s">
        <v>328</v>
      </c>
      <c r="N177" s="13">
        <v>6000</v>
      </c>
      <c r="O177" s="24">
        <v>0.5</v>
      </c>
      <c r="P177" s="14">
        <v>2</v>
      </c>
      <c r="Q177" s="14">
        <v>438</v>
      </c>
      <c r="R177" s="13">
        <v>1576.8</v>
      </c>
      <c r="S177" s="14" t="s">
        <v>340</v>
      </c>
      <c r="T177" s="14">
        <v>1.8</v>
      </c>
      <c r="U177" s="14">
        <v>2</v>
      </c>
      <c r="V177" s="27">
        <v>3000</v>
      </c>
      <c r="W177" s="22">
        <v>42420</v>
      </c>
      <c r="X177" s="14"/>
      <c r="Y177" s="14" t="s">
        <v>328</v>
      </c>
      <c r="Z177" s="14"/>
      <c r="AA177" s="14"/>
      <c r="AB177" s="14"/>
      <c r="AC177" s="14"/>
      <c r="AD177" s="14"/>
      <c r="AE177" s="14" t="s">
        <v>328</v>
      </c>
      <c r="AF177" s="14"/>
      <c r="AG177" s="14" t="s">
        <v>328</v>
      </c>
      <c r="AH177" s="14" t="s">
        <v>328</v>
      </c>
      <c r="AI177" s="14" t="s">
        <v>328</v>
      </c>
      <c r="AJ177" s="14" t="s">
        <v>328</v>
      </c>
      <c r="AK177" s="14" t="s">
        <v>328</v>
      </c>
      <c r="AL177" s="14"/>
      <c r="AM177" s="14"/>
      <c r="AN177" s="13">
        <v>24000</v>
      </c>
      <c r="AO177" s="13">
        <v>10000</v>
      </c>
      <c r="AP177" s="13">
        <v>5000</v>
      </c>
      <c r="AQ177" s="13">
        <v>72000</v>
      </c>
      <c r="AR177" s="13">
        <v>18000</v>
      </c>
      <c r="AS177" s="26">
        <v>93600</v>
      </c>
      <c r="AT177" s="26">
        <v>0</v>
      </c>
      <c r="AU177" s="26">
        <v>130000</v>
      </c>
      <c r="AV177" s="26">
        <v>120000</v>
      </c>
      <c r="AW177" s="26">
        <v>0</v>
      </c>
      <c r="AX177" s="62">
        <v>170000</v>
      </c>
      <c r="AZ177" s="14" t="s">
        <v>337</v>
      </c>
      <c r="BA177" s="249">
        <f t="shared" si="5"/>
        <v>6</v>
      </c>
      <c r="BB177" s="249">
        <v>0</v>
      </c>
      <c r="BC177" s="249">
        <f t="shared" si="4"/>
        <v>1985</v>
      </c>
    </row>
    <row r="178" spans="1:55" x14ac:dyDescent="0.25">
      <c r="A178" s="50" t="s">
        <v>1404</v>
      </c>
      <c r="B178" s="61" t="s">
        <v>460</v>
      </c>
      <c r="C178" s="14" t="s">
        <v>337</v>
      </c>
      <c r="D178" s="14">
        <v>1985</v>
      </c>
      <c r="E178" s="14"/>
      <c r="F178" s="14"/>
      <c r="G178" s="14"/>
      <c r="H178" s="14">
        <v>1985</v>
      </c>
      <c r="I178" s="14" t="s">
        <v>374</v>
      </c>
      <c r="J178" s="13">
        <v>2000000</v>
      </c>
      <c r="K178" s="14"/>
      <c r="L178" s="14"/>
      <c r="M178" s="14" t="s">
        <v>328</v>
      </c>
      <c r="N178" s="13">
        <v>6000</v>
      </c>
      <c r="O178" s="24">
        <v>0.5</v>
      </c>
      <c r="P178" s="14">
        <v>2</v>
      </c>
      <c r="Q178" s="14">
        <v>438</v>
      </c>
      <c r="R178" s="13">
        <v>1576.8</v>
      </c>
      <c r="S178" s="14" t="s">
        <v>340</v>
      </c>
      <c r="T178" s="14">
        <v>1.8</v>
      </c>
      <c r="U178" s="14">
        <v>2</v>
      </c>
      <c r="V178" s="27">
        <v>3000</v>
      </c>
      <c r="W178" s="22">
        <v>42420</v>
      </c>
      <c r="X178" s="14"/>
      <c r="Y178" s="14" t="s">
        <v>328</v>
      </c>
      <c r="Z178" s="14"/>
      <c r="AA178" s="14"/>
      <c r="AB178" s="14"/>
      <c r="AC178" s="14"/>
      <c r="AD178" s="14"/>
      <c r="AE178" s="14" t="s">
        <v>328</v>
      </c>
      <c r="AF178" s="14"/>
      <c r="AG178" s="14" t="s">
        <v>328</v>
      </c>
      <c r="AH178" s="14" t="s">
        <v>328</v>
      </c>
      <c r="AI178" s="14" t="s">
        <v>328</v>
      </c>
      <c r="AJ178" s="14" t="s">
        <v>328</v>
      </c>
      <c r="AK178" s="14" t="s">
        <v>328</v>
      </c>
      <c r="AL178" s="14"/>
      <c r="AM178" s="14"/>
      <c r="AN178" s="13">
        <v>24000</v>
      </c>
      <c r="AO178" s="13">
        <v>10000</v>
      </c>
      <c r="AP178" s="13">
        <v>5000</v>
      </c>
      <c r="AQ178" s="13">
        <v>72000</v>
      </c>
      <c r="AR178" s="13">
        <v>18000</v>
      </c>
      <c r="AS178" s="26">
        <v>93600</v>
      </c>
      <c r="AT178" s="26">
        <v>0</v>
      </c>
      <c r="AU178" s="26">
        <v>130000</v>
      </c>
      <c r="AV178" s="26">
        <v>120000</v>
      </c>
      <c r="AW178" s="26">
        <v>0</v>
      </c>
      <c r="AX178" s="62">
        <v>170000</v>
      </c>
      <c r="AZ178" s="14" t="s">
        <v>337</v>
      </c>
      <c r="BA178" s="249">
        <f t="shared" si="5"/>
        <v>6</v>
      </c>
      <c r="BB178" s="249">
        <v>0</v>
      </c>
      <c r="BC178" s="249">
        <f t="shared" si="4"/>
        <v>1985</v>
      </c>
    </row>
    <row r="179" spans="1:55" x14ac:dyDescent="0.25">
      <c r="A179" s="50" t="s">
        <v>1404</v>
      </c>
      <c r="B179" s="61" t="s">
        <v>460</v>
      </c>
      <c r="C179" s="14" t="s">
        <v>337</v>
      </c>
      <c r="D179" s="14">
        <v>1985</v>
      </c>
      <c r="E179" s="14"/>
      <c r="F179" s="14"/>
      <c r="G179" s="14"/>
      <c r="H179" s="14">
        <v>1985</v>
      </c>
      <c r="I179" s="14" t="s">
        <v>1173</v>
      </c>
      <c r="J179" s="13">
        <v>2000000</v>
      </c>
      <c r="K179" s="14"/>
      <c r="L179" s="14"/>
      <c r="M179" s="14" t="s">
        <v>328</v>
      </c>
      <c r="N179" s="13">
        <v>6000</v>
      </c>
      <c r="O179" s="24">
        <v>0.5</v>
      </c>
      <c r="P179" s="14">
        <v>2</v>
      </c>
      <c r="Q179" s="14">
        <v>438</v>
      </c>
      <c r="R179" s="13">
        <v>1576.8</v>
      </c>
      <c r="S179" s="14" t="s">
        <v>340</v>
      </c>
      <c r="T179" s="14">
        <v>1.8</v>
      </c>
      <c r="U179" s="14">
        <v>2</v>
      </c>
      <c r="V179" s="27">
        <v>3000</v>
      </c>
      <c r="W179" s="22">
        <v>42420</v>
      </c>
      <c r="X179" s="14"/>
      <c r="Y179" s="14" t="s">
        <v>328</v>
      </c>
      <c r="Z179" s="14"/>
      <c r="AA179" s="14"/>
      <c r="AB179" s="14"/>
      <c r="AC179" s="14"/>
      <c r="AD179" s="14"/>
      <c r="AE179" s="14" t="s">
        <v>328</v>
      </c>
      <c r="AF179" s="14"/>
      <c r="AG179" s="14" t="s">
        <v>328</v>
      </c>
      <c r="AH179" s="14" t="s">
        <v>328</v>
      </c>
      <c r="AI179" s="14" t="s">
        <v>328</v>
      </c>
      <c r="AJ179" s="14" t="s">
        <v>328</v>
      </c>
      <c r="AK179" s="14" t="s">
        <v>328</v>
      </c>
      <c r="AL179" s="14"/>
      <c r="AM179" s="14"/>
      <c r="AN179" s="13">
        <v>24000</v>
      </c>
      <c r="AO179" s="13">
        <v>10000</v>
      </c>
      <c r="AP179" s="13">
        <v>5000</v>
      </c>
      <c r="AQ179" s="13">
        <v>72000</v>
      </c>
      <c r="AR179" s="13">
        <v>18000</v>
      </c>
      <c r="AS179" s="26">
        <v>93600</v>
      </c>
      <c r="AT179" s="26">
        <v>0</v>
      </c>
      <c r="AU179" s="26">
        <v>130000</v>
      </c>
      <c r="AV179" s="26">
        <v>120000</v>
      </c>
      <c r="AW179" s="26">
        <v>0</v>
      </c>
      <c r="AX179" s="62">
        <v>170000</v>
      </c>
      <c r="AZ179" s="14" t="s">
        <v>337</v>
      </c>
      <c r="BA179" s="249">
        <f t="shared" si="5"/>
        <v>6</v>
      </c>
      <c r="BB179" s="249">
        <v>0</v>
      </c>
      <c r="BC179" s="249">
        <f t="shared" si="4"/>
        <v>1985</v>
      </c>
    </row>
    <row r="180" spans="1:55" x14ac:dyDescent="0.25">
      <c r="A180" s="50" t="s">
        <v>1404</v>
      </c>
      <c r="B180" s="61" t="s">
        <v>460</v>
      </c>
      <c r="C180" s="14" t="s">
        <v>337</v>
      </c>
      <c r="D180" s="14">
        <v>2000</v>
      </c>
      <c r="E180" s="14" t="s">
        <v>338</v>
      </c>
      <c r="F180" s="14"/>
      <c r="G180" s="14"/>
      <c r="H180" s="14"/>
      <c r="I180" s="14"/>
      <c r="J180" s="13">
        <v>500000</v>
      </c>
      <c r="K180" s="14"/>
      <c r="L180" s="14"/>
      <c r="M180" s="14" t="s">
        <v>328</v>
      </c>
      <c r="N180" s="13">
        <v>3200</v>
      </c>
      <c r="O180" s="24">
        <v>0.5</v>
      </c>
      <c r="P180" s="14">
        <v>2</v>
      </c>
      <c r="Q180" s="14">
        <v>438</v>
      </c>
      <c r="R180" s="13">
        <v>1576.8</v>
      </c>
      <c r="S180" s="14" t="s">
        <v>340</v>
      </c>
      <c r="T180" s="14">
        <v>1.8</v>
      </c>
      <c r="U180" s="14">
        <v>2</v>
      </c>
      <c r="V180" s="27">
        <v>1600</v>
      </c>
      <c r="W180" s="22">
        <v>22624</v>
      </c>
      <c r="X180" s="14"/>
      <c r="Y180" s="14" t="s">
        <v>328</v>
      </c>
      <c r="Z180" s="14"/>
      <c r="AA180" s="14"/>
      <c r="AB180" s="14"/>
      <c r="AC180" s="14"/>
      <c r="AD180" s="14" t="s">
        <v>328</v>
      </c>
      <c r="AE180" s="14" t="s">
        <v>328</v>
      </c>
      <c r="AF180" s="14"/>
      <c r="AG180" s="14" t="s">
        <v>328</v>
      </c>
      <c r="AH180" s="14" t="s">
        <v>328</v>
      </c>
      <c r="AI180" s="14" t="s">
        <v>328</v>
      </c>
      <c r="AJ180" s="14" t="s">
        <v>328</v>
      </c>
      <c r="AK180" s="14" t="s">
        <v>328</v>
      </c>
      <c r="AL180" s="14"/>
      <c r="AM180" s="14"/>
      <c r="AN180" s="13">
        <v>24000</v>
      </c>
      <c r="AO180" s="13">
        <v>10000</v>
      </c>
      <c r="AP180" s="13">
        <v>5000</v>
      </c>
      <c r="AQ180" s="13">
        <v>38400</v>
      </c>
      <c r="AR180" s="13">
        <v>9600</v>
      </c>
      <c r="AS180" s="26">
        <v>93600</v>
      </c>
      <c r="AT180" s="26">
        <v>0</v>
      </c>
      <c r="AU180" s="26">
        <v>130000</v>
      </c>
      <c r="AV180" s="26">
        <v>120000</v>
      </c>
      <c r="AW180" s="26">
        <v>0</v>
      </c>
      <c r="AX180" s="62">
        <v>170000</v>
      </c>
      <c r="AZ180" s="14" t="s">
        <v>337</v>
      </c>
      <c r="BA180" s="249">
        <f t="shared" si="5"/>
        <v>6</v>
      </c>
      <c r="BB180" s="249">
        <v>0</v>
      </c>
      <c r="BC180" s="249">
        <f t="shared" si="4"/>
        <v>2000</v>
      </c>
    </row>
    <row r="181" spans="1:55" x14ac:dyDescent="0.25">
      <c r="A181" s="50" t="s">
        <v>1404</v>
      </c>
      <c r="B181" s="61" t="s">
        <v>461</v>
      </c>
      <c r="C181" s="14" t="s">
        <v>348</v>
      </c>
      <c r="D181" s="14">
        <v>1992</v>
      </c>
      <c r="E181" s="14"/>
      <c r="F181" s="14"/>
      <c r="G181" s="14"/>
      <c r="H181" s="14">
        <v>2000</v>
      </c>
      <c r="I181" s="14" t="s">
        <v>407</v>
      </c>
      <c r="J181" s="13">
        <v>500000</v>
      </c>
      <c r="K181" s="14"/>
      <c r="L181" s="14"/>
      <c r="M181" s="14" t="s">
        <v>328</v>
      </c>
      <c r="N181" s="13">
        <v>2000</v>
      </c>
      <c r="O181" s="24">
        <v>0.5</v>
      </c>
      <c r="P181" s="14">
        <v>2</v>
      </c>
      <c r="Q181" s="14">
        <v>250</v>
      </c>
      <c r="R181" s="13">
        <v>1400</v>
      </c>
      <c r="S181" s="14" t="s">
        <v>340</v>
      </c>
      <c r="T181" s="14">
        <v>2.8</v>
      </c>
      <c r="U181" s="14">
        <v>3.1</v>
      </c>
      <c r="V181" s="25">
        <v>897.66606822262111</v>
      </c>
      <c r="W181" s="26">
        <v>10000</v>
      </c>
      <c r="X181" s="14"/>
      <c r="Y181" s="14" t="s">
        <v>328</v>
      </c>
      <c r="Z181" s="14"/>
      <c r="AA181" s="14"/>
      <c r="AB181" s="14"/>
      <c r="AC181" s="14"/>
      <c r="AD181" s="14"/>
      <c r="AE181" s="14" t="s">
        <v>328</v>
      </c>
      <c r="AF181" s="14"/>
      <c r="AG181" s="14"/>
      <c r="AH181" s="14" t="s">
        <v>328</v>
      </c>
      <c r="AI181" s="14" t="s">
        <v>328</v>
      </c>
      <c r="AJ181" s="14"/>
      <c r="AK181" s="14" t="s">
        <v>328</v>
      </c>
      <c r="AL181" s="14" t="s">
        <v>328</v>
      </c>
      <c r="AM181" s="14" t="s">
        <v>328</v>
      </c>
      <c r="AN181" s="13">
        <v>30000</v>
      </c>
      <c r="AO181" s="13">
        <v>50000</v>
      </c>
      <c r="AP181" s="13">
        <v>20000</v>
      </c>
      <c r="AQ181" s="13">
        <v>24000</v>
      </c>
      <c r="AR181" s="13">
        <v>30000</v>
      </c>
      <c r="AS181" s="26">
        <v>120000</v>
      </c>
      <c r="AT181" s="26">
        <v>48000</v>
      </c>
      <c r="AU181" s="26">
        <v>240000</v>
      </c>
      <c r="AV181" s="26">
        <v>96000</v>
      </c>
      <c r="AW181" s="26">
        <v>9000</v>
      </c>
      <c r="AX181" s="62">
        <v>0</v>
      </c>
      <c r="AZ181" s="14" t="s">
        <v>348</v>
      </c>
      <c r="BA181" s="249">
        <f t="shared" si="5"/>
        <v>2</v>
      </c>
      <c r="BB181" s="249">
        <v>0</v>
      </c>
      <c r="BC181" s="249">
        <f t="shared" si="4"/>
        <v>2000</v>
      </c>
    </row>
    <row r="182" spans="1:55" x14ac:dyDescent="0.25">
      <c r="A182" s="50" t="s">
        <v>1404</v>
      </c>
      <c r="B182" s="61" t="s">
        <v>461</v>
      </c>
      <c r="C182" s="14" t="s">
        <v>348</v>
      </c>
      <c r="D182" s="14">
        <v>1992</v>
      </c>
      <c r="E182" s="14"/>
      <c r="F182" s="14"/>
      <c r="G182" s="14"/>
      <c r="H182" s="14">
        <v>2000</v>
      </c>
      <c r="I182" s="14" t="s">
        <v>407</v>
      </c>
      <c r="J182" s="13">
        <v>500000</v>
      </c>
      <c r="K182" s="14"/>
      <c r="L182" s="14"/>
      <c r="M182" s="14" t="s">
        <v>328</v>
      </c>
      <c r="N182" s="13">
        <v>2000</v>
      </c>
      <c r="O182" s="24">
        <v>0.5</v>
      </c>
      <c r="P182" s="14">
        <v>2</v>
      </c>
      <c r="Q182" s="14">
        <v>250</v>
      </c>
      <c r="R182" s="13">
        <v>1400</v>
      </c>
      <c r="S182" s="14" t="s">
        <v>340</v>
      </c>
      <c r="T182" s="14">
        <v>2.8</v>
      </c>
      <c r="U182" s="14">
        <v>3.1</v>
      </c>
      <c r="V182" s="25">
        <v>897.66606822262111</v>
      </c>
      <c r="W182" s="26">
        <v>10000</v>
      </c>
      <c r="X182" s="14"/>
      <c r="Y182" s="14" t="s">
        <v>328</v>
      </c>
      <c r="Z182" s="14"/>
      <c r="AA182" s="14"/>
      <c r="AB182" s="14"/>
      <c r="AC182" s="14"/>
      <c r="AD182" s="14"/>
      <c r="AE182" s="14" t="s">
        <v>328</v>
      </c>
      <c r="AF182" s="14"/>
      <c r="AG182" s="14"/>
      <c r="AH182" s="14" t="s">
        <v>328</v>
      </c>
      <c r="AI182" s="14" t="s">
        <v>328</v>
      </c>
      <c r="AJ182" s="14"/>
      <c r="AK182" s="14" t="s">
        <v>328</v>
      </c>
      <c r="AL182" s="14" t="s">
        <v>328</v>
      </c>
      <c r="AM182" s="14" t="s">
        <v>328</v>
      </c>
      <c r="AN182" s="13">
        <v>30000</v>
      </c>
      <c r="AO182" s="13">
        <v>50000</v>
      </c>
      <c r="AP182" s="13">
        <v>20000</v>
      </c>
      <c r="AQ182" s="13">
        <v>24000</v>
      </c>
      <c r="AR182" s="13">
        <v>30000</v>
      </c>
      <c r="AS182" s="26">
        <v>120000</v>
      </c>
      <c r="AT182" s="26">
        <v>48000</v>
      </c>
      <c r="AU182" s="26">
        <v>240000</v>
      </c>
      <c r="AV182" s="26">
        <v>96000</v>
      </c>
      <c r="AW182" s="26">
        <v>9000</v>
      </c>
      <c r="AX182" s="62">
        <v>0</v>
      </c>
      <c r="AZ182" s="14" t="s">
        <v>348</v>
      </c>
      <c r="BA182" s="249">
        <f t="shared" si="5"/>
        <v>2</v>
      </c>
      <c r="BB182" s="249">
        <v>0</v>
      </c>
      <c r="BC182" s="249">
        <f t="shared" si="4"/>
        <v>2000</v>
      </c>
    </row>
    <row r="183" spans="1:55" x14ac:dyDescent="0.25">
      <c r="A183" s="50" t="s">
        <v>1404</v>
      </c>
      <c r="B183" s="61" t="s">
        <v>462</v>
      </c>
      <c r="C183" s="14" t="s">
        <v>348</v>
      </c>
      <c r="D183" s="14">
        <v>1998</v>
      </c>
      <c r="E183" s="14" t="s">
        <v>407</v>
      </c>
      <c r="F183" s="14"/>
      <c r="G183" s="14"/>
      <c r="H183" s="14"/>
      <c r="I183" s="14"/>
      <c r="J183" s="13">
        <v>900000</v>
      </c>
      <c r="K183" s="14"/>
      <c r="L183" s="14"/>
      <c r="M183" s="14" t="s">
        <v>328</v>
      </c>
      <c r="N183" s="13">
        <v>2000</v>
      </c>
      <c r="O183" s="24">
        <v>0.5</v>
      </c>
      <c r="P183" s="14">
        <v>2</v>
      </c>
      <c r="Q183" s="14">
        <v>400</v>
      </c>
      <c r="R183" s="13">
        <v>2400</v>
      </c>
      <c r="S183" s="14" t="s">
        <v>340</v>
      </c>
      <c r="T183" s="14">
        <v>2.5</v>
      </c>
      <c r="U183" s="14">
        <v>3</v>
      </c>
      <c r="V183" s="25">
        <v>1077.1992818671454</v>
      </c>
      <c r="W183" s="26">
        <v>12000</v>
      </c>
      <c r="X183" s="14"/>
      <c r="Y183" s="14" t="s">
        <v>328</v>
      </c>
      <c r="Z183" s="14"/>
      <c r="AA183" s="14"/>
      <c r="AB183" s="14"/>
      <c r="AC183" s="14"/>
      <c r="AD183" s="14"/>
      <c r="AE183" s="14"/>
      <c r="AF183" s="14"/>
      <c r="AG183" s="14" t="s">
        <v>328</v>
      </c>
      <c r="AH183" s="14"/>
      <c r="AI183" s="14" t="s">
        <v>328</v>
      </c>
      <c r="AJ183" s="14"/>
      <c r="AK183" s="14" t="s">
        <v>328</v>
      </c>
      <c r="AL183" s="14" t="s">
        <v>328</v>
      </c>
      <c r="AM183" s="14"/>
      <c r="AN183" s="13">
        <v>12000</v>
      </c>
      <c r="AO183" s="13">
        <v>20000</v>
      </c>
      <c r="AP183" s="13">
        <v>30000</v>
      </c>
      <c r="AQ183" s="13">
        <v>24000</v>
      </c>
      <c r="AR183" s="13">
        <v>12000</v>
      </c>
      <c r="AS183" s="26">
        <v>96000</v>
      </c>
      <c r="AT183" s="26">
        <v>0</v>
      </c>
      <c r="AU183" s="26">
        <v>480000</v>
      </c>
      <c r="AV183" s="26">
        <v>60000</v>
      </c>
      <c r="AW183" s="26">
        <v>12000</v>
      </c>
      <c r="AX183" s="62">
        <v>0</v>
      </c>
      <c r="AZ183" s="14" t="s">
        <v>348</v>
      </c>
      <c r="BA183" s="249">
        <f t="shared" si="5"/>
        <v>1</v>
      </c>
      <c r="BB183" s="249">
        <v>1</v>
      </c>
      <c r="BC183" s="249">
        <f t="shared" si="4"/>
        <v>1998</v>
      </c>
    </row>
    <row r="184" spans="1:55" x14ac:dyDescent="0.25">
      <c r="A184" s="50" t="s">
        <v>1404</v>
      </c>
      <c r="B184" s="61" t="s">
        <v>463</v>
      </c>
      <c r="C184" s="14" t="s">
        <v>337</v>
      </c>
      <c r="D184" s="14">
        <v>1984</v>
      </c>
      <c r="E184" s="14" t="s">
        <v>370</v>
      </c>
      <c r="F184" s="14"/>
      <c r="G184" s="14"/>
      <c r="H184" s="14"/>
      <c r="I184" s="14"/>
      <c r="J184" s="13">
        <v>320000</v>
      </c>
      <c r="K184" s="14"/>
      <c r="L184" s="14"/>
      <c r="M184" s="14" t="s">
        <v>328</v>
      </c>
      <c r="N184" s="13">
        <v>9000</v>
      </c>
      <c r="O184" s="24">
        <v>0.5</v>
      </c>
      <c r="P184" s="14">
        <v>2</v>
      </c>
      <c r="Q184" s="14">
        <v>450</v>
      </c>
      <c r="R184" s="13">
        <v>1800</v>
      </c>
      <c r="S184" s="14" t="s">
        <v>340</v>
      </c>
      <c r="T184" s="14">
        <v>2</v>
      </c>
      <c r="U184" s="14">
        <v>2.5</v>
      </c>
      <c r="V184" s="25">
        <v>4039.497307001795</v>
      </c>
      <c r="W184" s="26">
        <v>45000</v>
      </c>
      <c r="X184" s="14"/>
      <c r="Y184" s="14" t="s">
        <v>328</v>
      </c>
      <c r="Z184" s="14"/>
      <c r="AA184" s="14"/>
      <c r="AB184" s="14"/>
      <c r="AC184" s="14"/>
      <c r="AD184" s="14"/>
      <c r="AE184" s="14" t="s">
        <v>328</v>
      </c>
      <c r="AF184" s="14"/>
      <c r="AG184" s="14" t="s">
        <v>328</v>
      </c>
      <c r="AH184" s="14" t="s">
        <v>328</v>
      </c>
      <c r="AI184" s="14" t="s">
        <v>328</v>
      </c>
      <c r="AJ184" s="14"/>
      <c r="AK184" s="14" t="s">
        <v>328</v>
      </c>
      <c r="AL184" s="14" t="s">
        <v>328</v>
      </c>
      <c r="AM184" s="14" t="s">
        <v>328</v>
      </c>
      <c r="AN184" s="13">
        <v>27000</v>
      </c>
      <c r="AO184" s="13">
        <v>108000</v>
      </c>
      <c r="AP184" s="13">
        <v>45000</v>
      </c>
      <c r="AQ184" s="13">
        <v>108000</v>
      </c>
      <c r="AR184" s="13">
        <v>27000</v>
      </c>
      <c r="AS184" s="26">
        <v>182000</v>
      </c>
      <c r="AT184" s="26">
        <v>0</v>
      </c>
      <c r="AU184" s="26">
        <v>100000</v>
      </c>
      <c r="AV184" s="26">
        <v>240000</v>
      </c>
      <c r="AW184" s="26">
        <v>16000</v>
      </c>
      <c r="AX184" s="62">
        <v>0</v>
      </c>
      <c r="AZ184" s="14" t="s">
        <v>337</v>
      </c>
      <c r="BA184" s="249">
        <f t="shared" si="5"/>
        <v>3</v>
      </c>
      <c r="BB184" s="249">
        <v>0</v>
      </c>
      <c r="BC184" s="249">
        <f t="shared" si="4"/>
        <v>1984</v>
      </c>
    </row>
    <row r="185" spans="1:55" x14ac:dyDescent="0.25">
      <c r="A185" s="50" t="s">
        <v>1404</v>
      </c>
      <c r="B185" s="61" t="s">
        <v>463</v>
      </c>
      <c r="C185" s="14" t="s">
        <v>337</v>
      </c>
      <c r="D185" s="14">
        <v>2000</v>
      </c>
      <c r="E185" s="14" t="s">
        <v>407</v>
      </c>
      <c r="F185" s="14"/>
      <c r="G185" s="14"/>
      <c r="H185" s="14"/>
      <c r="I185" s="14"/>
      <c r="J185" s="13">
        <v>140400</v>
      </c>
      <c r="K185" s="14"/>
      <c r="L185" s="14"/>
      <c r="M185" s="14" t="s">
        <v>328</v>
      </c>
      <c r="N185" s="13">
        <v>9000</v>
      </c>
      <c r="O185" s="24">
        <v>0.5</v>
      </c>
      <c r="P185" s="14">
        <v>2</v>
      </c>
      <c r="Q185" s="14">
        <v>500</v>
      </c>
      <c r="R185" s="13">
        <v>2000</v>
      </c>
      <c r="S185" s="14" t="s">
        <v>340</v>
      </c>
      <c r="T185" s="14">
        <v>2</v>
      </c>
      <c r="U185" s="14">
        <v>2.5</v>
      </c>
      <c r="V185" s="25">
        <v>4039.497307001795</v>
      </c>
      <c r="W185" s="26">
        <v>45000</v>
      </c>
      <c r="X185" s="14"/>
      <c r="Y185" s="14" t="s">
        <v>328</v>
      </c>
      <c r="Z185" s="14"/>
      <c r="AA185" s="14"/>
      <c r="AB185" s="14"/>
      <c r="AC185" s="14"/>
      <c r="AD185" s="14"/>
      <c r="AE185" s="14" t="s">
        <v>328</v>
      </c>
      <c r="AF185" s="14"/>
      <c r="AG185" s="14" t="s">
        <v>328</v>
      </c>
      <c r="AH185" s="14" t="s">
        <v>328</v>
      </c>
      <c r="AI185" s="14" t="s">
        <v>328</v>
      </c>
      <c r="AJ185" s="14"/>
      <c r="AK185" s="14" t="s">
        <v>328</v>
      </c>
      <c r="AL185" s="14" t="s">
        <v>328</v>
      </c>
      <c r="AM185" s="14" t="s">
        <v>328</v>
      </c>
      <c r="AN185" s="13">
        <v>27000</v>
      </c>
      <c r="AO185" s="13">
        <v>108000</v>
      </c>
      <c r="AP185" s="13">
        <v>45000</v>
      </c>
      <c r="AQ185" s="13">
        <v>108000</v>
      </c>
      <c r="AR185" s="13">
        <v>27000</v>
      </c>
      <c r="AS185" s="26">
        <v>182000</v>
      </c>
      <c r="AT185" s="26">
        <v>0</v>
      </c>
      <c r="AU185" s="26">
        <v>100000</v>
      </c>
      <c r="AV185" s="26">
        <v>240000</v>
      </c>
      <c r="AW185" s="26">
        <v>16000</v>
      </c>
      <c r="AX185" s="62">
        <v>0</v>
      </c>
      <c r="AZ185" s="14" t="s">
        <v>337</v>
      </c>
      <c r="BA185" s="249">
        <f t="shared" si="5"/>
        <v>3</v>
      </c>
      <c r="BB185" s="249">
        <v>0</v>
      </c>
      <c r="BC185" s="249">
        <f t="shared" si="4"/>
        <v>2000</v>
      </c>
    </row>
    <row r="186" spans="1:55" x14ac:dyDescent="0.25">
      <c r="A186" s="50" t="s">
        <v>1404</v>
      </c>
      <c r="B186" s="61" t="s">
        <v>463</v>
      </c>
      <c r="C186" s="14" t="s">
        <v>337</v>
      </c>
      <c r="D186" s="14">
        <v>2005</v>
      </c>
      <c r="E186" s="14" t="s">
        <v>407</v>
      </c>
      <c r="F186" s="14"/>
      <c r="G186" s="14"/>
      <c r="H186" s="14"/>
      <c r="I186" s="14"/>
      <c r="J186" s="13">
        <v>86500</v>
      </c>
      <c r="K186" s="14"/>
      <c r="L186" s="14"/>
      <c r="M186" s="14" t="s">
        <v>328</v>
      </c>
      <c r="N186" s="13">
        <v>9000</v>
      </c>
      <c r="O186" s="24">
        <v>0.5</v>
      </c>
      <c r="P186" s="14">
        <v>2</v>
      </c>
      <c r="Q186" s="14">
        <v>500</v>
      </c>
      <c r="R186" s="13">
        <v>2000</v>
      </c>
      <c r="S186" s="14" t="s">
        <v>340</v>
      </c>
      <c r="T186" s="14">
        <v>2</v>
      </c>
      <c r="U186" s="14">
        <v>2.5</v>
      </c>
      <c r="V186" s="25">
        <v>4039.497307001795</v>
      </c>
      <c r="W186" s="26">
        <v>45000</v>
      </c>
      <c r="X186" s="14"/>
      <c r="Y186" s="14" t="s">
        <v>328</v>
      </c>
      <c r="Z186" s="14"/>
      <c r="AA186" s="14"/>
      <c r="AB186" s="14"/>
      <c r="AC186" s="14"/>
      <c r="AD186" s="14" t="s">
        <v>328</v>
      </c>
      <c r="AE186" s="14" t="s">
        <v>328</v>
      </c>
      <c r="AF186" s="14"/>
      <c r="AG186" s="14" t="s">
        <v>328</v>
      </c>
      <c r="AH186" s="14" t="s">
        <v>328</v>
      </c>
      <c r="AI186" s="14" t="s">
        <v>328</v>
      </c>
      <c r="AJ186" s="14"/>
      <c r="AK186" s="14" t="s">
        <v>328</v>
      </c>
      <c r="AL186" s="14" t="s">
        <v>328</v>
      </c>
      <c r="AM186" s="14" t="s">
        <v>328</v>
      </c>
      <c r="AN186" s="13">
        <v>27000</v>
      </c>
      <c r="AO186" s="13">
        <v>108000</v>
      </c>
      <c r="AP186" s="13">
        <v>45000</v>
      </c>
      <c r="AQ186" s="13">
        <v>108000</v>
      </c>
      <c r="AR186" s="13">
        <v>27000</v>
      </c>
      <c r="AS186" s="26">
        <v>182000</v>
      </c>
      <c r="AT186" s="26">
        <v>0</v>
      </c>
      <c r="AU186" s="26">
        <v>100000</v>
      </c>
      <c r="AV186" s="26">
        <v>240000</v>
      </c>
      <c r="AW186" s="26">
        <v>16000</v>
      </c>
      <c r="AX186" s="62">
        <v>0</v>
      </c>
      <c r="AZ186" s="14" t="s">
        <v>337</v>
      </c>
      <c r="BA186" s="249">
        <f t="shared" si="5"/>
        <v>3</v>
      </c>
      <c r="BB186" s="249">
        <v>0</v>
      </c>
      <c r="BC186" s="249">
        <f t="shared" si="4"/>
        <v>2005</v>
      </c>
    </row>
    <row r="187" spans="1:55" x14ac:dyDescent="0.25">
      <c r="A187" s="50" t="s">
        <v>1404</v>
      </c>
      <c r="B187" s="61" t="s">
        <v>481</v>
      </c>
      <c r="C187" s="14" t="s">
        <v>348</v>
      </c>
      <c r="D187" s="14">
        <v>2001</v>
      </c>
      <c r="E187" s="14" t="s">
        <v>429</v>
      </c>
      <c r="F187" s="14"/>
      <c r="G187" s="14"/>
      <c r="H187" s="14"/>
      <c r="I187" s="14"/>
      <c r="J187" s="13">
        <v>300000</v>
      </c>
      <c r="K187" s="14"/>
      <c r="L187" s="14"/>
      <c r="M187" s="14" t="s">
        <v>328</v>
      </c>
      <c r="N187" s="13">
        <v>2000</v>
      </c>
      <c r="O187" s="24">
        <v>0.5</v>
      </c>
      <c r="P187" s="14">
        <v>1</v>
      </c>
      <c r="Q187" s="14">
        <v>220</v>
      </c>
      <c r="R187" s="13">
        <v>352</v>
      </c>
      <c r="S187" s="14" t="s">
        <v>430</v>
      </c>
      <c r="T187" s="14">
        <v>1.6</v>
      </c>
      <c r="U187" s="14">
        <v>1.6</v>
      </c>
      <c r="V187" s="25">
        <v>538.59964093357269</v>
      </c>
      <c r="W187" s="26">
        <v>6000</v>
      </c>
      <c r="X187" s="14"/>
      <c r="Y187" s="14"/>
      <c r="Z187" s="14"/>
      <c r="AA187" s="14"/>
      <c r="AB187" s="14"/>
      <c r="AC187" s="14" t="s">
        <v>328</v>
      </c>
      <c r="AD187" s="14"/>
      <c r="AE187" s="14" t="s">
        <v>328</v>
      </c>
      <c r="AF187" s="14"/>
      <c r="AG187" s="14" t="s">
        <v>328</v>
      </c>
      <c r="AH187" s="14" t="s">
        <v>328</v>
      </c>
      <c r="AI187" s="14" t="s">
        <v>328</v>
      </c>
      <c r="AJ187" s="14"/>
      <c r="AK187" s="14" t="s">
        <v>328</v>
      </c>
      <c r="AL187" s="14" t="s">
        <v>328</v>
      </c>
      <c r="AM187" s="14"/>
      <c r="AN187" s="13">
        <v>5000</v>
      </c>
      <c r="AO187" s="13">
        <v>5000</v>
      </c>
      <c r="AP187" s="13">
        <v>12000</v>
      </c>
      <c r="AQ187" s="13">
        <v>12000</v>
      </c>
      <c r="AR187" s="13" t="s">
        <v>385</v>
      </c>
      <c r="AS187" s="26">
        <v>78000</v>
      </c>
      <c r="AT187" s="26">
        <v>48000</v>
      </c>
      <c r="AU187" s="26">
        <v>360000</v>
      </c>
      <c r="AV187" s="26">
        <v>24000</v>
      </c>
      <c r="AW187" s="26">
        <v>12000</v>
      </c>
      <c r="AX187" s="62">
        <v>0</v>
      </c>
      <c r="AZ187" s="14" t="s">
        <v>348</v>
      </c>
      <c r="BA187" s="249">
        <f t="shared" si="5"/>
        <v>1</v>
      </c>
      <c r="BB187" s="249">
        <v>0</v>
      </c>
      <c r="BC187" s="249">
        <f t="shared" si="4"/>
        <v>2001</v>
      </c>
    </row>
    <row r="188" spans="1:55" x14ac:dyDescent="0.25">
      <c r="A188" s="50" t="s">
        <v>1404</v>
      </c>
      <c r="B188" s="63" t="s">
        <v>482</v>
      </c>
      <c r="C188" s="14" t="s">
        <v>351</v>
      </c>
      <c r="D188" s="15">
        <v>2008</v>
      </c>
      <c r="E188" s="14" t="s">
        <v>456</v>
      </c>
      <c r="F188" s="15"/>
      <c r="G188" s="15"/>
      <c r="H188" s="15"/>
      <c r="I188" s="15"/>
      <c r="J188" s="16">
        <v>195000</v>
      </c>
      <c r="K188" s="15" t="s">
        <v>328</v>
      </c>
      <c r="L188" s="15"/>
      <c r="M188" s="15"/>
      <c r="N188" s="16">
        <v>1200</v>
      </c>
      <c r="O188" s="24">
        <v>0.5</v>
      </c>
      <c r="P188" s="15">
        <v>1</v>
      </c>
      <c r="Q188" s="15">
        <v>500</v>
      </c>
      <c r="R188" s="13">
        <v>1500</v>
      </c>
      <c r="S188" s="15" t="s">
        <v>340</v>
      </c>
      <c r="T188" s="15">
        <v>3</v>
      </c>
      <c r="U188" s="15">
        <v>4</v>
      </c>
      <c r="V188" s="27">
        <v>340</v>
      </c>
      <c r="W188" s="22">
        <v>4800</v>
      </c>
      <c r="X188" s="15"/>
      <c r="Y188" s="15" t="s">
        <v>328</v>
      </c>
      <c r="Z188" s="15"/>
      <c r="AA188" s="15"/>
      <c r="AB188" s="15"/>
      <c r="AC188" s="15"/>
      <c r="AD188" s="15" t="s">
        <v>328</v>
      </c>
      <c r="AE188" s="15" t="s">
        <v>328</v>
      </c>
      <c r="AF188" s="15"/>
      <c r="AG188" s="15" t="s">
        <v>328</v>
      </c>
      <c r="AH188" s="15" t="s">
        <v>328</v>
      </c>
      <c r="AI188" s="15" t="s">
        <v>328</v>
      </c>
      <c r="AJ188" s="15" t="s">
        <v>328</v>
      </c>
      <c r="AK188" s="15" t="s">
        <v>328</v>
      </c>
      <c r="AL188" s="15" t="s">
        <v>328</v>
      </c>
      <c r="AM188" s="15"/>
      <c r="AN188" s="16">
        <v>21600</v>
      </c>
      <c r="AO188" s="16">
        <v>15000</v>
      </c>
      <c r="AP188" s="16">
        <v>9600</v>
      </c>
      <c r="AQ188" s="16">
        <v>9600</v>
      </c>
      <c r="AR188" s="16">
        <v>15000</v>
      </c>
      <c r="AS188" s="20">
        <v>42000</v>
      </c>
      <c r="AT188" s="26">
        <v>0</v>
      </c>
      <c r="AU188" s="20">
        <v>200000</v>
      </c>
      <c r="AV188" s="20">
        <v>17000</v>
      </c>
      <c r="AW188" s="20">
        <v>7000</v>
      </c>
      <c r="AX188" s="64">
        <v>0</v>
      </c>
      <c r="AZ188" s="15" t="s">
        <v>351</v>
      </c>
      <c r="BA188" s="249">
        <f t="shared" si="5"/>
        <v>3</v>
      </c>
      <c r="BB188" s="249">
        <v>0</v>
      </c>
      <c r="BC188" s="249">
        <f t="shared" si="4"/>
        <v>2008</v>
      </c>
    </row>
    <row r="189" spans="1:55" x14ac:dyDescent="0.25">
      <c r="A189" s="50" t="s">
        <v>1404</v>
      </c>
      <c r="B189" s="63" t="s">
        <v>482</v>
      </c>
      <c r="C189" s="14" t="s">
        <v>351</v>
      </c>
      <c r="D189" s="15">
        <v>2008</v>
      </c>
      <c r="E189" s="14" t="s">
        <v>456</v>
      </c>
      <c r="F189" s="15"/>
      <c r="G189" s="15"/>
      <c r="H189" s="15"/>
      <c r="I189" s="15"/>
      <c r="J189" s="16">
        <v>195000</v>
      </c>
      <c r="K189" s="15" t="s">
        <v>328</v>
      </c>
      <c r="L189" s="15"/>
      <c r="M189" s="15"/>
      <c r="N189" s="16">
        <v>1200</v>
      </c>
      <c r="O189" s="24">
        <v>0.5</v>
      </c>
      <c r="P189" s="15">
        <v>1</v>
      </c>
      <c r="Q189" s="15">
        <v>500</v>
      </c>
      <c r="R189" s="13">
        <v>1500</v>
      </c>
      <c r="S189" s="15" t="s">
        <v>340</v>
      </c>
      <c r="T189" s="15">
        <v>3</v>
      </c>
      <c r="U189" s="15">
        <v>4</v>
      </c>
      <c r="V189" s="27">
        <v>340</v>
      </c>
      <c r="W189" s="22">
        <v>4800</v>
      </c>
      <c r="X189" s="15"/>
      <c r="Y189" s="15" t="s">
        <v>328</v>
      </c>
      <c r="Z189" s="15"/>
      <c r="AA189" s="15"/>
      <c r="AB189" s="15"/>
      <c r="AC189" s="15"/>
      <c r="AD189" s="15" t="s">
        <v>328</v>
      </c>
      <c r="AE189" s="15" t="s">
        <v>328</v>
      </c>
      <c r="AF189" s="15"/>
      <c r="AG189" s="15" t="s">
        <v>328</v>
      </c>
      <c r="AH189" s="15" t="s">
        <v>328</v>
      </c>
      <c r="AI189" s="15" t="s">
        <v>328</v>
      </c>
      <c r="AJ189" s="15" t="s">
        <v>328</v>
      </c>
      <c r="AK189" s="15" t="s">
        <v>328</v>
      </c>
      <c r="AL189" s="15" t="s">
        <v>328</v>
      </c>
      <c r="AM189" s="15"/>
      <c r="AN189" s="16">
        <v>21600</v>
      </c>
      <c r="AO189" s="16">
        <v>15000</v>
      </c>
      <c r="AP189" s="16">
        <v>9600</v>
      </c>
      <c r="AQ189" s="16">
        <v>9600</v>
      </c>
      <c r="AR189" s="16">
        <v>15000</v>
      </c>
      <c r="AS189" s="20">
        <v>42000</v>
      </c>
      <c r="AT189" s="26">
        <v>0</v>
      </c>
      <c r="AU189" s="20">
        <v>200000</v>
      </c>
      <c r="AV189" s="20">
        <v>17000</v>
      </c>
      <c r="AW189" s="20">
        <v>7000</v>
      </c>
      <c r="AX189" s="64">
        <v>0</v>
      </c>
      <c r="AZ189" s="15" t="s">
        <v>351</v>
      </c>
      <c r="BA189" s="249">
        <f t="shared" si="5"/>
        <v>3</v>
      </c>
      <c r="BB189" s="249">
        <v>0</v>
      </c>
      <c r="BC189" s="249">
        <f t="shared" si="4"/>
        <v>2008</v>
      </c>
    </row>
    <row r="190" spans="1:55" x14ac:dyDescent="0.25">
      <c r="A190" s="50" t="s">
        <v>1404</v>
      </c>
      <c r="B190" s="63" t="s">
        <v>482</v>
      </c>
      <c r="C190" s="14" t="s">
        <v>351</v>
      </c>
      <c r="D190" s="15">
        <v>2008</v>
      </c>
      <c r="E190" s="14" t="s">
        <v>456</v>
      </c>
      <c r="F190" s="15"/>
      <c r="G190" s="15"/>
      <c r="H190" s="15"/>
      <c r="I190" s="15"/>
      <c r="J190" s="16">
        <v>195000</v>
      </c>
      <c r="K190" s="15" t="s">
        <v>328</v>
      </c>
      <c r="L190" s="15"/>
      <c r="M190" s="15"/>
      <c r="N190" s="16">
        <v>1200</v>
      </c>
      <c r="O190" s="24">
        <v>0.5</v>
      </c>
      <c r="P190" s="15">
        <v>1</v>
      </c>
      <c r="Q190" s="15">
        <v>500</v>
      </c>
      <c r="R190" s="13">
        <v>1500</v>
      </c>
      <c r="S190" s="15" t="s">
        <v>340</v>
      </c>
      <c r="T190" s="15">
        <v>3</v>
      </c>
      <c r="U190" s="15">
        <v>4</v>
      </c>
      <c r="V190" s="27">
        <v>340</v>
      </c>
      <c r="W190" s="22">
        <v>4800</v>
      </c>
      <c r="X190" s="15"/>
      <c r="Y190" s="15" t="s">
        <v>328</v>
      </c>
      <c r="Z190" s="15"/>
      <c r="AA190" s="15"/>
      <c r="AB190" s="15"/>
      <c r="AC190" s="15"/>
      <c r="AD190" s="15" t="s">
        <v>328</v>
      </c>
      <c r="AE190" s="15" t="s">
        <v>328</v>
      </c>
      <c r="AF190" s="15"/>
      <c r="AG190" s="15" t="s">
        <v>328</v>
      </c>
      <c r="AH190" s="15" t="s">
        <v>328</v>
      </c>
      <c r="AI190" s="15" t="s">
        <v>328</v>
      </c>
      <c r="AJ190" s="15" t="s">
        <v>328</v>
      </c>
      <c r="AK190" s="15" t="s">
        <v>328</v>
      </c>
      <c r="AL190" s="15" t="s">
        <v>328</v>
      </c>
      <c r="AM190" s="15"/>
      <c r="AN190" s="16">
        <v>21600</v>
      </c>
      <c r="AO190" s="16">
        <v>15000</v>
      </c>
      <c r="AP190" s="16">
        <v>9600</v>
      </c>
      <c r="AQ190" s="16">
        <v>9600</v>
      </c>
      <c r="AR190" s="16">
        <v>15000</v>
      </c>
      <c r="AS190" s="20">
        <v>42000</v>
      </c>
      <c r="AT190" s="26">
        <v>0</v>
      </c>
      <c r="AU190" s="20">
        <v>200000</v>
      </c>
      <c r="AV190" s="20">
        <v>17000</v>
      </c>
      <c r="AW190" s="20">
        <v>7000</v>
      </c>
      <c r="AX190" s="64">
        <v>0</v>
      </c>
      <c r="AZ190" s="15" t="s">
        <v>351</v>
      </c>
      <c r="BA190" s="249">
        <f t="shared" si="5"/>
        <v>3</v>
      </c>
      <c r="BB190" s="249">
        <v>0</v>
      </c>
      <c r="BC190" s="249">
        <f t="shared" si="4"/>
        <v>2008</v>
      </c>
    </row>
    <row r="191" spans="1:55" x14ac:dyDescent="0.25">
      <c r="A191" s="50" t="s">
        <v>1404</v>
      </c>
      <c r="B191" s="63" t="s">
        <v>484</v>
      </c>
      <c r="C191" s="14" t="s">
        <v>351</v>
      </c>
      <c r="D191" s="15">
        <v>2013</v>
      </c>
      <c r="E191" s="14" t="s">
        <v>338</v>
      </c>
      <c r="F191" s="15"/>
      <c r="G191" s="15"/>
      <c r="H191" s="15"/>
      <c r="I191" s="15"/>
      <c r="J191" s="16">
        <v>48000</v>
      </c>
      <c r="K191" s="15" t="s">
        <v>328</v>
      </c>
      <c r="L191" s="15"/>
      <c r="M191" s="15"/>
      <c r="N191" s="16">
        <v>4000</v>
      </c>
      <c r="O191" s="24">
        <v>0.5</v>
      </c>
      <c r="P191" s="15">
        <v>2</v>
      </c>
      <c r="Q191" s="15">
        <v>550</v>
      </c>
      <c r="R191" s="13">
        <v>2200</v>
      </c>
      <c r="S191" s="15" t="s">
        <v>340</v>
      </c>
      <c r="T191" s="15">
        <v>2</v>
      </c>
      <c r="U191" s="15">
        <v>2.1</v>
      </c>
      <c r="V191" s="25">
        <v>448.83303411131055</v>
      </c>
      <c r="W191" s="26">
        <v>5000</v>
      </c>
      <c r="X191" s="15"/>
      <c r="Y191" s="15"/>
      <c r="Z191" s="15"/>
      <c r="AA191" s="15"/>
      <c r="AB191" s="15"/>
      <c r="AC191" s="15" t="s">
        <v>328</v>
      </c>
      <c r="AD191" s="15" t="s">
        <v>328</v>
      </c>
      <c r="AE191" s="15" t="s">
        <v>328</v>
      </c>
      <c r="AF191" s="15" t="s">
        <v>328</v>
      </c>
      <c r="AG191" s="15" t="s">
        <v>328</v>
      </c>
      <c r="AH191" s="15" t="s">
        <v>328</v>
      </c>
      <c r="AI191" s="15" t="s">
        <v>328</v>
      </c>
      <c r="AJ191" s="15" t="s">
        <v>328</v>
      </c>
      <c r="AK191" s="15" t="s">
        <v>328</v>
      </c>
      <c r="AL191" s="15" t="s">
        <v>328</v>
      </c>
      <c r="AM191" s="15" t="s">
        <v>328</v>
      </c>
      <c r="AN191" s="16">
        <v>24000</v>
      </c>
      <c r="AO191" s="16">
        <v>24000</v>
      </c>
      <c r="AP191" s="16">
        <v>48000</v>
      </c>
      <c r="AQ191" s="16">
        <v>96000</v>
      </c>
      <c r="AR191" s="16">
        <v>24000</v>
      </c>
      <c r="AS191" s="20">
        <v>96000</v>
      </c>
      <c r="AT191" s="20">
        <v>72000</v>
      </c>
      <c r="AU191" s="20">
        <v>100000</v>
      </c>
      <c r="AV191" s="20">
        <v>7000</v>
      </c>
      <c r="AW191" s="20">
        <v>7000</v>
      </c>
      <c r="AX191" s="64">
        <v>0</v>
      </c>
      <c r="AZ191" s="15" t="s">
        <v>351</v>
      </c>
      <c r="BA191" s="249">
        <f t="shared" si="5"/>
        <v>3</v>
      </c>
      <c r="BB191" s="249">
        <v>0</v>
      </c>
      <c r="BC191" s="249">
        <f t="shared" si="4"/>
        <v>2013</v>
      </c>
    </row>
    <row r="192" spans="1:55" x14ac:dyDescent="0.25">
      <c r="A192" s="50" t="s">
        <v>1404</v>
      </c>
      <c r="B192" s="63" t="s">
        <v>484</v>
      </c>
      <c r="C192" s="14" t="s">
        <v>351</v>
      </c>
      <c r="D192" s="15">
        <v>2013</v>
      </c>
      <c r="E192" s="14" t="s">
        <v>338</v>
      </c>
      <c r="F192" s="15"/>
      <c r="G192" s="15"/>
      <c r="H192" s="15"/>
      <c r="I192" s="15"/>
      <c r="J192" s="16">
        <v>48000</v>
      </c>
      <c r="K192" s="15" t="s">
        <v>328</v>
      </c>
      <c r="L192" s="15"/>
      <c r="M192" s="15"/>
      <c r="N192" s="16">
        <v>4000</v>
      </c>
      <c r="O192" s="24">
        <v>0.5</v>
      </c>
      <c r="P192" s="15">
        <v>2</v>
      </c>
      <c r="Q192" s="15">
        <v>550</v>
      </c>
      <c r="R192" s="13">
        <v>2200</v>
      </c>
      <c r="S192" s="15" t="s">
        <v>340</v>
      </c>
      <c r="T192" s="15">
        <v>2</v>
      </c>
      <c r="U192" s="15">
        <v>2.1</v>
      </c>
      <c r="V192" s="25">
        <v>448.83303411131055</v>
      </c>
      <c r="W192" s="26">
        <v>5000</v>
      </c>
      <c r="X192" s="15"/>
      <c r="Y192" s="15"/>
      <c r="Z192" s="15"/>
      <c r="AA192" s="15"/>
      <c r="AB192" s="15"/>
      <c r="AC192" s="15" t="s">
        <v>328</v>
      </c>
      <c r="AD192" s="15" t="s">
        <v>328</v>
      </c>
      <c r="AE192" s="15" t="s">
        <v>328</v>
      </c>
      <c r="AF192" s="15" t="s">
        <v>328</v>
      </c>
      <c r="AG192" s="15" t="s">
        <v>328</v>
      </c>
      <c r="AH192" s="15" t="s">
        <v>328</v>
      </c>
      <c r="AI192" s="15" t="s">
        <v>328</v>
      </c>
      <c r="AJ192" s="15" t="s">
        <v>328</v>
      </c>
      <c r="AK192" s="15" t="s">
        <v>328</v>
      </c>
      <c r="AL192" s="15" t="s">
        <v>328</v>
      </c>
      <c r="AM192" s="15" t="s">
        <v>328</v>
      </c>
      <c r="AN192" s="16">
        <v>24000</v>
      </c>
      <c r="AO192" s="16">
        <v>24000</v>
      </c>
      <c r="AP192" s="16">
        <v>48000</v>
      </c>
      <c r="AQ192" s="16">
        <v>96000</v>
      </c>
      <c r="AR192" s="16">
        <v>24000</v>
      </c>
      <c r="AS192" s="20">
        <v>96000</v>
      </c>
      <c r="AT192" s="20">
        <v>72000</v>
      </c>
      <c r="AU192" s="20">
        <v>100000</v>
      </c>
      <c r="AV192" s="20">
        <v>7000</v>
      </c>
      <c r="AW192" s="20">
        <v>7000</v>
      </c>
      <c r="AX192" s="64">
        <v>0</v>
      </c>
      <c r="AZ192" s="15" t="s">
        <v>351</v>
      </c>
      <c r="BA192" s="249">
        <f t="shared" si="5"/>
        <v>3</v>
      </c>
      <c r="BB192" s="249">
        <v>0</v>
      </c>
      <c r="BC192" s="249">
        <f t="shared" si="4"/>
        <v>2013</v>
      </c>
    </row>
    <row r="193" spans="1:55" x14ac:dyDescent="0.25">
      <c r="A193" s="50" t="s">
        <v>1404</v>
      </c>
      <c r="B193" s="63" t="s">
        <v>484</v>
      </c>
      <c r="C193" s="14" t="s">
        <v>351</v>
      </c>
      <c r="D193" s="15">
        <v>2013</v>
      </c>
      <c r="E193" s="14" t="s">
        <v>338</v>
      </c>
      <c r="F193" s="15"/>
      <c r="G193" s="15"/>
      <c r="H193" s="15"/>
      <c r="I193" s="15"/>
      <c r="J193" s="16">
        <v>48000</v>
      </c>
      <c r="K193" s="15" t="s">
        <v>328</v>
      </c>
      <c r="L193" s="15"/>
      <c r="M193" s="15"/>
      <c r="N193" s="16">
        <v>4000</v>
      </c>
      <c r="O193" s="24">
        <v>0.5</v>
      </c>
      <c r="P193" s="15">
        <v>2</v>
      </c>
      <c r="Q193" s="15">
        <v>550</v>
      </c>
      <c r="R193" s="13">
        <v>2200</v>
      </c>
      <c r="S193" s="15" t="s">
        <v>340</v>
      </c>
      <c r="T193" s="15">
        <v>2</v>
      </c>
      <c r="U193" s="15">
        <v>2.1</v>
      </c>
      <c r="V193" s="25">
        <v>448.83303411131055</v>
      </c>
      <c r="W193" s="26">
        <v>5000</v>
      </c>
      <c r="X193" s="15"/>
      <c r="Y193" s="15"/>
      <c r="Z193" s="15"/>
      <c r="AA193" s="15"/>
      <c r="AB193" s="15"/>
      <c r="AC193" s="15" t="s">
        <v>328</v>
      </c>
      <c r="AD193" s="15" t="s">
        <v>328</v>
      </c>
      <c r="AE193" s="15" t="s">
        <v>328</v>
      </c>
      <c r="AF193" s="15" t="s">
        <v>328</v>
      </c>
      <c r="AG193" s="15" t="s">
        <v>328</v>
      </c>
      <c r="AH193" s="15" t="s">
        <v>328</v>
      </c>
      <c r="AI193" s="15" t="s">
        <v>328</v>
      </c>
      <c r="AJ193" s="15" t="s">
        <v>328</v>
      </c>
      <c r="AK193" s="15" t="s">
        <v>328</v>
      </c>
      <c r="AL193" s="15" t="s">
        <v>328</v>
      </c>
      <c r="AM193" s="15" t="s">
        <v>328</v>
      </c>
      <c r="AN193" s="16">
        <v>24000</v>
      </c>
      <c r="AO193" s="16">
        <v>24000</v>
      </c>
      <c r="AP193" s="16">
        <v>48000</v>
      </c>
      <c r="AQ193" s="16">
        <v>96000</v>
      </c>
      <c r="AR193" s="16">
        <v>24000</v>
      </c>
      <c r="AS193" s="20">
        <v>96000</v>
      </c>
      <c r="AT193" s="20">
        <v>72000</v>
      </c>
      <c r="AU193" s="20">
        <v>100000</v>
      </c>
      <c r="AV193" s="20">
        <v>7000</v>
      </c>
      <c r="AW193" s="20">
        <v>7000</v>
      </c>
      <c r="AX193" s="64">
        <v>0</v>
      </c>
      <c r="AZ193" s="15" t="s">
        <v>351</v>
      </c>
      <c r="BA193" s="249">
        <f t="shared" si="5"/>
        <v>3</v>
      </c>
      <c r="BB193" s="249">
        <v>0</v>
      </c>
      <c r="BC193" s="249">
        <f t="shared" si="4"/>
        <v>2013</v>
      </c>
    </row>
    <row r="194" spans="1:55" x14ac:dyDescent="0.25">
      <c r="A194" s="50" t="s">
        <v>1404</v>
      </c>
      <c r="B194" s="63" t="s">
        <v>487</v>
      </c>
      <c r="C194" s="14" t="s">
        <v>351</v>
      </c>
      <c r="D194" s="15">
        <v>1978</v>
      </c>
      <c r="E194" s="15"/>
      <c r="F194" s="15"/>
      <c r="G194" s="15"/>
      <c r="H194" s="15">
        <v>1985</v>
      </c>
      <c r="I194" s="14" t="s">
        <v>374</v>
      </c>
      <c r="J194" s="16">
        <v>1300000</v>
      </c>
      <c r="K194" s="15"/>
      <c r="L194" s="15"/>
      <c r="M194" s="15" t="s">
        <v>328</v>
      </c>
      <c r="N194" s="16">
        <v>3000</v>
      </c>
      <c r="O194" s="21">
        <v>0.5</v>
      </c>
      <c r="P194" s="15">
        <v>2</v>
      </c>
      <c r="Q194" s="15">
        <v>500</v>
      </c>
      <c r="R194" s="13">
        <v>2100</v>
      </c>
      <c r="S194" s="15" t="s">
        <v>340</v>
      </c>
      <c r="T194" s="15">
        <v>2.1</v>
      </c>
      <c r="U194" s="15">
        <v>2.2999999999999998</v>
      </c>
      <c r="V194" s="25">
        <v>224.41651705565528</v>
      </c>
      <c r="W194" s="26">
        <v>2500</v>
      </c>
      <c r="X194" s="15"/>
      <c r="Y194" s="15"/>
      <c r="Z194" s="15"/>
      <c r="AA194" s="15" t="s">
        <v>328</v>
      </c>
      <c r="AB194" s="15"/>
      <c r="AC194" s="15"/>
      <c r="AD194" s="15"/>
      <c r="AE194" s="15" t="s">
        <v>328</v>
      </c>
      <c r="AF194" s="15"/>
      <c r="AG194" s="15" t="s">
        <v>328</v>
      </c>
      <c r="AH194" s="15"/>
      <c r="AI194" s="15" t="s">
        <v>328</v>
      </c>
      <c r="AJ194" s="15"/>
      <c r="AK194" s="15" t="s">
        <v>328</v>
      </c>
      <c r="AL194" s="15"/>
      <c r="AM194" s="15"/>
      <c r="AN194" s="16">
        <v>20000</v>
      </c>
      <c r="AO194" s="16">
        <v>20000</v>
      </c>
      <c r="AP194" s="16">
        <v>18000</v>
      </c>
      <c r="AQ194" s="16">
        <v>72000</v>
      </c>
      <c r="AR194" s="16">
        <v>18000</v>
      </c>
      <c r="AS194" s="20">
        <v>120000</v>
      </c>
      <c r="AT194" s="20">
        <v>72000</v>
      </c>
      <c r="AU194" s="20">
        <v>500000</v>
      </c>
      <c r="AV194" s="20">
        <v>10000</v>
      </c>
      <c r="AW194" s="20">
        <v>7000</v>
      </c>
      <c r="AX194" s="64">
        <v>0</v>
      </c>
      <c r="AZ194" s="15" t="s">
        <v>351</v>
      </c>
      <c r="BA194" s="249">
        <f t="shared" si="5"/>
        <v>1</v>
      </c>
      <c r="BB194" s="249">
        <v>0</v>
      </c>
      <c r="BC194" s="249">
        <f t="shared" si="4"/>
        <v>1985</v>
      </c>
    </row>
    <row r="195" spans="1:55" x14ac:dyDescent="0.25">
      <c r="A195" s="50" t="s">
        <v>1404</v>
      </c>
      <c r="B195" s="63" t="s">
        <v>488</v>
      </c>
      <c r="C195" s="15" t="s">
        <v>337</v>
      </c>
      <c r="D195" s="15">
        <v>2010</v>
      </c>
      <c r="E195" s="14" t="s">
        <v>338</v>
      </c>
      <c r="F195" s="15"/>
      <c r="G195" s="15"/>
      <c r="H195" s="15"/>
      <c r="I195" s="15"/>
      <c r="J195" s="16">
        <v>520000</v>
      </c>
      <c r="K195" s="15" t="s">
        <v>328</v>
      </c>
      <c r="L195" s="15"/>
      <c r="M195" s="15"/>
      <c r="N195" s="16">
        <v>4000</v>
      </c>
      <c r="O195" s="21">
        <v>0.5</v>
      </c>
      <c r="P195" s="15">
        <v>2</v>
      </c>
      <c r="Q195" s="15">
        <v>350</v>
      </c>
      <c r="R195" s="13">
        <v>1959.9999999999998</v>
      </c>
      <c r="S195" s="15" t="s">
        <v>340</v>
      </c>
      <c r="T195" s="15">
        <v>2.8</v>
      </c>
      <c r="U195" s="15">
        <v>3.2</v>
      </c>
      <c r="V195" s="25">
        <v>628.36624775583482</v>
      </c>
      <c r="W195" s="26">
        <v>7000</v>
      </c>
      <c r="X195" s="15"/>
      <c r="Y195" s="15" t="s">
        <v>328</v>
      </c>
      <c r="Z195" s="15"/>
      <c r="AA195" s="15"/>
      <c r="AB195" s="15"/>
      <c r="AC195" s="15"/>
      <c r="AD195" s="15" t="s">
        <v>328</v>
      </c>
      <c r="AE195" s="15"/>
      <c r="AF195" s="15"/>
      <c r="AG195" s="15" t="s">
        <v>328</v>
      </c>
      <c r="AH195" s="15"/>
      <c r="AI195" s="15" t="s">
        <v>328</v>
      </c>
      <c r="AJ195" s="15"/>
      <c r="AK195" s="15" t="s">
        <v>328</v>
      </c>
      <c r="AL195" s="15" t="s">
        <v>328</v>
      </c>
      <c r="AM195" s="15"/>
      <c r="AN195" s="16">
        <v>13000</v>
      </c>
      <c r="AO195" s="16">
        <v>13000</v>
      </c>
      <c r="AP195" s="16">
        <v>24000</v>
      </c>
      <c r="AQ195" s="16">
        <v>96000</v>
      </c>
      <c r="AR195" s="16">
        <v>13000</v>
      </c>
      <c r="AS195" s="20">
        <v>132000</v>
      </c>
      <c r="AT195" s="20">
        <v>72000</v>
      </c>
      <c r="AU195" s="20">
        <v>80000</v>
      </c>
      <c r="AV195" s="20">
        <v>7000</v>
      </c>
      <c r="AW195" s="20">
        <v>9000</v>
      </c>
      <c r="AX195" s="64">
        <v>0</v>
      </c>
      <c r="AZ195" s="15" t="s">
        <v>337</v>
      </c>
      <c r="BA195" s="249">
        <f t="shared" si="5"/>
        <v>1</v>
      </c>
      <c r="BB195" s="249">
        <v>0</v>
      </c>
      <c r="BC195" s="249">
        <f t="shared" si="4"/>
        <v>2010</v>
      </c>
    </row>
    <row r="196" spans="1:55" x14ac:dyDescent="0.25">
      <c r="A196" s="50" t="s">
        <v>1404</v>
      </c>
      <c r="B196" s="63" t="s">
        <v>490</v>
      </c>
      <c r="C196" s="15" t="s">
        <v>348</v>
      </c>
      <c r="D196" s="15">
        <v>2012</v>
      </c>
      <c r="E196" s="14" t="s">
        <v>360</v>
      </c>
      <c r="F196" s="15"/>
      <c r="G196" s="15"/>
      <c r="H196" s="15"/>
      <c r="I196" s="15"/>
      <c r="J196" s="16">
        <v>30000</v>
      </c>
      <c r="K196" s="15" t="s">
        <v>328</v>
      </c>
      <c r="L196" s="15"/>
      <c r="M196" s="15"/>
      <c r="N196" s="16">
        <v>2000</v>
      </c>
      <c r="O196" s="21">
        <v>0.2</v>
      </c>
      <c r="P196" s="15">
        <v>2</v>
      </c>
      <c r="Q196" s="15">
        <v>320</v>
      </c>
      <c r="R196" s="13">
        <v>1280</v>
      </c>
      <c r="S196" s="15" t="s">
        <v>340</v>
      </c>
      <c r="T196" s="15">
        <v>2</v>
      </c>
      <c r="U196" s="15">
        <v>2.5</v>
      </c>
      <c r="V196" s="25">
        <v>269.29982046678634</v>
      </c>
      <c r="W196" s="26">
        <v>3000</v>
      </c>
      <c r="X196" s="15" t="s">
        <v>328</v>
      </c>
      <c r="Y196" s="15"/>
      <c r="Z196" s="15"/>
      <c r="AA196" s="15"/>
      <c r="AB196" s="15"/>
      <c r="AC196" s="15"/>
      <c r="AD196" s="15" t="s">
        <v>328</v>
      </c>
      <c r="AE196" s="15" t="s">
        <v>328</v>
      </c>
      <c r="AF196" s="15"/>
      <c r="AG196" s="15" t="s">
        <v>328</v>
      </c>
      <c r="AH196" s="15" t="s">
        <v>328</v>
      </c>
      <c r="AI196" s="15" t="s">
        <v>328</v>
      </c>
      <c r="AJ196" s="15"/>
      <c r="AK196" s="15" t="s">
        <v>328</v>
      </c>
      <c r="AL196" s="15" t="s">
        <v>328</v>
      </c>
      <c r="AM196" s="15"/>
      <c r="AN196" s="16">
        <v>18000</v>
      </c>
      <c r="AO196" s="16">
        <v>12000</v>
      </c>
      <c r="AP196" s="16">
        <v>12000</v>
      </c>
      <c r="AQ196" s="16">
        <v>72000</v>
      </c>
      <c r="AR196" s="16">
        <v>12000</v>
      </c>
      <c r="AS196" s="20">
        <v>108000</v>
      </c>
      <c r="AT196" s="20">
        <v>84000</v>
      </c>
      <c r="AU196" s="20">
        <v>60000</v>
      </c>
      <c r="AV196" s="20">
        <v>2500</v>
      </c>
      <c r="AW196" s="20">
        <v>5000</v>
      </c>
      <c r="AX196" s="64">
        <v>3000</v>
      </c>
      <c r="AZ196" s="15" t="s">
        <v>348</v>
      </c>
      <c r="BA196" s="249">
        <f t="shared" si="5"/>
        <v>6</v>
      </c>
      <c r="BB196" s="249">
        <v>0</v>
      </c>
      <c r="BC196" s="249">
        <f t="shared" si="4"/>
        <v>2012</v>
      </c>
    </row>
    <row r="197" spans="1:55" x14ac:dyDescent="0.25">
      <c r="A197" s="50" t="s">
        <v>1404</v>
      </c>
      <c r="B197" s="63" t="s">
        <v>490</v>
      </c>
      <c r="C197" s="15" t="s">
        <v>348</v>
      </c>
      <c r="D197" s="15">
        <v>2012</v>
      </c>
      <c r="E197" s="14" t="s">
        <v>360</v>
      </c>
      <c r="F197" s="15"/>
      <c r="G197" s="15"/>
      <c r="H197" s="15"/>
      <c r="I197" s="15"/>
      <c r="J197" s="16">
        <v>30000</v>
      </c>
      <c r="K197" s="15" t="s">
        <v>328</v>
      </c>
      <c r="L197" s="15"/>
      <c r="M197" s="15"/>
      <c r="N197" s="16">
        <v>2000</v>
      </c>
      <c r="O197" s="21">
        <v>0.2</v>
      </c>
      <c r="P197" s="15">
        <v>2</v>
      </c>
      <c r="Q197" s="15">
        <v>320</v>
      </c>
      <c r="R197" s="13">
        <v>1280</v>
      </c>
      <c r="S197" s="15" t="s">
        <v>340</v>
      </c>
      <c r="T197" s="15">
        <v>2</v>
      </c>
      <c r="U197" s="15">
        <v>2.5</v>
      </c>
      <c r="V197" s="25">
        <v>269.29982046678634</v>
      </c>
      <c r="W197" s="26">
        <v>3000</v>
      </c>
      <c r="X197" s="15" t="s">
        <v>328</v>
      </c>
      <c r="Y197" s="15"/>
      <c r="Z197" s="15"/>
      <c r="AA197" s="15"/>
      <c r="AB197" s="15"/>
      <c r="AC197" s="15"/>
      <c r="AD197" s="15" t="s">
        <v>328</v>
      </c>
      <c r="AE197" s="15" t="s">
        <v>328</v>
      </c>
      <c r="AF197" s="15"/>
      <c r="AG197" s="15" t="s">
        <v>328</v>
      </c>
      <c r="AH197" s="15" t="s">
        <v>328</v>
      </c>
      <c r="AI197" s="15" t="s">
        <v>328</v>
      </c>
      <c r="AJ197" s="15"/>
      <c r="AK197" s="15" t="s">
        <v>328</v>
      </c>
      <c r="AL197" s="15" t="s">
        <v>328</v>
      </c>
      <c r="AM197" s="15"/>
      <c r="AN197" s="16">
        <v>24000</v>
      </c>
      <c r="AO197" s="16">
        <v>12000</v>
      </c>
      <c r="AP197" s="16">
        <v>12000</v>
      </c>
      <c r="AQ197" s="16">
        <v>72000</v>
      </c>
      <c r="AR197" s="16">
        <v>12000</v>
      </c>
      <c r="AS197" s="20">
        <v>108000</v>
      </c>
      <c r="AT197" s="20">
        <v>84000</v>
      </c>
      <c r="AU197" s="20">
        <v>60000</v>
      </c>
      <c r="AV197" s="20">
        <v>2500</v>
      </c>
      <c r="AW197" s="20">
        <v>5000</v>
      </c>
      <c r="AX197" s="64">
        <v>3000</v>
      </c>
      <c r="AZ197" s="15" t="s">
        <v>348</v>
      </c>
      <c r="BA197" s="249">
        <f t="shared" si="5"/>
        <v>6</v>
      </c>
      <c r="BB197" s="249">
        <v>0</v>
      </c>
      <c r="BC197" s="249">
        <f t="shared" si="4"/>
        <v>2012</v>
      </c>
    </row>
    <row r="198" spans="1:55" x14ac:dyDescent="0.25">
      <c r="A198" s="50" t="s">
        <v>1404</v>
      </c>
      <c r="B198" s="63" t="s">
        <v>490</v>
      </c>
      <c r="C198" s="15" t="s">
        <v>348</v>
      </c>
      <c r="D198" s="15">
        <v>2012</v>
      </c>
      <c r="E198" s="14" t="s">
        <v>360</v>
      </c>
      <c r="F198" s="15"/>
      <c r="G198" s="15"/>
      <c r="H198" s="15"/>
      <c r="I198" s="15"/>
      <c r="J198" s="16">
        <v>30000</v>
      </c>
      <c r="K198" s="15" t="s">
        <v>328</v>
      </c>
      <c r="L198" s="15"/>
      <c r="M198" s="15"/>
      <c r="N198" s="16">
        <v>2000</v>
      </c>
      <c r="O198" s="21">
        <v>0.2</v>
      </c>
      <c r="P198" s="15">
        <v>2</v>
      </c>
      <c r="Q198" s="15">
        <v>320</v>
      </c>
      <c r="R198" s="13">
        <v>1280</v>
      </c>
      <c r="S198" s="15" t="s">
        <v>340</v>
      </c>
      <c r="T198" s="15">
        <v>2</v>
      </c>
      <c r="U198" s="15">
        <v>2.5</v>
      </c>
      <c r="V198" s="25">
        <v>269.29982046678634</v>
      </c>
      <c r="W198" s="26">
        <v>3000</v>
      </c>
      <c r="X198" s="15" t="s">
        <v>328</v>
      </c>
      <c r="Y198" s="15"/>
      <c r="Z198" s="15"/>
      <c r="AA198" s="15"/>
      <c r="AB198" s="15"/>
      <c r="AC198" s="15"/>
      <c r="AD198" s="15" t="s">
        <v>328</v>
      </c>
      <c r="AE198" s="15" t="s">
        <v>328</v>
      </c>
      <c r="AF198" s="15"/>
      <c r="AG198" s="15" t="s">
        <v>328</v>
      </c>
      <c r="AH198" s="15" t="s">
        <v>328</v>
      </c>
      <c r="AI198" s="15" t="s">
        <v>328</v>
      </c>
      <c r="AJ198" s="15"/>
      <c r="AK198" s="15" t="s">
        <v>328</v>
      </c>
      <c r="AL198" s="15" t="s">
        <v>328</v>
      </c>
      <c r="AM198" s="15"/>
      <c r="AN198" s="16">
        <v>12000</v>
      </c>
      <c r="AO198" s="16">
        <v>12000</v>
      </c>
      <c r="AP198" s="16">
        <v>12000</v>
      </c>
      <c r="AQ198" s="16">
        <v>72000</v>
      </c>
      <c r="AR198" s="16">
        <v>12000</v>
      </c>
      <c r="AS198" s="20">
        <v>108000</v>
      </c>
      <c r="AT198" s="20">
        <v>84000</v>
      </c>
      <c r="AU198" s="20">
        <v>60000</v>
      </c>
      <c r="AV198" s="20">
        <v>2500</v>
      </c>
      <c r="AW198" s="20">
        <v>5000</v>
      </c>
      <c r="AX198" s="64">
        <v>3000</v>
      </c>
      <c r="AZ198" s="15" t="s">
        <v>348</v>
      </c>
      <c r="BA198" s="249">
        <f t="shared" si="5"/>
        <v>6</v>
      </c>
      <c r="BB198" s="249">
        <v>0</v>
      </c>
      <c r="BC198" s="249">
        <f t="shared" si="4"/>
        <v>2012</v>
      </c>
    </row>
    <row r="199" spans="1:55" x14ac:dyDescent="0.25">
      <c r="A199" s="50" t="s">
        <v>1404</v>
      </c>
      <c r="B199" s="63" t="s">
        <v>490</v>
      </c>
      <c r="C199" s="15" t="s">
        <v>348</v>
      </c>
      <c r="D199" s="15">
        <v>2012</v>
      </c>
      <c r="E199" s="14" t="s">
        <v>360</v>
      </c>
      <c r="F199" s="15"/>
      <c r="G199" s="15"/>
      <c r="H199" s="15"/>
      <c r="I199" s="15"/>
      <c r="J199" s="16">
        <v>30000</v>
      </c>
      <c r="K199" s="15" t="s">
        <v>328</v>
      </c>
      <c r="L199" s="15"/>
      <c r="M199" s="15"/>
      <c r="N199" s="16">
        <v>2000</v>
      </c>
      <c r="O199" s="21">
        <v>0.2</v>
      </c>
      <c r="P199" s="15">
        <v>2</v>
      </c>
      <c r="Q199" s="15">
        <v>320</v>
      </c>
      <c r="R199" s="13">
        <v>1280</v>
      </c>
      <c r="S199" s="15" t="s">
        <v>340</v>
      </c>
      <c r="T199" s="15">
        <v>2</v>
      </c>
      <c r="U199" s="15">
        <v>2.5</v>
      </c>
      <c r="V199" s="25">
        <v>269.29982046678634</v>
      </c>
      <c r="W199" s="26">
        <v>3000</v>
      </c>
      <c r="X199" s="15" t="s">
        <v>328</v>
      </c>
      <c r="Y199" s="15"/>
      <c r="Z199" s="15"/>
      <c r="AA199" s="15"/>
      <c r="AB199" s="15"/>
      <c r="AC199" s="15"/>
      <c r="AD199" s="15" t="s">
        <v>328</v>
      </c>
      <c r="AE199" s="15" t="s">
        <v>328</v>
      </c>
      <c r="AF199" s="15"/>
      <c r="AG199" s="15" t="s">
        <v>328</v>
      </c>
      <c r="AH199" s="15" t="s">
        <v>328</v>
      </c>
      <c r="AI199" s="15" t="s">
        <v>328</v>
      </c>
      <c r="AJ199" s="15"/>
      <c r="AK199" s="15" t="s">
        <v>328</v>
      </c>
      <c r="AL199" s="15" t="s">
        <v>328</v>
      </c>
      <c r="AM199" s="15"/>
      <c r="AN199" s="16">
        <v>12000</v>
      </c>
      <c r="AO199" s="16">
        <v>12000</v>
      </c>
      <c r="AP199" s="16">
        <v>12000</v>
      </c>
      <c r="AQ199" s="16">
        <v>72000</v>
      </c>
      <c r="AR199" s="16">
        <v>12000</v>
      </c>
      <c r="AS199" s="20">
        <v>108000</v>
      </c>
      <c r="AT199" s="20">
        <v>84000</v>
      </c>
      <c r="AU199" s="20">
        <v>60000</v>
      </c>
      <c r="AV199" s="20">
        <v>2500</v>
      </c>
      <c r="AW199" s="20">
        <v>5000</v>
      </c>
      <c r="AX199" s="64">
        <v>3000</v>
      </c>
      <c r="AZ199" s="15" t="s">
        <v>348</v>
      </c>
      <c r="BA199" s="249">
        <f t="shared" si="5"/>
        <v>6</v>
      </c>
      <c r="BB199" s="249">
        <v>0</v>
      </c>
      <c r="BC199" s="249">
        <f t="shared" si="4"/>
        <v>2012</v>
      </c>
    </row>
    <row r="200" spans="1:55" x14ac:dyDescent="0.25">
      <c r="A200" s="50" t="s">
        <v>1404</v>
      </c>
      <c r="B200" s="63" t="s">
        <v>490</v>
      </c>
      <c r="C200" s="15" t="s">
        <v>348</v>
      </c>
      <c r="D200" s="15">
        <v>2012</v>
      </c>
      <c r="E200" s="14" t="s">
        <v>360</v>
      </c>
      <c r="F200" s="15"/>
      <c r="G200" s="15"/>
      <c r="H200" s="15"/>
      <c r="I200" s="15"/>
      <c r="J200" s="16">
        <v>30000</v>
      </c>
      <c r="K200" s="15" t="s">
        <v>328</v>
      </c>
      <c r="L200" s="15"/>
      <c r="M200" s="15"/>
      <c r="N200" s="16">
        <v>2000</v>
      </c>
      <c r="O200" s="21">
        <v>0.2</v>
      </c>
      <c r="P200" s="15">
        <v>2</v>
      </c>
      <c r="Q200" s="15">
        <v>320</v>
      </c>
      <c r="R200" s="13">
        <v>1280</v>
      </c>
      <c r="S200" s="15" t="s">
        <v>340</v>
      </c>
      <c r="T200" s="15">
        <v>2</v>
      </c>
      <c r="U200" s="15">
        <v>2.5</v>
      </c>
      <c r="V200" s="25">
        <v>269.29982046678634</v>
      </c>
      <c r="W200" s="26">
        <v>3000</v>
      </c>
      <c r="X200" s="15" t="s">
        <v>328</v>
      </c>
      <c r="Y200" s="15"/>
      <c r="Z200" s="15"/>
      <c r="AA200" s="15"/>
      <c r="AB200" s="15"/>
      <c r="AC200" s="15"/>
      <c r="AD200" s="15" t="s">
        <v>328</v>
      </c>
      <c r="AE200" s="15" t="s">
        <v>328</v>
      </c>
      <c r="AF200" s="15"/>
      <c r="AG200" s="15" t="s">
        <v>328</v>
      </c>
      <c r="AH200" s="15" t="s">
        <v>328</v>
      </c>
      <c r="AI200" s="15" t="s">
        <v>328</v>
      </c>
      <c r="AJ200" s="15"/>
      <c r="AK200" s="15" t="s">
        <v>328</v>
      </c>
      <c r="AL200" s="15" t="s">
        <v>328</v>
      </c>
      <c r="AM200" s="15"/>
      <c r="AN200" s="16">
        <v>12000</v>
      </c>
      <c r="AO200" s="16">
        <v>12000</v>
      </c>
      <c r="AP200" s="16">
        <v>12000</v>
      </c>
      <c r="AQ200" s="16">
        <v>72000</v>
      </c>
      <c r="AR200" s="16">
        <v>12000</v>
      </c>
      <c r="AS200" s="20">
        <v>108000</v>
      </c>
      <c r="AT200" s="20">
        <v>84000</v>
      </c>
      <c r="AU200" s="20">
        <v>60000</v>
      </c>
      <c r="AV200" s="20">
        <v>2500</v>
      </c>
      <c r="AW200" s="20">
        <v>5000</v>
      </c>
      <c r="AX200" s="64">
        <v>3000</v>
      </c>
      <c r="AZ200" s="15" t="s">
        <v>348</v>
      </c>
      <c r="BA200" s="249">
        <f t="shared" si="5"/>
        <v>6</v>
      </c>
      <c r="BB200" s="249">
        <v>0</v>
      </c>
      <c r="BC200" s="249">
        <f t="shared" ref="BC200:BC263" si="6">IF(H200&gt;D200,(IF(H200&gt;F200,H200,(IF(F200&gt;D200,F200,D200)))),(IF(F200&gt;D200,F200,D200)))</f>
        <v>2012</v>
      </c>
    </row>
    <row r="201" spans="1:55" x14ac:dyDescent="0.25">
      <c r="A201" s="50" t="s">
        <v>1404</v>
      </c>
      <c r="B201" s="63" t="s">
        <v>490</v>
      </c>
      <c r="C201" s="15" t="s">
        <v>348</v>
      </c>
      <c r="D201" s="15">
        <v>2012</v>
      </c>
      <c r="E201" s="14" t="s">
        <v>360</v>
      </c>
      <c r="F201" s="15"/>
      <c r="G201" s="15"/>
      <c r="H201" s="15"/>
      <c r="I201" s="15"/>
      <c r="J201" s="16">
        <v>30000</v>
      </c>
      <c r="K201" s="15" t="s">
        <v>328</v>
      </c>
      <c r="L201" s="15"/>
      <c r="M201" s="15"/>
      <c r="N201" s="16">
        <v>2000</v>
      </c>
      <c r="O201" s="21">
        <v>0.2</v>
      </c>
      <c r="P201" s="15">
        <v>2</v>
      </c>
      <c r="Q201" s="15">
        <v>320</v>
      </c>
      <c r="R201" s="13">
        <v>1280</v>
      </c>
      <c r="S201" s="15" t="s">
        <v>340</v>
      </c>
      <c r="T201" s="15">
        <v>2</v>
      </c>
      <c r="U201" s="15">
        <v>2.5</v>
      </c>
      <c r="V201" s="25">
        <v>269.29982046678634</v>
      </c>
      <c r="W201" s="26">
        <v>3000</v>
      </c>
      <c r="X201" s="15" t="s">
        <v>328</v>
      </c>
      <c r="Y201" s="15"/>
      <c r="Z201" s="15"/>
      <c r="AA201" s="15"/>
      <c r="AB201" s="15"/>
      <c r="AC201" s="15"/>
      <c r="AD201" s="15" t="s">
        <v>328</v>
      </c>
      <c r="AE201" s="15" t="s">
        <v>328</v>
      </c>
      <c r="AF201" s="15"/>
      <c r="AG201" s="15" t="s">
        <v>328</v>
      </c>
      <c r="AH201" s="15" t="s">
        <v>328</v>
      </c>
      <c r="AI201" s="15" t="s">
        <v>328</v>
      </c>
      <c r="AJ201" s="15"/>
      <c r="AK201" s="15" t="s">
        <v>328</v>
      </c>
      <c r="AL201" s="15" t="s">
        <v>328</v>
      </c>
      <c r="AM201" s="15"/>
      <c r="AN201" s="16">
        <v>12000</v>
      </c>
      <c r="AO201" s="16">
        <v>12000</v>
      </c>
      <c r="AP201" s="16">
        <v>12000</v>
      </c>
      <c r="AQ201" s="16">
        <v>72000</v>
      </c>
      <c r="AR201" s="16">
        <v>12000</v>
      </c>
      <c r="AS201" s="20">
        <v>108000</v>
      </c>
      <c r="AT201" s="20">
        <v>84000</v>
      </c>
      <c r="AU201" s="20">
        <v>60000</v>
      </c>
      <c r="AV201" s="20">
        <v>2500</v>
      </c>
      <c r="AW201" s="20">
        <v>5000</v>
      </c>
      <c r="AX201" s="64">
        <v>3000</v>
      </c>
      <c r="AZ201" s="15" t="s">
        <v>348</v>
      </c>
      <c r="BA201" s="249">
        <f t="shared" ref="BA201:BA264" si="7">COUNTIF($B$8:$B$987,B201)</f>
        <v>6</v>
      </c>
      <c r="BB201" s="249">
        <v>0</v>
      </c>
      <c r="BC201" s="249">
        <f t="shared" si="6"/>
        <v>2012</v>
      </c>
    </row>
    <row r="202" spans="1:55" x14ac:dyDescent="0.25">
      <c r="A202" s="50" t="s">
        <v>1404</v>
      </c>
      <c r="B202" s="63" t="s">
        <v>493</v>
      </c>
      <c r="C202" s="15" t="s">
        <v>337</v>
      </c>
      <c r="D202" s="15">
        <v>2011</v>
      </c>
      <c r="E202" s="14" t="s">
        <v>456</v>
      </c>
      <c r="F202" s="15"/>
      <c r="G202" s="15"/>
      <c r="H202" s="15"/>
      <c r="I202" s="15"/>
      <c r="J202" s="16">
        <v>120000</v>
      </c>
      <c r="K202" s="15" t="s">
        <v>328</v>
      </c>
      <c r="L202" s="15"/>
      <c r="M202" s="15"/>
      <c r="N202" s="16">
        <v>5000</v>
      </c>
      <c r="O202" s="21">
        <v>0.5</v>
      </c>
      <c r="P202" s="15">
        <v>3</v>
      </c>
      <c r="Q202" s="15">
        <v>550</v>
      </c>
      <c r="R202" s="13">
        <v>3300</v>
      </c>
      <c r="S202" s="15" t="s">
        <v>340</v>
      </c>
      <c r="T202" s="15">
        <v>2</v>
      </c>
      <c r="U202" s="15">
        <v>2.2999999999999998</v>
      </c>
      <c r="V202" s="25">
        <v>359.06642728904848</v>
      </c>
      <c r="W202" s="26">
        <v>4000</v>
      </c>
      <c r="X202" s="15"/>
      <c r="Y202" s="15" t="s">
        <v>328</v>
      </c>
      <c r="Z202" s="15"/>
      <c r="AA202" s="15"/>
      <c r="AB202" s="15"/>
      <c r="AC202" s="15"/>
      <c r="AD202" s="15" t="s">
        <v>328</v>
      </c>
      <c r="AE202" s="15" t="s">
        <v>328</v>
      </c>
      <c r="AF202" s="15" t="s">
        <v>328</v>
      </c>
      <c r="AG202" s="15" t="s">
        <v>328</v>
      </c>
      <c r="AH202" s="15" t="s">
        <v>328</v>
      </c>
      <c r="AI202" s="15" t="s">
        <v>328</v>
      </c>
      <c r="AJ202" s="15" t="s">
        <v>328</v>
      </c>
      <c r="AK202" s="15" t="s">
        <v>328</v>
      </c>
      <c r="AL202" s="15" t="s">
        <v>328</v>
      </c>
      <c r="AM202" s="15" t="s">
        <v>328</v>
      </c>
      <c r="AN202" s="16">
        <v>12000</v>
      </c>
      <c r="AO202" s="16">
        <v>12000</v>
      </c>
      <c r="AP202" s="16">
        <v>50000</v>
      </c>
      <c r="AQ202" s="16">
        <v>120000</v>
      </c>
      <c r="AR202" s="16">
        <v>50000</v>
      </c>
      <c r="AS202" s="20">
        <v>144000</v>
      </c>
      <c r="AT202" s="20">
        <v>120000</v>
      </c>
      <c r="AU202" s="20">
        <v>200000</v>
      </c>
      <c r="AV202" s="20">
        <v>2000</v>
      </c>
      <c r="AW202" s="20">
        <v>7000</v>
      </c>
      <c r="AX202" s="64">
        <v>2000</v>
      </c>
      <c r="AZ202" s="15" t="s">
        <v>337</v>
      </c>
      <c r="BA202" s="249">
        <f t="shared" si="7"/>
        <v>2</v>
      </c>
      <c r="BB202" s="249">
        <v>0</v>
      </c>
      <c r="BC202" s="249">
        <f t="shared" si="6"/>
        <v>2011</v>
      </c>
    </row>
    <row r="203" spans="1:55" x14ac:dyDescent="0.25">
      <c r="A203" s="50" t="s">
        <v>1404</v>
      </c>
      <c r="B203" s="63" t="s">
        <v>493</v>
      </c>
      <c r="C203" s="15" t="s">
        <v>337</v>
      </c>
      <c r="D203" s="15">
        <v>2011</v>
      </c>
      <c r="E203" s="14" t="s">
        <v>456</v>
      </c>
      <c r="F203" s="15"/>
      <c r="G203" s="15"/>
      <c r="H203" s="15"/>
      <c r="I203" s="15"/>
      <c r="J203" s="16">
        <v>120000</v>
      </c>
      <c r="K203" s="15" t="s">
        <v>328</v>
      </c>
      <c r="L203" s="15"/>
      <c r="M203" s="15"/>
      <c r="N203" s="16">
        <v>5000</v>
      </c>
      <c r="O203" s="21">
        <v>0.5</v>
      </c>
      <c r="P203" s="15">
        <v>3</v>
      </c>
      <c r="Q203" s="15">
        <v>550</v>
      </c>
      <c r="R203" s="13">
        <v>3300</v>
      </c>
      <c r="S203" s="15" t="s">
        <v>340</v>
      </c>
      <c r="T203" s="15">
        <v>2</v>
      </c>
      <c r="U203" s="15">
        <v>2.2999999999999998</v>
      </c>
      <c r="V203" s="25">
        <v>359.06642728904848</v>
      </c>
      <c r="W203" s="26">
        <v>4000</v>
      </c>
      <c r="X203" s="15"/>
      <c r="Y203" s="15" t="s">
        <v>328</v>
      </c>
      <c r="Z203" s="15"/>
      <c r="AA203" s="15"/>
      <c r="AB203" s="15"/>
      <c r="AC203" s="15"/>
      <c r="AD203" s="15" t="s">
        <v>328</v>
      </c>
      <c r="AE203" s="15" t="s">
        <v>328</v>
      </c>
      <c r="AF203" s="15" t="s">
        <v>328</v>
      </c>
      <c r="AG203" s="15" t="s">
        <v>328</v>
      </c>
      <c r="AH203" s="15" t="s">
        <v>328</v>
      </c>
      <c r="AI203" s="15" t="s">
        <v>328</v>
      </c>
      <c r="AJ203" s="15" t="s">
        <v>328</v>
      </c>
      <c r="AK203" s="15" t="s">
        <v>328</v>
      </c>
      <c r="AL203" s="15" t="s">
        <v>328</v>
      </c>
      <c r="AM203" s="15" t="s">
        <v>328</v>
      </c>
      <c r="AN203" s="16">
        <v>12000</v>
      </c>
      <c r="AO203" s="16">
        <v>12000</v>
      </c>
      <c r="AP203" s="16">
        <v>50000</v>
      </c>
      <c r="AQ203" s="16">
        <v>120000</v>
      </c>
      <c r="AR203" s="16">
        <v>50000</v>
      </c>
      <c r="AS203" s="20">
        <v>144000</v>
      </c>
      <c r="AT203" s="20">
        <v>120000</v>
      </c>
      <c r="AU203" s="20">
        <v>200000</v>
      </c>
      <c r="AV203" s="20">
        <v>2000</v>
      </c>
      <c r="AW203" s="20">
        <v>7000</v>
      </c>
      <c r="AX203" s="64">
        <v>2000</v>
      </c>
      <c r="AZ203" s="15" t="s">
        <v>337</v>
      </c>
      <c r="BA203" s="249">
        <f t="shared" si="7"/>
        <v>2</v>
      </c>
      <c r="BB203" s="249">
        <v>0</v>
      </c>
      <c r="BC203" s="249">
        <f t="shared" si="6"/>
        <v>2011</v>
      </c>
    </row>
    <row r="204" spans="1:55" x14ac:dyDescent="0.25">
      <c r="A204" s="50" t="s">
        <v>1404</v>
      </c>
      <c r="B204" s="63" t="s">
        <v>496</v>
      </c>
      <c r="C204" s="15" t="s">
        <v>359</v>
      </c>
      <c r="D204" s="15">
        <v>2005</v>
      </c>
      <c r="E204" s="15" t="s">
        <v>407</v>
      </c>
      <c r="F204" s="15"/>
      <c r="G204" s="15"/>
      <c r="H204" s="15"/>
      <c r="I204" s="15"/>
      <c r="J204" s="16">
        <v>300000</v>
      </c>
      <c r="K204" s="15" t="s">
        <v>328</v>
      </c>
      <c r="L204" s="15"/>
      <c r="M204" s="15"/>
      <c r="N204" s="16">
        <v>3000</v>
      </c>
      <c r="O204" s="21">
        <v>0.5</v>
      </c>
      <c r="P204" s="15">
        <v>3</v>
      </c>
      <c r="Q204" s="15">
        <v>450</v>
      </c>
      <c r="R204" s="13">
        <v>2700</v>
      </c>
      <c r="S204" s="15" t="s">
        <v>340</v>
      </c>
      <c r="T204" s="15">
        <v>2</v>
      </c>
      <c r="U204" s="15">
        <v>2.2999999999999998</v>
      </c>
      <c r="V204" s="25">
        <v>359.06642728904848</v>
      </c>
      <c r="W204" s="26">
        <v>4000</v>
      </c>
      <c r="X204" s="15"/>
      <c r="Y204" s="15"/>
      <c r="Z204" s="15"/>
      <c r="AA204" s="15"/>
      <c r="AB204" s="15" t="s">
        <v>328</v>
      </c>
      <c r="AC204" s="15"/>
      <c r="AD204" s="15" t="s">
        <v>328</v>
      </c>
      <c r="AE204" s="15" t="s">
        <v>328</v>
      </c>
      <c r="AF204" s="15" t="s">
        <v>328</v>
      </c>
      <c r="AG204" s="15" t="s">
        <v>328</v>
      </c>
      <c r="AH204" s="15" t="s">
        <v>328</v>
      </c>
      <c r="AI204" s="15" t="s">
        <v>328</v>
      </c>
      <c r="AJ204" s="15"/>
      <c r="AK204" s="15" t="s">
        <v>328</v>
      </c>
      <c r="AL204" s="15" t="s">
        <v>328</v>
      </c>
      <c r="AM204" s="15"/>
      <c r="AN204" s="16">
        <v>9000</v>
      </c>
      <c r="AO204" s="16">
        <v>9000</v>
      </c>
      <c r="AP204" s="16">
        <v>18000</v>
      </c>
      <c r="AQ204" s="16">
        <v>108000</v>
      </c>
      <c r="AR204" s="16">
        <v>9000</v>
      </c>
      <c r="AS204" s="20">
        <v>156000</v>
      </c>
      <c r="AT204" s="20">
        <v>120000</v>
      </c>
      <c r="AU204" s="20">
        <v>150000</v>
      </c>
      <c r="AV204" s="20">
        <v>5000</v>
      </c>
      <c r="AW204" s="20">
        <v>8000</v>
      </c>
      <c r="AX204" s="64">
        <v>0</v>
      </c>
      <c r="AZ204" s="15" t="s">
        <v>359</v>
      </c>
      <c r="BA204" s="249">
        <f t="shared" si="7"/>
        <v>4</v>
      </c>
      <c r="BB204" s="249">
        <v>0</v>
      </c>
      <c r="BC204" s="249">
        <f t="shared" si="6"/>
        <v>2005</v>
      </c>
    </row>
    <row r="205" spans="1:55" x14ac:dyDescent="0.25">
      <c r="A205" s="50" t="s">
        <v>1404</v>
      </c>
      <c r="B205" s="63" t="s">
        <v>496</v>
      </c>
      <c r="C205" s="15" t="s">
        <v>359</v>
      </c>
      <c r="D205" s="15">
        <v>2005</v>
      </c>
      <c r="E205" s="15" t="s">
        <v>407</v>
      </c>
      <c r="F205" s="15"/>
      <c r="G205" s="15"/>
      <c r="H205" s="15"/>
      <c r="I205" s="15"/>
      <c r="J205" s="16">
        <v>300000</v>
      </c>
      <c r="K205" s="15" t="s">
        <v>328</v>
      </c>
      <c r="L205" s="15"/>
      <c r="M205" s="15"/>
      <c r="N205" s="16">
        <v>3000</v>
      </c>
      <c r="O205" s="21">
        <v>0.5</v>
      </c>
      <c r="P205" s="15">
        <v>3</v>
      </c>
      <c r="Q205" s="15">
        <v>450</v>
      </c>
      <c r="R205" s="13">
        <v>2700</v>
      </c>
      <c r="S205" s="15" t="s">
        <v>340</v>
      </c>
      <c r="T205" s="15">
        <v>2</v>
      </c>
      <c r="U205" s="15">
        <v>2.2999999999999998</v>
      </c>
      <c r="V205" s="25">
        <v>359.06642728904848</v>
      </c>
      <c r="W205" s="26">
        <v>4000</v>
      </c>
      <c r="X205" s="15"/>
      <c r="Y205" s="15"/>
      <c r="Z205" s="15"/>
      <c r="AA205" s="15"/>
      <c r="AB205" s="15" t="s">
        <v>328</v>
      </c>
      <c r="AC205" s="15"/>
      <c r="AD205" s="15" t="s">
        <v>328</v>
      </c>
      <c r="AE205" s="15" t="s">
        <v>328</v>
      </c>
      <c r="AF205" s="15" t="s">
        <v>328</v>
      </c>
      <c r="AG205" s="15" t="s">
        <v>328</v>
      </c>
      <c r="AH205" s="15" t="s">
        <v>328</v>
      </c>
      <c r="AI205" s="15" t="s">
        <v>328</v>
      </c>
      <c r="AJ205" s="15"/>
      <c r="AK205" s="15" t="s">
        <v>328</v>
      </c>
      <c r="AL205" s="15" t="s">
        <v>328</v>
      </c>
      <c r="AM205" s="15"/>
      <c r="AN205" s="16">
        <v>9000</v>
      </c>
      <c r="AO205" s="16">
        <v>9000</v>
      </c>
      <c r="AP205" s="16">
        <v>18000</v>
      </c>
      <c r="AQ205" s="16">
        <v>72000</v>
      </c>
      <c r="AR205" s="16">
        <v>9000</v>
      </c>
      <c r="AS205" s="20">
        <v>156000</v>
      </c>
      <c r="AT205" s="20">
        <v>120000</v>
      </c>
      <c r="AU205" s="20">
        <v>150000</v>
      </c>
      <c r="AV205" s="20">
        <v>5000</v>
      </c>
      <c r="AW205" s="20">
        <v>8000</v>
      </c>
      <c r="AX205" s="64">
        <v>0</v>
      </c>
      <c r="AZ205" s="15" t="s">
        <v>359</v>
      </c>
      <c r="BA205" s="249">
        <f t="shared" si="7"/>
        <v>4</v>
      </c>
      <c r="BB205" s="249">
        <v>0</v>
      </c>
      <c r="BC205" s="249">
        <f t="shared" si="6"/>
        <v>2005</v>
      </c>
    </row>
    <row r="206" spans="1:55" x14ac:dyDescent="0.25">
      <c r="A206" s="50" t="s">
        <v>1404</v>
      </c>
      <c r="B206" s="63" t="s">
        <v>496</v>
      </c>
      <c r="C206" s="15" t="s">
        <v>359</v>
      </c>
      <c r="D206" s="15">
        <v>2005</v>
      </c>
      <c r="E206" s="15" t="s">
        <v>407</v>
      </c>
      <c r="F206" s="15"/>
      <c r="G206" s="15"/>
      <c r="H206" s="15"/>
      <c r="I206" s="15"/>
      <c r="J206" s="16">
        <v>300000</v>
      </c>
      <c r="K206" s="15" t="s">
        <v>328</v>
      </c>
      <c r="L206" s="15"/>
      <c r="M206" s="15"/>
      <c r="N206" s="16">
        <v>3000</v>
      </c>
      <c r="O206" s="21">
        <v>0.5</v>
      </c>
      <c r="P206" s="15">
        <v>3</v>
      </c>
      <c r="Q206" s="15">
        <v>450</v>
      </c>
      <c r="R206" s="13">
        <v>2700</v>
      </c>
      <c r="S206" s="15" t="s">
        <v>340</v>
      </c>
      <c r="T206" s="15">
        <v>2</v>
      </c>
      <c r="U206" s="15">
        <v>2.2999999999999998</v>
      </c>
      <c r="V206" s="25">
        <v>359.06642728904848</v>
      </c>
      <c r="W206" s="26">
        <v>4000</v>
      </c>
      <c r="X206" s="15"/>
      <c r="Y206" s="15"/>
      <c r="Z206" s="15"/>
      <c r="AA206" s="15"/>
      <c r="AB206" s="15" t="s">
        <v>328</v>
      </c>
      <c r="AC206" s="15"/>
      <c r="AD206" s="15" t="s">
        <v>328</v>
      </c>
      <c r="AE206" s="15" t="s">
        <v>328</v>
      </c>
      <c r="AF206" s="15" t="s">
        <v>328</v>
      </c>
      <c r="AG206" s="15" t="s">
        <v>328</v>
      </c>
      <c r="AH206" s="15" t="s">
        <v>328</v>
      </c>
      <c r="AI206" s="15" t="s">
        <v>328</v>
      </c>
      <c r="AJ206" s="15"/>
      <c r="AK206" s="15" t="s">
        <v>328</v>
      </c>
      <c r="AL206" s="15" t="s">
        <v>328</v>
      </c>
      <c r="AM206" s="15"/>
      <c r="AN206" s="16">
        <v>9000</v>
      </c>
      <c r="AO206" s="16">
        <v>9000</v>
      </c>
      <c r="AP206" s="16">
        <v>18000</v>
      </c>
      <c r="AQ206" s="16">
        <v>72000</v>
      </c>
      <c r="AR206" s="16">
        <v>9000</v>
      </c>
      <c r="AS206" s="20">
        <v>156000</v>
      </c>
      <c r="AT206" s="20">
        <v>120000</v>
      </c>
      <c r="AU206" s="20">
        <v>150000</v>
      </c>
      <c r="AV206" s="20">
        <v>5000</v>
      </c>
      <c r="AW206" s="20">
        <v>8000</v>
      </c>
      <c r="AX206" s="64">
        <v>0</v>
      </c>
      <c r="AZ206" s="15" t="s">
        <v>359</v>
      </c>
      <c r="BA206" s="249">
        <f t="shared" si="7"/>
        <v>4</v>
      </c>
      <c r="BB206" s="249">
        <v>0</v>
      </c>
      <c r="BC206" s="249">
        <f t="shared" si="6"/>
        <v>2005</v>
      </c>
    </row>
    <row r="207" spans="1:55" x14ac:dyDescent="0.25">
      <c r="A207" s="50" t="s">
        <v>1404</v>
      </c>
      <c r="B207" s="63" t="s">
        <v>496</v>
      </c>
      <c r="C207" s="15" t="s">
        <v>359</v>
      </c>
      <c r="D207" s="15">
        <v>2005</v>
      </c>
      <c r="E207" s="15" t="s">
        <v>407</v>
      </c>
      <c r="F207" s="15"/>
      <c r="G207" s="15"/>
      <c r="H207" s="15"/>
      <c r="I207" s="15"/>
      <c r="J207" s="16">
        <v>300000</v>
      </c>
      <c r="K207" s="15" t="s">
        <v>328</v>
      </c>
      <c r="L207" s="15"/>
      <c r="M207" s="15"/>
      <c r="N207" s="16">
        <v>3000</v>
      </c>
      <c r="O207" s="21">
        <v>0.5</v>
      </c>
      <c r="P207" s="15">
        <v>3</v>
      </c>
      <c r="Q207" s="15">
        <v>450</v>
      </c>
      <c r="R207" s="13">
        <v>2700</v>
      </c>
      <c r="S207" s="15" t="s">
        <v>340</v>
      </c>
      <c r="T207" s="15">
        <v>2</v>
      </c>
      <c r="U207" s="15">
        <v>2.2999999999999998</v>
      </c>
      <c r="V207" s="25">
        <v>359.06642728904848</v>
      </c>
      <c r="W207" s="26">
        <v>4000</v>
      </c>
      <c r="X207" s="15"/>
      <c r="Y207" s="15"/>
      <c r="Z207" s="15"/>
      <c r="AA207" s="15"/>
      <c r="AB207" s="15" t="s">
        <v>328</v>
      </c>
      <c r="AC207" s="15"/>
      <c r="AD207" s="15" t="s">
        <v>328</v>
      </c>
      <c r="AE207" s="15" t="s">
        <v>328</v>
      </c>
      <c r="AF207" s="15" t="s">
        <v>328</v>
      </c>
      <c r="AG207" s="15" t="s">
        <v>328</v>
      </c>
      <c r="AH207" s="15" t="s">
        <v>328</v>
      </c>
      <c r="AI207" s="15" t="s">
        <v>328</v>
      </c>
      <c r="AJ207" s="15"/>
      <c r="AK207" s="15" t="s">
        <v>328</v>
      </c>
      <c r="AL207" s="15" t="s">
        <v>328</v>
      </c>
      <c r="AM207" s="15"/>
      <c r="AN207" s="16">
        <v>9000</v>
      </c>
      <c r="AO207" s="16">
        <v>9000</v>
      </c>
      <c r="AP207" s="16">
        <v>18000</v>
      </c>
      <c r="AQ207" s="16">
        <v>72000</v>
      </c>
      <c r="AR207" s="16">
        <v>9000</v>
      </c>
      <c r="AS207" s="20">
        <v>156000</v>
      </c>
      <c r="AT207" s="20">
        <v>120000</v>
      </c>
      <c r="AU207" s="20">
        <v>150000</v>
      </c>
      <c r="AV207" s="20">
        <v>5000</v>
      </c>
      <c r="AW207" s="20">
        <v>8000</v>
      </c>
      <c r="AX207" s="64">
        <v>0</v>
      </c>
      <c r="AZ207" s="15" t="s">
        <v>359</v>
      </c>
      <c r="BA207" s="249">
        <f t="shared" si="7"/>
        <v>4</v>
      </c>
      <c r="BB207" s="249">
        <v>0</v>
      </c>
      <c r="BC207" s="249">
        <f t="shared" si="6"/>
        <v>2005</v>
      </c>
    </row>
    <row r="208" spans="1:55" x14ac:dyDescent="0.25">
      <c r="A208" s="50" t="s">
        <v>1404</v>
      </c>
      <c r="B208" s="65" t="s">
        <v>499</v>
      </c>
      <c r="C208" s="15" t="s">
        <v>348</v>
      </c>
      <c r="D208" s="15">
        <v>1994</v>
      </c>
      <c r="E208" s="15"/>
      <c r="F208" s="15"/>
      <c r="G208" s="15"/>
      <c r="H208" s="15">
        <v>1997</v>
      </c>
      <c r="I208" s="14" t="s">
        <v>475</v>
      </c>
      <c r="J208" s="16">
        <v>200000</v>
      </c>
      <c r="K208" s="15"/>
      <c r="L208" s="15"/>
      <c r="M208" s="15" t="s">
        <v>328</v>
      </c>
      <c r="N208" s="16">
        <v>3200</v>
      </c>
      <c r="O208" s="21">
        <v>0.1</v>
      </c>
      <c r="P208" s="15">
        <v>2</v>
      </c>
      <c r="Q208" s="15">
        <v>550</v>
      </c>
      <c r="R208" s="13">
        <v>2200</v>
      </c>
      <c r="S208" s="15" t="s">
        <v>340</v>
      </c>
      <c r="T208" s="15">
        <v>2</v>
      </c>
      <c r="U208" s="15">
        <v>3.5</v>
      </c>
      <c r="V208" s="25">
        <v>2872.5314183123878</v>
      </c>
      <c r="W208" s="26">
        <v>32000</v>
      </c>
      <c r="X208" s="15"/>
      <c r="Y208" s="15" t="s">
        <v>328</v>
      </c>
      <c r="Z208" s="15"/>
      <c r="AA208" s="15"/>
      <c r="AB208" s="15"/>
      <c r="AC208" s="15"/>
      <c r="AD208" s="15"/>
      <c r="AE208" s="15" t="s">
        <v>328</v>
      </c>
      <c r="AF208" s="15"/>
      <c r="AG208" s="15"/>
      <c r="AH208" s="15" t="s">
        <v>328</v>
      </c>
      <c r="AI208" s="15" t="s">
        <v>328</v>
      </c>
      <c r="AJ208" s="15"/>
      <c r="AK208" s="15"/>
      <c r="AL208" s="15" t="s">
        <v>328</v>
      </c>
      <c r="AM208" s="15"/>
      <c r="AN208" s="16">
        <v>19200</v>
      </c>
      <c r="AO208" s="16">
        <v>19200</v>
      </c>
      <c r="AP208" s="16">
        <v>19200</v>
      </c>
      <c r="AQ208" s="16">
        <v>76800</v>
      </c>
      <c r="AR208" s="16">
        <v>19200</v>
      </c>
      <c r="AS208" s="20">
        <v>130000</v>
      </c>
      <c r="AT208" s="20">
        <v>0</v>
      </c>
      <c r="AU208" s="20">
        <v>40000</v>
      </c>
      <c r="AV208" s="20" t="s">
        <v>480</v>
      </c>
      <c r="AW208" s="20">
        <v>14000</v>
      </c>
      <c r="AX208" s="64">
        <v>0</v>
      </c>
      <c r="AZ208" s="15" t="s">
        <v>348</v>
      </c>
      <c r="BA208" s="249">
        <f t="shared" si="7"/>
        <v>1</v>
      </c>
      <c r="BB208" s="249">
        <v>0</v>
      </c>
      <c r="BC208" s="249">
        <f t="shared" si="6"/>
        <v>1997</v>
      </c>
    </row>
    <row r="209" spans="1:55" x14ac:dyDescent="0.25">
      <c r="A209" s="50" t="s">
        <v>1404</v>
      </c>
      <c r="B209" s="65" t="s">
        <v>500</v>
      </c>
      <c r="C209" s="15" t="s">
        <v>348</v>
      </c>
      <c r="D209" s="15">
        <v>1989</v>
      </c>
      <c r="E209" s="15"/>
      <c r="F209" s="15">
        <v>2000</v>
      </c>
      <c r="G209" s="14" t="s">
        <v>381</v>
      </c>
      <c r="H209" s="15"/>
      <c r="I209" s="15"/>
      <c r="J209" s="16" t="s">
        <v>908</v>
      </c>
      <c r="K209" s="15"/>
      <c r="L209" s="15"/>
      <c r="M209" s="15" t="s">
        <v>328</v>
      </c>
      <c r="N209" s="16">
        <v>1000</v>
      </c>
      <c r="O209" s="21">
        <v>0</v>
      </c>
      <c r="P209" s="15">
        <v>1</v>
      </c>
      <c r="Q209" s="15">
        <v>400</v>
      </c>
      <c r="R209" s="13">
        <v>800</v>
      </c>
      <c r="S209" s="15" t="s">
        <v>340</v>
      </c>
      <c r="T209" s="15">
        <v>2</v>
      </c>
      <c r="U209" s="15">
        <v>2.8</v>
      </c>
      <c r="V209" s="25">
        <v>897.66606822262111</v>
      </c>
      <c r="W209" s="26">
        <v>10000</v>
      </c>
      <c r="X209" s="15"/>
      <c r="Y209" s="15" t="s">
        <v>328</v>
      </c>
      <c r="Z209" s="15"/>
      <c r="AA209" s="15"/>
      <c r="AB209" s="15"/>
      <c r="AC209" s="15"/>
      <c r="AD209" s="15"/>
      <c r="AE209" s="15" t="s">
        <v>328</v>
      </c>
      <c r="AF209" s="15"/>
      <c r="AG209" s="15" t="s">
        <v>328</v>
      </c>
      <c r="AH209" s="15" t="s">
        <v>328</v>
      </c>
      <c r="AI209" s="15" t="s">
        <v>328</v>
      </c>
      <c r="AJ209" s="15" t="s">
        <v>328</v>
      </c>
      <c r="AK209" s="15" t="s">
        <v>328</v>
      </c>
      <c r="AL209" s="15"/>
      <c r="AM209" s="15"/>
      <c r="AN209" s="16">
        <v>12000</v>
      </c>
      <c r="AO209" s="16">
        <v>24000</v>
      </c>
      <c r="AP209" s="16">
        <v>24000</v>
      </c>
      <c r="AQ209" s="16">
        <v>70000</v>
      </c>
      <c r="AR209" s="16">
        <v>12000</v>
      </c>
      <c r="AS209" s="20">
        <v>96000</v>
      </c>
      <c r="AT209" s="20">
        <v>48000</v>
      </c>
      <c r="AU209" s="20">
        <v>50000</v>
      </c>
      <c r="AV209" s="20">
        <v>15000</v>
      </c>
      <c r="AW209" s="20">
        <v>0</v>
      </c>
      <c r="AX209" s="64">
        <v>0</v>
      </c>
      <c r="AZ209" s="15" t="s">
        <v>348</v>
      </c>
      <c r="BA209" s="249">
        <f t="shared" si="7"/>
        <v>1</v>
      </c>
      <c r="BB209" s="249">
        <v>0</v>
      </c>
      <c r="BC209" s="249">
        <f t="shared" si="6"/>
        <v>2000</v>
      </c>
    </row>
    <row r="210" spans="1:55" x14ac:dyDescent="0.25">
      <c r="A210" s="50" t="s">
        <v>1404</v>
      </c>
      <c r="B210" s="65" t="s">
        <v>501</v>
      </c>
      <c r="C210" s="15" t="s">
        <v>348</v>
      </c>
      <c r="D210" s="15">
        <v>2005</v>
      </c>
      <c r="E210" s="15" t="s">
        <v>475</v>
      </c>
      <c r="F210" s="15"/>
      <c r="G210" s="15"/>
      <c r="H210" s="15"/>
      <c r="I210" s="15"/>
      <c r="J210" s="16">
        <v>760000</v>
      </c>
      <c r="K210" s="15"/>
      <c r="L210" s="15"/>
      <c r="M210" s="15" t="s">
        <v>328</v>
      </c>
      <c r="N210" s="16">
        <v>3000</v>
      </c>
      <c r="O210" s="21">
        <v>0.02</v>
      </c>
      <c r="P210" s="15">
        <v>2</v>
      </c>
      <c r="Q210" s="15">
        <v>600</v>
      </c>
      <c r="R210" s="13">
        <v>2160</v>
      </c>
      <c r="S210" s="15" t="s">
        <v>340</v>
      </c>
      <c r="T210" s="15">
        <v>1.8</v>
      </c>
      <c r="U210" s="15">
        <v>2.5</v>
      </c>
      <c r="V210" s="25">
        <v>2692.9982046678633</v>
      </c>
      <c r="W210" s="26">
        <v>30000</v>
      </c>
      <c r="X210" s="15"/>
      <c r="Y210" s="15" t="s">
        <v>328</v>
      </c>
      <c r="Z210" s="15"/>
      <c r="AA210" s="15"/>
      <c r="AB210" s="15"/>
      <c r="AC210" s="15"/>
      <c r="AD210" s="15" t="s">
        <v>328</v>
      </c>
      <c r="AE210" s="15" t="s">
        <v>328</v>
      </c>
      <c r="AF210" s="15"/>
      <c r="AG210" s="15"/>
      <c r="AH210" s="15" t="s">
        <v>328</v>
      </c>
      <c r="AI210" s="15" t="s">
        <v>328</v>
      </c>
      <c r="AJ210" s="15" t="s">
        <v>328</v>
      </c>
      <c r="AK210" s="15" t="s">
        <v>328</v>
      </c>
      <c r="AL210" s="15"/>
      <c r="AM210" s="15"/>
      <c r="AN210" s="16">
        <v>12000</v>
      </c>
      <c r="AO210" s="16">
        <v>60000</v>
      </c>
      <c r="AP210" s="16">
        <v>60000</v>
      </c>
      <c r="AQ210" s="16">
        <v>100000</v>
      </c>
      <c r="AR210" s="16">
        <v>20000</v>
      </c>
      <c r="AS210" s="20">
        <v>96000</v>
      </c>
      <c r="AT210" s="43">
        <v>60000</v>
      </c>
      <c r="AU210" s="20">
        <v>25000</v>
      </c>
      <c r="AV210" s="20">
        <v>14000</v>
      </c>
      <c r="AW210" s="20">
        <v>14000</v>
      </c>
      <c r="AX210" s="64">
        <v>0</v>
      </c>
      <c r="AZ210" s="15" t="s">
        <v>348</v>
      </c>
      <c r="BA210" s="249">
        <f t="shared" si="7"/>
        <v>1</v>
      </c>
      <c r="BB210" s="249">
        <v>0</v>
      </c>
      <c r="BC210" s="249">
        <f t="shared" si="6"/>
        <v>2005</v>
      </c>
    </row>
    <row r="211" spans="1:55" x14ac:dyDescent="0.25">
      <c r="A211" s="50" t="s">
        <v>1404</v>
      </c>
      <c r="B211" s="65" t="s">
        <v>502</v>
      </c>
      <c r="C211" s="15" t="s">
        <v>348</v>
      </c>
      <c r="D211" s="15">
        <v>2008</v>
      </c>
      <c r="E211" s="14" t="s">
        <v>360</v>
      </c>
      <c r="F211" s="15"/>
      <c r="G211" s="15"/>
      <c r="H211" s="15"/>
      <c r="I211" s="15"/>
      <c r="J211" s="16">
        <v>800000</v>
      </c>
      <c r="K211" s="15" t="s">
        <v>328</v>
      </c>
      <c r="L211" s="15"/>
      <c r="M211" s="15"/>
      <c r="N211" s="16">
        <v>5000</v>
      </c>
      <c r="O211" s="21">
        <v>0.5</v>
      </c>
      <c r="P211" s="15">
        <v>1</v>
      </c>
      <c r="Q211" s="15">
        <v>200</v>
      </c>
      <c r="R211" s="13">
        <v>1200</v>
      </c>
      <c r="S211" s="15" t="s">
        <v>371</v>
      </c>
      <c r="T211" s="15">
        <v>6</v>
      </c>
      <c r="U211" s="15">
        <v>6.3</v>
      </c>
      <c r="V211" s="25">
        <v>269.29982046678634</v>
      </c>
      <c r="W211" s="26">
        <v>3000</v>
      </c>
      <c r="X211" s="15"/>
      <c r="Y211" s="15" t="s">
        <v>328</v>
      </c>
      <c r="Z211" s="15"/>
      <c r="AA211" s="15"/>
      <c r="AB211" s="15"/>
      <c r="AC211" s="15"/>
      <c r="AD211" s="15" t="s">
        <v>328</v>
      </c>
      <c r="AE211" s="15" t="s">
        <v>328</v>
      </c>
      <c r="AF211" s="15"/>
      <c r="AG211" s="15" t="s">
        <v>328</v>
      </c>
      <c r="AH211" s="15" t="s">
        <v>328</v>
      </c>
      <c r="AI211" s="15" t="s">
        <v>328</v>
      </c>
      <c r="AJ211" s="15"/>
      <c r="AK211" s="15" t="s">
        <v>328</v>
      </c>
      <c r="AL211" s="15" t="s">
        <v>328</v>
      </c>
      <c r="AM211" s="15" t="s">
        <v>328</v>
      </c>
      <c r="AN211" s="16">
        <v>40000</v>
      </c>
      <c r="AO211" s="16">
        <v>12000</v>
      </c>
      <c r="AP211" s="16">
        <v>12000</v>
      </c>
      <c r="AQ211" s="16">
        <v>120000</v>
      </c>
      <c r="AR211" s="13" t="s">
        <v>385</v>
      </c>
      <c r="AS211" s="20">
        <v>120000</v>
      </c>
      <c r="AT211" s="20">
        <v>120000</v>
      </c>
      <c r="AU211" s="20">
        <v>20000</v>
      </c>
      <c r="AV211" s="20">
        <v>20000</v>
      </c>
      <c r="AW211" s="20">
        <v>4000</v>
      </c>
      <c r="AX211" s="64">
        <v>0</v>
      </c>
      <c r="AZ211" s="15" t="s">
        <v>348</v>
      </c>
      <c r="BA211" s="249">
        <f t="shared" si="7"/>
        <v>9</v>
      </c>
      <c r="BB211" s="249">
        <v>0</v>
      </c>
      <c r="BC211" s="249">
        <f t="shared" si="6"/>
        <v>2008</v>
      </c>
    </row>
    <row r="212" spans="1:55" x14ac:dyDescent="0.25">
      <c r="A212" s="50" t="s">
        <v>1404</v>
      </c>
      <c r="B212" s="65" t="s">
        <v>502</v>
      </c>
      <c r="C212" s="15" t="s">
        <v>348</v>
      </c>
      <c r="D212" s="15">
        <v>2008</v>
      </c>
      <c r="E212" s="14" t="s">
        <v>360</v>
      </c>
      <c r="F212" s="15"/>
      <c r="G212" s="15"/>
      <c r="H212" s="15"/>
      <c r="I212" s="15"/>
      <c r="J212" s="16">
        <v>800000</v>
      </c>
      <c r="K212" s="15" t="s">
        <v>328</v>
      </c>
      <c r="L212" s="15"/>
      <c r="M212" s="15"/>
      <c r="N212" s="16">
        <v>5000</v>
      </c>
      <c r="O212" s="21">
        <v>0.5</v>
      </c>
      <c r="P212" s="15">
        <v>1</v>
      </c>
      <c r="Q212" s="15">
        <v>200</v>
      </c>
      <c r="R212" s="13">
        <v>1200</v>
      </c>
      <c r="S212" s="15" t="s">
        <v>371</v>
      </c>
      <c r="T212" s="15">
        <v>6</v>
      </c>
      <c r="U212" s="15">
        <v>6.3</v>
      </c>
      <c r="V212" s="25">
        <v>269.29982046678634</v>
      </c>
      <c r="W212" s="26">
        <v>3000</v>
      </c>
      <c r="X212" s="15"/>
      <c r="Y212" s="15" t="s">
        <v>328</v>
      </c>
      <c r="Z212" s="15"/>
      <c r="AA212" s="15"/>
      <c r="AB212" s="15"/>
      <c r="AC212" s="15"/>
      <c r="AD212" s="15" t="s">
        <v>328</v>
      </c>
      <c r="AE212" s="15" t="s">
        <v>328</v>
      </c>
      <c r="AF212" s="15"/>
      <c r="AG212" s="15" t="s">
        <v>328</v>
      </c>
      <c r="AH212" s="15" t="s">
        <v>328</v>
      </c>
      <c r="AI212" s="15" t="s">
        <v>328</v>
      </c>
      <c r="AJ212" s="15"/>
      <c r="AK212" s="15" t="s">
        <v>328</v>
      </c>
      <c r="AL212" s="15" t="s">
        <v>328</v>
      </c>
      <c r="AM212" s="15" t="s">
        <v>328</v>
      </c>
      <c r="AN212" s="16">
        <v>40000</v>
      </c>
      <c r="AO212" s="16">
        <v>12000</v>
      </c>
      <c r="AP212" s="16">
        <v>12000</v>
      </c>
      <c r="AQ212" s="16">
        <v>120000</v>
      </c>
      <c r="AR212" s="13" t="s">
        <v>385</v>
      </c>
      <c r="AS212" s="20">
        <v>120000</v>
      </c>
      <c r="AT212" s="20">
        <v>120000</v>
      </c>
      <c r="AU212" s="20">
        <v>20000</v>
      </c>
      <c r="AV212" s="20">
        <v>20000</v>
      </c>
      <c r="AW212" s="20">
        <v>4000</v>
      </c>
      <c r="AX212" s="64">
        <v>0</v>
      </c>
      <c r="AZ212" s="15" t="s">
        <v>348</v>
      </c>
      <c r="BA212" s="249">
        <f t="shared" si="7"/>
        <v>9</v>
      </c>
      <c r="BB212" s="249">
        <v>0</v>
      </c>
      <c r="BC212" s="249">
        <f t="shared" si="6"/>
        <v>2008</v>
      </c>
    </row>
    <row r="213" spans="1:55" x14ac:dyDescent="0.25">
      <c r="A213" s="50" t="s">
        <v>1404</v>
      </c>
      <c r="B213" s="65" t="s">
        <v>502</v>
      </c>
      <c r="C213" s="15" t="s">
        <v>348</v>
      </c>
      <c r="D213" s="15">
        <v>2009</v>
      </c>
      <c r="E213" s="14" t="s">
        <v>360</v>
      </c>
      <c r="F213" s="15"/>
      <c r="G213" s="15"/>
      <c r="H213" s="15"/>
      <c r="I213" s="15"/>
      <c r="J213" s="16">
        <v>800000</v>
      </c>
      <c r="K213" s="15" t="s">
        <v>328</v>
      </c>
      <c r="L213" s="15"/>
      <c r="M213" s="15"/>
      <c r="N213" s="16">
        <v>5000</v>
      </c>
      <c r="O213" s="21">
        <v>0.5</v>
      </c>
      <c r="P213" s="15">
        <v>1</v>
      </c>
      <c r="Q213" s="15">
        <v>200</v>
      </c>
      <c r="R213" s="13">
        <v>1200</v>
      </c>
      <c r="S213" s="15" t="s">
        <v>371</v>
      </c>
      <c r="T213" s="15">
        <v>6</v>
      </c>
      <c r="U213" s="15">
        <v>6.3</v>
      </c>
      <c r="V213" s="25">
        <v>269.29982046678634</v>
      </c>
      <c r="W213" s="26">
        <v>3000</v>
      </c>
      <c r="X213" s="15"/>
      <c r="Y213" s="15" t="s">
        <v>328</v>
      </c>
      <c r="Z213" s="15"/>
      <c r="AA213" s="15"/>
      <c r="AB213" s="15"/>
      <c r="AC213" s="15"/>
      <c r="AD213" s="15" t="s">
        <v>328</v>
      </c>
      <c r="AE213" s="15" t="s">
        <v>328</v>
      </c>
      <c r="AF213" s="15"/>
      <c r="AG213" s="15" t="s">
        <v>328</v>
      </c>
      <c r="AH213" s="15" t="s">
        <v>328</v>
      </c>
      <c r="AI213" s="15" t="s">
        <v>328</v>
      </c>
      <c r="AJ213" s="15"/>
      <c r="AK213" s="15" t="s">
        <v>328</v>
      </c>
      <c r="AL213" s="15" t="s">
        <v>328</v>
      </c>
      <c r="AM213" s="15" t="s">
        <v>328</v>
      </c>
      <c r="AN213" s="16">
        <v>40000</v>
      </c>
      <c r="AO213" s="16">
        <v>12000</v>
      </c>
      <c r="AP213" s="16">
        <v>12000</v>
      </c>
      <c r="AQ213" s="16">
        <v>120000</v>
      </c>
      <c r="AR213" s="13" t="s">
        <v>385</v>
      </c>
      <c r="AS213" s="20">
        <v>120000</v>
      </c>
      <c r="AT213" s="20">
        <v>120000</v>
      </c>
      <c r="AU213" s="20">
        <v>20000</v>
      </c>
      <c r="AV213" s="20">
        <v>20000</v>
      </c>
      <c r="AW213" s="20">
        <v>4000</v>
      </c>
      <c r="AX213" s="64">
        <v>0</v>
      </c>
      <c r="AZ213" s="15" t="s">
        <v>348</v>
      </c>
      <c r="BA213" s="249">
        <f t="shared" si="7"/>
        <v>9</v>
      </c>
      <c r="BB213" s="249">
        <v>0</v>
      </c>
      <c r="BC213" s="249">
        <f t="shared" si="6"/>
        <v>2009</v>
      </c>
    </row>
    <row r="214" spans="1:55" x14ac:dyDescent="0.25">
      <c r="A214" s="50" t="s">
        <v>1404</v>
      </c>
      <c r="B214" s="65" t="s">
        <v>502</v>
      </c>
      <c r="C214" s="15" t="s">
        <v>348</v>
      </c>
      <c r="D214" s="15">
        <v>2009</v>
      </c>
      <c r="E214" s="14" t="s">
        <v>360</v>
      </c>
      <c r="F214" s="15"/>
      <c r="G214" s="15"/>
      <c r="H214" s="15"/>
      <c r="I214" s="15"/>
      <c r="J214" s="16">
        <v>800000</v>
      </c>
      <c r="K214" s="15" t="s">
        <v>328</v>
      </c>
      <c r="L214" s="15"/>
      <c r="M214" s="15"/>
      <c r="N214" s="16">
        <v>5000</v>
      </c>
      <c r="O214" s="21">
        <v>0.5</v>
      </c>
      <c r="P214" s="15">
        <v>1</v>
      </c>
      <c r="Q214" s="15">
        <v>200</v>
      </c>
      <c r="R214" s="13">
        <v>1200</v>
      </c>
      <c r="S214" s="15" t="s">
        <v>371</v>
      </c>
      <c r="T214" s="15">
        <v>6</v>
      </c>
      <c r="U214" s="15">
        <v>6.3</v>
      </c>
      <c r="V214" s="25">
        <v>269.29982046678634</v>
      </c>
      <c r="W214" s="26">
        <v>3000</v>
      </c>
      <c r="X214" s="15"/>
      <c r="Y214" s="15" t="s">
        <v>328</v>
      </c>
      <c r="Z214" s="15"/>
      <c r="AA214" s="15"/>
      <c r="AB214" s="15"/>
      <c r="AC214" s="15"/>
      <c r="AD214" s="15" t="s">
        <v>328</v>
      </c>
      <c r="AE214" s="15" t="s">
        <v>328</v>
      </c>
      <c r="AF214" s="15"/>
      <c r="AG214" s="15" t="s">
        <v>328</v>
      </c>
      <c r="AH214" s="15" t="s">
        <v>328</v>
      </c>
      <c r="AI214" s="15" t="s">
        <v>328</v>
      </c>
      <c r="AJ214" s="15"/>
      <c r="AK214" s="15" t="s">
        <v>328</v>
      </c>
      <c r="AL214" s="15" t="s">
        <v>328</v>
      </c>
      <c r="AM214" s="15" t="s">
        <v>328</v>
      </c>
      <c r="AN214" s="16">
        <v>40000</v>
      </c>
      <c r="AO214" s="16">
        <v>12000</v>
      </c>
      <c r="AP214" s="16">
        <v>12000</v>
      </c>
      <c r="AQ214" s="16">
        <v>120000</v>
      </c>
      <c r="AR214" s="13" t="s">
        <v>385</v>
      </c>
      <c r="AS214" s="20">
        <v>120000</v>
      </c>
      <c r="AT214" s="20">
        <v>120000</v>
      </c>
      <c r="AU214" s="20">
        <v>20000</v>
      </c>
      <c r="AV214" s="20">
        <v>20000</v>
      </c>
      <c r="AW214" s="20">
        <v>4000</v>
      </c>
      <c r="AX214" s="64">
        <v>0</v>
      </c>
      <c r="AZ214" s="15" t="s">
        <v>348</v>
      </c>
      <c r="BA214" s="249">
        <f t="shared" si="7"/>
        <v>9</v>
      </c>
      <c r="BB214" s="249">
        <v>0</v>
      </c>
      <c r="BC214" s="249">
        <f t="shared" si="6"/>
        <v>2009</v>
      </c>
    </row>
    <row r="215" spans="1:55" x14ac:dyDescent="0.25">
      <c r="A215" s="50" t="s">
        <v>1404</v>
      </c>
      <c r="B215" s="65" t="s">
        <v>502</v>
      </c>
      <c r="C215" s="15" t="s">
        <v>348</v>
      </c>
      <c r="D215" s="15">
        <v>2010</v>
      </c>
      <c r="E215" s="14" t="s">
        <v>360</v>
      </c>
      <c r="F215" s="15"/>
      <c r="G215" s="15"/>
      <c r="H215" s="15"/>
      <c r="I215" s="15"/>
      <c r="J215" s="16">
        <v>800000</v>
      </c>
      <c r="K215" s="15" t="s">
        <v>328</v>
      </c>
      <c r="L215" s="15"/>
      <c r="M215" s="15"/>
      <c r="N215" s="16">
        <v>5000</v>
      </c>
      <c r="O215" s="21">
        <v>0.5</v>
      </c>
      <c r="P215" s="15">
        <v>1</v>
      </c>
      <c r="Q215" s="15">
        <v>200</v>
      </c>
      <c r="R215" s="13">
        <v>1200</v>
      </c>
      <c r="S215" s="15" t="s">
        <v>371</v>
      </c>
      <c r="T215" s="15">
        <v>6</v>
      </c>
      <c r="U215" s="15">
        <v>6.3</v>
      </c>
      <c r="V215" s="25">
        <v>269.29982046678634</v>
      </c>
      <c r="W215" s="26">
        <v>3000</v>
      </c>
      <c r="X215" s="15"/>
      <c r="Y215" s="15" t="s">
        <v>328</v>
      </c>
      <c r="Z215" s="15"/>
      <c r="AA215" s="15"/>
      <c r="AB215" s="15"/>
      <c r="AC215" s="15"/>
      <c r="AD215" s="15" t="s">
        <v>328</v>
      </c>
      <c r="AE215" s="15" t="s">
        <v>328</v>
      </c>
      <c r="AF215" s="15"/>
      <c r="AG215" s="15" t="s">
        <v>328</v>
      </c>
      <c r="AH215" s="15" t="s">
        <v>328</v>
      </c>
      <c r="AI215" s="15" t="s">
        <v>328</v>
      </c>
      <c r="AJ215" s="15"/>
      <c r="AK215" s="15" t="s">
        <v>328</v>
      </c>
      <c r="AL215" s="15" t="s">
        <v>328</v>
      </c>
      <c r="AM215" s="15" t="s">
        <v>328</v>
      </c>
      <c r="AN215" s="16">
        <v>40000</v>
      </c>
      <c r="AO215" s="16">
        <v>12000</v>
      </c>
      <c r="AP215" s="16">
        <v>12000</v>
      </c>
      <c r="AQ215" s="16">
        <v>120000</v>
      </c>
      <c r="AR215" s="13" t="s">
        <v>385</v>
      </c>
      <c r="AS215" s="20">
        <v>120000</v>
      </c>
      <c r="AT215" s="20">
        <v>120000</v>
      </c>
      <c r="AU215" s="20">
        <v>20000</v>
      </c>
      <c r="AV215" s="20">
        <v>20000</v>
      </c>
      <c r="AW215" s="20">
        <v>4000</v>
      </c>
      <c r="AX215" s="64">
        <v>0</v>
      </c>
      <c r="AZ215" s="15" t="s">
        <v>348</v>
      </c>
      <c r="BA215" s="249">
        <f t="shared" si="7"/>
        <v>9</v>
      </c>
      <c r="BB215" s="249">
        <v>0</v>
      </c>
      <c r="BC215" s="249">
        <f t="shared" si="6"/>
        <v>2010</v>
      </c>
    </row>
    <row r="216" spans="1:55" x14ac:dyDescent="0.25">
      <c r="A216" s="50" t="s">
        <v>1404</v>
      </c>
      <c r="B216" s="65" t="s">
        <v>502</v>
      </c>
      <c r="C216" s="15" t="s">
        <v>348</v>
      </c>
      <c r="D216" s="15">
        <v>2010</v>
      </c>
      <c r="E216" s="14" t="s">
        <v>360</v>
      </c>
      <c r="F216" s="15"/>
      <c r="G216" s="15"/>
      <c r="H216" s="15"/>
      <c r="I216" s="15"/>
      <c r="J216" s="16">
        <v>800000</v>
      </c>
      <c r="K216" s="15" t="s">
        <v>328</v>
      </c>
      <c r="L216" s="15"/>
      <c r="M216" s="15"/>
      <c r="N216" s="16">
        <v>5000</v>
      </c>
      <c r="O216" s="21">
        <v>0.5</v>
      </c>
      <c r="P216" s="15">
        <v>1</v>
      </c>
      <c r="Q216" s="15">
        <v>200</v>
      </c>
      <c r="R216" s="13">
        <v>1200</v>
      </c>
      <c r="S216" s="15" t="s">
        <v>371</v>
      </c>
      <c r="T216" s="15">
        <v>6</v>
      </c>
      <c r="U216" s="15">
        <v>6.3</v>
      </c>
      <c r="V216" s="25">
        <v>269.29982046678634</v>
      </c>
      <c r="W216" s="26">
        <v>3000</v>
      </c>
      <c r="X216" s="15"/>
      <c r="Y216" s="15" t="s">
        <v>328</v>
      </c>
      <c r="Z216" s="15"/>
      <c r="AA216" s="15"/>
      <c r="AB216" s="15"/>
      <c r="AC216" s="15"/>
      <c r="AD216" s="15" t="s">
        <v>328</v>
      </c>
      <c r="AE216" s="15" t="s">
        <v>328</v>
      </c>
      <c r="AF216" s="15"/>
      <c r="AG216" s="15" t="s">
        <v>328</v>
      </c>
      <c r="AH216" s="15" t="s">
        <v>328</v>
      </c>
      <c r="AI216" s="15" t="s">
        <v>328</v>
      </c>
      <c r="AJ216" s="15"/>
      <c r="AK216" s="15" t="s">
        <v>328</v>
      </c>
      <c r="AL216" s="15" t="s">
        <v>328</v>
      </c>
      <c r="AM216" s="15" t="s">
        <v>328</v>
      </c>
      <c r="AN216" s="16">
        <v>40000</v>
      </c>
      <c r="AO216" s="16">
        <v>12000</v>
      </c>
      <c r="AP216" s="16">
        <v>12000</v>
      </c>
      <c r="AQ216" s="16">
        <v>120000</v>
      </c>
      <c r="AR216" s="13" t="s">
        <v>385</v>
      </c>
      <c r="AS216" s="20">
        <v>120000</v>
      </c>
      <c r="AT216" s="20">
        <v>120000</v>
      </c>
      <c r="AU216" s="20">
        <v>20000</v>
      </c>
      <c r="AV216" s="20">
        <v>20000</v>
      </c>
      <c r="AW216" s="20">
        <v>4000</v>
      </c>
      <c r="AX216" s="64">
        <v>0</v>
      </c>
      <c r="AZ216" s="15" t="s">
        <v>348</v>
      </c>
      <c r="BA216" s="249">
        <f t="shared" si="7"/>
        <v>9</v>
      </c>
      <c r="BB216" s="249">
        <v>0</v>
      </c>
      <c r="BC216" s="249">
        <f t="shared" si="6"/>
        <v>2010</v>
      </c>
    </row>
    <row r="217" spans="1:55" x14ac:dyDescent="0.25">
      <c r="A217" s="50" t="s">
        <v>1404</v>
      </c>
      <c r="B217" s="65" t="s">
        <v>502</v>
      </c>
      <c r="C217" s="15" t="s">
        <v>348</v>
      </c>
      <c r="D217" s="15">
        <v>2011</v>
      </c>
      <c r="E217" s="14" t="s">
        <v>360</v>
      </c>
      <c r="F217" s="15"/>
      <c r="G217" s="15"/>
      <c r="H217" s="15"/>
      <c r="I217" s="15"/>
      <c r="J217" s="16">
        <v>800000</v>
      </c>
      <c r="K217" s="15" t="s">
        <v>328</v>
      </c>
      <c r="L217" s="15"/>
      <c r="M217" s="15"/>
      <c r="N217" s="16">
        <v>5000</v>
      </c>
      <c r="O217" s="21">
        <v>0.5</v>
      </c>
      <c r="P217" s="15">
        <v>1</v>
      </c>
      <c r="Q217" s="15">
        <v>200</v>
      </c>
      <c r="R217" s="13">
        <v>1200</v>
      </c>
      <c r="S217" s="15" t="s">
        <v>371</v>
      </c>
      <c r="T217" s="15">
        <v>6</v>
      </c>
      <c r="U217" s="15">
        <v>6.3</v>
      </c>
      <c r="V217" s="25">
        <v>269.29982046678634</v>
      </c>
      <c r="W217" s="26">
        <v>3000</v>
      </c>
      <c r="X217" s="15"/>
      <c r="Y217" s="15" t="s">
        <v>328</v>
      </c>
      <c r="Z217" s="15"/>
      <c r="AA217" s="15"/>
      <c r="AB217" s="15"/>
      <c r="AC217" s="15"/>
      <c r="AD217" s="15" t="s">
        <v>328</v>
      </c>
      <c r="AE217" s="15" t="s">
        <v>328</v>
      </c>
      <c r="AF217" s="15"/>
      <c r="AG217" s="15" t="s">
        <v>328</v>
      </c>
      <c r="AH217" s="15" t="s">
        <v>328</v>
      </c>
      <c r="AI217" s="15" t="s">
        <v>328</v>
      </c>
      <c r="AJ217" s="15"/>
      <c r="AK217" s="15" t="s">
        <v>328</v>
      </c>
      <c r="AL217" s="15" t="s">
        <v>328</v>
      </c>
      <c r="AM217" s="15" t="s">
        <v>328</v>
      </c>
      <c r="AN217" s="16">
        <v>40000</v>
      </c>
      <c r="AO217" s="16">
        <v>12000</v>
      </c>
      <c r="AP217" s="16">
        <v>12000</v>
      </c>
      <c r="AQ217" s="16">
        <v>120000</v>
      </c>
      <c r="AR217" s="13" t="s">
        <v>385</v>
      </c>
      <c r="AS217" s="20">
        <v>120000</v>
      </c>
      <c r="AT217" s="20">
        <v>120000</v>
      </c>
      <c r="AU217" s="20">
        <v>20000</v>
      </c>
      <c r="AV217" s="20">
        <v>20000</v>
      </c>
      <c r="AW217" s="20">
        <v>4000</v>
      </c>
      <c r="AX217" s="64">
        <v>0</v>
      </c>
      <c r="AZ217" s="15" t="s">
        <v>348</v>
      </c>
      <c r="BA217" s="249">
        <f t="shared" si="7"/>
        <v>9</v>
      </c>
      <c r="BB217" s="249">
        <v>0</v>
      </c>
      <c r="BC217" s="249">
        <f t="shared" si="6"/>
        <v>2011</v>
      </c>
    </row>
    <row r="218" spans="1:55" x14ac:dyDescent="0.25">
      <c r="A218" s="50" t="s">
        <v>1404</v>
      </c>
      <c r="B218" s="65" t="s">
        <v>502</v>
      </c>
      <c r="C218" s="15" t="s">
        <v>348</v>
      </c>
      <c r="D218" s="15">
        <v>2012</v>
      </c>
      <c r="E218" s="14" t="s">
        <v>360</v>
      </c>
      <c r="F218" s="15"/>
      <c r="G218" s="15"/>
      <c r="H218" s="15"/>
      <c r="I218" s="15"/>
      <c r="J218" s="16">
        <v>800000</v>
      </c>
      <c r="K218" s="15" t="s">
        <v>328</v>
      </c>
      <c r="L218" s="15"/>
      <c r="M218" s="15"/>
      <c r="N218" s="16">
        <v>5000</v>
      </c>
      <c r="O218" s="21">
        <v>0.5</v>
      </c>
      <c r="P218" s="15">
        <v>1</v>
      </c>
      <c r="Q218" s="15">
        <v>200</v>
      </c>
      <c r="R218" s="13">
        <v>1200</v>
      </c>
      <c r="S218" s="15" t="s">
        <v>371</v>
      </c>
      <c r="T218" s="15">
        <v>6</v>
      </c>
      <c r="U218" s="15">
        <v>6.3</v>
      </c>
      <c r="V218" s="25">
        <v>269.29982046678634</v>
      </c>
      <c r="W218" s="26">
        <v>3000</v>
      </c>
      <c r="X218" s="15"/>
      <c r="Y218" s="15" t="s">
        <v>328</v>
      </c>
      <c r="Z218" s="15"/>
      <c r="AA218" s="15"/>
      <c r="AB218" s="15"/>
      <c r="AC218" s="15"/>
      <c r="AD218" s="15" t="s">
        <v>328</v>
      </c>
      <c r="AE218" s="15" t="s">
        <v>328</v>
      </c>
      <c r="AF218" s="15"/>
      <c r="AG218" s="15" t="s">
        <v>328</v>
      </c>
      <c r="AH218" s="15" t="s">
        <v>328</v>
      </c>
      <c r="AI218" s="15" t="s">
        <v>328</v>
      </c>
      <c r="AJ218" s="15"/>
      <c r="AK218" s="15" t="s">
        <v>328</v>
      </c>
      <c r="AL218" s="15" t="s">
        <v>328</v>
      </c>
      <c r="AM218" s="15" t="s">
        <v>328</v>
      </c>
      <c r="AN218" s="16">
        <v>40000</v>
      </c>
      <c r="AO218" s="16">
        <v>12000</v>
      </c>
      <c r="AP218" s="16">
        <v>12000</v>
      </c>
      <c r="AQ218" s="16">
        <v>120000</v>
      </c>
      <c r="AR218" s="13" t="s">
        <v>385</v>
      </c>
      <c r="AS218" s="20">
        <v>120000</v>
      </c>
      <c r="AT218" s="20">
        <v>120000</v>
      </c>
      <c r="AU218" s="20">
        <v>20000</v>
      </c>
      <c r="AV218" s="20">
        <v>20000</v>
      </c>
      <c r="AW218" s="20">
        <v>4000</v>
      </c>
      <c r="AX218" s="64">
        <v>0</v>
      </c>
      <c r="AZ218" s="15" t="s">
        <v>348</v>
      </c>
      <c r="BA218" s="249">
        <f t="shared" si="7"/>
        <v>9</v>
      </c>
      <c r="BB218" s="249">
        <v>0</v>
      </c>
      <c r="BC218" s="249">
        <f t="shared" si="6"/>
        <v>2012</v>
      </c>
    </row>
    <row r="219" spans="1:55" x14ac:dyDescent="0.25">
      <c r="A219" s="50" t="s">
        <v>1404</v>
      </c>
      <c r="B219" s="65" t="s">
        <v>502</v>
      </c>
      <c r="C219" s="15" t="s">
        <v>348</v>
      </c>
      <c r="D219" s="15">
        <v>2013</v>
      </c>
      <c r="E219" s="14" t="s">
        <v>360</v>
      </c>
      <c r="F219" s="15"/>
      <c r="G219" s="15"/>
      <c r="H219" s="15"/>
      <c r="I219" s="15"/>
      <c r="J219" s="16">
        <v>800000</v>
      </c>
      <c r="K219" s="15" t="s">
        <v>328</v>
      </c>
      <c r="L219" s="15"/>
      <c r="M219" s="15"/>
      <c r="N219" s="16">
        <v>5000</v>
      </c>
      <c r="O219" s="21">
        <v>0.5</v>
      </c>
      <c r="P219" s="15">
        <v>1</v>
      </c>
      <c r="Q219" s="15">
        <v>200</v>
      </c>
      <c r="R219" s="13">
        <v>1200</v>
      </c>
      <c r="S219" s="15" t="s">
        <v>371</v>
      </c>
      <c r="T219" s="15">
        <v>6</v>
      </c>
      <c r="U219" s="15">
        <v>6.3</v>
      </c>
      <c r="V219" s="25">
        <v>269.29982046678634</v>
      </c>
      <c r="W219" s="26">
        <v>3000</v>
      </c>
      <c r="X219" s="15"/>
      <c r="Y219" s="15" t="s">
        <v>328</v>
      </c>
      <c r="Z219" s="15"/>
      <c r="AA219" s="15"/>
      <c r="AB219" s="15"/>
      <c r="AC219" s="15"/>
      <c r="AD219" s="15" t="s">
        <v>328</v>
      </c>
      <c r="AE219" s="15" t="s">
        <v>328</v>
      </c>
      <c r="AF219" s="15"/>
      <c r="AG219" s="15" t="s">
        <v>328</v>
      </c>
      <c r="AH219" s="15" t="s">
        <v>328</v>
      </c>
      <c r="AI219" s="15" t="s">
        <v>328</v>
      </c>
      <c r="AJ219" s="15"/>
      <c r="AK219" s="15" t="s">
        <v>328</v>
      </c>
      <c r="AL219" s="15" t="s">
        <v>328</v>
      </c>
      <c r="AM219" s="15" t="s">
        <v>328</v>
      </c>
      <c r="AN219" s="16">
        <v>40000</v>
      </c>
      <c r="AO219" s="16">
        <v>12000</v>
      </c>
      <c r="AP219" s="16">
        <v>12000</v>
      </c>
      <c r="AQ219" s="16">
        <v>120000</v>
      </c>
      <c r="AR219" s="13" t="s">
        <v>385</v>
      </c>
      <c r="AS219" s="20">
        <v>120000</v>
      </c>
      <c r="AT219" s="20">
        <v>120000</v>
      </c>
      <c r="AU219" s="20">
        <v>20000</v>
      </c>
      <c r="AV219" s="20">
        <v>20000</v>
      </c>
      <c r="AW219" s="20">
        <v>4000</v>
      </c>
      <c r="AX219" s="64">
        <v>0</v>
      </c>
      <c r="AZ219" s="15" t="s">
        <v>348</v>
      </c>
      <c r="BA219" s="249">
        <f t="shared" si="7"/>
        <v>9</v>
      </c>
      <c r="BB219" s="249">
        <v>0</v>
      </c>
      <c r="BC219" s="249">
        <f t="shared" si="6"/>
        <v>2013</v>
      </c>
    </row>
    <row r="220" spans="1:55" s="250" customFormat="1" x14ac:dyDescent="0.25">
      <c r="A220" s="50" t="s">
        <v>1404</v>
      </c>
      <c r="B220" s="63" t="s">
        <v>503</v>
      </c>
      <c r="C220" s="15" t="s">
        <v>337</v>
      </c>
      <c r="D220" s="15">
        <v>2008</v>
      </c>
      <c r="E220" s="14" t="s">
        <v>338</v>
      </c>
      <c r="F220" s="15"/>
      <c r="G220" s="15"/>
      <c r="H220" s="15"/>
      <c r="I220" s="15"/>
      <c r="J220" s="16">
        <v>900000</v>
      </c>
      <c r="K220" s="15" t="s">
        <v>328</v>
      </c>
      <c r="L220" s="15"/>
      <c r="M220" s="15"/>
      <c r="N220" s="16">
        <v>10000</v>
      </c>
      <c r="O220" s="21">
        <v>0.3</v>
      </c>
      <c r="P220" s="15">
        <v>2</v>
      </c>
      <c r="Q220" s="15">
        <v>450</v>
      </c>
      <c r="R220" s="13">
        <v>1800</v>
      </c>
      <c r="S220" s="15" t="s">
        <v>340</v>
      </c>
      <c r="T220" s="15">
        <v>2</v>
      </c>
      <c r="U220" s="15">
        <v>2.2999999999999998</v>
      </c>
      <c r="V220" s="25">
        <v>1077.1992818671454</v>
      </c>
      <c r="W220" s="26">
        <v>12000</v>
      </c>
      <c r="X220" s="15"/>
      <c r="Y220" s="15" t="s">
        <v>328</v>
      </c>
      <c r="Z220" s="15"/>
      <c r="AA220" s="15"/>
      <c r="AB220" s="15"/>
      <c r="AC220" s="15"/>
      <c r="AD220" s="15"/>
      <c r="AE220" s="15" t="s">
        <v>328</v>
      </c>
      <c r="AF220" s="15" t="s">
        <v>328</v>
      </c>
      <c r="AG220" s="15" t="s">
        <v>328</v>
      </c>
      <c r="AH220" s="15" t="s">
        <v>328</v>
      </c>
      <c r="AI220" s="15" t="s">
        <v>328</v>
      </c>
      <c r="AJ220" s="15"/>
      <c r="AK220" s="15" t="s">
        <v>328</v>
      </c>
      <c r="AL220" s="15" t="s">
        <v>328</v>
      </c>
      <c r="AM220" s="15"/>
      <c r="AN220" s="16">
        <v>12000</v>
      </c>
      <c r="AO220" s="16">
        <v>12000</v>
      </c>
      <c r="AP220" s="16">
        <v>60000</v>
      </c>
      <c r="AQ220" s="16">
        <v>120000</v>
      </c>
      <c r="AR220" s="16">
        <v>12000</v>
      </c>
      <c r="AS220" s="20">
        <v>144000</v>
      </c>
      <c r="AT220" s="20">
        <v>120000</v>
      </c>
      <c r="AU220" s="20">
        <v>200000</v>
      </c>
      <c r="AV220" s="20">
        <v>8000</v>
      </c>
      <c r="AW220" s="20">
        <v>8000</v>
      </c>
      <c r="AX220" s="64">
        <v>0</v>
      </c>
      <c r="AZ220" s="15" t="s">
        <v>337</v>
      </c>
      <c r="BA220" s="249">
        <f t="shared" si="7"/>
        <v>5</v>
      </c>
      <c r="BB220" s="249">
        <v>0</v>
      </c>
      <c r="BC220" s="249">
        <f t="shared" si="6"/>
        <v>2008</v>
      </c>
    </row>
    <row r="221" spans="1:55" s="250" customFormat="1" x14ac:dyDescent="0.25">
      <c r="A221" s="50" t="s">
        <v>1404</v>
      </c>
      <c r="B221" s="63" t="s">
        <v>503</v>
      </c>
      <c r="C221" s="15" t="s">
        <v>337</v>
      </c>
      <c r="D221" s="15">
        <v>2008</v>
      </c>
      <c r="E221" s="14" t="s">
        <v>338</v>
      </c>
      <c r="F221" s="15"/>
      <c r="G221" s="15"/>
      <c r="H221" s="15"/>
      <c r="I221" s="15"/>
      <c r="J221" s="16">
        <v>900000</v>
      </c>
      <c r="K221" s="15" t="s">
        <v>328</v>
      </c>
      <c r="L221" s="15"/>
      <c r="M221" s="15"/>
      <c r="N221" s="16">
        <v>10000</v>
      </c>
      <c r="O221" s="21">
        <v>0.3</v>
      </c>
      <c r="P221" s="15">
        <v>2</v>
      </c>
      <c r="Q221" s="15">
        <v>450</v>
      </c>
      <c r="R221" s="13">
        <v>1800</v>
      </c>
      <c r="S221" s="15" t="s">
        <v>340</v>
      </c>
      <c r="T221" s="15">
        <v>2</v>
      </c>
      <c r="U221" s="15">
        <v>2.2999999999999998</v>
      </c>
      <c r="V221" s="25">
        <v>1077.1992818671454</v>
      </c>
      <c r="W221" s="26">
        <v>12000</v>
      </c>
      <c r="X221" s="15"/>
      <c r="Y221" s="15" t="s">
        <v>328</v>
      </c>
      <c r="Z221" s="15"/>
      <c r="AA221" s="15"/>
      <c r="AB221" s="15"/>
      <c r="AC221" s="15"/>
      <c r="AD221" s="15"/>
      <c r="AE221" s="15" t="s">
        <v>328</v>
      </c>
      <c r="AF221" s="15" t="s">
        <v>328</v>
      </c>
      <c r="AG221" s="15" t="s">
        <v>328</v>
      </c>
      <c r="AH221" s="15" t="s">
        <v>328</v>
      </c>
      <c r="AI221" s="15" t="s">
        <v>328</v>
      </c>
      <c r="AJ221" s="15"/>
      <c r="AK221" s="15" t="s">
        <v>328</v>
      </c>
      <c r="AL221" s="15" t="s">
        <v>328</v>
      </c>
      <c r="AM221" s="15"/>
      <c r="AN221" s="16">
        <v>12000</v>
      </c>
      <c r="AO221" s="16">
        <v>12000</v>
      </c>
      <c r="AP221" s="16">
        <v>60000</v>
      </c>
      <c r="AQ221" s="16">
        <v>120000</v>
      </c>
      <c r="AR221" s="16">
        <v>12000</v>
      </c>
      <c r="AS221" s="20">
        <v>144000</v>
      </c>
      <c r="AT221" s="20">
        <v>120000</v>
      </c>
      <c r="AU221" s="20">
        <v>200000</v>
      </c>
      <c r="AV221" s="20">
        <v>8000</v>
      </c>
      <c r="AW221" s="20">
        <v>8000</v>
      </c>
      <c r="AX221" s="64">
        <v>0</v>
      </c>
      <c r="AZ221" s="15" t="s">
        <v>337</v>
      </c>
      <c r="BA221" s="249">
        <f t="shared" si="7"/>
        <v>5</v>
      </c>
      <c r="BB221" s="249">
        <v>0</v>
      </c>
      <c r="BC221" s="249">
        <f t="shared" si="6"/>
        <v>2008</v>
      </c>
    </row>
    <row r="222" spans="1:55" s="250" customFormat="1" x14ac:dyDescent="0.25">
      <c r="A222" s="50" t="s">
        <v>1404</v>
      </c>
      <c r="B222" s="63" t="s">
        <v>503</v>
      </c>
      <c r="C222" s="15" t="s">
        <v>337</v>
      </c>
      <c r="D222" s="15">
        <v>2009</v>
      </c>
      <c r="E222" s="14" t="s">
        <v>338</v>
      </c>
      <c r="F222" s="15"/>
      <c r="G222" s="15"/>
      <c r="H222" s="15"/>
      <c r="I222" s="15"/>
      <c r="J222" s="16">
        <v>900000</v>
      </c>
      <c r="K222" s="15" t="s">
        <v>328</v>
      </c>
      <c r="L222" s="15"/>
      <c r="M222" s="15"/>
      <c r="N222" s="16">
        <v>10000</v>
      </c>
      <c r="O222" s="21">
        <v>0.3</v>
      </c>
      <c r="P222" s="15">
        <v>2</v>
      </c>
      <c r="Q222" s="15">
        <v>450</v>
      </c>
      <c r="R222" s="13">
        <v>1800</v>
      </c>
      <c r="S222" s="15" t="s">
        <v>340</v>
      </c>
      <c r="T222" s="15">
        <v>2</v>
      </c>
      <c r="U222" s="15">
        <v>2.2999999999999998</v>
      </c>
      <c r="V222" s="25">
        <v>1077.1992818671454</v>
      </c>
      <c r="W222" s="26">
        <v>12000</v>
      </c>
      <c r="X222" s="15"/>
      <c r="Y222" s="15" t="s">
        <v>328</v>
      </c>
      <c r="Z222" s="15"/>
      <c r="AA222" s="15"/>
      <c r="AB222" s="15"/>
      <c r="AC222" s="15"/>
      <c r="AD222" s="15"/>
      <c r="AE222" s="15" t="s">
        <v>328</v>
      </c>
      <c r="AF222" s="15" t="s">
        <v>328</v>
      </c>
      <c r="AG222" s="15" t="s">
        <v>328</v>
      </c>
      <c r="AH222" s="15" t="s">
        <v>328</v>
      </c>
      <c r="AI222" s="15" t="s">
        <v>328</v>
      </c>
      <c r="AJ222" s="15"/>
      <c r="AK222" s="15" t="s">
        <v>328</v>
      </c>
      <c r="AL222" s="15" t="s">
        <v>328</v>
      </c>
      <c r="AM222" s="15"/>
      <c r="AN222" s="16">
        <v>12000</v>
      </c>
      <c r="AO222" s="16">
        <v>12000</v>
      </c>
      <c r="AP222" s="16">
        <v>60000</v>
      </c>
      <c r="AQ222" s="16">
        <v>120000</v>
      </c>
      <c r="AR222" s="16">
        <v>12000</v>
      </c>
      <c r="AS222" s="20">
        <v>144000</v>
      </c>
      <c r="AT222" s="20">
        <v>120000</v>
      </c>
      <c r="AU222" s="20">
        <v>200000</v>
      </c>
      <c r="AV222" s="20">
        <v>8000</v>
      </c>
      <c r="AW222" s="20">
        <v>8000</v>
      </c>
      <c r="AX222" s="64">
        <v>0</v>
      </c>
      <c r="AZ222" s="15" t="s">
        <v>337</v>
      </c>
      <c r="BA222" s="249">
        <f t="shared" si="7"/>
        <v>5</v>
      </c>
      <c r="BB222" s="249">
        <v>0</v>
      </c>
      <c r="BC222" s="249">
        <f t="shared" si="6"/>
        <v>2009</v>
      </c>
    </row>
    <row r="223" spans="1:55" s="250" customFormat="1" x14ac:dyDescent="0.25">
      <c r="A223" s="50" t="s">
        <v>1404</v>
      </c>
      <c r="B223" s="63" t="s">
        <v>503</v>
      </c>
      <c r="C223" s="15" t="s">
        <v>337</v>
      </c>
      <c r="D223" s="15">
        <v>2009</v>
      </c>
      <c r="E223" s="14" t="s">
        <v>338</v>
      </c>
      <c r="F223" s="15"/>
      <c r="G223" s="15"/>
      <c r="H223" s="15"/>
      <c r="I223" s="15"/>
      <c r="J223" s="16">
        <v>900000</v>
      </c>
      <c r="K223" s="15" t="s">
        <v>328</v>
      </c>
      <c r="L223" s="15"/>
      <c r="M223" s="15"/>
      <c r="N223" s="16">
        <v>10000</v>
      </c>
      <c r="O223" s="21">
        <v>0.3</v>
      </c>
      <c r="P223" s="15">
        <v>2</v>
      </c>
      <c r="Q223" s="15">
        <v>450</v>
      </c>
      <c r="R223" s="13">
        <v>1800</v>
      </c>
      <c r="S223" s="15" t="s">
        <v>340</v>
      </c>
      <c r="T223" s="15">
        <v>2</v>
      </c>
      <c r="U223" s="15">
        <v>2.2999999999999998</v>
      </c>
      <c r="V223" s="25">
        <v>1077.1992818671454</v>
      </c>
      <c r="W223" s="26">
        <v>12000</v>
      </c>
      <c r="X223" s="15"/>
      <c r="Y223" s="15" t="s">
        <v>328</v>
      </c>
      <c r="Z223" s="15"/>
      <c r="AA223" s="15"/>
      <c r="AB223" s="15"/>
      <c r="AC223" s="15"/>
      <c r="AD223" s="15"/>
      <c r="AE223" s="15" t="s">
        <v>328</v>
      </c>
      <c r="AF223" s="15" t="s">
        <v>328</v>
      </c>
      <c r="AG223" s="15" t="s">
        <v>328</v>
      </c>
      <c r="AH223" s="15" t="s">
        <v>328</v>
      </c>
      <c r="AI223" s="15" t="s">
        <v>328</v>
      </c>
      <c r="AJ223" s="15"/>
      <c r="AK223" s="15" t="s">
        <v>328</v>
      </c>
      <c r="AL223" s="15" t="s">
        <v>328</v>
      </c>
      <c r="AM223" s="15"/>
      <c r="AN223" s="16">
        <v>12000</v>
      </c>
      <c r="AO223" s="16">
        <v>12000</v>
      </c>
      <c r="AP223" s="16">
        <v>60000</v>
      </c>
      <c r="AQ223" s="16">
        <v>120000</v>
      </c>
      <c r="AR223" s="16">
        <v>12000</v>
      </c>
      <c r="AS223" s="20">
        <v>144000</v>
      </c>
      <c r="AT223" s="20">
        <v>120000</v>
      </c>
      <c r="AU223" s="20">
        <v>200000</v>
      </c>
      <c r="AV223" s="20">
        <v>8000</v>
      </c>
      <c r="AW223" s="20">
        <v>8000</v>
      </c>
      <c r="AX223" s="64">
        <v>0</v>
      </c>
      <c r="AZ223" s="15" t="s">
        <v>337</v>
      </c>
      <c r="BA223" s="249">
        <f t="shared" si="7"/>
        <v>5</v>
      </c>
      <c r="BB223" s="249">
        <v>0</v>
      </c>
      <c r="BC223" s="249">
        <f t="shared" si="6"/>
        <v>2009</v>
      </c>
    </row>
    <row r="224" spans="1:55" s="250" customFormat="1" x14ac:dyDescent="0.25">
      <c r="A224" s="50" t="s">
        <v>1404</v>
      </c>
      <c r="B224" s="63" t="s">
        <v>503</v>
      </c>
      <c r="C224" s="15" t="s">
        <v>337</v>
      </c>
      <c r="D224" s="15">
        <v>2009</v>
      </c>
      <c r="E224" s="14" t="s">
        <v>338</v>
      </c>
      <c r="F224" s="15"/>
      <c r="G224" s="15"/>
      <c r="H224" s="15"/>
      <c r="I224" s="15"/>
      <c r="J224" s="16">
        <v>900000</v>
      </c>
      <c r="K224" s="15" t="s">
        <v>328</v>
      </c>
      <c r="L224" s="15"/>
      <c r="M224" s="15"/>
      <c r="N224" s="16">
        <v>10000</v>
      </c>
      <c r="O224" s="21">
        <v>0.3</v>
      </c>
      <c r="P224" s="15">
        <v>2</v>
      </c>
      <c r="Q224" s="15">
        <v>450</v>
      </c>
      <c r="R224" s="13">
        <v>1800</v>
      </c>
      <c r="S224" s="15" t="s">
        <v>340</v>
      </c>
      <c r="T224" s="15">
        <v>2</v>
      </c>
      <c r="U224" s="15">
        <v>2.2999999999999998</v>
      </c>
      <c r="V224" s="25">
        <v>1077.1992818671454</v>
      </c>
      <c r="W224" s="26">
        <v>12000</v>
      </c>
      <c r="X224" s="15"/>
      <c r="Y224" s="15" t="s">
        <v>328</v>
      </c>
      <c r="Z224" s="15"/>
      <c r="AA224" s="15"/>
      <c r="AB224" s="15"/>
      <c r="AC224" s="15"/>
      <c r="AD224" s="15"/>
      <c r="AE224" s="15" t="s">
        <v>328</v>
      </c>
      <c r="AF224" s="15" t="s">
        <v>328</v>
      </c>
      <c r="AG224" s="15" t="s">
        <v>328</v>
      </c>
      <c r="AH224" s="15" t="s">
        <v>328</v>
      </c>
      <c r="AI224" s="15" t="s">
        <v>328</v>
      </c>
      <c r="AJ224" s="15"/>
      <c r="AK224" s="15" t="s">
        <v>328</v>
      </c>
      <c r="AL224" s="15" t="s">
        <v>328</v>
      </c>
      <c r="AM224" s="15"/>
      <c r="AN224" s="16">
        <v>12000</v>
      </c>
      <c r="AO224" s="16">
        <v>12000</v>
      </c>
      <c r="AP224" s="16">
        <v>60000</v>
      </c>
      <c r="AQ224" s="16">
        <v>120000</v>
      </c>
      <c r="AR224" s="16">
        <v>12000</v>
      </c>
      <c r="AS224" s="20">
        <v>144000</v>
      </c>
      <c r="AT224" s="20">
        <v>120000</v>
      </c>
      <c r="AU224" s="20">
        <v>200000</v>
      </c>
      <c r="AV224" s="20">
        <v>8000</v>
      </c>
      <c r="AW224" s="20">
        <v>8000</v>
      </c>
      <c r="AX224" s="64">
        <v>0</v>
      </c>
      <c r="AZ224" s="15" t="s">
        <v>337</v>
      </c>
      <c r="BA224" s="249">
        <f t="shared" si="7"/>
        <v>5</v>
      </c>
      <c r="BB224" s="249">
        <v>0</v>
      </c>
      <c r="BC224" s="249">
        <f t="shared" si="6"/>
        <v>2009</v>
      </c>
    </row>
    <row r="225" spans="1:55" s="250" customFormat="1" x14ac:dyDescent="0.25">
      <c r="A225" s="50" t="s">
        <v>1404</v>
      </c>
      <c r="B225" s="63" t="s">
        <v>505</v>
      </c>
      <c r="C225" s="14" t="s">
        <v>351</v>
      </c>
      <c r="D225" s="15">
        <v>1980</v>
      </c>
      <c r="E225" s="15"/>
      <c r="F225" s="15">
        <v>1990</v>
      </c>
      <c r="G225" s="15" t="s">
        <v>407</v>
      </c>
      <c r="H225" s="15"/>
      <c r="I225" s="15"/>
      <c r="J225" s="16">
        <v>1980000</v>
      </c>
      <c r="K225" s="15"/>
      <c r="L225" s="15"/>
      <c r="M225" s="15" t="s">
        <v>328</v>
      </c>
      <c r="N225" s="16">
        <v>5000</v>
      </c>
      <c r="O225" s="21">
        <v>0.5</v>
      </c>
      <c r="P225" s="15">
        <v>3</v>
      </c>
      <c r="Q225" s="15">
        <v>450</v>
      </c>
      <c r="R225" s="13">
        <v>2700</v>
      </c>
      <c r="S225" s="15" t="s">
        <v>340</v>
      </c>
      <c r="T225" s="15">
        <v>2</v>
      </c>
      <c r="U225" s="15">
        <v>2.2999999999999998</v>
      </c>
      <c r="V225" s="25">
        <v>628.36624775583482</v>
      </c>
      <c r="W225" s="26">
        <v>7000</v>
      </c>
      <c r="X225" s="15"/>
      <c r="Y225" s="15" t="s">
        <v>328</v>
      </c>
      <c r="Z225" s="15"/>
      <c r="AA225" s="15"/>
      <c r="AB225" s="15"/>
      <c r="AC225" s="15"/>
      <c r="AD225" s="15"/>
      <c r="AE225" s="15" t="s">
        <v>328</v>
      </c>
      <c r="AF225" s="15"/>
      <c r="AG225" s="15"/>
      <c r="AH225" s="15" t="s">
        <v>328</v>
      </c>
      <c r="AI225" s="15" t="s">
        <v>328</v>
      </c>
      <c r="AJ225" s="15" t="s">
        <v>328</v>
      </c>
      <c r="AK225" s="15" t="s">
        <v>328</v>
      </c>
      <c r="AL225" s="15" t="s">
        <v>328</v>
      </c>
      <c r="AM225" s="15"/>
      <c r="AN225" s="16">
        <v>12000</v>
      </c>
      <c r="AO225" s="16">
        <v>12000</v>
      </c>
      <c r="AP225" s="16">
        <v>50000</v>
      </c>
      <c r="AQ225" s="16">
        <v>50000</v>
      </c>
      <c r="AR225" s="16">
        <v>50000</v>
      </c>
      <c r="AS225" s="20">
        <v>120000</v>
      </c>
      <c r="AT225" s="20">
        <v>108000</v>
      </c>
      <c r="AU225" s="20">
        <v>200000</v>
      </c>
      <c r="AV225" s="20">
        <v>11000</v>
      </c>
      <c r="AW225" s="20">
        <v>8500</v>
      </c>
      <c r="AX225" s="64">
        <v>1500</v>
      </c>
      <c r="AZ225" s="15" t="s">
        <v>351</v>
      </c>
      <c r="BA225" s="249">
        <f t="shared" si="7"/>
        <v>4</v>
      </c>
      <c r="BB225" s="249">
        <v>0</v>
      </c>
      <c r="BC225" s="249">
        <f t="shared" si="6"/>
        <v>1990</v>
      </c>
    </row>
    <row r="226" spans="1:55" s="250" customFormat="1" x14ac:dyDescent="0.25">
      <c r="A226" s="50" t="s">
        <v>1404</v>
      </c>
      <c r="B226" s="63" t="s">
        <v>505</v>
      </c>
      <c r="C226" s="14" t="s">
        <v>351</v>
      </c>
      <c r="D226" s="15">
        <v>1980</v>
      </c>
      <c r="E226" s="15"/>
      <c r="F226" s="15">
        <v>1990</v>
      </c>
      <c r="G226" s="15" t="s">
        <v>407</v>
      </c>
      <c r="H226" s="15"/>
      <c r="I226" s="15"/>
      <c r="J226" s="16">
        <v>1980000</v>
      </c>
      <c r="K226" s="15"/>
      <c r="L226" s="15"/>
      <c r="M226" s="15" t="s">
        <v>328</v>
      </c>
      <c r="N226" s="16">
        <v>5000</v>
      </c>
      <c r="O226" s="21">
        <v>0.5</v>
      </c>
      <c r="P226" s="15">
        <v>3</v>
      </c>
      <c r="Q226" s="15">
        <v>450</v>
      </c>
      <c r="R226" s="13">
        <v>2700</v>
      </c>
      <c r="S226" s="15" t="s">
        <v>340</v>
      </c>
      <c r="T226" s="15">
        <v>2</v>
      </c>
      <c r="U226" s="15">
        <v>2.2999999999999998</v>
      </c>
      <c r="V226" s="25">
        <v>628.36624775583482</v>
      </c>
      <c r="W226" s="26">
        <v>7000</v>
      </c>
      <c r="X226" s="15"/>
      <c r="Y226" s="15" t="s">
        <v>328</v>
      </c>
      <c r="Z226" s="15"/>
      <c r="AA226" s="15"/>
      <c r="AB226" s="15"/>
      <c r="AC226" s="15"/>
      <c r="AD226" s="15"/>
      <c r="AE226" s="15" t="s">
        <v>328</v>
      </c>
      <c r="AF226" s="15"/>
      <c r="AG226" s="15"/>
      <c r="AH226" s="15" t="s">
        <v>328</v>
      </c>
      <c r="AI226" s="15" t="s">
        <v>328</v>
      </c>
      <c r="AJ226" s="15" t="s">
        <v>328</v>
      </c>
      <c r="AK226" s="15" t="s">
        <v>328</v>
      </c>
      <c r="AL226" s="15" t="s">
        <v>328</v>
      </c>
      <c r="AM226" s="15"/>
      <c r="AN226" s="16">
        <v>12000</v>
      </c>
      <c r="AO226" s="16">
        <v>12000</v>
      </c>
      <c r="AP226" s="16">
        <v>50000</v>
      </c>
      <c r="AQ226" s="16">
        <v>50000</v>
      </c>
      <c r="AR226" s="16">
        <v>50000</v>
      </c>
      <c r="AS226" s="20">
        <v>120000</v>
      </c>
      <c r="AT226" s="20">
        <v>108000</v>
      </c>
      <c r="AU226" s="20">
        <v>200000</v>
      </c>
      <c r="AV226" s="20">
        <v>11000</v>
      </c>
      <c r="AW226" s="20">
        <v>8500</v>
      </c>
      <c r="AX226" s="64">
        <v>1500</v>
      </c>
      <c r="AZ226" s="15" t="s">
        <v>351</v>
      </c>
      <c r="BA226" s="249">
        <f t="shared" si="7"/>
        <v>4</v>
      </c>
      <c r="BB226" s="249">
        <v>0</v>
      </c>
      <c r="BC226" s="249">
        <f t="shared" si="6"/>
        <v>1990</v>
      </c>
    </row>
    <row r="227" spans="1:55" s="250" customFormat="1" x14ac:dyDescent="0.25">
      <c r="A227" s="50" t="s">
        <v>1404</v>
      </c>
      <c r="B227" s="63" t="s">
        <v>505</v>
      </c>
      <c r="C227" s="14" t="s">
        <v>351</v>
      </c>
      <c r="D227" s="15">
        <v>1980</v>
      </c>
      <c r="E227" s="15"/>
      <c r="F227" s="15">
        <v>1990</v>
      </c>
      <c r="G227" s="15" t="s">
        <v>407</v>
      </c>
      <c r="H227" s="15"/>
      <c r="I227" s="15"/>
      <c r="J227" s="16">
        <v>1980000</v>
      </c>
      <c r="K227" s="15"/>
      <c r="L227" s="15"/>
      <c r="M227" s="15" t="s">
        <v>328</v>
      </c>
      <c r="N227" s="16">
        <v>5000</v>
      </c>
      <c r="O227" s="21">
        <v>0.5</v>
      </c>
      <c r="P227" s="15">
        <v>3</v>
      </c>
      <c r="Q227" s="15">
        <v>450</v>
      </c>
      <c r="R227" s="13">
        <v>2700</v>
      </c>
      <c r="S227" s="15" t="s">
        <v>340</v>
      </c>
      <c r="T227" s="15">
        <v>2</v>
      </c>
      <c r="U227" s="15">
        <v>2.2999999999999998</v>
      </c>
      <c r="V227" s="25">
        <v>628.36624775583482</v>
      </c>
      <c r="W227" s="26">
        <v>7000</v>
      </c>
      <c r="X227" s="15"/>
      <c r="Y227" s="15" t="s">
        <v>328</v>
      </c>
      <c r="Z227" s="15"/>
      <c r="AA227" s="15"/>
      <c r="AB227" s="15"/>
      <c r="AC227" s="15"/>
      <c r="AD227" s="15"/>
      <c r="AE227" s="15" t="s">
        <v>328</v>
      </c>
      <c r="AF227" s="15"/>
      <c r="AG227" s="15"/>
      <c r="AH227" s="15" t="s">
        <v>328</v>
      </c>
      <c r="AI227" s="15" t="s">
        <v>328</v>
      </c>
      <c r="AJ227" s="15" t="s">
        <v>328</v>
      </c>
      <c r="AK227" s="15" t="s">
        <v>328</v>
      </c>
      <c r="AL227" s="15" t="s">
        <v>328</v>
      </c>
      <c r="AM227" s="15"/>
      <c r="AN227" s="16">
        <v>12000</v>
      </c>
      <c r="AO227" s="16">
        <v>12000</v>
      </c>
      <c r="AP227" s="16">
        <v>50000</v>
      </c>
      <c r="AQ227" s="16">
        <v>50000</v>
      </c>
      <c r="AR227" s="16">
        <v>50000</v>
      </c>
      <c r="AS227" s="20">
        <v>120000</v>
      </c>
      <c r="AT227" s="20">
        <v>108000</v>
      </c>
      <c r="AU227" s="20">
        <v>200000</v>
      </c>
      <c r="AV227" s="20">
        <v>11000</v>
      </c>
      <c r="AW227" s="20">
        <v>8500</v>
      </c>
      <c r="AX227" s="64">
        <v>1500</v>
      </c>
      <c r="AZ227" s="15" t="s">
        <v>351</v>
      </c>
      <c r="BA227" s="249">
        <f t="shared" si="7"/>
        <v>4</v>
      </c>
      <c r="BB227" s="249">
        <v>0</v>
      </c>
      <c r="BC227" s="249">
        <f t="shared" si="6"/>
        <v>1990</v>
      </c>
    </row>
    <row r="228" spans="1:55" s="250" customFormat="1" x14ac:dyDescent="0.25">
      <c r="A228" s="50" t="s">
        <v>1404</v>
      </c>
      <c r="B228" s="63" t="s">
        <v>505</v>
      </c>
      <c r="C228" s="14" t="s">
        <v>351</v>
      </c>
      <c r="D228" s="15">
        <v>1980</v>
      </c>
      <c r="E228" s="15"/>
      <c r="F228" s="15">
        <v>1990</v>
      </c>
      <c r="G228" s="15" t="s">
        <v>407</v>
      </c>
      <c r="H228" s="15"/>
      <c r="I228" s="15"/>
      <c r="J228" s="16">
        <v>1980000</v>
      </c>
      <c r="K228" s="15"/>
      <c r="L228" s="15"/>
      <c r="M228" s="15" t="s">
        <v>328</v>
      </c>
      <c r="N228" s="16">
        <v>5000</v>
      </c>
      <c r="O228" s="21">
        <v>0.5</v>
      </c>
      <c r="P228" s="15">
        <v>3</v>
      </c>
      <c r="Q228" s="15">
        <v>450</v>
      </c>
      <c r="R228" s="13">
        <v>2700</v>
      </c>
      <c r="S228" s="15" t="s">
        <v>340</v>
      </c>
      <c r="T228" s="15">
        <v>2</v>
      </c>
      <c r="U228" s="15">
        <v>2.2999999999999998</v>
      </c>
      <c r="V228" s="25">
        <v>628.36624775583482</v>
      </c>
      <c r="W228" s="26">
        <v>7000</v>
      </c>
      <c r="X228" s="15"/>
      <c r="Y228" s="15" t="s">
        <v>328</v>
      </c>
      <c r="Z228" s="15"/>
      <c r="AA228" s="15"/>
      <c r="AB228" s="15"/>
      <c r="AC228" s="15"/>
      <c r="AD228" s="15"/>
      <c r="AE228" s="15" t="s">
        <v>328</v>
      </c>
      <c r="AF228" s="15"/>
      <c r="AG228" s="15"/>
      <c r="AH228" s="15" t="s">
        <v>328</v>
      </c>
      <c r="AI228" s="15" t="s">
        <v>328</v>
      </c>
      <c r="AJ228" s="15" t="s">
        <v>328</v>
      </c>
      <c r="AK228" s="15" t="s">
        <v>328</v>
      </c>
      <c r="AL228" s="15" t="s">
        <v>328</v>
      </c>
      <c r="AM228" s="15"/>
      <c r="AN228" s="16">
        <v>12000</v>
      </c>
      <c r="AO228" s="16">
        <v>12000</v>
      </c>
      <c r="AP228" s="16">
        <v>50000</v>
      </c>
      <c r="AQ228" s="16">
        <v>50000</v>
      </c>
      <c r="AR228" s="16">
        <v>50000</v>
      </c>
      <c r="AS228" s="20">
        <v>120000</v>
      </c>
      <c r="AT228" s="20">
        <v>108000</v>
      </c>
      <c r="AU228" s="20">
        <v>200000</v>
      </c>
      <c r="AV228" s="20">
        <v>11000</v>
      </c>
      <c r="AW228" s="20">
        <v>8500</v>
      </c>
      <c r="AX228" s="64">
        <v>1500</v>
      </c>
      <c r="AZ228" s="15" t="s">
        <v>351</v>
      </c>
      <c r="BA228" s="249">
        <f t="shared" si="7"/>
        <v>4</v>
      </c>
      <c r="BB228" s="249">
        <v>0</v>
      </c>
      <c r="BC228" s="249">
        <f t="shared" si="6"/>
        <v>1990</v>
      </c>
    </row>
    <row r="229" spans="1:55" x14ac:dyDescent="0.25">
      <c r="A229" s="50" t="s">
        <v>1404</v>
      </c>
      <c r="B229" s="61" t="s">
        <v>506</v>
      </c>
      <c r="C229" s="14" t="s">
        <v>337</v>
      </c>
      <c r="D229" s="14">
        <v>2012</v>
      </c>
      <c r="E229" s="14" t="s">
        <v>456</v>
      </c>
      <c r="F229" s="14"/>
      <c r="G229" s="14"/>
      <c r="H229" s="14"/>
      <c r="I229" s="14"/>
      <c r="J229" s="13">
        <v>100500</v>
      </c>
      <c r="K229" s="14" t="s">
        <v>328</v>
      </c>
      <c r="L229" s="14"/>
      <c r="M229" s="14"/>
      <c r="N229" s="13">
        <v>8700</v>
      </c>
      <c r="O229" s="24">
        <v>0.5</v>
      </c>
      <c r="P229" s="14">
        <v>3</v>
      </c>
      <c r="Q229" s="14">
        <v>500</v>
      </c>
      <c r="R229" s="13">
        <v>3449.9999999999995</v>
      </c>
      <c r="S229" s="14" t="s">
        <v>340</v>
      </c>
      <c r="T229" s="14">
        <v>2.2999999999999998</v>
      </c>
      <c r="U229" s="14">
        <v>2.5</v>
      </c>
      <c r="V229" s="25">
        <v>538.59964093357269</v>
      </c>
      <c r="W229" s="26">
        <v>6000</v>
      </c>
      <c r="X229" s="14"/>
      <c r="Y229" s="14" t="s">
        <v>328</v>
      </c>
      <c r="Z229" s="14"/>
      <c r="AA229" s="14"/>
      <c r="AB229" s="14"/>
      <c r="AC229" s="14"/>
      <c r="AD229" s="14" t="s">
        <v>328</v>
      </c>
      <c r="AE229" s="14" t="s">
        <v>328</v>
      </c>
      <c r="AF229" s="14" t="s">
        <v>328</v>
      </c>
      <c r="AG229" s="14" t="s">
        <v>328</v>
      </c>
      <c r="AH229" s="14" t="s">
        <v>328</v>
      </c>
      <c r="AI229" s="14" t="s">
        <v>328</v>
      </c>
      <c r="AJ229" s="14" t="s">
        <v>328</v>
      </c>
      <c r="AK229" s="14" t="s">
        <v>328</v>
      </c>
      <c r="AL229" s="14" t="s">
        <v>328</v>
      </c>
      <c r="AM229" s="14"/>
      <c r="AN229" s="13">
        <v>10000</v>
      </c>
      <c r="AO229" s="13">
        <v>10000</v>
      </c>
      <c r="AP229" s="13">
        <v>50000</v>
      </c>
      <c r="AQ229" s="13">
        <v>104400</v>
      </c>
      <c r="AR229" s="13">
        <v>50000</v>
      </c>
      <c r="AS229" s="26">
        <v>72000</v>
      </c>
      <c r="AT229" s="26">
        <v>48000</v>
      </c>
      <c r="AU229" s="26">
        <v>200000</v>
      </c>
      <c r="AV229" s="26">
        <v>10000</v>
      </c>
      <c r="AW229" s="26">
        <v>7800</v>
      </c>
      <c r="AX229" s="62">
        <v>0</v>
      </c>
      <c r="AZ229" s="14" t="s">
        <v>337</v>
      </c>
      <c r="BA229" s="249">
        <f t="shared" si="7"/>
        <v>1</v>
      </c>
      <c r="BB229" s="249">
        <v>0</v>
      </c>
      <c r="BC229" s="249">
        <f t="shared" si="6"/>
        <v>2012</v>
      </c>
    </row>
    <row r="230" spans="1:55" x14ac:dyDescent="0.25">
      <c r="A230" s="50" t="s">
        <v>1404</v>
      </c>
      <c r="B230" s="61" t="s">
        <v>507</v>
      </c>
      <c r="C230" s="14" t="s">
        <v>351</v>
      </c>
      <c r="D230" s="14">
        <v>2012</v>
      </c>
      <c r="E230" s="14" t="s">
        <v>338</v>
      </c>
      <c r="F230" s="14"/>
      <c r="G230" s="14"/>
      <c r="H230" s="14"/>
      <c r="I230" s="14"/>
      <c r="J230" s="13">
        <v>385000</v>
      </c>
      <c r="K230" s="14" t="s">
        <v>328</v>
      </c>
      <c r="L230" s="14"/>
      <c r="M230" s="14"/>
      <c r="N230" s="13">
        <v>15000</v>
      </c>
      <c r="O230" s="24">
        <v>0.1</v>
      </c>
      <c r="P230" s="14">
        <v>2</v>
      </c>
      <c r="Q230" s="14">
        <v>500</v>
      </c>
      <c r="R230" s="13">
        <v>3000</v>
      </c>
      <c r="S230" s="14" t="s">
        <v>340</v>
      </c>
      <c r="T230" s="14">
        <v>3</v>
      </c>
      <c r="U230" s="14">
        <v>3.5</v>
      </c>
      <c r="V230" s="25">
        <v>538.59964093357269</v>
      </c>
      <c r="W230" s="26">
        <v>6000</v>
      </c>
      <c r="X230" s="14"/>
      <c r="Y230" s="14" t="s">
        <v>328</v>
      </c>
      <c r="Z230" s="14"/>
      <c r="AA230" s="14"/>
      <c r="AB230" s="14"/>
      <c r="AC230" s="14"/>
      <c r="AD230" s="14" t="s">
        <v>328</v>
      </c>
      <c r="AE230" s="14" t="s">
        <v>328</v>
      </c>
      <c r="AF230" s="14"/>
      <c r="AG230" s="14"/>
      <c r="AH230" s="14" t="s">
        <v>328</v>
      </c>
      <c r="AI230" s="14" t="s">
        <v>328</v>
      </c>
      <c r="AJ230" s="14" t="s">
        <v>328</v>
      </c>
      <c r="AK230" s="14" t="s">
        <v>328</v>
      </c>
      <c r="AL230" s="14" t="s">
        <v>328</v>
      </c>
      <c r="AM230" s="14" t="s">
        <v>328</v>
      </c>
      <c r="AN230" s="13">
        <v>50000</v>
      </c>
      <c r="AO230" s="13">
        <v>10000</v>
      </c>
      <c r="AP230" s="13">
        <v>90000</v>
      </c>
      <c r="AQ230" s="13">
        <v>90000</v>
      </c>
      <c r="AR230" s="13">
        <v>10000</v>
      </c>
      <c r="AS230" s="26">
        <v>192000</v>
      </c>
      <c r="AT230" s="26">
        <v>0</v>
      </c>
      <c r="AU230" s="26">
        <v>100000</v>
      </c>
      <c r="AV230" s="26">
        <v>8000</v>
      </c>
      <c r="AW230" s="26">
        <v>7000</v>
      </c>
      <c r="AX230" s="62">
        <v>0</v>
      </c>
      <c r="AZ230" s="14" t="s">
        <v>351</v>
      </c>
      <c r="BA230" s="249">
        <f t="shared" si="7"/>
        <v>1</v>
      </c>
      <c r="BB230" s="249">
        <v>0</v>
      </c>
      <c r="BC230" s="249">
        <f t="shared" si="6"/>
        <v>2012</v>
      </c>
    </row>
    <row r="231" spans="1:55" x14ac:dyDescent="0.25">
      <c r="A231" s="50" t="s">
        <v>1404</v>
      </c>
      <c r="B231" s="61" t="s">
        <v>508</v>
      </c>
      <c r="C231" s="14" t="s">
        <v>351</v>
      </c>
      <c r="D231" s="14">
        <v>2005</v>
      </c>
      <c r="E231" s="14" t="s">
        <v>475</v>
      </c>
      <c r="F231" s="14"/>
      <c r="G231" s="14"/>
      <c r="H231" s="14"/>
      <c r="I231" s="14"/>
      <c r="J231" s="13">
        <v>550000</v>
      </c>
      <c r="K231" s="14"/>
      <c r="L231" s="14"/>
      <c r="M231" s="14" t="s">
        <v>328</v>
      </c>
      <c r="N231" s="13">
        <v>3500</v>
      </c>
      <c r="O231" s="24">
        <v>0.5</v>
      </c>
      <c r="P231" s="14">
        <v>2</v>
      </c>
      <c r="Q231" s="14">
        <v>380</v>
      </c>
      <c r="R231" s="13">
        <v>1976</v>
      </c>
      <c r="S231" s="14" t="s">
        <v>340</v>
      </c>
      <c r="T231" s="14">
        <v>2.6</v>
      </c>
      <c r="U231" s="14">
        <v>3.5</v>
      </c>
      <c r="V231" s="25">
        <v>987.43267504488324</v>
      </c>
      <c r="W231" s="26">
        <v>11000</v>
      </c>
      <c r="X231" s="14"/>
      <c r="Y231" s="14" t="s">
        <v>328</v>
      </c>
      <c r="Z231" s="14"/>
      <c r="AA231" s="14"/>
      <c r="AB231" s="14"/>
      <c r="AC231" s="14"/>
      <c r="AD231" s="14"/>
      <c r="AE231" s="14" t="s">
        <v>328</v>
      </c>
      <c r="AF231" s="14"/>
      <c r="AG231" s="14"/>
      <c r="AH231" s="14" t="s">
        <v>328</v>
      </c>
      <c r="AI231" s="14" t="s">
        <v>328</v>
      </c>
      <c r="AJ231" s="14"/>
      <c r="AK231" s="14" t="s">
        <v>328</v>
      </c>
      <c r="AL231" s="14" t="s">
        <v>328</v>
      </c>
      <c r="AM231" s="14"/>
      <c r="AN231" s="13">
        <v>16000</v>
      </c>
      <c r="AO231" s="13">
        <v>20000</v>
      </c>
      <c r="AP231" s="13">
        <v>18000</v>
      </c>
      <c r="AQ231" s="13">
        <v>42000</v>
      </c>
      <c r="AR231" s="13">
        <v>20000</v>
      </c>
      <c r="AS231" s="26">
        <v>96000</v>
      </c>
      <c r="AT231" s="26">
        <v>36000</v>
      </c>
      <c r="AU231" s="26">
        <v>70000</v>
      </c>
      <c r="AV231" s="26">
        <v>7000</v>
      </c>
      <c r="AW231" s="26">
        <v>11000</v>
      </c>
      <c r="AX231" s="62">
        <v>0</v>
      </c>
      <c r="AZ231" s="14" t="s">
        <v>351</v>
      </c>
      <c r="BA231" s="249">
        <f t="shared" si="7"/>
        <v>1</v>
      </c>
      <c r="BB231" s="249">
        <v>0</v>
      </c>
      <c r="BC231" s="249">
        <f t="shared" si="6"/>
        <v>2005</v>
      </c>
    </row>
    <row r="232" spans="1:55" x14ac:dyDescent="0.25">
      <c r="A232" s="50" t="s">
        <v>1404</v>
      </c>
      <c r="B232" s="61" t="s">
        <v>509</v>
      </c>
      <c r="C232" s="14" t="s">
        <v>348</v>
      </c>
      <c r="D232" s="14">
        <v>2008</v>
      </c>
      <c r="E232" s="14" t="s">
        <v>407</v>
      </c>
      <c r="F232" s="14"/>
      <c r="G232" s="14"/>
      <c r="H232" s="14"/>
      <c r="I232" s="14"/>
      <c r="J232" s="13">
        <v>400000</v>
      </c>
      <c r="K232" s="14"/>
      <c r="L232" s="14" t="s">
        <v>328</v>
      </c>
      <c r="M232" s="14"/>
      <c r="N232" s="13">
        <v>4000</v>
      </c>
      <c r="O232" s="24">
        <v>0.5</v>
      </c>
      <c r="P232" s="14">
        <v>2</v>
      </c>
      <c r="Q232" s="14">
        <v>450</v>
      </c>
      <c r="R232" s="13">
        <v>2520</v>
      </c>
      <c r="S232" s="14" t="s">
        <v>340</v>
      </c>
      <c r="T232" s="14">
        <v>2.8</v>
      </c>
      <c r="U232" s="14">
        <v>3</v>
      </c>
      <c r="V232" s="25">
        <v>897.66606822262111</v>
      </c>
      <c r="W232" s="26">
        <v>10000</v>
      </c>
      <c r="X232" s="14"/>
      <c r="Y232" s="14" t="s">
        <v>328</v>
      </c>
      <c r="Z232" s="14"/>
      <c r="AA232" s="14"/>
      <c r="AB232" s="14"/>
      <c r="AC232" s="14"/>
      <c r="AD232" s="14"/>
      <c r="AE232" s="14" t="s">
        <v>328</v>
      </c>
      <c r="AF232" s="14"/>
      <c r="AG232" s="14" t="s">
        <v>328</v>
      </c>
      <c r="AH232" s="14" t="s">
        <v>328</v>
      </c>
      <c r="AI232" s="14" t="s">
        <v>328</v>
      </c>
      <c r="AJ232" s="14"/>
      <c r="AK232" s="14" t="s">
        <v>328</v>
      </c>
      <c r="AL232" s="14"/>
      <c r="AM232" s="14"/>
      <c r="AN232" s="13">
        <v>13000</v>
      </c>
      <c r="AO232" s="13">
        <v>15000</v>
      </c>
      <c r="AP232" s="13">
        <v>17000</v>
      </c>
      <c r="AQ232" s="13">
        <v>120000</v>
      </c>
      <c r="AR232" s="13">
        <v>13000</v>
      </c>
      <c r="AS232" s="26">
        <v>132000</v>
      </c>
      <c r="AT232" s="26">
        <v>48000</v>
      </c>
      <c r="AU232" s="26">
        <v>60000</v>
      </c>
      <c r="AV232" s="26">
        <v>6000</v>
      </c>
      <c r="AW232" s="26">
        <v>8000</v>
      </c>
      <c r="AX232" s="62">
        <v>0</v>
      </c>
      <c r="AZ232" s="14" t="s">
        <v>348</v>
      </c>
      <c r="BA232" s="249">
        <f t="shared" si="7"/>
        <v>2</v>
      </c>
      <c r="BB232" s="249">
        <v>0</v>
      </c>
      <c r="BC232" s="249">
        <f t="shared" si="6"/>
        <v>2008</v>
      </c>
    </row>
    <row r="233" spans="1:55" x14ac:dyDescent="0.25">
      <c r="A233" s="50" t="s">
        <v>1404</v>
      </c>
      <c r="B233" s="61" t="s">
        <v>509</v>
      </c>
      <c r="C233" s="14" t="s">
        <v>348</v>
      </c>
      <c r="D233" s="14">
        <v>2001</v>
      </c>
      <c r="E233" s="14" t="s">
        <v>407</v>
      </c>
      <c r="F233" s="14"/>
      <c r="G233" s="14"/>
      <c r="H233" s="14"/>
      <c r="I233" s="14"/>
      <c r="J233" s="13">
        <v>650000</v>
      </c>
      <c r="K233" s="14"/>
      <c r="L233" s="14"/>
      <c r="M233" s="14" t="s">
        <v>328</v>
      </c>
      <c r="N233" s="13">
        <v>4000</v>
      </c>
      <c r="O233" s="24">
        <v>0.5</v>
      </c>
      <c r="P233" s="14">
        <v>2</v>
      </c>
      <c r="Q233" s="14">
        <v>300</v>
      </c>
      <c r="R233" s="13">
        <v>1680</v>
      </c>
      <c r="S233" s="14" t="s">
        <v>340</v>
      </c>
      <c r="T233" s="14">
        <v>2.8</v>
      </c>
      <c r="U233" s="14">
        <v>3</v>
      </c>
      <c r="V233" s="25">
        <v>897.66606822262111</v>
      </c>
      <c r="W233" s="26">
        <v>10000</v>
      </c>
      <c r="X233" s="14"/>
      <c r="Y233" s="14" t="s">
        <v>328</v>
      </c>
      <c r="Z233" s="14"/>
      <c r="AA233" s="14"/>
      <c r="AB233" s="14"/>
      <c r="AC233" s="14"/>
      <c r="AD233" s="14"/>
      <c r="AE233" s="14" t="s">
        <v>328</v>
      </c>
      <c r="AF233" s="14"/>
      <c r="AG233" s="14" t="s">
        <v>328</v>
      </c>
      <c r="AH233" s="14" t="s">
        <v>328</v>
      </c>
      <c r="AI233" s="14" t="s">
        <v>328</v>
      </c>
      <c r="AJ233" s="14"/>
      <c r="AK233" s="14" t="s">
        <v>328</v>
      </c>
      <c r="AL233" s="14"/>
      <c r="AM233" s="14"/>
      <c r="AN233" s="13">
        <v>13000</v>
      </c>
      <c r="AO233" s="13">
        <v>15000</v>
      </c>
      <c r="AP233" s="13">
        <v>17000</v>
      </c>
      <c r="AQ233" s="13">
        <v>120000</v>
      </c>
      <c r="AR233" s="13">
        <v>13000</v>
      </c>
      <c r="AS233" s="26">
        <v>132000</v>
      </c>
      <c r="AT233" s="26">
        <v>48000</v>
      </c>
      <c r="AU233" s="26">
        <v>60000</v>
      </c>
      <c r="AV233" s="26">
        <v>6000</v>
      </c>
      <c r="AW233" s="26">
        <v>8000</v>
      </c>
      <c r="AX233" s="62">
        <v>0</v>
      </c>
      <c r="AZ233" s="14" t="s">
        <v>348</v>
      </c>
      <c r="BA233" s="249">
        <f t="shared" si="7"/>
        <v>2</v>
      </c>
      <c r="BB233" s="249">
        <v>0</v>
      </c>
      <c r="BC233" s="249">
        <f t="shared" si="6"/>
        <v>2001</v>
      </c>
    </row>
    <row r="234" spans="1:55" x14ac:dyDescent="0.25">
      <c r="A234" s="50" t="s">
        <v>1404</v>
      </c>
      <c r="B234" s="61" t="s">
        <v>510</v>
      </c>
      <c r="C234" s="14" t="s">
        <v>359</v>
      </c>
      <c r="D234" s="14">
        <v>2010</v>
      </c>
      <c r="E234" s="14" t="s">
        <v>456</v>
      </c>
      <c r="F234" s="14"/>
      <c r="G234" s="14"/>
      <c r="H234" s="14"/>
      <c r="I234" s="14"/>
      <c r="J234" s="13">
        <v>180000</v>
      </c>
      <c r="K234" s="14" t="s">
        <v>328</v>
      </c>
      <c r="L234" s="14"/>
      <c r="M234" s="14"/>
      <c r="N234" s="13">
        <v>5000</v>
      </c>
      <c r="O234" s="24">
        <v>0.5</v>
      </c>
      <c r="P234" s="14">
        <v>3</v>
      </c>
      <c r="Q234" s="14">
        <v>400</v>
      </c>
      <c r="R234" s="13">
        <v>3360</v>
      </c>
      <c r="S234" s="14" t="s">
        <v>340</v>
      </c>
      <c r="T234" s="14">
        <v>2.8</v>
      </c>
      <c r="U234" s="14">
        <v>3.5</v>
      </c>
      <c r="V234" s="25">
        <v>314.18312387791741</v>
      </c>
      <c r="W234" s="26">
        <v>3500</v>
      </c>
      <c r="X234" s="14"/>
      <c r="Y234" s="14"/>
      <c r="Z234" s="14"/>
      <c r="AA234" s="14"/>
      <c r="AB234" s="14"/>
      <c r="AC234" s="14" t="s">
        <v>328</v>
      </c>
      <c r="AD234" s="14" t="s">
        <v>328</v>
      </c>
      <c r="AE234" s="14" t="s">
        <v>328</v>
      </c>
      <c r="AF234" s="14"/>
      <c r="AG234" s="14" t="s">
        <v>328</v>
      </c>
      <c r="AH234" s="14" t="s">
        <v>328</v>
      </c>
      <c r="AI234" s="14" t="s">
        <v>328</v>
      </c>
      <c r="AJ234" s="14"/>
      <c r="AK234" s="14" t="s">
        <v>328</v>
      </c>
      <c r="AL234" s="14" t="s">
        <v>328</v>
      </c>
      <c r="AM234" s="14"/>
      <c r="AN234" s="13">
        <v>20000</v>
      </c>
      <c r="AO234" s="13">
        <v>20000</v>
      </c>
      <c r="AP234" s="13">
        <v>60000</v>
      </c>
      <c r="AQ234" s="13">
        <v>90000</v>
      </c>
      <c r="AR234" s="13">
        <v>20000</v>
      </c>
      <c r="AS234" s="26">
        <v>144000</v>
      </c>
      <c r="AT234" s="26">
        <v>108000</v>
      </c>
      <c r="AU234" s="26">
        <v>150000</v>
      </c>
      <c r="AV234" s="26">
        <v>7000</v>
      </c>
      <c r="AW234" s="26">
        <v>7000</v>
      </c>
      <c r="AX234" s="62">
        <v>7000</v>
      </c>
      <c r="AZ234" s="14" t="s">
        <v>359</v>
      </c>
      <c r="BA234" s="249">
        <f t="shared" si="7"/>
        <v>2</v>
      </c>
      <c r="BB234" s="249">
        <v>0</v>
      </c>
      <c r="BC234" s="249">
        <f t="shared" si="6"/>
        <v>2010</v>
      </c>
    </row>
    <row r="235" spans="1:55" x14ac:dyDescent="0.25">
      <c r="A235" s="50" t="s">
        <v>1404</v>
      </c>
      <c r="B235" s="61" t="s">
        <v>510</v>
      </c>
      <c r="C235" s="14" t="s">
        <v>359</v>
      </c>
      <c r="D235" s="14">
        <v>2010</v>
      </c>
      <c r="E235" s="14" t="s">
        <v>456</v>
      </c>
      <c r="F235" s="14"/>
      <c r="G235" s="14"/>
      <c r="H235" s="14"/>
      <c r="I235" s="14"/>
      <c r="J235" s="13">
        <v>180000</v>
      </c>
      <c r="K235" s="14" t="s">
        <v>328</v>
      </c>
      <c r="L235" s="14"/>
      <c r="M235" s="14"/>
      <c r="N235" s="13">
        <v>5000</v>
      </c>
      <c r="O235" s="24">
        <v>0.5</v>
      </c>
      <c r="P235" s="14">
        <v>3</v>
      </c>
      <c r="Q235" s="14">
        <v>400</v>
      </c>
      <c r="R235" s="13">
        <v>3360</v>
      </c>
      <c r="S235" s="14" t="s">
        <v>340</v>
      </c>
      <c r="T235" s="14">
        <v>2.8</v>
      </c>
      <c r="U235" s="14">
        <v>3.5</v>
      </c>
      <c r="V235" s="25">
        <v>314.18312387791741</v>
      </c>
      <c r="W235" s="26">
        <v>3500</v>
      </c>
      <c r="X235" s="14"/>
      <c r="Y235" s="14"/>
      <c r="Z235" s="14"/>
      <c r="AA235" s="14"/>
      <c r="AB235" s="14"/>
      <c r="AC235" s="14" t="s">
        <v>328</v>
      </c>
      <c r="AD235" s="14" t="s">
        <v>328</v>
      </c>
      <c r="AE235" s="14" t="s">
        <v>328</v>
      </c>
      <c r="AF235" s="14"/>
      <c r="AG235" s="14" t="s">
        <v>328</v>
      </c>
      <c r="AH235" s="14" t="s">
        <v>328</v>
      </c>
      <c r="AI235" s="14" t="s">
        <v>328</v>
      </c>
      <c r="AJ235" s="14"/>
      <c r="AK235" s="14" t="s">
        <v>328</v>
      </c>
      <c r="AL235" s="14" t="s">
        <v>328</v>
      </c>
      <c r="AM235" s="14"/>
      <c r="AN235" s="13">
        <v>20000</v>
      </c>
      <c r="AO235" s="13">
        <v>20000</v>
      </c>
      <c r="AP235" s="13">
        <v>60000</v>
      </c>
      <c r="AQ235" s="13">
        <v>90000</v>
      </c>
      <c r="AR235" s="13">
        <v>20000</v>
      </c>
      <c r="AS235" s="26">
        <v>144000</v>
      </c>
      <c r="AT235" s="26">
        <v>108000</v>
      </c>
      <c r="AU235" s="26">
        <v>150000</v>
      </c>
      <c r="AV235" s="26">
        <v>7000</v>
      </c>
      <c r="AW235" s="26">
        <v>7000</v>
      </c>
      <c r="AX235" s="62">
        <v>7000</v>
      </c>
      <c r="AZ235" s="14" t="s">
        <v>359</v>
      </c>
      <c r="BA235" s="249">
        <f t="shared" si="7"/>
        <v>2</v>
      </c>
      <c r="BB235" s="249">
        <v>0</v>
      </c>
      <c r="BC235" s="249">
        <f t="shared" si="6"/>
        <v>2010</v>
      </c>
    </row>
    <row r="236" spans="1:55" x14ac:dyDescent="0.25">
      <c r="A236" s="50" t="s">
        <v>1404</v>
      </c>
      <c r="B236" s="61" t="s">
        <v>511</v>
      </c>
      <c r="C236" s="14" t="s">
        <v>348</v>
      </c>
      <c r="D236" s="14">
        <v>1981</v>
      </c>
      <c r="E236" s="14" t="s">
        <v>374</v>
      </c>
      <c r="F236" s="14"/>
      <c r="G236" s="14"/>
      <c r="H236" s="14"/>
      <c r="I236" s="14"/>
      <c r="J236" s="13">
        <v>2500000</v>
      </c>
      <c r="K236" s="14"/>
      <c r="L236" s="14"/>
      <c r="M236" s="14" t="s">
        <v>328</v>
      </c>
      <c r="N236" s="13">
        <v>2000</v>
      </c>
      <c r="O236" s="24">
        <v>0.1</v>
      </c>
      <c r="P236" s="14">
        <v>2</v>
      </c>
      <c r="Q236" s="14">
        <v>300</v>
      </c>
      <c r="R236" s="13">
        <v>1500</v>
      </c>
      <c r="S236" s="14" t="s">
        <v>340</v>
      </c>
      <c r="T236" s="14">
        <v>2.5</v>
      </c>
      <c r="U236" s="14">
        <v>3</v>
      </c>
      <c r="V236" s="25">
        <v>538.59964093357269</v>
      </c>
      <c r="W236" s="26">
        <v>6000</v>
      </c>
      <c r="X236" s="14"/>
      <c r="Y236" s="14" t="s">
        <v>328</v>
      </c>
      <c r="Z236" s="14"/>
      <c r="AA236" s="14"/>
      <c r="AB236" s="14"/>
      <c r="AC236" s="14"/>
      <c r="AD236" s="14"/>
      <c r="AE236" s="14" t="s">
        <v>328</v>
      </c>
      <c r="AF236" s="14"/>
      <c r="AG236" s="14" t="s">
        <v>328</v>
      </c>
      <c r="AH236" s="14" t="s">
        <v>328</v>
      </c>
      <c r="AI236" s="14" t="s">
        <v>328</v>
      </c>
      <c r="AJ236" s="14"/>
      <c r="AK236" s="14" t="s">
        <v>328</v>
      </c>
      <c r="AL236" s="14"/>
      <c r="AM236" s="14"/>
      <c r="AN236" s="13">
        <v>20000</v>
      </c>
      <c r="AO236" s="13">
        <v>30000</v>
      </c>
      <c r="AP236" s="13">
        <v>6000</v>
      </c>
      <c r="AQ236" s="13">
        <v>50000</v>
      </c>
      <c r="AR236" s="13">
        <v>20000</v>
      </c>
      <c r="AS236" s="26">
        <v>96000</v>
      </c>
      <c r="AT236" s="26">
        <v>72000</v>
      </c>
      <c r="AU236" s="26">
        <v>60000</v>
      </c>
      <c r="AV236" s="26">
        <v>5000</v>
      </c>
      <c r="AW236" s="26">
        <v>9000</v>
      </c>
      <c r="AX236" s="62">
        <v>0</v>
      </c>
      <c r="AZ236" s="14" t="s">
        <v>348</v>
      </c>
      <c r="BA236" s="249">
        <f t="shared" si="7"/>
        <v>1</v>
      </c>
      <c r="BB236" s="249">
        <v>0</v>
      </c>
      <c r="BC236" s="249">
        <f t="shared" si="6"/>
        <v>1981</v>
      </c>
    </row>
    <row r="237" spans="1:55" x14ac:dyDescent="0.25">
      <c r="A237" s="50" t="s">
        <v>1404</v>
      </c>
      <c r="B237" s="61" t="s">
        <v>512</v>
      </c>
      <c r="C237" s="14" t="s">
        <v>337</v>
      </c>
      <c r="D237" s="14">
        <v>2002</v>
      </c>
      <c r="E237" s="14" t="s">
        <v>338</v>
      </c>
      <c r="F237" s="14"/>
      <c r="G237" s="14"/>
      <c r="H237" s="14"/>
      <c r="I237" s="14"/>
      <c r="J237" s="13">
        <v>700000</v>
      </c>
      <c r="K237" s="14"/>
      <c r="L237" s="14"/>
      <c r="M237" s="14" t="s">
        <v>328</v>
      </c>
      <c r="N237" s="13">
        <v>3000</v>
      </c>
      <c r="O237" s="24">
        <v>0.5</v>
      </c>
      <c r="P237" s="14">
        <v>2</v>
      </c>
      <c r="Q237" s="14">
        <v>500</v>
      </c>
      <c r="R237" s="13">
        <v>2800</v>
      </c>
      <c r="S237" s="14" t="s">
        <v>340</v>
      </c>
      <c r="T237" s="14">
        <v>2.8</v>
      </c>
      <c r="U237" s="14">
        <v>2.8</v>
      </c>
      <c r="V237" s="25">
        <v>718.13285457809695</v>
      </c>
      <c r="W237" s="26">
        <v>8000</v>
      </c>
      <c r="X237" s="14"/>
      <c r="Y237" s="14" t="s">
        <v>328</v>
      </c>
      <c r="Z237" s="14"/>
      <c r="AA237" s="14"/>
      <c r="AB237" s="14"/>
      <c r="AC237" s="14"/>
      <c r="AD237" s="14"/>
      <c r="AE237" s="14" t="s">
        <v>328</v>
      </c>
      <c r="AF237" s="14"/>
      <c r="AG237" s="14"/>
      <c r="AH237" s="14"/>
      <c r="AI237" s="14" t="s">
        <v>328</v>
      </c>
      <c r="AJ237" s="14"/>
      <c r="AK237" s="14" t="s">
        <v>328</v>
      </c>
      <c r="AL237" s="14" t="s">
        <v>328</v>
      </c>
      <c r="AM237" s="14"/>
      <c r="AN237" s="13">
        <v>20000</v>
      </c>
      <c r="AO237" s="13">
        <v>25000</v>
      </c>
      <c r="AP237" s="13">
        <v>18000</v>
      </c>
      <c r="AQ237" s="13">
        <v>200000</v>
      </c>
      <c r="AR237" s="13">
        <v>20000</v>
      </c>
      <c r="AS237" s="26">
        <v>108000</v>
      </c>
      <c r="AT237" s="26">
        <v>48000</v>
      </c>
      <c r="AU237" s="26">
        <v>70000</v>
      </c>
      <c r="AV237" s="26">
        <v>10000</v>
      </c>
      <c r="AW237" s="26">
        <v>12000</v>
      </c>
      <c r="AX237" s="62">
        <v>0</v>
      </c>
      <c r="AZ237" s="14" t="s">
        <v>337</v>
      </c>
      <c r="BA237" s="249">
        <f t="shared" si="7"/>
        <v>1</v>
      </c>
      <c r="BB237" s="249">
        <v>0</v>
      </c>
      <c r="BC237" s="249">
        <f t="shared" si="6"/>
        <v>2002</v>
      </c>
    </row>
    <row r="238" spans="1:55" x14ac:dyDescent="0.25">
      <c r="A238" s="50" t="s">
        <v>1404</v>
      </c>
      <c r="B238" s="61" t="s">
        <v>513</v>
      </c>
      <c r="C238" s="14" t="s">
        <v>359</v>
      </c>
      <c r="D238" s="14">
        <v>2009</v>
      </c>
      <c r="E238" s="14" t="s">
        <v>338</v>
      </c>
      <c r="F238" s="14"/>
      <c r="G238" s="14"/>
      <c r="H238" s="14"/>
      <c r="I238" s="14"/>
      <c r="J238" s="13">
        <v>500000</v>
      </c>
      <c r="K238" s="14" t="s">
        <v>328</v>
      </c>
      <c r="L238" s="14"/>
      <c r="M238" s="14"/>
      <c r="N238" s="13">
        <v>10000</v>
      </c>
      <c r="O238" s="24">
        <v>0.5</v>
      </c>
      <c r="P238" s="14">
        <v>3</v>
      </c>
      <c r="Q238" s="14">
        <v>450</v>
      </c>
      <c r="R238" s="13">
        <v>3375</v>
      </c>
      <c r="S238" s="14" t="s">
        <v>340</v>
      </c>
      <c r="T238" s="14">
        <v>2.5</v>
      </c>
      <c r="U238" s="14">
        <v>3</v>
      </c>
      <c r="V238" s="25">
        <v>538.59964093357269</v>
      </c>
      <c r="W238" s="26">
        <v>6000</v>
      </c>
      <c r="X238" s="14"/>
      <c r="Y238" s="14"/>
      <c r="Z238" s="14"/>
      <c r="AA238" s="14"/>
      <c r="AB238" s="14" t="s">
        <v>328</v>
      </c>
      <c r="AC238" s="14"/>
      <c r="AD238" s="14" t="s">
        <v>328</v>
      </c>
      <c r="AE238" s="14" t="s">
        <v>328</v>
      </c>
      <c r="AF238" s="14"/>
      <c r="AG238" s="14" t="s">
        <v>328</v>
      </c>
      <c r="AH238" s="14" t="s">
        <v>328</v>
      </c>
      <c r="AI238" s="14" t="s">
        <v>328</v>
      </c>
      <c r="AJ238" s="14"/>
      <c r="AK238" s="14" t="s">
        <v>328</v>
      </c>
      <c r="AL238" s="14" t="s">
        <v>328</v>
      </c>
      <c r="AM238" s="14"/>
      <c r="AN238" s="13">
        <v>50000</v>
      </c>
      <c r="AO238" s="13">
        <v>50000</v>
      </c>
      <c r="AP238" s="13">
        <v>120000</v>
      </c>
      <c r="AQ238" s="13">
        <v>250000</v>
      </c>
      <c r="AR238" s="13">
        <v>80000</v>
      </c>
      <c r="AS238" s="26">
        <v>144000</v>
      </c>
      <c r="AT238" s="26">
        <v>120000</v>
      </c>
      <c r="AU238" s="26">
        <v>150000</v>
      </c>
      <c r="AV238" s="26">
        <v>5000</v>
      </c>
      <c r="AW238" s="26">
        <v>8000</v>
      </c>
      <c r="AX238" s="62">
        <v>0</v>
      </c>
      <c r="AZ238" s="14" t="s">
        <v>359</v>
      </c>
      <c r="BA238" s="249">
        <f t="shared" si="7"/>
        <v>5</v>
      </c>
      <c r="BB238" s="249">
        <v>0</v>
      </c>
      <c r="BC238" s="249">
        <f t="shared" si="6"/>
        <v>2009</v>
      </c>
    </row>
    <row r="239" spans="1:55" x14ac:dyDescent="0.25">
      <c r="A239" s="50" t="s">
        <v>1404</v>
      </c>
      <c r="B239" s="61" t="s">
        <v>513</v>
      </c>
      <c r="C239" s="14" t="s">
        <v>359</v>
      </c>
      <c r="D239" s="14">
        <v>2009</v>
      </c>
      <c r="E239" s="14" t="s">
        <v>338</v>
      </c>
      <c r="F239" s="14"/>
      <c r="G239" s="14"/>
      <c r="H239" s="14"/>
      <c r="I239" s="14"/>
      <c r="J239" s="13">
        <v>500000</v>
      </c>
      <c r="K239" s="14" t="s">
        <v>328</v>
      </c>
      <c r="L239" s="14"/>
      <c r="M239" s="14"/>
      <c r="N239" s="13">
        <v>10000</v>
      </c>
      <c r="O239" s="24">
        <v>0.5</v>
      </c>
      <c r="P239" s="14">
        <v>3</v>
      </c>
      <c r="Q239" s="14">
        <v>450</v>
      </c>
      <c r="R239" s="13">
        <v>3375</v>
      </c>
      <c r="S239" s="14" t="s">
        <v>340</v>
      </c>
      <c r="T239" s="14">
        <v>2.5</v>
      </c>
      <c r="U239" s="14">
        <v>3</v>
      </c>
      <c r="V239" s="25">
        <v>538.59964093357269</v>
      </c>
      <c r="W239" s="26">
        <v>6000</v>
      </c>
      <c r="X239" s="14"/>
      <c r="Y239" s="14"/>
      <c r="Z239" s="14"/>
      <c r="AA239" s="14"/>
      <c r="AB239" s="14" t="s">
        <v>328</v>
      </c>
      <c r="AC239" s="14"/>
      <c r="AD239" s="14" t="s">
        <v>328</v>
      </c>
      <c r="AE239" s="14" t="s">
        <v>328</v>
      </c>
      <c r="AF239" s="14"/>
      <c r="AG239" s="14" t="s">
        <v>328</v>
      </c>
      <c r="AH239" s="14" t="s">
        <v>328</v>
      </c>
      <c r="AI239" s="14" t="s">
        <v>328</v>
      </c>
      <c r="AJ239" s="14"/>
      <c r="AK239" s="14" t="s">
        <v>328</v>
      </c>
      <c r="AL239" s="14" t="s">
        <v>328</v>
      </c>
      <c r="AM239" s="14"/>
      <c r="AN239" s="13">
        <v>50000</v>
      </c>
      <c r="AO239" s="13">
        <v>50000</v>
      </c>
      <c r="AP239" s="13">
        <v>120000</v>
      </c>
      <c r="AQ239" s="13">
        <v>250000</v>
      </c>
      <c r="AR239" s="13">
        <v>80000</v>
      </c>
      <c r="AS239" s="26">
        <v>144000</v>
      </c>
      <c r="AT239" s="26">
        <v>120000</v>
      </c>
      <c r="AU239" s="26">
        <v>150000</v>
      </c>
      <c r="AV239" s="26">
        <v>5000</v>
      </c>
      <c r="AW239" s="26">
        <v>8000</v>
      </c>
      <c r="AX239" s="62">
        <v>0</v>
      </c>
      <c r="AZ239" s="14" t="s">
        <v>359</v>
      </c>
      <c r="BA239" s="249">
        <f t="shared" si="7"/>
        <v>5</v>
      </c>
      <c r="BB239" s="249">
        <v>0</v>
      </c>
      <c r="BC239" s="249">
        <f t="shared" si="6"/>
        <v>2009</v>
      </c>
    </row>
    <row r="240" spans="1:55" x14ac:dyDescent="0.25">
      <c r="A240" s="50" t="s">
        <v>1404</v>
      </c>
      <c r="B240" s="61" t="s">
        <v>513</v>
      </c>
      <c r="C240" s="14" t="s">
        <v>359</v>
      </c>
      <c r="D240" s="14">
        <v>2009</v>
      </c>
      <c r="E240" s="14" t="s">
        <v>338</v>
      </c>
      <c r="F240" s="14"/>
      <c r="G240" s="14"/>
      <c r="H240" s="14"/>
      <c r="I240" s="14"/>
      <c r="J240" s="13">
        <v>500000</v>
      </c>
      <c r="K240" s="14" t="s">
        <v>328</v>
      </c>
      <c r="L240" s="14"/>
      <c r="M240" s="14"/>
      <c r="N240" s="13">
        <v>10000</v>
      </c>
      <c r="O240" s="24">
        <v>0.5</v>
      </c>
      <c r="P240" s="14">
        <v>3</v>
      </c>
      <c r="Q240" s="14">
        <v>450</v>
      </c>
      <c r="R240" s="13">
        <v>3375</v>
      </c>
      <c r="S240" s="14" t="s">
        <v>340</v>
      </c>
      <c r="T240" s="14">
        <v>2.5</v>
      </c>
      <c r="U240" s="14">
        <v>3</v>
      </c>
      <c r="V240" s="25">
        <v>538.59964093357269</v>
      </c>
      <c r="W240" s="26">
        <v>6000</v>
      </c>
      <c r="X240" s="14"/>
      <c r="Y240" s="14"/>
      <c r="Z240" s="14"/>
      <c r="AA240" s="14"/>
      <c r="AB240" s="14" t="s">
        <v>328</v>
      </c>
      <c r="AC240" s="14"/>
      <c r="AD240" s="14" t="s">
        <v>328</v>
      </c>
      <c r="AE240" s="14" t="s">
        <v>328</v>
      </c>
      <c r="AF240" s="14"/>
      <c r="AG240" s="14" t="s">
        <v>328</v>
      </c>
      <c r="AH240" s="14" t="s">
        <v>328</v>
      </c>
      <c r="AI240" s="14" t="s">
        <v>328</v>
      </c>
      <c r="AJ240" s="14"/>
      <c r="AK240" s="14" t="s">
        <v>328</v>
      </c>
      <c r="AL240" s="14" t="s">
        <v>328</v>
      </c>
      <c r="AM240" s="14"/>
      <c r="AN240" s="13">
        <v>50000</v>
      </c>
      <c r="AO240" s="13">
        <v>50000</v>
      </c>
      <c r="AP240" s="13">
        <v>120000</v>
      </c>
      <c r="AQ240" s="13">
        <v>250000</v>
      </c>
      <c r="AR240" s="13">
        <v>80000</v>
      </c>
      <c r="AS240" s="26">
        <v>144000</v>
      </c>
      <c r="AT240" s="26">
        <v>120000</v>
      </c>
      <c r="AU240" s="26">
        <v>150000</v>
      </c>
      <c r="AV240" s="26">
        <v>5000</v>
      </c>
      <c r="AW240" s="26">
        <v>8000</v>
      </c>
      <c r="AX240" s="62">
        <v>0</v>
      </c>
      <c r="AZ240" s="14" t="s">
        <v>359</v>
      </c>
      <c r="BA240" s="249">
        <f t="shared" si="7"/>
        <v>5</v>
      </c>
      <c r="BB240" s="249">
        <v>0</v>
      </c>
      <c r="BC240" s="249">
        <f t="shared" si="6"/>
        <v>2009</v>
      </c>
    </row>
    <row r="241" spans="1:55" x14ac:dyDescent="0.25">
      <c r="A241" s="50" t="s">
        <v>1404</v>
      </c>
      <c r="B241" s="61" t="s">
        <v>513</v>
      </c>
      <c r="C241" s="14" t="s">
        <v>359</v>
      </c>
      <c r="D241" s="14">
        <v>2009</v>
      </c>
      <c r="E241" s="14" t="s">
        <v>338</v>
      </c>
      <c r="F241" s="14"/>
      <c r="G241" s="14"/>
      <c r="H241" s="14"/>
      <c r="I241" s="14"/>
      <c r="J241" s="13">
        <v>500000</v>
      </c>
      <c r="K241" s="14" t="s">
        <v>328</v>
      </c>
      <c r="L241" s="14"/>
      <c r="M241" s="14"/>
      <c r="N241" s="13">
        <v>10000</v>
      </c>
      <c r="O241" s="24">
        <v>0.5</v>
      </c>
      <c r="P241" s="14">
        <v>3</v>
      </c>
      <c r="Q241" s="14">
        <v>450</v>
      </c>
      <c r="R241" s="13">
        <v>3375</v>
      </c>
      <c r="S241" s="14" t="s">
        <v>340</v>
      </c>
      <c r="T241" s="14">
        <v>2.5</v>
      </c>
      <c r="U241" s="14">
        <v>3</v>
      </c>
      <c r="V241" s="25">
        <v>538.59964093357269</v>
      </c>
      <c r="W241" s="26">
        <v>6000</v>
      </c>
      <c r="X241" s="14"/>
      <c r="Y241" s="14"/>
      <c r="Z241" s="14"/>
      <c r="AA241" s="14"/>
      <c r="AB241" s="14" t="s">
        <v>328</v>
      </c>
      <c r="AC241" s="14"/>
      <c r="AD241" s="14" t="s">
        <v>328</v>
      </c>
      <c r="AE241" s="14" t="s">
        <v>328</v>
      </c>
      <c r="AF241" s="14"/>
      <c r="AG241" s="14" t="s">
        <v>328</v>
      </c>
      <c r="AH241" s="14" t="s">
        <v>328</v>
      </c>
      <c r="AI241" s="14" t="s">
        <v>328</v>
      </c>
      <c r="AJ241" s="14"/>
      <c r="AK241" s="14" t="s">
        <v>328</v>
      </c>
      <c r="AL241" s="14" t="s">
        <v>328</v>
      </c>
      <c r="AM241" s="14"/>
      <c r="AN241" s="13">
        <v>50000</v>
      </c>
      <c r="AO241" s="13">
        <v>50000</v>
      </c>
      <c r="AP241" s="13">
        <v>120000</v>
      </c>
      <c r="AQ241" s="13">
        <v>250000</v>
      </c>
      <c r="AR241" s="13">
        <v>80000</v>
      </c>
      <c r="AS241" s="26">
        <v>144000</v>
      </c>
      <c r="AT241" s="26">
        <v>120000</v>
      </c>
      <c r="AU241" s="26">
        <v>150000</v>
      </c>
      <c r="AV241" s="26">
        <v>5000</v>
      </c>
      <c r="AW241" s="26">
        <v>8000</v>
      </c>
      <c r="AX241" s="62">
        <v>0</v>
      </c>
      <c r="AZ241" s="14" t="s">
        <v>359</v>
      </c>
      <c r="BA241" s="249">
        <f t="shared" si="7"/>
        <v>5</v>
      </c>
      <c r="BB241" s="249">
        <v>0</v>
      </c>
      <c r="BC241" s="249">
        <f t="shared" si="6"/>
        <v>2009</v>
      </c>
    </row>
    <row r="242" spans="1:55" x14ac:dyDescent="0.25">
      <c r="A242" s="50" t="s">
        <v>1404</v>
      </c>
      <c r="B242" s="61" t="s">
        <v>513</v>
      </c>
      <c r="C242" s="14" t="s">
        <v>359</v>
      </c>
      <c r="D242" s="14">
        <v>2009</v>
      </c>
      <c r="E242" s="14" t="s">
        <v>338</v>
      </c>
      <c r="F242" s="14"/>
      <c r="G242" s="14"/>
      <c r="H242" s="14"/>
      <c r="I242" s="14"/>
      <c r="J242" s="13">
        <v>500000</v>
      </c>
      <c r="K242" s="14" t="s">
        <v>328</v>
      </c>
      <c r="L242" s="14"/>
      <c r="M242" s="14"/>
      <c r="N242" s="13">
        <v>10000</v>
      </c>
      <c r="O242" s="24">
        <v>0.5</v>
      </c>
      <c r="P242" s="14">
        <v>3</v>
      </c>
      <c r="Q242" s="14">
        <v>450</v>
      </c>
      <c r="R242" s="13">
        <v>3375</v>
      </c>
      <c r="S242" s="14" t="s">
        <v>340</v>
      </c>
      <c r="T242" s="14">
        <v>2.5</v>
      </c>
      <c r="U242" s="14">
        <v>3</v>
      </c>
      <c r="V242" s="25">
        <v>538.59964093357269</v>
      </c>
      <c r="W242" s="26">
        <v>6000</v>
      </c>
      <c r="X242" s="14"/>
      <c r="Y242" s="14"/>
      <c r="Z242" s="14"/>
      <c r="AA242" s="14"/>
      <c r="AB242" s="14" t="s">
        <v>328</v>
      </c>
      <c r="AC242" s="14"/>
      <c r="AD242" s="14" t="s">
        <v>328</v>
      </c>
      <c r="AE242" s="14" t="s">
        <v>328</v>
      </c>
      <c r="AF242" s="14"/>
      <c r="AG242" s="14" t="s">
        <v>328</v>
      </c>
      <c r="AH242" s="14" t="s">
        <v>328</v>
      </c>
      <c r="AI242" s="14" t="s">
        <v>328</v>
      </c>
      <c r="AJ242" s="14"/>
      <c r="AK242" s="14" t="s">
        <v>328</v>
      </c>
      <c r="AL242" s="14" t="s">
        <v>328</v>
      </c>
      <c r="AM242" s="14"/>
      <c r="AN242" s="13">
        <v>50000</v>
      </c>
      <c r="AO242" s="13">
        <v>50000</v>
      </c>
      <c r="AP242" s="13">
        <v>120000</v>
      </c>
      <c r="AQ242" s="13">
        <v>250000</v>
      </c>
      <c r="AR242" s="13">
        <v>80000</v>
      </c>
      <c r="AS242" s="26">
        <v>144000</v>
      </c>
      <c r="AT242" s="26">
        <v>120000</v>
      </c>
      <c r="AU242" s="26">
        <v>150000</v>
      </c>
      <c r="AV242" s="26">
        <v>5000</v>
      </c>
      <c r="AW242" s="26">
        <v>8000</v>
      </c>
      <c r="AX242" s="62">
        <v>0</v>
      </c>
      <c r="AZ242" s="14" t="s">
        <v>359</v>
      </c>
      <c r="BA242" s="249">
        <f t="shared" si="7"/>
        <v>5</v>
      </c>
      <c r="BB242" s="249">
        <v>0</v>
      </c>
      <c r="BC242" s="249">
        <f t="shared" si="6"/>
        <v>2009</v>
      </c>
    </row>
    <row r="243" spans="1:55" x14ac:dyDescent="0.25">
      <c r="A243" s="50" t="s">
        <v>1404</v>
      </c>
      <c r="B243" s="61" t="s">
        <v>514</v>
      </c>
      <c r="C243" s="14" t="s">
        <v>348</v>
      </c>
      <c r="D243" s="14">
        <v>1999</v>
      </c>
      <c r="E243" s="14" t="s">
        <v>407</v>
      </c>
      <c r="F243" s="14"/>
      <c r="G243" s="14"/>
      <c r="H243" s="14"/>
      <c r="I243" s="14"/>
      <c r="J243" s="13">
        <v>800000</v>
      </c>
      <c r="K243" s="14"/>
      <c r="L243" s="14" t="s">
        <v>328</v>
      </c>
      <c r="M243" s="14"/>
      <c r="N243" s="13">
        <v>3000</v>
      </c>
      <c r="O243" s="24">
        <v>0.5</v>
      </c>
      <c r="P243" s="14">
        <v>2</v>
      </c>
      <c r="Q243" s="14">
        <v>300</v>
      </c>
      <c r="R243" s="13">
        <v>1560</v>
      </c>
      <c r="S243" s="14" t="s">
        <v>340</v>
      </c>
      <c r="T243" s="14">
        <v>2.6</v>
      </c>
      <c r="U243" s="14">
        <v>2.6</v>
      </c>
      <c r="V243" s="25">
        <v>1077.1992818671454</v>
      </c>
      <c r="W243" s="26">
        <v>12000</v>
      </c>
      <c r="X243" s="14" t="s">
        <v>328</v>
      </c>
      <c r="Y243" s="14"/>
      <c r="Z243" s="14"/>
      <c r="AA243" s="14"/>
      <c r="AB243" s="14"/>
      <c r="AC243" s="14"/>
      <c r="AD243" s="14"/>
      <c r="AE243" s="14" t="s">
        <v>328</v>
      </c>
      <c r="AF243" s="14"/>
      <c r="AG243" s="14"/>
      <c r="AH243" s="14" t="s">
        <v>328</v>
      </c>
      <c r="AI243" s="14"/>
      <c r="AJ243" s="14"/>
      <c r="AK243" s="14" t="s">
        <v>328</v>
      </c>
      <c r="AL243" s="14" t="s">
        <v>328</v>
      </c>
      <c r="AM243" s="14"/>
      <c r="AN243" s="13">
        <v>13000</v>
      </c>
      <c r="AO243" s="13">
        <v>13000</v>
      </c>
      <c r="AP243" s="13">
        <v>9000</v>
      </c>
      <c r="AQ243" s="13">
        <v>36000</v>
      </c>
      <c r="AR243" s="13">
        <v>13000</v>
      </c>
      <c r="AS243" s="26">
        <v>108000</v>
      </c>
      <c r="AT243" s="26">
        <v>60000</v>
      </c>
      <c r="AU243" s="26">
        <v>80000</v>
      </c>
      <c r="AV243" s="26">
        <v>4000</v>
      </c>
      <c r="AW243" s="26">
        <v>12000</v>
      </c>
      <c r="AX243" s="62">
        <v>0</v>
      </c>
      <c r="AZ243" s="14" t="s">
        <v>348</v>
      </c>
      <c r="BA243" s="249">
        <f t="shared" si="7"/>
        <v>3</v>
      </c>
      <c r="BB243" s="249">
        <v>0</v>
      </c>
      <c r="BC243" s="249">
        <f t="shared" si="6"/>
        <v>1999</v>
      </c>
    </row>
    <row r="244" spans="1:55" x14ac:dyDescent="0.25">
      <c r="A244" s="50" t="s">
        <v>1404</v>
      </c>
      <c r="B244" s="61" t="s">
        <v>514</v>
      </c>
      <c r="C244" s="14" t="s">
        <v>348</v>
      </c>
      <c r="D244" s="14">
        <v>2003</v>
      </c>
      <c r="E244" s="14" t="s">
        <v>407</v>
      </c>
      <c r="F244" s="14"/>
      <c r="G244" s="14"/>
      <c r="H244" s="14"/>
      <c r="I244" s="14"/>
      <c r="J244" s="13">
        <v>400000</v>
      </c>
      <c r="K244" s="14"/>
      <c r="L244" s="14" t="s">
        <v>328</v>
      </c>
      <c r="M244" s="14"/>
      <c r="N244" s="13">
        <v>3000</v>
      </c>
      <c r="O244" s="24">
        <v>0.5</v>
      </c>
      <c r="P244" s="14">
        <v>2</v>
      </c>
      <c r="Q244" s="14">
        <v>450</v>
      </c>
      <c r="R244" s="13">
        <v>2340</v>
      </c>
      <c r="S244" s="14" t="s">
        <v>340</v>
      </c>
      <c r="T244" s="14">
        <v>2.6</v>
      </c>
      <c r="U244" s="14">
        <v>2.6</v>
      </c>
      <c r="V244" s="25">
        <v>1077.1992818671454</v>
      </c>
      <c r="W244" s="26">
        <v>12000</v>
      </c>
      <c r="X244" s="14"/>
      <c r="Y244" s="14" t="s">
        <v>328</v>
      </c>
      <c r="Z244" s="14"/>
      <c r="AA244" s="14"/>
      <c r="AB244" s="14"/>
      <c r="AC244" s="14"/>
      <c r="AD244" s="14"/>
      <c r="AE244" s="14" t="s">
        <v>328</v>
      </c>
      <c r="AF244" s="14"/>
      <c r="AG244" s="14"/>
      <c r="AH244" s="14" t="s">
        <v>328</v>
      </c>
      <c r="AI244" s="14"/>
      <c r="AJ244" s="14"/>
      <c r="AK244" s="14" t="s">
        <v>328</v>
      </c>
      <c r="AL244" s="14" t="s">
        <v>328</v>
      </c>
      <c r="AM244" s="14"/>
      <c r="AN244" s="13">
        <v>13000</v>
      </c>
      <c r="AO244" s="13">
        <v>13000</v>
      </c>
      <c r="AP244" s="13">
        <v>9000</v>
      </c>
      <c r="AQ244" s="13">
        <v>36000</v>
      </c>
      <c r="AR244" s="13">
        <v>13000</v>
      </c>
      <c r="AS244" s="26">
        <v>108000</v>
      </c>
      <c r="AT244" s="26">
        <v>60000</v>
      </c>
      <c r="AU244" s="26">
        <v>80000</v>
      </c>
      <c r="AV244" s="26">
        <v>4000</v>
      </c>
      <c r="AW244" s="26">
        <v>12000</v>
      </c>
      <c r="AX244" s="62">
        <v>0</v>
      </c>
      <c r="AZ244" s="14" t="s">
        <v>348</v>
      </c>
      <c r="BA244" s="249">
        <f t="shared" si="7"/>
        <v>3</v>
      </c>
      <c r="BB244" s="249">
        <v>0</v>
      </c>
      <c r="BC244" s="249">
        <f t="shared" si="6"/>
        <v>2003</v>
      </c>
    </row>
    <row r="245" spans="1:55" x14ac:dyDescent="0.25">
      <c r="A245" s="50" t="s">
        <v>1404</v>
      </c>
      <c r="B245" s="61" t="s">
        <v>514</v>
      </c>
      <c r="C245" s="14" t="s">
        <v>348</v>
      </c>
      <c r="D245" s="14">
        <v>2006</v>
      </c>
      <c r="E245" s="14" t="s">
        <v>407</v>
      </c>
      <c r="F245" s="14"/>
      <c r="G245" s="14"/>
      <c r="H245" s="14"/>
      <c r="I245" s="14"/>
      <c r="J245" s="13">
        <v>300000</v>
      </c>
      <c r="K245" s="14"/>
      <c r="L245" s="14" t="s">
        <v>328</v>
      </c>
      <c r="M245" s="14"/>
      <c r="N245" s="13">
        <v>3000</v>
      </c>
      <c r="O245" s="24">
        <v>0.5</v>
      </c>
      <c r="P245" s="14">
        <v>2</v>
      </c>
      <c r="Q245" s="14">
        <v>450</v>
      </c>
      <c r="R245" s="13">
        <v>2340</v>
      </c>
      <c r="S245" s="14" t="s">
        <v>340</v>
      </c>
      <c r="T245" s="14">
        <v>2.6</v>
      </c>
      <c r="U245" s="14">
        <v>2.6</v>
      </c>
      <c r="V245" s="25">
        <v>1077.1992818671454</v>
      </c>
      <c r="W245" s="26">
        <v>12000</v>
      </c>
      <c r="X245" s="14"/>
      <c r="Y245" s="14" t="s">
        <v>328</v>
      </c>
      <c r="Z245" s="14"/>
      <c r="AA245" s="14"/>
      <c r="AB245" s="14"/>
      <c r="AC245" s="14"/>
      <c r="AD245" s="14"/>
      <c r="AE245" s="14" t="s">
        <v>328</v>
      </c>
      <c r="AF245" s="14"/>
      <c r="AG245" s="14"/>
      <c r="AH245" s="14" t="s">
        <v>328</v>
      </c>
      <c r="AI245" s="14"/>
      <c r="AJ245" s="14"/>
      <c r="AK245" s="14" t="s">
        <v>328</v>
      </c>
      <c r="AL245" s="14" t="s">
        <v>328</v>
      </c>
      <c r="AM245" s="14"/>
      <c r="AN245" s="13">
        <v>13000</v>
      </c>
      <c r="AO245" s="13">
        <v>13000</v>
      </c>
      <c r="AP245" s="13">
        <v>9000</v>
      </c>
      <c r="AQ245" s="13">
        <v>36000</v>
      </c>
      <c r="AR245" s="13">
        <v>13000</v>
      </c>
      <c r="AS245" s="26">
        <v>108000</v>
      </c>
      <c r="AT245" s="26">
        <v>60000</v>
      </c>
      <c r="AU245" s="26">
        <v>80000</v>
      </c>
      <c r="AV245" s="26">
        <v>4000</v>
      </c>
      <c r="AW245" s="26">
        <v>12000</v>
      </c>
      <c r="AX245" s="62">
        <v>0</v>
      </c>
      <c r="AZ245" s="14" t="s">
        <v>348</v>
      </c>
      <c r="BA245" s="249">
        <f t="shared" si="7"/>
        <v>3</v>
      </c>
      <c r="BB245" s="249">
        <v>0</v>
      </c>
      <c r="BC245" s="249">
        <f t="shared" si="6"/>
        <v>2006</v>
      </c>
    </row>
    <row r="246" spans="1:55" x14ac:dyDescent="0.25">
      <c r="A246" s="50" t="s">
        <v>1404</v>
      </c>
      <c r="B246" s="61" t="s">
        <v>515</v>
      </c>
      <c r="C246" s="14" t="s">
        <v>337</v>
      </c>
      <c r="D246" s="14">
        <v>2010</v>
      </c>
      <c r="E246" s="14" t="s">
        <v>444</v>
      </c>
      <c r="F246" s="14"/>
      <c r="G246" s="14"/>
      <c r="H246" s="14"/>
      <c r="I246" s="14"/>
      <c r="J246" s="13">
        <v>500000</v>
      </c>
      <c r="K246" s="14" t="s">
        <v>328</v>
      </c>
      <c r="L246" s="14"/>
      <c r="M246" s="14"/>
      <c r="N246" s="13">
        <v>2000</v>
      </c>
      <c r="O246" s="24">
        <v>0.5</v>
      </c>
      <c r="P246" s="14">
        <v>3</v>
      </c>
      <c r="Q246" s="14">
        <v>550</v>
      </c>
      <c r="R246" s="13">
        <v>4950</v>
      </c>
      <c r="S246" s="14" t="s">
        <v>340</v>
      </c>
      <c r="T246" s="14">
        <v>3</v>
      </c>
      <c r="U246" s="14">
        <v>3.8</v>
      </c>
      <c r="V246" s="25">
        <v>628.36624775583482</v>
      </c>
      <c r="W246" s="26">
        <v>7000</v>
      </c>
      <c r="X246" s="14" t="s">
        <v>328</v>
      </c>
      <c r="Y246" s="14"/>
      <c r="Z246" s="14"/>
      <c r="AA246" s="14"/>
      <c r="AB246" s="14"/>
      <c r="AC246" s="14"/>
      <c r="AD246" s="14" t="s">
        <v>328</v>
      </c>
      <c r="AE246" s="14" t="s">
        <v>328</v>
      </c>
      <c r="AF246" s="14" t="s">
        <v>328</v>
      </c>
      <c r="AG246" s="14" t="s">
        <v>328</v>
      </c>
      <c r="AH246" s="14" t="s">
        <v>328</v>
      </c>
      <c r="AI246" s="14" t="s">
        <v>328</v>
      </c>
      <c r="AJ246" s="14" t="s">
        <v>328</v>
      </c>
      <c r="AK246" s="14" t="s">
        <v>328</v>
      </c>
      <c r="AL246" s="14" t="s">
        <v>328</v>
      </c>
      <c r="AM246" s="14" t="s">
        <v>328</v>
      </c>
      <c r="AN246" s="13">
        <v>12000</v>
      </c>
      <c r="AO246" s="13">
        <v>20000</v>
      </c>
      <c r="AP246" s="13">
        <v>15000</v>
      </c>
      <c r="AQ246" s="13">
        <v>240000</v>
      </c>
      <c r="AR246" s="13">
        <v>20000</v>
      </c>
      <c r="AS246" s="26">
        <v>130000</v>
      </c>
      <c r="AT246" s="26">
        <v>96000</v>
      </c>
      <c r="AU246" s="26">
        <v>200000</v>
      </c>
      <c r="AV246" s="26">
        <v>10000</v>
      </c>
      <c r="AW246" s="26">
        <v>10000</v>
      </c>
      <c r="AX246" s="62">
        <v>0</v>
      </c>
      <c r="AZ246" s="14" t="s">
        <v>337</v>
      </c>
      <c r="BA246" s="249">
        <f t="shared" si="7"/>
        <v>8</v>
      </c>
      <c r="BB246" s="249">
        <v>0</v>
      </c>
      <c r="BC246" s="249">
        <f t="shared" si="6"/>
        <v>2010</v>
      </c>
    </row>
    <row r="247" spans="1:55" x14ac:dyDescent="0.25">
      <c r="A247" s="50" t="s">
        <v>1404</v>
      </c>
      <c r="B247" s="61" t="s">
        <v>515</v>
      </c>
      <c r="C247" s="14" t="s">
        <v>337</v>
      </c>
      <c r="D247" s="14">
        <v>2010</v>
      </c>
      <c r="E247" s="14" t="s">
        <v>444</v>
      </c>
      <c r="F247" s="14"/>
      <c r="G247" s="14"/>
      <c r="H247" s="14"/>
      <c r="I247" s="14"/>
      <c r="J247" s="13">
        <v>500000</v>
      </c>
      <c r="K247" s="14" t="s">
        <v>328</v>
      </c>
      <c r="L247" s="14"/>
      <c r="M247" s="14"/>
      <c r="N247" s="13">
        <v>2000</v>
      </c>
      <c r="O247" s="24">
        <v>0.5</v>
      </c>
      <c r="P247" s="14">
        <v>3</v>
      </c>
      <c r="Q247" s="14">
        <v>550</v>
      </c>
      <c r="R247" s="13">
        <v>4950</v>
      </c>
      <c r="S247" s="14" t="s">
        <v>340</v>
      </c>
      <c r="T247" s="14">
        <v>3</v>
      </c>
      <c r="U247" s="14">
        <v>3.8</v>
      </c>
      <c r="V247" s="25">
        <v>628.36624775583482</v>
      </c>
      <c r="W247" s="26">
        <v>7000</v>
      </c>
      <c r="X247" s="14" t="s">
        <v>328</v>
      </c>
      <c r="Y247" s="14"/>
      <c r="Z247" s="14"/>
      <c r="AA247" s="14"/>
      <c r="AB247" s="14"/>
      <c r="AC247" s="14"/>
      <c r="AD247" s="14" t="s">
        <v>328</v>
      </c>
      <c r="AE247" s="14" t="s">
        <v>328</v>
      </c>
      <c r="AF247" s="14" t="s">
        <v>328</v>
      </c>
      <c r="AG247" s="14" t="s">
        <v>328</v>
      </c>
      <c r="AH247" s="14" t="s">
        <v>328</v>
      </c>
      <c r="AI247" s="14" t="s">
        <v>328</v>
      </c>
      <c r="AJ247" s="14" t="s">
        <v>328</v>
      </c>
      <c r="AK247" s="14" t="s">
        <v>328</v>
      </c>
      <c r="AL247" s="14" t="s">
        <v>328</v>
      </c>
      <c r="AM247" s="14" t="s">
        <v>328</v>
      </c>
      <c r="AN247" s="13">
        <v>12000</v>
      </c>
      <c r="AO247" s="13">
        <v>20000</v>
      </c>
      <c r="AP247" s="13">
        <v>15000</v>
      </c>
      <c r="AQ247" s="13">
        <v>240000</v>
      </c>
      <c r="AR247" s="13">
        <v>20000</v>
      </c>
      <c r="AS247" s="26">
        <v>130000</v>
      </c>
      <c r="AT247" s="26">
        <v>96000</v>
      </c>
      <c r="AU247" s="26">
        <v>200000</v>
      </c>
      <c r="AV247" s="26">
        <v>10000</v>
      </c>
      <c r="AW247" s="26">
        <v>10000</v>
      </c>
      <c r="AX247" s="62">
        <v>0</v>
      </c>
      <c r="AZ247" s="14" t="s">
        <v>337</v>
      </c>
      <c r="BA247" s="249">
        <f t="shared" si="7"/>
        <v>8</v>
      </c>
      <c r="BB247" s="249">
        <v>0</v>
      </c>
      <c r="BC247" s="249">
        <f t="shared" si="6"/>
        <v>2010</v>
      </c>
    </row>
    <row r="248" spans="1:55" x14ac:dyDescent="0.25">
      <c r="A248" s="50" t="s">
        <v>1404</v>
      </c>
      <c r="B248" s="61" t="s">
        <v>515</v>
      </c>
      <c r="C248" s="14" t="s">
        <v>337</v>
      </c>
      <c r="D248" s="14">
        <v>2010</v>
      </c>
      <c r="E248" s="14" t="s">
        <v>444</v>
      </c>
      <c r="F248" s="14"/>
      <c r="G248" s="14"/>
      <c r="H248" s="14"/>
      <c r="I248" s="14"/>
      <c r="J248" s="13">
        <v>500000</v>
      </c>
      <c r="K248" s="14" t="s">
        <v>328</v>
      </c>
      <c r="L248" s="14"/>
      <c r="M248" s="14"/>
      <c r="N248" s="13">
        <v>2000</v>
      </c>
      <c r="O248" s="24">
        <v>0.5</v>
      </c>
      <c r="P248" s="14">
        <v>3</v>
      </c>
      <c r="Q248" s="14">
        <v>550</v>
      </c>
      <c r="R248" s="13">
        <v>4950</v>
      </c>
      <c r="S248" s="14" t="s">
        <v>340</v>
      </c>
      <c r="T248" s="14">
        <v>3</v>
      </c>
      <c r="U248" s="14">
        <v>3.8</v>
      </c>
      <c r="V248" s="25">
        <v>628.36624775583482</v>
      </c>
      <c r="W248" s="26">
        <v>7000</v>
      </c>
      <c r="X248" s="14" t="s">
        <v>328</v>
      </c>
      <c r="Y248" s="14"/>
      <c r="Z248" s="14"/>
      <c r="AA248" s="14"/>
      <c r="AB248" s="14"/>
      <c r="AC248" s="14"/>
      <c r="AD248" s="14" t="s">
        <v>328</v>
      </c>
      <c r="AE248" s="14" t="s">
        <v>328</v>
      </c>
      <c r="AF248" s="14" t="s">
        <v>328</v>
      </c>
      <c r="AG248" s="14" t="s">
        <v>328</v>
      </c>
      <c r="AH248" s="14" t="s">
        <v>328</v>
      </c>
      <c r="AI248" s="14" t="s">
        <v>328</v>
      </c>
      <c r="AJ248" s="14" t="s">
        <v>328</v>
      </c>
      <c r="AK248" s="14" t="s">
        <v>328</v>
      </c>
      <c r="AL248" s="14" t="s">
        <v>328</v>
      </c>
      <c r="AM248" s="14" t="s">
        <v>328</v>
      </c>
      <c r="AN248" s="13">
        <v>12000</v>
      </c>
      <c r="AO248" s="13">
        <v>20000</v>
      </c>
      <c r="AP248" s="13">
        <v>15000</v>
      </c>
      <c r="AQ248" s="13">
        <v>240000</v>
      </c>
      <c r="AR248" s="13">
        <v>20000</v>
      </c>
      <c r="AS248" s="26">
        <v>130000</v>
      </c>
      <c r="AT248" s="26">
        <v>96000</v>
      </c>
      <c r="AU248" s="26">
        <v>200000</v>
      </c>
      <c r="AV248" s="26">
        <v>10000</v>
      </c>
      <c r="AW248" s="26">
        <v>10000</v>
      </c>
      <c r="AX248" s="62">
        <v>0</v>
      </c>
      <c r="AZ248" s="14" t="s">
        <v>337</v>
      </c>
      <c r="BA248" s="249">
        <f t="shared" si="7"/>
        <v>8</v>
      </c>
      <c r="BB248" s="249">
        <v>0</v>
      </c>
      <c r="BC248" s="249">
        <f t="shared" si="6"/>
        <v>2010</v>
      </c>
    </row>
    <row r="249" spans="1:55" x14ac:dyDescent="0.25">
      <c r="A249" s="50" t="s">
        <v>1404</v>
      </c>
      <c r="B249" s="61" t="s">
        <v>515</v>
      </c>
      <c r="C249" s="14" t="s">
        <v>337</v>
      </c>
      <c r="D249" s="14">
        <v>2010</v>
      </c>
      <c r="E249" s="14" t="s">
        <v>444</v>
      </c>
      <c r="F249" s="14"/>
      <c r="G249" s="14"/>
      <c r="H249" s="14"/>
      <c r="I249" s="14"/>
      <c r="J249" s="13">
        <v>500000</v>
      </c>
      <c r="K249" s="14" t="s">
        <v>328</v>
      </c>
      <c r="L249" s="14"/>
      <c r="M249" s="14"/>
      <c r="N249" s="13">
        <v>2000</v>
      </c>
      <c r="O249" s="24">
        <v>0.5</v>
      </c>
      <c r="P249" s="14">
        <v>3</v>
      </c>
      <c r="Q249" s="14">
        <v>550</v>
      </c>
      <c r="R249" s="13">
        <v>4950</v>
      </c>
      <c r="S249" s="14" t="s">
        <v>340</v>
      </c>
      <c r="T249" s="14">
        <v>3</v>
      </c>
      <c r="U249" s="14">
        <v>3.8</v>
      </c>
      <c r="V249" s="25">
        <v>628.36624775583482</v>
      </c>
      <c r="W249" s="26">
        <v>7000</v>
      </c>
      <c r="X249" s="14" t="s">
        <v>328</v>
      </c>
      <c r="Y249" s="14"/>
      <c r="Z249" s="14"/>
      <c r="AA249" s="14"/>
      <c r="AB249" s="14"/>
      <c r="AC249" s="14"/>
      <c r="AD249" s="14" t="s">
        <v>328</v>
      </c>
      <c r="AE249" s="14" t="s">
        <v>328</v>
      </c>
      <c r="AF249" s="14" t="s">
        <v>328</v>
      </c>
      <c r="AG249" s="14" t="s">
        <v>328</v>
      </c>
      <c r="AH249" s="14" t="s">
        <v>328</v>
      </c>
      <c r="AI249" s="14" t="s">
        <v>328</v>
      </c>
      <c r="AJ249" s="14" t="s">
        <v>328</v>
      </c>
      <c r="AK249" s="14" t="s">
        <v>328</v>
      </c>
      <c r="AL249" s="14" t="s">
        <v>328</v>
      </c>
      <c r="AM249" s="14" t="s">
        <v>328</v>
      </c>
      <c r="AN249" s="13">
        <v>12000</v>
      </c>
      <c r="AO249" s="13">
        <v>20000</v>
      </c>
      <c r="AP249" s="13">
        <v>15000</v>
      </c>
      <c r="AQ249" s="13">
        <v>240000</v>
      </c>
      <c r="AR249" s="13">
        <v>20000</v>
      </c>
      <c r="AS249" s="26">
        <v>130000</v>
      </c>
      <c r="AT249" s="26">
        <v>96000</v>
      </c>
      <c r="AU249" s="26">
        <v>200000</v>
      </c>
      <c r="AV249" s="26">
        <v>10000</v>
      </c>
      <c r="AW249" s="26">
        <v>10000</v>
      </c>
      <c r="AX249" s="62">
        <v>0</v>
      </c>
      <c r="AZ249" s="14" t="s">
        <v>337</v>
      </c>
      <c r="BA249" s="249">
        <f t="shared" si="7"/>
        <v>8</v>
      </c>
      <c r="BB249" s="249">
        <v>0</v>
      </c>
      <c r="BC249" s="249">
        <f t="shared" si="6"/>
        <v>2010</v>
      </c>
    </row>
    <row r="250" spans="1:55" x14ac:dyDescent="0.25">
      <c r="A250" s="50" t="s">
        <v>1404</v>
      </c>
      <c r="B250" s="61" t="s">
        <v>515</v>
      </c>
      <c r="C250" s="14" t="s">
        <v>337</v>
      </c>
      <c r="D250" s="14">
        <v>2010</v>
      </c>
      <c r="E250" s="14" t="s">
        <v>444</v>
      </c>
      <c r="F250" s="14"/>
      <c r="G250" s="14"/>
      <c r="H250" s="14"/>
      <c r="I250" s="14"/>
      <c r="J250" s="13">
        <v>500000</v>
      </c>
      <c r="K250" s="14" t="s">
        <v>328</v>
      </c>
      <c r="L250" s="14"/>
      <c r="M250" s="14"/>
      <c r="N250" s="13">
        <v>2000</v>
      </c>
      <c r="O250" s="24">
        <v>0.5</v>
      </c>
      <c r="P250" s="14">
        <v>3</v>
      </c>
      <c r="Q250" s="14">
        <v>550</v>
      </c>
      <c r="R250" s="13">
        <v>4950</v>
      </c>
      <c r="S250" s="14" t="s">
        <v>340</v>
      </c>
      <c r="T250" s="14">
        <v>3</v>
      </c>
      <c r="U250" s="14">
        <v>3.8</v>
      </c>
      <c r="V250" s="25">
        <v>628.36624775583482</v>
      </c>
      <c r="W250" s="26">
        <v>7000</v>
      </c>
      <c r="X250" s="14" t="s">
        <v>328</v>
      </c>
      <c r="Y250" s="14"/>
      <c r="Z250" s="14"/>
      <c r="AA250" s="14"/>
      <c r="AB250" s="14"/>
      <c r="AC250" s="14"/>
      <c r="AD250" s="14" t="s">
        <v>328</v>
      </c>
      <c r="AE250" s="14" t="s">
        <v>328</v>
      </c>
      <c r="AF250" s="14" t="s">
        <v>328</v>
      </c>
      <c r="AG250" s="14" t="s">
        <v>328</v>
      </c>
      <c r="AH250" s="14" t="s">
        <v>328</v>
      </c>
      <c r="AI250" s="14" t="s">
        <v>328</v>
      </c>
      <c r="AJ250" s="14" t="s">
        <v>328</v>
      </c>
      <c r="AK250" s="14" t="s">
        <v>328</v>
      </c>
      <c r="AL250" s="14" t="s">
        <v>328</v>
      </c>
      <c r="AM250" s="14" t="s">
        <v>328</v>
      </c>
      <c r="AN250" s="13">
        <v>12000</v>
      </c>
      <c r="AO250" s="13">
        <v>20000</v>
      </c>
      <c r="AP250" s="13">
        <v>15000</v>
      </c>
      <c r="AQ250" s="13">
        <v>240000</v>
      </c>
      <c r="AR250" s="13">
        <v>20000</v>
      </c>
      <c r="AS250" s="26">
        <v>130000</v>
      </c>
      <c r="AT250" s="26">
        <v>96000</v>
      </c>
      <c r="AU250" s="26">
        <v>200000</v>
      </c>
      <c r="AV250" s="26">
        <v>10000</v>
      </c>
      <c r="AW250" s="26">
        <v>10000</v>
      </c>
      <c r="AX250" s="62">
        <v>0</v>
      </c>
      <c r="AZ250" s="14" t="s">
        <v>337</v>
      </c>
      <c r="BA250" s="249">
        <f t="shared" si="7"/>
        <v>8</v>
      </c>
      <c r="BB250" s="249">
        <v>0</v>
      </c>
      <c r="BC250" s="249">
        <f t="shared" si="6"/>
        <v>2010</v>
      </c>
    </row>
    <row r="251" spans="1:55" x14ac:dyDescent="0.25">
      <c r="A251" s="50" t="s">
        <v>1404</v>
      </c>
      <c r="B251" s="61" t="s">
        <v>515</v>
      </c>
      <c r="C251" s="14" t="s">
        <v>337</v>
      </c>
      <c r="D251" s="14">
        <v>2010</v>
      </c>
      <c r="E251" s="14" t="s">
        <v>444</v>
      </c>
      <c r="F251" s="14"/>
      <c r="G251" s="14"/>
      <c r="H251" s="14"/>
      <c r="I251" s="14"/>
      <c r="J251" s="13">
        <v>500000</v>
      </c>
      <c r="K251" s="14" t="s">
        <v>328</v>
      </c>
      <c r="L251" s="14"/>
      <c r="M251" s="14"/>
      <c r="N251" s="13">
        <v>2000</v>
      </c>
      <c r="O251" s="24">
        <v>0.5</v>
      </c>
      <c r="P251" s="14">
        <v>3</v>
      </c>
      <c r="Q251" s="14">
        <v>550</v>
      </c>
      <c r="R251" s="13">
        <v>4950</v>
      </c>
      <c r="S251" s="14" t="s">
        <v>340</v>
      </c>
      <c r="T251" s="14">
        <v>3</v>
      </c>
      <c r="U251" s="14">
        <v>3.8</v>
      </c>
      <c r="V251" s="25">
        <v>628.36624775583482</v>
      </c>
      <c r="W251" s="26">
        <v>7000</v>
      </c>
      <c r="X251" s="14" t="s">
        <v>328</v>
      </c>
      <c r="Y251" s="14"/>
      <c r="Z251" s="14"/>
      <c r="AA251" s="14"/>
      <c r="AB251" s="14"/>
      <c r="AC251" s="14"/>
      <c r="AD251" s="14" t="s">
        <v>328</v>
      </c>
      <c r="AE251" s="14" t="s">
        <v>328</v>
      </c>
      <c r="AF251" s="14" t="s">
        <v>328</v>
      </c>
      <c r="AG251" s="14" t="s">
        <v>328</v>
      </c>
      <c r="AH251" s="14" t="s">
        <v>328</v>
      </c>
      <c r="AI251" s="14" t="s">
        <v>328</v>
      </c>
      <c r="AJ251" s="14" t="s">
        <v>328</v>
      </c>
      <c r="AK251" s="14" t="s">
        <v>328</v>
      </c>
      <c r="AL251" s="14" t="s">
        <v>328</v>
      </c>
      <c r="AM251" s="14" t="s">
        <v>328</v>
      </c>
      <c r="AN251" s="13">
        <v>12000</v>
      </c>
      <c r="AO251" s="13">
        <v>20000</v>
      </c>
      <c r="AP251" s="13">
        <v>15000</v>
      </c>
      <c r="AQ251" s="13">
        <v>240000</v>
      </c>
      <c r="AR251" s="13">
        <v>20000</v>
      </c>
      <c r="AS251" s="26">
        <v>130000</v>
      </c>
      <c r="AT251" s="26">
        <v>96000</v>
      </c>
      <c r="AU251" s="26">
        <v>200000</v>
      </c>
      <c r="AV251" s="26">
        <v>10000</v>
      </c>
      <c r="AW251" s="26">
        <v>10000</v>
      </c>
      <c r="AX251" s="62">
        <v>0</v>
      </c>
      <c r="AZ251" s="14" t="s">
        <v>337</v>
      </c>
      <c r="BA251" s="249">
        <f t="shared" si="7"/>
        <v>8</v>
      </c>
      <c r="BB251" s="249">
        <v>0</v>
      </c>
      <c r="BC251" s="249">
        <f t="shared" si="6"/>
        <v>2010</v>
      </c>
    </row>
    <row r="252" spans="1:55" x14ac:dyDescent="0.25">
      <c r="A252" s="50" t="s">
        <v>1404</v>
      </c>
      <c r="B252" s="61" t="s">
        <v>515</v>
      </c>
      <c r="C252" s="14" t="s">
        <v>337</v>
      </c>
      <c r="D252" s="14">
        <v>2010</v>
      </c>
      <c r="E252" s="14" t="s">
        <v>444</v>
      </c>
      <c r="F252" s="14"/>
      <c r="G252" s="14"/>
      <c r="H252" s="14"/>
      <c r="I252" s="14"/>
      <c r="J252" s="13">
        <v>500000</v>
      </c>
      <c r="K252" s="14" t="s">
        <v>328</v>
      </c>
      <c r="L252" s="14"/>
      <c r="M252" s="14"/>
      <c r="N252" s="13">
        <v>2000</v>
      </c>
      <c r="O252" s="24">
        <v>0.5</v>
      </c>
      <c r="P252" s="14">
        <v>3</v>
      </c>
      <c r="Q252" s="14">
        <v>550</v>
      </c>
      <c r="R252" s="13">
        <v>4950</v>
      </c>
      <c r="S252" s="14" t="s">
        <v>340</v>
      </c>
      <c r="T252" s="14">
        <v>3</v>
      </c>
      <c r="U252" s="14">
        <v>3.8</v>
      </c>
      <c r="V252" s="25">
        <v>628.36624775583482</v>
      </c>
      <c r="W252" s="26">
        <v>7000</v>
      </c>
      <c r="X252" s="14" t="s">
        <v>328</v>
      </c>
      <c r="Y252" s="14"/>
      <c r="Z252" s="14"/>
      <c r="AA252" s="14"/>
      <c r="AB252" s="14"/>
      <c r="AC252" s="14"/>
      <c r="AD252" s="14" t="s">
        <v>328</v>
      </c>
      <c r="AE252" s="14" t="s">
        <v>328</v>
      </c>
      <c r="AF252" s="14" t="s">
        <v>328</v>
      </c>
      <c r="AG252" s="14" t="s">
        <v>328</v>
      </c>
      <c r="AH252" s="14" t="s">
        <v>328</v>
      </c>
      <c r="AI252" s="14" t="s">
        <v>328</v>
      </c>
      <c r="AJ252" s="14" t="s">
        <v>328</v>
      </c>
      <c r="AK252" s="14" t="s">
        <v>328</v>
      </c>
      <c r="AL252" s="14" t="s">
        <v>328</v>
      </c>
      <c r="AM252" s="14" t="s">
        <v>328</v>
      </c>
      <c r="AN252" s="13">
        <v>12000</v>
      </c>
      <c r="AO252" s="13">
        <v>20000</v>
      </c>
      <c r="AP252" s="13">
        <v>15000</v>
      </c>
      <c r="AQ252" s="13">
        <v>240000</v>
      </c>
      <c r="AR252" s="13">
        <v>20000</v>
      </c>
      <c r="AS252" s="26">
        <v>130000</v>
      </c>
      <c r="AT252" s="26">
        <v>96000</v>
      </c>
      <c r="AU252" s="26">
        <v>200000</v>
      </c>
      <c r="AV252" s="26">
        <v>10000</v>
      </c>
      <c r="AW252" s="26">
        <v>10000</v>
      </c>
      <c r="AX252" s="62">
        <v>0</v>
      </c>
      <c r="AZ252" s="14" t="s">
        <v>337</v>
      </c>
      <c r="BA252" s="249">
        <f t="shared" si="7"/>
        <v>8</v>
      </c>
      <c r="BB252" s="249">
        <v>0</v>
      </c>
      <c r="BC252" s="249">
        <f t="shared" si="6"/>
        <v>2010</v>
      </c>
    </row>
    <row r="253" spans="1:55" s="1" customFormat="1" x14ac:dyDescent="0.25">
      <c r="A253" s="50" t="s">
        <v>1404</v>
      </c>
      <c r="B253" s="61" t="s">
        <v>515</v>
      </c>
      <c r="C253" s="14" t="s">
        <v>337</v>
      </c>
      <c r="D253" s="14">
        <v>2010</v>
      </c>
      <c r="E253" s="14" t="s">
        <v>444</v>
      </c>
      <c r="F253" s="14"/>
      <c r="G253" s="14"/>
      <c r="H253" s="14"/>
      <c r="I253" s="14"/>
      <c r="J253" s="13">
        <v>500000</v>
      </c>
      <c r="K253" s="14" t="s">
        <v>328</v>
      </c>
      <c r="L253" s="14"/>
      <c r="M253" s="14"/>
      <c r="N253" s="13">
        <v>2000</v>
      </c>
      <c r="O253" s="24">
        <v>0.5</v>
      </c>
      <c r="P253" s="14">
        <v>3</v>
      </c>
      <c r="Q253" s="14">
        <v>550</v>
      </c>
      <c r="R253" s="13">
        <v>4950</v>
      </c>
      <c r="S253" s="14" t="s">
        <v>340</v>
      </c>
      <c r="T253" s="14">
        <v>3</v>
      </c>
      <c r="U253" s="14">
        <v>3.8</v>
      </c>
      <c r="V253" s="25">
        <v>628.36624775583482</v>
      </c>
      <c r="W253" s="26">
        <v>7000</v>
      </c>
      <c r="X253" s="14" t="s">
        <v>328</v>
      </c>
      <c r="Y253" s="14"/>
      <c r="Z253" s="14"/>
      <c r="AA253" s="14"/>
      <c r="AB253" s="14"/>
      <c r="AC253" s="14"/>
      <c r="AD253" s="14" t="s">
        <v>328</v>
      </c>
      <c r="AE253" s="14" t="s">
        <v>328</v>
      </c>
      <c r="AF253" s="14" t="s">
        <v>328</v>
      </c>
      <c r="AG253" s="14" t="s">
        <v>328</v>
      </c>
      <c r="AH253" s="14" t="s">
        <v>328</v>
      </c>
      <c r="AI253" s="14" t="s">
        <v>328</v>
      </c>
      <c r="AJ253" s="14" t="s">
        <v>328</v>
      </c>
      <c r="AK253" s="14" t="s">
        <v>328</v>
      </c>
      <c r="AL253" s="14" t="s">
        <v>328</v>
      </c>
      <c r="AM253" s="14" t="s">
        <v>328</v>
      </c>
      <c r="AN253" s="13">
        <v>12000</v>
      </c>
      <c r="AO253" s="13">
        <v>20000</v>
      </c>
      <c r="AP253" s="13">
        <v>15000</v>
      </c>
      <c r="AQ253" s="13">
        <v>240000</v>
      </c>
      <c r="AR253" s="13">
        <v>20000</v>
      </c>
      <c r="AS253" s="26">
        <v>130000</v>
      </c>
      <c r="AT253" s="26">
        <v>96000</v>
      </c>
      <c r="AU253" s="26">
        <v>200000</v>
      </c>
      <c r="AV253" s="26">
        <v>10000</v>
      </c>
      <c r="AW253" s="26">
        <v>10000</v>
      </c>
      <c r="AX253" s="62">
        <v>0</v>
      </c>
      <c r="AZ253" s="14" t="s">
        <v>337</v>
      </c>
      <c r="BA253" s="249">
        <f t="shared" si="7"/>
        <v>8</v>
      </c>
      <c r="BB253" s="249">
        <v>0</v>
      </c>
      <c r="BC253" s="249">
        <f t="shared" si="6"/>
        <v>2010</v>
      </c>
    </row>
    <row r="254" spans="1:55" s="1" customFormat="1" x14ac:dyDescent="0.25">
      <c r="A254" s="50" t="s">
        <v>1404</v>
      </c>
      <c r="B254" s="61" t="s">
        <v>517</v>
      </c>
      <c r="C254" s="14" t="s">
        <v>337</v>
      </c>
      <c r="D254" s="14">
        <v>2011</v>
      </c>
      <c r="E254" s="14" t="s">
        <v>338</v>
      </c>
      <c r="F254" s="14"/>
      <c r="G254" s="14"/>
      <c r="H254" s="14"/>
      <c r="I254" s="14"/>
      <c r="J254" s="13">
        <v>300000</v>
      </c>
      <c r="K254" s="14" t="s">
        <v>328</v>
      </c>
      <c r="L254" s="14"/>
      <c r="M254" s="14"/>
      <c r="N254" s="13">
        <v>4000</v>
      </c>
      <c r="O254" s="24">
        <v>0.5</v>
      </c>
      <c r="P254" s="14">
        <v>2</v>
      </c>
      <c r="Q254" s="14">
        <v>450</v>
      </c>
      <c r="R254" s="13">
        <v>2070</v>
      </c>
      <c r="S254" s="14" t="s">
        <v>340</v>
      </c>
      <c r="T254" s="14">
        <v>2.2999999999999998</v>
      </c>
      <c r="U254" s="14">
        <v>2.2999999999999998</v>
      </c>
      <c r="V254" s="25">
        <v>1166.9658886894074</v>
      </c>
      <c r="W254" s="26">
        <v>13000</v>
      </c>
      <c r="X254" s="14"/>
      <c r="Y254" s="14" t="s">
        <v>328</v>
      </c>
      <c r="Z254" s="14"/>
      <c r="AA254" s="14"/>
      <c r="AB254" s="14"/>
      <c r="AC254" s="14"/>
      <c r="AD254" s="14" t="s">
        <v>328</v>
      </c>
      <c r="AE254" s="14" t="s">
        <v>328</v>
      </c>
      <c r="AF254" s="14"/>
      <c r="AG254" s="14" t="s">
        <v>328</v>
      </c>
      <c r="AH254" s="14" t="s">
        <v>328</v>
      </c>
      <c r="AI254" s="14" t="s">
        <v>328</v>
      </c>
      <c r="AJ254" s="14"/>
      <c r="AK254" s="14" t="s">
        <v>328</v>
      </c>
      <c r="AL254" s="14" t="s">
        <v>328</v>
      </c>
      <c r="AM254" s="14" t="s">
        <v>328</v>
      </c>
      <c r="AN254" s="13">
        <v>8000</v>
      </c>
      <c r="AO254" s="13">
        <v>12000</v>
      </c>
      <c r="AP254" s="13">
        <v>9000</v>
      </c>
      <c r="AQ254" s="13">
        <v>150000</v>
      </c>
      <c r="AR254" s="13">
        <v>12000</v>
      </c>
      <c r="AS254" s="26">
        <v>108000</v>
      </c>
      <c r="AT254" s="26">
        <v>42000</v>
      </c>
      <c r="AU254" s="26">
        <v>80000</v>
      </c>
      <c r="AV254" s="26">
        <v>5000</v>
      </c>
      <c r="AW254" s="26">
        <v>10000</v>
      </c>
      <c r="AX254" s="62">
        <v>0</v>
      </c>
      <c r="AZ254" s="14" t="s">
        <v>337</v>
      </c>
      <c r="BA254" s="249">
        <f t="shared" si="7"/>
        <v>1</v>
      </c>
      <c r="BB254" s="249">
        <v>0</v>
      </c>
      <c r="BC254" s="249">
        <f t="shared" si="6"/>
        <v>2011</v>
      </c>
    </row>
    <row r="255" spans="1:55" x14ac:dyDescent="0.25">
      <c r="A255" s="50" t="s">
        <v>1855</v>
      </c>
      <c r="B255" s="61" t="s">
        <v>518</v>
      </c>
      <c r="C255" s="14" t="s">
        <v>337</v>
      </c>
      <c r="D255" s="14">
        <v>1998</v>
      </c>
      <c r="E255" s="14" t="s">
        <v>407</v>
      </c>
      <c r="F255" s="14"/>
      <c r="G255" s="14"/>
      <c r="H255" s="14"/>
      <c r="I255" s="14"/>
      <c r="J255" s="13">
        <v>915238</v>
      </c>
      <c r="K255" s="14"/>
      <c r="L255" s="14" t="s">
        <v>328</v>
      </c>
      <c r="M255" s="14"/>
      <c r="N255" s="13" t="s">
        <v>396</v>
      </c>
      <c r="O255" s="24">
        <v>0.05</v>
      </c>
      <c r="P255" s="14">
        <v>3</v>
      </c>
      <c r="Q255" s="14">
        <v>1250</v>
      </c>
      <c r="R255" s="13">
        <v>9750</v>
      </c>
      <c r="S255" s="14" t="s">
        <v>340</v>
      </c>
      <c r="T255" s="14">
        <v>2.6</v>
      </c>
      <c r="U255" s="14">
        <v>3.2</v>
      </c>
      <c r="V255" s="25">
        <v>4500</v>
      </c>
      <c r="W255" s="44">
        <v>63630</v>
      </c>
      <c r="X255" s="14"/>
      <c r="Y255" s="14" t="s">
        <v>328</v>
      </c>
      <c r="Z255" s="14"/>
      <c r="AA255" s="14"/>
      <c r="AB255" s="14"/>
      <c r="AC255" s="14"/>
      <c r="AD255" s="14" t="s">
        <v>328</v>
      </c>
      <c r="AE255" s="14"/>
      <c r="AF255" s="14"/>
      <c r="AG255" s="14"/>
      <c r="AH255" s="14"/>
      <c r="AI255" s="14" t="s">
        <v>328</v>
      </c>
      <c r="AJ255" s="14"/>
      <c r="AK255" s="14"/>
      <c r="AL255" s="14" t="s">
        <v>328</v>
      </c>
      <c r="AM255" s="14"/>
      <c r="AN255" s="13">
        <v>18000</v>
      </c>
      <c r="AO255" s="13">
        <v>18000</v>
      </c>
      <c r="AP255" s="13">
        <v>260000</v>
      </c>
      <c r="AQ255" s="13">
        <v>150000</v>
      </c>
      <c r="AR255" s="13">
        <v>18000</v>
      </c>
      <c r="AS255" s="26">
        <v>168000</v>
      </c>
      <c r="AT255" s="26">
        <v>0</v>
      </c>
      <c r="AU255" s="26">
        <v>60000</v>
      </c>
      <c r="AV255" s="26">
        <v>15000</v>
      </c>
      <c r="AW255" s="26">
        <v>36000</v>
      </c>
      <c r="AX255" s="62">
        <v>0</v>
      </c>
      <c r="AY255" s="17" t="s">
        <v>708</v>
      </c>
      <c r="AZ255" s="14" t="s">
        <v>337</v>
      </c>
      <c r="BA255" s="249">
        <f t="shared" si="7"/>
        <v>6</v>
      </c>
      <c r="BB255" s="249">
        <v>0</v>
      </c>
      <c r="BC255" s="249">
        <f t="shared" si="6"/>
        <v>1998</v>
      </c>
    </row>
    <row r="256" spans="1:55" x14ac:dyDescent="0.25">
      <c r="A256" s="50" t="s">
        <v>1855</v>
      </c>
      <c r="B256" s="61" t="s">
        <v>518</v>
      </c>
      <c r="C256" s="14" t="s">
        <v>337</v>
      </c>
      <c r="D256" s="14">
        <v>2001</v>
      </c>
      <c r="E256" s="14" t="s">
        <v>407</v>
      </c>
      <c r="F256" s="14"/>
      <c r="G256" s="14"/>
      <c r="H256" s="14"/>
      <c r="I256" s="14"/>
      <c r="J256" s="13">
        <v>737212</v>
      </c>
      <c r="K256" s="14" t="s">
        <v>328</v>
      </c>
      <c r="L256" s="14"/>
      <c r="M256" s="14"/>
      <c r="N256" s="13" t="s">
        <v>396</v>
      </c>
      <c r="O256" s="24">
        <v>0.05</v>
      </c>
      <c r="P256" s="14">
        <v>2</v>
      </c>
      <c r="Q256" s="14">
        <v>1200</v>
      </c>
      <c r="R256" s="13">
        <v>6480</v>
      </c>
      <c r="S256" s="14" t="s">
        <v>340</v>
      </c>
      <c r="T256" s="14">
        <v>2.7</v>
      </c>
      <c r="U256" s="14">
        <v>3.2</v>
      </c>
      <c r="V256" s="25">
        <v>4500</v>
      </c>
      <c r="W256" s="44">
        <v>63630</v>
      </c>
      <c r="X256" s="14"/>
      <c r="Y256" s="14" t="s">
        <v>328</v>
      </c>
      <c r="Z256" s="14"/>
      <c r="AA256" s="14"/>
      <c r="AB256" s="14"/>
      <c r="AC256" s="14"/>
      <c r="AD256" s="14" t="s">
        <v>328</v>
      </c>
      <c r="AE256" s="14"/>
      <c r="AF256" s="14"/>
      <c r="AG256" s="14"/>
      <c r="AH256" s="14"/>
      <c r="AI256" s="14" t="s">
        <v>328</v>
      </c>
      <c r="AJ256" s="14"/>
      <c r="AK256" s="14"/>
      <c r="AL256" s="14" t="s">
        <v>328</v>
      </c>
      <c r="AM256" s="14"/>
      <c r="AN256" s="13">
        <v>18000</v>
      </c>
      <c r="AO256" s="13">
        <v>18000</v>
      </c>
      <c r="AP256" s="13">
        <v>260000</v>
      </c>
      <c r="AQ256" s="13">
        <v>150000</v>
      </c>
      <c r="AR256" s="13">
        <v>18000</v>
      </c>
      <c r="AS256" s="26">
        <v>168000</v>
      </c>
      <c r="AT256" s="26">
        <v>0</v>
      </c>
      <c r="AU256" s="26">
        <v>60000</v>
      </c>
      <c r="AV256" s="26">
        <v>15000</v>
      </c>
      <c r="AW256" s="26">
        <v>36000</v>
      </c>
      <c r="AX256" s="62">
        <v>0</v>
      </c>
      <c r="AY256" s="17" t="s">
        <v>708</v>
      </c>
      <c r="AZ256" s="14" t="s">
        <v>337</v>
      </c>
      <c r="BA256" s="249">
        <f t="shared" si="7"/>
        <v>6</v>
      </c>
      <c r="BB256" s="249">
        <v>0</v>
      </c>
      <c r="BC256" s="249">
        <f t="shared" si="6"/>
        <v>2001</v>
      </c>
    </row>
    <row r="257" spans="1:55" x14ac:dyDescent="0.25">
      <c r="A257" s="50" t="s">
        <v>1855</v>
      </c>
      <c r="B257" s="61" t="s">
        <v>518</v>
      </c>
      <c r="C257" s="14" t="s">
        <v>337</v>
      </c>
      <c r="D257" s="14">
        <v>2002</v>
      </c>
      <c r="E257" s="14" t="s">
        <v>475</v>
      </c>
      <c r="F257" s="14"/>
      <c r="G257" s="14"/>
      <c r="H257" s="14"/>
      <c r="I257" s="14"/>
      <c r="J257" s="13">
        <v>822111</v>
      </c>
      <c r="K257" s="14"/>
      <c r="L257" s="14" t="s">
        <v>328</v>
      </c>
      <c r="M257" s="14"/>
      <c r="N257" s="13" t="s">
        <v>396</v>
      </c>
      <c r="O257" s="24">
        <v>0.05</v>
      </c>
      <c r="P257" s="14">
        <v>2</v>
      </c>
      <c r="Q257" s="14">
        <v>1200</v>
      </c>
      <c r="R257" s="13">
        <v>3960</v>
      </c>
      <c r="S257" s="14" t="s">
        <v>340</v>
      </c>
      <c r="T257" s="14">
        <v>1.65</v>
      </c>
      <c r="U257" s="14">
        <v>2.65</v>
      </c>
      <c r="V257" s="25">
        <v>4500</v>
      </c>
      <c r="W257" s="44">
        <v>63630</v>
      </c>
      <c r="X257" s="14"/>
      <c r="Y257" s="14" t="s">
        <v>328</v>
      </c>
      <c r="Z257" s="14"/>
      <c r="AA257" s="14"/>
      <c r="AB257" s="14"/>
      <c r="AC257" s="14"/>
      <c r="AD257" s="14" t="s">
        <v>328</v>
      </c>
      <c r="AE257" s="14"/>
      <c r="AF257" s="14"/>
      <c r="AG257" s="14"/>
      <c r="AH257" s="14"/>
      <c r="AI257" s="14" t="s">
        <v>328</v>
      </c>
      <c r="AJ257" s="14"/>
      <c r="AK257" s="14"/>
      <c r="AL257" s="14" t="s">
        <v>328</v>
      </c>
      <c r="AM257" s="14"/>
      <c r="AN257" s="13">
        <v>16000</v>
      </c>
      <c r="AO257" s="13">
        <v>16000</v>
      </c>
      <c r="AP257" s="13">
        <v>260000</v>
      </c>
      <c r="AQ257" s="13">
        <v>150000</v>
      </c>
      <c r="AR257" s="13">
        <v>16000</v>
      </c>
      <c r="AS257" s="26">
        <v>264000</v>
      </c>
      <c r="AT257" s="26">
        <v>0</v>
      </c>
      <c r="AU257" s="26">
        <v>150000</v>
      </c>
      <c r="AV257" s="26">
        <v>25000</v>
      </c>
      <c r="AW257" s="26">
        <v>40000</v>
      </c>
      <c r="AX257" s="62">
        <v>0</v>
      </c>
      <c r="AY257" s="17" t="s">
        <v>585</v>
      </c>
      <c r="AZ257" s="14" t="s">
        <v>337</v>
      </c>
      <c r="BA257" s="249">
        <f t="shared" si="7"/>
        <v>6</v>
      </c>
      <c r="BB257" s="249">
        <v>0</v>
      </c>
      <c r="BC257" s="249">
        <f t="shared" si="6"/>
        <v>2002</v>
      </c>
    </row>
    <row r="258" spans="1:55" x14ac:dyDescent="0.25">
      <c r="A258" s="50" t="s">
        <v>1855</v>
      </c>
      <c r="B258" s="61" t="s">
        <v>518</v>
      </c>
      <c r="C258" s="14" t="s">
        <v>337</v>
      </c>
      <c r="D258" s="14">
        <v>2002</v>
      </c>
      <c r="E258" s="14" t="s">
        <v>475</v>
      </c>
      <c r="F258" s="14"/>
      <c r="G258" s="14"/>
      <c r="H258" s="14"/>
      <c r="I258" s="14"/>
      <c r="J258" s="13">
        <v>715613</v>
      </c>
      <c r="K258" s="14"/>
      <c r="L258" s="14" t="s">
        <v>328</v>
      </c>
      <c r="M258" s="14"/>
      <c r="N258" s="13" t="s">
        <v>396</v>
      </c>
      <c r="O258" s="24">
        <v>0.05</v>
      </c>
      <c r="P258" s="14">
        <v>2</v>
      </c>
      <c r="Q258" s="14">
        <v>1200</v>
      </c>
      <c r="R258" s="13">
        <v>3960</v>
      </c>
      <c r="S258" s="14" t="s">
        <v>340</v>
      </c>
      <c r="T258" s="14">
        <v>1.65</v>
      </c>
      <c r="U258" s="14">
        <v>2.65</v>
      </c>
      <c r="V258" s="25">
        <v>4500</v>
      </c>
      <c r="W258" s="44">
        <v>63630</v>
      </c>
      <c r="X258" s="14"/>
      <c r="Y258" s="14" t="s">
        <v>328</v>
      </c>
      <c r="Z258" s="14"/>
      <c r="AA258" s="14"/>
      <c r="AB258" s="14"/>
      <c r="AC258" s="14"/>
      <c r="AD258" s="14" t="s">
        <v>328</v>
      </c>
      <c r="AE258" s="14"/>
      <c r="AF258" s="14"/>
      <c r="AG258" s="14"/>
      <c r="AH258" s="14"/>
      <c r="AI258" s="14" t="s">
        <v>328</v>
      </c>
      <c r="AJ258" s="14"/>
      <c r="AK258" s="14"/>
      <c r="AL258" s="14" t="s">
        <v>328</v>
      </c>
      <c r="AM258" s="14"/>
      <c r="AN258" s="13">
        <v>16000</v>
      </c>
      <c r="AO258" s="13">
        <v>16000</v>
      </c>
      <c r="AP258" s="13">
        <v>260000</v>
      </c>
      <c r="AQ258" s="13">
        <v>150000</v>
      </c>
      <c r="AR258" s="13">
        <v>16000</v>
      </c>
      <c r="AS258" s="26">
        <v>264000</v>
      </c>
      <c r="AT258" s="26">
        <v>0</v>
      </c>
      <c r="AU258" s="26">
        <v>150000</v>
      </c>
      <c r="AV258" s="26">
        <v>25000</v>
      </c>
      <c r="AW258" s="26">
        <v>40000</v>
      </c>
      <c r="AX258" s="62">
        <v>0</v>
      </c>
      <c r="AY258" s="17" t="s">
        <v>585</v>
      </c>
      <c r="AZ258" s="14" t="s">
        <v>337</v>
      </c>
      <c r="BA258" s="249">
        <f t="shared" si="7"/>
        <v>6</v>
      </c>
      <c r="BB258" s="249">
        <v>0</v>
      </c>
      <c r="BC258" s="249">
        <f t="shared" si="6"/>
        <v>2002</v>
      </c>
    </row>
    <row r="259" spans="1:55" x14ac:dyDescent="0.25">
      <c r="A259" s="50" t="s">
        <v>1855</v>
      </c>
      <c r="B259" s="61" t="s">
        <v>518</v>
      </c>
      <c r="C259" s="14" t="s">
        <v>337</v>
      </c>
      <c r="D259" s="14">
        <v>2003</v>
      </c>
      <c r="E259" s="14" t="s">
        <v>407</v>
      </c>
      <c r="F259" s="14"/>
      <c r="G259" s="14"/>
      <c r="H259" s="14"/>
      <c r="I259" s="14"/>
      <c r="J259" s="13">
        <v>615239</v>
      </c>
      <c r="K259" s="14"/>
      <c r="L259" s="14" t="s">
        <v>328</v>
      </c>
      <c r="M259" s="14"/>
      <c r="N259" s="13" t="s">
        <v>396</v>
      </c>
      <c r="O259" s="24">
        <v>0.05</v>
      </c>
      <c r="P259" s="14">
        <v>2</v>
      </c>
      <c r="Q259" s="14">
        <v>1200</v>
      </c>
      <c r="R259" s="13">
        <v>6600</v>
      </c>
      <c r="S259" s="14" t="s">
        <v>340</v>
      </c>
      <c r="T259" s="14">
        <v>2.75</v>
      </c>
      <c r="U259" s="14">
        <v>3.2</v>
      </c>
      <c r="V259" s="25">
        <v>4500</v>
      </c>
      <c r="W259" s="44">
        <v>63630</v>
      </c>
      <c r="X259" s="14"/>
      <c r="Y259" s="14" t="s">
        <v>328</v>
      </c>
      <c r="Z259" s="14"/>
      <c r="AA259" s="14"/>
      <c r="AB259" s="14"/>
      <c r="AC259" s="14"/>
      <c r="AD259" s="14" t="s">
        <v>328</v>
      </c>
      <c r="AE259" s="14"/>
      <c r="AF259" s="14"/>
      <c r="AG259" s="14"/>
      <c r="AH259" s="14"/>
      <c r="AI259" s="14" t="s">
        <v>328</v>
      </c>
      <c r="AJ259" s="14"/>
      <c r="AK259" s="14"/>
      <c r="AL259" s="14" t="s">
        <v>328</v>
      </c>
      <c r="AM259" s="14"/>
      <c r="AN259" s="13">
        <v>18000</v>
      </c>
      <c r="AO259" s="13">
        <v>18000</v>
      </c>
      <c r="AP259" s="13">
        <v>260000</v>
      </c>
      <c r="AQ259" s="13">
        <v>150000</v>
      </c>
      <c r="AR259" s="13">
        <v>18000</v>
      </c>
      <c r="AS259" s="26">
        <v>168000</v>
      </c>
      <c r="AT259" s="26">
        <v>0</v>
      </c>
      <c r="AU259" s="26">
        <v>60000</v>
      </c>
      <c r="AV259" s="26">
        <v>15000</v>
      </c>
      <c r="AW259" s="26">
        <v>36000</v>
      </c>
      <c r="AX259" s="62">
        <v>0</v>
      </c>
      <c r="AY259" s="17" t="s">
        <v>574</v>
      </c>
      <c r="AZ259" s="14" t="s">
        <v>337</v>
      </c>
      <c r="BA259" s="249">
        <f t="shared" si="7"/>
        <v>6</v>
      </c>
      <c r="BB259" s="249">
        <v>0</v>
      </c>
      <c r="BC259" s="249">
        <f t="shared" si="6"/>
        <v>2003</v>
      </c>
    </row>
    <row r="260" spans="1:55" x14ac:dyDescent="0.25">
      <c r="A260" s="50" t="s">
        <v>1855</v>
      </c>
      <c r="B260" s="61" t="s">
        <v>518</v>
      </c>
      <c r="C260" s="14" t="s">
        <v>337</v>
      </c>
      <c r="D260" s="14">
        <v>2003</v>
      </c>
      <c r="E260" s="14" t="s">
        <v>407</v>
      </c>
      <c r="F260" s="14"/>
      <c r="G260" s="14"/>
      <c r="H260" s="14"/>
      <c r="I260" s="14"/>
      <c r="J260" s="13">
        <v>596752</v>
      </c>
      <c r="K260" s="14"/>
      <c r="L260" s="14" t="s">
        <v>328</v>
      </c>
      <c r="M260" s="14"/>
      <c r="N260" s="13" t="s">
        <v>396</v>
      </c>
      <c r="O260" s="24">
        <v>0.05</v>
      </c>
      <c r="P260" s="14">
        <v>2</v>
      </c>
      <c r="Q260" s="14">
        <v>1200</v>
      </c>
      <c r="R260" s="13">
        <v>6600</v>
      </c>
      <c r="S260" s="14" t="s">
        <v>340</v>
      </c>
      <c r="T260" s="14">
        <v>2.75</v>
      </c>
      <c r="U260" s="14">
        <v>3.2</v>
      </c>
      <c r="V260" s="25">
        <v>4500</v>
      </c>
      <c r="W260" s="44">
        <v>63630</v>
      </c>
      <c r="X260" s="14"/>
      <c r="Y260" s="14" t="s">
        <v>328</v>
      </c>
      <c r="Z260" s="14"/>
      <c r="AA260" s="14"/>
      <c r="AB260" s="14"/>
      <c r="AC260" s="14"/>
      <c r="AD260" s="14" t="s">
        <v>328</v>
      </c>
      <c r="AE260" s="14"/>
      <c r="AF260" s="14"/>
      <c r="AG260" s="14"/>
      <c r="AH260" s="14"/>
      <c r="AI260" s="14" t="s">
        <v>328</v>
      </c>
      <c r="AJ260" s="14"/>
      <c r="AK260" s="14"/>
      <c r="AL260" s="14" t="s">
        <v>328</v>
      </c>
      <c r="AM260" s="14"/>
      <c r="AN260" s="13">
        <v>18000</v>
      </c>
      <c r="AO260" s="13">
        <v>18000</v>
      </c>
      <c r="AP260" s="13">
        <v>260000</v>
      </c>
      <c r="AQ260" s="13">
        <v>150000</v>
      </c>
      <c r="AR260" s="13">
        <v>18000</v>
      </c>
      <c r="AS260" s="26">
        <v>168000</v>
      </c>
      <c r="AT260" s="26">
        <v>0</v>
      </c>
      <c r="AU260" s="26">
        <v>60000</v>
      </c>
      <c r="AV260" s="26">
        <v>15000</v>
      </c>
      <c r="AW260" s="26">
        <v>36000</v>
      </c>
      <c r="AX260" s="62">
        <v>0</v>
      </c>
      <c r="AY260" s="17" t="s">
        <v>574</v>
      </c>
      <c r="AZ260" s="14" t="s">
        <v>337</v>
      </c>
      <c r="BA260" s="249">
        <f t="shared" si="7"/>
        <v>6</v>
      </c>
      <c r="BB260" s="249">
        <v>0</v>
      </c>
      <c r="BC260" s="249">
        <f t="shared" si="6"/>
        <v>2003</v>
      </c>
    </row>
    <row r="261" spans="1:55" x14ac:dyDescent="0.25">
      <c r="A261" s="50" t="s">
        <v>1855</v>
      </c>
      <c r="B261" s="61" t="s">
        <v>519</v>
      </c>
      <c r="C261" s="14" t="s">
        <v>337</v>
      </c>
      <c r="D261" s="14">
        <v>2002</v>
      </c>
      <c r="E261" s="14" t="s">
        <v>407</v>
      </c>
      <c r="F261" s="14"/>
      <c r="G261" s="14"/>
      <c r="H261" s="14"/>
      <c r="I261" s="14"/>
      <c r="J261" s="13">
        <v>915620</v>
      </c>
      <c r="K261" s="14"/>
      <c r="L261" s="14" t="s">
        <v>328</v>
      </c>
      <c r="M261" s="14"/>
      <c r="N261" s="13">
        <v>8333.3333333333339</v>
      </c>
      <c r="O261" s="24">
        <v>0.3</v>
      </c>
      <c r="P261" s="14">
        <v>3</v>
      </c>
      <c r="Q261" s="14">
        <v>1300</v>
      </c>
      <c r="R261" s="13">
        <v>5850</v>
      </c>
      <c r="S261" s="14" t="s">
        <v>340</v>
      </c>
      <c r="T261" s="14">
        <v>1.5</v>
      </c>
      <c r="U261" s="14">
        <v>2.4</v>
      </c>
      <c r="V261" s="25">
        <v>4500</v>
      </c>
      <c r="W261" s="44">
        <v>63630</v>
      </c>
      <c r="X261" s="14"/>
      <c r="Y261" s="14" t="s">
        <v>328</v>
      </c>
      <c r="Z261" s="14"/>
      <c r="AA261" s="14"/>
      <c r="AB261" s="14"/>
      <c r="AC261" s="14"/>
      <c r="AD261" s="14" t="s">
        <v>328</v>
      </c>
      <c r="AE261" s="14"/>
      <c r="AF261" s="14"/>
      <c r="AG261" s="14"/>
      <c r="AH261" s="14"/>
      <c r="AI261" s="14"/>
      <c r="AJ261" s="14"/>
      <c r="AK261" s="14"/>
      <c r="AL261" s="14"/>
      <c r="AM261" s="14"/>
      <c r="AN261" s="13">
        <v>20000</v>
      </c>
      <c r="AO261" s="13">
        <v>40000</v>
      </c>
      <c r="AP261" s="13">
        <v>200000</v>
      </c>
      <c r="AQ261" s="13">
        <v>100000</v>
      </c>
      <c r="AR261" s="13">
        <v>40000</v>
      </c>
      <c r="AS261" s="26">
        <v>192000</v>
      </c>
      <c r="AT261" s="26">
        <v>0</v>
      </c>
      <c r="AU261" s="26">
        <v>100000</v>
      </c>
      <c r="AV261" s="26" t="s">
        <v>480</v>
      </c>
      <c r="AW261" s="26">
        <v>25000</v>
      </c>
      <c r="AX261" s="62">
        <v>0</v>
      </c>
      <c r="AY261" s="17" t="s">
        <v>708</v>
      </c>
      <c r="AZ261" s="15" t="s">
        <v>693</v>
      </c>
      <c r="BA261" s="249">
        <f t="shared" si="7"/>
        <v>2</v>
      </c>
      <c r="BB261" s="249">
        <v>0</v>
      </c>
      <c r="BC261" s="249">
        <f t="shared" si="6"/>
        <v>2002</v>
      </c>
    </row>
    <row r="262" spans="1:55" x14ac:dyDescent="0.25">
      <c r="A262" s="50" t="s">
        <v>1855</v>
      </c>
      <c r="B262" s="61" t="s">
        <v>519</v>
      </c>
      <c r="C262" s="14" t="s">
        <v>337</v>
      </c>
      <c r="D262" s="14">
        <v>2005</v>
      </c>
      <c r="E262" s="14" t="s">
        <v>407</v>
      </c>
      <c r="F262" s="14"/>
      <c r="G262" s="14"/>
      <c r="H262" s="14"/>
      <c r="I262" s="14"/>
      <c r="J262" s="13">
        <v>631031</v>
      </c>
      <c r="K262" s="14" t="s">
        <v>328</v>
      </c>
      <c r="L262" s="14"/>
      <c r="M262" s="14"/>
      <c r="N262" s="13">
        <v>8333.3333333333339</v>
      </c>
      <c r="O262" s="24">
        <v>0.3</v>
      </c>
      <c r="P262" s="14">
        <v>3</v>
      </c>
      <c r="Q262" s="14">
        <v>1300</v>
      </c>
      <c r="R262" s="13">
        <v>5850</v>
      </c>
      <c r="S262" s="14" t="s">
        <v>340</v>
      </c>
      <c r="T262" s="14">
        <v>1.5</v>
      </c>
      <c r="U262" s="14">
        <v>2.5</v>
      </c>
      <c r="V262" s="25">
        <v>4500</v>
      </c>
      <c r="W262" s="44">
        <v>63630</v>
      </c>
      <c r="X262" s="14"/>
      <c r="Y262" s="14" t="s">
        <v>328</v>
      </c>
      <c r="Z262" s="14"/>
      <c r="AA262" s="14"/>
      <c r="AB262" s="14"/>
      <c r="AC262" s="14"/>
      <c r="AD262" s="14" t="s">
        <v>328</v>
      </c>
      <c r="AE262" s="14"/>
      <c r="AF262" s="14" t="s">
        <v>328</v>
      </c>
      <c r="AG262" s="14"/>
      <c r="AH262" s="14"/>
      <c r="AI262" s="14"/>
      <c r="AJ262" s="14"/>
      <c r="AK262" s="14"/>
      <c r="AL262" s="14"/>
      <c r="AM262" s="14"/>
      <c r="AN262" s="13">
        <v>20000</v>
      </c>
      <c r="AO262" s="13">
        <v>40000</v>
      </c>
      <c r="AP262" s="13">
        <v>200000</v>
      </c>
      <c r="AQ262" s="13">
        <v>100000</v>
      </c>
      <c r="AR262" s="13">
        <v>40000</v>
      </c>
      <c r="AS262" s="26">
        <v>192000</v>
      </c>
      <c r="AT262" s="26">
        <v>0</v>
      </c>
      <c r="AU262" s="26">
        <v>100000</v>
      </c>
      <c r="AV262" s="26" t="s">
        <v>480</v>
      </c>
      <c r="AW262" s="26">
        <v>25000</v>
      </c>
      <c r="AX262" s="62">
        <v>0</v>
      </c>
      <c r="AY262" s="17" t="s">
        <v>574</v>
      </c>
      <c r="AZ262" s="15" t="s">
        <v>693</v>
      </c>
      <c r="BA262" s="249">
        <f t="shared" si="7"/>
        <v>2</v>
      </c>
      <c r="BB262" s="249">
        <v>0</v>
      </c>
      <c r="BC262" s="249">
        <f t="shared" si="6"/>
        <v>2005</v>
      </c>
    </row>
    <row r="263" spans="1:55" x14ac:dyDescent="0.25">
      <c r="A263" s="50" t="s">
        <v>1855</v>
      </c>
      <c r="B263" s="61" t="s">
        <v>520</v>
      </c>
      <c r="C263" s="14" t="s">
        <v>337</v>
      </c>
      <c r="D263" s="14">
        <v>2001</v>
      </c>
      <c r="E263" s="14" t="s">
        <v>407</v>
      </c>
      <c r="F263" s="14"/>
      <c r="G263" s="14"/>
      <c r="H263" s="14"/>
      <c r="I263" s="14"/>
      <c r="J263" s="13">
        <v>1315107</v>
      </c>
      <c r="K263" s="14" t="s">
        <v>328</v>
      </c>
      <c r="L263" s="14"/>
      <c r="M263" s="14"/>
      <c r="N263" s="13">
        <v>9000</v>
      </c>
      <c r="O263" s="24">
        <v>0.5</v>
      </c>
      <c r="P263" s="14">
        <v>2</v>
      </c>
      <c r="Q263" s="14">
        <v>900</v>
      </c>
      <c r="R263" s="13">
        <v>3960.0000000000005</v>
      </c>
      <c r="S263" s="14" t="s">
        <v>340</v>
      </c>
      <c r="T263" s="14">
        <v>2.2000000000000002</v>
      </c>
      <c r="U263" s="14">
        <v>2.9</v>
      </c>
      <c r="V263" s="25">
        <v>4500</v>
      </c>
      <c r="W263" s="44">
        <v>63630</v>
      </c>
      <c r="X263" s="14"/>
      <c r="Y263" s="14"/>
      <c r="Z263" s="14"/>
      <c r="AA263" s="14"/>
      <c r="AB263" s="14" t="s">
        <v>328</v>
      </c>
      <c r="AC263" s="14"/>
      <c r="AD263" s="14" t="s">
        <v>328</v>
      </c>
      <c r="AE263" s="14"/>
      <c r="AF263" s="14" t="s">
        <v>328</v>
      </c>
      <c r="AG263" s="14"/>
      <c r="AH263" s="14"/>
      <c r="AI263" s="14"/>
      <c r="AJ263" s="14"/>
      <c r="AK263" s="14"/>
      <c r="AL263" s="14"/>
      <c r="AM263" s="14"/>
      <c r="AN263" s="13">
        <v>18000</v>
      </c>
      <c r="AO263" s="13">
        <v>18000</v>
      </c>
      <c r="AP263" s="13">
        <v>250000</v>
      </c>
      <c r="AQ263" s="13">
        <v>100000</v>
      </c>
      <c r="AR263" s="13">
        <v>18000</v>
      </c>
      <c r="AS263" s="26">
        <v>210000</v>
      </c>
      <c r="AT263" s="26">
        <v>0</v>
      </c>
      <c r="AU263" s="26">
        <v>150000</v>
      </c>
      <c r="AV263" s="26">
        <v>120000</v>
      </c>
      <c r="AW263" s="26">
        <v>38000</v>
      </c>
      <c r="AX263" s="62">
        <v>25000</v>
      </c>
      <c r="AY263" s="17" t="s">
        <v>708</v>
      </c>
      <c r="AZ263" s="15" t="s">
        <v>561</v>
      </c>
      <c r="BA263" s="249">
        <f t="shared" si="7"/>
        <v>18</v>
      </c>
      <c r="BB263" s="249">
        <v>0</v>
      </c>
      <c r="BC263" s="249">
        <f t="shared" si="6"/>
        <v>2001</v>
      </c>
    </row>
    <row r="264" spans="1:55" x14ac:dyDescent="0.25">
      <c r="A264" s="50" t="s">
        <v>1855</v>
      </c>
      <c r="B264" s="61" t="s">
        <v>520</v>
      </c>
      <c r="C264" s="14" t="s">
        <v>337</v>
      </c>
      <c r="D264" s="14">
        <v>2001</v>
      </c>
      <c r="E264" s="14" t="s">
        <v>407</v>
      </c>
      <c r="F264" s="14"/>
      <c r="G264" s="14"/>
      <c r="H264" s="14"/>
      <c r="I264" s="14"/>
      <c r="J264" s="13">
        <v>1296600</v>
      </c>
      <c r="K264" s="14" t="s">
        <v>328</v>
      </c>
      <c r="L264" s="14"/>
      <c r="M264" s="14"/>
      <c r="N264" s="13">
        <v>9000</v>
      </c>
      <c r="O264" s="24">
        <v>0.5</v>
      </c>
      <c r="P264" s="14">
        <v>2</v>
      </c>
      <c r="Q264" s="14">
        <v>900</v>
      </c>
      <c r="R264" s="13">
        <v>3960.0000000000005</v>
      </c>
      <c r="S264" s="14" t="s">
        <v>340</v>
      </c>
      <c r="T264" s="14">
        <v>2.2000000000000002</v>
      </c>
      <c r="U264" s="14">
        <v>2.9</v>
      </c>
      <c r="V264" s="25">
        <v>4500</v>
      </c>
      <c r="W264" s="44">
        <v>63630</v>
      </c>
      <c r="X264" s="14"/>
      <c r="Y264" s="14"/>
      <c r="Z264" s="14"/>
      <c r="AA264" s="14"/>
      <c r="AB264" s="14" t="s">
        <v>328</v>
      </c>
      <c r="AC264" s="14"/>
      <c r="AD264" s="14" t="s">
        <v>328</v>
      </c>
      <c r="AE264" s="14"/>
      <c r="AF264" s="14" t="s">
        <v>328</v>
      </c>
      <c r="AG264" s="14"/>
      <c r="AH264" s="14"/>
      <c r="AI264" s="14"/>
      <c r="AJ264" s="14"/>
      <c r="AK264" s="14"/>
      <c r="AL264" s="14"/>
      <c r="AM264" s="14"/>
      <c r="AN264" s="13">
        <v>18000</v>
      </c>
      <c r="AO264" s="13">
        <v>18000</v>
      </c>
      <c r="AP264" s="13">
        <v>250000</v>
      </c>
      <c r="AQ264" s="13">
        <v>100000</v>
      </c>
      <c r="AR264" s="13">
        <v>18000</v>
      </c>
      <c r="AS264" s="26">
        <v>210000</v>
      </c>
      <c r="AT264" s="26">
        <v>0</v>
      </c>
      <c r="AU264" s="26">
        <v>150000</v>
      </c>
      <c r="AV264" s="26">
        <v>120000</v>
      </c>
      <c r="AW264" s="26">
        <v>38000</v>
      </c>
      <c r="AX264" s="62">
        <v>25000</v>
      </c>
      <c r="AY264" s="17" t="s">
        <v>708</v>
      </c>
      <c r="AZ264" s="15" t="s">
        <v>561</v>
      </c>
      <c r="BA264" s="249">
        <f t="shared" si="7"/>
        <v>18</v>
      </c>
      <c r="BB264" s="249">
        <v>0</v>
      </c>
      <c r="BC264" s="249">
        <f t="shared" ref="BC264:BC327" si="8">IF(H264&gt;D264,(IF(H264&gt;F264,H264,(IF(F264&gt;D264,F264,D264)))),(IF(F264&gt;D264,F264,D264)))</f>
        <v>2001</v>
      </c>
    </row>
    <row r="265" spans="1:55" x14ac:dyDescent="0.25">
      <c r="A265" s="50" t="s">
        <v>1855</v>
      </c>
      <c r="B265" s="61" t="s">
        <v>520</v>
      </c>
      <c r="C265" s="14" t="s">
        <v>337</v>
      </c>
      <c r="D265" s="14">
        <v>2004</v>
      </c>
      <c r="E265" s="14" t="s">
        <v>407</v>
      </c>
      <c r="F265" s="14"/>
      <c r="G265" s="14"/>
      <c r="H265" s="14"/>
      <c r="I265" s="14"/>
      <c r="J265" s="13">
        <v>860115</v>
      </c>
      <c r="K265" s="14" t="s">
        <v>328</v>
      </c>
      <c r="L265" s="14"/>
      <c r="M265" s="14"/>
      <c r="N265" s="13">
        <v>9000</v>
      </c>
      <c r="O265" s="24">
        <v>0.5</v>
      </c>
      <c r="P265" s="14">
        <v>2</v>
      </c>
      <c r="Q265" s="14">
        <v>900</v>
      </c>
      <c r="R265" s="13">
        <v>3960.0000000000005</v>
      </c>
      <c r="S265" s="14" t="s">
        <v>340</v>
      </c>
      <c r="T265" s="14">
        <v>2.2000000000000002</v>
      </c>
      <c r="U265" s="14">
        <v>2.9</v>
      </c>
      <c r="V265" s="25">
        <v>4500</v>
      </c>
      <c r="W265" s="44">
        <v>63630</v>
      </c>
      <c r="X265" s="14"/>
      <c r="Y265" s="14"/>
      <c r="Z265" s="14"/>
      <c r="AA265" s="14"/>
      <c r="AB265" s="14" t="s">
        <v>328</v>
      </c>
      <c r="AC265" s="14"/>
      <c r="AD265" s="14" t="s">
        <v>328</v>
      </c>
      <c r="AE265" s="14"/>
      <c r="AF265" s="14" t="s">
        <v>328</v>
      </c>
      <c r="AG265" s="14"/>
      <c r="AH265" s="14"/>
      <c r="AI265" s="14"/>
      <c r="AJ265" s="14"/>
      <c r="AK265" s="14"/>
      <c r="AL265" s="14"/>
      <c r="AM265" s="14"/>
      <c r="AN265" s="13">
        <v>18000</v>
      </c>
      <c r="AO265" s="13">
        <v>18000</v>
      </c>
      <c r="AP265" s="13">
        <v>250000</v>
      </c>
      <c r="AQ265" s="13">
        <v>100000</v>
      </c>
      <c r="AR265" s="13">
        <v>18000</v>
      </c>
      <c r="AS265" s="26">
        <v>216000</v>
      </c>
      <c r="AT265" s="26">
        <v>0</v>
      </c>
      <c r="AU265" s="26">
        <v>150000</v>
      </c>
      <c r="AV265" s="26">
        <v>120000</v>
      </c>
      <c r="AW265" s="26">
        <v>38000</v>
      </c>
      <c r="AX265" s="62">
        <v>25000</v>
      </c>
      <c r="AY265" s="17" t="s">
        <v>574</v>
      </c>
      <c r="AZ265" s="15" t="s">
        <v>561</v>
      </c>
      <c r="BA265" s="249">
        <f t="shared" ref="BA265:BA328" si="9">COUNTIF($B$8:$B$987,B265)</f>
        <v>18</v>
      </c>
      <c r="BB265" s="249">
        <v>0</v>
      </c>
      <c r="BC265" s="249">
        <f t="shared" si="8"/>
        <v>2004</v>
      </c>
    </row>
    <row r="266" spans="1:55" x14ac:dyDescent="0.25">
      <c r="A266" s="50" t="s">
        <v>1855</v>
      </c>
      <c r="B266" s="61" t="s">
        <v>520</v>
      </c>
      <c r="C266" s="14" t="s">
        <v>337</v>
      </c>
      <c r="D266" s="14">
        <v>2004</v>
      </c>
      <c r="E266" s="14" t="s">
        <v>407</v>
      </c>
      <c r="F266" s="14"/>
      <c r="G266" s="14"/>
      <c r="H266" s="14"/>
      <c r="I266" s="14"/>
      <c r="J266" s="13">
        <v>856712</v>
      </c>
      <c r="K266" s="14" t="s">
        <v>328</v>
      </c>
      <c r="L266" s="14"/>
      <c r="M266" s="14"/>
      <c r="N266" s="13">
        <v>9000</v>
      </c>
      <c r="O266" s="24">
        <v>0.5</v>
      </c>
      <c r="P266" s="14">
        <v>2</v>
      </c>
      <c r="Q266" s="14">
        <v>900</v>
      </c>
      <c r="R266" s="13">
        <v>3960.0000000000005</v>
      </c>
      <c r="S266" s="14" t="s">
        <v>340</v>
      </c>
      <c r="T266" s="14">
        <v>2.2000000000000002</v>
      </c>
      <c r="U266" s="14">
        <v>2.9</v>
      </c>
      <c r="V266" s="25">
        <v>4500</v>
      </c>
      <c r="W266" s="44">
        <v>63630</v>
      </c>
      <c r="X266" s="14"/>
      <c r="Y266" s="14"/>
      <c r="Z266" s="14"/>
      <c r="AA266" s="14"/>
      <c r="AB266" s="14" t="s">
        <v>328</v>
      </c>
      <c r="AC266" s="14"/>
      <c r="AD266" s="14" t="s">
        <v>328</v>
      </c>
      <c r="AE266" s="14"/>
      <c r="AF266" s="14" t="s">
        <v>328</v>
      </c>
      <c r="AG266" s="14"/>
      <c r="AH266" s="14"/>
      <c r="AI266" s="14"/>
      <c r="AJ266" s="14"/>
      <c r="AK266" s="14"/>
      <c r="AL266" s="14"/>
      <c r="AM266" s="14"/>
      <c r="AN266" s="13">
        <v>18000</v>
      </c>
      <c r="AO266" s="13">
        <v>18000</v>
      </c>
      <c r="AP266" s="13">
        <v>250000</v>
      </c>
      <c r="AQ266" s="13">
        <v>100000</v>
      </c>
      <c r="AR266" s="13">
        <v>18000</v>
      </c>
      <c r="AS266" s="26">
        <v>216000</v>
      </c>
      <c r="AT266" s="26">
        <v>0</v>
      </c>
      <c r="AU266" s="26">
        <v>150000</v>
      </c>
      <c r="AV266" s="26">
        <v>120000</v>
      </c>
      <c r="AW266" s="26">
        <v>38000</v>
      </c>
      <c r="AX266" s="62">
        <v>25000</v>
      </c>
      <c r="AY266" s="17" t="s">
        <v>574</v>
      </c>
      <c r="AZ266" s="15" t="s">
        <v>561</v>
      </c>
      <c r="BA266" s="249">
        <f t="shared" si="9"/>
        <v>18</v>
      </c>
      <c r="BB266" s="249">
        <v>0</v>
      </c>
      <c r="BC266" s="249">
        <f t="shared" si="8"/>
        <v>2004</v>
      </c>
    </row>
    <row r="267" spans="1:55" x14ac:dyDescent="0.25">
      <c r="A267" s="50" t="s">
        <v>1855</v>
      </c>
      <c r="B267" s="61" t="s">
        <v>520</v>
      </c>
      <c r="C267" s="14" t="s">
        <v>337</v>
      </c>
      <c r="D267" s="14">
        <v>2004</v>
      </c>
      <c r="E267" s="14" t="s">
        <v>407</v>
      </c>
      <c r="F267" s="14"/>
      <c r="G267" s="14"/>
      <c r="H267" s="14"/>
      <c r="I267" s="14"/>
      <c r="J267" s="13">
        <v>872124</v>
      </c>
      <c r="K267" s="14" t="s">
        <v>328</v>
      </c>
      <c r="L267" s="14"/>
      <c r="M267" s="14"/>
      <c r="N267" s="13">
        <v>9000</v>
      </c>
      <c r="O267" s="24">
        <v>0.5</v>
      </c>
      <c r="P267" s="14">
        <v>2</v>
      </c>
      <c r="Q267" s="14">
        <v>900</v>
      </c>
      <c r="R267" s="13">
        <v>3960.0000000000005</v>
      </c>
      <c r="S267" s="14" t="s">
        <v>340</v>
      </c>
      <c r="T267" s="14">
        <v>2.2000000000000002</v>
      </c>
      <c r="U267" s="14">
        <v>2.9</v>
      </c>
      <c r="V267" s="25">
        <v>4500</v>
      </c>
      <c r="W267" s="44">
        <v>63630</v>
      </c>
      <c r="X267" s="14"/>
      <c r="Y267" s="14"/>
      <c r="Z267" s="14"/>
      <c r="AA267" s="14"/>
      <c r="AB267" s="14" t="s">
        <v>328</v>
      </c>
      <c r="AC267" s="14"/>
      <c r="AD267" s="14" t="s">
        <v>328</v>
      </c>
      <c r="AE267" s="14"/>
      <c r="AF267" s="14" t="s">
        <v>328</v>
      </c>
      <c r="AG267" s="14"/>
      <c r="AH267" s="14"/>
      <c r="AI267" s="14"/>
      <c r="AJ267" s="14"/>
      <c r="AK267" s="14"/>
      <c r="AL267" s="14"/>
      <c r="AM267" s="14"/>
      <c r="AN267" s="13">
        <v>18000</v>
      </c>
      <c r="AO267" s="13">
        <v>18000</v>
      </c>
      <c r="AP267" s="13">
        <v>250000</v>
      </c>
      <c r="AQ267" s="13">
        <v>100000</v>
      </c>
      <c r="AR267" s="13">
        <v>18000</v>
      </c>
      <c r="AS267" s="26">
        <v>216000</v>
      </c>
      <c r="AT267" s="26">
        <v>0</v>
      </c>
      <c r="AU267" s="26">
        <v>150000</v>
      </c>
      <c r="AV267" s="26">
        <v>120000</v>
      </c>
      <c r="AW267" s="26">
        <v>38000</v>
      </c>
      <c r="AX267" s="62">
        <v>25000</v>
      </c>
      <c r="AY267" s="17" t="s">
        <v>574</v>
      </c>
      <c r="AZ267" s="15" t="s">
        <v>561</v>
      </c>
      <c r="BA267" s="249">
        <f t="shared" si="9"/>
        <v>18</v>
      </c>
      <c r="BB267" s="249">
        <v>0</v>
      </c>
      <c r="BC267" s="249">
        <f t="shared" si="8"/>
        <v>2004</v>
      </c>
    </row>
    <row r="268" spans="1:55" x14ac:dyDescent="0.25">
      <c r="A268" s="50" t="s">
        <v>1855</v>
      </c>
      <c r="B268" s="61" t="s">
        <v>520</v>
      </c>
      <c r="C268" s="14" t="s">
        <v>337</v>
      </c>
      <c r="D268" s="14">
        <v>2005</v>
      </c>
      <c r="E268" s="14" t="s">
        <v>407</v>
      </c>
      <c r="F268" s="14"/>
      <c r="G268" s="14"/>
      <c r="H268" s="14"/>
      <c r="I268" s="14"/>
      <c r="J268" s="13">
        <v>810096</v>
      </c>
      <c r="K268" s="14" t="s">
        <v>328</v>
      </c>
      <c r="L268" s="14"/>
      <c r="M268" s="14"/>
      <c r="N268" s="13">
        <v>9000</v>
      </c>
      <c r="O268" s="24">
        <v>0.5</v>
      </c>
      <c r="P268" s="14">
        <v>2</v>
      </c>
      <c r="Q268" s="14">
        <v>900</v>
      </c>
      <c r="R268" s="13">
        <v>3960.0000000000005</v>
      </c>
      <c r="S268" s="14" t="s">
        <v>340</v>
      </c>
      <c r="T268" s="14">
        <v>2.2000000000000002</v>
      </c>
      <c r="U268" s="14">
        <v>2.9</v>
      </c>
      <c r="V268" s="25">
        <v>4500</v>
      </c>
      <c r="W268" s="44">
        <v>63630</v>
      </c>
      <c r="X268" s="14"/>
      <c r="Y268" s="14"/>
      <c r="Z268" s="14"/>
      <c r="AA268" s="14"/>
      <c r="AB268" s="14" t="s">
        <v>328</v>
      </c>
      <c r="AC268" s="14"/>
      <c r="AD268" s="14" t="s">
        <v>328</v>
      </c>
      <c r="AE268" s="14"/>
      <c r="AF268" s="14" t="s">
        <v>328</v>
      </c>
      <c r="AG268" s="14"/>
      <c r="AH268" s="14"/>
      <c r="AI268" s="14"/>
      <c r="AJ268" s="14"/>
      <c r="AK268" s="14"/>
      <c r="AL268" s="14"/>
      <c r="AM268" s="14"/>
      <c r="AN268" s="13">
        <v>18000</v>
      </c>
      <c r="AO268" s="13">
        <v>18000</v>
      </c>
      <c r="AP268" s="13">
        <v>250000</v>
      </c>
      <c r="AQ268" s="13">
        <v>100000</v>
      </c>
      <c r="AR268" s="13">
        <v>18000</v>
      </c>
      <c r="AS268" s="26">
        <v>216000</v>
      </c>
      <c r="AT268" s="26">
        <v>0</v>
      </c>
      <c r="AU268" s="26">
        <v>150000</v>
      </c>
      <c r="AV268" s="26">
        <v>120000</v>
      </c>
      <c r="AW268" s="26">
        <v>38000</v>
      </c>
      <c r="AX268" s="62">
        <v>25000</v>
      </c>
      <c r="AY268" s="17" t="s">
        <v>574</v>
      </c>
      <c r="AZ268" s="15" t="s">
        <v>561</v>
      </c>
      <c r="BA268" s="249">
        <f t="shared" si="9"/>
        <v>18</v>
      </c>
      <c r="BB268" s="249">
        <v>0</v>
      </c>
      <c r="BC268" s="249">
        <f t="shared" si="8"/>
        <v>2005</v>
      </c>
    </row>
    <row r="269" spans="1:55" x14ac:dyDescent="0.25">
      <c r="A269" s="50" t="s">
        <v>1855</v>
      </c>
      <c r="B269" s="61" t="s">
        <v>520</v>
      </c>
      <c r="C269" s="14" t="s">
        <v>337</v>
      </c>
      <c r="D269" s="14">
        <v>2005</v>
      </c>
      <c r="E269" s="14" t="s">
        <v>407</v>
      </c>
      <c r="F269" s="14"/>
      <c r="G269" s="14"/>
      <c r="H269" s="14"/>
      <c r="I269" s="14"/>
      <c r="J269" s="13">
        <v>791110</v>
      </c>
      <c r="K269" s="14" t="s">
        <v>328</v>
      </c>
      <c r="L269" s="14"/>
      <c r="M269" s="14"/>
      <c r="N269" s="13">
        <v>9000</v>
      </c>
      <c r="O269" s="24">
        <v>0.5</v>
      </c>
      <c r="P269" s="14">
        <v>2</v>
      </c>
      <c r="Q269" s="14">
        <v>900</v>
      </c>
      <c r="R269" s="13">
        <v>3960.0000000000005</v>
      </c>
      <c r="S269" s="14" t="s">
        <v>340</v>
      </c>
      <c r="T269" s="14">
        <v>2.2000000000000002</v>
      </c>
      <c r="U269" s="14">
        <v>2.9</v>
      </c>
      <c r="V269" s="25">
        <v>4500</v>
      </c>
      <c r="W269" s="44">
        <v>63630</v>
      </c>
      <c r="X269" s="14"/>
      <c r="Y269" s="14"/>
      <c r="Z269" s="14"/>
      <c r="AA269" s="14"/>
      <c r="AB269" s="14" t="s">
        <v>328</v>
      </c>
      <c r="AC269" s="14"/>
      <c r="AD269" s="14" t="s">
        <v>328</v>
      </c>
      <c r="AE269" s="14"/>
      <c r="AF269" s="14" t="s">
        <v>328</v>
      </c>
      <c r="AG269" s="14"/>
      <c r="AH269" s="14"/>
      <c r="AI269" s="14"/>
      <c r="AJ269" s="14"/>
      <c r="AK269" s="14"/>
      <c r="AL269" s="14"/>
      <c r="AM269" s="14"/>
      <c r="AN269" s="13">
        <v>18000</v>
      </c>
      <c r="AO269" s="13">
        <v>18000</v>
      </c>
      <c r="AP269" s="13">
        <v>250000</v>
      </c>
      <c r="AQ269" s="13">
        <v>100000</v>
      </c>
      <c r="AR269" s="13">
        <v>18000</v>
      </c>
      <c r="AS269" s="26">
        <v>216000</v>
      </c>
      <c r="AT269" s="26">
        <v>0</v>
      </c>
      <c r="AU269" s="26">
        <v>150000</v>
      </c>
      <c r="AV269" s="26">
        <v>120000</v>
      </c>
      <c r="AW269" s="26">
        <v>38000</v>
      </c>
      <c r="AX269" s="62">
        <v>25000</v>
      </c>
      <c r="AY269" s="17" t="s">
        <v>574</v>
      </c>
      <c r="AZ269" s="15" t="s">
        <v>561</v>
      </c>
      <c r="BA269" s="249">
        <f t="shared" si="9"/>
        <v>18</v>
      </c>
      <c r="BB269" s="249">
        <v>0</v>
      </c>
      <c r="BC269" s="249">
        <f t="shared" si="8"/>
        <v>2005</v>
      </c>
    </row>
    <row r="270" spans="1:55" x14ac:dyDescent="0.25">
      <c r="A270" s="50" t="s">
        <v>1855</v>
      </c>
      <c r="B270" s="61" t="s">
        <v>520</v>
      </c>
      <c r="C270" s="14" t="s">
        <v>337</v>
      </c>
      <c r="D270" s="14">
        <v>2005</v>
      </c>
      <c r="E270" s="14" t="s">
        <v>407</v>
      </c>
      <c r="F270" s="14"/>
      <c r="G270" s="14"/>
      <c r="H270" s="14"/>
      <c r="I270" s="14"/>
      <c r="J270" s="13">
        <v>706430</v>
      </c>
      <c r="K270" s="14" t="s">
        <v>328</v>
      </c>
      <c r="L270" s="14"/>
      <c r="M270" s="14"/>
      <c r="N270" s="13">
        <v>9000</v>
      </c>
      <c r="O270" s="24">
        <v>0.5</v>
      </c>
      <c r="P270" s="14">
        <v>2</v>
      </c>
      <c r="Q270" s="14">
        <v>900</v>
      </c>
      <c r="R270" s="13">
        <v>3960.0000000000005</v>
      </c>
      <c r="S270" s="14" t="s">
        <v>340</v>
      </c>
      <c r="T270" s="14">
        <v>2.2000000000000002</v>
      </c>
      <c r="U270" s="14">
        <v>2.9</v>
      </c>
      <c r="V270" s="25">
        <v>4500</v>
      </c>
      <c r="W270" s="44">
        <v>63630</v>
      </c>
      <c r="X270" s="14"/>
      <c r="Y270" s="14"/>
      <c r="Z270" s="14"/>
      <c r="AA270" s="14"/>
      <c r="AB270" s="14" t="s">
        <v>328</v>
      </c>
      <c r="AC270" s="14"/>
      <c r="AD270" s="14" t="s">
        <v>328</v>
      </c>
      <c r="AE270" s="14"/>
      <c r="AF270" s="14" t="s">
        <v>328</v>
      </c>
      <c r="AG270" s="14"/>
      <c r="AH270" s="14"/>
      <c r="AI270" s="14"/>
      <c r="AJ270" s="14"/>
      <c r="AK270" s="14"/>
      <c r="AL270" s="14"/>
      <c r="AM270" s="14"/>
      <c r="AN270" s="13">
        <v>18000</v>
      </c>
      <c r="AO270" s="13">
        <v>18000</v>
      </c>
      <c r="AP270" s="13">
        <v>250000</v>
      </c>
      <c r="AQ270" s="13">
        <v>100000</v>
      </c>
      <c r="AR270" s="13">
        <v>18000</v>
      </c>
      <c r="AS270" s="26">
        <v>216000</v>
      </c>
      <c r="AT270" s="26">
        <v>0</v>
      </c>
      <c r="AU270" s="26">
        <v>150000</v>
      </c>
      <c r="AV270" s="26">
        <v>120000</v>
      </c>
      <c r="AW270" s="26">
        <v>38000</v>
      </c>
      <c r="AX270" s="62">
        <v>25000</v>
      </c>
      <c r="AY270" s="17" t="s">
        <v>574</v>
      </c>
      <c r="AZ270" s="15" t="s">
        <v>561</v>
      </c>
      <c r="BA270" s="249">
        <f t="shared" si="9"/>
        <v>18</v>
      </c>
      <c r="BB270" s="249">
        <v>0</v>
      </c>
      <c r="BC270" s="249">
        <f t="shared" si="8"/>
        <v>2005</v>
      </c>
    </row>
    <row r="271" spans="1:55" x14ac:dyDescent="0.25">
      <c r="A271" s="50" t="s">
        <v>1855</v>
      </c>
      <c r="B271" s="61" t="s">
        <v>520</v>
      </c>
      <c r="C271" s="14" t="s">
        <v>337</v>
      </c>
      <c r="D271" s="14">
        <v>2006</v>
      </c>
      <c r="E271" s="14" t="s">
        <v>407</v>
      </c>
      <c r="F271" s="14"/>
      <c r="G271" s="14"/>
      <c r="H271" s="14"/>
      <c r="I271" s="14"/>
      <c r="J271" s="13">
        <v>604172</v>
      </c>
      <c r="K271" s="14" t="s">
        <v>328</v>
      </c>
      <c r="L271" s="14"/>
      <c r="M271" s="14"/>
      <c r="N271" s="13">
        <v>9000</v>
      </c>
      <c r="O271" s="24">
        <v>0.5</v>
      </c>
      <c r="P271" s="14">
        <v>2</v>
      </c>
      <c r="Q271" s="14">
        <v>900</v>
      </c>
      <c r="R271" s="13">
        <v>3960.0000000000005</v>
      </c>
      <c r="S271" s="14" t="s">
        <v>340</v>
      </c>
      <c r="T271" s="14">
        <v>2.2000000000000002</v>
      </c>
      <c r="U271" s="14">
        <v>2.9</v>
      </c>
      <c r="V271" s="25">
        <v>4500</v>
      </c>
      <c r="W271" s="44">
        <v>63630</v>
      </c>
      <c r="X271" s="14"/>
      <c r="Y271" s="14"/>
      <c r="Z271" s="14"/>
      <c r="AA271" s="14"/>
      <c r="AB271" s="14" t="s">
        <v>328</v>
      </c>
      <c r="AC271" s="14"/>
      <c r="AD271" s="14" t="s">
        <v>328</v>
      </c>
      <c r="AE271" s="14"/>
      <c r="AF271" s="14" t="s">
        <v>328</v>
      </c>
      <c r="AG271" s="14"/>
      <c r="AH271" s="14"/>
      <c r="AI271" s="14"/>
      <c r="AJ271" s="14"/>
      <c r="AK271" s="14"/>
      <c r="AL271" s="14"/>
      <c r="AM271" s="14"/>
      <c r="AN271" s="13">
        <v>18000</v>
      </c>
      <c r="AO271" s="13">
        <v>18000</v>
      </c>
      <c r="AP271" s="13">
        <v>250000</v>
      </c>
      <c r="AQ271" s="13">
        <v>100000</v>
      </c>
      <c r="AR271" s="13">
        <v>18000</v>
      </c>
      <c r="AS271" s="26">
        <v>216000</v>
      </c>
      <c r="AT271" s="26">
        <v>0</v>
      </c>
      <c r="AU271" s="26">
        <v>150000</v>
      </c>
      <c r="AV271" s="26">
        <v>120000</v>
      </c>
      <c r="AW271" s="26">
        <v>38000</v>
      </c>
      <c r="AX271" s="62">
        <v>25000</v>
      </c>
      <c r="AY271" s="17" t="s">
        <v>574</v>
      </c>
      <c r="AZ271" s="15" t="s">
        <v>561</v>
      </c>
      <c r="BA271" s="249">
        <f t="shared" si="9"/>
        <v>18</v>
      </c>
      <c r="BB271" s="249">
        <v>0</v>
      </c>
      <c r="BC271" s="249">
        <f t="shared" si="8"/>
        <v>2006</v>
      </c>
    </row>
    <row r="272" spans="1:55" x14ac:dyDescent="0.25">
      <c r="A272" s="50" t="s">
        <v>1855</v>
      </c>
      <c r="B272" s="61" t="s">
        <v>520</v>
      </c>
      <c r="C272" s="14" t="s">
        <v>337</v>
      </c>
      <c r="D272" s="14">
        <v>2006</v>
      </c>
      <c r="E272" s="14" t="s">
        <v>407</v>
      </c>
      <c r="F272" s="14"/>
      <c r="G272" s="14"/>
      <c r="H272" s="14"/>
      <c r="I272" s="14"/>
      <c r="J272" s="13">
        <v>583600</v>
      </c>
      <c r="K272" s="14" t="s">
        <v>328</v>
      </c>
      <c r="L272" s="14"/>
      <c r="M272" s="14"/>
      <c r="N272" s="13">
        <v>9000</v>
      </c>
      <c r="O272" s="24">
        <v>0.5</v>
      </c>
      <c r="P272" s="14">
        <v>2</v>
      </c>
      <c r="Q272" s="14">
        <v>900</v>
      </c>
      <c r="R272" s="13">
        <v>3960.0000000000005</v>
      </c>
      <c r="S272" s="14" t="s">
        <v>340</v>
      </c>
      <c r="T272" s="14">
        <v>2.2000000000000002</v>
      </c>
      <c r="U272" s="14">
        <v>2.9</v>
      </c>
      <c r="V272" s="25">
        <v>4500</v>
      </c>
      <c r="W272" s="44">
        <v>63630</v>
      </c>
      <c r="X272" s="14"/>
      <c r="Y272" s="14"/>
      <c r="Z272" s="14"/>
      <c r="AA272" s="14"/>
      <c r="AB272" s="14" t="s">
        <v>328</v>
      </c>
      <c r="AC272" s="14"/>
      <c r="AD272" s="14" t="s">
        <v>328</v>
      </c>
      <c r="AE272" s="14"/>
      <c r="AF272" s="14" t="s">
        <v>328</v>
      </c>
      <c r="AG272" s="14"/>
      <c r="AH272" s="14"/>
      <c r="AI272" s="14"/>
      <c r="AJ272" s="14"/>
      <c r="AK272" s="14"/>
      <c r="AL272" s="14"/>
      <c r="AM272" s="14"/>
      <c r="AN272" s="13">
        <v>18000</v>
      </c>
      <c r="AO272" s="13">
        <v>18000</v>
      </c>
      <c r="AP272" s="13">
        <v>250000</v>
      </c>
      <c r="AQ272" s="13">
        <v>100000</v>
      </c>
      <c r="AR272" s="13">
        <v>18000</v>
      </c>
      <c r="AS272" s="26">
        <v>216000</v>
      </c>
      <c r="AT272" s="26">
        <v>0</v>
      </c>
      <c r="AU272" s="26">
        <v>150000</v>
      </c>
      <c r="AV272" s="26">
        <v>120000</v>
      </c>
      <c r="AW272" s="26">
        <v>38000</v>
      </c>
      <c r="AX272" s="62">
        <v>25000</v>
      </c>
      <c r="AY272" s="17" t="s">
        <v>574</v>
      </c>
      <c r="AZ272" s="15" t="s">
        <v>561</v>
      </c>
      <c r="BA272" s="249">
        <f t="shared" si="9"/>
        <v>18</v>
      </c>
      <c r="BB272" s="249">
        <v>0</v>
      </c>
      <c r="BC272" s="249">
        <f t="shared" si="8"/>
        <v>2006</v>
      </c>
    </row>
    <row r="273" spans="1:55" x14ac:dyDescent="0.25">
      <c r="A273" s="50" t="s">
        <v>1855</v>
      </c>
      <c r="B273" s="61" t="s">
        <v>520</v>
      </c>
      <c r="C273" s="14" t="s">
        <v>337</v>
      </c>
      <c r="D273" s="14">
        <v>2006</v>
      </c>
      <c r="E273" s="14" t="s">
        <v>407</v>
      </c>
      <c r="F273" s="14"/>
      <c r="G273" s="14"/>
      <c r="H273" s="14"/>
      <c r="I273" s="14"/>
      <c r="J273" s="13">
        <v>621338</v>
      </c>
      <c r="K273" s="14" t="s">
        <v>328</v>
      </c>
      <c r="L273" s="14"/>
      <c r="M273" s="14"/>
      <c r="N273" s="13">
        <v>9000</v>
      </c>
      <c r="O273" s="24">
        <v>0.5</v>
      </c>
      <c r="P273" s="14">
        <v>2</v>
      </c>
      <c r="Q273" s="14">
        <v>900</v>
      </c>
      <c r="R273" s="13">
        <v>3960.0000000000005</v>
      </c>
      <c r="S273" s="14" t="s">
        <v>340</v>
      </c>
      <c r="T273" s="14">
        <v>2.2000000000000002</v>
      </c>
      <c r="U273" s="14">
        <v>2.9</v>
      </c>
      <c r="V273" s="25">
        <v>4500</v>
      </c>
      <c r="W273" s="44">
        <v>63630</v>
      </c>
      <c r="X273" s="14"/>
      <c r="Y273" s="14"/>
      <c r="Z273" s="14"/>
      <c r="AA273" s="14"/>
      <c r="AB273" s="14" t="s">
        <v>328</v>
      </c>
      <c r="AC273" s="14"/>
      <c r="AD273" s="14" t="s">
        <v>328</v>
      </c>
      <c r="AE273" s="14"/>
      <c r="AF273" s="14" t="s">
        <v>328</v>
      </c>
      <c r="AG273" s="14"/>
      <c r="AH273" s="14"/>
      <c r="AI273" s="14"/>
      <c r="AJ273" s="14"/>
      <c r="AK273" s="14"/>
      <c r="AL273" s="14"/>
      <c r="AM273" s="14"/>
      <c r="AN273" s="13">
        <v>18000</v>
      </c>
      <c r="AO273" s="13">
        <v>18000</v>
      </c>
      <c r="AP273" s="13">
        <v>250000</v>
      </c>
      <c r="AQ273" s="13">
        <v>100000</v>
      </c>
      <c r="AR273" s="13">
        <v>18000</v>
      </c>
      <c r="AS273" s="26">
        <v>216000</v>
      </c>
      <c r="AT273" s="26">
        <v>0</v>
      </c>
      <c r="AU273" s="26">
        <v>150000</v>
      </c>
      <c r="AV273" s="26">
        <v>120000</v>
      </c>
      <c r="AW273" s="26">
        <v>38000</v>
      </c>
      <c r="AX273" s="62">
        <v>25000</v>
      </c>
      <c r="AY273" s="17" t="s">
        <v>574</v>
      </c>
      <c r="AZ273" s="15" t="s">
        <v>561</v>
      </c>
      <c r="BA273" s="249">
        <f t="shared" si="9"/>
        <v>18</v>
      </c>
      <c r="BB273" s="249">
        <v>0</v>
      </c>
      <c r="BC273" s="249">
        <f t="shared" si="8"/>
        <v>2006</v>
      </c>
    </row>
    <row r="274" spans="1:55" x14ac:dyDescent="0.25">
      <c r="A274" s="50" t="s">
        <v>1855</v>
      </c>
      <c r="B274" s="61" t="s">
        <v>520</v>
      </c>
      <c r="C274" s="14" t="s">
        <v>337</v>
      </c>
      <c r="D274" s="14">
        <v>2007</v>
      </c>
      <c r="E274" s="14" t="s">
        <v>407</v>
      </c>
      <c r="F274" s="14"/>
      <c r="G274" s="14"/>
      <c r="H274" s="14"/>
      <c r="I274" s="14"/>
      <c r="J274" s="13">
        <v>517720</v>
      </c>
      <c r="K274" s="14" t="s">
        <v>328</v>
      </c>
      <c r="L274" s="14"/>
      <c r="M274" s="14"/>
      <c r="N274" s="13">
        <v>9000</v>
      </c>
      <c r="O274" s="24">
        <v>0.5</v>
      </c>
      <c r="P274" s="14">
        <v>2</v>
      </c>
      <c r="Q274" s="14">
        <v>900</v>
      </c>
      <c r="R274" s="13">
        <v>3960.0000000000005</v>
      </c>
      <c r="S274" s="14" t="s">
        <v>340</v>
      </c>
      <c r="T274" s="14">
        <v>2.2000000000000002</v>
      </c>
      <c r="U274" s="14">
        <v>2.9</v>
      </c>
      <c r="V274" s="25">
        <v>4500</v>
      </c>
      <c r="W274" s="44">
        <v>63630</v>
      </c>
      <c r="X274" s="14"/>
      <c r="Y274" s="14"/>
      <c r="Z274" s="14"/>
      <c r="AA274" s="14"/>
      <c r="AB274" s="14" t="s">
        <v>328</v>
      </c>
      <c r="AC274" s="14"/>
      <c r="AD274" s="14" t="s">
        <v>328</v>
      </c>
      <c r="AE274" s="14"/>
      <c r="AF274" s="14" t="s">
        <v>328</v>
      </c>
      <c r="AG274" s="14"/>
      <c r="AH274" s="14"/>
      <c r="AI274" s="14"/>
      <c r="AJ274" s="14"/>
      <c r="AK274" s="14"/>
      <c r="AL274" s="14"/>
      <c r="AM274" s="14"/>
      <c r="AN274" s="13">
        <v>18000</v>
      </c>
      <c r="AO274" s="13">
        <v>18000</v>
      </c>
      <c r="AP274" s="13">
        <v>250000</v>
      </c>
      <c r="AQ274" s="13">
        <v>100000</v>
      </c>
      <c r="AR274" s="13">
        <v>18000</v>
      </c>
      <c r="AS274" s="26">
        <v>216000</v>
      </c>
      <c r="AT274" s="26">
        <v>0</v>
      </c>
      <c r="AU274" s="26">
        <v>150000</v>
      </c>
      <c r="AV274" s="26">
        <v>120000</v>
      </c>
      <c r="AW274" s="26">
        <v>38000</v>
      </c>
      <c r="AX274" s="62">
        <v>25000</v>
      </c>
      <c r="AY274" s="17" t="s">
        <v>574</v>
      </c>
      <c r="AZ274" s="15" t="s">
        <v>561</v>
      </c>
      <c r="BA274" s="249">
        <f t="shared" si="9"/>
        <v>18</v>
      </c>
      <c r="BB274" s="249">
        <v>0</v>
      </c>
      <c r="BC274" s="249">
        <f t="shared" si="8"/>
        <v>2007</v>
      </c>
    </row>
    <row r="275" spans="1:55" x14ac:dyDescent="0.25">
      <c r="A275" s="50" t="s">
        <v>1855</v>
      </c>
      <c r="B275" s="61" t="s">
        <v>520</v>
      </c>
      <c r="C275" s="14" t="s">
        <v>337</v>
      </c>
      <c r="D275" s="14">
        <v>2007</v>
      </c>
      <c r="E275" s="14" t="s">
        <v>407</v>
      </c>
      <c r="F275" s="14"/>
      <c r="G275" s="14"/>
      <c r="H275" s="14"/>
      <c r="I275" s="14"/>
      <c r="J275" s="13">
        <v>582011</v>
      </c>
      <c r="K275" s="14" t="s">
        <v>328</v>
      </c>
      <c r="L275" s="14"/>
      <c r="M275" s="14"/>
      <c r="N275" s="13">
        <v>9000</v>
      </c>
      <c r="O275" s="24">
        <v>0.5</v>
      </c>
      <c r="P275" s="14">
        <v>2</v>
      </c>
      <c r="Q275" s="14">
        <v>900</v>
      </c>
      <c r="R275" s="13">
        <v>3960.0000000000005</v>
      </c>
      <c r="S275" s="14" t="s">
        <v>340</v>
      </c>
      <c r="T275" s="14">
        <v>2.2000000000000002</v>
      </c>
      <c r="U275" s="14">
        <v>2.9</v>
      </c>
      <c r="V275" s="25">
        <v>4500</v>
      </c>
      <c r="W275" s="44">
        <v>63630</v>
      </c>
      <c r="X275" s="14"/>
      <c r="Y275" s="14"/>
      <c r="Z275" s="14"/>
      <c r="AA275" s="14"/>
      <c r="AB275" s="14" t="s">
        <v>328</v>
      </c>
      <c r="AC275" s="14"/>
      <c r="AD275" s="14" t="s">
        <v>328</v>
      </c>
      <c r="AE275" s="14"/>
      <c r="AF275" s="14" t="s">
        <v>328</v>
      </c>
      <c r="AG275" s="14"/>
      <c r="AH275" s="14"/>
      <c r="AI275" s="14"/>
      <c r="AJ275" s="14"/>
      <c r="AK275" s="14"/>
      <c r="AL275" s="14"/>
      <c r="AM275" s="14"/>
      <c r="AN275" s="13">
        <v>18000</v>
      </c>
      <c r="AO275" s="13">
        <v>18000</v>
      </c>
      <c r="AP275" s="13">
        <v>250000</v>
      </c>
      <c r="AQ275" s="13">
        <v>100000</v>
      </c>
      <c r="AR275" s="13">
        <v>18000</v>
      </c>
      <c r="AS275" s="26">
        <v>216000</v>
      </c>
      <c r="AT275" s="26">
        <v>0</v>
      </c>
      <c r="AU275" s="26">
        <v>150000</v>
      </c>
      <c r="AV275" s="26">
        <v>120000</v>
      </c>
      <c r="AW275" s="26">
        <v>38000</v>
      </c>
      <c r="AX275" s="62">
        <v>25000</v>
      </c>
      <c r="AY275" s="17" t="s">
        <v>574</v>
      </c>
      <c r="AZ275" s="15" t="s">
        <v>561</v>
      </c>
      <c r="BA275" s="249">
        <f t="shared" si="9"/>
        <v>18</v>
      </c>
      <c r="BB275" s="249">
        <v>0</v>
      </c>
      <c r="BC275" s="249">
        <f t="shared" si="8"/>
        <v>2007</v>
      </c>
    </row>
    <row r="276" spans="1:55" x14ac:dyDescent="0.25">
      <c r="A276" s="50" t="s">
        <v>1855</v>
      </c>
      <c r="B276" s="61" t="s">
        <v>520</v>
      </c>
      <c r="C276" s="14" t="s">
        <v>337</v>
      </c>
      <c r="D276" s="14">
        <v>2007</v>
      </c>
      <c r="E276" s="14" t="s">
        <v>407</v>
      </c>
      <c r="F276" s="14"/>
      <c r="G276" s="14"/>
      <c r="H276" s="14"/>
      <c r="I276" s="14"/>
      <c r="J276" s="13">
        <v>495715</v>
      </c>
      <c r="K276" s="14" t="s">
        <v>328</v>
      </c>
      <c r="L276" s="14"/>
      <c r="M276" s="14"/>
      <c r="N276" s="13">
        <v>9000</v>
      </c>
      <c r="O276" s="24">
        <v>0.5</v>
      </c>
      <c r="P276" s="14">
        <v>2</v>
      </c>
      <c r="Q276" s="14">
        <v>900</v>
      </c>
      <c r="R276" s="13">
        <v>3960.0000000000005</v>
      </c>
      <c r="S276" s="14" t="s">
        <v>340</v>
      </c>
      <c r="T276" s="14">
        <v>2.2000000000000002</v>
      </c>
      <c r="U276" s="14">
        <v>2.9</v>
      </c>
      <c r="V276" s="25">
        <v>4500</v>
      </c>
      <c r="W276" s="44">
        <v>63630</v>
      </c>
      <c r="X276" s="14"/>
      <c r="Y276" s="14"/>
      <c r="Z276" s="14"/>
      <c r="AA276" s="14"/>
      <c r="AB276" s="14" t="s">
        <v>328</v>
      </c>
      <c r="AC276" s="14"/>
      <c r="AD276" s="14" t="s">
        <v>328</v>
      </c>
      <c r="AE276" s="14"/>
      <c r="AF276" s="14" t="s">
        <v>328</v>
      </c>
      <c r="AG276" s="14"/>
      <c r="AH276" s="14"/>
      <c r="AI276" s="14"/>
      <c r="AJ276" s="14"/>
      <c r="AK276" s="14"/>
      <c r="AL276" s="14"/>
      <c r="AM276" s="14"/>
      <c r="AN276" s="13">
        <v>18000</v>
      </c>
      <c r="AO276" s="13">
        <v>18000</v>
      </c>
      <c r="AP276" s="13">
        <v>250000</v>
      </c>
      <c r="AQ276" s="13">
        <v>100000</v>
      </c>
      <c r="AR276" s="13">
        <v>18000</v>
      </c>
      <c r="AS276" s="26">
        <v>216000</v>
      </c>
      <c r="AT276" s="26">
        <v>0</v>
      </c>
      <c r="AU276" s="26">
        <v>150000</v>
      </c>
      <c r="AV276" s="26">
        <v>120000</v>
      </c>
      <c r="AW276" s="26">
        <v>38000</v>
      </c>
      <c r="AX276" s="62">
        <v>25000</v>
      </c>
      <c r="AY276" s="17" t="s">
        <v>574</v>
      </c>
      <c r="AZ276" s="15" t="s">
        <v>561</v>
      </c>
      <c r="BA276" s="249">
        <f t="shared" si="9"/>
        <v>18</v>
      </c>
      <c r="BB276" s="249">
        <v>0</v>
      </c>
      <c r="BC276" s="249">
        <f t="shared" si="8"/>
        <v>2007</v>
      </c>
    </row>
    <row r="277" spans="1:55" x14ac:dyDescent="0.25">
      <c r="A277" s="50" t="s">
        <v>1855</v>
      </c>
      <c r="B277" s="61" t="s">
        <v>520</v>
      </c>
      <c r="C277" s="14" t="s">
        <v>337</v>
      </c>
      <c r="D277" s="14">
        <v>2008</v>
      </c>
      <c r="E277" s="14" t="s">
        <v>407</v>
      </c>
      <c r="F277" s="14"/>
      <c r="G277" s="14"/>
      <c r="H277" s="14"/>
      <c r="I277" s="14"/>
      <c r="J277" s="13">
        <v>460273</v>
      </c>
      <c r="K277" s="14" t="s">
        <v>328</v>
      </c>
      <c r="L277" s="14"/>
      <c r="M277" s="14"/>
      <c r="N277" s="13">
        <v>9000</v>
      </c>
      <c r="O277" s="24">
        <v>0.5</v>
      </c>
      <c r="P277" s="14">
        <v>2</v>
      </c>
      <c r="Q277" s="14">
        <v>900</v>
      </c>
      <c r="R277" s="13">
        <v>3960.0000000000005</v>
      </c>
      <c r="S277" s="14" t="s">
        <v>340</v>
      </c>
      <c r="T277" s="14">
        <v>2.2000000000000002</v>
      </c>
      <c r="U277" s="14">
        <v>2.9</v>
      </c>
      <c r="V277" s="25">
        <v>4500</v>
      </c>
      <c r="W277" s="44">
        <v>63630</v>
      </c>
      <c r="X277" s="14"/>
      <c r="Y277" s="14"/>
      <c r="Z277" s="14"/>
      <c r="AA277" s="14"/>
      <c r="AB277" s="14"/>
      <c r="AC277" s="14" t="s">
        <v>328</v>
      </c>
      <c r="AD277" s="14" t="s">
        <v>328</v>
      </c>
      <c r="AE277" s="14"/>
      <c r="AF277" s="14" t="s">
        <v>328</v>
      </c>
      <c r="AG277" s="14"/>
      <c r="AH277" s="14"/>
      <c r="AI277" s="14"/>
      <c r="AJ277" s="14"/>
      <c r="AK277" s="14"/>
      <c r="AL277" s="14"/>
      <c r="AM277" s="14"/>
      <c r="AN277" s="13">
        <v>18000</v>
      </c>
      <c r="AO277" s="13">
        <v>18000</v>
      </c>
      <c r="AP277" s="13">
        <v>250000</v>
      </c>
      <c r="AQ277" s="13">
        <v>100000</v>
      </c>
      <c r="AR277" s="13">
        <v>18000</v>
      </c>
      <c r="AS277" s="26">
        <v>240000</v>
      </c>
      <c r="AT277" s="26">
        <v>0</v>
      </c>
      <c r="AU277" s="26">
        <v>150000</v>
      </c>
      <c r="AV277" s="26">
        <v>120000</v>
      </c>
      <c r="AW277" s="26">
        <v>38000</v>
      </c>
      <c r="AX277" s="62">
        <v>25000</v>
      </c>
      <c r="AY277" s="17" t="s">
        <v>574</v>
      </c>
      <c r="AZ277" s="15" t="s">
        <v>561</v>
      </c>
      <c r="BA277" s="249">
        <f t="shared" si="9"/>
        <v>18</v>
      </c>
      <c r="BB277" s="249">
        <v>0</v>
      </c>
      <c r="BC277" s="249">
        <f t="shared" si="8"/>
        <v>2008</v>
      </c>
    </row>
    <row r="278" spans="1:55" x14ac:dyDescent="0.25">
      <c r="A278" s="50" t="s">
        <v>1855</v>
      </c>
      <c r="B278" s="61" t="s">
        <v>520</v>
      </c>
      <c r="C278" s="14" t="s">
        <v>337</v>
      </c>
      <c r="D278" s="14">
        <v>2008</v>
      </c>
      <c r="E278" s="14" t="s">
        <v>407</v>
      </c>
      <c r="F278" s="14"/>
      <c r="G278" s="14"/>
      <c r="H278" s="14"/>
      <c r="I278" s="14"/>
      <c r="J278" s="13">
        <v>454492</v>
      </c>
      <c r="K278" s="14" t="s">
        <v>328</v>
      </c>
      <c r="L278" s="14"/>
      <c r="M278" s="14"/>
      <c r="N278" s="13">
        <v>9000</v>
      </c>
      <c r="O278" s="24">
        <v>0.5</v>
      </c>
      <c r="P278" s="14">
        <v>2</v>
      </c>
      <c r="Q278" s="14">
        <v>900</v>
      </c>
      <c r="R278" s="13">
        <v>3960.0000000000005</v>
      </c>
      <c r="S278" s="14" t="s">
        <v>340</v>
      </c>
      <c r="T278" s="14">
        <v>2.2000000000000002</v>
      </c>
      <c r="U278" s="14">
        <v>2.9</v>
      </c>
      <c r="V278" s="25">
        <v>4500</v>
      </c>
      <c r="W278" s="44">
        <v>63630</v>
      </c>
      <c r="X278" s="14"/>
      <c r="Y278" s="14"/>
      <c r="Z278" s="14"/>
      <c r="AA278" s="14"/>
      <c r="AB278" s="14"/>
      <c r="AC278" s="14" t="s">
        <v>328</v>
      </c>
      <c r="AD278" s="14" t="s">
        <v>328</v>
      </c>
      <c r="AE278" s="14"/>
      <c r="AF278" s="14" t="s">
        <v>328</v>
      </c>
      <c r="AG278" s="14"/>
      <c r="AH278" s="14"/>
      <c r="AI278" s="14"/>
      <c r="AJ278" s="14"/>
      <c r="AK278" s="14"/>
      <c r="AL278" s="14"/>
      <c r="AM278" s="14"/>
      <c r="AN278" s="13">
        <v>18000</v>
      </c>
      <c r="AO278" s="13">
        <v>18000</v>
      </c>
      <c r="AP278" s="13">
        <v>250000</v>
      </c>
      <c r="AQ278" s="13">
        <v>100000</v>
      </c>
      <c r="AR278" s="13">
        <v>18000</v>
      </c>
      <c r="AS278" s="26">
        <v>240000</v>
      </c>
      <c r="AT278" s="26">
        <v>0</v>
      </c>
      <c r="AU278" s="26">
        <v>150000</v>
      </c>
      <c r="AV278" s="26">
        <v>120000</v>
      </c>
      <c r="AW278" s="26">
        <v>38000</v>
      </c>
      <c r="AX278" s="62">
        <v>25000</v>
      </c>
      <c r="AY278" s="17" t="s">
        <v>574</v>
      </c>
      <c r="AZ278" s="15" t="s">
        <v>561</v>
      </c>
      <c r="BA278" s="249">
        <f t="shared" si="9"/>
        <v>18</v>
      </c>
      <c r="BB278" s="249">
        <v>0</v>
      </c>
      <c r="BC278" s="249">
        <f t="shared" si="8"/>
        <v>2008</v>
      </c>
    </row>
    <row r="279" spans="1:55" x14ac:dyDescent="0.25">
      <c r="A279" s="50" t="s">
        <v>1855</v>
      </c>
      <c r="B279" s="61" t="s">
        <v>520</v>
      </c>
      <c r="C279" s="14" t="s">
        <v>337</v>
      </c>
      <c r="D279" s="14">
        <v>2008</v>
      </c>
      <c r="E279" s="14" t="s">
        <v>407</v>
      </c>
      <c r="F279" s="14"/>
      <c r="G279" s="14"/>
      <c r="H279" s="14"/>
      <c r="I279" s="14"/>
      <c r="J279" s="13">
        <v>471965</v>
      </c>
      <c r="K279" s="14" t="s">
        <v>328</v>
      </c>
      <c r="L279" s="14"/>
      <c r="M279" s="14"/>
      <c r="N279" s="13">
        <v>9000</v>
      </c>
      <c r="O279" s="24">
        <v>0.5</v>
      </c>
      <c r="P279" s="14">
        <v>2</v>
      </c>
      <c r="Q279" s="14">
        <v>900</v>
      </c>
      <c r="R279" s="13">
        <v>3960.0000000000005</v>
      </c>
      <c r="S279" s="14" t="s">
        <v>340</v>
      </c>
      <c r="T279" s="14">
        <v>2.2000000000000002</v>
      </c>
      <c r="U279" s="14">
        <v>2.9</v>
      </c>
      <c r="V279" s="25">
        <v>4500</v>
      </c>
      <c r="W279" s="44">
        <v>63630</v>
      </c>
      <c r="X279" s="14"/>
      <c r="Y279" s="14"/>
      <c r="Z279" s="14"/>
      <c r="AA279" s="14"/>
      <c r="AB279" s="14"/>
      <c r="AC279" s="14" t="s">
        <v>328</v>
      </c>
      <c r="AD279" s="14" t="s">
        <v>328</v>
      </c>
      <c r="AE279" s="14"/>
      <c r="AF279" s="14" t="s">
        <v>328</v>
      </c>
      <c r="AG279" s="14"/>
      <c r="AH279" s="14"/>
      <c r="AI279" s="14"/>
      <c r="AJ279" s="14"/>
      <c r="AK279" s="14"/>
      <c r="AL279" s="14"/>
      <c r="AM279" s="14"/>
      <c r="AN279" s="13">
        <v>18000</v>
      </c>
      <c r="AO279" s="13">
        <v>18000</v>
      </c>
      <c r="AP279" s="13">
        <v>250000</v>
      </c>
      <c r="AQ279" s="13">
        <v>100000</v>
      </c>
      <c r="AR279" s="13">
        <v>18000</v>
      </c>
      <c r="AS279" s="26">
        <v>240000</v>
      </c>
      <c r="AT279" s="26">
        <v>0</v>
      </c>
      <c r="AU279" s="26">
        <v>150000</v>
      </c>
      <c r="AV279" s="26">
        <v>120000</v>
      </c>
      <c r="AW279" s="26">
        <v>38000</v>
      </c>
      <c r="AX279" s="62">
        <v>25000</v>
      </c>
      <c r="AY279" s="17" t="s">
        <v>574</v>
      </c>
      <c r="AZ279" s="15" t="s">
        <v>561</v>
      </c>
      <c r="BA279" s="249">
        <f t="shared" si="9"/>
        <v>18</v>
      </c>
      <c r="BB279" s="249">
        <v>0</v>
      </c>
      <c r="BC279" s="249">
        <f t="shared" si="8"/>
        <v>2008</v>
      </c>
    </row>
    <row r="280" spans="1:55" x14ac:dyDescent="0.25">
      <c r="A280" s="50" t="s">
        <v>1855</v>
      </c>
      <c r="B280" s="61" t="s">
        <v>520</v>
      </c>
      <c r="C280" s="14" t="s">
        <v>337</v>
      </c>
      <c r="D280" s="14">
        <v>2008</v>
      </c>
      <c r="E280" s="14" t="s">
        <v>407</v>
      </c>
      <c r="F280" s="14"/>
      <c r="G280" s="14"/>
      <c r="H280" s="14"/>
      <c r="I280" s="14"/>
      <c r="J280" s="13">
        <v>413587</v>
      </c>
      <c r="K280" s="14" t="s">
        <v>328</v>
      </c>
      <c r="L280" s="14"/>
      <c r="M280" s="14"/>
      <c r="N280" s="13">
        <v>9000</v>
      </c>
      <c r="O280" s="24">
        <v>0.5</v>
      </c>
      <c r="P280" s="14">
        <v>2</v>
      </c>
      <c r="Q280" s="14">
        <v>900</v>
      </c>
      <c r="R280" s="13">
        <v>3960.0000000000005</v>
      </c>
      <c r="S280" s="14" t="s">
        <v>340</v>
      </c>
      <c r="T280" s="14">
        <v>2.2000000000000002</v>
      </c>
      <c r="U280" s="14">
        <v>2.9</v>
      </c>
      <c r="V280" s="25">
        <v>4500</v>
      </c>
      <c r="W280" s="44">
        <v>63630</v>
      </c>
      <c r="X280" s="14"/>
      <c r="Y280" s="14"/>
      <c r="Z280" s="14"/>
      <c r="AA280" s="14"/>
      <c r="AB280" s="14"/>
      <c r="AC280" s="14" t="s">
        <v>328</v>
      </c>
      <c r="AD280" s="14" t="s">
        <v>328</v>
      </c>
      <c r="AE280" s="14"/>
      <c r="AF280" s="14" t="s">
        <v>328</v>
      </c>
      <c r="AG280" s="14"/>
      <c r="AH280" s="14"/>
      <c r="AI280" s="14"/>
      <c r="AJ280" s="14"/>
      <c r="AK280" s="14"/>
      <c r="AL280" s="14"/>
      <c r="AM280" s="14"/>
      <c r="AN280" s="13">
        <v>18000</v>
      </c>
      <c r="AO280" s="13">
        <v>18000</v>
      </c>
      <c r="AP280" s="13">
        <v>250000</v>
      </c>
      <c r="AQ280" s="13">
        <v>100000</v>
      </c>
      <c r="AR280" s="13">
        <v>18000</v>
      </c>
      <c r="AS280" s="26">
        <v>240000</v>
      </c>
      <c r="AT280" s="26">
        <v>0</v>
      </c>
      <c r="AU280" s="26">
        <v>150000</v>
      </c>
      <c r="AV280" s="26">
        <v>120000</v>
      </c>
      <c r="AW280" s="26">
        <v>38000</v>
      </c>
      <c r="AX280" s="62">
        <v>25000</v>
      </c>
      <c r="AY280" s="17" t="s">
        <v>574</v>
      </c>
      <c r="AZ280" s="15" t="s">
        <v>561</v>
      </c>
      <c r="BA280" s="249">
        <f t="shared" si="9"/>
        <v>18</v>
      </c>
      <c r="BB280" s="249">
        <v>0</v>
      </c>
      <c r="BC280" s="249">
        <f t="shared" si="8"/>
        <v>2008</v>
      </c>
    </row>
    <row r="281" spans="1:55" x14ac:dyDescent="0.25">
      <c r="A281" s="50" t="s">
        <v>1855</v>
      </c>
      <c r="B281" s="61" t="s">
        <v>521</v>
      </c>
      <c r="C281" s="14" t="s">
        <v>337</v>
      </c>
      <c r="D281" s="14">
        <v>1999</v>
      </c>
      <c r="E281" s="14" t="s">
        <v>407</v>
      </c>
      <c r="F281" s="14"/>
      <c r="G281" s="14"/>
      <c r="H281" s="14"/>
      <c r="I281" s="14"/>
      <c r="J281" s="13">
        <v>735214</v>
      </c>
      <c r="K281" s="14"/>
      <c r="L281" s="14"/>
      <c r="M281" s="14" t="s">
        <v>328</v>
      </c>
      <c r="N281" s="13">
        <v>8333.3333333333339</v>
      </c>
      <c r="O281" s="24">
        <v>0.2</v>
      </c>
      <c r="P281" s="14">
        <v>3</v>
      </c>
      <c r="Q281" s="14">
        <v>1154</v>
      </c>
      <c r="R281" s="13">
        <v>7270.2000000000007</v>
      </c>
      <c r="S281" s="14" t="s">
        <v>340</v>
      </c>
      <c r="T281" s="14">
        <v>2.1</v>
      </c>
      <c r="U281" s="14">
        <v>3</v>
      </c>
      <c r="V281" s="25">
        <v>4500</v>
      </c>
      <c r="W281" s="44">
        <v>63630</v>
      </c>
      <c r="X281" s="14"/>
      <c r="Y281" s="14" t="s">
        <v>328</v>
      </c>
      <c r="Z281" s="14"/>
      <c r="AA281" s="14"/>
      <c r="AB281" s="14"/>
      <c r="AC281" s="14"/>
      <c r="AD281" s="15" t="s">
        <v>332</v>
      </c>
      <c r="AE281" s="14"/>
      <c r="AF281" s="14"/>
      <c r="AG281" s="14"/>
      <c r="AH281" s="14"/>
      <c r="AI281" s="14"/>
      <c r="AJ281" s="14"/>
      <c r="AK281" s="14"/>
      <c r="AL281" s="14"/>
      <c r="AM281" s="14"/>
      <c r="AN281" s="13">
        <v>30000</v>
      </c>
      <c r="AO281" s="13">
        <v>30000</v>
      </c>
      <c r="AP281" s="13">
        <v>150000</v>
      </c>
      <c r="AQ281" s="13">
        <v>150000</v>
      </c>
      <c r="AR281" s="13">
        <v>18000</v>
      </c>
      <c r="AS281" s="26">
        <v>120000</v>
      </c>
      <c r="AT281" s="26">
        <v>0</v>
      </c>
      <c r="AU281" s="26">
        <v>80000</v>
      </c>
      <c r="AV281" s="26">
        <v>50000</v>
      </c>
      <c r="AW281" s="26">
        <v>16000</v>
      </c>
      <c r="AX281" s="62">
        <v>0</v>
      </c>
      <c r="AY281" s="17" t="s">
        <v>708</v>
      </c>
      <c r="AZ281" s="15" t="s">
        <v>561</v>
      </c>
      <c r="BA281" s="249">
        <f t="shared" si="9"/>
        <v>2</v>
      </c>
      <c r="BB281" s="249">
        <v>0</v>
      </c>
      <c r="BC281" s="249">
        <f t="shared" si="8"/>
        <v>1999</v>
      </c>
    </row>
    <row r="282" spans="1:55" x14ac:dyDescent="0.25">
      <c r="A282" s="50" t="s">
        <v>1855</v>
      </c>
      <c r="B282" s="61" t="s">
        <v>521</v>
      </c>
      <c r="C282" s="14" t="s">
        <v>337</v>
      </c>
      <c r="D282" s="14">
        <v>2000</v>
      </c>
      <c r="E282" s="14" t="s">
        <v>407</v>
      </c>
      <c r="F282" s="14"/>
      <c r="G282" s="14"/>
      <c r="H282" s="14"/>
      <c r="I282" s="14"/>
      <c r="J282" s="13">
        <v>816612</v>
      </c>
      <c r="K282" s="14"/>
      <c r="L282" s="14"/>
      <c r="M282" s="14" t="s">
        <v>328</v>
      </c>
      <c r="N282" s="13">
        <v>8333.3333333333339</v>
      </c>
      <c r="O282" s="24">
        <v>0.2</v>
      </c>
      <c r="P282" s="14">
        <v>3</v>
      </c>
      <c r="Q282" s="14">
        <v>1154</v>
      </c>
      <c r="R282" s="13">
        <v>7270.2000000000007</v>
      </c>
      <c r="S282" s="14" t="s">
        <v>340</v>
      </c>
      <c r="T282" s="14">
        <v>2.1</v>
      </c>
      <c r="U282" s="14">
        <v>3</v>
      </c>
      <c r="V282" s="25">
        <v>4500</v>
      </c>
      <c r="W282" s="44">
        <v>63630</v>
      </c>
      <c r="X282" s="14"/>
      <c r="Y282" s="14" t="s">
        <v>328</v>
      </c>
      <c r="Z282" s="14"/>
      <c r="AA282" s="14"/>
      <c r="AB282" s="14"/>
      <c r="AC282" s="14"/>
      <c r="AD282" s="15" t="s">
        <v>332</v>
      </c>
      <c r="AE282" s="14"/>
      <c r="AF282" s="14"/>
      <c r="AG282" s="14"/>
      <c r="AH282" s="14"/>
      <c r="AI282" s="14"/>
      <c r="AJ282" s="14"/>
      <c r="AK282" s="14"/>
      <c r="AL282" s="14"/>
      <c r="AM282" s="14"/>
      <c r="AN282" s="13">
        <v>30000</v>
      </c>
      <c r="AO282" s="13">
        <v>30000</v>
      </c>
      <c r="AP282" s="13">
        <v>150000</v>
      </c>
      <c r="AQ282" s="13">
        <v>150000</v>
      </c>
      <c r="AR282" s="13">
        <v>30000</v>
      </c>
      <c r="AS282" s="26">
        <v>120000</v>
      </c>
      <c r="AT282" s="26">
        <v>0</v>
      </c>
      <c r="AU282" s="26">
        <v>80000</v>
      </c>
      <c r="AV282" s="26">
        <v>50000</v>
      </c>
      <c r="AW282" s="26">
        <v>16000</v>
      </c>
      <c r="AX282" s="62">
        <v>0</v>
      </c>
      <c r="AY282" s="17" t="s">
        <v>708</v>
      </c>
      <c r="AZ282" s="15" t="s">
        <v>561</v>
      </c>
      <c r="BA282" s="249">
        <f t="shared" si="9"/>
        <v>2</v>
      </c>
      <c r="BB282" s="249">
        <v>0</v>
      </c>
      <c r="BC282" s="249">
        <f t="shared" si="8"/>
        <v>2000</v>
      </c>
    </row>
    <row r="283" spans="1:55" x14ac:dyDescent="0.25">
      <c r="A283" s="50" t="s">
        <v>1855</v>
      </c>
      <c r="B283" s="61" t="s">
        <v>522</v>
      </c>
      <c r="C283" s="14" t="s">
        <v>337</v>
      </c>
      <c r="D283" s="14">
        <v>2000</v>
      </c>
      <c r="E283" s="14" t="s">
        <v>407</v>
      </c>
      <c r="F283" s="14"/>
      <c r="G283" s="14"/>
      <c r="H283" s="14"/>
      <c r="I283" s="14"/>
      <c r="J283" s="13">
        <v>731627</v>
      </c>
      <c r="K283" s="14"/>
      <c r="L283" s="14" t="s">
        <v>328</v>
      </c>
      <c r="M283" s="14"/>
      <c r="N283" s="13">
        <v>8333.3333333333339</v>
      </c>
      <c r="O283" s="24">
        <v>0.3</v>
      </c>
      <c r="P283" s="14">
        <v>3</v>
      </c>
      <c r="Q283" s="14">
        <v>1100</v>
      </c>
      <c r="R283" s="13">
        <v>9075</v>
      </c>
      <c r="S283" s="14" t="s">
        <v>340</v>
      </c>
      <c r="T283" s="14">
        <v>2.75</v>
      </c>
      <c r="U283" s="14">
        <v>2.9</v>
      </c>
      <c r="V283" s="25">
        <v>2244.1651705565528</v>
      </c>
      <c r="W283" s="26">
        <v>25000</v>
      </c>
      <c r="X283" s="14"/>
      <c r="Y283" s="14"/>
      <c r="Z283" s="14"/>
      <c r="AA283" s="14" t="s">
        <v>328</v>
      </c>
      <c r="AB283" s="14"/>
      <c r="AC283" s="14"/>
      <c r="AD283" s="15" t="s">
        <v>332</v>
      </c>
      <c r="AE283" s="14"/>
      <c r="AF283" s="14"/>
      <c r="AG283" s="14"/>
      <c r="AH283" s="14"/>
      <c r="AI283" s="14"/>
      <c r="AJ283" s="14"/>
      <c r="AK283" s="14"/>
      <c r="AL283" s="14"/>
      <c r="AM283" s="14"/>
      <c r="AN283" s="13">
        <v>30000</v>
      </c>
      <c r="AO283" s="13">
        <v>30000</v>
      </c>
      <c r="AP283" s="13">
        <v>100000</v>
      </c>
      <c r="AQ283" s="13">
        <v>100000</v>
      </c>
      <c r="AR283" s="13">
        <v>30000</v>
      </c>
      <c r="AS283" s="26">
        <v>120000</v>
      </c>
      <c r="AT283" s="26">
        <v>0</v>
      </c>
      <c r="AU283" s="26">
        <v>60000</v>
      </c>
      <c r="AV283" s="26" t="s">
        <v>480</v>
      </c>
      <c r="AW283" s="26">
        <v>0</v>
      </c>
      <c r="AX283" s="62">
        <v>0</v>
      </c>
      <c r="AY283" s="17" t="s">
        <v>576</v>
      </c>
      <c r="AZ283" s="14" t="s">
        <v>561</v>
      </c>
      <c r="BA283" s="249">
        <f t="shared" si="9"/>
        <v>3</v>
      </c>
      <c r="BB283" s="249">
        <v>0</v>
      </c>
      <c r="BC283" s="249">
        <f t="shared" si="8"/>
        <v>2000</v>
      </c>
    </row>
    <row r="284" spans="1:55" x14ac:dyDescent="0.25">
      <c r="A284" s="50" t="s">
        <v>1855</v>
      </c>
      <c r="B284" s="61" t="s">
        <v>522</v>
      </c>
      <c r="C284" s="14" t="s">
        <v>337</v>
      </c>
      <c r="D284" s="14">
        <v>2001</v>
      </c>
      <c r="E284" s="14" t="s">
        <v>407</v>
      </c>
      <c r="F284" s="14"/>
      <c r="G284" s="14"/>
      <c r="H284" s="14"/>
      <c r="I284" s="14"/>
      <c r="J284" s="13">
        <v>1010514</v>
      </c>
      <c r="K284" s="14" t="s">
        <v>328</v>
      </c>
      <c r="L284" s="14"/>
      <c r="M284" s="14"/>
      <c r="N284" s="13">
        <v>8333.3333333333339</v>
      </c>
      <c r="O284" s="24">
        <v>0.3</v>
      </c>
      <c r="P284" s="14">
        <v>3</v>
      </c>
      <c r="Q284" s="14">
        <v>1150</v>
      </c>
      <c r="R284" s="13">
        <v>9487.5</v>
      </c>
      <c r="S284" s="14" t="s">
        <v>340</v>
      </c>
      <c r="T284" s="14">
        <v>2.75</v>
      </c>
      <c r="U284" s="14">
        <v>2.9</v>
      </c>
      <c r="V284" s="25">
        <v>2244.1651705565528</v>
      </c>
      <c r="W284" s="26">
        <v>25000</v>
      </c>
      <c r="X284" s="14"/>
      <c r="Y284" s="14" t="s">
        <v>328</v>
      </c>
      <c r="Z284" s="14"/>
      <c r="AA284" s="14"/>
      <c r="AB284" s="14"/>
      <c r="AC284" s="14"/>
      <c r="AD284" s="15" t="s">
        <v>332</v>
      </c>
      <c r="AE284" s="14"/>
      <c r="AF284" s="14"/>
      <c r="AG284" s="14"/>
      <c r="AH284" s="14"/>
      <c r="AI284" s="14"/>
      <c r="AJ284" s="14"/>
      <c r="AK284" s="14"/>
      <c r="AL284" s="14"/>
      <c r="AM284" s="14"/>
      <c r="AN284" s="13">
        <v>30000</v>
      </c>
      <c r="AO284" s="13">
        <v>30000</v>
      </c>
      <c r="AP284" s="13">
        <v>100000</v>
      </c>
      <c r="AQ284" s="13">
        <v>100000</v>
      </c>
      <c r="AR284" s="13">
        <v>30000</v>
      </c>
      <c r="AS284" s="26">
        <v>144000</v>
      </c>
      <c r="AT284" s="26">
        <v>0</v>
      </c>
      <c r="AU284" s="26">
        <v>60000</v>
      </c>
      <c r="AV284" s="26" t="s">
        <v>480</v>
      </c>
      <c r="AW284" s="26">
        <v>0</v>
      </c>
      <c r="AX284" s="62">
        <v>0</v>
      </c>
      <c r="AY284" s="17" t="s">
        <v>708</v>
      </c>
      <c r="AZ284" s="14" t="s">
        <v>561</v>
      </c>
      <c r="BA284" s="249">
        <f t="shared" si="9"/>
        <v>3</v>
      </c>
      <c r="BB284" s="249">
        <v>0</v>
      </c>
      <c r="BC284" s="249">
        <f t="shared" si="8"/>
        <v>2001</v>
      </c>
    </row>
    <row r="285" spans="1:55" x14ac:dyDescent="0.25">
      <c r="A285" s="50" t="s">
        <v>1855</v>
      </c>
      <c r="B285" s="61" t="s">
        <v>522</v>
      </c>
      <c r="C285" s="14" t="s">
        <v>351</v>
      </c>
      <c r="D285" s="14">
        <v>1997</v>
      </c>
      <c r="E285" s="14" t="s">
        <v>407</v>
      </c>
      <c r="F285" s="14"/>
      <c r="G285" s="14"/>
      <c r="H285" s="14"/>
      <c r="I285" s="14"/>
      <c r="J285" s="13">
        <v>1215606</v>
      </c>
      <c r="K285" s="14"/>
      <c r="L285" s="14"/>
      <c r="M285" s="14" t="s">
        <v>328</v>
      </c>
      <c r="N285" s="13">
        <v>8333.3333333333339</v>
      </c>
      <c r="O285" s="24">
        <v>0.3</v>
      </c>
      <c r="P285" s="14">
        <v>2</v>
      </c>
      <c r="Q285" s="14">
        <v>600</v>
      </c>
      <c r="R285" s="13">
        <v>4920</v>
      </c>
      <c r="S285" s="14" t="s">
        <v>340</v>
      </c>
      <c r="T285" s="14">
        <v>4.0999999999999996</v>
      </c>
      <c r="U285" s="14">
        <v>4.4000000000000004</v>
      </c>
      <c r="V285" s="25">
        <v>2244.1651705565528</v>
      </c>
      <c r="W285" s="26">
        <v>25000</v>
      </c>
      <c r="X285" s="14"/>
      <c r="Y285" s="14"/>
      <c r="Z285" s="14"/>
      <c r="AA285" s="14" t="s">
        <v>328</v>
      </c>
      <c r="AB285" s="14"/>
      <c r="AC285" s="14"/>
      <c r="AD285" s="15" t="s">
        <v>332</v>
      </c>
      <c r="AE285" s="14"/>
      <c r="AF285" s="14"/>
      <c r="AG285" s="14"/>
      <c r="AH285" s="14"/>
      <c r="AI285" s="14"/>
      <c r="AJ285" s="14"/>
      <c r="AK285" s="14"/>
      <c r="AL285" s="14"/>
      <c r="AM285" s="14"/>
      <c r="AN285" s="13">
        <v>30000</v>
      </c>
      <c r="AO285" s="13">
        <v>30000</v>
      </c>
      <c r="AP285" s="13">
        <v>100000</v>
      </c>
      <c r="AQ285" s="13">
        <v>100000</v>
      </c>
      <c r="AR285" s="13">
        <v>30000</v>
      </c>
      <c r="AS285" s="26">
        <v>96000</v>
      </c>
      <c r="AT285" s="26">
        <v>0</v>
      </c>
      <c r="AU285" s="26">
        <v>30000</v>
      </c>
      <c r="AV285" s="26" t="s">
        <v>480</v>
      </c>
      <c r="AW285" s="26">
        <v>0</v>
      </c>
      <c r="AX285" s="62">
        <v>0</v>
      </c>
      <c r="AY285" s="17" t="s">
        <v>1147</v>
      </c>
      <c r="AZ285" s="14" t="s">
        <v>351</v>
      </c>
      <c r="BA285" s="249">
        <f t="shared" si="9"/>
        <v>3</v>
      </c>
      <c r="BB285" s="249">
        <v>0</v>
      </c>
      <c r="BC285" s="249">
        <f t="shared" si="8"/>
        <v>1997</v>
      </c>
    </row>
    <row r="286" spans="1:55" x14ac:dyDescent="0.25">
      <c r="A286" s="50" t="s">
        <v>1855</v>
      </c>
      <c r="B286" s="61" t="s">
        <v>523</v>
      </c>
      <c r="C286" s="14" t="s">
        <v>337</v>
      </c>
      <c r="D286" s="14">
        <v>1997</v>
      </c>
      <c r="E286" s="14" t="s">
        <v>407</v>
      </c>
      <c r="F286" s="14"/>
      <c r="G286" s="14"/>
      <c r="H286" s="14"/>
      <c r="I286" s="14"/>
      <c r="J286" s="13">
        <v>925213</v>
      </c>
      <c r="K286" s="14"/>
      <c r="L286" s="14" t="s">
        <v>328</v>
      </c>
      <c r="M286" s="14"/>
      <c r="N286" s="13">
        <v>6000</v>
      </c>
      <c r="O286" s="24">
        <v>0.2</v>
      </c>
      <c r="P286" s="14">
        <v>2</v>
      </c>
      <c r="Q286" s="14">
        <v>900</v>
      </c>
      <c r="R286" s="13">
        <v>3780</v>
      </c>
      <c r="S286" s="14" t="s">
        <v>340</v>
      </c>
      <c r="T286" s="14">
        <v>2.1</v>
      </c>
      <c r="U286" s="14">
        <v>2.6</v>
      </c>
      <c r="V286" s="25">
        <v>3141.8312387791739</v>
      </c>
      <c r="W286" s="26">
        <v>35000</v>
      </c>
      <c r="X286" s="14"/>
      <c r="Y286" s="14"/>
      <c r="Z286" s="14"/>
      <c r="AA286" s="14"/>
      <c r="AB286" s="14" t="s">
        <v>328</v>
      </c>
      <c r="AC286" s="14"/>
      <c r="AD286" s="15" t="s">
        <v>332</v>
      </c>
      <c r="AE286" s="14"/>
      <c r="AF286" s="14"/>
      <c r="AG286" s="14"/>
      <c r="AH286" s="14"/>
      <c r="AI286" s="14"/>
      <c r="AJ286" s="14"/>
      <c r="AK286" s="14"/>
      <c r="AL286" s="14"/>
      <c r="AM286" s="14"/>
      <c r="AN286" s="13">
        <v>25000</v>
      </c>
      <c r="AO286" s="13">
        <v>25000</v>
      </c>
      <c r="AP286" s="13">
        <v>100000</v>
      </c>
      <c r="AQ286" s="13">
        <v>100000</v>
      </c>
      <c r="AR286" s="13">
        <v>25000</v>
      </c>
      <c r="AS286" s="26">
        <v>90000</v>
      </c>
      <c r="AT286" s="26">
        <v>0</v>
      </c>
      <c r="AU286" s="26">
        <v>40000</v>
      </c>
      <c r="AV286" s="26">
        <v>60000</v>
      </c>
      <c r="AW286" s="26">
        <v>18000</v>
      </c>
      <c r="AX286" s="62">
        <v>0</v>
      </c>
      <c r="AY286" s="17" t="s">
        <v>708</v>
      </c>
      <c r="AZ286" s="14" t="s">
        <v>562</v>
      </c>
      <c r="BA286" s="249">
        <f t="shared" si="9"/>
        <v>5</v>
      </c>
      <c r="BB286" s="249">
        <v>0</v>
      </c>
      <c r="BC286" s="249">
        <f t="shared" si="8"/>
        <v>1997</v>
      </c>
    </row>
    <row r="287" spans="1:55" x14ac:dyDescent="0.25">
      <c r="A287" s="50" t="s">
        <v>1855</v>
      </c>
      <c r="B287" s="61" t="s">
        <v>523</v>
      </c>
      <c r="C287" s="14" t="s">
        <v>337</v>
      </c>
      <c r="D287" s="14">
        <v>1998</v>
      </c>
      <c r="E287" s="14" t="s">
        <v>407</v>
      </c>
      <c r="F287" s="14"/>
      <c r="G287" s="14"/>
      <c r="H287" s="14"/>
      <c r="I287" s="14"/>
      <c r="J287" s="13">
        <v>973115</v>
      </c>
      <c r="K287" s="14"/>
      <c r="L287" s="14" t="s">
        <v>328</v>
      </c>
      <c r="M287" s="14"/>
      <c r="N287" s="13">
        <v>6000</v>
      </c>
      <c r="O287" s="24">
        <v>0.2</v>
      </c>
      <c r="P287" s="14">
        <v>2</v>
      </c>
      <c r="Q287" s="14">
        <v>900</v>
      </c>
      <c r="R287" s="13">
        <v>3780</v>
      </c>
      <c r="S287" s="14" t="s">
        <v>340</v>
      </c>
      <c r="T287" s="14">
        <v>2.1</v>
      </c>
      <c r="U287" s="14">
        <v>2.6</v>
      </c>
      <c r="V287" s="25">
        <v>3141.8312387791739</v>
      </c>
      <c r="W287" s="26">
        <v>35000</v>
      </c>
      <c r="X287" s="14"/>
      <c r="Y287" s="14"/>
      <c r="Z287" s="14"/>
      <c r="AA287" s="14"/>
      <c r="AB287" s="14" t="s">
        <v>328</v>
      </c>
      <c r="AC287" s="14"/>
      <c r="AD287" s="15" t="s">
        <v>332</v>
      </c>
      <c r="AE287" s="14"/>
      <c r="AF287" s="14"/>
      <c r="AG287" s="14"/>
      <c r="AH287" s="14"/>
      <c r="AI287" s="14"/>
      <c r="AJ287" s="14"/>
      <c r="AK287" s="14"/>
      <c r="AL287" s="14"/>
      <c r="AM287" s="14"/>
      <c r="AN287" s="13">
        <v>25000</v>
      </c>
      <c r="AO287" s="13">
        <v>25000</v>
      </c>
      <c r="AP287" s="13">
        <v>100000</v>
      </c>
      <c r="AQ287" s="13">
        <v>100000</v>
      </c>
      <c r="AR287" s="13">
        <v>25000</v>
      </c>
      <c r="AS287" s="26">
        <v>90000</v>
      </c>
      <c r="AT287" s="26">
        <v>0</v>
      </c>
      <c r="AU287" s="26">
        <v>40000</v>
      </c>
      <c r="AV287" s="26">
        <v>60000</v>
      </c>
      <c r="AW287" s="26">
        <v>18000</v>
      </c>
      <c r="AX287" s="62">
        <v>0</v>
      </c>
      <c r="AY287" s="17" t="s">
        <v>708</v>
      </c>
      <c r="AZ287" s="14" t="s">
        <v>562</v>
      </c>
      <c r="BA287" s="249">
        <f t="shared" si="9"/>
        <v>5</v>
      </c>
      <c r="BB287" s="249">
        <v>0</v>
      </c>
      <c r="BC287" s="249">
        <f t="shared" si="8"/>
        <v>1998</v>
      </c>
    </row>
    <row r="288" spans="1:55" x14ac:dyDescent="0.25">
      <c r="A288" s="50" t="s">
        <v>1855</v>
      </c>
      <c r="B288" s="61" t="s">
        <v>523</v>
      </c>
      <c r="C288" s="14" t="s">
        <v>337</v>
      </c>
      <c r="D288" s="14">
        <v>1998</v>
      </c>
      <c r="E288" s="14" t="s">
        <v>407</v>
      </c>
      <c r="F288" s="14"/>
      <c r="G288" s="14"/>
      <c r="H288" s="14"/>
      <c r="I288" s="14"/>
      <c r="J288" s="13">
        <v>988716</v>
      </c>
      <c r="K288" s="14"/>
      <c r="L288" s="14" t="s">
        <v>328</v>
      </c>
      <c r="M288" s="14"/>
      <c r="N288" s="13">
        <v>6000</v>
      </c>
      <c r="O288" s="24">
        <v>0.2</v>
      </c>
      <c r="P288" s="14">
        <v>2</v>
      </c>
      <c r="Q288" s="14">
        <v>900</v>
      </c>
      <c r="R288" s="13">
        <v>3780</v>
      </c>
      <c r="S288" s="14" t="s">
        <v>340</v>
      </c>
      <c r="T288" s="14">
        <v>2.1</v>
      </c>
      <c r="U288" s="14">
        <v>2.6</v>
      </c>
      <c r="V288" s="25">
        <v>3141.8312387791739</v>
      </c>
      <c r="W288" s="26">
        <v>35000</v>
      </c>
      <c r="X288" s="14"/>
      <c r="Y288" s="14"/>
      <c r="Z288" s="14"/>
      <c r="AA288" s="14"/>
      <c r="AB288" s="14" t="s">
        <v>328</v>
      </c>
      <c r="AC288" s="14"/>
      <c r="AD288" s="15" t="s">
        <v>332</v>
      </c>
      <c r="AE288" s="14"/>
      <c r="AF288" s="14"/>
      <c r="AG288" s="14"/>
      <c r="AH288" s="14"/>
      <c r="AI288" s="14"/>
      <c r="AJ288" s="14"/>
      <c r="AK288" s="14"/>
      <c r="AL288" s="14"/>
      <c r="AM288" s="14"/>
      <c r="AN288" s="13">
        <v>25000</v>
      </c>
      <c r="AO288" s="13">
        <v>25000</v>
      </c>
      <c r="AP288" s="13">
        <v>100000</v>
      </c>
      <c r="AQ288" s="13">
        <v>100000</v>
      </c>
      <c r="AR288" s="13">
        <v>25000</v>
      </c>
      <c r="AS288" s="26">
        <v>90000</v>
      </c>
      <c r="AT288" s="26">
        <v>0</v>
      </c>
      <c r="AU288" s="26">
        <v>40000</v>
      </c>
      <c r="AV288" s="26">
        <v>60000</v>
      </c>
      <c r="AW288" s="26">
        <v>18000</v>
      </c>
      <c r="AX288" s="62">
        <v>0</v>
      </c>
      <c r="AY288" s="17" t="s">
        <v>708</v>
      </c>
      <c r="AZ288" s="14" t="s">
        <v>562</v>
      </c>
      <c r="BA288" s="249">
        <f t="shared" si="9"/>
        <v>5</v>
      </c>
      <c r="BB288" s="249">
        <v>0</v>
      </c>
      <c r="BC288" s="249">
        <f t="shared" si="8"/>
        <v>1998</v>
      </c>
    </row>
    <row r="289" spans="1:55" x14ac:dyDescent="0.25">
      <c r="A289" s="50" t="s">
        <v>1855</v>
      </c>
      <c r="B289" s="61" t="s">
        <v>523</v>
      </c>
      <c r="C289" s="14" t="s">
        <v>337</v>
      </c>
      <c r="D289" s="14">
        <v>2000</v>
      </c>
      <c r="E289" s="14" t="s">
        <v>407</v>
      </c>
      <c r="F289" s="14"/>
      <c r="G289" s="14"/>
      <c r="H289" s="14"/>
      <c r="I289" s="14"/>
      <c r="J289" s="13">
        <v>796653</v>
      </c>
      <c r="K289" s="14"/>
      <c r="L289" s="14" t="s">
        <v>328</v>
      </c>
      <c r="M289" s="14"/>
      <c r="N289" s="13">
        <v>8000</v>
      </c>
      <c r="O289" s="24">
        <v>0.2</v>
      </c>
      <c r="P289" s="14">
        <v>2</v>
      </c>
      <c r="Q289" s="14">
        <v>1150</v>
      </c>
      <c r="R289" s="13">
        <v>5520</v>
      </c>
      <c r="S289" s="14" t="s">
        <v>340</v>
      </c>
      <c r="T289" s="14">
        <v>2.4</v>
      </c>
      <c r="U289" s="14">
        <v>2.8</v>
      </c>
      <c r="V289" s="25">
        <v>3590.6642728904844</v>
      </c>
      <c r="W289" s="26">
        <v>40000</v>
      </c>
      <c r="X289" s="14"/>
      <c r="Y289" s="14"/>
      <c r="Z289" s="14"/>
      <c r="AA289" s="14"/>
      <c r="AB289" s="14" t="s">
        <v>328</v>
      </c>
      <c r="AC289" s="14"/>
      <c r="AD289" s="15" t="s">
        <v>332</v>
      </c>
      <c r="AE289" s="14"/>
      <c r="AF289" s="14"/>
      <c r="AG289" s="14"/>
      <c r="AH289" s="14"/>
      <c r="AI289" s="14"/>
      <c r="AJ289" s="14"/>
      <c r="AK289" s="14"/>
      <c r="AL289" s="14"/>
      <c r="AM289" s="14"/>
      <c r="AN289" s="13">
        <v>25000</v>
      </c>
      <c r="AO289" s="13">
        <v>25000</v>
      </c>
      <c r="AP289" s="13">
        <v>100000</v>
      </c>
      <c r="AQ289" s="13">
        <v>100000</v>
      </c>
      <c r="AR289" s="13">
        <v>25000</v>
      </c>
      <c r="AS289" s="26">
        <v>108000</v>
      </c>
      <c r="AT289" s="26">
        <v>0</v>
      </c>
      <c r="AU289" s="26">
        <v>40000</v>
      </c>
      <c r="AV289" s="26">
        <v>36000</v>
      </c>
      <c r="AW289" s="26">
        <v>21600</v>
      </c>
      <c r="AX289" s="62">
        <v>0</v>
      </c>
      <c r="AY289" s="17" t="s">
        <v>708</v>
      </c>
      <c r="AZ289" s="14" t="s">
        <v>562</v>
      </c>
      <c r="BA289" s="249">
        <f t="shared" si="9"/>
        <v>5</v>
      </c>
      <c r="BB289" s="249">
        <v>0</v>
      </c>
      <c r="BC289" s="249">
        <f t="shared" si="8"/>
        <v>2000</v>
      </c>
    </row>
    <row r="290" spans="1:55" x14ac:dyDescent="0.25">
      <c r="A290" s="50" t="s">
        <v>1855</v>
      </c>
      <c r="B290" s="61" t="s">
        <v>523</v>
      </c>
      <c r="C290" s="14" t="s">
        <v>337</v>
      </c>
      <c r="D290" s="14">
        <v>2000</v>
      </c>
      <c r="E290" s="14" t="s">
        <v>407</v>
      </c>
      <c r="F290" s="14"/>
      <c r="G290" s="14"/>
      <c r="H290" s="14"/>
      <c r="I290" s="14"/>
      <c r="J290" s="13">
        <v>815620</v>
      </c>
      <c r="K290" s="14"/>
      <c r="L290" s="14" t="s">
        <v>328</v>
      </c>
      <c r="M290" s="14"/>
      <c r="N290" s="13">
        <v>8000</v>
      </c>
      <c r="O290" s="24">
        <v>0.2</v>
      </c>
      <c r="P290" s="14">
        <v>2</v>
      </c>
      <c r="Q290" s="14">
        <v>1150</v>
      </c>
      <c r="R290" s="13">
        <v>5520</v>
      </c>
      <c r="S290" s="14" t="s">
        <v>340</v>
      </c>
      <c r="T290" s="14">
        <v>2.4</v>
      </c>
      <c r="U290" s="14">
        <v>2.8</v>
      </c>
      <c r="V290" s="25">
        <v>3590.6642728904844</v>
      </c>
      <c r="W290" s="26">
        <v>40000</v>
      </c>
      <c r="X290" s="14"/>
      <c r="Y290" s="14"/>
      <c r="Z290" s="14"/>
      <c r="AA290" s="14"/>
      <c r="AB290" s="14" t="s">
        <v>328</v>
      </c>
      <c r="AC290" s="14"/>
      <c r="AD290" s="15" t="s">
        <v>332</v>
      </c>
      <c r="AE290" s="14"/>
      <c r="AF290" s="14"/>
      <c r="AG290" s="14"/>
      <c r="AH290" s="14"/>
      <c r="AI290" s="14"/>
      <c r="AJ290" s="14"/>
      <c r="AK290" s="14"/>
      <c r="AL290" s="14"/>
      <c r="AM290" s="14"/>
      <c r="AN290" s="13">
        <v>25000</v>
      </c>
      <c r="AO290" s="13">
        <v>25000</v>
      </c>
      <c r="AP290" s="13">
        <v>100000</v>
      </c>
      <c r="AQ290" s="13">
        <v>100000</v>
      </c>
      <c r="AR290" s="13">
        <v>25000</v>
      </c>
      <c r="AS290" s="26">
        <v>108000</v>
      </c>
      <c r="AT290" s="26">
        <v>0</v>
      </c>
      <c r="AU290" s="26">
        <v>40000</v>
      </c>
      <c r="AV290" s="26">
        <v>36000</v>
      </c>
      <c r="AW290" s="26">
        <v>21600</v>
      </c>
      <c r="AX290" s="62">
        <v>0</v>
      </c>
      <c r="AY290" s="17" t="s">
        <v>708</v>
      </c>
      <c r="AZ290" s="14" t="s">
        <v>562</v>
      </c>
      <c r="BA290" s="249">
        <f t="shared" si="9"/>
        <v>5</v>
      </c>
      <c r="BB290" s="249">
        <v>0</v>
      </c>
      <c r="BC290" s="249">
        <f t="shared" si="8"/>
        <v>2000</v>
      </c>
    </row>
    <row r="291" spans="1:55" x14ac:dyDescent="0.25">
      <c r="A291" s="50" t="s">
        <v>1855</v>
      </c>
      <c r="B291" s="61" t="s">
        <v>524</v>
      </c>
      <c r="C291" s="14" t="s">
        <v>351</v>
      </c>
      <c r="D291" s="14">
        <v>2007</v>
      </c>
      <c r="E291" s="14" t="s">
        <v>349</v>
      </c>
      <c r="F291" s="14"/>
      <c r="G291" s="14"/>
      <c r="H291" s="14"/>
      <c r="I291" s="14"/>
      <c r="J291" s="13">
        <v>417523</v>
      </c>
      <c r="K291" s="14" t="s">
        <v>328</v>
      </c>
      <c r="L291" s="14"/>
      <c r="M291" s="14"/>
      <c r="N291" s="13">
        <v>6000</v>
      </c>
      <c r="O291" s="24">
        <v>0</v>
      </c>
      <c r="P291" s="14">
        <v>2</v>
      </c>
      <c r="Q291" s="14">
        <v>400</v>
      </c>
      <c r="R291" s="13">
        <v>3200</v>
      </c>
      <c r="S291" s="14" t="s">
        <v>340</v>
      </c>
      <c r="T291" s="14">
        <v>4</v>
      </c>
      <c r="U291" s="14">
        <v>4.3</v>
      </c>
      <c r="V291" s="25">
        <v>1615.7989228007179</v>
      </c>
      <c r="W291" s="26">
        <v>18000</v>
      </c>
      <c r="X291" s="14"/>
      <c r="Y291" s="14"/>
      <c r="Z291" s="14"/>
      <c r="AA291" s="14"/>
      <c r="AB291" s="14" t="s">
        <v>328</v>
      </c>
      <c r="AC291" s="14"/>
      <c r="AD291" s="14" t="s">
        <v>328</v>
      </c>
      <c r="AE291" s="14"/>
      <c r="AF291" s="14"/>
      <c r="AG291" s="14"/>
      <c r="AH291" s="14"/>
      <c r="AI291" s="14"/>
      <c r="AJ291" s="14"/>
      <c r="AK291" s="14"/>
      <c r="AL291" s="14"/>
      <c r="AM291" s="14"/>
      <c r="AN291" s="13">
        <v>20000</v>
      </c>
      <c r="AO291" s="13">
        <v>20000</v>
      </c>
      <c r="AP291" s="13">
        <v>200000</v>
      </c>
      <c r="AQ291" s="13">
        <v>200000</v>
      </c>
      <c r="AR291" s="13">
        <v>20000</v>
      </c>
      <c r="AS291" s="26">
        <v>90000</v>
      </c>
      <c r="AT291" s="26">
        <v>0</v>
      </c>
      <c r="AU291" s="26">
        <v>23333.333333333332</v>
      </c>
      <c r="AV291" s="26" t="s">
        <v>480</v>
      </c>
      <c r="AW291" s="26">
        <v>18000</v>
      </c>
      <c r="AX291" s="62">
        <v>0</v>
      </c>
      <c r="AY291" s="17" t="s">
        <v>1150</v>
      </c>
      <c r="AZ291" s="14" t="s">
        <v>351</v>
      </c>
      <c r="BA291" s="249">
        <f t="shared" si="9"/>
        <v>3</v>
      </c>
      <c r="BB291" s="249">
        <v>0</v>
      </c>
      <c r="BC291" s="249">
        <f t="shared" si="8"/>
        <v>2007</v>
      </c>
    </row>
    <row r="292" spans="1:55" x14ac:dyDescent="0.25">
      <c r="A292" s="50" t="s">
        <v>1855</v>
      </c>
      <c r="B292" s="61" t="s">
        <v>524</v>
      </c>
      <c r="C292" s="14" t="s">
        <v>351</v>
      </c>
      <c r="D292" s="14">
        <v>2007</v>
      </c>
      <c r="E292" s="14" t="s">
        <v>349</v>
      </c>
      <c r="F292" s="14"/>
      <c r="G292" s="14"/>
      <c r="H292" s="14"/>
      <c r="I292" s="14"/>
      <c r="J292" s="13">
        <v>429962</v>
      </c>
      <c r="K292" s="14" t="s">
        <v>328</v>
      </c>
      <c r="L292" s="14"/>
      <c r="M292" s="14"/>
      <c r="N292" s="13">
        <v>6000</v>
      </c>
      <c r="O292" s="24">
        <v>0</v>
      </c>
      <c r="P292" s="14">
        <v>2</v>
      </c>
      <c r="Q292" s="14">
        <v>400</v>
      </c>
      <c r="R292" s="13">
        <v>3200</v>
      </c>
      <c r="S292" s="14" t="s">
        <v>340</v>
      </c>
      <c r="T292" s="14">
        <v>4</v>
      </c>
      <c r="U292" s="14">
        <v>4.3</v>
      </c>
      <c r="V292" s="25">
        <v>1615.7989228007179</v>
      </c>
      <c r="W292" s="26">
        <v>18000</v>
      </c>
      <c r="X292" s="14"/>
      <c r="Y292" s="14"/>
      <c r="Z292" s="14"/>
      <c r="AA292" s="14"/>
      <c r="AB292" s="14" t="s">
        <v>328</v>
      </c>
      <c r="AC292" s="14"/>
      <c r="AD292" s="14" t="s">
        <v>328</v>
      </c>
      <c r="AE292" s="14"/>
      <c r="AF292" s="14"/>
      <c r="AG292" s="14"/>
      <c r="AH292" s="14"/>
      <c r="AI292" s="14"/>
      <c r="AJ292" s="14"/>
      <c r="AK292" s="14"/>
      <c r="AL292" s="14"/>
      <c r="AM292" s="14"/>
      <c r="AN292" s="13">
        <v>20000</v>
      </c>
      <c r="AO292" s="13">
        <v>20000</v>
      </c>
      <c r="AP292" s="13">
        <v>200000</v>
      </c>
      <c r="AQ292" s="13">
        <v>200000</v>
      </c>
      <c r="AR292" s="13">
        <v>20000</v>
      </c>
      <c r="AS292" s="26">
        <v>90000</v>
      </c>
      <c r="AT292" s="26">
        <v>0</v>
      </c>
      <c r="AU292" s="26">
        <v>23333.333333333332</v>
      </c>
      <c r="AV292" s="26" t="s">
        <v>480</v>
      </c>
      <c r="AW292" s="26">
        <v>18000</v>
      </c>
      <c r="AX292" s="62">
        <v>0</v>
      </c>
      <c r="AY292" s="17" t="s">
        <v>1150</v>
      </c>
      <c r="AZ292" s="14" t="s">
        <v>351</v>
      </c>
      <c r="BA292" s="249">
        <f t="shared" si="9"/>
        <v>3</v>
      </c>
      <c r="BB292" s="249">
        <v>0</v>
      </c>
      <c r="BC292" s="249">
        <f t="shared" si="8"/>
        <v>2007</v>
      </c>
    </row>
    <row r="293" spans="1:55" x14ac:dyDescent="0.25">
      <c r="A293" s="50" t="s">
        <v>1855</v>
      </c>
      <c r="B293" s="61" t="s">
        <v>524</v>
      </c>
      <c r="C293" s="14" t="s">
        <v>351</v>
      </c>
      <c r="D293" s="14">
        <v>2008</v>
      </c>
      <c r="E293" s="14" t="s">
        <v>349</v>
      </c>
      <c r="F293" s="14"/>
      <c r="G293" s="14"/>
      <c r="H293" s="14"/>
      <c r="I293" s="14"/>
      <c r="J293" s="13">
        <v>356717</v>
      </c>
      <c r="K293" s="14" t="s">
        <v>328</v>
      </c>
      <c r="L293" s="14"/>
      <c r="M293" s="14"/>
      <c r="N293" s="13">
        <v>6000</v>
      </c>
      <c r="O293" s="24">
        <v>0</v>
      </c>
      <c r="P293" s="14">
        <v>2</v>
      </c>
      <c r="Q293" s="14">
        <v>400</v>
      </c>
      <c r="R293" s="13">
        <v>3200</v>
      </c>
      <c r="S293" s="14" t="s">
        <v>340</v>
      </c>
      <c r="T293" s="14">
        <v>4</v>
      </c>
      <c r="U293" s="14">
        <v>4.3</v>
      </c>
      <c r="V293" s="25">
        <v>1615.7989228007179</v>
      </c>
      <c r="W293" s="26">
        <v>18000</v>
      </c>
      <c r="X293" s="14"/>
      <c r="Y293" s="14"/>
      <c r="Z293" s="14"/>
      <c r="AA293" s="14"/>
      <c r="AB293" s="14" t="s">
        <v>328</v>
      </c>
      <c r="AC293" s="14"/>
      <c r="AD293" s="14" t="s">
        <v>328</v>
      </c>
      <c r="AE293" s="14"/>
      <c r="AF293" s="14"/>
      <c r="AG293" s="14"/>
      <c r="AH293" s="14"/>
      <c r="AI293" s="14"/>
      <c r="AJ293" s="14"/>
      <c r="AK293" s="14"/>
      <c r="AL293" s="14"/>
      <c r="AM293" s="14"/>
      <c r="AN293" s="13">
        <v>20000</v>
      </c>
      <c r="AO293" s="13">
        <v>20000</v>
      </c>
      <c r="AP293" s="13">
        <v>200000</v>
      </c>
      <c r="AQ293" s="13">
        <v>200000</v>
      </c>
      <c r="AR293" s="13">
        <v>20000</v>
      </c>
      <c r="AS293" s="26">
        <v>90000</v>
      </c>
      <c r="AT293" s="26">
        <v>0</v>
      </c>
      <c r="AU293" s="26">
        <v>23333.333333333332</v>
      </c>
      <c r="AV293" s="26" t="s">
        <v>480</v>
      </c>
      <c r="AW293" s="26">
        <v>18000</v>
      </c>
      <c r="AX293" s="62">
        <v>0</v>
      </c>
      <c r="AY293" s="17" t="s">
        <v>1150</v>
      </c>
      <c r="AZ293" s="14" t="s">
        <v>351</v>
      </c>
      <c r="BA293" s="249">
        <f t="shared" si="9"/>
        <v>3</v>
      </c>
      <c r="BB293" s="249">
        <v>0</v>
      </c>
      <c r="BC293" s="249">
        <f t="shared" si="8"/>
        <v>2008</v>
      </c>
    </row>
    <row r="294" spans="1:55" x14ac:dyDescent="0.25">
      <c r="A294" s="50" t="s">
        <v>1855</v>
      </c>
      <c r="B294" s="61" t="s">
        <v>525</v>
      </c>
      <c r="C294" s="14" t="s">
        <v>351</v>
      </c>
      <c r="D294" s="14">
        <v>1997</v>
      </c>
      <c r="E294" s="14" t="s">
        <v>477</v>
      </c>
      <c r="F294" s="14"/>
      <c r="G294" s="14"/>
      <c r="H294" s="14"/>
      <c r="I294" s="14"/>
      <c r="J294" s="13">
        <v>1250000</v>
      </c>
      <c r="K294" s="14"/>
      <c r="L294" s="14"/>
      <c r="M294" s="14" t="s">
        <v>328</v>
      </c>
      <c r="N294" s="13">
        <v>3200</v>
      </c>
      <c r="O294" s="24">
        <v>0</v>
      </c>
      <c r="P294" s="14">
        <v>2</v>
      </c>
      <c r="Q294" s="14">
        <v>600</v>
      </c>
      <c r="R294" s="13">
        <v>4800</v>
      </c>
      <c r="S294" s="14" t="s">
        <v>340</v>
      </c>
      <c r="T294" s="14">
        <v>4</v>
      </c>
      <c r="U294" s="14">
        <v>4.5</v>
      </c>
      <c r="V294" s="25">
        <v>897.66606822262111</v>
      </c>
      <c r="W294" s="26">
        <v>10000</v>
      </c>
      <c r="X294" s="14"/>
      <c r="Y294" s="14" t="s">
        <v>328</v>
      </c>
      <c r="Z294" s="14"/>
      <c r="AA294" s="14"/>
      <c r="AB294" s="14"/>
      <c r="AC294" s="14"/>
      <c r="AD294" s="15" t="s">
        <v>332</v>
      </c>
      <c r="AE294" s="14"/>
      <c r="AF294" s="14"/>
      <c r="AG294" s="14"/>
      <c r="AH294" s="14"/>
      <c r="AI294" s="14"/>
      <c r="AJ294" s="14"/>
      <c r="AK294" s="14"/>
      <c r="AL294" s="14"/>
      <c r="AM294" s="14"/>
      <c r="AN294" s="13">
        <v>30000</v>
      </c>
      <c r="AO294" s="13">
        <v>30000</v>
      </c>
      <c r="AP294" s="13">
        <v>240000</v>
      </c>
      <c r="AQ294" s="13">
        <v>200000</v>
      </c>
      <c r="AR294" s="13">
        <v>30000</v>
      </c>
      <c r="AS294" s="26">
        <v>0</v>
      </c>
      <c r="AT294" s="26">
        <v>0</v>
      </c>
      <c r="AU294" s="26">
        <v>24000</v>
      </c>
      <c r="AV294" s="26">
        <v>42000</v>
      </c>
      <c r="AW294" s="26">
        <v>0</v>
      </c>
      <c r="AX294" s="62">
        <v>0</v>
      </c>
      <c r="AY294" s="17" t="s">
        <v>1151</v>
      </c>
      <c r="AZ294" s="14" t="s">
        <v>351</v>
      </c>
      <c r="BA294" s="249">
        <f t="shared" si="9"/>
        <v>1</v>
      </c>
      <c r="BB294" s="249">
        <v>0</v>
      </c>
      <c r="BC294" s="249">
        <f t="shared" si="8"/>
        <v>1997</v>
      </c>
    </row>
    <row r="295" spans="1:55" x14ac:dyDescent="0.25">
      <c r="A295" s="50" t="s">
        <v>1855</v>
      </c>
      <c r="B295" s="61" t="s">
        <v>526</v>
      </c>
      <c r="C295" s="14" t="s">
        <v>348</v>
      </c>
      <c r="D295" s="14">
        <v>1980</v>
      </c>
      <c r="E295" s="14" t="s">
        <v>429</v>
      </c>
      <c r="F295" s="14"/>
      <c r="G295" s="14"/>
      <c r="H295" s="14"/>
      <c r="I295" s="14"/>
      <c r="J295" s="13">
        <v>136758</v>
      </c>
      <c r="K295" s="14" t="s">
        <v>328</v>
      </c>
      <c r="L295" s="14"/>
      <c r="M295" s="14"/>
      <c r="N295" s="13">
        <v>4000</v>
      </c>
      <c r="O295" s="24">
        <v>0.5</v>
      </c>
      <c r="P295" s="14">
        <v>1</v>
      </c>
      <c r="Q295" s="14">
        <v>120</v>
      </c>
      <c r="R295" s="13">
        <v>480</v>
      </c>
      <c r="S295" s="14" t="s">
        <v>371</v>
      </c>
      <c r="T295" s="14">
        <v>4</v>
      </c>
      <c r="U295" s="14">
        <v>6</v>
      </c>
      <c r="V295" s="25">
        <v>897.66606822262111</v>
      </c>
      <c r="W295" s="26">
        <v>10000</v>
      </c>
      <c r="X295" s="14"/>
      <c r="Y295" s="14" t="s">
        <v>328</v>
      </c>
      <c r="Z295" s="14"/>
      <c r="AA295" s="14"/>
      <c r="AB295" s="14"/>
      <c r="AC295" s="14"/>
      <c r="AD295" s="15" t="s">
        <v>332</v>
      </c>
      <c r="AE295" s="14"/>
      <c r="AF295" s="14"/>
      <c r="AG295" s="14"/>
      <c r="AH295" s="14"/>
      <c r="AI295" s="14"/>
      <c r="AJ295" s="14"/>
      <c r="AK295" s="14"/>
      <c r="AL295" s="14"/>
      <c r="AM295" s="14"/>
      <c r="AN295" s="13">
        <v>20000</v>
      </c>
      <c r="AO295" s="13">
        <v>40000</v>
      </c>
      <c r="AP295" s="13">
        <v>80000</v>
      </c>
      <c r="AQ295" s="13">
        <v>100000</v>
      </c>
      <c r="AR295" s="13" t="s">
        <v>385</v>
      </c>
      <c r="AS295" s="26">
        <v>96000</v>
      </c>
      <c r="AT295" s="26">
        <v>0</v>
      </c>
      <c r="AU295" s="26">
        <v>96000</v>
      </c>
      <c r="AV295" s="26">
        <v>20000</v>
      </c>
      <c r="AW295" s="26">
        <v>0</v>
      </c>
      <c r="AX295" s="62">
        <v>0</v>
      </c>
      <c r="AZ295" s="14" t="s">
        <v>348</v>
      </c>
      <c r="BA295" s="249">
        <f t="shared" si="9"/>
        <v>1</v>
      </c>
      <c r="BB295" s="249">
        <v>0</v>
      </c>
      <c r="BC295" s="249">
        <f t="shared" si="8"/>
        <v>1980</v>
      </c>
    </row>
    <row r="296" spans="1:55" x14ac:dyDescent="0.25">
      <c r="A296" s="50" t="s">
        <v>1855</v>
      </c>
      <c r="B296" s="61" t="s">
        <v>527</v>
      </c>
      <c r="C296" s="14" t="s">
        <v>337</v>
      </c>
      <c r="D296" s="14">
        <v>2003</v>
      </c>
      <c r="E296" s="14" t="s">
        <v>407</v>
      </c>
      <c r="F296" s="14"/>
      <c r="G296" s="14"/>
      <c r="H296" s="14"/>
      <c r="I296" s="14"/>
      <c r="J296" s="13">
        <v>914730</v>
      </c>
      <c r="K296" s="14"/>
      <c r="L296" s="14" t="s">
        <v>328</v>
      </c>
      <c r="M296" s="14"/>
      <c r="N296" s="13">
        <v>10000</v>
      </c>
      <c r="O296" s="24">
        <v>0</v>
      </c>
      <c r="P296" s="14">
        <v>3</v>
      </c>
      <c r="Q296" s="14">
        <v>1150</v>
      </c>
      <c r="R296" s="13">
        <v>7590.0000000000009</v>
      </c>
      <c r="S296" s="14" t="s">
        <v>340</v>
      </c>
      <c r="T296" s="14">
        <v>2.2000000000000002</v>
      </c>
      <c r="U296" s="14">
        <v>4</v>
      </c>
      <c r="V296" s="25">
        <v>2872.5314183123878</v>
      </c>
      <c r="W296" s="26">
        <v>32000</v>
      </c>
      <c r="X296" s="14"/>
      <c r="Y296" s="14"/>
      <c r="Z296" s="14"/>
      <c r="AA296" s="14"/>
      <c r="AB296" s="14" t="s">
        <v>328</v>
      </c>
      <c r="AC296" s="14"/>
      <c r="AD296" s="14" t="s">
        <v>328</v>
      </c>
      <c r="AE296" s="14"/>
      <c r="AF296" s="14"/>
      <c r="AG296" s="14"/>
      <c r="AH296" s="14"/>
      <c r="AI296" s="14"/>
      <c r="AJ296" s="14"/>
      <c r="AK296" s="14"/>
      <c r="AL296" s="14"/>
      <c r="AM296" s="14"/>
      <c r="AN296" s="13">
        <v>22500</v>
      </c>
      <c r="AO296" s="13">
        <v>22500</v>
      </c>
      <c r="AP296" s="13">
        <v>270000</v>
      </c>
      <c r="AQ296" s="13">
        <v>140000</v>
      </c>
      <c r="AR296" s="13">
        <v>22500</v>
      </c>
      <c r="AS296" s="26">
        <v>150000</v>
      </c>
      <c r="AT296" s="26">
        <v>0</v>
      </c>
      <c r="AU296" s="26">
        <v>24000</v>
      </c>
      <c r="AV296" s="26">
        <v>24000</v>
      </c>
      <c r="AW296" s="26">
        <v>22500</v>
      </c>
      <c r="AX296" s="62">
        <v>0</v>
      </c>
      <c r="AY296" s="17" t="s">
        <v>574</v>
      </c>
      <c r="AZ296" s="14" t="s">
        <v>562</v>
      </c>
      <c r="BA296" s="249">
        <f t="shared" si="9"/>
        <v>1</v>
      </c>
      <c r="BB296" s="249">
        <v>0</v>
      </c>
      <c r="BC296" s="249">
        <f t="shared" si="8"/>
        <v>2003</v>
      </c>
    </row>
    <row r="297" spans="1:55" x14ac:dyDescent="0.25">
      <c r="A297" s="50" t="s">
        <v>1855</v>
      </c>
      <c r="B297" s="61" t="s">
        <v>528</v>
      </c>
      <c r="C297" s="14" t="s">
        <v>337</v>
      </c>
      <c r="D297" s="14">
        <v>2004</v>
      </c>
      <c r="E297" s="14" t="s">
        <v>475</v>
      </c>
      <c r="F297" s="14"/>
      <c r="G297" s="14"/>
      <c r="H297" s="14"/>
      <c r="I297" s="14"/>
      <c r="J297" s="13">
        <v>1215604</v>
      </c>
      <c r="K297" s="14" t="s">
        <v>328</v>
      </c>
      <c r="L297" s="14"/>
      <c r="M297" s="14"/>
      <c r="N297" s="13">
        <v>10800</v>
      </c>
      <c r="O297" s="24">
        <v>0</v>
      </c>
      <c r="P297" s="14">
        <v>2</v>
      </c>
      <c r="Q297" s="14">
        <v>1100</v>
      </c>
      <c r="R297" s="13">
        <v>5500</v>
      </c>
      <c r="S297" s="14" t="s">
        <v>340</v>
      </c>
      <c r="T297" s="14">
        <v>2.5</v>
      </c>
      <c r="U297" s="14">
        <v>3</v>
      </c>
      <c r="V297" s="25">
        <v>4500</v>
      </c>
      <c r="W297" s="44">
        <v>63630</v>
      </c>
      <c r="X297" s="14"/>
      <c r="Y297" s="14"/>
      <c r="Z297" s="14"/>
      <c r="AA297" s="14"/>
      <c r="AB297" s="14" t="s">
        <v>328</v>
      </c>
      <c r="AC297" s="14"/>
      <c r="AD297" s="14" t="s">
        <v>328</v>
      </c>
      <c r="AE297" s="14"/>
      <c r="AF297" s="14"/>
      <c r="AG297" s="14"/>
      <c r="AH297" s="14"/>
      <c r="AI297" s="14"/>
      <c r="AJ297" s="14"/>
      <c r="AK297" s="14"/>
      <c r="AL297" s="14" t="s">
        <v>328</v>
      </c>
      <c r="AM297" s="14" t="s">
        <v>328</v>
      </c>
      <c r="AN297" s="13">
        <v>21600</v>
      </c>
      <c r="AO297" s="13">
        <v>21600</v>
      </c>
      <c r="AP297" s="13">
        <v>259200</v>
      </c>
      <c r="AQ297" s="13">
        <v>129600</v>
      </c>
      <c r="AR297" s="13">
        <v>21600</v>
      </c>
      <c r="AS297" s="26">
        <v>155520</v>
      </c>
      <c r="AT297" s="26">
        <v>0</v>
      </c>
      <c r="AU297" s="26">
        <v>69000</v>
      </c>
      <c r="AV297" s="26">
        <v>20004</v>
      </c>
      <c r="AW297" s="26">
        <v>37992</v>
      </c>
      <c r="AX297" s="62">
        <v>0</v>
      </c>
      <c r="AY297" s="17" t="s">
        <v>585</v>
      </c>
      <c r="AZ297" s="14" t="s">
        <v>562</v>
      </c>
      <c r="BA297" s="249">
        <f t="shared" si="9"/>
        <v>3</v>
      </c>
      <c r="BB297" s="249">
        <v>0</v>
      </c>
      <c r="BC297" s="249">
        <f t="shared" si="8"/>
        <v>2004</v>
      </c>
    </row>
    <row r="298" spans="1:55" x14ac:dyDescent="0.25">
      <c r="A298" s="50" t="s">
        <v>1855</v>
      </c>
      <c r="B298" s="61" t="s">
        <v>528</v>
      </c>
      <c r="C298" s="14" t="s">
        <v>337</v>
      </c>
      <c r="D298" s="14">
        <v>2005</v>
      </c>
      <c r="E298" s="14" t="s">
        <v>475</v>
      </c>
      <c r="F298" s="14"/>
      <c r="G298" s="14"/>
      <c r="H298" s="14"/>
      <c r="I298" s="14"/>
      <c r="J298" s="13">
        <v>992501</v>
      </c>
      <c r="K298" s="14" t="s">
        <v>328</v>
      </c>
      <c r="L298" s="14"/>
      <c r="M298" s="14"/>
      <c r="N298" s="13">
        <v>10800</v>
      </c>
      <c r="O298" s="24">
        <v>0</v>
      </c>
      <c r="P298" s="14">
        <v>2</v>
      </c>
      <c r="Q298" s="14">
        <v>1100</v>
      </c>
      <c r="R298" s="13">
        <v>5500</v>
      </c>
      <c r="S298" s="14" t="s">
        <v>340</v>
      </c>
      <c r="T298" s="14">
        <v>2.5</v>
      </c>
      <c r="U298" s="14">
        <v>3</v>
      </c>
      <c r="V298" s="25">
        <v>4500</v>
      </c>
      <c r="W298" s="44">
        <v>63630</v>
      </c>
      <c r="X298" s="14"/>
      <c r="Y298" s="14"/>
      <c r="Z298" s="14"/>
      <c r="AA298" s="14"/>
      <c r="AB298" s="14" t="s">
        <v>328</v>
      </c>
      <c r="AC298" s="14"/>
      <c r="AD298" s="14" t="s">
        <v>328</v>
      </c>
      <c r="AE298" s="14"/>
      <c r="AF298" s="14"/>
      <c r="AG298" s="14"/>
      <c r="AH298" s="14"/>
      <c r="AI298" s="14"/>
      <c r="AJ298" s="14"/>
      <c r="AK298" s="14"/>
      <c r="AL298" s="14" t="s">
        <v>328</v>
      </c>
      <c r="AM298" s="14" t="s">
        <v>328</v>
      </c>
      <c r="AN298" s="13">
        <v>21600</v>
      </c>
      <c r="AO298" s="13">
        <v>21600</v>
      </c>
      <c r="AP298" s="13">
        <v>259200</v>
      </c>
      <c r="AQ298" s="13">
        <v>129600</v>
      </c>
      <c r="AR298" s="13">
        <v>21600</v>
      </c>
      <c r="AS298" s="26">
        <v>155520</v>
      </c>
      <c r="AT298" s="26">
        <v>0</v>
      </c>
      <c r="AU298" s="26">
        <v>69000</v>
      </c>
      <c r="AV298" s="26">
        <v>20004</v>
      </c>
      <c r="AW298" s="26">
        <v>37992</v>
      </c>
      <c r="AX298" s="62">
        <v>0</v>
      </c>
      <c r="AY298" s="17" t="s">
        <v>585</v>
      </c>
      <c r="AZ298" s="14" t="s">
        <v>562</v>
      </c>
      <c r="BA298" s="249">
        <f t="shared" si="9"/>
        <v>3</v>
      </c>
      <c r="BB298" s="249">
        <v>0</v>
      </c>
      <c r="BC298" s="249">
        <f t="shared" si="8"/>
        <v>2005</v>
      </c>
    </row>
    <row r="299" spans="1:55" x14ac:dyDescent="0.25">
      <c r="A299" s="50" t="s">
        <v>1855</v>
      </c>
      <c r="B299" s="61" t="s">
        <v>528</v>
      </c>
      <c r="C299" s="14" t="s">
        <v>337</v>
      </c>
      <c r="D299" s="14">
        <v>2007</v>
      </c>
      <c r="E299" s="14" t="s">
        <v>475</v>
      </c>
      <c r="F299" s="14"/>
      <c r="G299" s="14"/>
      <c r="H299" s="14"/>
      <c r="I299" s="14"/>
      <c r="J299" s="13">
        <v>734422</v>
      </c>
      <c r="K299" s="14" t="s">
        <v>328</v>
      </c>
      <c r="L299" s="14"/>
      <c r="M299" s="14"/>
      <c r="N299" s="13">
        <v>10800</v>
      </c>
      <c r="O299" s="24">
        <v>0</v>
      </c>
      <c r="P299" s="14">
        <v>2</v>
      </c>
      <c r="Q299" s="14">
        <v>1100</v>
      </c>
      <c r="R299" s="13">
        <v>5500</v>
      </c>
      <c r="S299" s="14" t="s">
        <v>340</v>
      </c>
      <c r="T299" s="14">
        <v>2.5</v>
      </c>
      <c r="U299" s="14">
        <v>3</v>
      </c>
      <c r="V299" s="25">
        <v>4500</v>
      </c>
      <c r="W299" s="44">
        <v>63630</v>
      </c>
      <c r="X299" s="14"/>
      <c r="Y299" s="14"/>
      <c r="Z299" s="14"/>
      <c r="AA299" s="14"/>
      <c r="AB299" s="14"/>
      <c r="AC299" s="14" t="s">
        <v>328</v>
      </c>
      <c r="AD299" s="14" t="s">
        <v>328</v>
      </c>
      <c r="AE299" s="14"/>
      <c r="AF299" s="14"/>
      <c r="AG299" s="14"/>
      <c r="AH299" s="14"/>
      <c r="AI299" s="14"/>
      <c r="AJ299" s="14"/>
      <c r="AK299" s="14"/>
      <c r="AL299" s="14" t="s">
        <v>328</v>
      </c>
      <c r="AM299" s="14" t="s">
        <v>328</v>
      </c>
      <c r="AN299" s="13">
        <v>21600</v>
      </c>
      <c r="AO299" s="13">
        <v>21600</v>
      </c>
      <c r="AP299" s="13">
        <v>259200</v>
      </c>
      <c r="AQ299" s="13">
        <v>129600</v>
      </c>
      <c r="AR299" s="13">
        <v>21600</v>
      </c>
      <c r="AS299" s="26">
        <v>155520</v>
      </c>
      <c r="AT299" s="26">
        <v>0</v>
      </c>
      <c r="AU299" s="26">
        <v>69000</v>
      </c>
      <c r="AV299" s="26">
        <v>20004</v>
      </c>
      <c r="AW299" s="26">
        <v>37992</v>
      </c>
      <c r="AX299" s="62">
        <v>0</v>
      </c>
      <c r="AY299" s="17" t="s">
        <v>585</v>
      </c>
      <c r="AZ299" s="14" t="s">
        <v>562</v>
      </c>
      <c r="BA299" s="249">
        <f t="shared" si="9"/>
        <v>3</v>
      </c>
      <c r="BB299" s="249">
        <v>0</v>
      </c>
      <c r="BC299" s="249">
        <f t="shared" si="8"/>
        <v>2007</v>
      </c>
    </row>
    <row r="300" spans="1:55" x14ac:dyDescent="0.25">
      <c r="A300" s="50" t="s">
        <v>1855</v>
      </c>
      <c r="B300" s="61" t="s">
        <v>529</v>
      </c>
      <c r="C300" s="14" t="s">
        <v>337</v>
      </c>
      <c r="D300" s="14">
        <v>2005</v>
      </c>
      <c r="E300" s="14" t="s">
        <v>475</v>
      </c>
      <c r="F300" s="14"/>
      <c r="G300" s="14"/>
      <c r="H300" s="14"/>
      <c r="I300" s="14"/>
      <c r="J300" s="14" t="s">
        <v>908</v>
      </c>
      <c r="K300" s="14" t="s">
        <v>328</v>
      </c>
      <c r="L300" s="14"/>
      <c r="M300" s="14"/>
      <c r="N300" s="13">
        <v>10500</v>
      </c>
      <c r="O300" s="24">
        <v>0</v>
      </c>
      <c r="P300" s="14">
        <v>2</v>
      </c>
      <c r="Q300" s="14">
        <v>1100</v>
      </c>
      <c r="R300" s="13">
        <v>5390</v>
      </c>
      <c r="S300" s="14" t="s">
        <v>340</v>
      </c>
      <c r="T300" s="14">
        <v>2.4500000000000002</v>
      </c>
      <c r="U300" s="14">
        <v>2.8</v>
      </c>
      <c r="V300" s="25">
        <v>4712.7468581687608</v>
      </c>
      <c r="W300" s="26">
        <v>52500</v>
      </c>
      <c r="X300" s="14"/>
      <c r="Y300" s="14"/>
      <c r="Z300" s="14"/>
      <c r="AA300" s="14"/>
      <c r="AB300" s="14" t="s">
        <v>328</v>
      </c>
      <c r="AC300" s="14"/>
      <c r="AD300" s="14" t="s">
        <v>328</v>
      </c>
      <c r="AE300" s="14"/>
      <c r="AF300" s="14"/>
      <c r="AG300" s="14"/>
      <c r="AH300" s="14"/>
      <c r="AI300" s="14"/>
      <c r="AJ300" s="14"/>
      <c r="AK300" s="14"/>
      <c r="AL300" s="14" t="s">
        <v>328</v>
      </c>
      <c r="AM300" s="14" t="s">
        <v>328</v>
      </c>
      <c r="AN300" s="13">
        <v>21000</v>
      </c>
      <c r="AO300" s="13">
        <v>21000</v>
      </c>
      <c r="AP300" s="13">
        <v>120000</v>
      </c>
      <c r="AQ300" s="13">
        <v>120000</v>
      </c>
      <c r="AR300" s="13">
        <v>21000</v>
      </c>
      <c r="AS300" s="26">
        <v>189000</v>
      </c>
      <c r="AT300" s="26">
        <v>0</v>
      </c>
      <c r="AU300" s="26">
        <v>76992</v>
      </c>
      <c r="AV300" s="26">
        <v>42000</v>
      </c>
      <c r="AW300" s="26">
        <v>18000</v>
      </c>
      <c r="AX300" s="62">
        <v>0</v>
      </c>
      <c r="AY300" s="17" t="s">
        <v>585</v>
      </c>
      <c r="AZ300" s="14" t="s">
        <v>562</v>
      </c>
      <c r="BA300" s="249">
        <f t="shared" si="9"/>
        <v>2</v>
      </c>
      <c r="BB300" s="249">
        <v>0</v>
      </c>
      <c r="BC300" s="249">
        <f t="shared" si="8"/>
        <v>2005</v>
      </c>
    </row>
    <row r="301" spans="1:55" x14ac:dyDescent="0.25">
      <c r="A301" s="50" t="s">
        <v>1855</v>
      </c>
      <c r="B301" s="61" t="s">
        <v>529</v>
      </c>
      <c r="C301" s="14" t="s">
        <v>337</v>
      </c>
      <c r="D301" s="14">
        <v>2005</v>
      </c>
      <c r="E301" s="14" t="s">
        <v>475</v>
      </c>
      <c r="F301" s="14"/>
      <c r="G301" s="14"/>
      <c r="H301" s="14"/>
      <c r="I301" s="14"/>
      <c r="J301" s="14" t="s">
        <v>908</v>
      </c>
      <c r="K301" s="14" t="s">
        <v>328</v>
      </c>
      <c r="L301" s="14"/>
      <c r="M301" s="14"/>
      <c r="N301" s="13">
        <v>10500</v>
      </c>
      <c r="O301" s="24">
        <v>0</v>
      </c>
      <c r="P301" s="14">
        <v>2</v>
      </c>
      <c r="Q301" s="14">
        <v>1100</v>
      </c>
      <c r="R301" s="13">
        <v>5390</v>
      </c>
      <c r="S301" s="14" t="s">
        <v>340</v>
      </c>
      <c r="T301" s="14">
        <v>2.4500000000000002</v>
      </c>
      <c r="U301" s="14">
        <v>2.8</v>
      </c>
      <c r="V301" s="25">
        <v>4712.7468581687608</v>
      </c>
      <c r="W301" s="26">
        <v>52500</v>
      </c>
      <c r="X301" s="14"/>
      <c r="Y301" s="14"/>
      <c r="Z301" s="14"/>
      <c r="AA301" s="14"/>
      <c r="AB301" s="14" t="s">
        <v>328</v>
      </c>
      <c r="AC301" s="14"/>
      <c r="AD301" s="14" t="s">
        <v>328</v>
      </c>
      <c r="AE301" s="14"/>
      <c r="AF301" s="14"/>
      <c r="AG301" s="14"/>
      <c r="AH301" s="14"/>
      <c r="AI301" s="14"/>
      <c r="AJ301" s="14"/>
      <c r="AK301" s="14"/>
      <c r="AL301" s="14" t="s">
        <v>328</v>
      </c>
      <c r="AM301" s="14" t="s">
        <v>328</v>
      </c>
      <c r="AN301" s="13">
        <v>21000</v>
      </c>
      <c r="AO301" s="13">
        <v>21000</v>
      </c>
      <c r="AP301" s="13">
        <v>120000</v>
      </c>
      <c r="AQ301" s="13">
        <v>120000</v>
      </c>
      <c r="AR301" s="13">
        <v>21000</v>
      </c>
      <c r="AS301" s="26">
        <v>189000</v>
      </c>
      <c r="AT301" s="26">
        <v>0</v>
      </c>
      <c r="AU301" s="26">
        <v>76992</v>
      </c>
      <c r="AV301" s="26">
        <v>42000</v>
      </c>
      <c r="AW301" s="26">
        <v>18000</v>
      </c>
      <c r="AX301" s="62">
        <v>0</v>
      </c>
      <c r="AY301" s="17" t="s">
        <v>585</v>
      </c>
      <c r="AZ301" s="14" t="s">
        <v>562</v>
      </c>
      <c r="BA301" s="249">
        <f t="shared" si="9"/>
        <v>2</v>
      </c>
      <c r="BB301" s="249">
        <v>0</v>
      </c>
      <c r="BC301" s="249">
        <f t="shared" si="8"/>
        <v>2005</v>
      </c>
    </row>
    <row r="302" spans="1:55" x14ac:dyDescent="0.25">
      <c r="A302" s="50" t="s">
        <v>1855</v>
      </c>
      <c r="B302" s="61" t="s">
        <v>530</v>
      </c>
      <c r="C302" s="14" t="s">
        <v>351</v>
      </c>
      <c r="D302" s="14">
        <v>1987</v>
      </c>
      <c r="E302" s="14"/>
      <c r="F302" s="14">
        <v>1998</v>
      </c>
      <c r="G302" s="14" t="s">
        <v>477</v>
      </c>
      <c r="H302" s="14"/>
      <c r="I302" s="14"/>
      <c r="J302" s="13">
        <v>1532972</v>
      </c>
      <c r="K302" s="14"/>
      <c r="L302" s="14"/>
      <c r="M302" s="14" t="s">
        <v>328</v>
      </c>
      <c r="N302" s="13">
        <v>5000</v>
      </c>
      <c r="O302" s="24">
        <v>0.2</v>
      </c>
      <c r="P302" s="14">
        <v>2</v>
      </c>
      <c r="Q302" s="14">
        <v>908</v>
      </c>
      <c r="R302" s="13">
        <v>5448</v>
      </c>
      <c r="S302" s="14" t="s">
        <v>340</v>
      </c>
      <c r="T302" s="14">
        <v>3</v>
      </c>
      <c r="U302" s="14">
        <v>4</v>
      </c>
      <c r="V302" s="25">
        <v>1615.7989228007179</v>
      </c>
      <c r="W302" s="26">
        <v>18000</v>
      </c>
      <c r="X302" s="14"/>
      <c r="Y302" s="14"/>
      <c r="Z302" s="14"/>
      <c r="AA302" s="14" t="s">
        <v>328</v>
      </c>
      <c r="AB302" s="14"/>
      <c r="AC302" s="14"/>
      <c r="AD302" s="15" t="s">
        <v>332</v>
      </c>
      <c r="AE302" s="14"/>
      <c r="AF302" s="14"/>
      <c r="AG302" s="14"/>
      <c r="AH302" s="14"/>
      <c r="AI302" s="14"/>
      <c r="AJ302" s="14"/>
      <c r="AK302" s="14"/>
      <c r="AL302" s="14"/>
      <c r="AM302" s="14"/>
      <c r="AN302" s="13">
        <v>30000</v>
      </c>
      <c r="AO302" s="13">
        <v>30000</v>
      </c>
      <c r="AP302" s="13">
        <v>150000</v>
      </c>
      <c r="AQ302" s="13">
        <v>150000</v>
      </c>
      <c r="AR302" s="13">
        <v>30000</v>
      </c>
      <c r="AS302" s="26">
        <v>0</v>
      </c>
      <c r="AT302" s="26">
        <v>0</v>
      </c>
      <c r="AU302" s="26">
        <v>25000</v>
      </c>
      <c r="AV302" s="26">
        <v>15000</v>
      </c>
      <c r="AW302" s="26">
        <v>0</v>
      </c>
      <c r="AX302" s="62">
        <v>0</v>
      </c>
      <c r="AZ302" s="14" t="s">
        <v>351</v>
      </c>
      <c r="BA302" s="249">
        <f t="shared" si="9"/>
        <v>1</v>
      </c>
      <c r="BB302" s="249">
        <v>0</v>
      </c>
      <c r="BC302" s="249">
        <f t="shared" si="8"/>
        <v>1998</v>
      </c>
    </row>
    <row r="303" spans="1:55" x14ac:dyDescent="0.25">
      <c r="A303" s="50" t="s">
        <v>1855</v>
      </c>
      <c r="B303" s="61" t="s">
        <v>531</v>
      </c>
      <c r="C303" s="14" t="s">
        <v>348</v>
      </c>
      <c r="D303" s="14">
        <v>2002</v>
      </c>
      <c r="E303" s="14" t="s">
        <v>477</v>
      </c>
      <c r="F303" s="14"/>
      <c r="G303" s="14"/>
      <c r="H303" s="14"/>
      <c r="I303" s="14"/>
      <c r="J303" s="13">
        <v>607351</v>
      </c>
      <c r="K303" s="14" t="s">
        <v>328</v>
      </c>
      <c r="L303" s="14"/>
      <c r="M303" s="14"/>
      <c r="N303" s="13">
        <v>3200</v>
      </c>
      <c r="O303" s="24">
        <v>0</v>
      </c>
      <c r="P303" s="14">
        <v>1</v>
      </c>
      <c r="Q303" s="14">
        <v>200</v>
      </c>
      <c r="R303" s="13">
        <v>800</v>
      </c>
      <c r="S303" s="14" t="s">
        <v>371</v>
      </c>
      <c r="T303" s="14">
        <v>4</v>
      </c>
      <c r="U303" s="14">
        <v>5</v>
      </c>
      <c r="V303" s="25">
        <v>800</v>
      </c>
      <c r="W303" s="13" t="s">
        <v>566</v>
      </c>
      <c r="X303" s="14"/>
      <c r="Y303" s="14"/>
      <c r="Z303" s="14"/>
      <c r="AA303" s="14"/>
      <c r="AB303" s="14" t="s">
        <v>328</v>
      </c>
      <c r="AC303" s="14"/>
      <c r="AD303" s="14" t="s">
        <v>328</v>
      </c>
      <c r="AE303" s="14"/>
      <c r="AF303" s="14"/>
      <c r="AG303" s="14"/>
      <c r="AH303" s="14"/>
      <c r="AI303" s="14"/>
      <c r="AJ303" s="14"/>
      <c r="AK303" s="14"/>
      <c r="AL303" s="14"/>
      <c r="AM303" s="14"/>
      <c r="AN303" s="13">
        <v>20000</v>
      </c>
      <c r="AO303" s="13">
        <v>20000</v>
      </c>
      <c r="AP303" s="13">
        <v>160000</v>
      </c>
      <c r="AQ303" s="13">
        <v>120000</v>
      </c>
      <c r="AR303" s="13" t="s">
        <v>385</v>
      </c>
      <c r="AS303" s="26">
        <v>80000</v>
      </c>
      <c r="AT303" s="26">
        <v>0</v>
      </c>
      <c r="AU303" s="26">
        <v>12000</v>
      </c>
      <c r="AV303" s="26">
        <v>10000</v>
      </c>
      <c r="AW303" s="26">
        <v>0</v>
      </c>
      <c r="AX303" s="62">
        <v>0</v>
      </c>
      <c r="AY303" s="17" t="s">
        <v>1154</v>
      </c>
      <c r="AZ303" s="14" t="s">
        <v>348</v>
      </c>
      <c r="BA303" s="249">
        <f t="shared" si="9"/>
        <v>1</v>
      </c>
      <c r="BB303" s="249">
        <v>0</v>
      </c>
      <c r="BC303" s="249">
        <f t="shared" si="8"/>
        <v>2002</v>
      </c>
    </row>
    <row r="304" spans="1:55" x14ac:dyDescent="0.25">
      <c r="A304" s="50" t="s">
        <v>1855</v>
      </c>
      <c r="B304" s="61" t="s">
        <v>532</v>
      </c>
      <c r="C304" s="14" t="s">
        <v>337</v>
      </c>
      <c r="D304" s="14">
        <v>2000</v>
      </c>
      <c r="E304" s="14" t="s">
        <v>407</v>
      </c>
      <c r="F304" s="14"/>
      <c r="G304" s="14"/>
      <c r="H304" s="14"/>
      <c r="I304" s="14"/>
      <c r="J304" s="13">
        <v>868700</v>
      </c>
      <c r="K304" s="14"/>
      <c r="L304" s="14" t="s">
        <v>328</v>
      </c>
      <c r="M304" s="14"/>
      <c r="N304" s="13">
        <v>8333.3333333333339</v>
      </c>
      <c r="O304" s="24">
        <v>0</v>
      </c>
      <c r="P304" s="14">
        <v>2</v>
      </c>
      <c r="Q304" s="14">
        <v>916</v>
      </c>
      <c r="R304" s="13">
        <v>4488.4000000000005</v>
      </c>
      <c r="S304" s="14" t="s">
        <v>340</v>
      </c>
      <c r="T304" s="14">
        <v>2.4500000000000002</v>
      </c>
      <c r="U304" s="14">
        <v>2.9</v>
      </c>
      <c r="V304" s="25">
        <v>3590.6642728904844</v>
      </c>
      <c r="W304" s="26">
        <v>40000</v>
      </c>
      <c r="X304" s="14"/>
      <c r="Y304" s="14"/>
      <c r="Z304" s="14"/>
      <c r="AA304" s="14"/>
      <c r="AB304" s="14" t="s">
        <v>328</v>
      </c>
      <c r="AC304" s="14"/>
      <c r="AD304" s="14" t="s">
        <v>328</v>
      </c>
      <c r="AE304" s="14"/>
      <c r="AF304" s="14"/>
      <c r="AG304" s="14"/>
      <c r="AH304" s="14"/>
      <c r="AI304" s="14" t="s">
        <v>328</v>
      </c>
      <c r="AJ304" s="14"/>
      <c r="AK304" s="14"/>
      <c r="AL304" s="14" t="s">
        <v>328</v>
      </c>
      <c r="AM304" s="14" t="s">
        <v>328</v>
      </c>
      <c r="AN304" s="13">
        <v>16000</v>
      </c>
      <c r="AO304" s="13">
        <v>25000</v>
      </c>
      <c r="AP304" s="13">
        <v>200000</v>
      </c>
      <c r="AQ304" s="13">
        <v>200000</v>
      </c>
      <c r="AR304" s="13">
        <v>16000</v>
      </c>
      <c r="AS304" s="26">
        <v>120000</v>
      </c>
      <c r="AT304" s="26">
        <v>0</v>
      </c>
      <c r="AU304" s="26">
        <v>60000</v>
      </c>
      <c r="AV304" s="26">
        <v>24000</v>
      </c>
      <c r="AW304" s="26">
        <v>28000</v>
      </c>
      <c r="AX304" s="62">
        <v>0</v>
      </c>
      <c r="AY304" s="17" t="s">
        <v>1147</v>
      </c>
      <c r="AZ304" s="14" t="s">
        <v>562</v>
      </c>
      <c r="BA304" s="249">
        <f t="shared" si="9"/>
        <v>2</v>
      </c>
      <c r="BB304" s="249">
        <v>0</v>
      </c>
      <c r="BC304" s="249">
        <f t="shared" si="8"/>
        <v>2000</v>
      </c>
    </row>
    <row r="305" spans="1:55" x14ac:dyDescent="0.25">
      <c r="A305" s="50" t="s">
        <v>1855</v>
      </c>
      <c r="B305" s="61" t="s">
        <v>532</v>
      </c>
      <c r="C305" s="14" t="s">
        <v>337</v>
      </c>
      <c r="D305" s="14">
        <v>2004</v>
      </c>
      <c r="E305" s="14" t="s">
        <v>407</v>
      </c>
      <c r="F305" s="14"/>
      <c r="G305" s="14"/>
      <c r="H305" s="14"/>
      <c r="I305" s="14"/>
      <c r="J305" s="13">
        <v>653215</v>
      </c>
      <c r="K305" s="14"/>
      <c r="L305" s="14" t="s">
        <v>328</v>
      </c>
      <c r="M305" s="14"/>
      <c r="N305" s="13">
        <v>8333.3333333333339</v>
      </c>
      <c r="O305" s="24">
        <v>0</v>
      </c>
      <c r="P305" s="14">
        <v>2</v>
      </c>
      <c r="Q305" s="14">
        <v>916</v>
      </c>
      <c r="R305" s="13">
        <v>4488.4000000000005</v>
      </c>
      <c r="S305" s="14" t="s">
        <v>340</v>
      </c>
      <c r="T305" s="14">
        <v>2.4500000000000002</v>
      </c>
      <c r="U305" s="14">
        <v>2.9</v>
      </c>
      <c r="V305" s="25">
        <v>3590.6642728904844</v>
      </c>
      <c r="W305" s="26">
        <v>40000</v>
      </c>
      <c r="X305" s="14"/>
      <c r="Y305" s="14"/>
      <c r="Z305" s="14"/>
      <c r="AA305" s="14"/>
      <c r="AB305" s="14"/>
      <c r="AC305" s="14" t="s">
        <v>328</v>
      </c>
      <c r="AD305" s="14" t="s">
        <v>328</v>
      </c>
      <c r="AE305" s="14"/>
      <c r="AF305" s="14"/>
      <c r="AG305" s="14"/>
      <c r="AH305" s="14"/>
      <c r="AI305" s="14" t="s">
        <v>328</v>
      </c>
      <c r="AJ305" s="14"/>
      <c r="AK305" s="14"/>
      <c r="AL305" s="14" t="s">
        <v>328</v>
      </c>
      <c r="AM305" s="14" t="s">
        <v>328</v>
      </c>
      <c r="AN305" s="13">
        <v>16000</v>
      </c>
      <c r="AO305" s="13">
        <v>25000</v>
      </c>
      <c r="AP305" s="13">
        <v>200000</v>
      </c>
      <c r="AQ305" s="13">
        <v>200000</v>
      </c>
      <c r="AR305" s="13">
        <v>16000</v>
      </c>
      <c r="AS305" s="26">
        <v>120000</v>
      </c>
      <c r="AT305" s="26">
        <v>0</v>
      </c>
      <c r="AU305" s="26">
        <v>60000</v>
      </c>
      <c r="AV305" s="26">
        <v>24000</v>
      </c>
      <c r="AW305" s="26">
        <v>28000</v>
      </c>
      <c r="AX305" s="62">
        <v>0</v>
      </c>
      <c r="AY305" s="17" t="s">
        <v>688</v>
      </c>
      <c r="AZ305" s="14" t="s">
        <v>562</v>
      </c>
      <c r="BA305" s="249">
        <f t="shared" si="9"/>
        <v>2</v>
      </c>
      <c r="BB305" s="249">
        <v>0</v>
      </c>
      <c r="BC305" s="249">
        <f t="shared" si="8"/>
        <v>2004</v>
      </c>
    </row>
    <row r="306" spans="1:55" x14ac:dyDescent="0.25">
      <c r="A306" s="50" t="s">
        <v>1855</v>
      </c>
      <c r="B306" s="61" t="s">
        <v>533</v>
      </c>
      <c r="C306" s="14" t="s">
        <v>337</v>
      </c>
      <c r="D306" s="14">
        <v>2000</v>
      </c>
      <c r="E306" s="14" t="s">
        <v>407</v>
      </c>
      <c r="F306" s="14"/>
      <c r="G306" s="14"/>
      <c r="H306" s="14"/>
      <c r="I306" s="14"/>
      <c r="J306" s="13">
        <v>746988</v>
      </c>
      <c r="K306" s="14"/>
      <c r="L306" s="14" t="s">
        <v>328</v>
      </c>
      <c r="M306" s="14"/>
      <c r="N306" s="13">
        <v>8000</v>
      </c>
      <c r="O306" s="24">
        <v>0.3</v>
      </c>
      <c r="P306" s="14">
        <v>3</v>
      </c>
      <c r="Q306" s="14">
        <v>1150</v>
      </c>
      <c r="R306" s="13">
        <v>8625</v>
      </c>
      <c r="S306" s="14" t="s">
        <v>340</v>
      </c>
      <c r="T306" s="14">
        <v>2.5</v>
      </c>
      <c r="U306" s="14">
        <v>3.1</v>
      </c>
      <c r="V306" s="25">
        <v>4500</v>
      </c>
      <c r="W306" s="44">
        <v>63630</v>
      </c>
      <c r="X306" s="14"/>
      <c r="Y306" s="14" t="s">
        <v>328</v>
      </c>
      <c r="Z306" s="14"/>
      <c r="AA306" s="14"/>
      <c r="AB306" s="14"/>
      <c r="AC306" s="14"/>
      <c r="AD306" s="14" t="s">
        <v>328</v>
      </c>
      <c r="AE306" s="14"/>
      <c r="AF306" s="14"/>
      <c r="AG306" s="14"/>
      <c r="AH306" s="14"/>
      <c r="AI306" s="14"/>
      <c r="AJ306" s="14"/>
      <c r="AK306" s="14"/>
      <c r="AL306" s="14"/>
      <c r="AM306" s="14"/>
      <c r="AN306" s="13">
        <v>18000</v>
      </c>
      <c r="AO306" s="13">
        <v>18000</v>
      </c>
      <c r="AP306" s="13">
        <v>180000</v>
      </c>
      <c r="AQ306" s="13">
        <v>180000</v>
      </c>
      <c r="AR306" s="13">
        <v>18000</v>
      </c>
      <c r="AS306" s="26">
        <v>165000</v>
      </c>
      <c r="AT306" s="26">
        <v>0</v>
      </c>
      <c r="AU306" s="26">
        <v>24000</v>
      </c>
      <c r="AV306" s="26">
        <v>24000</v>
      </c>
      <c r="AW306" s="26">
        <v>31500</v>
      </c>
      <c r="AX306" s="62">
        <v>0</v>
      </c>
      <c r="AY306" s="17" t="s">
        <v>708</v>
      </c>
      <c r="AZ306" s="14" t="s">
        <v>562</v>
      </c>
      <c r="BA306" s="249">
        <f t="shared" si="9"/>
        <v>4</v>
      </c>
      <c r="BB306" s="249">
        <v>0</v>
      </c>
      <c r="BC306" s="249">
        <f t="shared" si="8"/>
        <v>2000</v>
      </c>
    </row>
    <row r="307" spans="1:55" x14ac:dyDescent="0.25">
      <c r="A307" s="50" t="s">
        <v>1855</v>
      </c>
      <c r="B307" s="61" t="s">
        <v>533</v>
      </c>
      <c r="C307" s="14" t="s">
        <v>337</v>
      </c>
      <c r="D307" s="14">
        <v>2002</v>
      </c>
      <c r="E307" s="14" t="s">
        <v>407</v>
      </c>
      <c r="F307" s="14"/>
      <c r="G307" s="14"/>
      <c r="H307" s="14"/>
      <c r="I307" s="14"/>
      <c r="J307" s="13">
        <v>691123</v>
      </c>
      <c r="K307" s="14" t="s">
        <v>328</v>
      </c>
      <c r="L307" s="14"/>
      <c r="M307" s="14"/>
      <c r="N307" s="13">
        <v>8000</v>
      </c>
      <c r="O307" s="24">
        <v>0.3</v>
      </c>
      <c r="P307" s="14">
        <v>3</v>
      </c>
      <c r="Q307" s="14">
        <v>1150</v>
      </c>
      <c r="R307" s="13">
        <v>8625</v>
      </c>
      <c r="S307" s="14" t="s">
        <v>340</v>
      </c>
      <c r="T307" s="14">
        <v>2.5</v>
      </c>
      <c r="U307" s="14">
        <v>3.1</v>
      </c>
      <c r="V307" s="25">
        <v>4500</v>
      </c>
      <c r="W307" s="44">
        <v>63630</v>
      </c>
      <c r="X307" s="14"/>
      <c r="Y307" s="14"/>
      <c r="Z307" s="14"/>
      <c r="AA307" s="14"/>
      <c r="AB307" s="14" t="s">
        <v>328</v>
      </c>
      <c r="AC307" s="14"/>
      <c r="AD307" s="14" t="s">
        <v>328</v>
      </c>
      <c r="AE307" s="14"/>
      <c r="AF307" s="14"/>
      <c r="AG307" s="14"/>
      <c r="AH307" s="14"/>
      <c r="AI307" s="14"/>
      <c r="AJ307" s="14"/>
      <c r="AK307" s="14"/>
      <c r="AL307" s="14"/>
      <c r="AM307" s="14"/>
      <c r="AN307" s="13">
        <v>18000</v>
      </c>
      <c r="AO307" s="13">
        <v>18000</v>
      </c>
      <c r="AP307" s="13">
        <v>180000</v>
      </c>
      <c r="AQ307" s="13">
        <v>180000</v>
      </c>
      <c r="AR307" s="13">
        <v>18000</v>
      </c>
      <c r="AS307" s="26">
        <v>165000</v>
      </c>
      <c r="AT307" s="26">
        <v>0</v>
      </c>
      <c r="AU307" s="26">
        <v>24000</v>
      </c>
      <c r="AV307" s="26">
        <v>24000</v>
      </c>
      <c r="AW307" s="26">
        <v>31500</v>
      </c>
      <c r="AX307" s="62">
        <v>0</v>
      </c>
      <c r="AY307" s="17" t="s">
        <v>574</v>
      </c>
      <c r="AZ307" s="14" t="s">
        <v>562</v>
      </c>
      <c r="BA307" s="249">
        <f t="shared" si="9"/>
        <v>4</v>
      </c>
      <c r="BB307" s="249">
        <v>0</v>
      </c>
      <c r="BC307" s="249">
        <f t="shared" si="8"/>
        <v>2002</v>
      </c>
    </row>
    <row r="308" spans="1:55" x14ac:dyDescent="0.25">
      <c r="A308" s="50" t="s">
        <v>1855</v>
      </c>
      <c r="B308" s="61" t="s">
        <v>533</v>
      </c>
      <c r="C308" s="14" t="s">
        <v>337</v>
      </c>
      <c r="D308" s="14">
        <v>2002</v>
      </c>
      <c r="E308" s="14" t="s">
        <v>407</v>
      </c>
      <c r="F308" s="14"/>
      <c r="G308" s="14"/>
      <c r="H308" s="14"/>
      <c r="I308" s="14"/>
      <c r="J308" s="13">
        <v>657813</v>
      </c>
      <c r="K308" s="14" t="s">
        <v>328</v>
      </c>
      <c r="L308" s="14"/>
      <c r="M308" s="14"/>
      <c r="N308" s="13">
        <v>8000</v>
      </c>
      <c r="O308" s="24">
        <v>0.3</v>
      </c>
      <c r="P308" s="14">
        <v>3</v>
      </c>
      <c r="Q308" s="14">
        <v>1150</v>
      </c>
      <c r="R308" s="13">
        <v>8625</v>
      </c>
      <c r="S308" s="14" t="s">
        <v>340</v>
      </c>
      <c r="T308" s="14">
        <v>2.5</v>
      </c>
      <c r="U308" s="14">
        <v>3.1</v>
      </c>
      <c r="V308" s="25">
        <v>4500</v>
      </c>
      <c r="W308" s="44">
        <v>63630</v>
      </c>
      <c r="X308" s="14"/>
      <c r="Y308" s="14"/>
      <c r="Z308" s="14"/>
      <c r="AA308" s="14"/>
      <c r="AB308" s="14" t="s">
        <v>328</v>
      </c>
      <c r="AC308" s="14"/>
      <c r="AD308" s="14" t="s">
        <v>328</v>
      </c>
      <c r="AE308" s="14"/>
      <c r="AF308" s="14"/>
      <c r="AG308" s="14"/>
      <c r="AH308" s="14"/>
      <c r="AI308" s="14"/>
      <c r="AJ308" s="14"/>
      <c r="AK308" s="14"/>
      <c r="AL308" s="14"/>
      <c r="AM308" s="14"/>
      <c r="AN308" s="13">
        <v>18000</v>
      </c>
      <c r="AO308" s="13">
        <v>18000</v>
      </c>
      <c r="AP308" s="13">
        <v>180000</v>
      </c>
      <c r="AQ308" s="13">
        <v>180000</v>
      </c>
      <c r="AR308" s="13">
        <v>18000</v>
      </c>
      <c r="AS308" s="26">
        <v>165000</v>
      </c>
      <c r="AT308" s="26">
        <v>0</v>
      </c>
      <c r="AU308" s="26">
        <v>24000</v>
      </c>
      <c r="AV308" s="26">
        <v>24000</v>
      </c>
      <c r="AW308" s="26">
        <v>31500</v>
      </c>
      <c r="AX308" s="62">
        <v>0</v>
      </c>
      <c r="AY308" s="17" t="s">
        <v>574</v>
      </c>
      <c r="AZ308" s="14" t="s">
        <v>562</v>
      </c>
      <c r="BA308" s="249">
        <f t="shared" si="9"/>
        <v>4</v>
      </c>
      <c r="BB308" s="249">
        <v>0</v>
      </c>
      <c r="BC308" s="249">
        <f t="shared" si="8"/>
        <v>2002</v>
      </c>
    </row>
    <row r="309" spans="1:55" x14ac:dyDescent="0.25">
      <c r="A309" s="50" t="s">
        <v>1855</v>
      </c>
      <c r="B309" s="61" t="s">
        <v>533</v>
      </c>
      <c r="C309" s="14" t="s">
        <v>337</v>
      </c>
      <c r="D309" s="14">
        <v>2009</v>
      </c>
      <c r="E309" s="14" t="s">
        <v>407</v>
      </c>
      <c r="F309" s="14"/>
      <c r="G309" s="14"/>
      <c r="H309" s="14"/>
      <c r="I309" s="14"/>
      <c r="J309" s="13">
        <v>391215</v>
      </c>
      <c r="K309" s="14"/>
      <c r="L309" s="14" t="s">
        <v>328</v>
      </c>
      <c r="M309" s="14"/>
      <c r="N309" s="13">
        <v>8000</v>
      </c>
      <c r="O309" s="24">
        <v>0.3</v>
      </c>
      <c r="P309" s="14">
        <v>3</v>
      </c>
      <c r="Q309" s="14">
        <v>1150</v>
      </c>
      <c r="R309" s="13">
        <v>8625</v>
      </c>
      <c r="S309" s="14" t="s">
        <v>340</v>
      </c>
      <c r="T309" s="14">
        <v>2.5</v>
      </c>
      <c r="U309" s="14">
        <v>3.1</v>
      </c>
      <c r="V309" s="25">
        <v>4500</v>
      </c>
      <c r="W309" s="44">
        <v>63630</v>
      </c>
      <c r="X309" s="14"/>
      <c r="Y309" s="14"/>
      <c r="Z309" s="14"/>
      <c r="AA309" s="14"/>
      <c r="AB309" s="14"/>
      <c r="AC309" s="14" t="s">
        <v>328</v>
      </c>
      <c r="AD309" s="14" t="s">
        <v>328</v>
      </c>
      <c r="AE309" s="14"/>
      <c r="AF309" s="14"/>
      <c r="AG309" s="14"/>
      <c r="AH309" s="14"/>
      <c r="AI309" s="14"/>
      <c r="AJ309" s="14"/>
      <c r="AK309" s="14"/>
      <c r="AL309" s="14"/>
      <c r="AM309" s="14"/>
      <c r="AN309" s="13">
        <v>18000</v>
      </c>
      <c r="AO309" s="13">
        <v>18000</v>
      </c>
      <c r="AP309" s="13">
        <v>180000</v>
      </c>
      <c r="AQ309" s="13">
        <v>180000</v>
      </c>
      <c r="AR309" s="13">
        <v>18000</v>
      </c>
      <c r="AS309" s="26">
        <v>165000</v>
      </c>
      <c r="AT309" s="26">
        <v>0</v>
      </c>
      <c r="AU309" s="26">
        <v>24000</v>
      </c>
      <c r="AV309" s="26">
        <v>24000</v>
      </c>
      <c r="AW309" s="26">
        <v>31500</v>
      </c>
      <c r="AX309" s="62">
        <v>0</v>
      </c>
      <c r="AY309" s="17" t="s">
        <v>574</v>
      </c>
      <c r="AZ309" s="14" t="s">
        <v>562</v>
      </c>
      <c r="BA309" s="249">
        <f t="shared" si="9"/>
        <v>4</v>
      </c>
      <c r="BB309" s="249">
        <v>0</v>
      </c>
      <c r="BC309" s="249">
        <f t="shared" si="8"/>
        <v>2009</v>
      </c>
    </row>
    <row r="310" spans="1:55" x14ac:dyDescent="0.25">
      <c r="A310" s="50" t="s">
        <v>1855</v>
      </c>
      <c r="B310" s="61" t="s">
        <v>534</v>
      </c>
      <c r="C310" s="14" t="s">
        <v>337</v>
      </c>
      <c r="D310" s="14">
        <v>2005</v>
      </c>
      <c r="E310" s="14" t="s">
        <v>407</v>
      </c>
      <c r="F310" s="14"/>
      <c r="G310" s="14"/>
      <c r="H310" s="14"/>
      <c r="I310" s="14"/>
      <c r="J310" s="13">
        <v>681234</v>
      </c>
      <c r="K310" s="14" t="s">
        <v>328</v>
      </c>
      <c r="L310" s="14"/>
      <c r="M310" s="14"/>
      <c r="N310" s="13">
        <v>7083.333333333333</v>
      </c>
      <c r="O310" s="24">
        <v>0.5</v>
      </c>
      <c r="P310" s="14">
        <v>2</v>
      </c>
      <c r="Q310" s="14">
        <v>918</v>
      </c>
      <c r="R310" s="13">
        <v>3855.6000000000004</v>
      </c>
      <c r="S310" s="14" t="s">
        <v>340</v>
      </c>
      <c r="T310" s="14">
        <v>2.1</v>
      </c>
      <c r="U310" s="14">
        <v>2.7</v>
      </c>
      <c r="V310" s="25">
        <v>4500</v>
      </c>
      <c r="W310" s="44">
        <v>63630</v>
      </c>
      <c r="X310" s="14"/>
      <c r="Y310" s="14"/>
      <c r="Z310" s="14"/>
      <c r="AA310" s="14"/>
      <c r="AB310" s="14" t="s">
        <v>328</v>
      </c>
      <c r="AC310" s="14"/>
      <c r="AD310" s="14" t="s">
        <v>328</v>
      </c>
      <c r="AE310" s="14"/>
      <c r="AF310" s="14"/>
      <c r="AG310" s="14"/>
      <c r="AH310" s="14"/>
      <c r="AI310" s="14"/>
      <c r="AJ310" s="14"/>
      <c r="AK310" s="14"/>
      <c r="AL310" s="14" t="s">
        <v>328</v>
      </c>
      <c r="AM310" s="14"/>
      <c r="AN310" s="13">
        <v>16000</v>
      </c>
      <c r="AO310" s="13">
        <v>16000</v>
      </c>
      <c r="AP310" s="13">
        <v>300000</v>
      </c>
      <c r="AQ310" s="13">
        <v>160000</v>
      </c>
      <c r="AR310" s="13">
        <v>16000</v>
      </c>
      <c r="AS310" s="26">
        <v>213000</v>
      </c>
      <c r="AT310" s="26">
        <v>30000</v>
      </c>
      <c r="AU310" s="26">
        <v>84000</v>
      </c>
      <c r="AV310" s="26">
        <v>72000</v>
      </c>
      <c r="AW310" s="26">
        <v>37530</v>
      </c>
      <c r="AX310" s="62">
        <v>0</v>
      </c>
      <c r="AY310" s="17" t="s">
        <v>574</v>
      </c>
      <c r="AZ310" s="14" t="s">
        <v>561</v>
      </c>
      <c r="BA310" s="249">
        <f t="shared" si="9"/>
        <v>7</v>
      </c>
      <c r="BB310" s="249">
        <v>0</v>
      </c>
      <c r="BC310" s="249">
        <f t="shared" si="8"/>
        <v>2005</v>
      </c>
    </row>
    <row r="311" spans="1:55" x14ac:dyDescent="0.25">
      <c r="A311" s="50" t="s">
        <v>1855</v>
      </c>
      <c r="B311" s="61" t="s">
        <v>534</v>
      </c>
      <c r="C311" s="14" t="s">
        <v>337</v>
      </c>
      <c r="D311" s="14">
        <v>2005</v>
      </c>
      <c r="E311" s="14" t="s">
        <v>407</v>
      </c>
      <c r="F311" s="14"/>
      <c r="G311" s="14"/>
      <c r="H311" s="14"/>
      <c r="I311" s="14"/>
      <c r="J311" s="13">
        <v>715462</v>
      </c>
      <c r="K311" s="14" t="s">
        <v>328</v>
      </c>
      <c r="L311" s="14"/>
      <c r="M311" s="14"/>
      <c r="N311" s="13">
        <v>7083.333333333333</v>
      </c>
      <c r="O311" s="24">
        <v>0.5</v>
      </c>
      <c r="P311" s="14">
        <v>2</v>
      </c>
      <c r="Q311" s="14">
        <v>916</v>
      </c>
      <c r="R311" s="13">
        <v>3847.2000000000003</v>
      </c>
      <c r="S311" s="14" t="s">
        <v>340</v>
      </c>
      <c r="T311" s="14">
        <v>2.1</v>
      </c>
      <c r="U311" s="14">
        <v>2.7</v>
      </c>
      <c r="V311" s="25">
        <v>4500</v>
      </c>
      <c r="W311" s="44">
        <v>63630</v>
      </c>
      <c r="X311" s="14"/>
      <c r="Y311" s="14"/>
      <c r="Z311" s="14"/>
      <c r="AA311" s="14"/>
      <c r="AB311" s="14" t="s">
        <v>328</v>
      </c>
      <c r="AC311" s="14"/>
      <c r="AD311" s="14" t="s">
        <v>328</v>
      </c>
      <c r="AE311" s="14"/>
      <c r="AF311" s="14"/>
      <c r="AG311" s="14"/>
      <c r="AH311" s="14"/>
      <c r="AI311" s="14"/>
      <c r="AJ311" s="14"/>
      <c r="AK311" s="14"/>
      <c r="AL311" s="14" t="s">
        <v>328</v>
      </c>
      <c r="AM311" s="14"/>
      <c r="AN311" s="13">
        <v>16000</v>
      </c>
      <c r="AO311" s="13">
        <v>16000</v>
      </c>
      <c r="AP311" s="13">
        <v>300000</v>
      </c>
      <c r="AQ311" s="13">
        <v>160000</v>
      </c>
      <c r="AR311" s="13">
        <v>16000</v>
      </c>
      <c r="AS311" s="26">
        <v>213000</v>
      </c>
      <c r="AT311" s="26">
        <v>30000</v>
      </c>
      <c r="AU311" s="26">
        <v>84000</v>
      </c>
      <c r="AV311" s="26">
        <v>72000</v>
      </c>
      <c r="AW311" s="26">
        <v>37530</v>
      </c>
      <c r="AX311" s="62">
        <v>0</v>
      </c>
      <c r="AY311" s="17" t="s">
        <v>574</v>
      </c>
      <c r="AZ311" s="14" t="s">
        <v>561</v>
      </c>
      <c r="BA311" s="249">
        <f t="shared" si="9"/>
        <v>7</v>
      </c>
      <c r="BB311" s="249">
        <v>0</v>
      </c>
      <c r="BC311" s="249">
        <f t="shared" si="8"/>
        <v>2005</v>
      </c>
    </row>
    <row r="312" spans="1:55" x14ac:dyDescent="0.25">
      <c r="A312" s="50" t="s">
        <v>1855</v>
      </c>
      <c r="B312" s="61" t="s">
        <v>534</v>
      </c>
      <c r="C312" s="14" t="s">
        <v>337</v>
      </c>
      <c r="D312" s="14">
        <v>2005</v>
      </c>
      <c r="E312" s="14" t="s">
        <v>407</v>
      </c>
      <c r="F312" s="14"/>
      <c r="G312" s="14"/>
      <c r="H312" s="14"/>
      <c r="I312" s="14"/>
      <c r="J312" s="13">
        <v>702618</v>
      </c>
      <c r="K312" s="14" t="s">
        <v>328</v>
      </c>
      <c r="L312" s="14"/>
      <c r="M312" s="14"/>
      <c r="N312" s="13">
        <v>7083.333333333333</v>
      </c>
      <c r="O312" s="24">
        <v>0.5</v>
      </c>
      <c r="P312" s="14">
        <v>2</v>
      </c>
      <c r="Q312" s="14">
        <v>920</v>
      </c>
      <c r="R312" s="13">
        <v>3864</v>
      </c>
      <c r="S312" s="14" t="s">
        <v>340</v>
      </c>
      <c r="T312" s="14">
        <v>2.1</v>
      </c>
      <c r="U312" s="14">
        <v>2.7</v>
      </c>
      <c r="V312" s="25">
        <v>4500</v>
      </c>
      <c r="W312" s="44">
        <v>63630</v>
      </c>
      <c r="X312" s="14"/>
      <c r="Y312" s="14"/>
      <c r="Z312" s="14"/>
      <c r="AA312" s="14"/>
      <c r="AB312" s="14" t="s">
        <v>328</v>
      </c>
      <c r="AC312" s="14"/>
      <c r="AD312" s="14" t="s">
        <v>328</v>
      </c>
      <c r="AE312" s="14"/>
      <c r="AF312" s="14"/>
      <c r="AG312" s="14"/>
      <c r="AH312" s="14"/>
      <c r="AI312" s="14"/>
      <c r="AJ312" s="14"/>
      <c r="AK312" s="14"/>
      <c r="AL312" s="14" t="s">
        <v>328</v>
      </c>
      <c r="AM312" s="14"/>
      <c r="AN312" s="13">
        <v>16000</v>
      </c>
      <c r="AO312" s="13">
        <v>16000</v>
      </c>
      <c r="AP312" s="13">
        <v>300000</v>
      </c>
      <c r="AQ312" s="13">
        <v>160000</v>
      </c>
      <c r="AR312" s="13">
        <v>16000</v>
      </c>
      <c r="AS312" s="26">
        <v>213000</v>
      </c>
      <c r="AT312" s="26">
        <v>30000</v>
      </c>
      <c r="AU312" s="26">
        <v>84000</v>
      </c>
      <c r="AV312" s="26">
        <v>72000</v>
      </c>
      <c r="AW312" s="26">
        <v>37530</v>
      </c>
      <c r="AX312" s="62">
        <v>0</v>
      </c>
      <c r="AY312" s="17" t="s">
        <v>574</v>
      </c>
      <c r="AZ312" s="14" t="s">
        <v>561</v>
      </c>
      <c r="BA312" s="249">
        <f t="shared" si="9"/>
        <v>7</v>
      </c>
      <c r="BB312" s="249">
        <v>0</v>
      </c>
      <c r="BC312" s="249">
        <f t="shared" si="8"/>
        <v>2005</v>
      </c>
    </row>
    <row r="313" spans="1:55" x14ac:dyDescent="0.25">
      <c r="A313" s="50" t="s">
        <v>1855</v>
      </c>
      <c r="B313" s="61" t="s">
        <v>534</v>
      </c>
      <c r="C313" s="14" t="s">
        <v>337</v>
      </c>
      <c r="D313" s="14">
        <v>2007</v>
      </c>
      <c r="E313" s="14" t="s">
        <v>407</v>
      </c>
      <c r="F313" s="14"/>
      <c r="G313" s="14"/>
      <c r="H313" s="14"/>
      <c r="I313" s="14"/>
      <c r="J313" s="13">
        <v>485113</v>
      </c>
      <c r="K313" s="14" t="s">
        <v>328</v>
      </c>
      <c r="L313" s="14"/>
      <c r="M313" s="14"/>
      <c r="N313" s="13">
        <v>7083.333333333333</v>
      </c>
      <c r="O313" s="24">
        <v>0.5</v>
      </c>
      <c r="P313" s="14">
        <v>2</v>
      </c>
      <c r="Q313" s="14">
        <v>918</v>
      </c>
      <c r="R313" s="13">
        <v>3855.6000000000004</v>
      </c>
      <c r="S313" s="14" t="s">
        <v>340</v>
      </c>
      <c r="T313" s="14">
        <v>2.1</v>
      </c>
      <c r="U313" s="14">
        <v>2.7</v>
      </c>
      <c r="V313" s="25">
        <v>4500</v>
      </c>
      <c r="W313" s="44">
        <v>63630</v>
      </c>
      <c r="X313" s="14"/>
      <c r="Y313" s="14"/>
      <c r="Z313" s="14"/>
      <c r="AA313" s="14"/>
      <c r="AB313" s="14" t="s">
        <v>328</v>
      </c>
      <c r="AC313" s="14"/>
      <c r="AD313" s="14" t="s">
        <v>328</v>
      </c>
      <c r="AE313" s="14"/>
      <c r="AF313" s="14"/>
      <c r="AG313" s="14"/>
      <c r="AH313" s="14"/>
      <c r="AI313" s="14"/>
      <c r="AJ313" s="14"/>
      <c r="AK313" s="14"/>
      <c r="AL313" s="14" t="s">
        <v>328</v>
      </c>
      <c r="AM313" s="14"/>
      <c r="AN313" s="13">
        <v>16000</v>
      </c>
      <c r="AO313" s="13">
        <v>16000</v>
      </c>
      <c r="AP313" s="13">
        <v>300000</v>
      </c>
      <c r="AQ313" s="13">
        <v>160000</v>
      </c>
      <c r="AR313" s="13">
        <v>16000</v>
      </c>
      <c r="AS313" s="26">
        <v>213000</v>
      </c>
      <c r="AT313" s="26">
        <v>30000</v>
      </c>
      <c r="AU313" s="26">
        <v>84000</v>
      </c>
      <c r="AV313" s="26">
        <v>72000</v>
      </c>
      <c r="AW313" s="26">
        <v>37530</v>
      </c>
      <c r="AX313" s="62">
        <v>0</v>
      </c>
      <c r="AY313" s="17" t="s">
        <v>574</v>
      </c>
      <c r="AZ313" s="14" t="s">
        <v>561</v>
      </c>
      <c r="BA313" s="249">
        <f t="shared" si="9"/>
        <v>7</v>
      </c>
      <c r="BB313" s="249">
        <v>0</v>
      </c>
      <c r="BC313" s="249">
        <f t="shared" si="8"/>
        <v>2007</v>
      </c>
    </row>
    <row r="314" spans="1:55" x14ac:dyDescent="0.25">
      <c r="A314" s="50" t="s">
        <v>1855</v>
      </c>
      <c r="B314" s="61" t="s">
        <v>534</v>
      </c>
      <c r="C314" s="14" t="s">
        <v>337</v>
      </c>
      <c r="D314" s="14">
        <v>2007</v>
      </c>
      <c r="E314" s="14" t="s">
        <v>407</v>
      </c>
      <c r="F314" s="14"/>
      <c r="G314" s="14"/>
      <c r="H314" s="14"/>
      <c r="I314" s="14"/>
      <c r="J314" s="13">
        <v>499671</v>
      </c>
      <c r="K314" s="14" t="s">
        <v>328</v>
      </c>
      <c r="L314" s="14"/>
      <c r="M314" s="14"/>
      <c r="N314" s="13">
        <v>7083.333333333333</v>
      </c>
      <c r="O314" s="24">
        <v>0.5</v>
      </c>
      <c r="P314" s="14">
        <v>2</v>
      </c>
      <c r="Q314" s="14">
        <v>918</v>
      </c>
      <c r="R314" s="13">
        <v>3855.6000000000004</v>
      </c>
      <c r="S314" s="14" t="s">
        <v>340</v>
      </c>
      <c r="T314" s="14">
        <v>2.1</v>
      </c>
      <c r="U314" s="14">
        <v>2.7</v>
      </c>
      <c r="V314" s="25">
        <v>4500</v>
      </c>
      <c r="W314" s="44">
        <v>63630</v>
      </c>
      <c r="X314" s="14"/>
      <c r="Y314" s="14"/>
      <c r="Z314" s="14"/>
      <c r="AA314" s="14"/>
      <c r="AB314" s="14" t="s">
        <v>328</v>
      </c>
      <c r="AC314" s="14"/>
      <c r="AD314" s="14" t="s">
        <v>328</v>
      </c>
      <c r="AE314" s="14"/>
      <c r="AF314" s="14"/>
      <c r="AG314" s="14"/>
      <c r="AH314" s="14"/>
      <c r="AI314" s="14"/>
      <c r="AJ314" s="14"/>
      <c r="AK314" s="14"/>
      <c r="AL314" s="14" t="s">
        <v>328</v>
      </c>
      <c r="AM314" s="14"/>
      <c r="AN314" s="13">
        <v>16000</v>
      </c>
      <c r="AO314" s="13">
        <v>16000</v>
      </c>
      <c r="AP314" s="13">
        <v>300000</v>
      </c>
      <c r="AQ314" s="13">
        <v>160000</v>
      </c>
      <c r="AR314" s="13">
        <v>16000</v>
      </c>
      <c r="AS314" s="26">
        <v>213000</v>
      </c>
      <c r="AT314" s="26">
        <v>30000</v>
      </c>
      <c r="AU314" s="26">
        <v>84000</v>
      </c>
      <c r="AV314" s="26">
        <v>72000</v>
      </c>
      <c r="AW314" s="26">
        <v>37530</v>
      </c>
      <c r="AX314" s="62">
        <v>0</v>
      </c>
      <c r="AY314" s="17" t="s">
        <v>574</v>
      </c>
      <c r="AZ314" s="14" t="s">
        <v>561</v>
      </c>
      <c r="BA314" s="249">
        <f t="shared" si="9"/>
        <v>7</v>
      </c>
      <c r="BB314" s="249">
        <v>0</v>
      </c>
      <c r="BC314" s="249">
        <f t="shared" si="8"/>
        <v>2007</v>
      </c>
    </row>
    <row r="315" spans="1:55" x14ac:dyDescent="0.25">
      <c r="A315" s="50" t="s">
        <v>1855</v>
      </c>
      <c r="B315" s="61" t="s">
        <v>534</v>
      </c>
      <c r="C315" s="14" t="s">
        <v>337</v>
      </c>
      <c r="D315" s="14">
        <v>2009</v>
      </c>
      <c r="E315" s="14" t="s">
        <v>407</v>
      </c>
      <c r="F315" s="14"/>
      <c r="G315" s="14"/>
      <c r="H315" s="14"/>
      <c r="I315" s="14"/>
      <c r="J315" s="13">
        <v>338274</v>
      </c>
      <c r="K315" s="14" t="s">
        <v>328</v>
      </c>
      <c r="L315" s="14"/>
      <c r="M315" s="14"/>
      <c r="N315" s="13">
        <v>7083.333333333333</v>
      </c>
      <c r="O315" s="24">
        <v>0.5</v>
      </c>
      <c r="P315" s="14">
        <v>2</v>
      </c>
      <c r="Q315" s="14">
        <v>910</v>
      </c>
      <c r="R315" s="13">
        <v>3822</v>
      </c>
      <c r="S315" s="14" t="s">
        <v>340</v>
      </c>
      <c r="T315" s="14">
        <v>2.1</v>
      </c>
      <c r="U315" s="14">
        <v>2.7</v>
      </c>
      <c r="V315" s="25">
        <v>4500</v>
      </c>
      <c r="W315" s="44">
        <v>63630</v>
      </c>
      <c r="X315" s="14"/>
      <c r="Y315" s="14"/>
      <c r="Z315" s="14"/>
      <c r="AA315" s="14"/>
      <c r="AB315" s="14" t="s">
        <v>328</v>
      </c>
      <c r="AC315" s="14"/>
      <c r="AD315" s="14" t="s">
        <v>328</v>
      </c>
      <c r="AE315" s="14"/>
      <c r="AF315" s="14"/>
      <c r="AG315" s="14"/>
      <c r="AH315" s="14"/>
      <c r="AI315" s="14"/>
      <c r="AJ315" s="14"/>
      <c r="AK315" s="14"/>
      <c r="AL315" s="14" t="s">
        <v>328</v>
      </c>
      <c r="AM315" s="14"/>
      <c r="AN315" s="13">
        <v>16000</v>
      </c>
      <c r="AO315" s="13">
        <v>16000</v>
      </c>
      <c r="AP315" s="13">
        <v>300000</v>
      </c>
      <c r="AQ315" s="13">
        <v>160000</v>
      </c>
      <c r="AR315" s="13">
        <v>16000</v>
      </c>
      <c r="AS315" s="26">
        <v>213000</v>
      </c>
      <c r="AT315" s="26">
        <v>30000</v>
      </c>
      <c r="AU315" s="26">
        <v>84000</v>
      </c>
      <c r="AV315" s="26">
        <v>72000</v>
      </c>
      <c r="AW315" s="26">
        <v>37530</v>
      </c>
      <c r="AX315" s="62">
        <v>0</v>
      </c>
      <c r="AY315" s="17" t="s">
        <v>574</v>
      </c>
      <c r="AZ315" s="14" t="s">
        <v>561</v>
      </c>
      <c r="BA315" s="249">
        <f t="shared" si="9"/>
        <v>7</v>
      </c>
      <c r="BB315" s="249">
        <v>0</v>
      </c>
      <c r="BC315" s="249">
        <f t="shared" si="8"/>
        <v>2009</v>
      </c>
    </row>
    <row r="316" spans="1:55" x14ac:dyDescent="0.25">
      <c r="A316" s="50" t="s">
        <v>1855</v>
      </c>
      <c r="B316" s="61" t="s">
        <v>534</v>
      </c>
      <c r="C316" s="14" t="s">
        <v>337</v>
      </c>
      <c r="D316" s="14">
        <v>2009</v>
      </c>
      <c r="E316" s="14" t="s">
        <v>407</v>
      </c>
      <c r="F316" s="14"/>
      <c r="G316" s="14"/>
      <c r="H316" s="14"/>
      <c r="I316" s="14"/>
      <c r="J316" s="13">
        <v>327615</v>
      </c>
      <c r="K316" s="14" t="s">
        <v>328</v>
      </c>
      <c r="L316" s="14"/>
      <c r="M316" s="14"/>
      <c r="N316" s="13">
        <v>7083.333333333333</v>
      </c>
      <c r="O316" s="24">
        <v>0.5</v>
      </c>
      <c r="P316" s="14">
        <v>2</v>
      </c>
      <c r="Q316" s="14">
        <v>920</v>
      </c>
      <c r="R316" s="13">
        <v>3864</v>
      </c>
      <c r="S316" s="14" t="s">
        <v>340</v>
      </c>
      <c r="T316" s="14">
        <v>2.1</v>
      </c>
      <c r="U316" s="14">
        <v>2.7</v>
      </c>
      <c r="V316" s="25">
        <v>4500</v>
      </c>
      <c r="W316" s="44">
        <v>63630</v>
      </c>
      <c r="X316" s="14"/>
      <c r="Y316" s="14"/>
      <c r="Z316" s="14"/>
      <c r="AA316" s="14"/>
      <c r="AB316" s="14" t="s">
        <v>328</v>
      </c>
      <c r="AC316" s="14"/>
      <c r="AD316" s="14" t="s">
        <v>328</v>
      </c>
      <c r="AE316" s="14"/>
      <c r="AF316" s="14"/>
      <c r="AG316" s="14"/>
      <c r="AH316" s="14"/>
      <c r="AI316" s="14"/>
      <c r="AJ316" s="14"/>
      <c r="AK316" s="14"/>
      <c r="AL316" s="14" t="s">
        <v>328</v>
      </c>
      <c r="AM316" s="14"/>
      <c r="AN316" s="13">
        <v>16000</v>
      </c>
      <c r="AO316" s="13">
        <v>16000</v>
      </c>
      <c r="AP316" s="13">
        <v>300000</v>
      </c>
      <c r="AQ316" s="13">
        <v>160000</v>
      </c>
      <c r="AR316" s="13">
        <v>16000</v>
      </c>
      <c r="AS316" s="26">
        <v>213000</v>
      </c>
      <c r="AT316" s="26">
        <v>30000</v>
      </c>
      <c r="AU316" s="26">
        <v>84000</v>
      </c>
      <c r="AV316" s="26">
        <v>72000</v>
      </c>
      <c r="AW316" s="26">
        <v>37530</v>
      </c>
      <c r="AX316" s="62">
        <v>0</v>
      </c>
      <c r="AY316" s="17" t="s">
        <v>574</v>
      </c>
      <c r="AZ316" s="14" t="s">
        <v>561</v>
      </c>
      <c r="BA316" s="249">
        <f t="shared" si="9"/>
        <v>7</v>
      </c>
      <c r="BB316" s="249">
        <v>0</v>
      </c>
      <c r="BC316" s="249">
        <f t="shared" si="8"/>
        <v>2009</v>
      </c>
    </row>
    <row r="317" spans="1:55" x14ac:dyDescent="0.25">
      <c r="A317" s="50" t="s">
        <v>1855</v>
      </c>
      <c r="B317" s="61" t="s">
        <v>535</v>
      </c>
      <c r="C317" s="14" t="s">
        <v>351</v>
      </c>
      <c r="D317" s="14">
        <v>2007</v>
      </c>
      <c r="E317" s="14" t="s">
        <v>407</v>
      </c>
      <c r="F317" s="14"/>
      <c r="G317" s="14"/>
      <c r="H317" s="14"/>
      <c r="I317" s="14"/>
      <c r="J317" s="13">
        <v>573179</v>
      </c>
      <c r="K317" s="14"/>
      <c r="L317" s="14" t="s">
        <v>328</v>
      </c>
      <c r="M317" s="14"/>
      <c r="N317" s="13">
        <v>3600</v>
      </c>
      <c r="O317" s="24">
        <v>0.1</v>
      </c>
      <c r="P317" s="14">
        <v>2</v>
      </c>
      <c r="Q317" s="14">
        <v>389</v>
      </c>
      <c r="R317" s="13">
        <v>2645.2</v>
      </c>
      <c r="S317" s="14" t="s">
        <v>340</v>
      </c>
      <c r="T317" s="14">
        <v>3.4</v>
      </c>
      <c r="U317" s="14">
        <v>4</v>
      </c>
      <c r="V317" s="25">
        <v>1346.4991023339317</v>
      </c>
      <c r="W317" s="26">
        <v>15000</v>
      </c>
      <c r="X317" s="14"/>
      <c r="Y317" s="14"/>
      <c r="Z317" s="14"/>
      <c r="AA317" s="14"/>
      <c r="AB317" s="14" t="s">
        <v>328</v>
      </c>
      <c r="AC317" s="14"/>
      <c r="AD317" s="14" t="s">
        <v>328</v>
      </c>
      <c r="AE317" s="14"/>
      <c r="AF317" s="14"/>
      <c r="AG317" s="14"/>
      <c r="AH317" s="14"/>
      <c r="AI317" s="14"/>
      <c r="AJ317" s="14"/>
      <c r="AK317" s="14"/>
      <c r="AL317" s="14"/>
      <c r="AM317" s="14"/>
      <c r="AN317" s="13">
        <v>24000</v>
      </c>
      <c r="AO317" s="13">
        <v>240000</v>
      </c>
      <c r="AP317" s="13">
        <v>180000</v>
      </c>
      <c r="AQ317" s="13">
        <v>180000</v>
      </c>
      <c r="AR317" s="13">
        <v>24000</v>
      </c>
      <c r="AS317" s="26">
        <v>144000</v>
      </c>
      <c r="AT317" s="26">
        <v>72000</v>
      </c>
      <c r="AU317" s="26">
        <v>24000</v>
      </c>
      <c r="AV317" s="26">
        <v>36000</v>
      </c>
      <c r="AW317" s="26">
        <v>12000</v>
      </c>
      <c r="AX317" s="62">
        <v>0</v>
      </c>
      <c r="AY317" s="17" t="s">
        <v>1136</v>
      </c>
      <c r="AZ317" s="14" t="s">
        <v>351</v>
      </c>
      <c r="BA317" s="249">
        <f t="shared" si="9"/>
        <v>1</v>
      </c>
      <c r="BB317" s="249">
        <v>0</v>
      </c>
      <c r="BC317" s="249">
        <f t="shared" si="8"/>
        <v>2007</v>
      </c>
    </row>
    <row r="318" spans="1:55" x14ac:dyDescent="0.25">
      <c r="A318" s="50" t="s">
        <v>1855</v>
      </c>
      <c r="B318" s="61" t="s">
        <v>536</v>
      </c>
      <c r="C318" s="14" t="s">
        <v>348</v>
      </c>
      <c r="D318" s="14">
        <v>2007</v>
      </c>
      <c r="E318" s="14" t="s">
        <v>407</v>
      </c>
      <c r="F318" s="14"/>
      <c r="G318" s="14"/>
      <c r="H318" s="14"/>
      <c r="I318" s="14"/>
      <c r="J318" s="13">
        <v>451617</v>
      </c>
      <c r="K318" s="14" t="s">
        <v>328</v>
      </c>
      <c r="L318" s="14"/>
      <c r="M318" s="14"/>
      <c r="N318" s="13">
        <v>6250</v>
      </c>
      <c r="O318" s="24">
        <v>0</v>
      </c>
      <c r="P318" s="14">
        <v>2</v>
      </c>
      <c r="Q318" s="14">
        <v>390</v>
      </c>
      <c r="R318" s="13">
        <v>3744</v>
      </c>
      <c r="S318" s="14" t="s">
        <v>340</v>
      </c>
      <c r="T318" s="14">
        <v>4.8</v>
      </c>
      <c r="U318" s="14">
        <v>5.2</v>
      </c>
      <c r="V318" s="25">
        <v>1346.4991023339317</v>
      </c>
      <c r="W318" s="26">
        <v>15000</v>
      </c>
      <c r="X318" s="14"/>
      <c r="Y318" s="14"/>
      <c r="Z318" s="14"/>
      <c r="AA318" s="14"/>
      <c r="AB318" s="14" t="s">
        <v>328</v>
      </c>
      <c r="AC318" s="14"/>
      <c r="AD318" s="14" t="s">
        <v>328</v>
      </c>
      <c r="AE318" s="14"/>
      <c r="AF318" s="14"/>
      <c r="AG318" s="14"/>
      <c r="AH318" s="14"/>
      <c r="AI318" s="14"/>
      <c r="AJ318" s="14"/>
      <c r="AK318" s="14"/>
      <c r="AL318" s="14" t="s">
        <v>328</v>
      </c>
      <c r="AM318" s="14" t="s">
        <v>328</v>
      </c>
      <c r="AN318" s="13">
        <v>20000</v>
      </c>
      <c r="AO318" s="13">
        <v>20000</v>
      </c>
      <c r="AP318" s="13">
        <v>120000</v>
      </c>
      <c r="AQ318" s="13">
        <v>100000</v>
      </c>
      <c r="AR318" s="13">
        <v>20000</v>
      </c>
      <c r="AS318" s="26">
        <v>81600</v>
      </c>
      <c r="AT318" s="26">
        <v>38400</v>
      </c>
      <c r="AU318" s="26" t="s">
        <v>480</v>
      </c>
      <c r="AV318" s="26">
        <v>42000</v>
      </c>
      <c r="AW318" s="26">
        <v>14400</v>
      </c>
      <c r="AX318" s="62">
        <v>0</v>
      </c>
      <c r="AY318" s="17" t="s">
        <v>1136</v>
      </c>
      <c r="AZ318" s="14" t="s">
        <v>348</v>
      </c>
      <c r="BA318" s="249">
        <f t="shared" si="9"/>
        <v>2</v>
      </c>
      <c r="BB318" s="249">
        <v>0</v>
      </c>
      <c r="BC318" s="249">
        <f t="shared" si="8"/>
        <v>2007</v>
      </c>
    </row>
    <row r="319" spans="1:55" x14ac:dyDescent="0.25">
      <c r="A319" s="50" t="s">
        <v>1855</v>
      </c>
      <c r="B319" s="61" t="s">
        <v>536</v>
      </c>
      <c r="C319" s="14" t="s">
        <v>348</v>
      </c>
      <c r="D319" s="14">
        <v>2008</v>
      </c>
      <c r="E319" s="14" t="s">
        <v>407</v>
      </c>
      <c r="F319" s="14"/>
      <c r="G319" s="14"/>
      <c r="H319" s="14"/>
      <c r="I319" s="14"/>
      <c r="J319" s="13">
        <v>406224</v>
      </c>
      <c r="K319" s="14" t="s">
        <v>328</v>
      </c>
      <c r="L319" s="14"/>
      <c r="M319" s="14"/>
      <c r="N319" s="13">
        <v>6250</v>
      </c>
      <c r="O319" s="24">
        <v>0</v>
      </c>
      <c r="P319" s="14">
        <v>2</v>
      </c>
      <c r="Q319" s="14">
        <v>389</v>
      </c>
      <c r="R319" s="13">
        <v>3734.3999999999996</v>
      </c>
      <c r="S319" s="14" t="s">
        <v>340</v>
      </c>
      <c r="T319" s="14">
        <v>4.8</v>
      </c>
      <c r="U319" s="14">
        <v>5.2</v>
      </c>
      <c r="V319" s="25">
        <v>1346.4991023339317</v>
      </c>
      <c r="W319" s="26">
        <v>15000</v>
      </c>
      <c r="X319" s="14"/>
      <c r="Y319" s="14"/>
      <c r="Z319" s="14"/>
      <c r="AA319" s="14"/>
      <c r="AB319" s="14" t="s">
        <v>328</v>
      </c>
      <c r="AC319" s="14"/>
      <c r="AD319" s="14" t="s">
        <v>328</v>
      </c>
      <c r="AE319" s="14"/>
      <c r="AF319" s="14"/>
      <c r="AG319" s="14"/>
      <c r="AH319" s="14"/>
      <c r="AI319" s="14"/>
      <c r="AJ319" s="14"/>
      <c r="AK319" s="14"/>
      <c r="AL319" s="14" t="s">
        <v>328</v>
      </c>
      <c r="AM319" s="14" t="s">
        <v>328</v>
      </c>
      <c r="AN319" s="13">
        <v>20000</v>
      </c>
      <c r="AO319" s="13">
        <v>20000</v>
      </c>
      <c r="AP319" s="13">
        <v>120000</v>
      </c>
      <c r="AQ319" s="13">
        <v>100000</v>
      </c>
      <c r="AR319" s="13">
        <v>20000</v>
      </c>
      <c r="AS319" s="26">
        <v>81600</v>
      </c>
      <c r="AT319" s="26">
        <v>38400</v>
      </c>
      <c r="AU319" s="26" t="s">
        <v>480</v>
      </c>
      <c r="AV319" s="26">
        <v>42000</v>
      </c>
      <c r="AW319" s="26">
        <v>14400</v>
      </c>
      <c r="AX319" s="62">
        <v>0</v>
      </c>
      <c r="AY319" s="17" t="s">
        <v>1136</v>
      </c>
      <c r="AZ319" s="14" t="s">
        <v>348</v>
      </c>
      <c r="BA319" s="249">
        <f t="shared" si="9"/>
        <v>2</v>
      </c>
      <c r="BB319" s="249">
        <v>0</v>
      </c>
      <c r="BC319" s="249">
        <f t="shared" si="8"/>
        <v>2008</v>
      </c>
    </row>
    <row r="320" spans="1:55" x14ac:dyDescent="0.25">
      <c r="A320" s="50" t="s">
        <v>1855</v>
      </c>
      <c r="B320" s="61" t="s">
        <v>537</v>
      </c>
      <c r="C320" s="14" t="s">
        <v>348</v>
      </c>
      <c r="D320" s="14">
        <v>2008</v>
      </c>
      <c r="E320" s="14" t="s">
        <v>407</v>
      </c>
      <c r="F320" s="14"/>
      <c r="G320" s="14"/>
      <c r="H320" s="14"/>
      <c r="I320" s="14"/>
      <c r="J320" s="13">
        <v>431188</v>
      </c>
      <c r="K320" s="14" t="s">
        <v>328</v>
      </c>
      <c r="L320" s="14"/>
      <c r="M320" s="14"/>
      <c r="N320" s="13">
        <v>7800</v>
      </c>
      <c r="O320" s="24">
        <v>0.05</v>
      </c>
      <c r="P320" s="14">
        <v>2</v>
      </c>
      <c r="Q320" s="14">
        <v>360</v>
      </c>
      <c r="R320" s="13">
        <v>3600</v>
      </c>
      <c r="S320" s="14" t="s">
        <v>340</v>
      </c>
      <c r="T320" s="14">
        <v>5</v>
      </c>
      <c r="U320" s="14">
        <v>5.5</v>
      </c>
      <c r="V320" s="25">
        <v>1795.3321364452422</v>
      </c>
      <c r="W320" s="26">
        <v>20000</v>
      </c>
      <c r="X320" s="14"/>
      <c r="Y320" s="14"/>
      <c r="Z320" s="14"/>
      <c r="AA320" s="14"/>
      <c r="AB320" s="14" t="s">
        <v>328</v>
      </c>
      <c r="AC320" s="14"/>
      <c r="AD320" s="14" t="s">
        <v>328</v>
      </c>
      <c r="AE320" s="14"/>
      <c r="AF320" s="14"/>
      <c r="AG320" s="14"/>
      <c r="AH320" s="14"/>
      <c r="AI320" s="14"/>
      <c r="AJ320" s="14"/>
      <c r="AK320" s="14"/>
      <c r="AL320" s="14" t="s">
        <v>328</v>
      </c>
      <c r="AM320" s="14" t="s">
        <v>328</v>
      </c>
      <c r="AN320" s="13">
        <v>15000</v>
      </c>
      <c r="AO320" s="13">
        <v>25000</v>
      </c>
      <c r="AP320" s="13">
        <v>100000</v>
      </c>
      <c r="AQ320" s="13">
        <v>100000</v>
      </c>
      <c r="AR320" s="13">
        <v>25000</v>
      </c>
      <c r="AS320" s="26">
        <v>168000</v>
      </c>
      <c r="AT320" s="26">
        <v>48000</v>
      </c>
      <c r="AU320" s="26" t="s">
        <v>480</v>
      </c>
      <c r="AV320" s="26" t="s">
        <v>480</v>
      </c>
      <c r="AW320" s="26">
        <v>10800</v>
      </c>
      <c r="AX320" s="62">
        <v>0</v>
      </c>
      <c r="AY320" s="17" t="s">
        <v>703</v>
      </c>
      <c r="AZ320" s="14" t="s">
        <v>348</v>
      </c>
      <c r="BA320" s="249">
        <f t="shared" si="9"/>
        <v>1</v>
      </c>
      <c r="BB320" s="249">
        <v>0</v>
      </c>
      <c r="BC320" s="249">
        <f t="shared" si="8"/>
        <v>2008</v>
      </c>
    </row>
    <row r="321" spans="1:55" x14ac:dyDescent="0.25">
      <c r="A321" s="50" t="s">
        <v>1855</v>
      </c>
      <c r="B321" s="61" t="s">
        <v>538</v>
      </c>
      <c r="C321" s="14" t="s">
        <v>337</v>
      </c>
      <c r="D321" s="14">
        <v>2007</v>
      </c>
      <c r="E321" s="14" t="s">
        <v>475</v>
      </c>
      <c r="F321" s="14"/>
      <c r="G321" s="14"/>
      <c r="H321" s="14"/>
      <c r="I321" s="14"/>
      <c r="J321" s="13">
        <v>443617</v>
      </c>
      <c r="K321" s="14" t="s">
        <v>328</v>
      </c>
      <c r="L321" s="14"/>
      <c r="M321" s="14"/>
      <c r="N321" s="13">
        <v>6250</v>
      </c>
      <c r="O321" s="24">
        <v>0.5</v>
      </c>
      <c r="P321" s="14">
        <v>2</v>
      </c>
      <c r="Q321" s="14">
        <v>960</v>
      </c>
      <c r="R321" s="13">
        <v>4608</v>
      </c>
      <c r="S321" s="14" t="s">
        <v>340</v>
      </c>
      <c r="T321" s="14">
        <v>2.4</v>
      </c>
      <c r="U321" s="14">
        <v>2.8</v>
      </c>
      <c r="V321" s="25">
        <v>2692.9982046678633</v>
      </c>
      <c r="W321" s="26">
        <v>30000</v>
      </c>
      <c r="X321" s="14"/>
      <c r="Y321" s="14"/>
      <c r="Z321" s="14"/>
      <c r="AA321" s="14"/>
      <c r="AB321" s="14" t="s">
        <v>328</v>
      </c>
      <c r="AC321" s="14"/>
      <c r="AD321" s="14" t="s">
        <v>328</v>
      </c>
      <c r="AE321" s="14"/>
      <c r="AF321" s="14" t="s">
        <v>328</v>
      </c>
      <c r="AG321" s="14"/>
      <c r="AH321" s="14"/>
      <c r="AI321" s="14"/>
      <c r="AJ321" s="14"/>
      <c r="AK321" s="14"/>
      <c r="AL321" s="14" t="s">
        <v>328</v>
      </c>
      <c r="AM321" s="14"/>
      <c r="AN321" s="13">
        <v>20000</v>
      </c>
      <c r="AO321" s="13">
        <v>20000</v>
      </c>
      <c r="AP321" s="13">
        <v>150000</v>
      </c>
      <c r="AQ321" s="13">
        <v>100000</v>
      </c>
      <c r="AR321" s="13">
        <v>20000</v>
      </c>
      <c r="AS321" s="26">
        <v>216000</v>
      </c>
      <c r="AT321" s="26">
        <v>0</v>
      </c>
      <c r="AU321" s="26">
        <v>84000</v>
      </c>
      <c r="AV321" s="26">
        <v>12000</v>
      </c>
      <c r="AW321" s="26">
        <v>24000</v>
      </c>
      <c r="AX321" s="62">
        <v>0</v>
      </c>
      <c r="AY321" s="17" t="s">
        <v>585</v>
      </c>
      <c r="AZ321" s="14" t="s">
        <v>561</v>
      </c>
      <c r="BA321" s="249">
        <f t="shared" si="9"/>
        <v>1</v>
      </c>
      <c r="BB321" s="249">
        <v>0</v>
      </c>
      <c r="BC321" s="249">
        <f t="shared" si="8"/>
        <v>2007</v>
      </c>
    </row>
    <row r="322" spans="1:55" x14ac:dyDescent="0.25">
      <c r="A322" s="50" t="s">
        <v>1855</v>
      </c>
      <c r="B322" s="61" t="s">
        <v>539</v>
      </c>
      <c r="C322" s="14" t="s">
        <v>351</v>
      </c>
      <c r="D322" s="14">
        <v>2008</v>
      </c>
      <c r="E322" s="14" t="s">
        <v>407</v>
      </c>
      <c r="F322" s="14"/>
      <c r="G322" s="14"/>
      <c r="H322" s="14"/>
      <c r="I322" s="14"/>
      <c r="J322" s="13">
        <v>361475</v>
      </c>
      <c r="K322" s="14" t="s">
        <v>328</v>
      </c>
      <c r="L322" s="14"/>
      <c r="M322" s="14"/>
      <c r="N322" s="13">
        <v>7000</v>
      </c>
      <c r="O322" s="24">
        <v>0.5</v>
      </c>
      <c r="P322" s="14">
        <v>2</v>
      </c>
      <c r="Q322" s="14">
        <v>860</v>
      </c>
      <c r="R322" s="13">
        <v>5848</v>
      </c>
      <c r="S322" s="14" t="s">
        <v>340</v>
      </c>
      <c r="T322" s="14">
        <v>3.4</v>
      </c>
      <c r="U322" s="14">
        <v>4.0999999999999996</v>
      </c>
      <c r="V322" s="25">
        <v>2064.6319569120287</v>
      </c>
      <c r="W322" s="26">
        <v>23000</v>
      </c>
      <c r="X322" s="14"/>
      <c r="Y322" s="14"/>
      <c r="Z322" s="14"/>
      <c r="AA322" s="14"/>
      <c r="AB322" s="14" t="s">
        <v>328</v>
      </c>
      <c r="AC322" s="14"/>
      <c r="AD322" s="14" t="s">
        <v>328</v>
      </c>
      <c r="AE322" s="14"/>
      <c r="AF322" s="14"/>
      <c r="AG322" s="14"/>
      <c r="AH322" s="14"/>
      <c r="AI322" s="14"/>
      <c r="AJ322" s="14"/>
      <c r="AK322" s="14"/>
      <c r="AL322" s="14" t="s">
        <v>328</v>
      </c>
      <c r="AM322" s="14"/>
      <c r="AN322" s="13">
        <v>25000</v>
      </c>
      <c r="AO322" s="13">
        <v>25000</v>
      </c>
      <c r="AP322" s="13">
        <v>100000</v>
      </c>
      <c r="AQ322" s="13">
        <v>100000</v>
      </c>
      <c r="AR322" s="13">
        <v>25000</v>
      </c>
      <c r="AS322" s="26">
        <v>180000</v>
      </c>
      <c r="AT322" s="26">
        <v>0</v>
      </c>
      <c r="AU322" s="26">
        <v>60000</v>
      </c>
      <c r="AV322" s="26" t="s">
        <v>480</v>
      </c>
      <c r="AW322" s="26">
        <v>32400</v>
      </c>
      <c r="AX322" s="62">
        <v>0</v>
      </c>
      <c r="AY322" s="17" t="s">
        <v>688</v>
      </c>
      <c r="AZ322" s="14" t="s">
        <v>351</v>
      </c>
      <c r="BA322" s="249">
        <f t="shared" si="9"/>
        <v>2</v>
      </c>
      <c r="BB322" s="249">
        <v>0</v>
      </c>
      <c r="BC322" s="249">
        <f t="shared" si="8"/>
        <v>2008</v>
      </c>
    </row>
    <row r="323" spans="1:55" x14ac:dyDescent="0.25">
      <c r="A323" s="50" t="s">
        <v>1855</v>
      </c>
      <c r="B323" s="61" t="s">
        <v>539</v>
      </c>
      <c r="C323" s="14" t="s">
        <v>351</v>
      </c>
      <c r="D323" s="14">
        <v>2009</v>
      </c>
      <c r="E323" s="14" t="s">
        <v>407</v>
      </c>
      <c r="F323" s="14"/>
      <c r="G323" s="14"/>
      <c r="H323" s="14"/>
      <c r="I323" s="14"/>
      <c r="J323" s="13">
        <v>291613</v>
      </c>
      <c r="K323" s="14" t="s">
        <v>328</v>
      </c>
      <c r="L323" s="14"/>
      <c r="M323" s="14"/>
      <c r="N323" s="13">
        <v>7000</v>
      </c>
      <c r="O323" s="24">
        <v>0.5</v>
      </c>
      <c r="P323" s="14">
        <v>2</v>
      </c>
      <c r="Q323" s="14">
        <v>856</v>
      </c>
      <c r="R323" s="13">
        <v>5992</v>
      </c>
      <c r="S323" s="14" t="s">
        <v>340</v>
      </c>
      <c r="T323" s="14">
        <v>3.5</v>
      </c>
      <c r="U323" s="14">
        <v>4.0999999999999996</v>
      </c>
      <c r="V323" s="25">
        <v>2064.6319569120287</v>
      </c>
      <c r="W323" s="26">
        <v>23000</v>
      </c>
      <c r="X323" s="14"/>
      <c r="Y323" s="14"/>
      <c r="Z323" s="14"/>
      <c r="AA323" s="14"/>
      <c r="AB323" s="14"/>
      <c r="AC323" s="14" t="s">
        <v>328</v>
      </c>
      <c r="AD323" s="14" t="s">
        <v>328</v>
      </c>
      <c r="AE323" s="14"/>
      <c r="AF323" s="14"/>
      <c r="AG323" s="14"/>
      <c r="AH323" s="14"/>
      <c r="AI323" s="14"/>
      <c r="AJ323" s="14"/>
      <c r="AK323" s="14"/>
      <c r="AL323" s="14" t="s">
        <v>328</v>
      </c>
      <c r="AM323" s="14"/>
      <c r="AN323" s="13">
        <v>25000</v>
      </c>
      <c r="AO323" s="13">
        <v>25000</v>
      </c>
      <c r="AP323" s="13">
        <v>100000</v>
      </c>
      <c r="AQ323" s="13">
        <v>100000</v>
      </c>
      <c r="AR323" s="13">
        <v>25000</v>
      </c>
      <c r="AS323" s="26">
        <v>180000</v>
      </c>
      <c r="AT323" s="26">
        <v>0</v>
      </c>
      <c r="AU323" s="26">
        <v>60000</v>
      </c>
      <c r="AV323" s="26" t="s">
        <v>480</v>
      </c>
      <c r="AW323" s="26">
        <v>32400</v>
      </c>
      <c r="AX323" s="62">
        <v>0</v>
      </c>
      <c r="AY323" s="17" t="s">
        <v>688</v>
      </c>
      <c r="AZ323" s="14" t="s">
        <v>351</v>
      </c>
      <c r="BA323" s="249">
        <f t="shared" si="9"/>
        <v>2</v>
      </c>
      <c r="BB323" s="249">
        <v>0</v>
      </c>
      <c r="BC323" s="249">
        <f t="shared" si="8"/>
        <v>2009</v>
      </c>
    </row>
    <row r="324" spans="1:55" x14ac:dyDescent="0.25">
      <c r="A324" s="50" t="s">
        <v>1855</v>
      </c>
      <c r="B324" s="61" t="s">
        <v>540</v>
      </c>
      <c r="C324" s="14" t="s">
        <v>337</v>
      </c>
      <c r="D324" s="14">
        <v>2010</v>
      </c>
      <c r="E324" s="14" t="s">
        <v>407</v>
      </c>
      <c r="F324" s="14"/>
      <c r="G324" s="14"/>
      <c r="H324" s="14"/>
      <c r="I324" s="14"/>
      <c r="J324" s="13">
        <v>288438</v>
      </c>
      <c r="K324" s="14" t="s">
        <v>328</v>
      </c>
      <c r="L324" s="14"/>
      <c r="M324" s="14"/>
      <c r="N324" s="13">
        <v>8333.3333333333339</v>
      </c>
      <c r="O324" s="24">
        <v>0.5</v>
      </c>
      <c r="P324" s="14">
        <v>2</v>
      </c>
      <c r="Q324" s="14">
        <v>907</v>
      </c>
      <c r="R324" s="13">
        <v>4172.2</v>
      </c>
      <c r="S324" s="14" t="s">
        <v>340</v>
      </c>
      <c r="T324" s="14">
        <v>2.2999999999999998</v>
      </c>
      <c r="U324" s="14">
        <v>2.7</v>
      </c>
      <c r="V324" s="25">
        <v>3590.6642728904844</v>
      </c>
      <c r="W324" s="26">
        <v>40000</v>
      </c>
      <c r="X324" s="14"/>
      <c r="Y324" s="14"/>
      <c r="Z324" s="14"/>
      <c r="AA324" s="14"/>
      <c r="AB324" s="14"/>
      <c r="AC324" s="14" t="s">
        <v>328</v>
      </c>
      <c r="AD324" s="14" t="s">
        <v>328</v>
      </c>
      <c r="AE324" s="14"/>
      <c r="AF324" s="14"/>
      <c r="AG324" s="14"/>
      <c r="AH324" s="14"/>
      <c r="AI324" s="14"/>
      <c r="AJ324" s="14"/>
      <c r="AK324" s="14"/>
      <c r="AL324" s="14" t="s">
        <v>328</v>
      </c>
      <c r="AM324" s="14"/>
      <c r="AN324" s="13">
        <v>18000</v>
      </c>
      <c r="AO324" s="13">
        <v>24000</v>
      </c>
      <c r="AP324" s="13">
        <v>200000</v>
      </c>
      <c r="AQ324" s="13">
        <v>100000</v>
      </c>
      <c r="AR324" s="13">
        <v>24000</v>
      </c>
      <c r="AS324" s="26">
        <v>249600</v>
      </c>
      <c r="AT324" s="26">
        <v>0</v>
      </c>
      <c r="AU324" s="26">
        <v>147600</v>
      </c>
      <c r="AV324" s="26" t="s">
        <v>480</v>
      </c>
      <c r="AW324" s="26">
        <v>37800</v>
      </c>
      <c r="AX324" s="62">
        <v>0</v>
      </c>
      <c r="AY324" s="17" t="s">
        <v>574</v>
      </c>
      <c r="AZ324" s="14" t="s">
        <v>561</v>
      </c>
      <c r="BA324" s="249">
        <f t="shared" si="9"/>
        <v>1</v>
      </c>
      <c r="BB324" s="249">
        <v>0</v>
      </c>
      <c r="BC324" s="249">
        <f t="shared" si="8"/>
        <v>2010</v>
      </c>
    </row>
    <row r="325" spans="1:55" x14ac:dyDescent="0.25">
      <c r="A325" s="50" t="s">
        <v>1855</v>
      </c>
      <c r="B325" s="61" t="s">
        <v>541</v>
      </c>
      <c r="C325" s="14" t="s">
        <v>337</v>
      </c>
      <c r="D325" s="14">
        <v>2007</v>
      </c>
      <c r="E325" s="14" t="s">
        <v>477</v>
      </c>
      <c r="F325" s="14"/>
      <c r="G325" s="14"/>
      <c r="H325" s="14"/>
      <c r="I325" s="14"/>
      <c r="J325" s="13">
        <v>400768</v>
      </c>
      <c r="K325" s="14"/>
      <c r="L325" s="14" t="s">
        <v>328</v>
      </c>
      <c r="M325" s="14"/>
      <c r="N325" s="13">
        <v>6000</v>
      </c>
      <c r="O325" s="24">
        <v>0.6</v>
      </c>
      <c r="P325" s="14">
        <v>2</v>
      </c>
      <c r="Q325" s="14">
        <v>1120</v>
      </c>
      <c r="R325" s="13">
        <v>4816</v>
      </c>
      <c r="S325" s="14" t="s">
        <v>340</v>
      </c>
      <c r="T325" s="14">
        <v>2.15</v>
      </c>
      <c r="U325" s="14">
        <v>2.75</v>
      </c>
      <c r="V325" s="25">
        <v>2692.9982046678633</v>
      </c>
      <c r="W325" s="26">
        <v>30000</v>
      </c>
      <c r="X325" s="14"/>
      <c r="Y325" s="14"/>
      <c r="Z325" s="14"/>
      <c r="AA325" s="14"/>
      <c r="AB325" s="14" t="s">
        <v>328</v>
      </c>
      <c r="AC325" s="14"/>
      <c r="AD325" s="14" t="s">
        <v>328</v>
      </c>
      <c r="AE325" s="14"/>
      <c r="AF325" s="14"/>
      <c r="AG325" s="14"/>
      <c r="AH325" s="14"/>
      <c r="AI325" s="14"/>
      <c r="AJ325" s="14"/>
      <c r="AK325" s="14"/>
      <c r="AL325" s="14" t="s">
        <v>328</v>
      </c>
      <c r="AM325" s="14"/>
      <c r="AN325" s="13">
        <v>20000</v>
      </c>
      <c r="AO325" s="13">
        <v>20000</v>
      </c>
      <c r="AP325" s="13">
        <v>180000</v>
      </c>
      <c r="AQ325" s="13">
        <v>140000</v>
      </c>
      <c r="AR325" s="13">
        <v>20000</v>
      </c>
      <c r="AS325" s="26">
        <v>186000</v>
      </c>
      <c r="AT325" s="26">
        <v>0</v>
      </c>
      <c r="AU325" s="26">
        <v>90000</v>
      </c>
      <c r="AV325" s="26">
        <v>39600</v>
      </c>
      <c r="AW325" s="26">
        <v>39000</v>
      </c>
      <c r="AX325" s="62">
        <v>0</v>
      </c>
      <c r="AY325" s="17" t="s">
        <v>575</v>
      </c>
      <c r="AZ325" s="14" t="s">
        <v>561</v>
      </c>
      <c r="BA325" s="249">
        <f t="shared" si="9"/>
        <v>3</v>
      </c>
      <c r="BB325" s="249">
        <v>0</v>
      </c>
      <c r="BC325" s="249">
        <f t="shared" si="8"/>
        <v>2007</v>
      </c>
    </row>
    <row r="326" spans="1:55" x14ac:dyDescent="0.25">
      <c r="A326" s="50" t="s">
        <v>1855</v>
      </c>
      <c r="B326" s="61" t="s">
        <v>541</v>
      </c>
      <c r="C326" s="14" t="s">
        <v>337</v>
      </c>
      <c r="D326" s="14">
        <v>2008</v>
      </c>
      <c r="E326" s="14" t="s">
        <v>477</v>
      </c>
      <c r="F326" s="14"/>
      <c r="G326" s="14"/>
      <c r="H326" s="14"/>
      <c r="I326" s="14"/>
      <c r="J326" s="13">
        <v>392421</v>
      </c>
      <c r="K326" s="14"/>
      <c r="L326" s="14" t="s">
        <v>328</v>
      </c>
      <c r="M326" s="14"/>
      <c r="N326" s="13">
        <v>6000</v>
      </c>
      <c r="O326" s="24">
        <v>0.6</v>
      </c>
      <c r="P326" s="14">
        <v>2</v>
      </c>
      <c r="Q326" s="14">
        <v>1200</v>
      </c>
      <c r="R326" s="13">
        <v>5160</v>
      </c>
      <c r="S326" s="14" t="s">
        <v>340</v>
      </c>
      <c r="T326" s="14">
        <v>2.15</v>
      </c>
      <c r="U326" s="14">
        <v>2.75</v>
      </c>
      <c r="V326" s="25">
        <v>2692.9982046678633</v>
      </c>
      <c r="W326" s="26">
        <v>30000</v>
      </c>
      <c r="X326" s="14"/>
      <c r="Y326" s="14"/>
      <c r="Z326" s="14"/>
      <c r="AA326" s="14"/>
      <c r="AB326" s="14"/>
      <c r="AC326" s="14" t="s">
        <v>328</v>
      </c>
      <c r="AD326" s="14" t="s">
        <v>328</v>
      </c>
      <c r="AE326" s="14"/>
      <c r="AF326" s="14"/>
      <c r="AG326" s="14"/>
      <c r="AH326" s="14"/>
      <c r="AI326" s="14"/>
      <c r="AJ326" s="14"/>
      <c r="AK326" s="14"/>
      <c r="AL326" s="14" t="s">
        <v>328</v>
      </c>
      <c r="AM326" s="14"/>
      <c r="AN326" s="13">
        <v>20000</v>
      </c>
      <c r="AO326" s="13">
        <v>20000</v>
      </c>
      <c r="AP326" s="13">
        <v>180000</v>
      </c>
      <c r="AQ326" s="13">
        <v>140000</v>
      </c>
      <c r="AR326" s="13">
        <v>20000</v>
      </c>
      <c r="AS326" s="26">
        <v>186000</v>
      </c>
      <c r="AT326" s="26">
        <v>0</v>
      </c>
      <c r="AU326" s="26">
        <v>90000</v>
      </c>
      <c r="AV326" s="26">
        <v>39600</v>
      </c>
      <c r="AW326" s="26">
        <v>39000</v>
      </c>
      <c r="AX326" s="62">
        <v>0</v>
      </c>
      <c r="AY326" s="17" t="s">
        <v>575</v>
      </c>
      <c r="AZ326" s="14" t="s">
        <v>561</v>
      </c>
      <c r="BA326" s="249">
        <f t="shared" si="9"/>
        <v>3</v>
      </c>
      <c r="BB326" s="249">
        <v>0</v>
      </c>
      <c r="BC326" s="249">
        <f t="shared" si="8"/>
        <v>2008</v>
      </c>
    </row>
    <row r="327" spans="1:55" x14ac:dyDescent="0.25">
      <c r="A327" s="50" t="s">
        <v>1855</v>
      </c>
      <c r="B327" s="61" t="s">
        <v>541</v>
      </c>
      <c r="C327" s="14" t="s">
        <v>337</v>
      </c>
      <c r="D327" s="14">
        <v>2008</v>
      </c>
      <c r="E327" s="14" t="s">
        <v>477</v>
      </c>
      <c r="F327" s="14"/>
      <c r="G327" s="14"/>
      <c r="H327" s="14"/>
      <c r="I327" s="14"/>
      <c r="J327" s="13">
        <v>350615</v>
      </c>
      <c r="K327" s="14"/>
      <c r="L327" s="14" t="s">
        <v>328</v>
      </c>
      <c r="M327" s="14"/>
      <c r="N327" s="13">
        <v>6000</v>
      </c>
      <c r="O327" s="24">
        <v>0.6</v>
      </c>
      <c r="P327" s="14">
        <v>2</v>
      </c>
      <c r="Q327" s="14">
        <v>1184</v>
      </c>
      <c r="R327" s="13">
        <v>5091.2</v>
      </c>
      <c r="S327" s="14" t="s">
        <v>340</v>
      </c>
      <c r="T327" s="14">
        <v>2.15</v>
      </c>
      <c r="U327" s="14">
        <v>2.75</v>
      </c>
      <c r="V327" s="25">
        <v>2692.9982046678633</v>
      </c>
      <c r="W327" s="26">
        <v>30000</v>
      </c>
      <c r="X327" s="14"/>
      <c r="Y327" s="14"/>
      <c r="Z327" s="14"/>
      <c r="AA327" s="14"/>
      <c r="AB327" s="14"/>
      <c r="AC327" s="14" t="s">
        <v>328</v>
      </c>
      <c r="AD327" s="14" t="s">
        <v>328</v>
      </c>
      <c r="AE327" s="14"/>
      <c r="AF327" s="14"/>
      <c r="AG327" s="14"/>
      <c r="AH327" s="14"/>
      <c r="AI327" s="14"/>
      <c r="AJ327" s="14"/>
      <c r="AK327" s="14"/>
      <c r="AL327" s="14" t="s">
        <v>328</v>
      </c>
      <c r="AM327" s="14"/>
      <c r="AN327" s="13">
        <v>20000</v>
      </c>
      <c r="AO327" s="13">
        <v>20000</v>
      </c>
      <c r="AP327" s="13">
        <v>180000</v>
      </c>
      <c r="AQ327" s="13">
        <v>140000</v>
      </c>
      <c r="AR327" s="13">
        <v>20000</v>
      </c>
      <c r="AS327" s="26">
        <v>186000</v>
      </c>
      <c r="AT327" s="26">
        <v>0</v>
      </c>
      <c r="AU327" s="26">
        <v>90000</v>
      </c>
      <c r="AV327" s="26">
        <v>39600</v>
      </c>
      <c r="AW327" s="26">
        <v>39000</v>
      </c>
      <c r="AX327" s="62">
        <v>0</v>
      </c>
      <c r="AY327" s="17" t="s">
        <v>575</v>
      </c>
      <c r="AZ327" s="14" t="s">
        <v>561</v>
      </c>
      <c r="BA327" s="249">
        <f t="shared" si="9"/>
        <v>3</v>
      </c>
      <c r="BB327" s="249">
        <v>0</v>
      </c>
      <c r="BC327" s="249">
        <f t="shared" si="8"/>
        <v>2008</v>
      </c>
    </row>
    <row r="328" spans="1:55" x14ac:dyDescent="0.25">
      <c r="A328" s="50" t="s">
        <v>1855</v>
      </c>
      <c r="B328" s="61" t="s">
        <v>542</v>
      </c>
      <c r="C328" s="14" t="s">
        <v>337</v>
      </c>
      <c r="D328" s="14">
        <v>1999</v>
      </c>
      <c r="E328" s="14" t="s">
        <v>407</v>
      </c>
      <c r="F328" s="14"/>
      <c r="G328" s="14"/>
      <c r="H328" s="14"/>
      <c r="I328" s="14"/>
      <c r="J328" s="13">
        <v>1074600</v>
      </c>
      <c r="K328" s="14"/>
      <c r="L328" s="14"/>
      <c r="M328" s="14" t="s">
        <v>328</v>
      </c>
      <c r="N328" s="13">
        <v>6000</v>
      </c>
      <c r="O328" s="24">
        <v>0.5</v>
      </c>
      <c r="P328" s="14">
        <v>2</v>
      </c>
      <c r="Q328" s="14">
        <v>900</v>
      </c>
      <c r="R328" s="13">
        <v>3600</v>
      </c>
      <c r="S328" s="14" t="s">
        <v>340</v>
      </c>
      <c r="T328" s="14">
        <v>2</v>
      </c>
      <c r="U328" s="14">
        <v>2.6</v>
      </c>
      <c r="V328" s="25">
        <v>4500</v>
      </c>
      <c r="W328" s="44">
        <v>63630</v>
      </c>
      <c r="X328" s="14"/>
      <c r="Y328" s="14"/>
      <c r="Z328" s="14"/>
      <c r="AA328" s="14"/>
      <c r="AB328" s="14" t="s">
        <v>328</v>
      </c>
      <c r="AC328" s="14"/>
      <c r="AD328" s="15" t="s">
        <v>332</v>
      </c>
      <c r="AE328" s="14"/>
      <c r="AF328" s="14"/>
      <c r="AG328" s="14"/>
      <c r="AH328" s="14"/>
      <c r="AI328" s="14"/>
      <c r="AJ328" s="14"/>
      <c r="AK328" s="14"/>
      <c r="AL328" s="14"/>
      <c r="AM328" s="14"/>
      <c r="AN328" s="13">
        <v>30000</v>
      </c>
      <c r="AO328" s="13">
        <v>30000</v>
      </c>
      <c r="AP328" s="13">
        <v>240000</v>
      </c>
      <c r="AQ328" s="13">
        <v>120000</v>
      </c>
      <c r="AR328" s="13">
        <v>30000</v>
      </c>
      <c r="AS328" s="26">
        <v>0</v>
      </c>
      <c r="AT328" s="26">
        <v>0</v>
      </c>
      <c r="AU328" s="26">
        <v>30000</v>
      </c>
      <c r="AV328" s="26">
        <v>25000</v>
      </c>
      <c r="AW328" s="26">
        <v>43000</v>
      </c>
      <c r="AX328" s="62">
        <v>0</v>
      </c>
      <c r="AY328" s="17" t="s">
        <v>576</v>
      </c>
      <c r="AZ328" s="14" t="s">
        <v>561</v>
      </c>
      <c r="BA328" s="249">
        <f t="shared" si="9"/>
        <v>1</v>
      </c>
      <c r="BB328" s="249">
        <v>0</v>
      </c>
      <c r="BC328" s="249">
        <f t="shared" ref="BC328:BC391" si="10">IF(H328&gt;D328,(IF(H328&gt;F328,H328,(IF(F328&gt;D328,F328,D328)))),(IF(F328&gt;D328,F328,D328)))</f>
        <v>1999</v>
      </c>
    </row>
    <row r="329" spans="1:55" x14ac:dyDescent="0.25">
      <c r="A329" s="50" t="s">
        <v>1855</v>
      </c>
      <c r="B329" s="61" t="s">
        <v>543</v>
      </c>
      <c r="C329" s="14" t="s">
        <v>348</v>
      </c>
      <c r="D329" s="14">
        <v>2000</v>
      </c>
      <c r="E329" s="14" t="s">
        <v>477</v>
      </c>
      <c r="F329" s="14"/>
      <c r="G329" s="14"/>
      <c r="H329" s="14"/>
      <c r="I329" s="14"/>
      <c r="J329" s="13">
        <v>873410</v>
      </c>
      <c r="K329" s="14"/>
      <c r="L329" s="14" t="s">
        <v>328</v>
      </c>
      <c r="M329" s="14"/>
      <c r="N329" s="13">
        <v>5000</v>
      </c>
      <c r="O329" s="24">
        <v>0.5</v>
      </c>
      <c r="P329" s="14">
        <v>1</v>
      </c>
      <c r="Q329" s="14">
        <v>200</v>
      </c>
      <c r="R329" s="13">
        <v>940</v>
      </c>
      <c r="S329" s="14" t="s">
        <v>340</v>
      </c>
      <c r="T329" s="14">
        <v>4.7</v>
      </c>
      <c r="U329" s="14">
        <v>5.0999999999999996</v>
      </c>
      <c r="V329" s="25">
        <v>1256.7324955116696</v>
      </c>
      <c r="W329" s="26">
        <v>14000</v>
      </c>
      <c r="X329" s="14"/>
      <c r="Y329" s="14"/>
      <c r="Z329" s="14"/>
      <c r="AA329" s="14"/>
      <c r="AB329" s="14" t="s">
        <v>328</v>
      </c>
      <c r="AC329" s="14"/>
      <c r="AD329" s="15" t="s">
        <v>332</v>
      </c>
      <c r="AE329" s="14"/>
      <c r="AF329" s="14"/>
      <c r="AG329" s="14"/>
      <c r="AH329" s="14"/>
      <c r="AI329" s="14"/>
      <c r="AJ329" s="14"/>
      <c r="AK329" s="14"/>
      <c r="AL329" s="14"/>
      <c r="AM329" s="14"/>
      <c r="AN329" s="13">
        <v>25000</v>
      </c>
      <c r="AO329" s="13">
        <v>25000</v>
      </c>
      <c r="AP329" s="13">
        <v>125000</v>
      </c>
      <c r="AQ329" s="13">
        <v>125000</v>
      </c>
      <c r="AR329" s="13">
        <v>25000</v>
      </c>
      <c r="AS329" s="26">
        <v>72000</v>
      </c>
      <c r="AT329" s="26">
        <v>0</v>
      </c>
      <c r="AU329" s="26">
        <v>36000</v>
      </c>
      <c r="AV329" s="26">
        <v>24000</v>
      </c>
      <c r="AW329" s="26">
        <v>21600</v>
      </c>
      <c r="AX329" s="62">
        <v>0</v>
      </c>
      <c r="AY329" s="17" t="s">
        <v>577</v>
      </c>
      <c r="AZ329" s="14" t="s">
        <v>348</v>
      </c>
      <c r="BA329" s="249">
        <f t="shared" ref="BA329:BA392" si="11">COUNTIF($B$8:$B$987,B329)</f>
        <v>1</v>
      </c>
      <c r="BB329" s="249">
        <v>0</v>
      </c>
      <c r="BC329" s="249">
        <f t="shared" si="10"/>
        <v>2000</v>
      </c>
    </row>
    <row r="330" spans="1:55" x14ac:dyDescent="0.25">
      <c r="A330" s="50" t="s">
        <v>1855</v>
      </c>
      <c r="B330" s="61" t="s">
        <v>544</v>
      </c>
      <c r="C330" s="14" t="s">
        <v>337</v>
      </c>
      <c r="D330" s="14">
        <v>2001</v>
      </c>
      <c r="E330" s="14" t="s">
        <v>407</v>
      </c>
      <c r="F330" s="14"/>
      <c r="G330" s="14"/>
      <c r="H330" s="14"/>
      <c r="I330" s="14"/>
      <c r="J330" s="13">
        <v>761848</v>
      </c>
      <c r="K330" s="14" t="s">
        <v>328</v>
      </c>
      <c r="L330" s="14"/>
      <c r="M330" s="14"/>
      <c r="N330" s="13">
        <v>6000</v>
      </c>
      <c r="O330" s="24">
        <v>0.5</v>
      </c>
      <c r="P330" s="14">
        <v>2</v>
      </c>
      <c r="Q330" s="14">
        <v>900</v>
      </c>
      <c r="R330" s="13">
        <v>4320</v>
      </c>
      <c r="S330" s="14" t="s">
        <v>340</v>
      </c>
      <c r="T330" s="14">
        <v>2.4</v>
      </c>
      <c r="U330" s="14">
        <v>2.7</v>
      </c>
      <c r="V330" s="25">
        <v>2692.9982046678633</v>
      </c>
      <c r="W330" s="26">
        <v>30000</v>
      </c>
      <c r="X330" s="14"/>
      <c r="Y330" s="14"/>
      <c r="Z330" s="14"/>
      <c r="AA330" s="14"/>
      <c r="AB330" s="14" t="s">
        <v>328</v>
      </c>
      <c r="AC330" s="14"/>
      <c r="AD330" s="14" t="s">
        <v>328</v>
      </c>
      <c r="AE330" s="14"/>
      <c r="AF330" s="14"/>
      <c r="AG330" s="14"/>
      <c r="AH330" s="14"/>
      <c r="AI330" s="14"/>
      <c r="AJ330" s="14"/>
      <c r="AK330" s="14"/>
      <c r="AL330" s="14"/>
      <c r="AM330" s="14"/>
      <c r="AN330" s="13">
        <v>18000</v>
      </c>
      <c r="AO330" s="13">
        <v>24000</v>
      </c>
      <c r="AP330" s="13">
        <v>160000</v>
      </c>
      <c r="AQ330" s="13">
        <v>80000</v>
      </c>
      <c r="AR330" s="13">
        <v>24000</v>
      </c>
      <c r="AS330" s="26">
        <v>216000</v>
      </c>
      <c r="AT330" s="26">
        <v>0</v>
      </c>
      <c r="AU330" s="26">
        <v>156000</v>
      </c>
      <c r="AV330" s="26">
        <v>72000</v>
      </c>
      <c r="AW330" s="26">
        <v>48000</v>
      </c>
      <c r="AX330" s="62">
        <v>0</v>
      </c>
      <c r="AY330" s="17" t="s">
        <v>576</v>
      </c>
      <c r="AZ330" s="14" t="s">
        <v>561</v>
      </c>
      <c r="BA330" s="249">
        <f t="shared" si="11"/>
        <v>1</v>
      </c>
      <c r="BB330" s="249">
        <v>0</v>
      </c>
      <c r="BC330" s="249">
        <f t="shared" si="10"/>
        <v>2001</v>
      </c>
    </row>
    <row r="331" spans="1:55" x14ac:dyDescent="0.25">
      <c r="A331" s="50" t="s">
        <v>1855</v>
      </c>
      <c r="B331" s="61" t="s">
        <v>545</v>
      </c>
      <c r="C331" s="14" t="s">
        <v>337</v>
      </c>
      <c r="D331" s="14">
        <v>1997</v>
      </c>
      <c r="E331" s="14" t="s">
        <v>407</v>
      </c>
      <c r="F331" s="14"/>
      <c r="G331" s="14"/>
      <c r="H331" s="14"/>
      <c r="I331" s="14"/>
      <c r="J331" s="13">
        <v>897613</v>
      </c>
      <c r="K331" s="14"/>
      <c r="L331" s="14"/>
      <c r="M331" s="14" t="s">
        <v>328</v>
      </c>
      <c r="N331" s="13">
        <v>4000</v>
      </c>
      <c r="O331" s="24">
        <v>0.5</v>
      </c>
      <c r="P331" s="14">
        <v>2</v>
      </c>
      <c r="Q331" s="14">
        <v>840</v>
      </c>
      <c r="R331" s="13">
        <v>3360</v>
      </c>
      <c r="S331" s="14" t="s">
        <v>340</v>
      </c>
      <c r="T331" s="14">
        <v>2</v>
      </c>
      <c r="U331" s="14">
        <v>2.5</v>
      </c>
      <c r="V331" s="25">
        <v>2154.3985637342907</v>
      </c>
      <c r="W331" s="26">
        <v>24000</v>
      </c>
      <c r="X331" s="14"/>
      <c r="Y331" s="14"/>
      <c r="Z331" s="14"/>
      <c r="AA331" s="14" t="s">
        <v>328</v>
      </c>
      <c r="AB331" s="14"/>
      <c r="AC331" s="14"/>
      <c r="AD331" s="15" t="s">
        <v>332</v>
      </c>
      <c r="AE331" s="14"/>
      <c r="AF331" s="14"/>
      <c r="AG331" s="14"/>
      <c r="AH331" s="14"/>
      <c r="AI331" s="14"/>
      <c r="AJ331" s="14"/>
      <c r="AK331" s="14"/>
      <c r="AL331" s="14"/>
      <c r="AM331" s="14"/>
      <c r="AN331" s="13">
        <v>25000</v>
      </c>
      <c r="AO331" s="13">
        <v>25000</v>
      </c>
      <c r="AP331" s="13">
        <v>100000</v>
      </c>
      <c r="AQ331" s="13">
        <v>100000</v>
      </c>
      <c r="AR331" s="13">
        <v>25000</v>
      </c>
      <c r="AS331" s="26">
        <v>0</v>
      </c>
      <c r="AT331" s="26">
        <v>0</v>
      </c>
      <c r="AU331" s="26" t="s">
        <v>480</v>
      </c>
      <c r="AV331" s="26" t="s">
        <v>480</v>
      </c>
      <c r="AW331" s="26">
        <v>33000</v>
      </c>
      <c r="AX331" s="62">
        <v>0</v>
      </c>
      <c r="AY331" s="17" t="s">
        <v>576</v>
      </c>
      <c r="AZ331" s="14" t="s">
        <v>562</v>
      </c>
      <c r="BA331" s="249">
        <f t="shared" si="11"/>
        <v>1</v>
      </c>
      <c r="BB331" s="249">
        <v>0</v>
      </c>
      <c r="BC331" s="249">
        <f t="shared" si="10"/>
        <v>1997</v>
      </c>
    </row>
    <row r="332" spans="1:55" x14ac:dyDescent="0.25">
      <c r="A332" s="50" t="s">
        <v>1855</v>
      </c>
      <c r="B332" s="61" t="s">
        <v>546</v>
      </c>
      <c r="C332" s="14" t="s">
        <v>351</v>
      </c>
      <c r="D332" s="14">
        <v>2008</v>
      </c>
      <c r="E332" s="14" t="s">
        <v>407</v>
      </c>
      <c r="F332" s="14"/>
      <c r="G332" s="14"/>
      <c r="H332" s="14"/>
      <c r="I332" s="14"/>
      <c r="J332" s="13">
        <v>856120</v>
      </c>
      <c r="K332" s="14" t="s">
        <v>328</v>
      </c>
      <c r="L332" s="14"/>
      <c r="M332" s="14"/>
      <c r="N332" s="13">
        <v>15000</v>
      </c>
      <c r="O332" s="24">
        <v>0.1</v>
      </c>
      <c r="P332" s="14">
        <v>2</v>
      </c>
      <c r="Q332" s="14">
        <v>400</v>
      </c>
      <c r="R332" s="13">
        <v>4000</v>
      </c>
      <c r="S332" s="14" t="s">
        <v>340</v>
      </c>
      <c r="T332" s="14">
        <v>5</v>
      </c>
      <c r="U332" s="14">
        <v>5.6</v>
      </c>
      <c r="V332" s="25">
        <v>4500</v>
      </c>
      <c r="W332" s="44">
        <v>63630</v>
      </c>
      <c r="X332" s="14"/>
      <c r="Y332" s="14"/>
      <c r="Z332" s="14"/>
      <c r="AA332" s="14"/>
      <c r="AB332" s="14" t="s">
        <v>328</v>
      </c>
      <c r="AC332" s="14"/>
      <c r="AD332" s="14" t="s">
        <v>328</v>
      </c>
      <c r="AE332" s="14"/>
      <c r="AF332" s="14"/>
      <c r="AG332" s="14"/>
      <c r="AH332" s="14"/>
      <c r="AI332" s="14"/>
      <c r="AJ332" s="14"/>
      <c r="AK332" s="14"/>
      <c r="AL332" s="14"/>
      <c r="AM332" s="14"/>
      <c r="AN332" s="13">
        <v>30000</v>
      </c>
      <c r="AO332" s="13">
        <v>30000</v>
      </c>
      <c r="AP332" s="13">
        <v>100000</v>
      </c>
      <c r="AQ332" s="13">
        <v>100000</v>
      </c>
      <c r="AR332" s="13">
        <v>30000</v>
      </c>
      <c r="AS332" s="26">
        <v>210000</v>
      </c>
      <c r="AT332" s="26">
        <v>0</v>
      </c>
      <c r="AU332" s="26">
        <v>30000</v>
      </c>
      <c r="AV332" s="26">
        <v>30000</v>
      </c>
      <c r="AW332" s="26">
        <v>18000</v>
      </c>
      <c r="AX332" s="62">
        <v>0</v>
      </c>
      <c r="AY332" s="17" t="s">
        <v>703</v>
      </c>
      <c r="AZ332" s="14" t="s">
        <v>351</v>
      </c>
      <c r="BA332" s="249">
        <f t="shared" si="11"/>
        <v>2</v>
      </c>
      <c r="BB332" s="249">
        <v>0</v>
      </c>
      <c r="BC332" s="249">
        <f t="shared" si="10"/>
        <v>2008</v>
      </c>
    </row>
    <row r="333" spans="1:55" x14ac:dyDescent="0.25">
      <c r="A333" s="50" t="s">
        <v>1855</v>
      </c>
      <c r="B333" s="61" t="s">
        <v>546</v>
      </c>
      <c r="C333" s="14" t="s">
        <v>351</v>
      </c>
      <c r="D333" s="14">
        <v>2008</v>
      </c>
      <c r="E333" s="14" t="s">
        <v>407</v>
      </c>
      <c r="F333" s="14"/>
      <c r="G333" s="14"/>
      <c r="H333" s="14"/>
      <c r="I333" s="14"/>
      <c r="J333" s="13">
        <v>762582</v>
      </c>
      <c r="K333" s="14" t="s">
        <v>328</v>
      </c>
      <c r="L333" s="14"/>
      <c r="M333" s="14"/>
      <c r="N333" s="13">
        <v>15000</v>
      </c>
      <c r="O333" s="24">
        <v>0.1</v>
      </c>
      <c r="P333" s="14">
        <v>2</v>
      </c>
      <c r="Q333" s="14">
        <v>400</v>
      </c>
      <c r="R333" s="13">
        <v>4000</v>
      </c>
      <c r="S333" s="14" t="s">
        <v>340</v>
      </c>
      <c r="T333" s="14">
        <v>5</v>
      </c>
      <c r="U333" s="14">
        <v>5.6</v>
      </c>
      <c r="V333" s="25">
        <v>4500</v>
      </c>
      <c r="W333" s="44">
        <v>63630</v>
      </c>
      <c r="X333" s="14"/>
      <c r="Y333" s="14"/>
      <c r="Z333" s="14"/>
      <c r="AA333" s="14"/>
      <c r="AB333" s="14" t="s">
        <v>328</v>
      </c>
      <c r="AC333" s="14"/>
      <c r="AD333" s="14" t="s">
        <v>328</v>
      </c>
      <c r="AE333" s="14"/>
      <c r="AF333" s="14"/>
      <c r="AG333" s="14"/>
      <c r="AH333" s="14"/>
      <c r="AI333" s="14"/>
      <c r="AJ333" s="14"/>
      <c r="AK333" s="14"/>
      <c r="AL333" s="14"/>
      <c r="AM333" s="14"/>
      <c r="AN333" s="13">
        <v>30000</v>
      </c>
      <c r="AO333" s="13">
        <v>30000</v>
      </c>
      <c r="AP333" s="13">
        <v>100000</v>
      </c>
      <c r="AQ333" s="13">
        <v>100000</v>
      </c>
      <c r="AR333" s="13">
        <v>30000</v>
      </c>
      <c r="AS333" s="26">
        <v>210000</v>
      </c>
      <c r="AT333" s="26">
        <v>0</v>
      </c>
      <c r="AU333" s="26">
        <v>30000</v>
      </c>
      <c r="AV333" s="26">
        <v>30000</v>
      </c>
      <c r="AW333" s="26">
        <v>18000</v>
      </c>
      <c r="AX333" s="62">
        <v>0</v>
      </c>
      <c r="AY333" s="17" t="s">
        <v>703</v>
      </c>
      <c r="AZ333" s="14" t="s">
        <v>351</v>
      </c>
      <c r="BA333" s="249">
        <f t="shared" si="11"/>
        <v>2</v>
      </c>
      <c r="BB333" s="249">
        <v>0</v>
      </c>
      <c r="BC333" s="249">
        <f t="shared" si="10"/>
        <v>2008</v>
      </c>
    </row>
    <row r="334" spans="1:55" x14ac:dyDescent="0.25">
      <c r="A334" s="50" t="s">
        <v>1855</v>
      </c>
      <c r="B334" s="61" t="s">
        <v>547</v>
      </c>
      <c r="C334" s="14" t="s">
        <v>337</v>
      </c>
      <c r="D334" s="14">
        <v>2003</v>
      </c>
      <c r="E334" s="14" t="s">
        <v>407</v>
      </c>
      <c r="F334" s="14"/>
      <c r="G334" s="14"/>
      <c r="H334" s="14"/>
      <c r="I334" s="14"/>
      <c r="J334" s="13">
        <v>1015306</v>
      </c>
      <c r="K334" s="14"/>
      <c r="L334" s="14" t="s">
        <v>328</v>
      </c>
      <c r="M334" s="14"/>
      <c r="N334" s="13">
        <v>9000</v>
      </c>
      <c r="O334" s="24">
        <v>0.3</v>
      </c>
      <c r="P334" s="14">
        <v>3</v>
      </c>
      <c r="Q334" s="14">
        <v>1200</v>
      </c>
      <c r="R334" s="13">
        <v>8280</v>
      </c>
      <c r="S334" s="14" t="s">
        <v>340</v>
      </c>
      <c r="T334" s="14">
        <v>2.2999999999999998</v>
      </c>
      <c r="U334" s="14">
        <v>2.7</v>
      </c>
      <c r="V334" s="25">
        <v>3770.1974865350089</v>
      </c>
      <c r="W334" s="26">
        <v>42000</v>
      </c>
      <c r="X334" s="14"/>
      <c r="Y334" s="14"/>
      <c r="Z334" s="14"/>
      <c r="AA334" s="14"/>
      <c r="AB334" s="14" t="s">
        <v>328</v>
      </c>
      <c r="AC334" s="14"/>
      <c r="AD334" s="14" t="s">
        <v>328</v>
      </c>
      <c r="AE334" s="14"/>
      <c r="AF334" s="14"/>
      <c r="AG334" s="14"/>
      <c r="AH334" s="14"/>
      <c r="AI334" s="14"/>
      <c r="AJ334" s="14"/>
      <c r="AK334" s="14"/>
      <c r="AL334" s="14"/>
      <c r="AM334" s="14"/>
      <c r="AN334" s="13">
        <v>18000</v>
      </c>
      <c r="AO334" s="13">
        <v>18000</v>
      </c>
      <c r="AP334" s="13">
        <v>180000</v>
      </c>
      <c r="AQ334" s="13">
        <v>100000</v>
      </c>
      <c r="AR334" s="13">
        <v>18000</v>
      </c>
      <c r="AS334" s="26">
        <v>162000</v>
      </c>
      <c r="AT334" s="26">
        <v>0</v>
      </c>
      <c r="AU334" s="26">
        <v>30000</v>
      </c>
      <c r="AV334" s="26">
        <v>48000</v>
      </c>
      <c r="AW334" s="26">
        <v>33600</v>
      </c>
      <c r="AX334" s="62">
        <v>0</v>
      </c>
      <c r="AY334" s="17" t="s">
        <v>574</v>
      </c>
      <c r="AZ334" s="14" t="s">
        <v>562</v>
      </c>
      <c r="BA334" s="249">
        <f t="shared" si="11"/>
        <v>1</v>
      </c>
      <c r="BB334" s="249">
        <v>0</v>
      </c>
      <c r="BC334" s="249">
        <f t="shared" si="10"/>
        <v>2003</v>
      </c>
    </row>
    <row r="335" spans="1:55" x14ac:dyDescent="0.25">
      <c r="A335" s="50" t="s">
        <v>1855</v>
      </c>
      <c r="B335" s="61" t="s">
        <v>548</v>
      </c>
      <c r="C335" s="14" t="s">
        <v>351</v>
      </c>
      <c r="D335" s="14">
        <v>1987</v>
      </c>
      <c r="E335" s="14" t="s">
        <v>581</v>
      </c>
      <c r="F335" s="14"/>
      <c r="G335" s="14"/>
      <c r="H335" s="14"/>
      <c r="I335" s="14"/>
      <c r="J335" s="13">
        <v>1436112</v>
      </c>
      <c r="K335" s="14"/>
      <c r="L335" s="14"/>
      <c r="M335" s="14" t="s">
        <v>328</v>
      </c>
      <c r="N335" s="13">
        <v>8000</v>
      </c>
      <c r="O335" s="24">
        <v>0.2</v>
      </c>
      <c r="P335" s="14">
        <v>2</v>
      </c>
      <c r="Q335" s="14">
        <v>400</v>
      </c>
      <c r="R335" s="13">
        <v>3120</v>
      </c>
      <c r="S335" s="14" t="s">
        <v>340</v>
      </c>
      <c r="T335" s="14">
        <v>3.9</v>
      </c>
      <c r="U335" s="14">
        <v>4.3</v>
      </c>
      <c r="V335" s="25">
        <v>1795.3321364452422</v>
      </c>
      <c r="W335" s="26">
        <v>20000</v>
      </c>
      <c r="X335" s="14"/>
      <c r="Y335" s="14" t="s">
        <v>328</v>
      </c>
      <c r="Z335" s="14"/>
      <c r="AA335" s="14"/>
      <c r="AB335" s="14"/>
      <c r="AC335" s="14"/>
      <c r="AD335" s="15" t="s">
        <v>332</v>
      </c>
      <c r="AE335" s="14"/>
      <c r="AF335" s="14"/>
      <c r="AG335" s="14"/>
      <c r="AH335" s="14"/>
      <c r="AI335" s="14"/>
      <c r="AJ335" s="14"/>
      <c r="AK335" s="14"/>
      <c r="AL335" s="14"/>
      <c r="AM335" s="14"/>
      <c r="AN335" s="13">
        <v>30000</v>
      </c>
      <c r="AO335" s="13">
        <v>30000</v>
      </c>
      <c r="AP335" s="13">
        <v>160000</v>
      </c>
      <c r="AQ335" s="13">
        <v>120000</v>
      </c>
      <c r="AR335" s="13">
        <v>30000</v>
      </c>
      <c r="AS335" s="26">
        <v>144000</v>
      </c>
      <c r="AT335" s="26">
        <v>36000</v>
      </c>
      <c r="AU335" s="26">
        <v>24000</v>
      </c>
      <c r="AV335" s="26">
        <v>20000</v>
      </c>
      <c r="AW335" s="26">
        <v>12000</v>
      </c>
      <c r="AX335" s="62">
        <v>0</v>
      </c>
      <c r="AZ335" s="14" t="s">
        <v>351</v>
      </c>
      <c r="BA335" s="249">
        <f t="shared" si="11"/>
        <v>1</v>
      </c>
      <c r="BB335" s="249">
        <v>0</v>
      </c>
      <c r="BC335" s="249">
        <f t="shared" si="10"/>
        <v>1987</v>
      </c>
    </row>
    <row r="336" spans="1:55" x14ac:dyDescent="0.25">
      <c r="A336" s="50" t="s">
        <v>1855</v>
      </c>
      <c r="B336" s="61" t="s">
        <v>549</v>
      </c>
      <c r="C336" s="14" t="s">
        <v>351</v>
      </c>
      <c r="D336" s="14">
        <v>2002</v>
      </c>
      <c r="E336" s="14" t="s">
        <v>407</v>
      </c>
      <c r="F336" s="14"/>
      <c r="G336" s="14"/>
      <c r="H336" s="14"/>
      <c r="I336" s="14"/>
      <c r="J336" s="13">
        <v>861402</v>
      </c>
      <c r="K336" s="14"/>
      <c r="L336" s="14" t="s">
        <v>328</v>
      </c>
      <c r="M336" s="14"/>
      <c r="N336" s="13">
        <v>10000</v>
      </c>
      <c r="O336" s="24">
        <v>0.1</v>
      </c>
      <c r="P336" s="14">
        <v>2</v>
      </c>
      <c r="Q336" s="14">
        <v>850</v>
      </c>
      <c r="R336" s="13">
        <v>7310</v>
      </c>
      <c r="S336" s="14" t="s">
        <v>340</v>
      </c>
      <c r="T336" s="14">
        <v>4.3</v>
      </c>
      <c r="U336" s="14">
        <v>4.9000000000000004</v>
      </c>
      <c r="V336" s="25">
        <v>2513.4649910233393</v>
      </c>
      <c r="W336" s="26">
        <v>28000</v>
      </c>
      <c r="X336" s="14"/>
      <c r="Y336" s="14"/>
      <c r="Z336" s="14"/>
      <c r="AA336" s="14"/>
      <c r="AB336" s="14" t="s">
        <v>328</v>
      </c>
      <c r="AC336" s="14"/>
      <c r="AD336" s="14" t="s">
        <v>328</v>
      </c>
      <c r="AE336" s="14"/>
      <c r="AF336" s="14"/>
      <c r="AG336" s="14"/>
      <c r="AH336" s="14"/>
      <c r="AI336" s="14"/>
      <c r="AJ336" s="14"/>
      <c r="AK336" s="14"/>
      <c r="AL336" s="14"/>
      <c r="AM336" s="14"/>
      <c r="AN336" s="13">
        <v>16000</v>
      </c>
      <c r="AO336" s="13">
        <v>32000</v>
      </c>
      <c r="AP336" s="13">
        <v>256000</v>
      </c>
      <c r="AQ336" s="13">
        <v>128000</v>
      </c>
      <c r="AR336" s="13">
        <v>16000</v>
      </c>
      <c r="AS336" s="26">
        <v>0</v>
      </c>
      <c r="AT336" s="26">
        <v>0</v>
      </c>
      <c r="AU336" s="26">
        <v>50000</v>
      </c>
      <c r="AV336" s="26">
        <v>30000</v>
      </c>
      <c r="AW336" s="26">
        <v>18000</v>
      </c>
      <c r="AX336" s="62">
        <v>0</v>
      </c>
      <c r="AY336" s="17" t="s">
        <v>583</v>
      </c>
      <c r="AZ336" s="14" t="s">
        <v>351</v>
      </c>
      <c r="BA336" s="249">
        <f t="shared" si="11"/>
        <v>1</v>
      </c>
      <c r="BB336" s="249">
        <v>0</v>
      </c>
      <c r="BC336" s="249">
        <f t="shared" si="10"/>
        <v>2002</v>
      </c>
    </row>
    <row r="337" spans="1:55" x14ac:dyDescent="0.25">
      <c r="A337" s="50" t="s">
        <v>1855</v>
      </c>
      <c r="B337" s="61" t="s">
        <v>550</v>
      </c>
      <c r="C337" s="14" t="s">
        <v>337</v>
      </c>
      <c r="D337" s="14">
        <v>2004</v>
      </c>
      <c r="E337" s="14" t="s">
        <v>407</v>
      </c>
      <c r="F337" s="14"/>
      <c r="G337" s="14"/>
      <c r="H337" s="14"/>
      <c r="I337" s="14"/>
      <c r="J337" s="13">
        <v>882739</v>
      </c>
      <c r="K337" s="14"/>
      <c r="L337" s="14" t="s">
        <v>328</v>
      </c>
      <c r="M337" s="14"/>
      <c r="N337" s="13">
        <v>8333.3333333333339</v>
      </c>
      <c r="O337" s="24">
        <v>0.05</v>
      </c>
      <c r="P337" s="14">
        <v>2</v>
      </c>
      <c r="Q337" s="14">
        <v>908</v>
      </c>
      <c r="R337" s="13">
        <v>4358.3999999999996</v>
      </c>
      <c r="S337" s="14" t="s">
        <v>340</v>
      </c>
      <c r="T337" s="14">
        <v>2.4</v>
      </c>
      <c r="U337" s="14">
        <v>2.7</v>
      </c>
      <c r="V337" s="25">
        <v>3590.6642728904844</v>
      </c>
      <c r="W337" s="26">
        <v>40000</v>
      </c>
      <c r="X337" s="14"/>
      <c r="Y337" s="14"/>
      <c r="Z337" s="14"/>
      <c r="AA337" s="14"/>
      <c r="AB337" s="14" t="s">
        <v>328</v>
      </c>
      <c r="AC337" s="14"/>
      <c r="AD337" s="14" t="s">
        <v>328</v>
      </c>
      <c r="AE337" s="14"/>
      <c r="AF337" s="14"/>
      <c r="AG337" s="14"/>
      <c r="AH337" s="14"/>
      <c r="AI337" s="14"/>
      <c r="AJ337" s="14"/>
      <c r="AK337" s="14"/>
      <c r="AL337" s="14" t="s">
        <v>328</v>
      </c>
      <c r="AM337" s="14" t="s">
        <v>328</v>
      </c>
      <c r="AN337" s="13">
        <v>18000</v>
      </c>
      <c r="AO337" s="13">
        <v>18000</v>
      </c>
      <c r="AP337" s="13">
        <v>100000</v>
      </c>
      <c r="AQ337" s="13">
        <v>100000</v>
      </c>
      <c r="AR337" s="13">
        <v>18000</v>
      </c>
      <c r="AS337" s="26">
        <v>150000</v>
      </c>
      <c r="AT337" s="26">
        <v>0</v>
      </c>
      <c r="AU337" s="26">
        <v>90000</v>
      </c>
      <c r="AV337" s="26">
        <v>24000</v>
      </c>
      <c r="AW337" s="26">
        <v>36000</v>
      </c>
      <c r="AX337" s="62">
        <v>0</v>
      </c>
      <c r="AY337" s="17" t="s">
        <v>574</v>
      </c>
      <c r="AZ337" s="14" t="s">
        <v>562</v>
      </c>
      <c r="BA337" s="249">
        <f t="shared" si="11"/>
        <v>2</v>
      </c>
      <c r="BB337" s="249">
        <v>0</v>
      </c>
      <c r="BC337" s="249">
        <f t="shared" si="10"/>
        <v>2004</v>
      </c>
    </row>
    <row r="338" spans="1:55" x14ac:dyDescent="0.25">
      <c r="A338" s="50" t="s">
        <v>1855</v>
      </c>
      <c r="B338" s="61" t="s">
        <v>550</v>
      </c>
      <c r="C338" s="14" t="s">
        <v>337</v>
      </c>
      <c r="D338" s="14">
        <v>2007</v>
      </c>
      <c r="E338" s="14" t="s">
        <v>407</v>
      </c>
      <c r="F338" s="14"/>
      <c r="G338" s="14"/>
      <c r="H338" s="14"/>
      <c r="I338" s="14"/>
      <c r="J338" s="13">
        <v>623438</v>
      </c>
      <c r="K338" s="14"/>
      <c r="L338" s="14" t="s">
        <v>328</v>
      </c>
      <c r="M338" s="14"/>
      <c r="N338" s="13">
        <v>8333.3333333333339</v>
      </c>
      <c r="O338" s="24">
        <v>0.05</v>
      </c>
      <c r="P338" s="14">
        <v>2</v>
      </c>
      <c r="Q338" s="14">
        <v>907</v>
      </c>
      <c r="R338" s="13">
        <v>4535</v>
      </c>
      <c r="S338" s="14" t="s">
        <v>340</v>
      </c>
      <c r="T338" s="14">
        <v>2.5</v>
      </c>
      <c r="U338" s="14">
        <v>2.9</v>
      </c>
      <c r="V338" s="25">
        <v>3590.6642728904844</v>
      </c>
      <c r="W338" s="26">
        <v>40000</v>
      </c>
      <c r="X338" s="14"/>
      <c r="Y338" s="14"/>
      <c r="Z338" s="14"/>
      <c r="AA338" s="14"/>
      <c r="AB338" s="14"/>
      <c r="AC338" s="14" t="s">
        <v>328</v>
      </c>
      <c r="AD338" s="14" t="s">
        <v>328</v>
      </c>
      <c r="AE338" s="14"/>
      <c r="AF338" s="14"/>
      <c r="AG338" s="14"/>
      <c r="AH338" s="14"/>
      <c r="AI338" s="14" t="s">
        <v>328</v>
      </c>
      <c r="AJ338" s="14"/>
      <c r="AK338" s="14"/>
      <c r="AL338" s="14" t="s">
        <v>328</v>
      </c>
      <c r="AM338" s="14" t="s">
        <v>328</v>
      </c>
      <c r="AN338" s="13">
        <v>18000</v>
      </c>
      <c r="AO338" s="13">
        <v>18000</v>
      </c>
      <c r="AP338" s="13">
        <v>100000</v>
      </c>
      <c r="AQ338" s="13">
        <v>100000</v>
      </c>
      <c r="AR338" s="13">
        <v>18000</v>
      </c>
      <c r="AS338" s="26">
        <v>150000</v>
      </c>
      <c r="AT338" s="26">
        <v>0</v>
      </c>
      <c r="AU338" s="26">
        <v>90000</v>
      </c>
      <c r="AV338" s="26">
        <v>24000</v>
      </c>
      <c r="AW338" s="26">
        <v>36000</v>
      </c>
      <c r="AX338" s="62">
        <v>0</v>
      </c>
      <c r="AY338" s="17" t="s">
        <v>574</v>
      </c>
      <c r="AZ338" s="14" t="s">
        <v>562</v>
      </c>
      <c r="BA338" s="249">
        <f t="shared" si="11"/>
        <v>2</v>
      </c>
      <c r="BB338" s="249">
        <v>0</v>
      </c>
      <c r="BC338" s="249">
        <f t="shared" si="10"/>
        <v>2007</v>
      </c>
    </row>
    <row r="339" spans="1:55" x14ac:dyDescent="0.25">
      <c r="A339" s="50" t="s">
        <v>1855</v>
      </c>
      <c r="B339" s="61" t="s">
        <v>551</v>
      </c>
      <c r="C339" s="14" t="s">
        <v>351</v>
      </c>
      <c r="D339" s="14">
        <v>1997</v>
      </c>
      <c r="E339" s="14" t="s">
        <v>407</v>
      </c>
      <c r="F339" s="14"/>
      <c r="G339" s="14"/>
      <c r="H339" s="14"/>
      <c r="I339" s="14"/>
      <c r="J339" s="13">
        <v>314506</v>
      </c>
      <c r="K339" s="14"/>
      <c r="L339" s="14" t="s">
        <v>328</v>
      </c>
      <c r="M339" s="14"/>
      <c r="N339" s="13">
        <v>7000</v>
      </c>
      <c r="O339" s="24">
        <v>0.2</v>
      </c>
      <c r="P339" s="14">
        <v>2</v>
      </c>
      <c r="Q339" s="14">
        <v>800</v>
      </c>
      <c r="R339" s="13">
        <v>4000</v>
      </c>
      <c r="S339" s="14" t="s">
        <v>340</v>
      </c>
      <c r="T339" s="14">
        <v>2.5</v>
      </c>
      <c r="U339" s="14">
        <v>2.9</v>
      </c>
      <c r="V339" s="25">
        <v>3590.6642728904844</v>
      </c>
      <c r="W339" s="26">
        <v>40000</v>
      </c>
      <c r="X339" s="14" t="s">
        <v>328</v>
      </c>
      <c r="Y339" s="14"/>
      <c r="Z339" s="14"/>
      <c r="AA339" s="14"/>
      <c r="AB339" s="14"/>
      <c r="AC339" s="14"/>
      <c r="AD339" s="15" t="s">
        <v>332</v>
      </c>
      <c r="AE339" s="14"/>
      <c r="AF339" s="14"/>
      <c r="AG339" s="14"/>
      <c r="AH339" s="14"/>
      <c r="AI339" s="14"/>
      <c r="AJ339" s="14"/>
      <c r="AK339" s="14"/>
      <c r="AL339" s="14"/>
      <c r="AM339" s="14"/>
      <c r="AN339" s="13">
        <v>30000</v>
      </c>
      <c r="AO339" s="13">
        <v>30000</v>
      </c>
      <c r="AP339" s="13">
        <v>200000</v>
      </c>
      <c r="AQ339" s="13">
        <v>150000</v>
      </c>
      <c r="AR339" s="13">
        <v>30000</v>
      </c>
      <c r="AS339" s="26">
        <v>144000</v>
      </c>
      <c r="AT339" s="26">
        <v>0</v>
      </c>
      <c r="AU339" s="26">
        <v>60000</v>
      </c>
      <c r="AV339" s="26">
        <v>60000</v>
      </c>
      <c r="AW339" s="26">
        <v>24000</v>
      </c>
      <c r="AX339" s="62">
        <v>0</v>
      </c>
      <c r="AY339" s="17" t="s">
        <v>583</v>
      </c>
      <c r="AZ339" s="14" t="s">
        <v>351</v>
      </c>
      <c r="BA339" s="249">
        <f t="shared" si="11"/>
        <v>1</v>
      </c>
      <c r="BB339" s="249">
        <v>0</v>
      </c>
      <c r="BC339" s="249">
        <f t="shared" si="10"/>
        <v>1997</v>
      </c>
    </row>
    <row r="340" spans="1:55" x14ac:dyDescent="0.25">
      <c r="A340" s="50" t="s">
        <v>1855</v>
      </c>
      <c r="B340" s="61" t="s">
        <v>552</v>
      </c>
      <c r="C340" s="14" t="s">
        <v>337</v>
      </c>
      <c r="D340" s="14">
        <v>2005</v>
      </c>
      <c r="E340" s="14" t="s">
        <v>475</v>
      </c>
      <c r="F340" s="14"/>
      <c r="G340" s="14"/>
      <c r="H340" s="14"/>
      <c r="I340" s="14"/>
      <c r="J340" s="13">
        <v>746812</v>
      </c>
      <c r="K340" s="14"/>
      <c r="L340" s="14" t="s">
        <v>328</v>
      </c>
      <c r="M340" s="14"/>
      <c r="N340" s="13">
        <v>7916.666666666667</v>
      </c>
      <c r="O340" s="24">
        <v>0.1</v>
      </c>
      <c r="P340" s="14">
        <v>3</v>
      </c>
      <c r="Q340" s="14">
        <v>1152</v>
      </c>
      <c r="R340" s="13">
        <v>8640</v>
      </c>
      <c r="S340" s="14" t="s">
        <v>340</v>
      </c>
      <c r="T340" s="14">
        <v>2.5</v>
      </c>
      <c r="U340" s="14">
        <v>2.8</v>
      </c>
      <c r="V340" s="25">
        <v>3000</v>
      </c>
      <c r="W340" s="13" t="s">
        <v>580</v>
      </c>
      <c r="X340" s="14"/>
      <c r="Y340" s="14" t="s">
        <v>328</v>
      </c>
      <c r="Z340" s="14"/>
      <c r="AA340" s="14"/>
      <c r="AB340" s="14"/>
      <c r="AC340" s="14"/>
      <c r="AD340" s="14" t="s">
        <v>328</v>
      </c>
      <c r="AE340" s="14"/>
      <c r="AF340" s="14"/>
      <c r="AG340" s="14"/>
      <c r="AH340" s="14"/>
      <c r="AI340" s="14" t="s">
        <v>328</v>
      </c>
      <c r="AJ340" s="14"/>
      <c r="AK340" s="14"/>
      <c r="AL340" s="14"/>
      <c r="AM340" s="14"/>
      <c r="AN340" s="13">
        <v>20000</v>
      </c>
      <c r="AO340" s="13">
        <v>20000</v>
      </c>
      <c r="AP340" s="13">
        <v>100000</v>
      </c>
      <c r="AQ340" s="13">
        <v>100000</v>
      </c>
      <c r="AR340" s="13">
        <v>20000</v>
      </c>
      <c r="AS340" s="26">
        <v>210000</v>
      </c>
      <c r="AT340" s="26">
        <v>0</v>
      </c>
      <c r="AU340" s="26">
        <v>75000</v>
      </c>
      <c r="AV340" s="26">
        <v>25000</v>
      </c>
      <c r="AW340" s="26">
        <v>22000</v>
      </c>
      <c r="AX340" s="62">
        <v>0</v>
      </c>
      <c r="AY340" s="17" t="s">
        <v>585</v>
      </c>
      <c r="AZ340" s="14" t="s">
        <v>562</v>
      </c>
      <c r="BA340" s="249">
        <f t="shared" si="11"/>
        <v>1</v>
      </c>
      <c r="BB340" s="249">
        <v>0</v>
      </c>
      <c r="BC340" s="249">
        <f t="shared" si="10"/>
        <v>2005</v>
      </c>
    </row>
    <row r="341" spans="1:55" x14ac:dyDescent="0.25">
      <c r="A341" s="50" t="s">
        <v>1855</v>
      </c>
      <c r="B341" s="61" t="s">
        <v>553</v>
      </c>
      <c r="C341" s="14" t="s">
        <v>351</v>
      </c>
      <c r="D341" s="14">
        <v>2000</v>
      </c>
      <c r="E341" s="14" t="s">
        <v>407</v>
      </c>
      <c r="F341" s="14"/>
      <c r="G341" s="14"/>
      <c r="H341" s="14"/>
      <c r="I341" s="14"/>
      <c r="J341" s="13">
        <v>725811</v>
      </c>
      <c r="K341" s="14"/>
      <c r="L341" s="14"/>
      <c r="M341" s="14" t="s">
        <v>328</v>
      </c>
      <c r="N341" s="13">
        <v>4000</v>
      </c>
      <c r="O341" s="24">
        <v>0.5</v>
      </c>
      <c r="P341" s="14">
        <v>2</v>
      </c>
      <c r="Q341" s="14">
        <v>900</v>
      </c>
      <c r="R341" s="13">
        <v>5580</v>
      </c>
      <c r="S341" s="14" t="s">
        <v>340</v>
      </c>
      <c r="T341" s="14">
        <v>3.1</v>
      </c>
      <c r="U341" s="14">
        <v>3.9</v>
      </c>
      <c r="V341" s="25">
        <v>1346.4991023339317</v>
      </c>
      <c r="W341" s="26">
        <v>15000</v>
      </c>
      <c r="X341" s="14"/>
      <c r="Y341" s="14"/>
      <c r="Z341" s="14"/>
      <c r="AA341" s="14"/>
      <c r="AB341" s="14" t="s">
        <v>328</v>
      </c>
      <c r="AC341" s="14"/>
      <c r="AD341" s="15" t="s">
        <v>332</v>
      </c>
      <c r="AE341" s="14"/>
      <c r="AF341" s="14"/>
      <c r="AG341" s="14"/>
      <c r="AH341" s="14"/>
      <c r="AI341" s="14"/>
      <c r="AJ341" s="14"/>
      <c r="AK341" s="14"/>
      <c r="AL341" s="14"/>
      <c r="AM341" s="14"/>
      <c r="AN341" s="13">
        <v>24000</v>
      </c>
      <c r="AO341" s="13">
        <v>24000</v>
      </c>
      <c r="AP341" s="13">
        <v>240000</v>
      </c>
      <c r="AQ341" s="13">
        <v>120000</v>
      </c>
      <c r="AR341" s="13">
        <v>24000</v>
      </c>
      <c r="AS341" s="26">
        <v>0</v>
      </c>
      <c r="AT341" s="26">
        <v>0</v>
      </c>
      <c r="AU341" s="26">
        <v>48000</v>
      </c>
      <c r="AV341" s="13" t="s">
        <v>480</v>
      </c>
      <c r="AW341" s="26">
        <v>17000</v>
      </c>
      <c r="AX341" s="62">
        <v>0</v>
      </c>
      <c r="AY341" s="17" t="s">
        <v>576</v>
      </c>
      <c r="AZ341" s="14" t="s">
        <v>351</v>
      </c>
      <c r="BA341" s="249">
        <f t="shared" si="11"/>
        <v>1</v>
      </c>
      <c r="BB341" s="249">
        <v>0</v>
      </c>
      <c r="BC341" s="249">
        <f t="shared" si="10"/>
        <v>2000</v>
      </c>
    </row>
    <row r="342" spans="1:55" x14ac:dyDescent="0.25">
      <c r="A342" s="50" t="s">
        <v>1855</v>
      </c>
      <c r="B342" s="61" t="s">
        <v>554</v>
      </c>
      <c r="C342" s="14" t="s">
        <v>337</v>
      </c>
      <c r="D342" s="14">
        <v>2001</v>
      </c>
      <c r="E342" s="14" t="s">
        <v>407</v>
      </c>
      <c r="F342" s="14"/>
      <c r="G342" s="14"/>
      <c r="H342" s="14"/>
      <c r="I342" s="14"/>
      <c r="J342" s="13">
        <v>764812</v>
      </c>
      <c r="K342" s="14"/>
      <c r="L342" s="14" t="s">
        <v>328</v>
      </c>
      <c r="M342" s="14"/>
      <c r="N342" s="13">
        <v>3200</v>
      </c>
      <c r="O342" s="24">
        <v>0.5</v>
      </c>
      <c r="P342" s="14">
        <v>2</v>
      </c>
      <c r="Q342" s="14">
        <v>850</v>
      </c>
      <c r="R342" s="13">
        <v>3400</v>
      </c>
      <c r="S342" s="14" t="s">
        <v>340</v>
      </c>
      <c r="T342" s="14">
        <v>2</v>
      </c>
      <c r="U342" s="14">
        <v>2.6</v>
      </c>
      <c r="V342" s="25">
        <v>1615.7989228007179</v>
      </c>
      <c r="W342" s="26">
        <v>18000</v>
      </c>
      <c r="X342" s="14"/>
      <c r="Y342" s="14"/>
      <c r="Z342" s="14"/>
      <c r="AA342" s="14"/>
      <c r="AB342" s="14" t="s">
        <v>328</v>
      </c>
      <c r="AC342" s="14"/>
      <c r="AD342" s="15" t="s">
        <v>332</v>
      </c>
      <c r="AE342" s="14"/>
      <c r="AF342" s="14"/>
      <c r="AG342" s="14"/>
      <c r="AH342" s="14"/>
      <c r="AI342" s="14"/>
      <c r="AJ342" s="14"/>
      <c r="AK342" s="14"/>
      <c r="AL342" s="14"/>
      <c r="AM342" s="14"/>
      <c r="AN342" s="13">
        <v>18000</v>
      </c>
      <c r="AO342" s="13">
        <v>18000</v>
      </c>
      <c r="AP342" s="13">
        <v>80000</v>
      </c>
      <c r="AQ342" s="13">
        <v>80000</v>
      </c>
      <c r="AR342" s="13">
        <v>18000</v>
      </c>
      <c r="AS342" s="26">
        <v>150000</v>
      </c>
      <c r="AT342" s="26">
        <v>0</v>
      </c>
      <c r="AU342" s="26">
        <v>24000</v>
      </c>
      <c r="AV342" s="13" t="s">
        <v>480</v>
      </c>
      <c r="AW342" s="26">
        <v>0</v>
      </c>
      <c r="AX342" s="62">
        <v>0</v>
      </c>
      <c r="AY342" s="17" t="s">
        <v>576</v>
      </c>
      <c r="AZ342" s="14" t="s">
        <v>561</v>
      </c>
      <c r="BA342" s="249">
        <f t="shared" si="11"/>
        <v>1</v>
      </c>
      <c r="BB342" s="249">
        <v>0</v>
      </c>
      <c r="BC342" s="249">
        <f t="shared" si="10"/>
        <v>2001</v>
      </c>
    </row>
    <row r="343" spans="1:55" x14ac:dyDescent="0.25">
      <c r="A343" s="50" t="s">
        <v>1855</v>
      </c>
      <c r="B343" s="61" t="s">
        <v>555</v>
      </c>
      <c r="C343" s="14" t="s">
        <v>351</v>
      </c>
      <c r="D343" s="14">
        <v>2002</v>
      </c>
      <c r="E343" s="14" t="s">
        <v>407</v>
      </c>
      <c r="F343" s="14"/>
      <c r="G343" s="14"/>
      <c r="H343" s="14"/>
      <c r="I343" s="14"/>
      <c r="J343" s="13">
        <v>1045689</v>
      </c>
      <c r="K343" s="14"/>
      <c r="L343" s="14"/>
      <c r="M343" s="14" t="s">
        <v>328</v>
      </c>
      <c r="N343" s="13">
        <v>11000</v>
      </c>
      <c r="O343" s="24">
        <v>0.25</v>
      </c>
      <c r="P343" s="14">
        <v>2</v>
      </c>
      <c r="Q343" s="14">
        <v>948</v>
      </c>
      <c r="R343" s="13">
        <v>6067.2000000000007</v>
      </c>
      <c r="S343" s="14" t="s">
        <v>340</v>
      </c>
      <c r="T343" s="14">
        <v>3.2</v>
      </c>
      <c r="U343" s="14">
        <v>3.8</v>
      </c>
      <c r="V343" s="25">
        <v>3141.8312387791739</v>
      </c>
      <c r="W343" s="26">
        <v>35000</v>
      </c>
      <c r="X343" s="14"/>
      <c r="Y343" s="14"/>
      <c r="Z343" s="14"/>
      <c r="AA343" s="14"/>
      <c r="AB343" s="14" t="s">
        <v>328</v>
      </c>
      <c r="AC343" s="14"/>
      <c r="AD343" s="14" t="s">
        <v>328</v>
      </c>
      <c r="AE343" s="14"/>
      <c r="AF343" s="14"/>
      <c r="AG343" s="14"/>
      <c r="AH343" s="14"/>
      <c r="AI343" s="14"/>
      <c r="AJ343" s="14"/>
      <c r="AK343" s="14"/>
      <c r="AL343" s="14"/>
      <c r="AM343" s="14"/>
      <c r="AN343" s="13">
        <v>22000</v>
      </c>
      <c r="AO343" s="13">
        <v>22000</v>
      </c>
      <c r="AP343" s="13">
        <v>180000</v>
      </c>
      <c r="AQ343" s="13">
        <v>100000</v>
      </c>
      <c r="AR343" s="13">
        <v>22000</v>
      </c>
      <c r="AS343" s="26">
        <v>0</v>
      </c>
      <c r="AT343" s="26">
        <v>0</v>
      </c>
      <c r="AU343" s="26">
        <v>60000</v>
      </c>
      <c r="AV343" s="26">
        <v>30000</v>
      </c>
      <c r="AW343" s="26">
        <v>18000</v>
      </c>
      <c r="AX343" s="62">
        <v>0</v>
      </c>
      <c r="AY343" s="17" t="s">
        <v>576</v>
      </c>
      <c r="AZ343" s="15" t="s">
        <v>351</v>
      </c>
      <c r="BA343" s="249">
        <f t="shared" si="11"/>
        <v>1</v>
      </c>
      <c r="BB343" s="249">
        <v>0</v>
      </c>
      <c r="BC343" s="249">
        <f t="shared" si="10"/>
        <v>2002</v>
      </c>
    </row>
    <row r="344" spans="1:55" x14ac:dyDescent="0.25">
      <c r="A344" s="50" t="s">
        <v>1404</v>
      </c>
      <c r="B344" s="61" t="s">
        <v>556</v>
      </c>
      <c r="C344" s="14" t="s">
        <v>337</v>
      </c>
      <c r="D344" s="14">
        <v>2005</v>
      </c>
      <c r="E344" s="14" t="s">
        <v>338</v>
      </c>
      <c r="F344" s="14"/>
      <c r="G344" s="14"/>
      <c r="H344" s="14"/>
      <c r="I344" s="14"/>
      <c r="J344" s="13">
        <v>600000</v>
      </c>
      <c r="K344" s="14"/>
      <c r="L344" s="14" t="s">
        <v>328</v>
      </c>
      <c r="M344" s="14"/>
      <c r="N344" s="13">
        <v>6000</v>
      </c>
      <c r="O344" s="24">
        <v>0.3</v>
      </c>
      <c r="P344" s="14">
        <v>2</v>
      </c>
      <c r="Q344" s="14">
        <v>550</v>
      </c>
      <c r="R344" s="13">
        <v>2970</v>
      </c>
      <c r="S344" s="14" t="s">
        <v>340</v>
      </c>
      <c r="T344" s="14">
        <v>2.7</v>
      </c>
      <c r="U344" s="14">
        <v>3</v>
      </c>
      <c r="V344" s="25">
        <v>1346.4991023339317</v>
      </c>
      <c r="W344" s="26">
        <v>15000</v>
      </c>
      <c r="X344" s="14" t="s">
        <v>328</v>
      </c>
      <c r="Y344" s="14"/>
      <c r="Z344" s="14"/>
      <c r="AA344" s="14"/>
      <c r="AB344" s="14"/>
      <c r="AC344" s="14"/>
      <c r="AD344" s="14" t="s">
        <v>328</v>
      </c>
      <c r="AE344" s="14" t="s">
        <v>328</v>
      </c>
      <c r="AF344" s="14"/>
      <c r="AG344" s="14"/>
      <c r="AH344" s="14" t="s">
        <v>328</v>
      </c>
      <c r="AI344" s="14" t="s">
        <v>328</v>
      </c>
      <c r="AJ344" s="14"/>
      <c r="AK344" s="14" t="s">
        <v>328</v>
      </c>
      <c r="AL344" s="14" t="s">
        <v>328</v>
      </c>
      <c r="AM344" s="14" t="s">
        <v>328</v>
      </c>
      <c r="AN344" s="13">
        <v>9000</v>
      </c>
      <c r="AO344" s="13">
        <v>10000</v>
      </c>
      <c r="AP344" s="13">
        <v>6000</v>
      </c>
      <c r="AQ344" s="13">
        <v>100000</v>
      </c>
      <c r="AR344" s="13">
        <v>10000</v>
      </c>
      <c r="AS344" s="26">
        <v>140000</v>
      </c>
      <c r="AT344" s="26">
        <v>55000</v>
      </c>
      <c r="AU344" s="26">
        <v>140000</v>
      </c>
      <c r="AV344" s="26">
        <v>2000</v>
      </c>
      <c r="AW344" s="26">
        <v>8000</v>
      </c>
      <c r="AX344" s="62">
        <v>0</v>
      </c>
      <c r="AZ344" s="15" t="s">
        <v>337</v>
      </c>
      <c r="BA344" s="249">
        <f t="shared" si="11"/>
        <v>1</v>
      </c>
      <c r="BB344" s="249">
        <v>0</v>
      </c>
      <c r="BC344" s="249">
        <f t="shared" si="10"/>
        <v>2005</v>
      </c>
    </row>
    <row r="345" spans="1:55" x14ac:dyDescent="0.25">
      <c r="A345" s="50" t="s">
        <v>1404</v>
      </c>
      <c r="B345" s="61" t="s">
        <v>557</v>
      </c>
      <c r="C345" s="14" t="s">
        <v>348</v>
      </c>
      <c r="D345" s="14">
        <v>2009</v>
      </c>
      <c r="E345" s="14" t="s">
        <v>407</v>
      </c>
      <c r="F345" s="14"/>
      <c r="G345" s="14"/>
      <c r="H345" s="14"/>
      <c r="I345" s="14"/>
      <c r="J345" s="13">
        <v>95000</v>
      </c>
      <c r="K345" s="14" t="s">
        <v>328</v>
      </c>
      <c r="L345" s="14"/>
      <c r="M345" s="14"/>
      <c r="N345" s="13">
        <v>2000</v>
      </c>
      <c r="O345" s="24">
        <v>0.5</v>
      </c>
      <c r="P345" s="14">
        <v>2</v>
      </c>
      <c r="Q345" s="14">
        <v>250</v>
      </c>
      <c r="R345" s="13">
        <v>1000</v>
      </c>
      <c r="S345" s="14" t="s">
        <v>340</v>
      </c>
      <c r="T345" s="14">
        <v>2</v>
      </c>
      <c r="U345" s="14">
        <v>2.5</v>
      </c>
      <c r="V345" s="25">
        <v>179.53321364452424</v>
      </c>
      <c r="W345" s="26">
        <v>2000</v>
      </c>
      <c r="X345" s="14" t="s">
        <v>328</v>
      </c>
      <c r="Y345" s="14"/>
      <c r="Z345" s="14"/>
      <c r="AA345" s="14"/>
      <c r="AB345" s="14"/>
      <c r="AC345" s="14"/>
      <c r="AD345" s="14"/>
      <c r="AE345" s="14" t="s">
        <v>328</v>
      </c>
      <c r="AF345" s="14"/>
      <c r="AG345" s="14" t="s">
        <v>328</v>
      </c>
      <c r="AH345" s="14" t="s">
        <v>328</v>
      </c>
      <c r="AI345" s="14" t="s">
        <v>328</v>
      </c>
      <c r="AJ345" s="14"/>
      <c r="AK345" s="14" t="s">
        <v>328</v>
      </c>
      <c r="AL345" s="14"/>
      <c r="AM345" s="14"/>
      <c r="AN345" s="13">
        <v>10000</v>
      </c>
      <c r="AO345" s="13">
        <v>20000</v>
      </c>
      <c r="AP345" s="13">
        <v>10000</v>
      </c>
      <c r="AQ345" s="13">
        <v>24000</v>
      </c>
      <c r="AR345" s="13">
        <v>20000</v>
      </c>
      <c r="AS345" s="26">
        <v>60000</v>
      </c>
      <c r="AT345" s="26">
        <v>45000</v>
      </c>
      <c r="AU345" s="26">
        <v>60000</v>
      </c>
      <c r="AV345" s="26">
        <v>8000</v>
      </c>
      <c r="AW345" s="26">
        <v>9000</v>
      </c>
      <c r="AX345" s="62">
        <v>0</v>
      </c>
      <c r="AZ345" s="15" t="s">
        <v>348</v>
      </c>
      <c r="BA345" s="249">
        <f t="shared" si="11"/>
        <v>9</v>
      </c>
      <c r="BB345" s="249">
        <v>0</v>
      </c>
      <c r="BC345" s="249">
        <f t="shared" si="10"/>
        <v>2009</v>
      </c>
    </row>
    <row r="346" spans="1:55" x14ac:dyDescent="0.25">
      <c r="A346" s="50" t="s">
        <v>1404</v>
      </c>
      <c r="B346" s="61" t="s">
        <v>557</v>
      </c>
      <c r="C346" s="14" t="s">
        <v>348</v>
      </c>
      <c r="D346" s="14">
        <v>2009</v>
      </c>
      <c r="E346" s="14" t="s">
        <v>407</v>
      </c>
      <c r="F346" s="14"/>
      <c r="G346" s="14"/>
      <c r="H346" s="14"/>
      <c r="I346" s="14"/>
      <c r="J346" s="13">
        <v>95000</v>
      </c>
      <c r="K346" s="14" t="s">
        <v>328</v>
      </c>
      <c r="L346" s="14"/>
      <c r="M346" s="14"/>
      <c r="N346" s="13">
        <v>2000</v>
      </c>
      <c r="O346" s="24">
        <v>0.5</v>
      </c>
      <c r="P346" s="14">
        <v>2</v>
      </c>
      <c r="Q346" s="14">
        <v>250</v>
      </c>
      <c r="R346" s="13">
        <v>1000</v>
      </c>
      <c r="S346" s="14" t="s">
        <v>340</v>
      </c>
      <c r="T346" s="14">
        <v>2</v>
      </c>
      <c r="U346" s="14">
        <v>2.5</v>
      </c>
      <c r="V346" s="25">
        <v>179.53321364452424</v>
      </c>
      <c r="W346" s="26">
        <v>2000</v>
      </c>
      <c r="X346" s="14" t="s">
        <v>328</v>
      </c>
      <c r="Y346" s="14"/>
      <c r="Z346" s="14"/>
      <c r="AA346" s="14"/>
      <c r="AB346" s="14"/>
      <c r="AC346" s="14"/>
      <c r="AD346" s="14"/>
      <c r="AE346" s="14" t="s">
        <v>328</v>
      </c>
      <c r="AF346" s="14"/>
      <c r="AG346" s="14" t="s">
        <v>328</v>
      </c>
      <c r="AH346" s="14" t="s">
        <v>328</v>
      </c>
      <c r="AI346" s="14" t="s">
        <v>328</v>
      </c>
      <c r="AJ346" s="14"/>
      <c r="AK346" s="14" t="s">
        <v>328</v>
      </c>
      <c r="AL346" s="14"/>
      <c r="AM346" s="14"/>
      <c r="AN346" s="13">
        <v>10000</v>
      </c>
      <c r="AO346" s="13">
        <v>20000</v>
      </c>
      <c r="AP346" s="13">
        <v>10000</v>
      </c>
      <c r="AQ346" s="13">
        <v>24000</v>
      </c>
      <c r="AR346" s="13">
        <v>20000</v>
      </c>
      <c r="AS346" s="26">
        <v>60000</v>
      </c>
      <c r="AT346" s="26">
        <v>45000</v>
      </c>
      <c r="AU346" s="26">
        <v>60000</v>
      </c>
      <c r="AV346" s="26">
        <v>8000</v>
      </c>
      <c r="AW346" s="26">
        <v>9000</v>
      </c>
      <c r="AX346" s="62">
        <v>0</v>
      </c>
      <c r="AZ346" s="15" t="s">
        <v>348</v>
      </c>
      <c r="BA346" s="249">
        <f t="shared" si="11"/>
        <v>9</v>
      </c>
      <c r="BB346" s="249">
        <v>0</v>
      </c>
      <c r="BC346" s="249">
        <f t="shared" si="10"/>
        <v>2009</v>
      </c>
    </row>
    <row r="347" spans="1:55" x14ac:dyDescent="0.25">
      <c r="A347" s="50" t="s">
        <v>1404</v>
      </c>
      <c r="B347" s="61" t="s">
        <v>557</v>
      </c>
      <c r="C347" s="14" t="s">
        <v>348</v>
      </c>
      <c r="D347" s="14">
        <v>2005</v>
      </c>
      <c r="E347" s="14" t="s">
        <v>407</v>
      </c>
      <c r="F347" s="14"/>
      <c r="G347" s="14"/>
      <c r="H347" s="14"/>
      <c r="I347" s="14"/>
      <c r="J347" s="13">
        <v>95000</v>
      </c>
      <c r="K347" s="14" t="s">
        <v>328</v>
      </c>
      <c r="L347" s="14"/>
      <c r="M347" s="14"/>
      <c r="N347" s="13">
        <v>2000</v>
      </c>
      <c r="O347" s="24">
        <v>0.5</v>
      </c>
      <c r="P347" s="14">
        <v>2</v>
      </c>
      <c r="Q347" s="14">
        <v>250</v>
      </c>
      <c r="R347" s="13">
        <v>1000</v>
      </c>
      <c r="S347" s="14" t="s">
        <v>340</v>
      </c>
      <c r="T347" s="14">
        <v>2</v>
      </c>
      <c r="U347" s="14">
        <v>2.5</v>
      </c>
      <c r="V347" s="25">
        <v>179.53321364452424</v>
      </c>
      <c r="W347" s="26">
        <v>2000</v>
      </c>
      <c r="X347" s="14" t="s">
        <v>328</v>
      </c>
      <c r="Y347" s="14"/>
      <c r="Z347" s="14"/>
      <c r="AA347" s="14"/>
      <c r="AB347" s="14"/>
      <c r="AC347" s="14"/>
      <c r="AD347" s="14"/>
      <c r="AE347" s="14" t="s">
        <v>328</v>
      </c>
      <c r="AF347" s="14"/>
      <c r="AG347" s="14" t="s">
        <v>328</v>
      </c>
      <c r="AH347" s="14" t="s">
        <v>328</v>
      </c>
      <c r="AI347" s="14" t="s">
        <v>328</v>
      </c>
      <c r="AJ347" s="14"/>
      <c r="AK347" s="14" t="s">
        <v>328</v>
      </c>
      <c r="AL347" s="14"/>
      <c r="AM347" s="14"/>
      <c r="AN347" s="13">
        <v>10000</v>
      </c>
      <c r="AO347" s="13">
        <v>20000</v>
      </c>
      <c r="AP347" s="13">
        <v>10000</v>
      </c>
      <c r="AQ347" s="13">
        <v>24000</v>
      </c>
      <c r="AR347" s="13">
        <v>20000</v>
      </c>
      <c r="AS347" s="26">
        <v>60000</v>
      </c>
      <c r="AT347" s="26">
        <v>45000</v>
      </c>
      <c r="AU347" s="26">
        <v>60000</v>
      </c>
      <c r="AV347" s="26">
        <v>8000</v>
      </c>
      <c r="AW347" s="26">
        <v>9000</v>
      </c>
      <c r="AX347" s="62">
        <v>0</v>
      </c>
      <c r="AZ347" s="15" t="s">
        <v>348</v>
      </c>
      <c r="BA347" s="249">
        <f t="shared" si="11"/>
        <v>9</v>
      </c>
      <c r="BB347" s="249">
        <v>0</v>
      </c>
      <c r="BC347" s="249">
        <f t="shared" si="10"/>
        <v>2005</v>
      </c>
    </row>
    <row r="348" spans="1:55" x14ac:dyDescent="0.25">
      <c r="A348" s="50" t="s">
        <v>1404</v>
      </c>
      <c r="B348" s="61" t="s">
        <v>557</v>
      </c>
      <c r="C348" s="14" t="s">
        <v>348</v>
      </c>
      <c r="D348" s="14">
        <v>2005</v>
      </c>
      <c r="E348" s="14" t="s">
        <v>407</v>
      </c>
      <c r="F348" s="14"/>
      <c r="G348" s="14"/>
      <c r="H348" s="14"/>
      <c r="I348" s="14"/>
      <c r="J348" s="13">
        <v>95000</v>
      </c>
      <c r="K348" s="14" t="s">
        <v>328</v>
      </c>
      <c r="L348" s="14"/>
      <c r="M348" s="14"/>
      <c r="N348" s="13">
        <v>2000</v>
      </c>
      <c r="O348" s="24">
        <v>0.5</v>
      </c>
      <c r="P348" s="14">
        <v>2</v>
      </c>
      <c r="Q348" s="14">
        <v>250</v>
      </c>
      <c r="R348" s="13">
        <v>1000</v>
      </c>
      <c r="S348" s="14" t="s">
        <v>340</v>
      </c>
      <c r="T348" s="14">
        <v>2</v>
      </c>
      <c r="U348" s="14">
        <v>2.5</v>
      </c>
      <c r="V348" s="25">
        <v>179.53321364452424</v>
      </c>
      <c r="W348" s="26">
        <v>2000</v>
      </c>
      <c r="X348" s="14" t="s">
        <v>328</v>
      </c>
      <c r="Y348" s="14"/>
      <c r="Z348" s="14"/>
      <c r="AA348" s="14"/>
      <c r="AB348" s="14"/>
      <c r="AC348" s="14"/>
      <c r="AD348" s="14"/>
      <c r="AE348" s="14" t="s">
        <v>328</v>
      </c>
      <c r="AF348" s="14"/>
      <c r="AG348" s="14" t="s">
        <v>328</v>
      </c>
      <c r="AH348" s="14" t="s">
        <v>328</v>
      </c>
      <c r="AI348" s="14" t="s">
        <v>328</v>
      </c>
      <c r="AJ348" s="14"/>
      <c r="AK348" s="14" t="s">
        <v>328</v>
      </c>
      <c r="AL348" s="14"/>
      <c r="AM348" s="14"/>
      <c r="AN348" s="13">
        <v>10000</v>
      </c>
      <c r="AO348" s="13">
        <v>20000</v>
      </c>
      <c r="AP348" s="13">
        <v>10000</v>
      </c>
      <c r="AQ348" s="13">
        <v>24000</v>
      </c>
      <c r="AR348" s="13">
        <v>20000</v>
      </c>
      <c r="AS348" s="26">
        <v>60000</v>
      </c>
      <c r="AT348" s="26">
        <v>45000</v>
      </c>
      <c r="AU348" s="26">
        <v>60000</v>
      </c>
      <c r="AV348" s="26">
        <v>8000</v>
      </c>
      <c r="AW348" s="26">
        <v>9000</v>
      </c>
      <c r="AX348" s="62">
        <v>0</v>
      </c>
      <c r="AZ348" s="15" t="s">
        <v>348</v>
      </c>
      <c r="BA348" s="249">
        <f t="shared" si="11"/>
        <v>9</v>
      </c>
      <c r="BB348" s="249">
        <v>0</v>
      </c>
      <c r="BC348" s="249">
        <f t="shared" si="10"/>
        <v>2005</v>
      </c>
    </row>
    <row r="349" spans="1:55" x14ac:dyDescent="0.25">
      <c r="A349" s="50" t="s">
        <v>1404</v>
      </c>
      <c r="B349" s="61" t="s">
        <v>557</v>
      </c>
      <c r="C349" s="14" t="s">
        <v>337</v>
      </c>
      <c r="D349" s="14">
        <v>2010</v>
      </c>
      <c r="E349" s="14" t="s">
        <v>456</v>
      </c>
      <c r="F349" s="14"/>
      <c r="G349" s="14"/>
      <c r="H349" s="14"/>
      <c r="I349" s="14"/>
      <c r="J349" s="13">
        <v>200000</v>
      </c>
      <c r="K349" s="14" t="s">
        <v>328</v>
      </c>
      <c r="L349" s="14"/>
      <c r="M349" s="14"/>
      <c r="N349" s="13">
        <v>6000</v>
      </c>
      <c r="O349" s="24">
        <v>0.1</v>
      </c>
      <c r="P349" s="14">
        <v>3</v>
      </c>
      <c r="Q349" s="14">
        <v>450</v>
      </c>
      <c r="R349" s="13">
        <v>2970.0000000000005</v>
      </c>
      <c r="S349" s="14" t="s">
        <v>340</v>
      </c>
      <c r="T349" s="14">
        <v>2.2000000000000002</v>
      </c>
      <c r="U349" s="14">
        <v>2.8</v>
      </c>
      <c r="V349" s="25">
        <v>628.36624775583482</v>
      </c>
      <c r="W349" s="26">
        <v>7000</v>
      </c>
      <c r="X349" s="14"/>
      <c r="Y349" s="14" t="s">
        <v>328</v>
      </c>
      <c r="Z349" s="14"/>
      <c r="AA349" s="14"/>
      <c r="AB349" s="14"/>
      <c r="AC349" s="14"/>
      <c r="AD349" s="14" t="s">
        <v>328</v>
      </c>
      <c r="AE349" s="14" t="s">
        <v>328</v>
      </c>
      <c r="AF349" s="14"/>
      <c r="AG349" s="14" t="s">
        <v>328</v>
      </c>
      <c r="AH349" s="14" t="s">
        <v>328</v>
      </c>
      <c r="AI349" s="14" t="s">
        <v>328</v>
      </c>
      <c r="AJ349" s="14" t="s">
        <v>328</v>
      </c>
      <c r="AK349" s="14" t="s">
        <v>328</v>
      </c>
      <c r="AL349" s="14" t="s">
        <v>328</v>
      </c>
      <c r="AM349" s="14" t="s">
        <v>328</v>
      </c>
      <c r="AN349" s="13">
        <v>8500</v>
      </c>
      <c r="AO349" s="13">
        <v>17000</v>
      </c>
      <c r="AP349" s="13">
        <v>8000</v>
      </c>
      <c r="AQ349" s="13">
        <v>110000</v>
      </c>
      <c r="AR349" s="13">
        <v>17000</v>
      </c>
      <c r="AS349" s="26">
        <v>120000</v>
      </c>
      <c r="AT349" s="26">
        <v>96000</v>
      </c>
      <c r="AU349" s="26">
        <v>180000</v>
      </c>
      <c r="AV349" s="26">
        <v>10000</v>
      </c>
      <c r="AW349" s="26">
        <v>10000</v>
      </c>
      <c r="AX349" s="62">
        <v>0</v>
      </c>
      <c r="AZ349" s="15" t="s">
        <v>337</v>
      </c>
      <c r="BA349" s="249">
        <f t="shared" si="11"/>
        <v>9</v>
      </c>
      <c r="BB349" s="249">
        <v>0</v>
      </c>
      <c r="BC349" s="249">
        <f t="shared" si="10"/>
        <v>2010</v>
      </c>
    </row>
    <row r="350" spans="1:55" x14ac:dyDescent="0.25">
      <c r="A350" s="50" t="s">
        <v>1404</v>
      </c>
      <c r="B350" s="61" t="s">
        <v>557</v>
      </c>
      <c r="C350" s="14" t="s">
        <v>337</v>
      </c>
      <c r="D350" s="14">
        <v>2010</v>
      </c>
      <c r="E350" s="14" t="s">
        <v>456</v>
      </c>
      <c r="F350" s="14"/>
      <c r="G350" s="14"/>
      <c r="H350" s="14"/>
      <c r="I350" s="14"/>
      <c r="J350" s="13">
        <v>200000</v>
      </c>
      <c r="K350" s="14" t="s">
        <v>328</v>
      </c>
      <c r="L350" s="14"/>
      <c r="M350" s="14"/>
      <c r="N350" s="13">
        <v>6000</v>
      </c>
      <c r="O350" s="24">
        <v>0.1</v>
      </c>
      <c r="P350" s="14">
        <v>3</v>
      </c>
      <c r="Q350" s="14">
        <v>450</v>
      </c>
      <c r="R350" s="13">
        <v>2970.0000000000005</v>
      </c>
      <c r="S350" s="14" t="s">
        <v>340</v>
      </c>
      <c r="T350" s="14">
        <v>2.2000000000000002</v>
      </c>
      <c r="U350" s="14">
        <v>2.8</v>
      </c>
      <c r="V350" s="25">
        <v>628.36624775583482</v>
      </c>
      <c r="W350" s="26">
        <v>7000</v>
      </c>
      <c r="X350" s="14"/>
      <c r="Y350" s="14" t="s">
        <v>328</v>
      </c>
      <c r="Z350" s="14"/>
      <c r="AA350" s="14"/>
      <c r="AB350" s="14"/>
      <c r="AC350" s="14"/>
      <c r="AD350" s="14" t="s">
        <v>328</v>
      </c>
      <c r="AE350" s="14" t="s">
        <v>328</v>
      </c>
      <c r="AF350" s="14"/>
      <c r="AG350" s="14" t="s">
        <v>328</v>
      </c>
      <c r="AH350" s="14" t="s">
        <v>328</v>
      </c>
      <c r="AI350" s="14" t="s">
        <v>328</v>
      </c>
      <c r="AJ350" s="14" t="s">
        <v>328</v>
      </c>
      <c r="AK350" s="14" t="s">
        <v>328</v>
      </c>
      <c r="AL350" s="14" t="s">
        <v>328</v>
      </c>
      <c r="AM350" s="14" t="s">
        <v>328</v>
      </c>
      <c r="AN350" s="13">
        <v>8500</v>
      </c>
      <c r="AO350" s="13">
        <v>17000</v>
      </c>
      <c r="AP350" s="13">
        <v>8000</v>
      </c>
      <c r="AQ350" s="13">
        <v>110000</v>
      </c>
      <c r="AR350" s="13">
        <v>17000</v>
      </c>
      <c r="AS350" s="26">
        <v>120000</v>
      </c>
      <c r="AT350" s="26">
        <v>96000</v>
      </c>
      <c r="AU350" s="26">
        <v>180000</v>
      </c>
      <c r="AV350" s="26">
        <v>10000</v>
      </c>
      <c r="AW350" s="26">
        <v>10000</v>
      </c>
      <c r="AX350" s="62">
        <v>0</v>
      </c>
      <c r="AZ350" s="15" t="s">
        <v>337</v>
      </c>
      <c r="BA350" s="249">
        <f t="shared" si="11"/>
        <v>9</v>
      </c>
      <c r="BB350" s="249">
        <v>0</v>
      </c>
      <c r="BC350" s="249">
        <f t="shared" si="10"/>
        <v>2010</v>
      </c>
    </row>
    <row r="351" spans="1:55" x14ac:dyDescent="0.25">
      <c r="A351" s="50" t="s">
        <v>1404</v>
      </c>
      <c r="B351" s="61" t="s">
        <v>557</v>
      </c>
      <c r="C351" s="14" t="s">
        <v>337</v>
      </c>
      <c r="D351" s="14">
        <v>2010</v>
      </c>
      <c r="E351" s="14" t="s">
        <v>456</v>
      </c>
      <c r="F351" s="14"/>
      <c r="G351" s="14"/>
      <c r="H351" s="14"/>
      <c r="I351" s="14"/>
      <c r="J351" s="13">
        <v>200000</v>
      </c>
      <c r="K351" s="14" t="s">
        <v>328</v>
      </c>
      <c r="L351" s="14"/>
      <c r="M351" s="14"/>
      <c r="N351" s="13">
        <v>6000</v>
      </c>
      <c r="O351" s="24">
        <v>0.1</v>
      </c>
      <c r="P351" s="14">
        <v>3</v>
      </c>
      <c r="Q351" s="14">
        <v>450</v>
      </c>
      <c r="R351" s="13">
        <v>2970.0000000000005</v>
      </c>
      <c r="S351" s="14" t="s">
        <v>340</v>
      </c>
      <c r="T351" s="14">
        <v>2.2000000000000002</v>
      </c>
      <c r="U351" s="14">
        <v>2.8</v>
      </c>
      <c r="V351" s="25">
        <v>628.36624775583482</v>
      </c>
      <c r="W351" s="26">
        <v>7000</v>
      </c>
      <c r="X351" s="14"/>
      <c r="Y351" s="14" t="s">
        <v>328</v>
      </c>
      <c r="Z351" s="14"/>
      <c r="AA351" s="14"/>
      <c r="AB351" s="14"/>
      <c r="AC351" s="14"/>
      <c r="AD351" s="14" t="s">
        <v>328</v>
      </c>
      <c r="AE351" s="14" t="s">
        <v>328</v>
      </c>
      <c r="AF351" s="14"/>
      <c r="AG351" s="14" t="s">
        <v>328</v>
      </c>
      <c r="AH351" s="14" t="s">
        <v>328</v>
      </c>
      <c r="AI351" s="14" t="s">
        <v>328</v>
      </c>
      <c r="AJ351" s="14" t="s">
        <v>328</v>
      </c>
      <c r="AK351" s="14" t="s">
        <v>328</v>
      </c>
      <c r="AL351" s="14" t="s">
        <v>328</v>
      </c>
      <c r="AM351" s="14" t="s">
        <v>328</v>
      </c>
      <c r="AN351" s="13">
        <v>8500</v>
      </c>
      <c r="AO351" s="13">
        <v>17000</v>
      </c>
      <c r="AP351" s="13">
        <v>8000</v>
      </c>
      <c r="AQ351" s="13">
        <v>110000</v>
      </c>
      <c r="AR351" s="13">
        <v>17000</v>
      </c>
      <c r="AS351" s="26">
        <v>120000</v>
      </c>
      <c r="AT351" s="26">
        <v>96000</v>
      </c>
      <c r="AU351" s="26">
        <v>180000</v>
      </c>
      <c r="AV351" s="26">
        <v>10000</v>
      </c>
      <c r="AW351" s="26">
        <v>10000</v>
      </c>
      <c r="AX351" s="62">
        <v>0</v>
      </c>
      <c r="AZ351" s="15" t="s">
        <v>337</v>
      </c>
      <c r="BA351" s="249">
        <f t="shared" si="11"/>
        <v>9</v>
      </c>
      <c r="BB351" s="249">
        <v>0</v>
      </c>
      <c r="BC351" s="249">
        <f t="shared" si="10"/>
        <v>2010</v>
      </c>
    </row>
    <row r="352" spans="1:55" x14ac:dyDescent="0.25">
      <c r="A352" s="50" t="s">
        <v>1404</v>
      </c>
      <c r="B352" s="61" t="s">
        <v>557</v>
      </c>
      <c r="C352" s="14" t="s">
        <v>337</v>
      </c>
      <c r="D352" s="14">
        <v>2013</v>
      </c>
      <c r="E352" s="14" t="s">
        <v>349</v>
      </c>
      <c r="F352" s="14"/>
      <c r="G352" s="14"/>
      <c r="H352" s="14"/>
      <c r="I352" s="14"/>
      <c r="J352" s="13">
        <v>100000</v>
      </c>
      <c r="K352" s="14" t="s">
        <v>328</v>
      </c>
      <c r="L352" s="14"/>
      <c r="M352" s="14"/>
      <c r="N352" s="13">
        <v>8500</v>
      </c>
      <c r="O352" s="24">
        <v>0.1</v>
      </c>
      <c r="P352" s="14">
        <v>3</v>
      </c>
      <c r="Q352" s="14">
        <v>550</v>
      </c>
      <c r="R352" s="13">
        <v>3630.0000000000005</v>
      </c>
      <c r="S352" s="14" t="s">
        <v>340</v>
      </c>
      <c r="T352" s="14">
        <v>2.2000000000000002</v>
      </c>
      <c r="U352" s="14">
        <v>2.8</v>
      </c>
      <c r="V352" s="25">
        <v>897.66606822262111</v>
      </c>
      <c r="W352" s="26">
        <v>10000</v>
      </c>
      <c r="X352" s="14"/>
      <c r="Y352" s="14"/>
      <c r="Z352" s="14"/>
      <c r="AA352" s="14"/>
      <c r="AB352" s="14"/>
      <c r="AC352" s="14" t="s">
        <v>328</v>
      </c>
      <c r="AD352" s="14" t="s">
        <v>328</v>
      </c>
      <c r="AE352" s="14" t="s">
        <v>328</v>
      </c>
      <c r="AF352" s="14" t="s">
        <v>328</v>
      </c>
      <c r="AG352" s="14" t="s">
        <v>328</v>
      </c>
      <c r="AH352" s="14" t="s">
        <v>328</v>
      </c>
      <c r="AI352" s="14" t="s">
        <v>328</v>
      </c>
      <c r="AJ352" s="14"/>
      <c r="AK352" s="14" t="s">
        <v>328</v>
      </c>
      <c r="AL352" s="14" t="s">
        <v>328</v>
      </c>
      <c r="AM352" s="14" t="s">
        <v>328</v>
      </c>
      <c r="AN352" s="13">
        <v>7500</v>
      </c>
      <c r="AO352" s="13">
        <v>20000</v>
      </c>
      <c r="AP352" s="13">
        <v>10000</v>
      </c>
      <c r="AQ352" s="13">
        <v>200000</v>
      </c>
      <c r="AR352" s="13">
        <v>20000</v>
      </c>
      <c r="AS352" s="26">
        <v>120000</v>
      </c>
      <c r="AT352" s="26">
        <v>96000</v>
      </c>
      <c r="AU352" s="26">
        <v>90000</v>
      </c>
      <c r="AV352" s="26">
        <v>10000</v>
      </c>
      <c r="AW352" s="26">
        <v>10000</v>
      </c>
      <c r="AX352" s="62">
        <v>0</v>
      </c>
      <c r="AZ352" s="15" t="s">
        <v>337</v>
      </c>
      <c r="BA352" s="249">
        <f t="shared" si="11"/>
        <v>9</v>
      </c>
      <c r="BB352" s="249">
        <v>0</v>
      </c>
      <c r="BC352" s="249">
        <f t="shared" si="10"/>
        <v>2013</v>
      </c>
    </row>
    <row r="353" spans="1:55" x14ac:dyDescent="0.25">
      <c r="A353" s="50" t="s">
        <v>1404</v>
      </c>
      <c r="B353" s="61" t="s">
        <v>557</v>
      </c>
      <c r="C353" s="14" t="s">
        <v>337</v>
      </c>
      <c r="D353" s="14">
        <v>2013</v>
      </c>
      <c r="E353" s="14" t="s">
        <v>349</v>
      </c>
      <c r="F353" s="14"/>
      <c r="G353" s="14"/>
      <c r="H353" s="14"/>
      <c r="I353" s="14"/>
      <c r="J353" s="13">
        <v>100000</v>
      </c>
      <c r="K353" s="14" t="s">
        <v>328</v>
      </c>
      <c r="L353" s="14"/>
      <c r="M353" s="14"/>
      <c r="N353" s="13">
        <v>8500</v>
      </c>
      <c r="O353" s="24">
        <v>0.1</v>
      </c>
      <c r="P353" s="14">
        <v>3</v>
      </c>
      <c r="Q353" s="14">
        <v>550</v>
      </c>
      <c r="R353" s="13">
        <v>3630.0000000000005</v>
      </c>
      <c r="S353" s="14" t="s">
        <v>340</v>
      </c>
      <c r="T353" s="14">
        <v>2.2000000000000002</v>
      </c>
      <c r="U353" s="14">
        <v>2.8</v>
      </c>
      <c r="V353" s="25">
        <v>897.66606822262111</v>
      </c>
      <c r="W353" s="26">
        <v>10000</v>
      </c>
      <c r="X353" s="14"/>
      <c r="Y353" s="14"/>
      <c r="Z353" s="14"/>
      <c r="AA353" s="14"/>
      <c r="AB353" s="14"/>
      <c r="AC353" s="14" t="s">
        <v>328</v>
      </c>
      <c r="AD353" s="14" t="s">
        <v>328</v>
      </c>
      <c r="AE353" s="14" t="s">
        <v>328</v>
      </c>
      <c r="AF353" s="14" t="s">
        <v>328</v>
      </c>
      <c r="AG353" s="14" t="s">
        <v>328</v>
      </c>
      <c r="AH353" s="14" t="s">
        <v>328</v>
      </c>
      <c r="AI353" s="14" t="s">
        <v>328</v>
      </c>
      <c r="AJ353" s="14"/>
      <c r="AK353" s="14" t="s">
        <v>328</v>
      </c>
      <c r="AL353" s="14" t="s">
        <v>328</v>
      </c>
      <c r="AM353" s="14" t="s">
        <v>328</v>
      </c>
      <c r="AN353" s="13">
        <v>7500</v>
      </c>
      <c r="AO353" s="13">
        <v>20000</v>
      </c>
      <c r="AP353" s="13">
        <v>10000</v>
      </c>
      <c r="AQ353" s="13">
        <v>200000</v>
      </c>
      <c r="AR353" s="13">
        <v>20000</v>
      </c>
      <c r="AS353" s="26">
        <v>120000</v>
      </c>
      <c r="AT353" s="26">
        <v>96000</v>
      </c>
      <c r="AU353" s="26">
        <v>90000</v>
      </c>
      <c r="AV353" s="26">
        <v>10000</v>
      </c>
      <c r="AW353" s="26">
        <v>10000</v>
      </c>
      <c r="AX353" s="62">
        <v>0</v>
      </c>
      <c r="AZ353" s="15" t="s">
        <v>337</v>
      </c>
      <c r="BA353" s="249">
        <f t="shared" si="11"/>
        <v>9</v>
      </c>
      <c r="BB353" s="249">
        <v>0</v>
      </c>
      <c r="BC353" s="249">
        <f t="shared" si="10"/>
        <v>2013</v>
      </c>
    </row>
    <row r="354" spans="1:55" x14ac:dyDescent="0.25">
      <c r="A354" s="50" t="s">
        <v>1404</v>
      </c>
      <c r="B354" s="61" t="s">
        <v>588</v>
      </c>
      <c r="C354" s="14" t="s">
        <v>348</v>
      </c>
      <c r="D354" s="14">
        <v>2002</v>
      </c>
      <c r="E354" s="14" t="s">
        <v>407</v>
      </c>
      <c r="F354" s="14"/>
      <c r="G354" s="14"/>
      <c r="H354" s="14"/>
      <c r="I354" s="14"/>
      <c r="J354" s="13">
        <v>550000</v>
      </c>
      <c r="K354" s="14"/>
      <c r="L354" s="14"/>
      <c r="M354" s="14" t="s">
        <v>328</v>
      </c>
      <c r="N354" s="13">
        <v>2500</v>
      </c>
      <c r="O354" s="24">
        <v>0.5</v>
      </c>
      <c r="P354" s="14">
        <v>2</v>
      </c>
      <c r="Q354" s="14">
        <v>480</v>
      </c>
      <c r="R354" s="13">
        <v>2688</v>
      </c>
      <c r="S354" s="14" t="s">
        <v>340</v>
      </c>
      <c r="T354" s="14">
        <v>2.8</v>
      </c>
      <c r="U354" s="14">
        <v>2.8</v>
      </c>
      <c r="V354" s="25">
        <v>1166.9658886894074</v>
      </c>
      <c r="W354" s="26">
        <v>13000</v>
      </c>
      <c r="X354" s="14"/>
      <c r="Y354" s="14" t="s">
        <v>328</v>
      </c>
      <c r="Z354" s="14"/>
      <c r="AA354" s="14"/>
      <c r="AB354" s="14"/>
      <c r="AC354" s="14"/>
      <c r="AD354" s="14"/>
      <c r="AE354" s="14"/>
      <c r="AF354" s="14"/>
      <c r="AG354" s="14"/>
      <c r="AH354" s="14" t="s">
        <v>328</v>
      </c>
      <c r="AI354" s="14" t="s">
        <v>328</v>
      </c>
      <c r="AJ354" s="14"/>
      <c r="AK354" s="14" t="s">
        <v>328</v>
      </c>
      <c r="AL354" s="14" t="s">
        <v>328</v>
      </c>
      <c r="AM354" s="14"/>
      <c r="AN354" s="13">
        <v>7000</v>
      </c>
      <c r="AO354" s="13">
        <v>12000</v>
      </c>
      <c r="AP354" s="13">
        <v>10000</v>
      </c>
      <c r="AQ354" s="13">
        <v>180000</v>
      </c>
      <c r="AR354" s="13">
        <v>12000</v>
      </c>
      <c r="AS354" s="26">
        <v>102000</v>
      </c>
      <c r="AT354" s="26">
        <v>43200</v>
      </c>
      <c r="AU354" s="26">
        <v>70000</v>
      </c>
      <c r="AV354" s="26">
        <v>10000</v>
      </c>
      <c r="AW354" s="26">
        <v>9000</v>
      </c>
      <c r="AX354" s="62">
        <v>0</v>
      </c>
      <c r="AZ354" s="15" t="s">
        <v>348</v>
      </c>
      <c r="BA354" s="249">
        <f t="shared" si="11"/>
        <v>1</v>
      </c>
      <c r="BB354" s="249">
        <v>0</v>
      </c>
      <c r="BC354" s="249">
        <f t="shared" si="10"/>
        <v>2002</v>
      </c>
    </row>
    <row r="355" spans="1:55" x14ac:dyDescent="0.25">
      <c r="A355" s="50" t="s">
        <v>1404</v>
      </c>
      <c r="B355" s="61" t="s">
        <v>589</v>
      </c>
      <c r="C355" s="14" t="s">
        <v>359</v>
      </c>
      <c r="D355" s="14">
        <v>2010</v>
      </c>
      <c r="E355" s="14" t="s">
        <v>349</v>
      </c>
      <c r="F355" s="14"/>
      <c r="G355" s="14"/>
      <c r="H355" s="14"/>
      <c r="I355" s="14"/>
      <c r="J355" s="16">
        <v>100800</v>
      </c>
      <c r="K355" s="14" t="s">
        <v>328</v>
      </c>
      <c r="L355" s="14"/>
      <c r="M355" s="14"/>
      <c r="N355" s="13">
        <v>2800</v>
      </c>
      <c r="O355" s="24">
        <v>0.5</v>
      </c>
      <c r="P355" s="14">
        <v>3</v>
      </c>
      <c r="Q355" s="14">
        <v>550</v>
      </c>
      <c r="R355" s="13">
        <v>3300</v>
      </c>
      <c r="S355" s="14" t="s">
        <v>340</v>
      </c>
      <c r="T355" s="14">
        <v>2</v>
      </c>
      <c r="U355" s="14">
        <v>2.2000000000000002</v>
      </c>
      <c r="V355" s="25">
        <v>897.66606822262111</v>
      </c>
      <c r="W355" s="26">
        <v>10000</v>
      </c>
      <c r="X355" s="14"/>
      <c r="Y355" s="14" t="s">
        <v>328</v>
      </c>
      <c r="Z355" s="14"/>
      <c r="AA355" s="14"/>
      <c r="AB355" s="14"/>
      <c r="AC355" s="14"/>
      <c r="AD355" s="14"/>
      <c r="AE355" s="14" t="s">
        <v>328</v>
      </c>
      <c r="AF355" s="14"/>
      <c r="AG355" s="14" t="s">
        <v>328</v>
      </c>
      <c r="AH355" s="14" t="s">
        <v>328</v>
      </c>
      <c r="AI355" s="14" t="s">
        <v>328</v>
      </c>
      <c r="AJ355" s="14"/>
      <c r="AK355" s="14" t="s">
        <v>328</v>
      </c>
      <c r="AL355" s="14" t="s">
        <v>328</v>
      </c>
      <c r="AM355" s="14"/>
      <c r="AN355" s="13">
        <v>12000</v>
      </c>
      <c r="AO355" s="13">
        <v>22000</v>
      </c>
      <c r="AP355" s="13">
        <v>12000</v>
      </c>
      <c r="AQ355" s="13">
        <v>90000</v>
      </c>
      <c r="AR355" s="13">
        <v>22000</v>
      </c>
      <c r="AS355" s="26">
        <v>120000</v>
      </c>
      <c r="AT355" s="26">
        <v>100000</v>
      </c>
      <c r="AU355" s="26">
        <v>100000</v>
      </c>
      <c r="AV355" s="26">
        <v>2000</v>
      </c>
      <c r="AW355" s="26">
        <v>7000</v>
      </c>
      <c r="AX355" s="62">
        <v>2000</v>
      </c>
      <c r="AZ355" s="15" t="s">
        <v>359</v>
      </c>
      <c r="BA355" s="249">
        <f t="shared" si="11"/>
        <v>5</v>
      </c>
      <c r="BB355" s="249">
        <v>0</v>
      </c>
      <c r="BC355" s="249">
        <f t="shared" si="10"/>
        <v>2010</v>
      </c>
    </row>
    <row r="356" spans="1:55" x14ac:dyDescent="0.25">
      <c r="A356" s="50" t="s">
        <v>1404</v>
      </c>
      <c r="B356" s="61" t="s">
        <v>589</v>
      </c>
      <c r="C356" s="14" t="s">
        <v>359</v>
      </c>
      <c r="D356" s="14">
        <v>2010</v>
      </c>
      <c r="E356" s="14" t="s">
        <v>349</v>
      </c>
      <c r="F356" s="14"/>
      <c r="G356" s="14"/>
      <c r="H356" s="14"/>
      <c r="I356" s="14"/>
      <c r="J356" s="16">
        <v>100800</v>
      </c>
      <c r="K356" s="14" t="s">
        <v>328</v>
      </c>
      <c r="L356" s="14"/>
      <c r="M356" s="14"/>
      <c r="N356" s="13">
        <v>2800</v>
      </c>
      <c r="O356" s="24">
        <v>0.5</v>
      </c>
      <c r="P356" s="14">
        <v>3</v>
      </c>
      <c r="Q356" s="14">
        <v>550</v>
      </c>
      <c r="R356" s="13">
        <v>3300</v>
      </c>
      <c r="S356" s="14" t="s">
        <v>340</v>
      </c>
      <c r="T356" s="14">
        <v>2</v>
      </c>
      <c r="U356" s="14">
        <v>2.2000000000000002</v>
      </c>
      <c r="V356" s="25">
        <v>897.66606822262111</v>
      </c>
      <c r="W356" s="26">
        <v>10000</v>
      </c>
      <c r="X356" s="14"/>
      <c r="Y356" s="14" t="s">
        <v>328</v>
      </c>
      <c r="Z356" s="14"/>
      <c r="AA356" s="14"/>
      <c r="AB356" s="14"/>
      <c r="AC356" s="14"/>
      <c r="AD356" s="14"/>
      <c r="AE356" s="14" t="s">
        <v>328</v>
      </c>
      <c r="AF356" s="14"/>
      <c r="AG356" s="14" t="s">
        <v>328</v>
      </c>
      <c r="AH356" s="14" t="s">
        <v>328</v>
      </c>
      <c r="AI356" s="14" t="s">
        <v>328</v>
      </c>
      <c r="AJ356" s="14"/>
      <c r="AK356" s="14" t="s">
        <v>328</v>
      </c>
      <c r="AL356" s="14" t="s">
        <v>328</v>
      </c>
      <c r="AM356" s="14"/>
      <c r="AN356" s="13">
        <v>12000</v>
      </c>
      <c r="AO356" s="13">
        <v>22000</v>
      </c>
      <c r="AP356" s="13">
        <v>12000</v>
      </c>
      <c r="AQ356" s="13">
        <v>90000</v>
      </c>
      <c r="AR356" s="13">
        <v>22000</v>
      </c>
      <c r="AS356" s="26">
        <v>120000</v>
      </c>
      <c r="AT356" s="26">
        <v>100000</v>
      </c>
      <c r="AU356" s="26">
        <v>100000</v>
      </c>
      <c r="AV356" s="26">
        <v>2000</v>
      </c>
      <c r="AW356" s="26">
        <v>7000</v>
      </c>
      <c r="AX356" s="62">
        <v>2000</v>
      </c>
      <c r="AZ356" s="15" t="s">
        <v>359</v>
      </c>
      <c r="BA356" s="249">
        <f t="shared" si="11"/>
        <v>5</v>
      </c>
      <c r="BB356" s="249">
        <v>0</v>
      </c>
      <c r="BC356" s="249">
        <f t="shared" si="10"/>
        <v>2010</v>
      </c>
    </row>
    <row r="357" spans="1:55" x14ac:dyDescent="0.25">
      <c r="A357" s="50" t="s">
        <v>1404</v>
      </c>
      <c r="B357" s="61" t="s">
        <v>589</v>
      </c>
      <c r="C357" s="14" t="s">
        <v>337</v>
      </c>
      <c r="D357" s="14">
        <v>2012</v>
      </c>
      <c r="E357" s="14" t="s">
        <v>338</v>
      </c>
      <c r="F357" s="14"/>
      <c r="G357" s="14"/>
      <c r="H357" s="14"/>
      <c r="I357" s="14"/>
      <c r="J357" s="13">
        <v>50000</v>
      </c>
      <c r="K357" s="14" t="s">
        <v>328</v>
      </c>
      <c r="L357" s="14"/>
      <c r="M357" s="14"/>
      <c r="N357" s="13">
        <v>2000</v>
      </c>
      <c r="O357" s="24">
        <v>0.5</v>
      </c>
      <c r="P357" s="14">
        <v>3</v>
      </c>
      <c r="Q357" s="14">
        <v>550</v>
      </c>
      <c r="R357" s="13">
        <v>3300</v>
      </c>
      <c r="S357" s="14" t="s">
        <v>340</v>
      </c>
      <c r="T357" s="14">
        <v>2</v>
      </c>
      <c r="U357" s="14">
        <v>2.2000000000000002</v>
      </c>
      <c r="V357" s="25">
        <v>897.66606822262111</v>
      </c>
      <c r="W357" s="26">
        <v>10000</v>
      </c>
      <c r="X357" s="14"/>
      <c r="Y357" s="14" t="s">
        <v>328</v>
      </c>
      <c r="Z357" s="14"/>
      <c r="AA357" s="14"/>
      <c r="AB357" s="14"/>
      <c r="AC357" s="14"/>
      <c r="AD357" s="14" t="s">
        <v>328</v>
      </c>
      <c r="AE357" s="14" t="s">
        <v>328</v>
      </c>
      <c r="AF357" s="14"/>
      <c r="AG357" s="14" t="s">
        <v>328</v>
      </c>
      <c r="AH357" s="14" t="s">
        <v>328</v>
      </c>
      <c r="AI357" s="14" t="s">
        <v>328</v>
      </c>
      <c r="AJ357" s="14"/>
      <c r="AK357" s="14" t="s">
        <v>328</v>
      </c>
      <c r="AL357" s="14" t="s">
        <v>328</v>
      </c>
      <c r="AM357" s="14"/>
      <c r="AN357" s="13">
        <v>12000</v>
      </c>
      <c r="AO357" s="13">
        <v>22000</v>
      </c>
      <c r="AP357" s="13">
        <v>12000</v>
      </c>
      <c r="AQ357" s="13">
        <v>90000</v>
      </c>
      <c r="AR357" s="13">
        <v>22000</v>
      </c>
      <c r="AS357" s="26">
        <v>140000</v>
      </c>
      <c r="AT357" s="26">
        <v>120000</v>
      </c>
      <c r="AU357" s="26">
        <v>150000</v>
      </c>
      <c r="AV357" s="26">
        <v>3000</v>
      </c>
      <c r="AW357" s="26">
        <v>9000</v>
      </c>
      <c r="AX357" s="62">
        <v>3000</v>
      </c>
      <c r="AZ357" s="15" t="s">
        <v>337</v>
      </c>
      <c r="BA357" s="249">
        <f t="shared" si="11"/>
        <v>5</v>
      </c>
      <c r="BB357" s="249">
        <v>0</v>
      </c>
      <c r="BC357" s="249">
        <f t="shared" si="10"/>
        <v>2012</v>
      </c>
    </row>
    <row r="358" spans="1:55" x14ac:dyDescent="0.25">
      <c r="A358" s="50" t="s">
        <v>1404</v>
      </c>
      <c r="B358" s="61" t="s">
        <v>589</v>
      </c>
      <c r="C358" s="14" t="s">
        <v>337</v>
      </c>
      <c r="D358" s="14">
        <v>2012</v>
      </c>
      <c r="E358" s="14" t="s">
        <v>338</v>
      </c>
      <c r="F358" s="14"/>
      <c r="G358" s="14"/>
      <c r="H358" s="14"/>
      <c r="I358" s="14"/>
      <c r="J358" s="13">
        <v>50000</v>
      </c>
      <c r="K358" s="14" t="s">
        <v>328</v>
      </c>
      <c r="L358" s="14"/>
      <c r="M358" s="14"/>
      <c r="N358" s="13">
        <v>2000</v>
      </c>
      <c r="O358" s="24">
        <v>0.5</v>
      </c>
      <c r="P358" s="14">
        <v>3</v>
      </c>
      <c r="Q358" s="14">
        <v>550</v>
      </c>
      <c r="R358" s="13">
        <v>3300</v>
      </c>
      <c r="S358" s="14" t="s">
        <v>340</v>
      </c>
      <c r="T358" s="14">
        <v>2</v>
      </c>
      <c r="U358" s="14">
        <v>2.2000000000000002</v>
      </c>
      <c r="V358" s="25">
        <v>897.66606822262111</v>
      </c>
      <c r="W358" s="26">
        <v>10000</v>
      </c>
      <c r="X358" s="14"/>
      <c r="Y358" s="14" t="s">
        <v>328</v>
      </c>
      <c r="Z358" s="14"/>
      <c r="AA358" s="14"/>
      <c r="AB358" s="14"/>
      <c r="AC358" s="14"/>
      <c r="AD358" s="14" t="s">
        <v>328</v>
      </c>
      <c r="AE358" s="14" t="s">
        <v>328</v>
      </c>
      <c r="AF358" s="14"/>
      <c r="AG358" s="14" t="s">
        <v>328</v>
      </c>
      <c r="AH358" s="14" t="s">
        <v>328</v>
      </c>
      <c r="AI358" s="14" t="s">
        <v>328</v>
      </c>
      <c r="AJ358" s="14"/>
      <c r="AK358" s="14" t="s">
        <v>328</v>
      </c>
      <c r="AL358" s="14" t="s">
        <v>328</v>
      </c>
      <c r="AM358" s="14"/>
      <c r="AN358" s="13">
        <v>12000</v>
      </c>
      <c r="AO358" s="13">
        <v>22000</v>
      </c>
      <c r="AP358" s="13">
        <v>12000</v>
      </c>
      <c r="AQ358" s="13">
        <v>90000</v>
      </c>
      <c r="AR358" s="13">
        <v>22000</v>
      </c>
      <c r="AS358" s="26">
        <v>140000</v>
      </c>
      <c r="AT358" s="26">
        <v>120000</v>
      </c>
      <c r="AU358" s="26">
        <v>150000</v>
      </c>
      <c r="AV358" s="26">
        <v>3000</v>
      </c>
      <c r="AW358" s="26">
        <v>9000</v>
      </c>
      <c r="AX358" s="62">
        <v>3000</v>
      </c>
      <c r="AZ358" s="15" t="s">
        <v>337</v>
      </c>
      <c r="BA358" s="249">
        <f t="shared" si="11"/>
        <v>5</v>
      </c>
      <c r="BB358" s="249">
        <v>0</v>
      </c>
      <c r="BC358" s="249">
        <f t="shared" si="10"/>
        <v>2012</v>
      </c>
    </row>
    <row r="359" spans="1:55" x14ac:dyDescent="0.25">
      <c r="A359" s="50" t="s">
        <v>1404</v>
      </c>
      <c r="B359" s="61" t="s">
        <v>589</v>
      </c>
      <c r="C359" s="14" t="s">
        <v>337</v>
      </c>
      <c r="D359" s="14">
        <v>2012</v>
      </c>
      <c r="E359" s="14" t="s">
        <v>338</v>
      </c>
      <c r="F359" s="14"/>
      <c r="G359" s="14"/>
      <c r="H359" s="14"/>
      <c r="I359" s="14"/>
      <c r="J359" s="13">
        <v>50000</v>
      </c>
      <c r="K359" s="14" t="s">
        <v>328</v>
      </c>
      <c r="L359" s="14"/>
      <c r="M359" s="14"/>
      <c r="N359" s="13">
        <v>2000</v>
      </c>
      <c r="O359" s="24">
        <v>0.5</v>
      </c>
      <c r="P359" s="14">
        <v>3</v>
      </c>
      <c r="Q359" s="14">
        <v>550</v>
      </c>
      <c r="R359" s="13">
        <v>3300</v>
      </c>
      <c r="S359" s="14" t="s">
        <v>340</v>
      </c>
      <c r="T359" s="14">
        <v>2</v>
      </c>
      <c r="U359" s="14">
        <v>2.2000000000000002</v>
      </c>
      <c r="V359" s="25">
        <v>897.66606822262111</v>
      </c>
      <c r="W359" s="26">
        <v>10000</v>
      </c>
      <c r="X359" s="14"/>
      <c r="Y359" s="14" t="s">
        <v>328</v>
      </c>
      <c r="Z359" s="14"/>
      <c r="AA359" s="14"/>
      <c r="AB359" s="14"/>
      <c r="AC359" s="14"/>
      <c r="AD359" s="14" t="s">
        <v>328</v>
      </c>
      <c r="AE359" s="14" t="s">
        <v>328</v>
      </c>
      <c r="AF359" s="14"/>
      <c r="AG359" s="14" t="s">
        <v>328</v>
      </c>
      <c r="AH359" s="14" t="s">
        <v>328</v>
      </c>
      <c r="AI359" s="14" t="s">
        <v>328</v>
      </c>
      <c r="AJ359" s="14"/>
      <c r="AK359" s="14" t="s">
        <v>328</v>
      </c>
      <c r="AL359" s="14" t="s">
        <v>328</v>
      </c>
      <c r="AM359" s="14"/>
      <c r="AN359" s="13">
        <v>12000</v>
      </c>
      <c r="AO359" s="13">
        <v>22000</v>
      </c>
      <c r="AP359" s="13">
        <v>12000</v>
      </c>
      <c r="AQ359" s="13">
        <v>90000</v>
      </c>
      <c r="AR359" s="13">
        <v>22000</v>
      </c>
      <c r="AS359" s="26">
        <v>140000</v>
      </c>
      <c r="AT359" s="26">
        <v>120000</v>
      </c>
      <c r="AU359" s="26">
        <v>150000</v>
      </c>
      <c r="AV359" s="26">
        <v>3000</v>
      </c>
      <c r="AW359" s="26">
        <v>9000</v>
      </c>
      <c r="AX359" s="62">
        <v>3000</v>
      </c>
      <c r="AZ359" s="15" t="s">
        <v>337</v>
      </c>
      <c r="BA359" s="249">
        <f t="shared" si="11"/>
        <v>5</v>
      </c>
      <c r="BB359" s="249">
        <v>0</v>
      </c>
      <c r="BC359" s="249">
        <f t="shared" si="10"/>
        <v>2012</v>
      </c>
    </row>
    <row r="360" spans="1:55" x14ac:dyDescent="0.25">
      <c r="A360" s="50" t="s">
        <v>1404</v>
      </c>
      <c r="B360" s="61" t="s">
        <v>591</v>
      </c>
      <c r="C360" s="14" t="s">
        <v>337</v>
      </c>
      <c r="D360" s="14">
        <v>1990</v>
      </c>
      <c r="E360" s="14" t="s">
        <v>338</v>
      </c>
      <c r="F360" s="14"/>
      <c r="G360" s="14"/>
      <c r="H360" s="14"/>
      <c r="I360" s="14"/>
      <c r="J360" s="13">
        <v>700000</v>
      </c>
      <c r="K360" s="14"/>
      <c r="L360" s="14" t="s">
        <v>328</v>
      </c>
      <c r="M360" s="14"/>
      <c r="N360" s="13">
        <v>2800</v>
      </c>
      <c r="O360" s="24">
        <v>0.1</v>
      </c>
      <c r="P360" s="14">
        <v>3</v>
      </c>
      <c r="Q360" s="14">
        <v>450</v>
      </c>
      <c r="R360" s="13">
        <v>2700</v>
      </c>
      <c r="S360" s="14" t="s">
        <v>340</v>
      </c>
      <c r="T360" s="14">
        <v>2</v>
      </c>
      <c r="U360" s="14">
        <v>2.2000000000000002</v>
      </c>
      <c r="V360" s="25">
        <v>448.83303411131055</v>
      </c>
      <c r="W360" s="26">
        <v>5000</v>
      </c>
      <c r="X360" s="14" t="s">
        <v>328</v>
      </c>
      <c r="Y360" s="14"/>
      <c r="Z360" s="14"/>
      <c r="AA360" s="14"/>
      <c r="AB360" s="14"/>
      <c r="AC360" s="14"/>
      <c r="AD360" s="14"/>
      <c r="AE360" s="14" t="s">
        <v>328</v>
      </c>
      <c r="AF360" s="14"/>
      <c r="AG360" s="14" t="s">
        <v>328</v>
      </c>
      <c r="AH360" s="14" t="s">
        <v>328</v>
      </c>
      <c r="AI360" s="14" t="s">
        <v>328</v>
      </c>
      <c r="AJ360" s="14"/>
      <c r="AK360" s="14" t="s">
        <v>328</v>
      </c>
      <c r="AL360" s="14" t="s">
        <v>328</v>
      </c>
      <c r="AM360" s="14"/>
      <c r="AN360" s="13">
        <v>10000</v>
      </c>
      <c r="AO360" s="13">
        <v>20000</v>
      </c>
      <c r="AP360" s="13">
        <v>8000</v>
      </c>
      <c r="AQ360" s="13">
        <v>45000</v>
      </c>
      <c r="AR360" s="13">
        <v>20000</v>
      </c>
      <c r="AS360" s="26">
        <v>90000</v>
      </c>
      <c r="AT360" s="26">
        <v>72000</v>
      </c>
      <c r="AU360" s="26">
        <v>250000</v>
      </c>
      <c r="AV360" s="26">
        <v>7000</v>
      </c>
      <c r="AW360" s="26">
        <v>5000</v>
      </c>
      <c r="AX360" s="62">
        <v>3000</v>
      </c>
      <c r="AZ360" s="15" t="s">
        <v>337</v>
      </c>
      <c r="BA360" s="249">
        <f t="shared" si="11"/>
        <v>3</v>
      </c>
      <c r="BB360" s="249">
        <v>0</v>
      </c>
      <c r="BC360" s="249">
        <f t="shared" si="10"/>
        <v>1990</v>
      </c>
    </row>
    <row r="361" spans="1:55" x14ac:dyDescent="0.25">
      <c r="A361" s="50" t="s">
        <v>1404</v>
      </c>
      <c r="B361" s="61" t="s">
        <v>591</v>
      </c>
      <c r="C361" s="14" t="s">
        <v>337</v>
      </c>
      <c r="D361" s="14">
        <v>2005</v>
      </c>
      <c r="E361" s="14" t="s">
        <v>338</v>
      </c>
      <c r="F361" s="14"/>
      <c r="G361" s="14"/>
      <c r="H361" s="14"/>
      <c r="I361" s="14"/>
      <c r="J361" s="13">
        <v>300000</v>
      </c>
      <c r="K361" s="14" t="s">
        <v>328</v>
      </c>
      <c r="L361" s="14"/>
      <c r="M361" s="14"/>
      <c r="N361" s="13">
        <v>3000</v>
      </c>
      <c r="O361" s="24">
        <v>0.4</v>
      </c>
      <c r="P361" s="14">
        <v>3</v>
      </c>
      <c r="Q361" s="14">
        <v>550</v>
      </c>
      <c r="R361" s="13">
        <v>3794.9999999999995</v>
      </c>
      <c r="S361" s="14" t="s">
        <v>340</v>
      </c>
      <c r="T361" s="14">
        <v>2.2999999999999998</v>
      </c>
      <c r="U361" s="14">
        <v>2.5</v>
      </c>
      <c r="V361" s="25">
        <v>628.36624775583482</v>
      </c>
      <c r="W361" s="26">
        <v>7000</v>
      </c>
      <c r="X361" s="14"/>
      <c r="Y361" s="14"/>
      <c r="Z361" s="14"/>
      <c r="AA361" s="14"/>
      <c r="AB361" s="14" t="s">
        <v>328</v>
      </c>
      <c r="AC361" s="14"/>
      <c r="AD361" s="14"/>
      <c r="AE361" s="14" t="s">
        <v>328</v>
      </c>
      <c r="AF361" s="14"/>
      <c r="AG361" s="14" t="s">
        <v>328</v>
      </c>
      <c r="AH361" s="14" t="s">
        <v>328</v>
      </c>
      <c r="AI361" s="14" t="s">
        <v>328</v>
      </c>
      <c r="AJ361" s="14"/>
      <c r="AK361" s="14" t="s">
        <v>328</v>
      </c>
      <c r="AL361" s="14" t="s">
        <v>328</v>
      </c>
      <c r="AM361" s="14"/>
      <c r="AN361" s="13">
        <v>8000</v>
      </c>
      <c r="AO361" s="13">
        <v>20000</v>
      </c>
      <c r="AP361" s="13">
        <v>8000</v>
      </c>
      <c r="AQ361" s="13">
        <v>36000</v>
      </c>
      <c r="AR361" s="13">
        <v>20000</v>
      </c>
      <c r="AS361" s="26">
        <v>100000</v>
      </c>
      <c r="AT361" s="26">
        <v>78000</v>
      </c>
      <c r="AU361" s="26">
        <v>180000</v>
      </c>
      <c r="AV361" s="26">
        <v>4000</v>
      </c>
      <c r="AW361" s="26">
        <v>5000</v>
      </c>
      <c r="AX361" s="62">
        <v>2500</v>
      </c>
      <c r="AZ361" s="15" t="s">
        <v>337</v>
      </c>
      <c r="BA361" s="249">
        <f t="shared" si="11"/>
        <v>3</v>
      </c>
      <c r="BB361" s="249">
        <v>0</v>
      </c>
      <c r="BC361" s="249">
        <f t="shared" si="10"/>
        <v>2005</v>
      </c>
    </row>
    <row r="362" spans="1:55" x14ac:dyDescent="0.25">
      <c r="A362" s="50" t="s">
        <v>1404</v>
      </c>
      <c r="B362" s="61" t="s">
        <v>591</v>
      </c>
      <c r="C362" s="14" t="s">
        <v>337</v>
      </c>
      <c r="D362" s="14">
        <v>2008</v>
      </c>
      <c r="E362" s="14" t="s">
        <v>338</v>
      </c>
      <c r="F362" s="14"/>
      <c r="G362" s="14"/>
      <c r="H362" s="14"/>
      <c r="I362" s="14"/>
      <c r="J362" s="13">
        <v>300000</v>
      </c>
      <c r="K362" s="14" t="s">
        <v>328</v>
      </c>
      <c r="L362" s="14"/>
      <c r="M362" s="14"/>
      <c r="N362" s="13">
        <v>5000</v>
      </c>
      <c r="O362" s="24">
        <v>0.5</v>
      </c>
      <c r="P362" s="14">
        <v>3</v>
      </c>
      <c r="Q362" s="14">
        <v>550</v>
      </c>
      <c r="R362" s="13">
        <v>3794.9999999999995</v>
      </c>
      <c r="S362" s="14" t="s">
        <v>340</v>
      </c>
      <c r="T362" s="14">
        <v>2.2999999999999998</v>
      </c>
      <c r="U362" s="14">
        <v>2.5</v>
      </c>
      <c r="V362" s="25">
        <v>628.36624775583482</v>
      </c>
      <c r="W362" s="26">
        <v>7000</v>
      </c>
      <c r="X362" s="14"/>
      <c r="Y362" s="14"/>
      <c r="Z362" s="14"/>
      <c r="AA362" s="14"/>
      <c r="AB362" s="14"/>
      <c r="AC362" s="14" t="s">
        <v>328</v>
      </c>
      <c r="AD362" s="14" t="s">
        <v>328</v>
      </c>
      <c r="AE362" s="14" t="s">
        <v>328</v>
      </c>
      <c r="AF362" s="14"/>
      <c r="AG362" s="14" t="s">
        <v>328</v>
      </c>
      <c r="AH362" s="14" t="s">
        <v>328</v>
      </c>
      <c r="AI362" s="14" t="s">
        <v>328</v>
      </c>
      <c r="AJ362" s="14"/>
      <c r="AK362" s="14" t="s">
        <v>328</v>
      </c>
      <c r="AL362" s="14" t="s">
        <v>328</v>
      </c>
      <c r="AM362" s="14"/>
      <c r="AN362" s="13">
        <v>8000</v>
      </c>
      <c r="AO362" s="13">
        <v>20000</v>
      </c>
      <c r="AP362" s="13">
        <v>8000</v>
      </c>
      <c r="AQ362" s="13">
        <v>60000</v>
      </c>
      <c r="AR362" s="13">
        <v>20000</v>
      </c>
      <c r="AS362" s="26">
        <v>100000</v>
      </c>
      <c r="AT362" s="26">
        <v>78000</v>
      </c>
      <c r="AU362" s="26">
        <v>180000</v>
      </c>
      <c r="AV362" s="26">
        <v>4000</v>
      </c>
      <c r="AW362" s="26">
        <v>5000</v>
      </c>
      <c r="AX362" s="62">
        <v>2500</v>
      </c>
      <c r="AZ362" s="15" t="s">
        <v>337</v>
      </c>
      <c r="BA362" s="249">
        <f t="shared" si="11"/>
        <v>3</v>
      </c>
      <c r="BB362" s="249">
        <v>0</v>
      </c>
      <c r="BC362" s="249">
        <f t="shared" si="10"/>
        <v>2008</v>
      </c>
    </row>
    <row r="363" spans="1:55" x14ac:dyDescent="0.25">
      <c r="A363" s="50" t="s">
        <v>1404</v>
      </c>
      <c r="B363" s="61" t="s">
        <v>594</v>
      </c>
      <c r="C363" s="14" t="s">
        <v>359</v>
      </c>
      <c r="D363" s="14">
        <v>2012</v>
      </c>
      <c r="E363" s="14" t="s">
        <v>338</v>
      </c>
      <c r="F363" s="14"/>
      <c r="G363" s="14"/>
      <c r="H363" s="14"/>
      <c r="I363" s="14"/>
      <c r="J363" s="13">
        <v>500000</v>
      </c>
      <c r="K363" s="14" t="s">
        <v>328</v>
      </c>
      <c r="L363" s="14"/>
      <c r="M363" s="14"/>
      <c r="N363" s="13">
        <v>2500</v>
      </c>
      <c r="O363" s="24">
        <v>0.3</v>
      </c>
      <c r="P363" s="14">
        <v>3</v>
      </c>
      <c r="Q363" s="14">
        <v>500</v>
      </c>
      <c r="R363" s="13">
        <v>3000</v>
      </c>
      <c r="S363" s="14" t="s">
        <v>340</v>
      </c>
      <c r="T363" s="14">
        <v>2</v>
      </c>
      <c r="U363" s="14">
        <v>2.2999999999999998</v>
      </c>
      <c r="V363" s="25">
        <v>628.36624775583482</v>
      </c>
      <c r="W363" s="26">
        <v>7000</v>
      </c>
      <c r="X363" s="14"/>
      <c r="Y363" s="14" t="s">
        <v>328</v>
      </c>
      <c r="Z363" s="14"/>
      <c r="AA363" s="14"/>
      <c r="AB363" s="14"/>
      <c r="AC363" s="14"/>
      <c r="AD363" s="14" t="s">
        <v>328</v>
      </c>
      <c r="AE363" s="14" t="s">
        <v>328</v>
      </c>
      <c r="AF363" s="14"/>
      <c r="AG363" s="14" t="s">
        <v>328</v>
      </c>
      <c r="AH363" s="14" t="s">
        <v>328</v>
      </c>
      <c r="AI363" s="14" t="s">
        <v>328</v>
      </c>
      <c r="AJ363" s="14" t="s">
        <v>328</v>
      </c>
      <c r="AK363" s="14" t="s">
        <v>328</v>
      </c>
      <c r="AL363" s="14" t="s">
        <v>328</v>
      </c>
      <c r="AM363" s="14"/>
      <c r="AN363" s="13">
        <v>10000</v>
      </c>
      <c r="AO363" s="13">
        <v>20000</v>
      </c>
      <c r="AP363" s="13">
        <v>10000</v>
      </c>
      <c r="AQ363" s="13">
        <v>60000</v>
      </c>
      <c r="AR363" s="13">
        <v>20000</v>
      </c>
      <c r="AS363" s="26">
        <v>60000</v>
      </c>
      <c r="AT363" s="26">
        <v>40000</v>
      </c>
      <c r="AU363" s="26">
        <v>50000</v>
      </c>
      <c r="AV363" s="26">
        <v>8000</v>
      </c>
      <c r="AW363" s="26">
        <v>10000</v>
      </c>
      <c r="AX363" s="62">
        <v>3000</v>
      </c>
      <c r="AZ363" s="15" t="s">
        <v>359</v>
      </c>
      <c r="BA363" s="249">
        <f t="shared" si="11"/>
        <v>1</v>
      </c>
      <c r="BB363" s="249">
        <v>0</v>
      </c>
      <c r="BC363" s="249">
        <f t="shared" si="10"/>
        <v>2012</v>
      </c>
    </row>
    <row r="364" spans="1:55" x14ac:dyDescent="0.25">
      <c r="A364" s="50" t="s">
        <v>1404</v>
      </c>
      <c r="B364" s="61" t="s">
        <v>595</v>
      </c>
      <c r="C364" s="14" t="s">
        <v>348</v>
      </c>
      <c r="D364" s="14">
        <v>2010</v>
      </c>
      <c r="E364" s="14" t="s">
        <v>475</v>
      </c>
      <c r="F364" s="14"/>
      <c r="G364" s="14"/>
      <c r="H364" s="14"/>
      <c r="I364" s="14"/>
      <c r="J364" s="13">
        <v>500000</v>
      </c>
      <c r="K364" s="14"/>
      <c r="L364" s="14" t="s">
        <v>328</v>
      </c>
      <c r="M364" s="14"/>
      <c r="N364" s="13">
        <v>3000</v>
      </c>
      <c r="O364" s="24">
        <v>0.3</v>
      </c>
      <c r="P364" s="14">
        <v>2</v>
      </c>
      <c r="Q364" s="14">
        <v>550</v>
      </c>
      <c r="R364" s="13">
        <v>2200</v>
      </c>
      <c r="S364" s="14" t="s">
        <v>340</v>
      </c>
      <c r="T364" s="14">
        <v>2</v>
      </c>
      <c r="U364" s="14">
        <v>2.2999999999999998</v>
      </c>
      <c r="V364" s="25">
        <v>448.83303411131055</v>
      </c>
      <c r="W364" s="26">
        <v>5000</v>
      </c>
      <c r="X364" s="14"/>
      <c r="Y364" s="14"/>
      <c r="Z364" s="14"/>
      <c r="AA364" s="14" t="s">
        <v>328</v>
      </c>
      <c r="AB364" s="14"/>
      <c r="AC364" s="14"/>
      <c r="AD364" s="14"/>
      <c r="AE364" s="14" t="s">
        <v>328</v>
      </c>
      <c r="AF364" s="14"/>
      <c r="AG364" s="14" t="s">
        <v>328</v>
      </c>
      <c r="AH364" s="14" t="s">
        <v>328</v>
      </c>
      <c r="AI364" s="14" t="s">
        <v>328</v>
      </c>
      <c r="AJ364" s="14"/>
      <c r="AK364" s="14" t="s">
        <v>328</v>
      </c>
      <c r="AL364" s="14" t="s">
        <v>328</v>
      </c>
      <c r="AM364" s="14"/>
      <c r="AN364" s="13">
        <v>16000</v>
      </c>
      <c r="AO364" s="13">
        <v>16000</v>
      </c>
      <c r="AP364" s="13">
        <v>7000</v>
      </c>
      <c r="AQ364" s="13">
        <v>150000</v>
      </c>
      <c r="AR364" s="13">
        <v>16000</v>
      </c>
      <c r="AS364" s="26">
        <v>50000</v>
      </c>
      <c r="AT364" s="26">
        <v>46000</v>
      </c>
      <c r="AU364" s="26">
        <v>60000</v>
      </c>
      <c r="AV364" s="26">
        <v>3000</v>
      </c>
      <c r="AW364" s="26">
        <v>7500</v>
      </c>
      <c r="AX364" s="62">
        <v>3000</v>
      </c>
      <c r="AZ364" s="15" t="s">
        <v>348</v>
      </c>
      <c r="BA364" s="249">
        <f t="shared" si="11"/>
        <v>3</v>
      </c>
      <c r="BB364" s="249">
        <v>0</v>
      </c>
      <c r="BC364" s="249">
        <f t="shared" si="10"/>
        <v>2010</v>
      </c>
    </row>
    <row r="365" spans="1:55" x14ac:dyDescent="0.25">
      <c r="A365" s="50" t="s">
        <v>1404</v>
      </c>
      <c r="B365" s="61" t="s">
        <v>595</v>
      </c>
      <c r="C365" s="14" t="s">
        <v>348</v>
      </c>
      <c r="D365" s="14">
        <v>2010</v>
      </c>
      <c r="E365" s="14" t="s">
        <v>475</v>
      </c>
      <c r="F365" s="14"/>
      <c r="G365" s="14"/>
      <c r="H365" s="14"/>
      <c r="I365" s="14"/>
      <c r="J365" s="13">
        <v>500000</v>
      </c>
      <c r="K365" s="14"/>
      <c r="L365" s="14" t="s">
        <v>328</v>
      </c>
      <c r="M365" s="14"/>
      <c r="N365" s="13">
        <v>3000</v>
      </c>
      <c r="O365" s="24">
        <v>0.3</v>
      </c>
      <c r="P365" s="14">
        <v>2</v>
      </c>
      <c r="Q365" s="14">
        <v>550</v>
      </c>
      <c r="R365" s="13">
        <v>2200</v>
      </c>
      <c r="S365" s="14" t="s">
        <v>340</v>
      </c>
      <c r="T365" s="14">
        <v>2</v>
      </c>
      <c r="U365" s="14">
        <v>2.2999999999999998</v>
      </c>
      <c r="V365" s="25">
        <v>448.83303411131055</v>
      </c>
      <c r="W365" s="26">
        <v>5000</v>
      </c>
      <c r="X365" s="14"/>
      <c r="Y365" s="14" t="s">
        <v>328</v>
      </c>
      <c r="Z365" s="14"/>
      <c r="AA365" s="14"/>
      <c r="AB365" s="14"/>
      <c r="AC365" s="14"/>
      <c r="AD365" s="14"/>
      <c r="AE365" s="14" t="s">
        <v>328</v>
      </c>
      <c r="AF365" s="14"/>
      <c r="AG365" s="14" t="s">
        <v>328</v>
      </c>
      <c r="AH365" s="14" t="s">
        <v>328</v>
      </c>
      <c r="AI365" s="14" t="s">
        <v>328</v>
      </c>
      <c r="AJ365" s="14"/>
      <c r="AK365" s="14" t="s">
        <v>328</v>
      </c>
      <c r="AL365" s="14" t="s">
        <v>328</v>
      </c>
      <c r="AM365" s="14"/>
      <c r="AN365" s="13">
        <v>16000</v>
      </c>
      <c r="AO365" s="13">
        <v>16000</v>
      </c>
      <c r="AP365" s="13">
        <v>7000</v>
      </c>
      <c r="AQ365" s="13">
        <v>150000</v>
      </c>
      <c r="AR365" s="13">
        <v>16000</v>
      </c>
      <c r="AS365" s="26">
        <v>50000</v>
      </c>
      <c r="AT365" s="26">
        <v>46000</v>
      </c>
      <c r="AU365" s="26">
        <v>60000</v>
      </c>
      <c r="AV365" s="26">
        <v>3000</v>
      </c>
      <c r="AW365" s="26">
        <v>7500</v>
      </c>
      <c r="AX365" s="62">
        <v>3000</v>
      </c>
      <c r="AZ365" s="15" t="s">
        <v>348</v>
      </c>
      <c r="BA365" s="249">
        <f t="shared" si="11"/>
        <v>3</v>
      </c>
      <c r="BB365" s="249">
        <v>0</v>
      </c>
      <c r="BC365" s="249">
        <f t="shared" si="10"/>
        <v>2010</v>
      </c>
    </row>
    <row r="366" spans="1:55" x14ac:dyDescent="0.25">
      <c r="A366" s="50" t="s">
        <v>1404</v>
      </c>
      <c r="B366" s="61" t="s">
        <v>595</v>
      </c>
      <c r="C366" s="14" t="s">
        <v>348</v>
      </c>
      <c r="D366" s="14">
        <v>2010</v>
      </c>
      <c r="E366" s="14" t="s">
        <v>475</v>
      </c>
      <c r="F366" s="14"/>
      <c r="G366" s="14"/>
      <c r="H366" s="14"/>
      <c r="I366" s="14"/>
      <c r="J366" s="13">
        <v>500000</v>
      </c>
      <c r="K366" s="14"/>
      <c r="L366" s="14" t="s">
        <v>328</v>
      </c>
      <c r="M366" s="14"/>
      <c r="N366" s="13">
        <v>3000</v>
      </c>
      <c r="O366" s="24">
        <v>0.3</v>
      </c>
      <c r="P366" s="14">
        <v>2</v>
      </c>
      <c r="Q366" s="14">
        <v>550</v>
      </c>
      <c r="R366" s="13">
        <v>2200</v>
      </c>
      <c r="S366" s="14" t="s">
        <v>340</v>
      </c>
      <c r="T366" s="14">
        <v>2</v>
      </c>
      <c r="U366" s="14">
        <v>2.2999999999999998</v>
      </c>
      <c r="V366" s="25">
        <v>448.83303411131055</v>
      </c>
      <c r="W366" s="26">
        <v>5000</v>
      </c>
      <c r="X366" s="14" t="s">
        <v>328</v>
      </c>
      <c r="Y366" s="14"/>
      <c r="Z366" s="14"/>
      <c r="AA366" s="14"/>
      <c r="AB366" s="14"/>
      <c r="AC366" s="14"/>
      <c r="AD366" s="14"/>
      <c r="AE366" s="14" t="s">
        <v>328</v>
      </c>
      <c r="AF366" s="14"/>
      <c r="AG366" s="14" t="s">
        <v>328</v>
      </c>
      <c r="AH366" s="14" t="s">
        <v>328</v>
      </c>
      <c r="AI366" s="14" t="s">
        <v>328</v>
      </c>
      <c r="AJ366" s="14"/>
      <c r="AK366" s="14" t="s">
        <v>328</v>
      </c>
      <c r="AL366" s="14" t="s">
        <v>328</v>
      </c>
      <c r="AM366" s="14"/>
      <c r="AN366" s="13">
        <v>16000</v>
      </c>
      <c r="AO366" s="13">
        <v>16000</v>
      </c>
      <c r="AP366" s="13">
        <v>7000</v>
      </c>
      <c r="AQ366" s="13">
        <v>150000</v>
      </c>
      <c r="AR366" s="13">
        <v>16000</v>
      </c>
      <c r="AS366" s="26">
        <v>50000</v>
      </c>
      <c r="AT366" s="26">
        <v>46000</v>
      </c>
      <c r="AU366" s="26">
        <v>60000</v>
      </c>
      <c r="AV366" s="26">
        <v>3000</v>
      </c>
      <c r="AW366" s="26">
        <v>7500</v>
      </c>
      <c r="AX366" s="62">
        <v>3000</v>
      </c>
      <c r="AZ366" s="15" t="s">
        <v>348</v>
      </c>
      <c r="BA366" s="249">
        <f t="shared" si="11"/>
        <v>3</v>
      </c>
      <c r="BB366" s="249">
        <v>0</v>
      </c>
      <c r="BC366" s="249">
        <f t="shared" si="10"/>
        <v>2010</v>
      </c>
    </row>
    <row r="367" spans="1:55" x14ac:dyDescent="0.25">
      <c r="A367" s="50" t="s">
        <v>1404</v>
      </c>
      <c r="B367" s="61" t="s">
        <v>596</v>
      </c>
      <c r="C367" s="14" t="s">
        <v>348</v>
      </c>
      <c r="D367" s="14">
        <v>2009</v>
      </c>
      <c r="E367" s="14" t="s">
        <v>407</v>
      </c>
      <c r="F367" s="14"/>
      <c r="G367" s="14"/>
      <c r="H367" s="14"/>
      <c r="I367" s="14"/>
      <c r="J367" s="13">
        <v>168000</v>
      </c>
      <c r="K367" s="14" t="s">
        <v>328</v>
      </c>
      <c r="L367" s="14"/>
      <c r="M367" s="14"/>
      <c r="N367" s="13">
        <v>3500</v>
      </c>
      <c r="O367" s="24">
        <v>0.1</v>
      </c>
      <c r="P367" s="14">
        <v>1</v>
      </c>
      <c r="Q367" s="14">
        <v>500</v>
      </c>
      <c r="R367" s="13">
        <v>1200</v>
      </c>
      <c r="S367" s="14" t="s">
        <v>340</v>
      </c>
      <c r="T367" s="14">
        <v>2.4</v>
      </c>
      <c r="U367" s="14">
        <v>2.8</v>
      </c>
      <c r="V367" s="25">
        <v>448.83303411131055</v>
      </c>
      <c r="W367" s="26">
        <v>5000</v>
      </c>
      <c r="X367" s="14" t="s">
        <v>328</v>
      </c>
      <c r="Y367" s="14"/>
      <c r="Z367" s="14"/>
      <c r="AA367" s="14"/>
      <c r="AB367" s="14"/>
      <c r="AC367" s="14"/>
      <c r="AD367" s="14"/>
      <c r="AE367" s="14" t="s">
        <v>328</v>
      </c>
      <c r="AF367" s="14"/>
      <c r="AG367" s="14" t="s">
        <v>328</v>
      </c>
      <c r="AH367" s="14" t="s">
        <v>328</v>
      </c>
      <c r="AI367" s="14" t="s">
        <v>328</v>
      </c>
      <c r="AJ367" s="14"/>
      <c r="AK367" s="14" t="s">
        <v>328</v>
      </c>
      <c r="AL367" s="14" t="s">
        <v>328</v>
      </c>
      <c r="AM367" s="14"/>
      <c r="AN367" s="13">
        <v>8000</v>
      </c>
      <c r="AO367" s="13">
        <v>15000</v>
      </c>
      <c r="AP367" s="13">
        <v>10000</v>
      </c>
      <c r="AQ367" s="13">
        <v>42000</v>
      </c>
      <c r="AR367" s="13">
        <v>15000</v>
      </c>
      <c r="AS367" s="26">
        <v>72000</v>
      </c>
      <c r="AT367" s="26">
        <v>60000</v>
      </c>
      <c r="AU367" s="26">
        <v>60000</v>
      </c>
      <c r="AV367" s="26">
        <v>3000</v>
      </c>
      <c r="AW367" s="26">
        <v>7000</v>
      </c>
      <c r="AX367" s="62">
        <v>2000</v>
      </c>
      <c r="AZ367" s="15" t="s">
        <v>348</v>
      </c>
      <c r="BA367" s="249">
        <f t="shared" si="11"/>
        <v>2</v>
      </c>
      <c r="BB367" s="249">
        <v>0</v>
      </c>
      <c r="BC367" s="249">
        <f t="shared" si="10"/>
        <v>2009</v>
      </c>
    </row>
    <row r="368" spans="1:55" x14ac:dyDescent="0.25">
      <c r="A368" s="50" t="s">
        <v>1404</v>
      </c>
      <c r="B368" s="61" t="s">
        <v>596</v>
      </c>
      <c r="C368" s="14" t="s">
        <v>348</v>
      </c>
      <c r="D368" s="14">
        <v>2009</v>
      </c>
      <c r="E368" s="14" t="s">
        <v>407</v>
      </c>
      <c r="F368" s="14"/>
      <c r="G368" s="14"/>
      <c r="H368" s="14"/>
      <c r="I368" s="14"/>
      <c r="J368" s="13">
        <v>168000</v>
      </c>
      <c r="K368" s="14" t="s">
        <v>328</v>
      </c>
      <c r="L368" s="14"/>
      <c r="M368" s="14"/>
      <c r="N368" s="13">
        <v>3500</v>
      </c>
      <c r="O368" s="24">
        <v>0.1</v>
      </c>
      <c r="P368" s="14">
        <v>1</v>
      </c>
      <c r="Q368" s="14">
        <v>500</v>
      </c>
      <c r="R368" s="13">
        <v>1200</v>
      </c>
      <c r="S368" s="14" t="s">
        <v>340</v>
      </c>
      <c r="T368" s="14">
        <v>2.4</v>
      </c>
      <c r="U368" s="14">
        <v>2.8</v>
      </c>
      <c r="V368" s="25">
        <v>448.83303411131055</v>
      </c>
      <c r="W368" s="26">
        <v>5000</v>
      </c>
      <c r="X368" s="14" t="s">
        <v>328</v>
      </c>
      <c r="Y368" s="14"/>
      <c r="Z368" s="14"/>
      <c r="AA368" s="14"/>
      <c r="AB368" s="14"/>
      <c r="AC368" s="14"/>
      <c r="AD368" s="14"/>
      <c r="AE368" s="14" t="s">
        <v>328</v>
      </c>
      <c r="AF368" s="14"/>
      <c r="AG368" s="14" t="s">
        <v>328</v>
      </c>
      <c r="AH368" s="14" t="s">
        <v>328</v>
      </c>
      <c r="AI368" s="14" t="s">
        <v>328</v>
      </c>
      <c r="AJ368" s="14"/>
      <c r="AK368" s="14" t="s">
        <v>328</v>
      </c>
      <c r="AL368" s="14" t="s">
        <v>328</v>
      </c>
      <c r="AM368" s="14"/>
      <c r="AN368" s="13">
        <v>8000</v>
      </c>
      <c r="AO368" s="13">
        <v>15000</v>
      </c>
      <c r="AP368" s="13">
        <v>10000</v>
      </c>
      <c r="AQ368" s="13">
        <v>42000</v>
      </c>
      <c r="AR368" s="13">
        <v>15000</v>
      </c>
      <c r="AS368" s="26">
        <v>72000</v>
      </c>
      <c r="AT368" s="26">
        <v>60000</v>
      </c>
      <c r="AU368" s="26">
        <v>60000</v>
      </c>
      <c r="AV368" s="26">
        <v>3000</v>
      </c>
      <c r="AW368" s="26">
        <v>7000</v>
      </c>
      <c r="AX368" s="62">
        <v>2000</v>
      </c>
      <c r="AZ368" s="15" t="s">
        <v>348</v>
      </c>
      <c r="BA368" s="249">
        <f t="shared" si="11"/>
        <v>2</v>
      </c>
      <c r="BB368" s="249">
        <v>0</v>
      </c>
      <c r="BC368" s="249">
        <f t="shared" si="10"/>
        <v>2009</v>
      </c>
    </row>
    <row r="369" spans="1:55" x14ac:dyDescent="0.25">
      <c r="A369" s="50" t="s">
        <v>1404</v>
      </c>
      <c r="B369" s="61" t="s">
        <v>597</v>
      </c>
      <c r="C369" s="14" t="s">
        <v>351</v>
      </c>
      <c r="D369" s="14">
        <v>2009</v>
      </c>
      <c r="E369" s="14" t="s">
        <v>407</v>
      </c>
      <c r="F369" s="14"/>
      <c r="G369" s="14"/>
      <c r="H369" s="14"/>
      <c r="I369" s="14"/>
      <c r="J369" s="13">
        <v>350000</v>
      </c>
      <c r="K369" s="14" t="s">
        <v>328</v>
      </c>
      <c r="L369" s="14"/>
      <c r="M369" s="14"/>
      <c r="N369" s="13">
        <v>2000</v>
      </c>
      <c r="O369" s="24">
        <v>0.3</v>
      </c>
      <c r="P369" s="14">
        <v>1</v>
      </c>
      <c r="Q369" s="14">
        <v>380</v>
      </c>
      <c r="R369" s="13">
        <v>988</v>
      </c>
      <c r="S369" s="14" t="s">
        <v>340</v>
      </c>
      <c r="T369" s="14">
        <v>2.6</v>
      </c>
      <c r="U369" s="14">
        <v>2.8</v>
      </c>
      <c r="V369" s="25">
        <v>807.89946140035897</v>
      </c>
      <c r="W369" s="26">
        <v>9000</v>
      </c>
      <c r="X369" s="14"/>
      <c r="Y369" s="14" t="s">
        <v>328</v>
      </c>
      <c r="Z369" s="14"/>
      <c r="AA369" s="14"/>
      <c r="AB369" s="14"/>
      <c r="AC369" s="14"/>
      <c r="AD369" s="14"/>
      <c r="AE369" s="14" t="s">
        <v>328</v>
      </c>
      <c r="AF369" s="14"/>
      <c r="AG369" s="14" t="s">
        <v>328</v>
      </c>
      <c r="AH369" s="14" t="s">
        <v>328</v>
      </c>
      <c r="AI369" s="14" t="s">
        <v>328</v>
      </c>
      <c r="AJ369" s="14"/>
      <c r="AK369" s="14" t="s">
        <v>328</v>
      </c>
      <c r="AL369" s="14" t="s">
        <v>328</v>
      </c>
      <c r="AM369" s="14" t="s">
        <v>328</v>
      </c>
      <c r="AN369" s="13">
        <v>6000</v>
      </c>
      <c r="AO369" s="13">
        <v>8000</v>
      </c>
      <c r="AP369" s="13">
        <v>4000</v>
      </c>
      <c r="AQ369" s="13">
        <v>100000</v>
      </c>
      <c r="AR369" s="13">
        <v>8000</v>
      </c>
      <c r="AS369" s="26">
        <v>84000</v>
      </c>
      <c r="AT369" s="26">
        <v>42000</v>
      </c>
      <c r="AU369" s="26">
        <v>65000</v>
      </c>
      <c r="AV369" s="26">
        <v>5000</v>
      </c>
      <c r="AW369" s="26">
        <v>7000</v>
      </c>
      <c r="AX369" s="62">
        <v>0</v>
      </c>
      <c r="AZ369" s="15" t="s">
        <v>351</v>
      </c>
      <c r="BA369" s="249">
        <f t="shared" si="11"/>
        <v>1</v>
      </c>
      <c r="BB369" s="249">
        <v>0</v>
      </c>
      <c r="BC369" s="249">
        <f t="shared" si="10"/>
        <v>2009</v>
      </c>
    </row>
    <row r="370" spans="1:55" x14ac:dyDescent="0.25">
      <c r="A370" s="50" t="s">
        <v>1404</v>
      </c>
      <c r="B370" s="61" t="s">
        <v>599</v>
      </c>
      <c r="C370" s="14" t="s">
        <v>348</v>
      </c>
      <c r="D370" s="14">
        <v>2012</v>
      </c>
      <c r="E370" s="14" t="s">
        <v>407</v>
      </c>
      <c r="F370" s="14"/>
      <c r="G370" s="14"/>
      <c r="H370" s="14"/>
      <c r="I370" s="14"/>
      <c r="J370" s="13">
        <v>150000</v>
      </c>
      <c r="K370" s="14" t="s">
        <v>328</v>
      </c>
      <c r="L370" s="14"/>
      <c r="M370" s="14"/>
      <c r="N370" s="13">
        <v>5000</v>
      </c>
      <c r="O370" s="24">
        <v>0.3</v>
      </c>
      <c r="P370" s="14">
        <v>1</v>
      </c>
      <c r="Q370" s="14">
        <v>450</v>
      </c>
      <c r="R370" s="13">
        <v>1125</v>
      </c>
      <c r="S370" s="14" t="s">
        <v>340</v>
      </c>
      <c r="T370" s="14">
        <v>2.5</v>
      </c>
      <c r="U370" s="14">
        <v>2.8</v>
      </c>
      <c r="V370" s="25">
        <v>4500</v>
      </c>
      <c r="W370" s="44">
        <v>63630</v>
      </c>
      <c r="X370" s="14" t="s">
        <v>328</v>
      </c>
      <c r="Y370" s="14"/>
      <c r="Z370" s="14"/>
      <c r="AA370" s="14"/>
      <c r="AB370" s="14"/>
      <c r="AC370" s="14"/>
      <c r="AD370" s="14"/>
      <c r="AE370" s="14" t="s">
        <v>328</v>
      </c>
      <c r="AF370" s="14"/>
      <c r="AG370" s="14" t="s">
        <v>328</v>
      </c>
      <c r="AH370" s="14" t="s">
        <v>328</v>
      </c>
      <c r="AI370" s="14" t="s">
        <v>328</v>
      </c>
      <c r="AJ370" s="14"/>
      <c r="AK370" s="14" t="s">
        <v>328</v>
      </c>
      <c r="AL370" s="14" t="s">
        <v>328</v>
      </c>
      <c r="AM370" s="14" t="s">
        <v>328</v>
      </c>
      <c r="AN370" s="13">
        <v>8000</v>
      </c>
      <c r="AO370" s="13">
        <v>10000</v>
      </c>
      <c r="AP370" s="13">
        <v>6000</v>
      </c>
      <c r="AQ370" s="13">
        <v>65000</v>
      </c>
      <c r="AR370" s="13">
        <v>10000</v>
      </c>
      <c r="AS370" s="26">
        <v>108000</v>
      </c>
      <c r="AT370" s="26">
        <v>48000</v>
      </c>
      <c r="AU370" s="26">
        <v>60000</v>
      </c>
      <c r="AV370" s="26">
        <v>72000</v>
      </c>
      <c r="AW370" s="26">
        <v>12000</v>
      </c>
      <c r="AX370" s="62">
        <v>0</v>
      </c>
      <c r="AZ370" s="15" t="s">
        <v>348</v>
      </c>
      <c r="BA370" s="249">
        <f t="shared" si="11"/>
        <v>1</v>
      </c>
      <c r="BB370" s="249">
        <v>0</v>
      </c>
      <c r="BC370" s="249">
        <f t="shared" si="10"/>
        <v>2012</v>
      </c>
    </row>
    <row r="371" spans="1:55" x14ac:dyDescent="0.25">
      <c r="A371" s="50" t="s">
        <v>1404</v>
      </c>
      <c r="B371" s="61" t="s">
        <v>601</v>
      </c>
      <c r="C371" s="14" t="s">
        <v>337</v>
      </c>
      <c r="D371" s="14">
        <v>2007</v>
      </c>
      <c r="E371" s="14" t="s">
        <v>338</v>
      </c>
      <c r="F371" s="14"/>
      <c r="G371" s="14"/>
      <c r="H371" s="14"/>
      <c r="I371" s="14"/>
      <c r="J371" s="13">
        <v>720000</v>
      </c>
      <c r="K371" s="14" t="s">
        <v>328</v>
      </c>
      <c r="L371" s="14"/>
      <c r="M371" s="14"/>
      <c r="N371" s="13">
        <v>10000</v>
      </c>
      <c r="O371" s="24">
        <v>0.1</v>
      </c>
      <c r="P371" s="14">
        <v>3</v>
      </c>
      <c r="Q371" s="14">
        <v>500</v>
      </c>
      <c r="R371" s="13">
        <v>3300.0000000000005</v>
      </c>
      <c r="S371" s="14" t="s">
        <v>340</v>
      </c>
      <c r="T371" s="14">
        <v>2.2000000000000002</v>
      </c>
      <c r="U371" s="14">
        <v>2.5</v>
      </c>
      <c r="V371" s="25">
        <v>807.89946140035897</v>
      </c>
      <c r="W371" s="26">
        <v>9000</v>
      </c>
      <c r="X371" s="14"/>
      <c r="Y371" s="14" t="s">
        <v>328</v>
      </c>
      <c r="Z371" s="14"/>
      <c r="AA371" s="14"/>
      <c r="AB371" s="14"/>
      <c r="AC371" s="14"/>
      <c r="AD371" s="14"/>
      <c r="AE371" s="14" t="s">
        <v>328</v>
      </c>
      <c r="AF371" s="14"/>
      <c r="AG371" s="14" t="s">
        <v>328</v>
      </c>
      <c r="AH371" s="14" t="s">
        <v>328</v>
      </c>
      <c r="AI371" s="14" t="s">
        <v>328</v>
      </c>
      <c r="AJ371" s="14" t="s">
        <v>328</v>
      </c>
      <c r="AK371" s="14" t="s">
        <v>328</v>
      </c>
      <c r="AL371" s="14" t="s">
        <v>328</v>
      </c>
      <c r="AM371" s="14" t="s">
        <v>328</v>
      </c>
      <c r="AN371" s="13">
        <v>10000</v>
      </c>
      <c r="AO371" s="13">
        <v>20000</v>
      </c>
      <c r="AP371" s="13">
        <v>10000</v>
      </c>
      <c r="AQ371" s="13">
        <v>120000</v>
      </c>
      <c r="AR371" s="13">
        <v>20000</v>
      </c>
      <c r="AS371" s="26">
        <v>144000</v>
      </c>
      <c r="AT371" s="26">
        <v>120000</v>
      </c>
      <c r="AU371" s="26">
        <v>180000</v>
      </c>
      <c r="AV371" s="26">
        <v>5000</v>
      </c>
      <c r="AW371" s="26">
        <v>7000</v>
      </c>
      <c r="AX371" s="62">
        <v>5000</v>
      </c>
      <c r="AZ371" s="14" t="s">
        <v>562</v>
      </c>
      <c r="BA371" s="249">
        <f t="shared" si="11"/>
        <v>5</v>
      </c>
      <c r="BB371" s="249">
        <v>0</v>
      </c>
      <c r="BC371" s="249">
        <f t="shared" si="10"/>
        <v>2007</v>
      </c>
    </row>
    <row r="372" spans="1:55" x14ac:dyDescent="0.25">
      <c r="A372" s="50" t="s">
        <v>1404</v>
      </c>
      <c r="B372" s="61" t="s">
        <v>601</v>
      </c>
      <c r="C372" s="14" t="s">
        <v>337</v>
      </c>
      <c r="D372" s="14">
        <v>2007</v>
      </c>
      <c r="E372" s="14" t="s">
        <v>338</v>
      </c>
      <c r="F372" s="14"/>
      <c r="G372" s="14"/>
      <c r="H372" s="14"/>
      <c r="I372" s="14"/>
      <c r="J372" s="13">
        <v>720000</v>
      </c>
      <c r="K372" s="14" t="s">
        <v>328</v>
      </c>
      <c r="L372" s="14"/>
      <c r="M372" s="14"/>
      <c r="N372" s="13">
        <v>10000</v>
      </c>
      <c r="O372" s="24">
        <v>0.1</v>
      </c>
      <c r="P372" s="14">
        <v>3</v>
      </c>
      <c r="Q372" s="14">
        <v>500</v>
      </c>
      <c r="R372" s="13">
        <v>3300.0000000000005</v>
      </c>
      <c r="S372" s="14" t="s">
        <v>340</v>
      </c>
      <c r="T372" s="14">
        <v>2.2000000000000002</v>
      </c>
      <c r="U372" s="14">
        <v>2.5</v>
      </c>
      <c r="V372" s="25">
        <v>807.89946140035897</v>
      </c>
      <c r="W372" s="26">
        <v>9000</v>
      </c>
      <c r="X372" s="14"/>
      <c r="Y372" s="14" t="s">
        <v>328</v>
      </c>
      <c r="Z372" s="14"/>
      <c r="AA372" s="14"/>
      <c r="AB372" s="14"/>
      <c r="AC372" s="14"/>
      <c r="AD372" s="14"/>
      <c r="AE372" s="14" t="s">
        <v>328</v>
      </c>
      <c r="AF372" s="14"/>
      <c r="AG372" s="14" t="s">
        <v>328</v>
      </c>
      <c r="AH372" s="14" t="s">
        <v>328</v>
      </c>
      <c r="AI372" s="14" t="s">
        <v>328</v>
      </c>
      <c r="AJ372" s="14" t="s">
        <v>328</v>
      </c>
      <c r="AK372" s="14" t="s">
        <v>328</v>
      </c>
      <c r="AL372" s="14" t="s">
        <v>328</v>
      </c>
      <c r="AM372" s="14" t="s">
        <v>328</v>
      </c>
      <c r="AN372" s="13">
        <v>10000</v>
      </c>
      <c r="AO372" s="13">
        <v>20000</v>
      </c>
      <c r="AP372" s="13">
        <v>10000</v>
      </c>
      <c r="AQ372" s="13">
        <v>120000</v>
      </c>
      <c r="AR372" s="13">
        <v>20000</v>
      </c>
      <c r="AS372" s="26">
        <v>144000</v>
      </c>
      <c r="AT372" s="26">
        <v>120000</v>
      </c>
      <c r="AU372" s="26">
        <v>180000</v>
      </c>
      <c r="AV372" s="26">
        <v>5000</v>
      </c>
      <c r="AW372" s="26">
        <v>7000</v>
      </c>
      <c r="AX372" s="62">
        <v>5000</v>
      </c>
      <c r="AZ372" s="14" t="s">
        <v>562</v>
      </c>
      <c r="BA372" s="249">
        <f t="shared" si="11"/>
        <v>5</v>
      </c>
      <c r="BB372" s="249">
        <v>0</v>
      </c>
      <c r="BC372" s="249">
        <f t="shared" si="10"/>
        <v>2007</v>
      </c>
    </row>
    <row r="373" spans="1:55" x14ac:dyDescent="0.25">
      <c r="A373" s="50" t="s">
        <v>1404</v>
      </c>
      <c r="B373" s="61" t="s">
        <v>601</v>
      </c>
      <c r="C373" s="14" t="s">
        <v>337</v>
      </c>
      <c r="D373" s="14">
        <v>2007</v>
      </c>
      <c r="E373" s="14" t="s">
        <v>338</v>
      </c>
      <c r="F373" s="14"/>
      <c r="G373" s="14"/>
      <c r="H373" s="14"/>
      <c r="I373" s="14"/>
      <c r="J373" s="13">
        <v>720000</v>
      </c>
      <c r="K373" s="14" t="s">
        <v>328</v>
      </c>
      <c r="L373" s="14"/>
      <c r="M373" s="14"/>
      <c r="N373" s="13">
        <v>10000</v>
      </c>
      <c r="O373" s="24">
        <v>0.1</v>
      </c>
      <c r="P373" s="14">
        <v>3</v>
      </c>
      <c r="Q373" s="14">
        <v>500</v>
      </c>
      <c r="R373" s="13">
        <v>3300.0000000000005</v>
      </c>
      <c r="S373" s="14" t="s">
        <v>340</v>
      </c>
      <c r="T373" s="14">
        <v>2.2000000000000002</v>
      </c>
      <c r="U373" s="14">
        <v>2.5</v>
      </c>
      <c r="V373" s="25">
        <v>807.89946140035897</v>
      </c>
      <c r="W373" s="26">
        <v>9000</v>
      </c>
      <c r="X373" s="14"/>
      <c r="Y373" s="14" t="s">
        <v>328</v>
      </c>
      <c r="Z373" s="14"/>
      <c r="AA373" s="14"/>
      <c r="AB373" s="14"/>
      <c r="AC373" s="14"/>
      <c r="AD373" s="14"/>
      <c r="AE373" s="14" t="s">
        <v>328</v>
      </c>
      <c r="AF373" s="14"/>
      <c r="AG373" s="14" t="s">
        <v>328</v>
      </c>
      <c r="AH373" s="14" t="s">
        <v>328</v>
      </c>
      <c r="AI373" s="14" t="s">
        <v>328</v>
      </c>
      <c r="AJ373" s="14" t="s">
        <v>328</v>
      </c>
      <c r="AK373" s="14" t="s">
        <v>328</v>
      </c>
      <c r="AL373" s="14" t="s">
        <v>328</v>
      </c>
      <c r="AM373" s="14" t="s">
        <v>328</v>
      </c>
      <c r="AN373" s="13">
        <v>10000</v>
      </c>
      <c r="AO373" s="13">
        <v>20000</v>
      </c>
      <c r="AP373" s="13">
        <v>10000</v>
      </c>
      <c r="AQ373" s="13">
        <v>120000</v>
      </c>
      <c r="AR373" s="13">
        <v>20000</v>
      </c>
      <c r="AS373" s="26">
        <v>144000</v>
      </c>
      <c r="AT373" s="26">
        <v>120000</v>
      </c>
      <c r="AU373" s="26">
        <v>180000</v>
      </c>
      <c r="AV373" s="26">
        <v>5000</v>
      </c>
      <c r="AW373" s="26">
        <v>7000</v>
      </c>
      <c r="AX373" s="62">
        <v>5000</v>
      </c>
      <c r="AZ373" s="14" t="s">
        <v>562</v>
      </c>
      <c r="BA373" s="249">
        <f t="shared" si="11"/>
        <v>5</v>
      </c>
      <c r="BB373" s="249">
        <v>0</v>
      </c>
      <c r="BC373" s="249">
        <f t="shared" si="10"/>
        <v>2007</v>
      </c>
    </row>
    <row r="374" spans="1:55" x14ac:dyDescent="0.25">
      <c r="A374" s="50" t="s">
        <v>1404</v>
      </c>
      <c r="B374" s="61" t="s">
        <v>601</v>
      </c>
      <c r="C374" s="14" t="s">
        <v>337</v>
      </c>
      <c r="D374" s="14">
        <v>2012</v>
      </c>
      <c r="E374" s="14" t="s">
        <v>477</v>
      </c>
      <c r="F374" s="14"/>
      <c r="G374" s="14"/>
      <c r="H374" s="14"/>
      <c r="I374" s="14"/>
      <c r="J374" s="13">
        <v>120000</v>
      </c>
      <c r="K374" s="14" t="s">
        <v>328</v>
      </c>
      <c r="L374" s="14"/>
      <c r="M374" s="14"/>
      <c r="N374" s="13">
        <v>5000</v>
      </c>
      <c r="O374" s="24">
        <v>0.5</v>
      </c>
      <c r="P374" s="14">
        <v>3</v>
      </c>
      <c r="Q374" s="14">
        <v>550</v>
      </c>
      <c r="R374" s="13">
        <v>3465</v>
      </c>
      <c r="S374" s="14" t="s">
        <v>340</v>
      </c>
      <c r="T374" s="14">
        <v>2.1</v>
      </c>
      <c r="U374" s="14">
        <v>3</v>
      </c>
      <c r="V374" s="25">
        <v>888.68940754039488</v>
      </c>
      <c r="W374" s="26">
        <v>9900</v>
      </c>
      <c r="X374" s="14"/>
      <c r="Y374" s="14"/>
      <c r="Z374" s="14"/>
      <c r="AA374" s="14"/>
      <c r="AB374" s="14"/>
      <c r="AC374" s="14" t="s">
        <v>328</v>
      </c>
      <c r="AD374" s="14" t="s">
        <v>328</v>
      </c>
      <c r="AE374" s="14" t="s">
        <v>328</v>
      </c>
      <c r="AF374" s="14" t="s">
        <v>328</v>
      </c>
      <c r="AG374" s="14" t="s">
        <v>328</v>
      </c>
      <c r="AH374" s="14" t="s">
        <v>328</v>
      </c>
      <c r="AI374" s="14" t="s">
        <v>328</v>
      </c>
      <c r="AJ374" s="14"/>
      <c r="AK374" s="14" t="s">
        <v>328</v>
      </c>
      <c r="AL374" s="14" t="s">
        <v>328</v>
      </c>
      <c r="AM374" s="14" t="s">
        <v>328</v>
      </c>
      <c r="AN374" s="13">
        <v>7000</v>
      </c>
      <c r="AO374" s="13">
        <v>16000</v>
      </c>
      <c r="AP374" s="13">
        <v>5000</v>
      </c>
      <c r="AQ374" s="13">
        <v>240000</v>
      </c>
      <c r="AR374" s="13">
        <v>16000</v>
      </c>
      <c r="AS374" s="26">
        <v>150000</v>
      </c>
      <c r="AT374" s="26">
        <v>126000</v>
      </c>
      <c r="AU374" s="26">
        <v>90000</v>
      </c>
      <c r="AV374" s="26">
        <v>3000</v>
      </c>
      <c r="AW374" s="26">
        <v>8000</v>
      </c>
      <c r="AX374" s="62">
        <v>3000</v>
      </c>
      <c r="AZ374" s="14" t="s">
        <v>562</v>
      </c>
      <c r="BA374" s="249">
        <f t="shared" si="11"/>
        <v>5</v>
      </c>
      <c r="BB374" s="249">
        <v>0</v>
      </c>
      <c r="BC374" s="249">
        <f t="shared" si="10"/>
        <v>2012</v>
      </c>
    </row>
    <row r="375" spans="1:55" x14ac:dyDescent="0.25">
      <c r="A375" s="50" t="s">
        <v>1404</v>
      </c>
      <c r="B375" s="61" t="s">
        <v>601</v>
      </c>
      <c r="C375" s="14" t="s">
        <v>337</v>
      </c>
      <c r="D375" s="14">
        <v>2012</v>
      </c>
      <c r="E375" s="14" t="s">
        <v>477</v>
      </c>
      <c r="F375" s="14"/>
      <c r="G375" s="14"/>
      <c r="H375" s="14"/>
      <c r="I375" s="14"/>
      <c r="J375" s="13">
        <v>120000</v>
      </c>
      <c r="K375" s="14" t="s">
        <v>328</v>
      </c>
      <c r="L375" s="14"/>
      <c r="M375" s="14"/>
      <c r="N375" s="13">
        <v>5000</v>
      </c>
      <c r="O375" s="24">
        <v>0.5</v>
      </c>
      <c r="P375" s="14">
        <v>3</v>
      </c>
      <c r="Q375" s="14">
        <v>550</v>
      </c>
      <c r="R375" s="13">
        <v>3465</v>
      </c>
      <c r="S375" s="14" t="s">
        <v>340</v>
      </c>
      <c r="T375" s="14">
        <v>2.1</v>
      </c>
      <c r="U375" s="14">
        <v>3</v>
      </c>
      <c r="V375" s="25">
        <v>888.68940754039488</v>
      </c>
      <c r="W375" s="26">
        <v>9900</v>
      </c>
      <c r="X375" s="14"/>
      <c r="Y375" s="14"/>
      <c r="Z375" s="14"/>
      <c r="AA375" s="14"/>
      <c r="AB375" s="14"/>
      <c r="AC375" s="14" t="s">
        <v>328</v>
      </c>
      <c r="AD375" s="14" t="s">
        <v>328</v>
      </c>
      <c r="AE375" s="14" t="s">
        <v>328</v>
      </c>
      <c r="AF375" s="14" t="s">
        <v>328</v>
      </c>
      <c r="AG375" s="14" t="s">
        <v>328</v>
      </c>
      <c r="AH375" s="14" t="s">
        <v>328</v>
      </c>
      <c r="AI375" s="14" t="s">
        <v>328</v>
      </c>
      <c r="AJ375" s="14"/>
      <c r="AK375" s="14" t="s">
        <v>328</v>
      </c>
      <c r="AL375" s="14" t="s">
        <v>328</v>
      </c>
      <c r="AM375" s="14" t="s">
        <v>328</v>
      </c>
      <c r="AN375" s="13">
        <v>7000</v>
      </c>
      <c r="AO375" s="13">
        <v>16000</v>
      </c>
      <c r="AP375" s="13">
        <v>5000</v>
      </c>
      <c r="AQ375" s="13">
        <v>240000</v>
      </c>
      <c r="AR375" s="13">
        <v>16000</v>
      </c>
      <c r="AS375" s="26">
        <v>150000</v>
      </c>
      <c r="AT375" s="26">
        <v>126000</v>
      </c>
      <c r="AU375" s="26">
        <v>90000</v>
      </c>
      <c r="AV375" s="26">
        <v>3000</v>
      </c>
      <c r="AW375" s="26">
        <v>8000</v>
      </c>
      <c r="AX375" s="62">
        <v>3000</v>
      </c>
      <c r="AZ375" s="14" t="s">
        <v>562</v>
      </c>
      <c r="BA375" s="249">
        <f t="shared" si="11"/>
        <v>5</v>
      </c>
      <c r="BB375" s="249">
        <v>0</v>
      </c>
      <c r="BC375" s="249">
        <f t="shared" si="10"/>
        <v>2012</v>
      </c>
    </row>
    <row r="376" spans="1:55" x14ac:dyDescent="0.25">
      <c r="A376" s="50" t="s">
        <v>1404</v>
      </c>
      <c r="B376" s="61" t="s">
        <v>603</v>
      </c>
      <c r="C376" s="14" t="s">
        <v>348</v>
      </c>
      <c r="D376" s="14">
        <v>2010</v>
      </c>
      <c r="E376" s="14" t="s">
        <v>360</v>
      </c>
      <c r="F376" s="14"/>
      <c r="G376" s="14"/>
      <c r="H376" s="14"/>
      <c r="I376" s="14"/>
      <c r="J376" s="16">
        <v>144000</v>
      </c>
      <c r="K376" s="14" t="s">
        <v>328</v>
      </c>
      <c r="L376" s="14"/>
      <c r="M376" s="14"/>
      <c r="N376" s="13">
        <v>4000</v>
      </c>
      <c r="O376" s="24">
        <v>0.5</v>
      </c>
      <c r="P376" s="14">
        <v>1</v>
      </c>
      <c r="Q376" s="14">
        <v>400</v>
      </c>
      <c r="R376" s="13">
        <v>3000</v>
      </c>
      <c r="S376" s="14" t="s">
        <v>371</v>
      </c>
      <c r="T376" s="14">
        <v>6</v>
      </c>
      <c r="U376" s="14">
        <v>7.5</v>
      </c>
      <c r="V376" s="25">
        <v>628.36624775583482</v>
      </c>
      <c r="W376" s="26">
        <v>7000</v>
      </c>
      <c r="X376" s="14"/>
      <c r="Y376" s="14" t="s">
        <v>328</v>
      </c>
      <c r="Z376" s="14"/>
      <c r="AA376" s="14"/>
      <c r="AB376" s="14"/>
      <c r="AC376" s="14"/>
      <c r="AD376" s="14"/>
      <c r="AE376" s="14"/>
      <c r="AF376" s="14"/>
      <c r="AG376" s="14" t="s">
        <v>328</v>
      </c>
      <c r="AH376" s="14" t="s">
        <v>328</v>
      </c>
      <c r="AI376" s="14"/>
      <c r="AJ376" s="14"/>
      <c r="AK376" s="14" t="s">
        <v>328</v>
      </c>
      <c r="AL376" s="14" t="s">
        <v>328</v>
      </c>
      <c r="AM376" s="14"/>
      <c r="AN376" s="13">
        <v>5000</v>
      </c>
      <c r="AO376" s="13">
        <v>7000</v>
      </c>
      <c r="AP376" s="13">
        <v>7000</v>
      </c>
      <c r="AQ376" s="13">
        <v>90000</v>
      </c>
      <c r="AR376" s="13">
        <v>7000</v>
      </c>
      <c r="AS376" s="26">
        <v>90000</v>
      </c>
      <c r="AT376" s="26">
        <v>45600</v>
      </c>
      <c r="AU376" s="26">
        <v>25000</v>
      </c>
      <c r="AV376" s="26">
        <v>3000</v>
      </c>
      <c r="AW376" s="26">
        <v>7000</v>
      </c>
      <c r="AX376" s="62">
        <v>0</v>
      </c>
      <c r="AZ376" s="14" t="s">
        <v>348</v>
      </c>
      <c r="BA376" s="249">
        <f t="shared" si="11"/>
        <v>2</v>
      </c>
      <c r="BB376" s="249">
        <v>1</v>
      </c>
      <c r="BC376" s="249">
        <f t="shared" si="10"/>
        <v>2010</v>
      </c>
    </row>
    <row r="377" spans="1:55" x14ac:dyDescent="0.25">
      <c r="A377" s="50" t="s">
        <v>1404</v>
      </c>
      <c r="B377" s="61" t="s">
        <v>603</v>
      </c>
      <c r="C377" s="14" t="s">
        <v>351</v>
      </c>
      <c r="D377" s="14">
        <v>2011</v>
      </c>
      <c r="E377" s="14" t="s">
        <v>360</v>
      </c>
      <c r="F377" s="14"/>
      <c r="G377" s="14"/>
      <c r="H377" s="14"/>
      <c r="I377" s="14"/>
      <c r="J377" s="16">
        <v>96000</v>
      </c>
      <c r="K377" s="14" t="s">
        <v>328</v>
      </c>
      <c r="L377" s="14"/>
      <c r="M377" s="14"/>
      <c r="N377" s="13">
        <v>4000</v>
      </c>
      <c r="O377" s="24">
        <v>0.5</v>
      </c>
      <c r="P377" s="14">
        <v>1</v>
      </c>
      <c r="Q377" s="14">
        <v>450</v>
      </c>
      <c r="R377" s="13">
        <v>3375</v>
      </c>
      <c r="S377" s="14" t="s">
        <v>371</v>
      </c>
      <c r="T377" s="14">
        <v>6</v>
      </c>
      <c r="U377" s="14">
        <v>7.5</v>
      </c>
      <c r="V377" s="25">
        <v>628.36624775583482</v>
      </c>
      <c r="W377" s="26">
        <v>7000</v>
      </c>
      <c r="X377" s="14"/>
      <c r="Y377" s="14" t="s">
        <v>328</v>
      </c>
      <c r="Z377" s="14"/>
      <c r="AA377" s="14"/>
      <c r="AB377" s="14"/>
      <c r="AC377" s="14"/>
      <c r="AD377" s="14"/>
      <c r="AE377" s="14"/>
      <c r="AF377" s="14"/>
      <c r="AG377" s="14" t="s">
        <v>328</v>
      </c>
      <c r="AH377" s="14" t="s">
        <v>328</v>
      </c>
      <c r="AI377" s="14"/>
      <c r="AJ377" s="14"/>
      <c r="AK377" s="14" t="s">
        <v>328</v>
      </c>
      <c r="AL377" s="14" t="s">
        <v>328</v>
      </c>
      <c r="AM377" s="14"/>
      <c r="AN377" s="13">
        <v>5000</v>
      </c>
      <c r="AO377" s="13">
        <v>7000</v>
      </c>
      <c r="AP377" s="13">
        <v>7000</v>
      </c>
      <c r="AQ377" s="13">
        <v>90000</v>
      </c>
      <c r="AR377" s="13" t="s">
        <v>385</v>
      </c>
      <c r="AS377" s="26">
        <v>90000</v>
      </c>
      <c r="AT377" s="26">
        <v>45600</v>
      </c>
      <c r="AU377" s="26">
        <v>25000</v>
      </c>
      <c r="AV377" s="26">
        <v>3000</v>
      </c>
      <c r="AW377" s="26">
        <v>7000</v>
      </c>
      <c r="AX377" s="62">
        <v>0</v>
      </c>
      <c r="AZ377" s="14" t="s">
        <v>351</v>
      </c>
      <c r="BA377" s="249">
        <f t="shared" si="11"/>
        <v>2</v>
      </c>
      <c r="BB377" s="249">
        <v>1</v>
      </c>
      <c r="BC377" s="249">
        <f t="shared" si="10"/>
        <v>2011</v>
      </c>
    </row>
    <row r="378" spans="1:55" x14ac:dyDescent="0.25">
      <c r="A378" s="50" t="s">
        <v>1404</v>
      </c>
      <c r="B378" s="61" t="s">
        <v>606</v>
      </c>
      <c r="C378" s="14" t="s">
        <v>359</v>
      </c>
      <c r="D378" s="14">
        <v>2009</v>
      </c>
      <c r="E378" s="14" t="s">
        <v>475</v>
      </c>
      <c r="F378" s="14"/>
      <c r="G378" s="14"/>
      <c r="H378" s="14"/>
      <c r="I378" s="14"/>
      <c r="J378" s="13">
        <v>120000</v>
      </c>
      <c r="K378" s="14" t="s">
        <v>328</v>
      </c>
      <c r="L378" s="14"/>
      <c r="M378" s="14"/>
      <c r="N378" s="13">
        <v>2500</v>
      </c>
      <c r="O378" s="24">
        <v>0.5</v>
      </c>
      <c r="P378" s="14">
        <v>3</v>
      </c>
      <c r="Q378" s="14">
        <v>450</v>
      </c>
      <c r="R378" s="13">
        <v>2700</v>
      </c>
      <c r="S378" s="14" t="s">
        <v>340</v>
      </c>
      <c r="T378" s="14">
        <v>2</v>
      </c>
      <c r="U378" s="14">
        <v>2.8</v>
      </c>
      <c r="V378" s="25">
        <v>727.10951526032318</v>
      </c>
      <c r="W378" s="26">
        <v>8100</v>
      </c>
      <c r="X378" s="14"/>
      <c r="Y378" s="14" t="s">
        <v>328</v>
      </c>
      <c r="Z378" s="14"/>
      <c r="AA378" s="14"/>
      <c r="AB378" s="14"/>
      <c r="AC378" s="14"/>
      <c r="AD378" s="14" t="s">
        <v>328</v>
      </c>
      <c r="AE378" s="14" t="s">
        <v>328</v>
      </c>
      <c r="AF378" s="14"/>
      <c r="AG378" s="14" t="s">
        <v>328</v>
      </c>
      <c r="AH378" s="14" t="s">
        <v>328</v>
      </c>
      <c r="AI378" s="14" t="s">
        <v>328</v>
      </c>
      <c r="AJ378" s="14"/>
      <c r="AK378" s="14" t="s">
        <v>328</v>
      </c>
      <c r="AL378" s="14" t="s">
        <v>328</v>
      </c>
      <c r="AM378" s="14" t="s">
        <v>328</v>
      </c>
      <c r="AN378" s="13">
        <v>10000</v>
      </c>
      <c r="AO378" s="13">
        <v>20000</v>
      </c>
      <c r="AP378" s="13">
        <v>10000</v>
      </c>
      <c r="AQ378" s="13">
        <v>100000</v>
      </c>
      <c r="AR378" s="13">
        <v>20000</v>
      </c>
      <c r="AS378" s="26">
        <v>120000</v>
      </c>
      <c r="AT378" s="26">
        <v>96000</v>
      </c>
      <c r="AU378" s="26">
        <v>100000</v>
      </c>
      <c r="AV378" s="26">
        <v>4000</v>
      </c>
      <c r="AW378" s="26">
        <v>8000</v>
      </c>
      <c r="AX378" s="62">
        <v>5000</v>
      </c>
      <c r="AZ378" s="14" t="s">
        <v>611</v>
      </c>
      <c r="BA378" s="249">
        <f t="shared" si="11"/>
        <v>3</v>
      </c>
      <c r="BB378" s="249">
        <v>0</v>
      </c>
      <c r="BC378" s="249">
        <f t="shared" si="10"/>
        <v>2009</v>
      </c>
    </row>
    <row r="379" spans="1:55" x14ac:dyDescent="0.25">
      <c r="A379" s="50" t="s">
        <v>1404</v>
      </c>
      <c r="B379" s="61" t="s">
        <v>606</v>
      </c>
      <c r="C379" s="14" t="s">
        <v>359</v>
      </c>
      <c r="D379" s="14">
        <v>2009</v>
      </c>
      <c r="E379" s="14" t="s">
        <v>475</v>
      </c>
      <c r="F379" s="14"/>
      <c r="G379" s="14"/>
      <c r="H379" s="14"/>
      <c r="I379" s="14"/>
      <c r="J379" s="13">
        <v>120000</v>
      </c>
      <c r="K379" s="14" t="s">
        <v>328</v>
      </c>
      <c r="L379" s="14"/>
      <c r="M379" s="14"/>
      <c r="N379" s="13">
        <v>2500</v>
      </c>
      <c r="O379" s="24">
        <v>0.5</v>
      </c>
      <c r="P379" s="14">
        <v>3</v>
      </c>
      <c r="Q379" s="14">
        <v>450</v>
      </c>
      <c r="R379" s="13">
        <v>2700</v>
      </c>
      <c r="S379" s="14" t="s">
        <v>340</v>
      </c>
      <c r="T379" s="14">
        <v>2</v>
      </c>
      <c r="U379" s="14">
        <v>2.8</v>
      </c>
      <c r="V379" s="25">
        <v>727.10951526032318</v>
      </c>
      <c r="W379" s="26">
        <v>8100</v>
      </c>
      <c r="X379" s="14"/>
      <c r="Y379" s="14" t="s">
        <v>328</v>
      </c>
      <c r="Z379" s="14"/>
      <c r="AA379" s="14"/>
      <c r="AB379" s="14"/>
      <c r="AC379" s="14"/>
      <c r="AD379" s="14" t="s">
        <v>328</v>
      </c>
      <c r="AE379" s="14" t="s">
        <v>328</v>
      </c>
      <c r="AF379" s="14"/>
      <c r="AG379" s="14" t="s">
        <v>328</v>
      </c>
      <c r="AH379" s="14" t="s">
        <v>328</v>
      </c>
      <c r="AI379" s="14" t="s">
        <v>328</v>
      </c>
      <c r="AJ379" s="14"/>
      <c r="AK379" s="14" t="s">
        <v>328</v>
      </c>
      <c r="AL379" s="14" t="s">
        <v>328</v>
      </c>
      <c r="AM379" s="14" t="s">
        <v>328</v>
      </c>
      <c r="AN379" s="13">
        <v>10000</v>
      </c>
      <c r="AO379" s="13">
        <v>20000</v>
      </c>
      <c r="AP379" s="13">
        <v>10000</v>
      </c>
      <c r="AQ379" s="13">
        <v>100000</v>
      </c>
      <c r="AR379" s="13">
        <v>20000</v>
      </c>
      <c r="AS379" s="26">
        <v>120000</v>
      </c>
      <c r="AT379" s="26">
        <v>96000</v>
      </c>
      <c r="AU379" s="26">
        <v>100000</v>
      </c>
      <c r="AV379" s="26">
        <v>4000</v>
      </c>
      <c r="AW379" s="26">
        <v>8000</v>
      </c>
      <c r="AX379" s="62">
        <v>5000</v>
      </c>
      <c r="AZ379" s="14" t="s">
        <v>611</v>
      </c>
      <c r="BA379" s="249">
        <f t="shared" si="11"/>
        <v>3</v>
      </c>
      <c r="BB379" s="249">
        <v>0</v>
      </c>
      <c r="BC379" s="249">
        <f t="shared" si="10"/>
        <v>2009</v>
      </c>
    </row>
    <row r="380" spans="1:55" x14ac:dyDescent="0.25">
      <c r="A380" s="50" t="s">
        <v>1404</v>
      </c>
      <c r="B380" s="61" t="s">
        <v>606</v>
      </c>
      <c r="C380" s="14" t="s">
        <v>359</v>
      </c>
      <c r="D380" s="14">
        <v>2010</v>
      </c>
      <c r="E380" s="14" t="s">
        <v>475</v>
      </c>
      <c r="F380" s="14"/>
      <c r="G380" s="14"/>
      <c r="H380" s="14"/>
      <c r="I380" s="14"/>
      <c r="J380" s="13">
        <v>90000</v>
      </c>
      <c r="K380" s="14" t="s">
        <v>328</v>
      </c>
      <c r="L380" s="14"/>
      <c r="M380" s="14"/>
      <c r="N380" s="13">
        <v>2500</v>
      </c>
      <c r="O380" s="24">
        <v>0.5</v>
      </c>
      <c r="P380" s="14">
        <v>3</v>
      </c>
      <c r="Q380" s="14">
        <v>450</v>
      </c>
      <c r="R380" s="13">
        <v>2700</v>
      </c>
      <c r="S380" s="14" t="s">
        <v>340</v>
      </c>
      <c r="T380" s="14">
        <v>2</v>
      </c>
      <c r="U380" s="14">
        <v>2.8</v>
      </c>
      <c r="V380" s="25">
        <v>727.10951526032318</v>
      </c>
      <c r="W380" s="26">
        <v>8100</v>
      </c>
      <c r="X380" s="14"/>
      <c r="Y380" s="14" t="s">
        <v>328</v>
      </c>
      <c r="Z380" s="14"/>
      <c r="AA380" s="14"/>
      <c r="AB380" s="14"/>
      <c r="AC380" s="14"/>
      <c r="AD380" s="14" t="s">
        <v>328</v>
      </c>
      <c r="AE380" s="14" t="s">
        <v>328</v>
      </c>
      <c r="AF380" s="14"/>
      <c r="AG380" s="14" t="s">
        <v>328</v>
      </c>
      <c r="AH380" s="14" t="s">
        <v>328</v>
      </c>
      <c r="AI380" s="14" t="s">
        <v>328</v>
      </c>
      <c r="AJ380" s="14"/>
      <c r="AK380" s="14" t="s">
        <v>328</v>
      </c>
      <c r="AL380" s="14" t="s">
        <v>328</v>
      </c>
      <c r="AM380" s="14" t="s">
        <v>328</v>
      </c>
      <c r="AN380" s="13">
        <v>10000</v>
      </c>
      <c r="AO380" s="13">
        <v>20000</v>
      </c>
      <c r="AP380" s="13">
        <v>10000</v>
      </c>
      <c r="AQ380" s="13">
        <v>100000</v>
      </c>
      <c r="AR380" s="13">
        <v>20000</v>
      </c>
      <c r="AS380" s="26">
        <v>120000</v>
      </c>
      <c r="AT380" s="26">
        <v>96000</v>
      </c>
      <c r="AU380" s="26">
        <v>100000</v>
      </c>
      <c r="AV380" s="26">
        <v>4000</v>
      </c>
      <c r="AW380" s="26">
        <v>8000</v>
      </c>
      <c r="AX380" s="62">
        <v>5000</v>
      </c>
      <c r="AZ380" s="14" t="s">
        <v>611</v>
      </c>
      <c r="BA380" s="249">
        <f t="shared" si="11"/>
        <v>3</v>
      </c>
      <c r="BB380" s="249">
        <v>0</v>
      </c>
      <c r="BC380" s="249">
        <f t="shared" si="10"/>
        <v>2010</v>
      </c>
    </row>
    <row r="381" spans="1:55" x14ac:dyDescent="0.25">
      <c r="A381" s="50" t="s">
        <v>1404</v>
      </c>
      <c r="B381" s="61" t="s">
        <v>609</v>
      </c>
      <c r="C381" s="14" t="s">
        <v>351</v>
      </c>
      <c r="D381" s="14">
        <v>2007</v>
      </c>
      <c r="E381" s="14" t="s">
        <v>338</v>
      </c>
      <c r="F381" s="14"/>
      <c r="G381" s="14"/>
      <c r="H381" s="14"/>
      <c r="I381" s="14"/>
      <c r="J381" s="13">
        <v>360000</v>
      </c>
      <c r="K381" s="14" t="s">
        <v>328</v>
      </c>
      <c r="L381" s="14"/>
      <c r="M381" s="14"/>
      <c r="N381" s="13">
        <v>5000</v>
      </c>
      <c r="O381" s="24">
        <v>0.5</v>
      </c>
      <c r="P381" s="14">
        <v>2</v>
      </c>
      <c r="Q381" s="14">
        <v>350</v>
      </c>
      <c r="R381" s="13">
        <v>1750</v>
      </c>
      <c r="S381" s="14" t="s">
        <v>340</v>
      </c>
      <c r="T381" s="14">
        <v>2.5</v>
      </c>
      <c r="U381" s="14">
        <v>3</v>
      </c>
      <c r="V381" s="25">
        <v>502.69299820466784</v>
      </c>
      <c r="W381" s="26">
        <v>5600</v>
      </c>
      <c r="X381" s="14" t="s">
        <v>328</v>
      </c>
      <c r="Y381" s="14"/>
      <c r="Z381" s="14"/>
      <c r="AA381" s="14"/>
      <c r="AB381" s="14"/>
      <c r="AC381" s="14"/>
      <c r="AD381" s="14"/>
      <c r="AE381" s="14" t="s">
        <v>328</v>
      </c>
      <c r="AF381" s="14"/>
      <c r="AG381" s="14" t="s">
        <v>328</v>
      </c>
      <c r="AH381" s="14" t="s">
        <v>328</v>
      </c>
      <c r="AI381" s="14" t="s">
        <v>328</v>
      </c>
      <c r="AJ381" s="14"/>
      <c r="AK381" s="14" t="s">
        <v>328</v>
      </c>
      <c r="AL381" s="14" t="s">
        <v>328</v>
      </c>
      <c r="AM381" s="14" t="s">
        <v>328</v>
      </c>
      <c r="AN381" s="13">
        <v>9000</v>
      </c>
      <c r="AO381" s="13">
        <v>20000</v>
      </c>
      <c r="AP381" s="13">
        <v>10000</v>
      </c>
      <c r="AQ381" s="13">
        <v>60000</v>
      </c>
      <c r="AR381" s="13">
        <v>20000</v>
      </c>
      <c r="AS381" s="26">
        <v>66000</v>
      </c>
      <c r="AT381" s="26">
        <v>54000</v>
      </c>
      <c r="AU381" s="26">
        <v>100000</v>
      </c>
      <c r="AV381" s="26">
        <v>5000</v>
      </c>
      <c r="AW381" s="26">
        <v>9000</v>
      </c>
      <c r="AX381" s="62">
        <v>0</v>
      </c>
      <c r="AZ381" s="14" t="s">
        <v>351</v>
      </c>
      <c r="BA381" s="249">
        <f t="shared" si="11"/>
        <v>4</v>
      </c>
      <c r="BB381" s="249">
        <v>0</v>
      </c>
      <c r="BC381" s="249">
        <f t="shared" si="10"/>
        <v>2007</v>
      </c>
    </row>
    <row r="382" spans="1:55" x14ac:dyDescent="0.25">
      <c r="A382" s="50" t="s">
        <v>1404</v>
      </c>
      <c r="B382" s="61" t="s">
        <v>609</v>
      </c>
      <c r="C382" s="14" t="s">
        <v>351</v>
      </c>
      <c r="D382" s="14">
        <v>2007</v>
      </c>
      <c r="E382" s="14" t="s">
        <v>338</v>
      </c>
      <c r="F382" s="14"/>
      <c r="G382" s="14"/>
      <c r="H382" s="14"/>
      <c r="I382" s="14"/>
      <c r="J382" s="13">
        <v>360000</v>
      </c>
      <c r="K382" s="14" t="s">
        <v>328</v>
      </c>
      <c r="L382" s="14"/>
      <c r="M382" s="14"/>
      <c r="N382" s="13">
        <v>5000</v>
      </c>
      <c r="O382" s="24">
        <v>0.5</v>
      </c>
      <c r="P382" s="14">
        <v>2</v>
      </c>
      <c r="Q382" s="14">
        <v>350</v>
      </c>
      <c r="R382" s="13">
        <v>1750</v>
      </c>
      <c r="S382" s="14" t="s">
        <v>340</v>
      </c>
      <c r="T382" s="14">
        <v>2.5</v>
      </c>
      <c r="U382" s="14">
        <v>3</v>
      </c>
      <c r="V382" s="25">
        <v>502.69299820466784</v>
      </c>
      <c r="W382" s="26">
        <v>5600</v>
      </c>
      <c r="X382" s="14" t="s">
        <v>328</v>
      </c>
      <c r="Y382" s="14"/>
      <c r="Z382" s="14"/>
      <c r="AA382" s="14"/>
      <c r="AB382" s="14"/>
      <c r="AC382" s="14"/>
      <c r="AD382" s="14"/>
      <c r="AE382" s="14" t="s">
        <v>328</v>
      </c>
      <c r="AF382" s="14"/>
      <c r="AG382" s="14" t="s">
        <v>328</v>
      </c>
      <c r="AH382" s="14" t="s">
        <v>328</v>
      </c>
      <c r="AI382" s="14" t="s">
        <v>328</v>
      </c>
      <c r="AJ382" s="14"/>
      <c r="AK382" s="14" t="s">
        <v>328</v>
      </c>
      <c r="AL382" s="14" t="s">
        <v>328</v>
      </c>
      <c r="AM382" s="14" t="s">
        <v>328</v>
      </c>
      <c r="AN382" s="13">
        <v>9000</v>
      </c>
      <c r="AO382" s="13">
        <v>20000</v>
      </c>
      <c r="AP382" s="13">
        <v>10000</v>
      </c>
      <c r="AQ382" s="13">
        <v>60000</v>
      </c>
      <c r="AR382" s="13">
        <v>20000</v>
      </c>
      <c r="AS382" s="26">
        <v>66000</v>
      </c>
      <c r="AT382" s="26">
        <v>54000</v>
      </c>
      <c r="AU382" s="26">
        <v>100000</v>
      </c>
      <c r="AV382" s="26">
        <v>5000</v>
      </c>
      <c r="AW382" s="26">
        <v>9000</v>
      </c>
      <c r="AX382" s="62">
        <v>0</v>
      </c>
      <c r="AZ382" s="14" t="s">
        <v>351</v>
      </c>
      <c r="BA382" s="249">
        <f t="shared" si="11"/>
        <v>4</v>
      </c>
      <c r="BB382" s="249">
        <v>0</v>
      </c>
      <c r="BC382" s="249">
        <f t="shared" si="10"/>
        <v>2007</v>
      </c>
    </row>
    <row r="383" spans="1:55" x14ac:dyDescent="0.25">
      <c r="A383" s="50" t="s">
        <v>1404</v>
      </c>
      <c r="B383" s="61" t="s">
        <v>609</v>
      </c>
      <c r="C383" s="14" t="s">
        <v>351</v>
      </c>
      <c r="D383" s="14">
        <v>2008</v>
      </c>
      <c r="E383" s="14" t="s">
        <v>338</v>
      </c>
      <c r="F383" s="14"/>
      <c r="G383" s="14"/>
      <c r="H383" s="14"/>
      <c r="I383" s="14"/>
      <c r="J383" s="13">
        <v>300000</v>
      </c>
      <c r="K383" s="14" t="s">
        <v>328</v>
      </c>
      <c r="L383" s="14"/>
      <c r="M383" s="14"/>
      <c r="N383" s="13">
        <v>5000</v>
      </c>
      <c r="O383" s="24">
        <v>0.5</v>
      </c>
      <c r="P383" s="14">
        <v>2</v>
      </c>
      <c r="Q383" s="14">
        <v>350</v>
      </c>
      <c r="R383" s="13">
        <v>1750</v>
      </c>
      <c r="S383" s="14" t="s">
        <v>340</v>
      </c>
      <c r="T383" s="14">
        <v>2.5</v>
      </c>
      <c r="U383" s="14">
        <v>3</v>
      </c>
      <c r="V383" s="25">
        <v>502.69299820466784</v>
      </c>
      <c r="W383" s="26">
        <v>5600</v>
      </c>
      <c r="X383" s="14"/>
      <c r="Y383" s="14" t="s">
        <v>328</v>
      </c>
      <c r="Z383" s="14"/>
      <c r="AA383" s="14"/>
      <c r="AB383" s="14"/>
      <c r="AC383" s="14"/>
      <c r="AD383" s="14"/>
      <c r="AE383" s="14" t="s">
        <v>328</v>
      </c>
      <c r="AF383" s="14"/>
      <c r="AG383" s="14" t="s">
        <v>328</v>
      </c>
      <c r="AH383" s="14" t="s">
        <v>328</v>
      </c>
      <c r="AI383" s="14" t="s">
        <v>328</v>
      </c>
      <c r="AJ383" s="14"/>
      <c r="AK383" s="14" t="s">
        <v>328</v>
      </c>
      <c r="AL383" s="14" t="s">
        <v>328</v>
      </c>
      <c r="AM383" s="14" t="s">
        <v>328</v>
      </c>
      <c r="AN383" s="13">
        <v>9000</v>
      </c>
      <c r="AO383" s="13">
        <v>20000</v>
      </c>
      <c r="AP383" s="13">
        <v>10000</v>
      </c>
      <c r="AQ383" s="13">
        <v>60000</v>
      </c>
      <c r="AR383" s="13">
        <v>20000</v>
      </c>
      <c r="AS383" s="26">
        <v>66000</v>
      </c>
      <c r="AT383" s="26">
        <v>54000</v>
      </c>
      <c r="AU383" s="26">
        <v>100000</v>
      </c>
      <c r="AV383" s="26">
        <v>5000</v>
      </c>
      <c r="AW383" s="26">
        <v>9000</v>
      </c>
      <c r="AX383" s="62">
        <v>0</v>
      </c>
      <c r="AZ383" s="14" t="s">
        <v>351</v>
      </c>
      <c r="BA383" s="249">
        <f t="shared" si="11"/>
        <v>4</v>
      </c>
      <c r="BB383" s="249">
        <v>0</v>
      </c>
      <c r="BC383" s="249">
        <f t="shared" si="10"/>
        <v>2008</v>
      </c>
    </row>
    <row r="384" spans="1:55" x14ac:dyDescent="0.25">
      <c r="A384" s="50" t="s">
        <v>1404</v>
      </c>
      <c r="B384" s="61" t="s">
        <v>609</v>
      </c>
      <c r="C384" s="14" t="s">
        <v>351</v>
      </c>
      <c r="D384" s="14">
        <v>2008</v>
      </c>
      <c r="E384" s="14" t="s">
        <v>338</v>
      </c>
      <c r="F384" s="14"/>
      <c r="G384" s="14"/>
      <c r="H384" s="14"/>
      <c r="I384" s="14"/>
      <c r="J384" s="13">
        <v>300000</v>
      </c>
      <c r="K384" s="14" t="s">
        <v>328</v>
      </c>
      <c r="L384" s="14"/>
      <c r="M384" s="14"/>
      <c r="N384" s="13">
        <v>5000</v>
      </c>
      <c r="O384" s="24">
        <v>0.5</v>
      </c>
      <c r="P384" s="14">
        <v>2</v>
      </c>
      <c r="Q384" s="14">
        <v>350</v>
      </c>
      <c r="R384" s="13">
        <v>1750</v>
      </c>
      <c r="S384" s="14" t="s">
        <v>340</v>
      </c>
      <c r="T384" s="14">
        <v>2.5</v>
      </c>
      <c r="U384" s="14">
        <v>3</v>
      </c>
      <c r="V384" s="25">
        <v>502.69299820466784</v>
      </c>
      <c r="W384" s="26">
        <v>5600</v>
      </c>
      <c r="X384" s="14"/>
      <c r="Y384" s="14" t="s">
        <v>328</v>
      </c>
      <c r="Z384" s="14"/>
      <c r="AA384" s="14"/>
      <c r="AB384" s="14"/>
      <c r="AC384" s="14"/>
      <c r="AD384" s="14"/>
      <c r="AE384" s="14" t="s">
        <v>328</v>
      </c>
      <c r="AF384" s="14"/>
      <c r="AG384" s="14" t="s">
        <v>328</v>
      </c>
      <c r="AH384" s="14" t="s">
        <v>328</v>
      </c>
      <c r="AI384" s="14" t="s">
        <v>328</v>
      </c>
      <c r="AJ384" s="14"/>
      <c r="AK384" s="14" t="s">
        <v>328</v>
      </c>
      <c r="AL384" s="14" t="s">
        <v>328</v>
      </c>
      <c r="AM384" s="14" t="s">
        <v>328</v>
      </c>
      <c r="AN384" s="13">
        <v>9000</v>
      </c>
      <c r="AO384" s="13">
        <v>20000</v>
      </c>
      <c r="AP384" s="13">
        <v>10000</v>
      </c>
      <c r="AQ384" s="13">
        <v>60000</v>
      </c>
      <c r="AR384" s="13">
        <v>20000</v>
      </c>
      <c r="AS384" s="26">
        <v>66000</v>
      </c>
      <c r="AT384" s="26">
        <v>54000</v>
      </c>
      <c r="AU384" s="26">
        <v>100000</v>
      </c>
      <c r="AV384" s="26">
        <v>5000</v>
      </c>
      <c r="AW384" s="26">
        <v>9000</v>
      </c>
      <c r="AX384" s="62">
        <v>0</v>
      </c>
      <c r="AZ384" s="14" t="s">
        <v>351</v>
      </c>
      <c r="BA384" s="249">
        <f t="shared" si="11"/>
        <v>4</v>
      </c>
      <c r="BB384" s="249">
        <v>0</v>
      </c>
      <c r="BC384" s="249">
        <f t="shared" si="10"/>
        <v>2008</v>
      </c>
    </row>
    <row r="385" spans="1:55" x14ac:dyDescent="0.25">
      <c r="A385" s="50" t="s">
        <v>1404</v>
      </c>
      <c r="B385" s="63" t="s">
        <v>614</v>
      </c>
      <c r="C385" s="14" t="s">
        <v>359</v>
      </c>
      <c r="D385" s="15">
        <v>2013</v>
      </c>
      <c r="E385" s="14" t="s">
        <v>456</v>
      </c>
      <c r="F385" s="15"/>
      <c r="G385" s="15"/>
      <c r="H385" s="15"/>
      <c r="I385" s="15"/>
      <c r="J385" s="16">
        <v>60000</v>
      </c>
      <c r="K385" s="15" t="s">
        <v>328</v>
      </c>
      <c r="L385" s="15"/>
      <c r="M385" s="15"/>
      <c r="N385" s="16">
        <v>5000</v>
      </c>
      <c r="O385" s="24">
        <v>0.5</v>
      </c>
      <c r="P385" s="15">
        <v>3</v>
      </c>
      <c r="Q385" s="15">
        <v>550</v>
      </c>
      <c r="R385" s="13">
        <v>4620</v>
      </c>
      <c r="S385" s="14" t="s">
        <v>340</v>
      </c>
      <c r="T385" s="15">
        <v>2.8</v>
      </c>
      <c r="U385" s="15">
        <v>3</v>
      </c>
      <c r="V385" s="25">
        <v>807.89946140035897</v>
      </c>
      <c r="W385" s="22">
        <v>9000</v>
      </c>
      <c r="X385" s="15"/>
      <c r="Y385" s="15"/>
      <c r="Z385" s="15"/>
      <c r="AA385" s="15"/>
      <c r="AB385" s="15"/>
      <c r="AC385" s="15" t="s">
        <v>328</v>
      </c>
      <c r="AD385" s="15" t="s">
        <v>328</v>
      </c>
      <c r="AE385" s="15" t="s">
        <v>328</v>
      </c>
      <c r="AF385" s="15" t="s">
        <v>328</v>
      </c>
      <c r="AG385" s="15" t="s">
        <v>328</v>
      </c>
      <c r="AH385" s="15" t="s">
        <v>328</v>
      </c>
      <c r="AI385" s="15" t="s">
        <v>328</v>
      </c>
      <c r="AJ385" s="15" t="s">
        <v>328</v>
      </c>
      <c r="AK385" s="15" t="s">
        <v>328</v>
      </c>
      <c r="AL385" s="15" t="s">
        <v>328</v>
      </c>
      <c r="AM385" s="15" t="s">
        <v>328</v>
      </c>
      <c r="AN385" s="16">
        <v>8000</v>
      </c>
      <c r="AO385" s="16">
        <v>12000</v>
      </c>
      <c r="AP385" s="16">
        <v>60000</v>
      </c>
      <c r="AQ385" s="16">
        <v>120000</v>
      </c>
      <c r="AR385" s="16">
        <v>12000</v>
      </c>
      <c r="AS385" s="22">
        <v>144000</v>
      </c>
      <c r="AT385" s="22">
        <v>120000</v>
      </c>
      <c r="AU385" s="22">
        <v>180000</v>
      </c>
      <c r="AV385" s="22">
        <v>19000</v>
      </c>
      <c r="AW385" s="22">
        <v>9000</v>
      </c>
      <c r="AX385" s="66">
        <v>0</v>
      </c>
      <c r="AZ385" s="15" t="s">
        <v>628</v>
      </c>
      <c r="BA385" s="249">
        <f t="shared" si="11"/>
        <v>4</v>
      </c>
      <c r="BB385" s="249">
        <v>0</v>
      </c>
      <c r="BC385" s="249">
        <f t="shared" si="10"/>
        <v>2013</v>
      </c>
    </row>
    <row r="386" spans="1:55" x14ac:dyDescent="0.25">
      <c r="A386" s="50" t="s">
        <v>1404</v>
      </c>
      <c r="B386" s="63" t="s">
        <v>614</v>
      </c>
      <c r="C386" s="14" t="s">
        <v>359</v>
      </c>
      <c r="D386" s="15">
        <v>2013</v>
      </c>
      <c r="E386" s="14" t="s">
        <v>456</v>
      </c>
      <c r="F386" s="15"/>
      <c r="G386" s="15"/>
      <c r="H386" s="15"/>
      <c r="I386" s="15"/>
      <c r="J386" s="16">
        <v>60000</v>
      </c>
      <c r="K386" s="15" t="s">
        <v>328</v>
      </c>
      <c r="L386" s="15"/>
      <c r="M386" s="15"/>
      <c r="N386" s="16">
        <v>5000</v>
      </c>
      <c r="O386" s="24">
        <v>0.5</v>
      </c>
      <c r="P386" s="15">
        <v>3</v>
      </c>
      <c r="Q386" s="15">
        <v>550</v>
      </c>
      <c r="R386" s="13">
        <v>4620</v>
      </c>
      <c r="S386" s="14" t="s">
        <v>340</v>
      </c>
      <c r="T386" s="15">
        <v>2.8</v>
      </c>
      <c r="U386" s="15">
        <v>3</v>
      </c>
      <c r="V386" s="25">
        <v>807.89946140035897</v>
      </c>
      <c r="W386" s="22">
        <v>9000</v>
      </c>
      <c r="X386" s="15"/>
      <c r="Y386" s="15"/>
      <c r="Z386" s="15"/>
      <c r="AA386" s="15"/>
      <c r="AB386" s="15"/>
      <c r="AC386" s="15" t="s">
        <v>328</v>
      </c>
      <c r="AD386" s="15" t="s">
        <v>328</v>
      </c>
      <c r="AE386" s="15" t="s">
        <v>328</v>
      </c>
      <c r="AF386" s="15" t="s">
        <v>328</v>
      </c>
      <c r="AG386" s="15" t="s">
        <v>328</v>
      </c>
      <c r="AH386" s="15" t="s">
        <v>328</v>
      </c>
      <c r="AI386" s="15" t="s">
        <v>328</v>
      </c>
      <c r="AJ386" s="15" t="s">
        <v>328</v>
      </c>
      <c r="AK386" s="15" t="s">
        <v>328</v>
      </c>
      <c r="AL386" s="15" t="s">
        <v>328</v>
      </c>
      <c r="AM386" s="15" t="s">
        <v>328</v>
      </c>
      <c r="AN386" s="16">
        <v>8000</v>
      </c>
      <c r="AO386" s="16">
        <v>12000</v>
      </c>
      <c r="AP386" s="16">
        <v>60000</v>
      </c>
      <c r="AQ386" s="16">
        <v>120000</v>
      </c>
      <c r="AR386" s="16">
        <v>12000</v>
      </c>
      <c r="AS386" s="22">
        <v>144000</v>
      </c>
      <c r="AT386" s="22">
        <v>120000</v>
      </c>
      <c r="AU386" s="22">
        <v>180000</v>
      </c>
      <c r="AV386" s="22">
        <v>19000</v>
      </c>
      <c r="AW386" s="22">
        <v>9000</v>
      </c>
      <c r="AX386" s="66">
        <v>0</v>
      </c>
      <c r="AZ386" s="15" t="s">
        <v>628</v>
      </c>
      <c r="BA386" s="249">
        <f t="shared" si="11"/>
        <v>4</v>
      </c>
      <c r="BB386" s="249">
        <v>0</v>
      </c>
      <c r="BC386" s="249">
        <f t="shared" si="10"/>
        <v>2013</v>
      </c>
    </row>
    <row r="387" spans="1:55" x14ac:dyDescent="0.25">
      <c r="A387" s="50" t="s">
        <v>1404</v>
      </c>
      <c r="B387" s="63" t="s">
        <v>614</v>
      </c>
      <c r="C387" s="14" t="s">
        <v>351</v>
      </c>
      <c r="D387" s="15">
        <v>2000</v>
      </c>
      <c r="E387" s="15"/>
      <c r="F387" s="15">
        <v>2010</v>
      </c>
      <c r="G387" s="14" t="s">
        <v>349</v>
      </c>
      <c r="H387" s="15"/>
      <c r="I387" s="15"/>
      <c r="J387" s="16">
        <v>312000</v>
      </c>
      <c r="K387" s="15"/>
      <c r="L387" s="15" t="s">
        <v>328</v>
      </c>
      <c r="M387" s="15"/>
      <c r="N387" s="16">
        <v>2000</v>
      </c>
      <c r="O387" s="24">
        <v>0.5</v>
      </c>
      <c r="P387" s="15">
        <v>2</v>
      </c>
      <c r="Q387" s="15">
        <v>450</v>
      </c>
      <c r="R387" s="13">
        <v>2700</v>
      </c>
      <c r="S387" s="14" t="s">
        <v>340</v>
      </c>
      <c r="T387" s="15">
        <v>3</v>
      </c>
      <c r="U387" s="15">
        <v>3.5</v>
      </c>
      <c r="V387" s="25">
        <v>403.94973070017949</v>
      </c>
      <c r="W387" s="22">
        <v>4500</v>
      </c>
      <c r="X387" s="15" t="s">
        <v>328</v>
      </c>
      <c r="Y387" s="15"/>
      <c r="Z387" s="15"/>
      <c r="AA387" s="15"/>
      <c r="AB387" s="15"/>
      <c r="AC387" s="15"/>
      <c r="AD387" s="15"/>
      <c r="AE387" s="15" t="s">
        <v>328</v>
      </c>
      <c r="AF387" s="15"/>
      <c r="AG387" s="15" t="s">
        <v>328</v>
      </c>
      <c r="AH387" s="15" t="s">
        <v>328</v>
      </c>
      <c r="AI387" s="15" t="s">
        <v>328</v>
      </c>
      <c r="AJ387" s="15"/>
      <c r="AK387" s="15" t="s">
        <v>328</v>
      </c>
      <c r="AL387" s="15" t="s">
        <v>328</v>
      </c>
      <c r="AM387" s="15"/>
      <c r="AN387" s="16">
        <v>10000</v>
      </c>
      <c r="AO387" s="16">
        <v>15000</v>
      </c>
      <c r="AP387" s="16">
        <v>60000</v>
      </c>
      <c r="AQ387" s="16">
        <v>36000</v>
      </c>
      <c r="AR387" s="16">
        <v>15000</v>
      </c>
      <c r="AS387" s="22">
        <v>96000</v>
      </c>
      <c r="AT387" s="22">
        <v>72000</v>
      </c>
      <c r="AU387" s="22">
        <v>100000</v>
      </c>
      <c r="AV387" s="22">
        <v>10000</v>
      </c>
      <c r="AW387" s="22">
        <v>7000</v>
      </c>
      <c r="AX387" s="66">
        <v>0</v>
      </c>
      <c r="AZ387" s="15" t="s">
        <v>351</v>
      </c>
      <c r="BA387" s="249">
        <f t="shared" si="11"/>
        <v>4</v>
      </c>
      <c r="BB387" s="249">
        <v>0</v>
      </c>
      <c r="BC387" s="249">
        <f t="shared" si="10"/>
        <v>2010</v>
      </c>
    </row>
    <row r="388" spans="1:55" x14ac:dyDescent="0.25">
      <c r="A388" s="50" t="s">
        <v>1404</v>
      </c>
      <c r="B388" s="63" t="s">
        <v>614</v>
      </c>
      <c r="C388" s="14" t="s">
        <v>351</v>
      </c>
      <c r="D388" s="15">
        <v>2000</v>
      </c>
      <c r="E388" s="15"/>
      <c r="F388" s="15">
        <v>2010</v>
      </c>
      <c r="G388" s="14" t="s">
        <v>349</v>
      </c>
      <c r="H388" s="15"/>
      <c r="I388" s="15"/>
      <c r="J388" s="16">
        <v>312000</v>
      </c>
      <c r="K388" s="15"/>
      <c r="L388" s="15" t="s">
        <v>328</v>
      </c>
      <c r="M388" s="15"/>
      <c r="N388" s="16">
        <v>2000</v>
      </c>
      <c r="O388" s="24">
        <v>0.5</v>
      </c>
      <c r="P388" s="15">
        <v>2</v>
      </c>
      <c r="Q388" s="15">
        <v>450</v>
      </c>
      <c r="R388" s="13">
        <v>2700</v>
      </c>
      <c r="S388" s="14" t="s">
        <v>340</v>
      </c>
      <c r="T388" s="15">
        <v>3</v>
      </c>
      <c r="U388" s="15">
        <v>3.5</v>
      </c>
      <c r="V388" s="25">
        <v>403.94973070017949</v>
      </c>
      <c r="W388" s="22">
        <v>4500</v>
      </c>
      <c r="X388" s="15" t="s">
        <v>328</v>
      </c>
      <c r="Y388" s="15"/>
      <c r="Z388" s="15"/>
      <c r="AA388" s="15"/>
      <c r="AB388" s="15"/>
      <c r="AC388" s="15"/>
      <c r="AD388" s="15"/>
      <c r="AE388" s="15" t="s">
        <v>328</v>
      </c>
      <c r="AF388" s="15"/>
      <c r="AG388" s="15" t="s">
        <v>328</v>
      </c>
      <c r="AH388" s="15" t="s">
        <v>328</v>
      </c>
      <c r="AI388" s="15" t="s">
        <v>328</v>
      </c>
      <c r="AJ388" s="15"/>
      <c r="AK388" s="15" t="s">
        <v>328</v>
      </c>
      <c r="AL388" s="15" t="s">
        <v>328</v>
      </c>
      <c r="AM388" s="15"/>
      <c r="AN388" s="16">
        <v>10000</v>
      </c>
      <c r="AO388" s="16">
        <v>15000</v>
      </c>
      <c r="AP388" s="16">
        <v>60000</v>
      </c>
      <c r="AQ388" s="16">
        <v>36000</v>
      </c>
      <c r="AR388" s="16">
        <v>15000</v>
      </c>
      <c r="AS388" s="22">
        <v>96000</v>
      </c>
      <c r="AT388" s="22">
        <v>72000</v>
      </c>
      <c r="AU388" s="22">
        <v>100000</v>
      </c>
      <c r="AV388" s="22">
        <v>10000</v>
      </c>
      <c r="AW388" s="22">
        <v>7000</v>
      </c>
      <c r="AX388" s="66">
        <v>0</v>
      </c>
      <c r="AZ388" s="15" t="s">
        <v>351</v>
      </c>
      <c r="BA388" s="249">
        <f t="shared" si="11"/>
        <v>4</v>
      </c>
      <c r="BB388" s="249">
        <v>0</v>
      </c>
      <c r="BC388" s="249">
        <f t="shared" si="10"/>
        <v>2010</v>
      </c>
    </row>
    <row r="389" spans="1:55" x14ac:dyDescent="0.25">
      <c r="A389" s="50" t="s">
        <v>1404</v>
      </c>
      <c r="B389" s="65" t="s">
        <v>615</v>
      </c>
      <c r="C389" s="15" t="s">
        <v>337</v>
      </c>
      <c r="D389" s="15">
        <v>2013</v>
      </c>
      <c r="E389" s="14" t="s">
        <v>338</v>
      </c>
      <c r="F389" s="15"/>
      <c r="G389" s="15"/>
      <c r="H389" s="15"/>
      <c r="I389" s="15"/>
      <c r="J389" s="16">
        <v>40000</v>
      </c>
      <c r="K389" s="15" t="s">
        <v>328</v>
      </c>
      <c r="L389" s="15"/>
      <c r="M389" s="15"/>
      <c r="N389" s="16">
        <v>3300</v>
      </c>
      <c r="O389" s="21">
        <v>0.1</v>
      </c>
      <c r="P389" s="15">
        <v>3</v>
      </c>
      <c r="Q389" s="15">
        <v>550</v>
      </c>
      <c r="R389" s="13">
        <v>4125</v>
      </c>
      <c r="S389" s="14" t="s">
        <v>340</v>
      </c>
      <c r="T389" s="15">
        <v>2.5</v>
      </c>
      <c r="U389" s="15">
        <v>3</v>
      </c>
      <c r="V389" s="25">
        <v>888.68940754039488</v>
      </c>
      <c r="W389" s="22">
        <v>9900</v>
      </c>
      <c r="X389" s="15"/>
      <c r="Y389" s="15" t="s">
        <v>328</v>
      </c>
      <c r="Z389" s="15"/>
      <c r="AA389" s="15"/>
      <c r="AB389" s="15"/>
      <c r="AC389" s="15"/>
      <c r="AD389" s="15" t="s">
        <v>328</v>
      </c>
      <c r="AE389" s="15" t="s">
        <v>328</v>
      </c>
      <c r="AF389" s="15" t="s">
        <v>328</v>
      </c>
      <c r="AG389" s="15" t="s">
        <v>328</v>
      </c>
      <c r="AH389" s="15" t="s">
        <v>328</v>
      </c>
      <c r="AI389" s="15" t="s">
        <v>328</v>
      </c>
      <c r="AJ389" s="15"/>
      <c r="AK389" s="15" t="s">
        <v>328</v>
      </c>
      <c r="AL389" s="15" t="s">
        <v>328</v>
      </c>
      <c r="AM389" s="15"/>
      <c r="AN389" s="16">
        <v>10000</v>
      </c>
      <c r="AO389" s="16">
        <v>12000</v>
      </c>
      <c r="AP389" s="16">
        <v>52000</v>
      </c>
      <c r="AQ389" s="16">
        <v>79200</v>
      </c>
      <c r="AR389" s="16">
        <v>12000</v>
      </c>
      <c r="AS389" s="22">
        <v>180000</v>
      </c>
      <c r="AT389" s="22">
        <v>144000</v>
      </c>
      <c r="AU389" s="22">
        <v>110000</v>
      </c>
      <c r="AV389" s="22">
        <v>18000</v>
      </c>
      <c r="AW389" s="22">
        <v>10000</v>
      </c>
      <c r="AX389" s="66">
        <v>5000</v>
      </c>
      <c r="AZ389" s="15" t="s">
        <v>561</v>
      </c>
      <c r="BA389" s="249">
        <f t="shared" si="11"/>
        <v>1</v>
      </c>
      <c r="BB389" s="249">
        <v>0</v>
      </c>
      <c r="BC389" s="249">
        <f t="shared" si="10"/>
        <v>2013</v>
      </c>
    </row>
    <row r="390" spans="1:55" x14ac:dyDescent="0.25">
      <c r="A390" s="50" t="s">
        <v>1404</v>
      </c>
      <c r="B390" s="63" t="s">
        <v>617</v>
      </c>
      <c r="C390" s="14" t="s">
        <v>359</v>
      </c>
      <c r="D390" s="15">
        <v>2010</v>
      </c>
      <c r="E390" s="14" t="s">
        <v>338</v>
      </c>
      <c r="F390" s="15"/>
      <c r="G390" s="15"/>
      <c r="H390" s="15"/>
      <c r="I390" s="15"/>
      <c r="J390" s="16">
        <v>216000</v>
      </c>
      <c r="K390" s="15" t="s">
        <v>328</v>
      </c>
      <c r="L390" s="15"/>
      <c r="M390" s="15"/>
      <c r="N390" s="16">
        <v>6000</v>
      </c>
      <c r="O390" s="21">
        <v>0.2</v>
      </c>
      <c r="P390" s="15">
        <v>3</v>
      </c>
      <c r="Q390" s="15">
        <v>950</v>
      </c>
      <c r="R390" s="13">
        <v>7979.9999999999991</v>
      </c>
      <c r="S390" s="14" t="s">
        <v>340</v>
      </c>
      <c r="T390" s="15">
        <v>2.8</v>
      </c>
      <c r="U390" s="15">
        <v>3.2</v>
      </c>
      <c r="V390" s="25">
        <v>897.66606822262111</v>
      </c>
      <c r="W390" s="22">
        <v>10000</v>
      </c>
      <c r="X390" s="15"/>
      <c r="Y390" s="15" t="s">
        <v>328</v>
      </c>
      <c r="Z390" s="15"/>
      <c r="AA390" s="15"/>
      <c r="AB390" s="15"/>
      <c r="AC390" s="15"/>
      <c r="AD390" s="15" t="s">
        <v>328</v>
      </c>
      <c r="AE390" s="15" t="s">
        <v>328</v>
      </c>
      <c r="AF390" s="15"/>
      <c r="AG390" s="15" t="s">
        <v>328</v>
      </c>
      <c r="AH390" s="15" t="s">
        <v>328</v>
      </c>
      <c r="AI390" s="15" t="s">
        <v>328</v>
      </c>
      <c r="AJ390" s="15"/>
      <c r="AK390" s="15" t="s">
        <v>328</v>
      </c>
      <c r="AL390" s="15" t="s">
        <v>328</v>
      </c>
      <c r="AM390" s="15"/>
      <c r="AN390" s="16">
        <v>15000</v>
      </c>
      <c r="AO390" s="16">
        <v>10000</v>
      </c>
      <c r="AP390" s="16">
        <v>20000</v>
      </c>
      <c r="AQ390" s="16">
        <v>72000</v>
      </c>
      <c r="AR390" s="16">
        <v>10000</v>
      </c>
      <c r="AS390" s="22">
        <v>144000</v>
      </c>
      <c r="AT390" s="22">
        <v>120000</v>
      </c>
      <c r="AU390" s="22">
        <v>140000</v>
      </c>
      <c r="AV390" s="22">
        <v>17000</v>
      </c>
      <c r="AW390" s="22">
        <v>12000</v>
      </c>
      <c r="AX390" s="66">
        <v>0</v>
      </c>
      <c r="AZ390" s="15" t="s">
        <v>629</v>
      </c>
      <c r="BA390" s="249">
        <f t="shared" si="11"/>
        <v>2</v>
      </c>
      <c r="BB390" s="249">
        <v>0</v>
      </c>
      <c r="BC390" s="249">
        <f t="shared" si="10"/>
        <v>2010</v>
      </c>
    </row>
    <row r="391" spans="1:55" x14ac:dyDescent="0.25">
      <c r="A391" s="50" t="s">
        <v>1404</v>
      </c>
      <c r="B391" s="63" t="s">
        <v>617</v>
      </c>
      <c r="C391" s="14" t="s">
        <v>359</v>
      </c>
      <c r="D391" s="15">
        <v>2010</v>
      </c>
      <c r="E391" s="14" t="s">
        <v>338</v>
      </c>
      <c r="F391" s="15"/>
      <c r="G391" s="15"/>
      <c r="H391" s="15"/>
      <c r="I391" s="15"/>
      <c r="J391" s="16">
        <v>216000</v>
      </c>
      <c r="K391" s="15" t="s">
        <v>328</v>
      </c>
      <c r="L391" s="15"/>
      <c r="M391" s="15"/>
      <c r="N391" s="16">
        <v>6000</v>
      </c>
      <c r="O391" s="21">
        <v>0.2</v>
      </c>
      <c r="P391" s="15">
        <v>3</v>
      </c>
      <c r="Q391" s="15">
        <v>950</v>
      </c>
      <c r="R391" s="13">
        <v>7979.9999999999991</v>
      </c>
      <c r="S391" s="14" t="s">
        <v>340</v>
      </c>
      <c r="T391" s="15">
        <v>2.8</v>
      </c>
      <c r="U391" s="15">
        <v>3.2</v>
      </c>
      <c r="V391" s="25">
        <v>897.66606822262111</v>
      </c>
      <c r="W391" s="22">
        <v>10000</v>
      </c>
      <c r="X391" s="15"/>
      <c r="Y391" s="15" t="s">
        <v>328</v>
      </c>
      <c r="Z391" s="15"/>
      <c r="AA391" s="15"/>
      <c r="AB391" s="15"/>
      <c r="AC391" s="15"/>
      <c r="AD391" s="15" t="s">
        <v>328</v>
      </c>
      <c r="AE391" s="15" t="s">
        <v>328</v>
      </c>
      <c r="AF391" s="15"/>
      <c r="AG391" s="15" t="s">
        <v>328</v>
      </c>
      <c r="AH391" s="15" t="s">
        <v>328</v>
      </c>
      <c r="AI391" s="15" t="s">
        <v>328</v>
      </c>
      <c r="AJ391" s="15"/>
      <c r="AK391" s="15" t="s">
        <v>328</v>
      </c>
      <c r="AL391" s="15" t="s">
        <v>328</v>
      </c>
      <c r="AM391" s="15"/>
      <c r="AN391" s="16">
        <v>15000</v>
      </c>
      <c r="AO391" s="16">
        <v>10000</v>
      </c>
      <c r="AP391" s="16">
        <v>20000</v>
      </c>
      <c r="AQ391" s="16">
        <v>72000</v>
      </c>
      <c r="AR391" s="16">
        <v>10000</v>
      </c>
      <c r="AS391" s="22">
        <v>144000</v>
      </c>
      <c r="AT391" s="22">
        <v>120000</v>
      </c>
      <c r="AU391" s="22">
        <v>140000</v>
      </c>
      <c r="AV391" s="22">
        <v>17000</v>
      </c>
      <c r="AW391" s="22">
        <v>12000</v>
      </c>
      <c r="AX391" s="66">
        <v>0</v>
      </c>
      <c r="AZ391" s="15" t="s">
        <v>629</v>
      </c>
      <c r="BA391" s="249">
        <f t="shared" si="11"/>
        <v>2</v>
      </c>
      <c r="BB391" s="249">
        <v>0</v>
      </c>
      <c r="BC391" s="249">
        <f t="shared" si="10"/>
        <v>2010</v>
      </c>
    </row>
    <row r="392" spans="1:55" x14ac:dyDescent="0.25">
      <c r="A392" s="50" t="s">
        <v>1404</v>
      </c>
      <c r="B392" s="63" t="s">
        <v>622</v>
      </c>
      <c r="C392" s="14" t="s">
        <v>359</v>
      </c>
      <c r="D392" s="15">
        <v>2010</v>
      </c>
      <c r="E392" s="14" t="s">
        <v>349</v>
      </c>
      <c r="F392" s="15"/>
      <c r="G392" s="15"/>
      <c r="H392" s="15"/>
      <c r="I392" s="15"/>
      <c r="J392" s="16">
        <v>198000</v>
      </c>
      <c r="K392" s="15"/>
      <c r="L392" s="15" t="s">
        <v>328</v>
      </c>
      <c r="M392" s="15"/>
      <c r="N392" s="16">
        <v>5500</v>
      </c>
      <c r="O392" s="21">
        <v>0.5</v>
      </c>
      <c r="P392" s="15">
        <v>3</v>
      </c>
      <c r="Q392" s="15">
        <v>500</v>
      </c>
      <c r="R392" s="13">
        <v>3300.0000000000005</v>
      </c>
      <c r="S392" s="14" t="s">
        <v>340</v>
      </c>
      <c r="T392" s="15">
        <v>2.2000000000000002</v>
      </c>
      <c r="U392" s="15">
        <v>3</v>
      </c>
      <c r="V392" s="25">
        <v>1077.1992818671454</v>
      </c>
      <c r="W392" s="22">
        <v>12000</v>
      </c>
      <c r="X392" s="15"/>
      <c r="Y392" s="15" t="s">
        <v>328</v>
      </c>
      <c r="Z392" s="15"/>
      <c r="AA392" s="15"/>
      <c r="AB392" s="15"/>
      <c r="AC392" s="15"/>
      <c r="AD392" s="15" t="s">
        <v>328</v>
      </c>
      <c r="AE392" s="15" t="s">
        <v>328</v>
      </c>
      <c r="AF392" s="15"/>
      <c r="AG392" s="15" t="s">
        <v>328</v>
      </c>
      <c r="AH392" s="15" t="s">
        <v>328</v>
      </c>
      <c r="AI392" s="15" t="s">
        <v>328</v>
      </c>
      <c r="AJ392" s="15"/>
      <c r="AK392" s="15" t="s">
        <v>328</v>
      </c>
      <c r="AL392" s="15" t="s">
        <v>328</v>
      </c>
      <c r="AM392" s="15"/>
      <c r="AN392" s="16">
        <v>12000</v>
      </c>
      <c r="AO392" s="16">
        <v>10000</v>
      </c>
      <c r="AP392" s="16">
        <v>60000</v>
      </c>
      <c r="AQ392" s="16">
        <v>132000</v>
      </c>
      <c r="AR392" s="16">
        <v>12000</v>
      </c>
      <c r="AS392" s="22">
        <v>144000</v>
      </c>
      <c r="AT392" s="22">
        <v>120000</v>
      </c>
      <c r="AU392" s="22">
        <v>9000</v>
      </c>
      <c r="AV392" s="22">
        <v>12000</v>
      </c>
      <c r="AW392" s="22">
        <v>7000</v>
      </c>
      <c r="AX392" s="66">
        <v>12000</v>
      </c>
      <c r="AZ392" s="15" t="s">
        <v>628</v>
      </c>
      <c r="BA392" s="249">
        <f t="shared" si="11"/>
        <v>5</v>
      </c>
      <c r="BB392" s="249">
        <v>0</v>
      </c>
      <c r="BC392" s="249">
        <f t="shared" ref="BC392:BC455" si="12">IF(H392&gt;D392,(IF(H392&gt;F392,H392,(IF(F392&gt;D392,F392,D392)))),(IF(F392&gt;D392,F392,D392)))</f>
        <v>2010</v>
      </c>
    </row>
    <row r="393" spans="1:55" x14ac:dyDescent="0.25">
      <c r="A393" s="50" t="s">
        <v>1404</v>
      </c>
      <c r="B393" s="63" t="s">
        <v>622</v>
      </c>
      <c r="C393" s="14" t="s">
        <v>359</v>
      </c>
      <c r="D393" s="15">
        <v>2010</v>
      </c>
      <c r="E393" s="14" t="s">
        <v>349</v>
      </c>
      <c r="F393" s="15"/>
      <c r="G393" s="15"/>
      <c r="H393" s="15"/>
      <c r="I393" s="15"/>
      <c r="J393" s="16">
        <v>198000</v>
      </c>
      <c r="K393" s="15"/>
      <c r="L393" s="15" t="s">
        <v>328</v>
      </c>
      <c r="M393" s="15"/>
      <c r="N393" s="16">
        <v>5500</v>
      </c>
      <c r="O393" s="21">
        <v>0.5</v>
      </c>
      <c r="P393" s="15">
        <v>3</v>
      </c>
      <c r="Q393" s="15">
        <v>500</v>
      </c>
      <c r="R393" s="13">
        <v>3300.0000000000005</v>
      </c>
      <c r="S393" s="14" t="s">
        <v>340</v>
      </c>
      <c r="T393" s="15">
        <v>2.2000000000000002</v>
      </c>
      <c r="U393" s="15">
        <v>3</v>
      </c>
      <c r="V393" s="25">
        <v>1077.1992818671454</v>
      </c>
      <c r="W393" s="22">
        <v>12000</v>
      </c>
      <c r="X393" s="15"/>
      <c r="Y393" s="15" t="s">
        <v>328</v>
      </c>
      <c r="Z393" s="15"/>
      <c r="AA393" s="15"/>
      <c r="AB393" s="15"/>
      <c r="AC393" s="15"/>
      <c r="AD393" s="15" t="s">
        <v>328</v>
      </c>
      <c r="AE393" s="15" t="s">
        <v>328</v>
      </c>
      <c r="AF393" s="15"/>
      <c r="AG393" s="15" t="s">
        <v>328</v>
      </c>
      <c r="AH393" s="15" t="s">
        <v>328</v>
      </c>
      <c r="AI393" s="15" t="s">
        <v>328</v>
      </c>
      <c r="AJ393" s="15"/>
      <c r="AK393" s="15" t="s">
        <v>328</v>
      </c>
      <c r="AL393" s="15" t="s">
        <v>328</v>
      </c>
      <c r="AM393" s="15"/>
      <c r="AN393" s="16">
        <v>12000</v>
      </c>
      <c r="AO393" s="16">
        <v>10000</v>
      </c>
      <c r="AP393" s="16">
        <v>60000</v>
      </c>
      <c r="AQ393" s="16">
        <v>132000</v>
      </c>
      <c r="AR393" s="16">
        <v>12000</v>
      </c>
      <c r="AS393" s="22">
        <v>144000</v>
      </c>
      <c r="AT393" s="22">
        <v>120000</v>
      </c>
      <c r="AU393" s="22">
        <v>9000</v>
      </c>
      <c r="AV393" s="22">
        <v>12000</v>
      </c>
      <c r="AW393" s="22">
        <v>7000</v>
      </c>
      <c r="AX393" s="66">
        <v>12000</v>
      </c>
      <c r="AZ393" s="15" t="s">
        <v>628</v>
      </c>
      <c r="BA393" s="249">
        <f t="shared" ref="BA393:BA456" si="13">COUNTIF($B$8:$B$987,B393)</f>
        <v>5</v>
      </c>
      <c r="BB393" s="249">
        <v>0</v>
      </c>
      <c r="BC393" s="249">
        <f t="shared" si="12"/>
        <v>2010</v>
      </c>
    </row>
    <row r="394" spans="1:55" x14ac:dyDescent="0.25">
      <c r="A394" s="50" t="s">
        <v>1404</v>
      </c>
      <c r="B394" s="63" t="s">
        <v>622</v>
      </c>
      <c r="C394" s="14" t="s">
        <v>359</v>
      </c>
      <c r="D394" s="15">
        <v>2010</v>
      </c>
      <c r="E394" s="14" t="s">
        <v>349</v>
      </c>
      <c r="F394" s="15"/>
      <c r="G394" s="15"/>
      <c r="H394" s="15"/>
      <c r="I394" s="15"/>
      <c r="J394" s="16">
        <v>198000</v>
      </c>
      <c r="K394" s="15"/>
      <c r="L394" s="15" t="s">
        <v>328</v>
      </c>
      <c r="M394" s="15"/>
      <c r="N394" s="16">
        <v>5500</v>
      </c>
      <c r="O394" s="21">
        <v>0.5</v>
      </c>
      <c r="P394" s="15">
        <v>3</v>
      </c>
      <c r="Q394" s="15">
        <v>500</v>
      </c>
      <c r="R394" s="13">
        <v>3300.0000000000005</v>
      </c>
      <c r="S394" s="14" t="s">
        <v>340</v>
      </c>
      <c r="T394" s="15">
        <v>2.2000000000000002</v>
      </c>
      <c r="U394" s="15">
        <v>3</v>
      </c>
      <c r="V394" s="25">
        <v>1077.1992818671454</v>
      </c>
      <c r="W394" s="22">
        <v>12000</v>
      </c>
      <c r="X394" s="15"/>
      <c r="Y394" s="15" t="s">
        <v>328</v>
      </c>
      <c r="Z394" s="15"/>
      <c r="AA394" s="15"/>
      <c r="AB394" s="15"/>
      <c r="AC394" s="15"/>
      <c r="AD394" s="15" t="s">
        <v>328</v>
      </c>
      <c r="AE394" s="15" t="s">
        <v>328</v>
      </c>
      <c r="AF394" s="15"/>
      <c r="AG394" s="15" t="s">
        <v>328</v>
      </c>
      <c r="AH394" s="15" t="s">
        <v>328</v>
      </c>
      <c r="AI394" s="15" t="s">
        <v>328</v>
      </c>
      <c r="AJ394" s="15"/>
      <c r="AK394" s="15" t="s">
        <v>328</v>
      </c>
      <c r="AL394" s="15" t="s">
        <v>328</v>
      </c>
      <c r="AM394" s="15"/>
      <c r="AN394" s="16">
        <v>12000</v>
      </c>
      <c r="AO394" s="16">
        <v>10000</v>
      </c>
      <c r="AP394" s="16">
        <v>60000</v>
      </c>
      <c r="AQ394" s="16">
        <v>132000</v>
      </c>
      <c r="AR394" s="16">
        <v>12000</v>
      </c>
      <c r="AS394" s="22">
        <v>144000</v>
      </c>
      <c r="AT394" s="22">
        <v>120000</v>
      </c>
      <c r="AU394" s="22">
        <v>9000</v>
      </c>
      <c r="AV394" s="22">
        <v>12000</v>
      </c>
      <c r="AW394" s="22">
        <v>7000</v>
      </c>
      <c r="AX394" s="66">
        <v>12000</v>
      </c>
      <c r="AZ394" s="15" t="s">
        <v>628</v>
      </c>
      <c r="BA394" s="249">
        <f t="shared" si="13"/>
        <v>5</v>
      </c>
      <c r="BB394" s="249">
        <v>0</v>
      </c>
      <c r="BC394" s="249">
        <f t="shared" si="12"/>
        <v>2010</v>
      </c>
    </row>
    <row r="395" spans="1:55" x14ac:dyDescent="0.25">
      <c r="A395" s="50" t="s">
        <v>1404</v>
      </c>
      <c r="B395" s="63" t="s">
        <v>622</v>
      </c>
      <c r="C395" s="14" t="s">
        <v>359</v>
      </c>
      <c r="D395" s="15">
        <v>2010</v>
      </c>
      <c r="E395" s="14" t="s">
        <v>349</v>
      </c>
      <c r="F395" s="15"/>
      <c r="G395" s="15"/>
      <c r="H395" s="15"/>
      <c r="I395" s="15"/>
      <c r="J395" s="16">
        <v>198000</v>
      </c>
      <c r="K395" s="15"/>
      <c r="L395" s="15" t="s">
        <v>328</v>
      </c>
      <c r="M395" s="15"/>
      <c r="N395" s="16">
        <v>5500</v>
      </c>
      <c r="O395" s="21">
        <v>0.5</v>
      </c>
      <c r="P395" s="15">
        <v>3</v>
      </c>
      <c r="Q395" s="15">
        <v>500</v>
      </c>
      <c r="R395" s="13">
        <v>3300.0000000000005</v>
      </c>
      <c r="S395" s="14" t="s">
        <v>340</v>
      </c>
      <c r="T395" s="15">
        <v>2.2000000000000002</v>
      </c>
      <c r="U395" s="15">
        <v>3</v>
      </c>
      <c r="V395" s="25">
        <v>1077.1992818671454</v>
      </c>
      <c r="W395" s="22">
        <v>12000</v>
      </c>
      <c r="X395" s="15"/>
      <c r="Y395" s="15" t="s">
        <v>328</v>
      </c>
      <c r="Z395" s="15"/>
      <c r="AA395" s="15"/>
      <c r="AB395" s="15"/>
      <c r="AC395" s="15"/>
      <c r="AD395" s="15" t="s">
        <v>328</v>
      </c>
      <c r="AE395" s="15" t="s">
        <v>328</v>
      </c>
      <c r="AF395" s="15"/>
      <c r="AG395" s="15" t="s">
        <v>328</v>
      </c>
      <c r="AH395" s="15" t="s">
        <v>328</v>
      </c>
      <c r="AI395" s="15" t="s">
        <v>328</v>
      </c>
      <c r="AJ395" s="15"/>
      <c r="AK395" s="15" t="s">
        <v>328</v>
      </c>
      <c r="AL395" s="15" t="s">
        <v>328</v>
      </c>
      <c r="AM395" s="15"/>
      <c r="AN395" s="16">
        <v>12000</v>
      </c>
      <c r="AO395" s="16">
        <v>10000</v>
      </c>
      <c r="AP395" s="16">
        <v>60000</v>
      </c>
      <c r="AQ395" s="16">
        <v>132000</v>
      </c>
      <c r="AR395" s="16">
        <v>12000</v>
      </c>
      <c r="AS395" s="22">
        <v>144000</v>
      </c>
      <c r="AT395" s="22">
        <v>120000</v>
      </c>
      <c r="AU395" s="22">
        <v>9000</v>
      </c>
      <c r="AV395" s="22">
        <v>12000</v>
      </c>
      <c r="AW395" s="22">
        <v>7000</v>
      </c>
      <c r="AX395" s="66">
        <v>12000</v>
      </c>
      <c r="AZ395" s="15" t="s">
        <v>628</v>
      </c>
      <c r="BA395" s="249">
        <f t="shared" si="13"/>
        <v>5</v>
      </c>
      <c r="BB395" s="249">
        <v>0</v>
      </c>
      <c r="BC395" s="249">
        <f t="shared" si="12"/>
        <v>2010</v>
      </c>
    </row>
    <row r="396" spans="1:55" x14ac:dyDescent="0.25">
      <c r="A396" s="50" t="s">
        <v>1404</v>
      </c>
      <c r="B396" s="63" t="s">
        <v>622</v>
      </c>
      <c r="C396" s="14" t="s">
        <v>359</v>
      </c>
      <c r="D396" s="15">
        <v>2010</v>
      </c>
      <c r="E396" s="14" t="s">
        <v>349</v>
      </c>
      <c r="F396" s="15"/>
      <c r="G396" s="15"/>
      <c r="H396" s="15"/>
      <c r="I396" s="15"/>
      <c r="J396" s="16">
        <v>198000</v>
      </c>
      <c r="K396" s="15"/>
      <c r="L396" s="15" t="s">
        <v>328</v>
      </c>
      <c r="M396" s="15"/>
      <c r="N396" s="16">
        <v>5500</v>
      </c>
      <c r="O396" s="21">
        <v>0.5</v>
      </c>
      <c r="P396" s="15">
        <v>3</v>
      </c>
      <c r="Q396" s="15">
        <v>500</v>
      </c>
      <c r="R396" s="13">
        <v>3300.0000000000005</v>
      </c>
      <c r="S396" s="14" t="s">
        <v>340</v>
      </c>
      <c r="T396" s="15">
        <v>2.2000000000000002</v>
      </c>
      <c r="U396" s="15">
        <v>3</v>
      </c>
      <c r="V396" s="25">
        <v>1077.1992818671454</v>
      </c>
      <c r="W396" s="22">
        <v>12000</v>
      </c>
      <c r="X396" s="15"/>
      <c r="Y396" s="15" t="s">
        <v>328</v>
      </c>
      <c r="Z396" s="15"/>
      <c r="AA396" s="15"/>
      <c r="AB396" s="15"/>
      <c r="AC396" s="15"/>
      <c r="AD396" s="15" t="s">
        <v>328</v>
      </c>
      <c r="AE396" s="15" t="s">
        <v>328</v>
      </c>
      <c r="AF396" s="15"/>
      <c r="AG396" s="15" t="s">
        <v>328</v>
      </c>
      <c r="AH396" s="15" t="s">
        <v>328</v>
      </c>
      <c r="AI396" s="15" t="s">
        <v>328</v>
      </c>
      <c r="AJ396" s="15"/>
      <c r="AK396" s="15" t="s">
        <v>328</v>
      </c>
      <c r="AL396" s="15" t="s">
        <v>328</v>
      </c>
      <c r="AM396" s="15"/>
      <c r="AN396" s="16">
        <v>12000</v>
      </c>
      <c r="AO396" s="16">
        <v>10000</v>
      </c>
      <c r="AP396" s="16">
        <v>60000</v>
      </c>
      <c r="AQ396" s="16">
        <v>132000</v>
      </c>
      <c r="AR396" s="16">
        <v>12000</v>
      </c>
      <c r="AS396" s="22">
        <v>144000</v>
      </c>
      <c r="AT396" s="22">
        <v>120000</v>
      </c>
      <c r="AU396" s="22">
        <v>9000</v>
      </c>
      <c r="AV396" s="22">
        <v>12000</v>
      </c>
      <c r="AW396" s="22">
        <v>7000</v>
      </c>
      <c r="AX396" s="66">
        <v>12000</v>
      </c>
      <c r="AZ396" s="15" t="s">
        <v>628</v>
      </c>
      <c r="BA396" s="249">
        <f t="shared" si="13"/>
        <v>5</v>
      </c>
      <c r="BB396" s="249">
        <v>0</v>
      </c>
      <c r="BC396" s="249">
        <f t="shared" si="12"/>
        <v>2010</v>
      </c>
    </row>
    <row r="397" spans="1:55" x14ac:dyDescent="0.25">
      <c r="A397" s="50" t="s">
        <v>1404</v>
      </c>
      <c r="B397" s="63" t="s">
        <v>623</v>
      </c>
      <c r="C397" s="14" t="s">
        <v>359</v>
      </c>
      <c r="D397" s="15">
        <v>2010</v>
      </c>
      <c r="E397" s="14" t="s">
        <v>456</v>
      </c>
      <c r="F397" s="15"/>
      <c r="G397" s="15"/>
      <c r="H397" s="15"/>
      <c r="I397" s="15"/>
      <c r="J397" s="16">
        <v>144000</v>
      </c>
      <c r="K397" s="15" t="s">
        <v>328</v>
      </c>
      <c r="L397" s="15"/>
      <c r="M397" s="15"/>
      <c r="N397" s="16">
        <v>4000</v>
      </c>
      <c r="O397" s="21">
        <v>0.1</v>
      </c>
      <c r="P397" s="15">
        <v>3</v>
      </c>
      <c r="Q397" s="15">
        <v>450</v>
      </c>
      <c r="R397" s="13">
        <v>3375</v>
      </c>
      <c r="S397" s="14" t="s">
        <v>340</v>
      </c>
      <c r="T397" s="15">
        <v>2.5</v>
      </c>
      <c r="U397" s="15">
        <v>3</v>
      </c>
      <c r="V397" s="25">
        <v>987.43267504488324</v>
      </c>
      <c r="W397" s="22">
        <v>11000</v>
      </c>
      <c r="X397" s="15"/>
      <c r="Y397" s="15" t="s">
        <v>328</v>
      </c>
      <c r="Z397" s="15"/>
      <c r="AA397" s="15"/>
      <c r="AB397" s="15"/>
      <c r="AC397" s="15"/>
      <c r="AD397" s="15" t="s">
        <v>328</v>
      </c>
      <c r="AE397" s="15" t="s">
        <v>328</v>
      </c>
      <c r="AF397" s="15"/>
      <c r="AG397" s="15" t="s">
        <v>328</v>
      </c>
      <c r="AH397" s="15" t="s">
        <v>328</v>
      </c>
      <c r="AI397" s="15" t="s">
        <v>328</v>
      </c>
      <c r="AJ397" s="15"/>
      <c r="AK397" s="15" t="s">
        <v>328</v>
      </c>
      <c r="AL397" s="15" t="s">
        <v>328</v>
      </c>
      <c r="AM397" s="15" t="s">
        <v>328</v>
      </c>
      <c r="AN397" s="16">
        <v>12000</v>
      </c>
      <c r="AO397" s="16">
        <v>12000</v>
      </c>
      <c r="AP397" s="16">
        <v>50000</v>
      </c>
      <c r="AQ397" s="16">
        <v>48000</v>
      </c>
      <c r="AR397" s="16">
        <v>12000</v>
      </c>
      <c r="AS397" s="22">
        <v>120000</v>
      </c>
      <c r="AT397" s="22">
        <v>96000</v>
      </c>
      <c r="AU397" s="22">
        <v>140000</v>
      </c>
      <c r="AV397" s="22">
        <v>12000</v>
      </c>
      <c r="AW397" s="22">
        <v>10000</v>
      </c>
      <c r="AX397" s="66">
        <v>0</v>
      </c>
      <c r="AZ397" s="15" t="s">
        <v>629</v>
      </c>
      <c r="BA397" s="249">
        <f t="shared" si="13"/>
        <v>1</v>
      </c>
      <c r="BB397" s="249">
        <v>0</v>
      </c>
      <c r="BC397" s="249">
        <f t="shared" si="12"/>
        <v>2010</v>
      </c>
    </row>
    <row r="398" spans="1:55" x14ac:dyDescent="0.25">
      <c r="A398" s="50" t="s">
        <v>1404</v>
      </c>
      <c r="B398" s="63" t="s">
        <v>627</v>
      </c>
      <c r="C398" s="15" t="s">
        <v>337</v>
      </c>
      <c r="D398" s="15">
        <v>2012</v>
      </c>
      <c r="E398" s="14" t="s">
        <v>338</v>
      </c>
      <c r="F398" s="15"/>
      <c r="G398" s="15"/>
      <c r="H398" s="15"/>
      <c r="I398" s="15"/>
      <c r="J398" s="16">
        <v>145000</v>
      </c>
      <c r="K398" s="15" t="s">
        <v>328</v>
      </c>
      <c r="L398" s="15"/>
      <c r="M398" s="15"/>
      <c r="N398" s="16">
        <v>6041</v>
      </c>
      <c r="O398" s="21">
        <v>0.5</v>
      </c>
      <c r="P398" s="15">
        <v>3</v>
      </c>
      <c r="Q398" s="15">
        <v>500</v>
      </c>
      <c r="R398" s="13">
        <v>3300.0000000000005</v>
      </c>
      <c r="S398" s="14" t="s">
        <v>340</v>
      </c>
      <c r="T398" s="15">
        <v>2.2000000000000002</v>
      </c>
      <c r="U398" s="15">
        <v>2.8</v>
      </c>
      <c r="V398" s="25">
        <v>1077.1992818671454</v>
      </c>
      <c r="W398" s="22">
        <v>12000</v>
      </c>
      <c r="X398" s="15"/>
      <c r="Y398" s="15" t="s">
        <v>328</v>
      </c>
      <c r="Z398" s="15"/>
      <c r="AA398" s="15"/>
      <c r="AB398" s="15"/>
      <c r="AC398" s="15"/>
      <c r="AD398" s="15" t="s">
        <v>328</v>
      </c>
      <c r="AE398" s="15" t="s">
        <v>328</v>
      </c>
      <c r="AF398" s="15"/>
      <c r="AG398" s="15" t="s">
        <v>328</v>
      </c>
      <c r="AH398" s="15" t="s">
        <v>328</v>
      </c>
      <c r="AI398" s="15" t="s">
        <v>328</v>
      </c>
      <c r="AJ398" s="15"/>
      <c r="AK398" s="15" t="s">
        <v>328</v>
      </c>
      <c r="AL398" s="15" t="s">
        <v>328</v>
      </c>
      <c r="AM398" s="15" t="s">
        <v>328</v>
      </c>
      <c r="AN398" s="16">
        <v>12000</v>
      </c>
      <c r="AO398" s="16">
        <v>12000</v>
      </c>
      <c r="AP398" s="16">
        <v>100000</v>
      </c>
      <c r="AQ398" s="16">
        <v>144984</v>
      </c>
      <c r="AR398" s="16">
        <v>12000</v>
      </c>
      <c r="AS398" s="22">
        <v>120000</v>
      </c>
      <c r="AT398" s="22">
        <v>96000</v>
      </c>
      <c r="AU398" s="22">
        <v>90000</v>
      </c>
      <c r="AV398" s="22">
        <v>18000</v>
      </c>
      <c r="AW398" s="22">
        <v>7000</v>
      </c>
      <c r="AX398" s="66">
        <v>3000</v>
      </c>
      <c r="AZ398" s="15" t="s">
        <v>562</v>
      </c>
      <c r="BA398" s="249">
        <f t="shared" si="13"/>
        <v>3</v>
      </c>
      <c r="BB398" s="249">
        <v>0</v>
      </c>
      <c r="BC398" s="249">
        <f t="shared" si="12"/>
        <v>2012</v>
      </c>
    </row>
    <row r="399" spans="1:55" x14ac:dyDescent="0.25">
      <c r="A399" s="50" t="s">
        <v>1404</v>
      </c>
      <c r="B399" s="63" t="s">
        <v>627</v>
      </c>
      <c r="C399" s="15" t="s">
        <v>337</v>
      </c>
      <c r="D399" s="15">
        <v>2012</v>
      </c>
      <c r="E399" s="14" t="s">
        <v>338</v>
      </c>
      <c r="F399" s="15"/>
      <c r="G399" s="15"/>
      <c r="H399" s="15"/>
      <c r="I399" s="15"/>
      <c r="J399" s="16">
        <v>145000</v>
      </c>
      <c r="K399" s="15" t="s">
        <v>328</v>
      </c>
      <c r="L399" s="15"/>
      <c r="M399" s="15"/>
      <c r="N399" s="16">
        <v>6041</v>
      </c>
      <c r="O399" s="21">
        <v>0.5</v>
      </c>
      <c r="P399" s="15">
        <v>3</v>
      </c>
      <c r="Q399" s="15">
        <v>500</v>
      </c>
      <c r="R399" s="13">
        <v>3300.0000000000005</v>
      </c>
      <c r="S399" s="14" t="s">
        <v>340</v>
      </c>
      <c r="T399" s="15">
        <v>2.2000000000000002</v>
      </c>
      <c r="U399" s="15">
        <v>2.8</v>
      </c>
      <c r="V399" s="25">
        <v>1077.1992818671454</v>
      </c>
      <c r="W399" s="22">
        <v>12000</v>
      </c>
      <c r="X399" s="15"/>
      <c r="Y399" s="15" t="s">
        <v>328</v>
      </c>
      <c r="Z399" s="15"/>
      <c r="AA399" s="15"/>
      <c r="AB399" s="15"/>
      <c r="AC399" s="15"/>
      <c r="AD399" s="15" t="s">
        <v>328</v>
      </c>
      <c r="AE399" s="15" t="s">
        <v>328</v>
      </c>
      <c r="AF399" s="15"/>
      <c r="AG399" s="15" t="s">
        <v>328</v>
      </c>
      <c r="AH399" s="15" t="s">
        <v>328</v>
      </c>
      <c r="AI399" s="15" t="s">
        <v>328</v>
      </c>
      <c r="AJ399" s="15"/>
      <c r="AK399" s="15" t="s">
        <v>328</v>
      </c>
      <c r="AL399" s="15" t="s">
        <v>328</v>
      </c>
      <c r="AM399" s="15" t="s">
        <v>328</v>
      </c>
      <c r="AN399" s="16">
        <v>12000</v>
      </c>
      <c r="AO399" s="16">
        <v>12000</v>
      </c>
      <c r="AP399" s="16">
        <v>100000</v>
      </c>
      <c r="AQ399" s="16">
        <v>144984</v>
      </c>
      <c r="AR399" s="16">
        <v>12000</v>
      </c>
      <c r="AS399" s="22">
        <v>120000</v>
      </c>
      <c r="AT399" s="22">
        <v>96000</v>
      </c>
      <c r="AU399" s="22">
        <v>90000</v>
      </c>
      <c r="AV399" s="22">
        <v>18000</v>
      </c>
      <c r="AW399" s="22">
        <v>7000</v>
      </c>
      <c r="AX399" s="66">
        <v>3000</v>
      </c>
      <c r="AZ399" s="15" t="s">
        <v>562</v>
      </c>
      <c r="BA399" s="249">
        <f t="shared" si="13"/>
        <v>3</v>
      </c>
      <c r="BB399" s="249">
        <v>0</v>
      </c>
      <c r="BC399" s="249">
        <f t="shared" si="12"/>
        <v>2012</v>
      </c>
    </row>
    <row r="400" spans="1:55" x14ac:dyDescent="0.25">
      <c r="A400" s="50" t="s">
        <v>1404</v>
      </c>
      <c r="B400" s="63" t="s">
        <v>627</v>
      </c>
      <c r="C400" s="15" t="s">
        <v>337</v>
      </c>
      <c r="D400" s="15">
        <v>2012</v>
      </c>
      <c r="E400" s="14" t="s">
        <v>338</v>
      </c>
      <c r="F400" s="15"/>
      <c r="G400" s="15"/>
      <c r="H400" s="15"/>
      <c r="I400" s="15"/>
      <c r="J400" s="16">
        <v>145000</v>
      </c>
      <c r="K400" s="15" t="s">
        <v>328</v>
      </c>
      <c r="L400" s="15"/>
      <c r="M400" s="15"/>
      <c r="N400" s="16">
        <v>6041</v>
      </c>
      <c r="O400" s="21">
        <v>0.5</v>
      </c>
      <c r="P400" s="15">
        <v>3</v>
      </c>
      <c r="Q400" s="15">
        <v>500</v>
      </c>
      <c r="R400" s="13">
        <v>3300.0000000000005</v>
      </c>
      <c r="S400" s="14" t="s">
        <v>340</v>
      </c>
      <c r="T400" s="15">
        <v>2.2000000000000002</v>
      </c>
      <c r="U400" s="15">
        <v>2.8</v>
      </c>
      <c r="V400" s="25">
        <v>1077.1992818671454</v>
      </c>
      <c r="W400" s="22">
        <v>12000</v>
      </c>
      <c r="X400" s="15"/>
      <c r="Y400" s="15" t="s">
        <v>328</v>
      </c>
      <c r="Z400" s="15"/>
      <c r="AA400" s="15"/>
      <c r="AB400" s="15"/>
      <c r="AC400" s="15"/>
      <c r="AD400" s="15" t="s">
        <v>328</v>
      </c>
      <c r="AE400" s="15" t="s">
        <v>328</v>
      </c>
      <c r="AF400" s="15"/>
      <c r="AG400" s="15" t="s">
        <v>328</v>
      </c>
      <c r="AH400" s="15" t="s">
        <v>328</v>
      </c>
      <c r="AI400" s="15" t="s">
        <v>328</v>
      </c>
      <c r="AJ400" s="15"/>
      <c r="AK400" s="15" t="s">
        <v>328</v>
      </c>
      <c r="AL400" s="15" t="s">
        <v>328</v>
      </c>
      <c r="AM400" s="15" t="s">
        <v>328</v>
      </c>
      <c r="AN400" s="16">
        <v>12000</v>
      </c>
      <c r="AO400" s="16">
        <v>12000</v>
      </c>
      <c r="AP400" s="16">
        <v>100000</v>
      </c>
      <c r="AQ400" s="16">
        <v>144984</v>
      </c>
      <c r="AR400" s="16">
        <v>12000</v>
      </c>
      <c r="AS400" s="22">
        <v>120000</v>
      </c>
      <c r="AT400" s="22">
        <v>96000</v>
      </c>
      <c r="AU400" s="22">
        <v>90000</v>
      </c>
      <c r="AV400" s="22">
        <v>18000</v>
      </c>
      <c r="AW400" s="22">
        <v>7000</v>
      </c>
      <c r="AX400" s="66">
        <v>3000</v>
      </c>
      <c r="AZ400" s="15" t="s">
        <v>562</v>
      </c>
      <c r="BA400" s="249">
        <f t="shared" si="13"/>
        <v>3</v>
      </c>
      <c r="BB400" s="249">
        <v>0</v>
      </c>
      <c r="BC400" s="249">
        <f t="shared" si="12"/>
        <v>2012</v>
      </c>
    </row>
    <row r="401" spans="1:55" x14ac:dyDescent="0.25">
      <c r="A401" s="50" t="s">
        <v>1855</v>
      </c>
      <c r="B401" s="63" t="s">
        <v>630</v>
      </c>
      <c r="C401" s="15" t="s">
        <v>337</v>
      </c>
      <c r="D401" s="15">
        <v>2000</v>
      </c>
      <c r="E401" s="15" t="s">
        <v>407</v>
      </c>
      <c r="F401" s="15"/>
      <c r="G401" s="15"/>
      <c r="H401" s="15"/>
      <c r="I401" s="15"/>
      <c r="J401" s="16">
        <v>917708</v>
      </c>
      <c r="K401" s="15"/>
      <c r="L401" s="15"/>
      <c r="M401" s="15" t="s">
        <v>328</v>
      </c>
      <c r="N401" s="16">
        <v>8333.3333333333339</v>
      </c>
      <c r="O401" s="21">
        <v>0.3</v>
      </c>
      <c r="P401" s="15">
        <v>2</v>
      </c>
      <c r="Q401" s="15">
        <v>908</v>
      </c>
      <c r="R401" s="13">
        <v>3813.6000000000004</v>
      </c>
      <c r="S401" s="15" t="s">
        <v>340</v>
      </c>
      <c r="T401" s="15">
        <v>2.1</v>
      </c>
      <c r="U401" s="15">
        <v>2.6</v>
      </c>
      <c r="V401" s="25">
        <v>4039.497307001795</v>
      </c>
      <c r="W401" s="22">
        <v>45000</v>
      </c>
      <c r="X401" s="15"/>
      <c r="Y401" s="15"/>
      <c r="Z401" s="15"/>
      <c r="AA401" s="15"/>
      <c r="AB401" s="15" t="s">
        <v>328</v>
      </c>
      <c r="AC401" s="15"/>
      <c r="AD401" s="15" t="s">
        <v>332</v>
      </c>
      <c r="AE401" s="15"/>
      <c r="AF401" s="15"/>
      <c r="AG401" s="15"/>
      <c r="AH401" s="15"/>
      <c r="AI401" s="15"/>
      <c r="AJ401" s="15"/>
      <c r="AK401" s="15"/>
      <c r="AL401" s="15"/>
      <c r="AM401" s="15"/>
      <c r="AN401" s="16">
        <v>24000</v>
      </c>
      <c r="AO401" s="16">
        <v>24000</v>
      </c>
      <c r="AP401" s="16">
        <v>190000</v>
      </c>
      <c r="AQ401" s="16">
        <v>150000</v>
      </c>
      <c r="AR401" s="16">
        <v>24000</v>
      </c>
      <c r="AS401" s="22">
        <v>141000</v>
      </c>
      <c r="AT401" s="22">
        <v>0</v>
      </c>
      <c r="AU401" s="22">
        <v>60000</v>
      </c>
      <c r="AV401" s="22">
        <v>25000</v>
      </c>
      <c r="AW401" s="22">
        <v>17000</v>
      </c>
      <c r="AX401" s="66">
        <v>0</v>
      </c>
      <c r="AY401" s="17" t="s">
        <v>576</v>
      </c>
      <c r="AZ401" s="15" t="s">
        <v>562</v>
      </c>
      <c r="BA401" s="249">
        <f t="shared" si="13"/>
        <v>3</v>
      </c>
      <c r="BB401" s="249">
        <v>0</v>
      </c>
      <c r="BC401" s="249">
        <f t="shared" si="12"/>
        <v>2000</v>
      </c>
    </row>
    <row r="402" spans="1:55" x14ac:dyDescent="0.25">
      <c r="A402" s="50" t="s">
        <v>1855</v>
      </c>
      <c r="B402" s="63" t="s">
        <v>630</v>
      </c>
      <c r="C402" s="15" t="s">
        <v>337</v>
      </c>
      <c r="D402" s="15">
        <v>2000</v>
      </c>
      <c r="E402" s="15" t="s">
        <v>407</v>
      </c>
      <c r="F402" s="15"/>
      <c r="G402" s="15"/>
      <c r="H402" s="15"/>
      <c r="I402" s="15"/>
      <c r="J402" s="16">
        <v>995641</v>
      </c>
      <c r="K402" s="15"/>
      <c r="L402" s="15"/>
      <c r="M402" s="15" t="s">
        <v>328</v>
      </c>
      <c r="N402" s="16">
        <v>8333.3333333333339</v>
      </c>
      <c r="O402" s="21">
        <v>0.3</v>
      </c>
      <c r="P402" s="15">
        <v>2</v>
      </c>
      <c r="Q402" s="15">
        <v>912</v>
      </c>
      <c r="R402" s="13">
        <v>4012.8</v>
      </c>
      <c r="S402" s="15" t="s">
        <v>340</v>
      </c>
      <c r="T402" s="15">
        <v>2.2000000000000002</v>
      </c>
      <c r="U402" s="15">
        <v>2.6</v>
      </c>
      <c r="V402" s="25">
        <v>4039.497307001795</v>
      </c>
      <c r="W402" s="22">
        <v>45000</v>
      </c>
      <c r="X402" s="15"/>
      <c r="Y402" s="15"/>
      <c r="Z402" s="15"/>
      <c r="AA402" s="15"/>
      <c r="AB402" s="15" t="s">
        <v>328</v>
      </c>
      <c r="AC402" s="15"/>
      <c r="AD402" s="15" t="s">
        <v>332</v>
      </c>
      <c r="AE402" s="15"/>
      <c r="AF402" s="15"/>
      <c r="AG402" s="15"/>
      <c r="AH402" s="15"/>
      <c r="AI402" s="15"/>
      <c r="AJ402" s="15"/>
      <c r="AK402" s="15"/>
      <c r="AL402" s="15"/>
      <c r="AM402" s="15"/>
      <c r="AN402" s="16">
        <v>24000</v>
      </c>
      <c r="AO402" s="16">
        <v>24000</v>
      </c>
      <c r="AP402" s="16">
        <v>190000</v>
      </c>
      <c r="AQ402" s="16">
        <v>150000</v>
      </c>
      <c r="AR402" s="16">
        <v>24000</v>
      </c>
      <c r="AS402" s="22">
        <v>141000</v>
      </c>
      <c r="AT402" s="22">
        <v>0</v>
      </c>
      <c r="AU402" s="22">
        <v>60000</v>
      </c>
      <c r="AV402" s="22">
        <v>25000</v>
      </c>
      <c r="AW402" s="22">
        <v>17000</v>
      </c>
      <c r="AX402" s="66">
        <v>0</v>
      </c>
      <c r="AY402" s="17" t="s">
        <v>576</v>
      </c>
      <c r="AZ402" s="15" t="s">
        <v>562</v>
      </c>
      <c r="BA402" s="249">
        <f t="shared" si="13"/>
        <v>3</v>
      </c>
      <c r="BB402" s="249">
        <v>0</v>
      </c>
      <c r="BC402" s="249">
        <f t="shared" si="12"/>
        <v>2000</v>
      </c>
    </row>
    <row r="403" spans="1:55" x14ac:dyDescent="0.25">
      <c r="A403" s="50" t="s">
        <v>1855</v>
      </c>
      <c r="B403" s="63" t="s">
        <v>630</v>
      </c>
      <c r="C403" s="15" t="s">
        <v>337</v>
      </c>
      <c r="D403" s="15">
        <v>2009</v>
      </c>
      <c r="E403" s="15" t="s">
        <v>407</v>
      </c>
      <c r="F403" s="15"/>
      <c r="G403" s="15"/>
      <c r="H403" s="15"/>
      <c r="I403" s="15"/>
      <c r="J403" s="16">
        <v>417332</v>
      </c>
      <c r="K403" s="15"/>
      <c r="L403" s="15" t="s">
        <v>328</v>
      </c>
      <c r="M403" s="15"/>
      <c r="N403" s="16">
        <v>8333.3333333333339</v>
      </c>
      <c r="O403" s="21">
        <v>0.3</v>
      </c>
      <c r="P403" s="15">
        <v>2</v>
      </c>
      <c r="Q403" s="15">
        <v>904</v>
      </c>
      <c r="R403" s="13">
        <v>4520</v>
      </c>
      <c r="S403" s="15" t="s">
        <v>340</v>
      </c>
      <c r="T403" s="15">
        <v>2.5</v>
      </c>
      <c r="U403" s="15">
        <v>2.8</v>
      </c>
      <c r="V403" s="25">
        <v>3590.6642728904844</v>
      </c>
      <c r="W403" s="22">
        <v>40000</v>
      </c>
      <c r="X403" s="15"/>
      <c r="Y403" s="15"/>
      <c r="Z403" s="15"/>
      <c r="AA403" s="15"/>
      <c r="AB403" s="15"/>
      <c r="AC403" s="15" t="s">
        <v>328</v>
      </c>
      <c r="AD403" s="15" t="s">
        <v>332</v>
      </c>
      <c r="AE403" s="15"/>
      <c r="AF403" s="15"/>
      <c r="AG403" s="15"/>
      <c r="AH403" s="15"/>
      <c r="AI403" s="15"/>
      <c r="AJ403" s="15"/>
      <c r="AK403" s="15"/>
      <c r="AL403" s="15"/>
      <c r="AM403" s="15"/>
      <c r="AN403" s="16">
        <v>20000</v>
      </c>
      <c r="AO403" s="16">
        <v>20000</v>
      </c>
      <c r="AP403" s="16">
        <v>200000</v>
      </c>
      <c r="AQ403" s="16">
        <v>150000</v>
      </c>
      <c r="AR403" s="16">
        <v>20000</v>
      </c>
      <c r="AS403" s="22">
        <v>159000</v>
      </c>
      <c r="AT403" s="22">
        <v>0</v>
      </c>
      <c r="AU403" s="22">
        <v>60000</v>
      </c>
      <c r="AV403" s="22">
        <v>25000</v>
      </c>
      <c r="AW403" s="22">
        <v>26000</v>
      </c>
      <c r="AX403" s="66">
        <v>0</v>
      </c>
      <c r="AY403" s="17" t="s">
        <v>574</v>
      </c>
      <c r="AZ403" s="15" t="s">
        <v>562</v>
      </c>
      <c r="BA403" s="249">
        <f t="shared" si="13"/>
        <v>3</v>
      </c>
      <c r="BB403" s="249">
        <v>0</v>
      </c>
      <c r="BC403" s="249">
        <f t="shared" si="12"/>
        <v>2009</v>
      </c>
    </row>
    <row r="404" spans="1:55" x14ac:dyDescent="0.25">
      <c r="A404" s="50" t="s">
        <v>1855</v>
      </c>
      <c r="B404" s="63" t="s">
        <v>631</v>
      </c>
      <c r="C404" s="15" t="s">
        <v>348</v>
      </c>
      <c r="D404" s="15">
        <v>2001</v>
      </c>
      <c r="E404" s="14" t="s">
        <v>367</v>
      </c>
      <c r="F404" s="15"/>
      <c r="G404" s="15"/>
      <c r="H404" s="15"/>
      <c r="I404" s="15"/>
      <c r="J404" s="16">
        <v>724813</v>
      </c>
      <c r="K404" s="15" t="s">
        <v>328</v>
      </c>
      <c r="L404" s="15"/>
      <c r="M404" s="15"/>
      <c r="N404" s="16">
        <v>4000</v>
      </c>
      <c r="O404" s="21">
        <v>0.2</v>
      </c>
      <c r="P404" s="15">
        <v>2</v>
      </c>
      <c r="Q404" s="15">
        <v>200</v>
      </c>
      <c r="R404" s="13">
        <v>2000</v>
      </c>
      <c r="S404" s="15" t="s">
        <v>371</v>
      </c>
      <c r="T404" s="15">
        <v>5</v>
      </c>
      <c r="U404" s="15">
        <v>6</v>
      </c>
      <c r="V404" s="25">
        <v>897.66606822262111</v>
      </c>
      <c r="W404" s="22">
        <v>10000</v>
      </c>
      <c r="X404" s="15" t="s">
        <v>328</v>
      </c>
      <c r="Y404" s="15"/>
      <c r="Z404" s="15"/>
      <c r="AA404" s="15"/>
      <c r="AB404" s="15"/>
      <c r="AC404" s="15"/>
      <c r="AD404" s="15" t="s">
        <v>332</v>
      </c>
      <c r="AE404" s="15"/>
      <c r="AF404" s="15"/>
      <c r="AG404" s="15"/>
      <c r="AH404" s="15"/>
      <c r="AI404" s="15"/>
      <c r="AJ404" s="15"/>
      <c r="AK404" s="15"/>
      <c r="AL404" s="15"/>
      <c r="AM404" s="15"/>
      <c r="AN404" s="16">
        <v>30000</v>
      </c>
      <c r="AO404" s="16">
        <v>30000</v>
      </c>
      <c r="AP404" s="16">
        <v>100000</v>
      </c>
      <c r="AQ404" s="16">
        <v>100000</v>
      </c>
      <c r="AR404" s="16" t="s">
        <v>385</v>
      </c>
      <c r="AS404" s="22">
        <v>0</v>
      </c>
      <c r="AT404" s="22">
        <v>0</v>
      </c>
      <c r="AU404" s="22">
        <v>12000</v>
      </c>
      <c r="AV404" s="22">
        <v>10000</v>
      </c>
      <c r="AW404" s="22">
        <v>0</v>
      </c>
      <c r="AX404" s="66">
        <v>0</v>
      </c>
      <c r="AY404" s="17" t="s">
        <v>687</v>
      </c>
      <c r="AZ404" s="15" t="s">
        <v>348</v>
      </c>
      <c r="BA404" s="249">
        <f t="shared" si="13"/>
        <v>1</v>
      </c>
      <c r="BB404" s="249">
        <v>0</v>
      </c>
      <c r="BC404" s="249">
        <f t="shared" si="12"/>
        <v>2001</v>
      </c>
    </row>
    <row r="405" spans="1:55" x14ac:dyDescent="0.25">
      <c r="A405" s="50" t="s">
        <v>1855</v>
      </c>
      <c r="B405" s="63" t="s">
        <v>632</v>
      </c>
      <c r="C405" s="15" t="s">
        <v>337</v>
      </c>
      <c r="D405" s="15">
        <v>2007</v>
      </c>
      <c r="E405" s="15" t="s">
        <v>407</v>
      </c>
      <c r="F405" s="15"/>
      <c r="G405" s="15"/>
      <c r="H405" s="15"/>
      <c r="I405" s="15"/>
      <c r="J405" s="16">
        <v>701003</v>
      </c>
      <c r="K405" s="15"/>
      <c r="L405" s="15" t="s">
        <v>328</v>
      </c>
      <c r="M405" s="15"/>
      <c r="N405" s="16">
        <v>10000</v>
      </c>
      <c r="O405" s="21">
        <v>0.5</v>
      </c>
      <c r="P405" s="15">
        <v>2</v>
      </c>
      <c r="Q405" s="15">
        <v>908</v>
      </c>
      <c r="R405" s="13">
        <v>4358.3999999999996</v>
      </c>
      <c r="S405" s="15" t="s">
        <v>340</v>
      </c>
      <c r="T405" s="15">
        <v>2.4</v>
      </c>
      <c r="U405" s="15">
        <v>2.7</v>
      </c>
      <c r="V405" s="25">
        <v>4488.3303411131055</v>
      </c>
      <c r="W405" s="22">
        <v>50000</v>
      </c>
      <c r="X405" s="15"/>
      <c r="Y405" s="15"/>
      <c r="Z405" s="15"/>
      <c r="AA405" s="15"/>
      <c r="AB405" s="15" t="s">
        <v>328</v>
      </c>
      <c r="AC405" s="15"/>
      <c r="AD405" s="15" t="s">
        <v>328</v>
      </c>
      <c r="AE405" s="15"/>
      <c r="AF405" s="15"/>
      <c r="AG405" s="15"/>
      <c r="AH405" s="15"/>
      <c r="AI405" s="15"/>
      <c r="AJ405" s="15"/>
      <c r="AK405" s="15"/>
      <c r="AL405" s="15" t="s">
        <v>328</v>
      </c>
      <c r="AM405" s="15"/>
      <c r="AN405" s="16">
        <v>20000</v>
      </c>
      <c r="AO405" s="16">
        <v>20000</v>
      </c>
      <c r="AP405" s="16">
        <v>200000</v>
      </c>
      <c r="AQ405" s="16">
        <v>120000</v>
      </c>
      <c r="AR405" s="16">
        <v>20000</v>
      </c>
      <c r="AS405" s="22">
        <v>175000</v>
      </c>
      <c r="AT405" s="22">
        <v>0</v>
      </c>
      <c r="AU405" s="22">
        <v>120000</v>
      </c>
      <c r="AV405" s="22">
        <v>50000</v>
      </c>
      <c r="AW405" s="22">
        <v>40000</v>
      </c>
      <c r="AX405" s="66">
        <v>0</v>
      </c>
      <c r="AY405" s="17" t="s">
        <v>574</v>
      </c>
      <c r="AZ405" s="15" t="s">
        <v>561</v>
      </c>
      <c r="BA405" s="249">
        <f t="shared" si="13"/>
        <v>2</v>
      </c>
      <c r="BB405" s="249">
        <v>0</v>
      </c>
      <c r="BC405" s="249">
        <f t="shared" si="12"/>
        <v>2007</v>
      </c>
    </row>
    <row r="406" spans="1:55" x14ac:dyDescent="0.25">
      <c r="A406" s="50" t="s">
        <v>1855</v>
      </c>
      <c r="B406" s="63" t="s">
        <v>632</v>
      </c>
      <c r="C406" s="15" t="s">
        <v>337</v>
      </c>
      <c r="D406" s="15">
        <v>2008</v>
      </c>
      <c r="E406" s="15" t="s">
        <v>407</v>
      </c>
      <c r="F406" s="15"/>
      <c r="G406" s="15"/>
      <c r="H406" s="15"/>
      <c r="I406" s="15"/>
      <c r="J406" s="16">
        <v>578614</v>
      </c>
      <c r="K406" s="15" t="s">
        <v>328</v>
      </c>
      <c r="L406" s="15"/>
      <c r="M406" s="15"/>
      <c r="N406" s="16">
        <v>10000</v>
      </c>
      <c r="O406" s="21">
        <v>0.5</v>
      </c>
      <c r="P406" s="15">
        <v>2</v>
      </c>
      <c r="Q406" s="15">
        <v>912</v>
      </c>
      <c r="R406" s="13">
        <v>4377.5999999999995</v>
      </c>
      <c r="S406" s="15" t="s">
        <v>340</v>
      </c>
      <c r="T406" s="15">
        <v>2.4</v>
      </c>
      <c r="U406" s="15">
        <v>2.7</v>
      </c>
      <c r="V406" s="25">
        <v>4488.3303411131055</v>
      </c>
      <c r="W406" s="22">
        <v>50000</v>
      </c>
      <c r="X406" s="15"/>
      <c r="Y406" s="15"/>
      <c r="Z406" s="15"/>
      <c r="AA406" s="15"/>
      <c r="AB406" s="15"/>
      <c r="AC406" s="15" t="s">
        <v>328</v>
      </c>
      <c r="AD406" s="15" t="s">
        <v>328</v>
      </c>
      <c r="AE406" s="15"/>
      <c r="AF406" s="15"/>
      <c r="AG406" s="15"/>
      <c r="AH406" s="15"/>
      <c r="AI406" s="15"/>
      <c r="AJ406" s="15"/>
      <c r="AK406" s="15"/>
      <c r="AL406" s="15" t="s">
        <v>328</v>
      </c>
      <c r="AM406" s="15"/>
      <c r="AN406" s="16">
        <v>20000</v>
      </c>
      <c r="AO406" s="16">
        <v>20000</v>
      </c>
      <c r="AP406" s="16">
        <v>200000</v>
      </c>
      <c r="AQ406" s="16">
        <v>120000</v>
      </c>
      <c r="AR406" s="16">
        <v>20000</v>
      </c>
      <c r="AS406" s="22">
        <v>175000</v>
      </c>
      <c r="AT406" s="22">
        <v>0</v>
      </c>
      <c r="AU406" s="22">
        <v>120000</v>
      </c>
      <c r="AV406" s="22">
        <v>50000</v>
      </c>
      <c r="AW406" s="22">
        <v>40000</v>
      </c>
      <c r="AX406" s="66">
        <v>0</v>
      </c>
      <c r="AY406" s="17" t="s">
        <v>574</v>
      </c>
      <c r="AZ406" s="15" t="s">
        <v>561</v>
      </c>
      <c r="BA406" s="249">
        <f t="shared" si="13"/>
        <v>2</v>
      </c>
      <c r="BB406" s="249">
        <v>0</v>
      </c>
      <c r="BC406" s="249">
        <f t="shared" si="12"/>
        <v>2008</v>
      </c>
    </row>
    <row r="407" spans="1:55" x14ac:dyDescent="0.25">
      <c r="A407" s="50" t="s">
        <v>1855</v>
      </c>
      <c r="B407" s="63" t="s">
        <v>633</v>
      </c>
      <c r="C407" s="15" t="s">
        <v>337</v>
      </c>
      <c r="D407" s="15">
        <v>2003</v>
      </c>
      <c r="E407" s="15" t="s">
        <v>475</v>
      </c>
      <c r="F407" s="15"/>
      <c r="G407" s="15"/>
      <c r="H407" s="15"/>
      <c r="I407" s="15"/>
      <c r="J407" s="16">
        <v>1084617</v>
      </c>
      <c r="K407" s="15"/>
      <c r="L407" s="15" t="s">
        <v>328</v>
      </c>
      <c r="M407" s="15"/>
      <c r="N407" s="16">
        <v>150000</v>
      </c>
      <c r="O407" s="21">
        <v>0.5</v>
      </c>
      <c r="P407" s="15">
        <v>3</v>
      </c>
      <c r="Q407" s="15">
        <v>1150</v>
      </c>
      <c r="R407" s="13">
        <v>7245</v>
      </c>
      <c r="S407" s="15" t="s">
        <v>340</v>
      </c>
      <c r="T407" s="15">
        <v>2.1</v>
      </c>
      <c r="U407" s="15">
        <v>2.6</v>
      </c>
      <c r="V407" s="25">
        <v>5385.9964093357266</v>
      </c>
      <c r="W407" s="22">
        <v>60000</v>
      </c>
      <c r="X407" s="15"/>
      <c r="Y407" s="15"/>
      <c r="Z407" s="15"/>
      <c r="AA407" s="15"/>
      <c r="AB407" s="15" t="s">
        <v>328</v>
      </c>
      <c r="AC407" s="15"/>
      <c r="AD407" s="15" t="s">
        <v>328</v>
      </c>
      <c r="AE407" s="15"/>
      <c r="AF407" s="15"/>
      <c r="AG407" s="15"/>
      <c r="AH407" s="15"/>
      <c r="AI407" s="15"/>
      <c r="AJ407" s="15"/>
      <c r="AK407" s="15"/>
      <c r="AL407" s="15" t="s">
        <v>328</v>
      </c>
      <c r="AM407" s="15"/>
      <c r="AN407" s="16">
        <v>25000</v>
      </c>
      <c r="AO407" s="16">
        <v>25000</v>
      </c>
      <c r="AP407" s="16">
        <v>150000</v>
      </c>
      <c r="AQ407" s="16">
        <v>150000</v>
      </c>
      <c r="AR407" s="16">
        <v>25000</v>
      </c>
      <c r="AS407" s="22">
        <v>187200</v>
      </c>
      <c r="AT407" s="22">
        <v>0</v>
      </c>
      <c r="AU407" s="22">
        <v>90000</v>
      </c>
      <c r="AV407" s="22">
        <v>25000</v>
      </c>
      <c r="AW407" s="22">
        <v>40000</v>
      </c>
      <c r="AX407" s="66">
        <v>0</v>
      </c>
      <c r="AZ407" s="15" t="s">
        <v>562</v>
      </c>
      <c r="BA407" s="249">
        <f t="shared" si="13"/>
        <v>3</v>
      </c>
      <c r="BB407" s="249">
        <v>0</v>
      </c>
      <c r="BC407" s="249">
        <f t="shared" si="12"/>
        <v>2003</v>
      </c>
    </row>
    <row r="408" spans="1:55" x14ac:dyDescent="0.25">
      <c r="A408" s="50" t="s">
        <v>1855</v>
      </c>
      <c r="B408" s="63" t="s">
        <v>633</v>
      </c>
      <c r="C408" s="15" t="s">
        <v>337</v>
      </c>
      <c r="D408" s="15">
        <v>2003</v>
      </c>
      <c r="E408" s="15" t="s">
        <v>475</v>
      </c>
      <c r="F408" s="15"/>
      <c r="G408" s="15"/>
      <c r="H408" s="15"/>
      <c r="I408" s="15"/>
      <c r="J408" s="16">
        <v>1177923</v>
      </c>
      <c r="K408" s="15"/>
      <c r="L408" s="15" t="s">
        <v>328</v>
      </c>
      <c r="M408" s="15"/>
      <c r="N408" s="16">
        <v>150000</v>
      </c>
      <c r="O408" s="21">
        <v>0.5</v>
      </c>
      <c r="P408" s="15">
        <v>3</v>
      </c>
      <c r="Q408" s="15">
        <v>1150</v>
      </c>
      <c r="R408" s="13">
        <v>7245</v>
      </c>
      <c r="S408" s="15" t="s">
        <v>340</v>
      </c>
      <c r="T408" s="15">
        <v>2.1</v>
      </c>
      <c r="U408" s="15">
        <v>2.6</v>
      </c>
      <c r="V408" s="25">
        <v>5385.9964093357266</v>
      </c>
      <c r="W408" s="22">
        <v>60000</v>
      </c>
      <c r="X408" s="15"/>
      <c r="Y408" s="15"/>
      <c r="Z408" s="15"/>
      <c r="AA408" s="15"/>
      <c r="AB408" s="15" t="s">
        <v>328</v>
      </c>
      <c r="AC408" s="15"/>
      <c r="AD408" s="15" t="s">
        <v>328</v>
      </c>
      <c r="AE408" s="15"/>
      <c r="AF408" s="15"/>
      <c r="AG408" s="15"/>
      <c r="AH408" s="15"/>
      <c r="AI408" s="15"/>
      <c r="AJ408" s="15"/>
      <c r="AK408" s="15"/>
      <c r="AL408" s="15" t="s">
        <v>328</v>
      </c>
      <c r="AM408" s="15"/>
      <c r="AN408" s="16">
        <v>25000</v>
      </c>
      <c r="AO408" s="16">
        <v>25000</v>
      </c>
      <c r="AP408" s="16">
        <v>150000</v>
      </c>
      <c r="AQ408" s="16">
        <v>150000</v>
      </c>
      <c r="AR408" s="16">
        <v>25000</v>
      </c>
      <c r="AS408" s="22">
        <v>187200</v>
      </c>
      <c r="AT408" s="22">
        <v>0</v>
      </c>
      <c r="AU408" s="22">
        <v>90000</v>
      </c>
      <c r="AV408" s="22">
        <v>25000</v>
      </c>
      <c r="AW408" s="22">
        <v>40000</v>
      </c>
      <c r="AX408" s="66">
        <v>0</v>
      </c>
      <c r="AZ408" s="15" t="s">
        <v>562</v>
      </c>
      <c r="BA408" s="249">
        <f t="shared" si="13"/>
        <v>3</v>
      </c>
      <c r="BB408" s="249">
        <v>0</v>
      </c>
      <c r="BC408" s="249">
        <f t="shared" si="12"/>
        <v>2003</v>
      </c>
    </row>
    <row r="409" spans="1:55" x14ac:dyDescent="0.25">
      <c r="A409" s="50" t="s">
        <v>1855</v>
      </c>
      <c r="B409" s="63" t="s">
        <v>633</v>
      </c>
      <c r="C409" s="15" t="s">
        <v>337</v>
      </c>
      <c r="D409" s="15">
        <v>2007</v>
      </c>
      <c r="E409" s="15" t="s">
        <v>475</v>
      </c>
      <c r="F409" s="15"/>
      <c r="G409" s="15"/>
      <c r="H409" s="15"/>
      <c r="I409" s="15"/>
      <c r="J409" s="16">
        <v>793821</v>
      </c>
      <c r="K409" s="15"/>
      <c r="L409" s="15" t="s">
        <v>328</v>
      </c>
      <c r="M409" s="15"/>
      <c r="N409" s="16">
        <v>150000</v>
      </c>
      <c r="O409" s="21">
        <v>0.5</v>
      </c>
      <c r="P409" s="15">
        <v>3</v>
      </c>
      <c r="Q409" s="15">
        <v>1150</v>
      </c>
      <c r="R409" s="13">
        <v>7590.0000000000009</v>
      </c>
      <c r="S409" s="15" t="s">
        <v>340</v>
      </c>
      <c r="T409" s="15">
        <v>2.2000000000000002</v>
      </c>
      <c r="U409" s="15">
        <v>2.6</v>
      </c>
      <c r="V409" s="25">
        <v>5385.9964093357266</v>
      </c>
      <c r="W409" s="22">
        <v>60000</v>
      </c>
      <c r="X409" s="15"/>
      <c r="Y409" s="15"/>
      <c r="Z409" s="15"/>
      <c r="AA409" s="15"/>
      <c r="AB409" s="15"/>
      <c r="AC409" s="15" t="s">
        <v>328</v>
      </c>
      <c r="AD409" s="15" t="s">
        <v>328</v>
      </c>
      <c r="AE409" s="15"/>
      <c r="AF409" s="15"/>
      <c r="AG409" s="15"/>
      <c r="AH409" s="15"/>
      <c r="AI409" s="15"/>
      <c r="AJ409" s="15"/>
      <c r="AK409" s="15"/>
      <c r="AL409" s="15" t="s">
        <v>328</v>
      </c>
      <c r="AM409" s="15"/>
      <c r="AN409" s="16">
        <v>25000</v>
      </c>
      <c r="AO409" s="16">
        <v>25000</v>
      </c>
      <c r="AP409" s="16">
        <v>150000</v>
      </c>
      <c r="AQ409" s="16">
        <v>150000</v>
      </c>
      <c r="AR409" s="16">
        <v>25000</v>
      </c>
      <c r="AS409" s="22">
        <v>187200</v>
      </c>
      <c r="AT409" s="22">
        <v>0</v>
      </c>
      <c r="AU409" s="22">
        <v>90000</v>
      </c>
      <c r="AV409" s="22">
        <v>25000</v>
      </c>
      <c r="AW409" s="22">
        <v>42000</v>
      </c>
      <c r="AX409" s="66">
        <v>0</v>
      </c>
      <c r="AZ409" s="15" t="s">
        <v>562</v>
      </c>
      <c r="BA409" s="249">
        <f t="shared" si="13"/>
        <v>3</v>
      </c>
      <c r="BB409" s="249">
        <v>0</v>
      </c>
      <c r="BC409" s="249">
        <f t="shared" si="12"/>
        <v>2007</v>
      </c>
    </row>
    <row r="410" spans="1:55" x14ac:dyDescent="0.25">
      <c r="A410" s="50" t="s">
        <v>1855</v>
      </c>
      <c r="B410" s="63" t="s">
        <v>634</v>
      </c>
      <c r="C410" s="15" t="s">
        <v>337</v>
      </c>
      <c r="D410" s="15">
        <v>2001</v>
      </c>
      <c r="E410" s="15" t="s">
        <v>407</v>
      </c>
      <c r="F410" s="15"/>
      <c r="G410" s="15"/>
      <c r="H410" s="15"/>
      <c r="I410" s="15"/>
      <c r="J410" s="16">
        <v>846717</v>
      </c>
      <c r="K410" s="15"/>
      <c r="L410" s="15" t="s">
        <v>328</v>
      </c>
      <c r="M410" s="15"/>
      <c r="N410" s="16">
        <v>7000</v>
      </c>
      <c r="O410" s="21">
        <v>0.2</v>
      </c>
      <c r="P410" s="15">
        <v>2</v>
      </c>
      <c r="Q410" s="15">
        <v>908</v>
      </c>
      <c r="R410" s="13">
        <v>3813.6000000000004</v>
      </c>
      <c r="S410" s="15" t="s">
        <v>340</v>
      </c>
      <c r="T410" s="15">
        <v>2.1</v>
      </c>
      <c r="U410" s="15">
        <v>2.7</v>
      </c>
      <c r="V410" s="25">
        <v>4500</v>
      </c>
      <c r="W410" s="44">
        <v>63630</v>
      </c>
      <c r="X410" s="15"/>
      <c r="Y410" s="15"/>
      <c r="Z410" s="15"/>
      <c r="AA410" s="15"/>
      <c r="AB410" s="15" t="s">
        <v>328</v>
      </c>
      <c r="AC410" s="15"/>
      <c r="AD410" s="15" t="s">
        <v>332</v>
      </c>
      <c r="AE410" s="15"/>
      <c r="AF410" s="15"/>
      <c r="AG410" s="15"/>
      <c r="AH410" s="15"/>
      <c r="AI410" s="15"/>
      <c r="AJ410" s="15"/>
      <c r="AK410" s="15"/>
      <c r="AL410" s="15"/>
      <c r="AM410" s="15"/>
      <c r="AN410" s="16">
        <v>28000</v>
      </c>
      <c r="AO410" s="16">
        <v>28000</v>
      </c>
      <c r="AP410" s="16">
        <v>220000</v>
      </c>
      <c r="AQ410" s="16">
        <v>180000</v>
      </c>
      <c r="AR410" s="16">
        <v>28000</v>
      </c>
      <c r="AS410" s="22">
        <v>0</v>
      </c>
      <c r="AT410" s="22">
        <v>0</v>
      </c>
      <c r="AU410" s="22">
        <v>70000</v>
      </c>
      <c r="AV410" s="22">
        <v>30000</v>
      </c>
      <c r="AW410" s="22">
        <v>0</v>
      </c>
      <c r="AX410" s="66">
        <v>0</v>
      </c>
      <c r="AY410" s="17" t="s">
        <v>576</v>
      </c>
      <c r="AZ410" s="15" t="s">
        <v>562</v>
      </c>
      <c r="BA410" s="249">
        <f t="shared" si="13"/>
        <v>1</v>
      </c>
      <c r="BB410" s="249">
        <v>0</v>
      </c>
      <c r="BC410" s="249">
        <f t="shared" si="12"/>
        <v>2001</v>
      </c>
    </row>
    <row r="411" spans="1:55" x14ac:dyDescent="0.25">
      <c r="A411" s="50" t="s">
        <v>1855</v>
      </c>
      <c r="B411" s="63" t="s">
        <v>635</v>
      </c>
      <c r="C411" s="15" t="s">
        <v>337</v>
      </c>
      <c r="D411" s="15">
        <v>1997</v>
      </c>
      <c r="E411" s="15" t="s">
        <v>407</v>
      </c>
      <c r="F411" s="15"/>
      <c r="G411" s="15"/>
      <c r="H411" s="15"/>
      <c r="I411" s="15"/>
      <c r="J411" s="16">
        <v>1213634</v>
      </c>
      <c r="K411" s="15"/>
      <c r="L411" s="15" t="s">
        <v>328</v>
      </c>
      <c r="M411" s="15"/>
      <c r="N411" s="16">
        <v>8000</v>
      </c>
      <c r="O411" s="21">
        <v>0.3</v>
      </c>
      <c r="P411" s="15">
        <v>2</v>
      </c>
      <c r="Q411" s="15">
        <v>917</v>
      </c>
      <c r="R411" s="13">
        <v>4401.5999999999995</v>
      </c>
      <c r="S411" s="15" t="s">
        <v>340</v>
      </c>
      <c r="T411" s="15">
        <v>2.4</v>
      </c>
      <c r="U411" s="15">
        <v>2.9</v>
      </c>
      <c r="V411" s="25">
        <v>3590.6642728904844</v>
      </c>
      <c r="W411" s="22">
        <v>40000</v>
      </c>
      <c r="X411" s="15"/>
      <c r="Y411" s="15"/>
      <c r="Z411" s="15"/>
      <c r="AA411" s="15"/>
      <c r="AB411" s="15" t="s">
        <v>328</v>
      </c>
      <c r="AC411" s="15"/>
      <c r="AD411" s="15" t="s">
        <v>328</v>
      </c>
      <c r="AE411" s="15"/>
      <c r="AF411" s="15"/>
      <c r="AG411" s="15"/>
      <c r="AH411" s="15"/>
      <c r="AI411" s="15"/>
      <c r="AJ411" s="15"/>
      <c r="AK411" s="15"/>
      <c r="AL411" s="15"/>
      <c r="AM411" s="15"/>
      <c r="AN411" s="16">
        <v>25000</v>
      </c>
      <c r="AO411" s="16">
        <v>25000</v>
      </c>
      <c r="AP411" s="16">
        <v>150000</v>
      </c>
      <c r="AQ411" s="16">
        <v>150000</v>
      </c>
      <c r="AR411" s="16">
        <v>25000</v>
      </c>
      <c r="AS411" s="22">
        <v>0</v>
      </c>
      <c r="AT411" s="22">
        <v>0</v>
      </c>
      <c r="AU411" s="22">
        <v>50000</v>
      </c>
      <c r="AV411" s="22">
        <v>30000</v>
      </c>
      <c r="AW411" s="22">
        <v>22000</v>
      </c>
      <c r="AX411" s="66">
        <v>0</v>
      </c>
      <c r="AY411" s="17" t="s">
        <v>576</v>
      </c>
      <c r="AZ411" s="15" t="s">
        <v>562</v>
      </c>
      <c r="BA411" s="249">
        <f t="shared" si="13"/>
        <v>1</v>
      </c>
      <c r="BB411" s="249">
        <v>0</v>
      </c>
      <c r="BC411" s="249">
        <f t="shared" si="12"/>
        <v>1997</v>
      </c>
    </row>
    <row r="412" spans="1:55" x14ac:dyDescent="0.25">
      <c r="A412" s="50" t="s">
        <v>1855</v>
      </c>
      <c r="B412" s="63" t="s">
        <v>636</v>
      </c>
      <c r="C412" s="14" t="s">
        <v>351</v>
      </c>
      <c r="D412" s="15">
        <v>2001</v>
      </c>
      <c r="E412" s="15" t="s">
        <v>407</v>
      </c>
      <c r="F412" s="15"/>
      <c r="G412" s="15"/>
      <c r="H412" s="15"/>
      <c r="I412" s="15"/>
      <c r="J412" s="16">
        <v>781235</v>
      </c>
      <c r="K412" s="15"/>
      <c r="L412" s="15" t="s">
        <v>328</v>
      </c>
      <c r="M412" s="15"/>
      <c r="N412" s="16">
        <v>4000</v>
      </c>
      <c r="O412" s="21">
        <v>0.5</v>
      </c>
      <c r="P412" s="15">
        <v>2</v>
      </c>
      <c r="Q412" s="15" t="s">
        <v>352</v>
      </c>
      <c r="R412" s="16" t="s">
        <v>352</v>
      </c>
      <c r="S412" s="15" t="s">
        <v>340</v>
      </c>
      <c r="T412" s="15">
        <v>3.2</v>
      </c>
      <c r="U412" s="15">
        <v>3.8</v>
      </c>
      <c r="V412" s="25">
        <v>1346.4991023339317</v>
      </c>
      <c r="W412" s="22">
        <v>15000</v>
      </c>
      <c r="X412" s="15"/>
      <c r="Y412" s="15"/>
      <c r="Z412" s="15"/>
      <c r="AA412" s="15"/>
      <c r="AB412" s="15" t="s">
        <v>328</v>
      </c>
      <c r="AC412" s="15"/>
      <c r="AD412" s="15" t="s">
        <v>328</v>
      </c>
      <c r="AE412" s="15"/>
      <c r="AF412" s="15"/>
      <c r="AG412" s="15"/>
      <c r="AH412" s="15"/>
      <c r="AI412" s="15"/>
      <c r="AJ412" s="15"/>
      <c r="AK412" s="15"/>
      <c r="AL412" s="15" t="s">
        <v>328</v>
      </c>
      <c r="AM412" s="15"/>
      <c r="AN412" s="16">
        <v>20000</v>
      </c>
      <c r="AO412" s="16">
        <v>40000</v>
      </c>
      <c r="AP412" s="16">
        <v>120000</v>
      </c>
      <c r="AQ412" s="16">
        <v>120000</v>
      </c>
      <c r="AR412" s="16">
        <v>40000</v>
      </c>
      <c r="AS412" s="22">
        <v>90000</v>
      </c>
      <c r="AT412" s="22">
        <v>0</v>
      </c>
      <c r="AU412" s="22">
        <v>30000</v>
      </c>
      <c r="AV412" s="22">
        <v>20000</v>
      </c>
      <c r="AW412" s="22">
        <v>18000</v>
      </c>
      <c r="AX412" s="66">
        <v>0</v>
      </c>
      <c r="AY412" s="17" t="s">
        <v>583</v>
      </c>
      <c r="AZ412" s="15" t="s">
        <v>351</v>
      </c>
      <c r="BA412" s="249">
        <f t="shared" si="13"/>
        <v>4</v>
      </c>
      <c r="BB412" s="249">
        <v>0</v>
      </c>
      <c r="BC412" s="249">
        <f t="shared" si="12"/>
        <v>2001</v>
      </c>
    </row>
    <row r="413" spans="1:55" x14ac:dyDescent="0.25">
      <c r="A413" s="50" t="s">
        <v>1855</v>
      </c>
      <c r="B413" s="63" t="s">
        <v>636</v>
      </c>
      <c r="C413" s="14" t="s">
        <v>351</v>
      </c>
      <c r="D413" s="15">
        <v>2002</v>
      </c>
      <c r="E413" s="15" t="s">
        <v>407</v>
      </c>
      <c r="F413" s="15"/>
      <c r="G413" s="15"/>
      <c r="H413" s="15"/>
      <c r="I413" s="15"/>
      <c r="J413" s="16">
        <v>815954</v>
      </c>
      <c r="K413" s="15"/>
      <c r="L413" s="15" t="s">
        <v>328</v>
      </c>
      <c r="M413" s="15"/>
      <c r="N413" s="16">
        <v>4800</v>
      </c>
      <c r="O413" s="21">
        <v>0.5</v>
      </c>
      <c r="P413" s="15">
        <v>2</v>
      </c>
      <c r="Q413" s="15" t="s">
        <v>352</v>
      </c>
      <c r="R413" s="16" t="s">
        <v>352</v>
      </c>
      <c r="S413" s="15" t="s">
        <v>340</v>
      </c>
      <c r="T413" s="15">
        <v>3.3</v>
      </c>
      <c r="U413" s="15">
        <v>3.8</v>
      </c>
      <c r="V413" s="25">
        <v>1526.0323159784559</v>
      </c>
      <c r="W413" s="22">
        <v>17000</v>
      </c>
      <c r="X413" s="15"/>
      <c r="Y413" s="15"/>
      <c r="Z413" s="15"/>
      <c r="AA413" s="15"/>
      <c r="AB413" s="15" t="s">
        <v>328</v>
      </c>
      <c r="AC413" s="15"/>
      <c r="AD413" s="15" t="s">
        <v>328</v>
      </c>
      <c r="AE413" s="15"/>
      <c r="AF413" s="15"/>
      <c r="AG413" s="15"/>
      <c r="AH413" s="15"/>
      <c r="AI413" s="15"/>
      <c r="AJ413" s="15"/>
      <c r="AK413" s="15"/>
      <c r="AL413" s="15" t="s">
        <v>328</v>
      </c>
      <c r="AM413" s="15"/>
      <c r="AN413" s="16">
        <v>19000</v>
      </c>
      <c r="AO413" s="16">
        <v>38000</v>
      </c>
      <c r="AP413" s="16">
        <v>120000</v>
      </c>
      <c r="AQ413" s="16">
        <v>120000</v>
      </c>
      <c r="AR413" s="16">
        <v>38000</v>
      </c>
      <c r="AS413" s="22">
        <v>120000</v>
      </c>
      <c r="AT413" s="22">
        <v>0</v>
      </c>
      <c r="AU413" s="22">
        <v>30000</v>
      </c>
      <c r="AV413" s="22">
        <v>20000</v>
      </c>
      <c r="AW413" s="22">
        <v>18000</v>
      </c>
      <c r="AX413" s="66">
        <v>0</v>
      </c>
      <c r="AY413" s="17" t="s">
        <v>583</v>
      </c>
      <c r="AZ413" s="15" t="s">
        <v>351</v>
      </c>
      <c r="BA413" s="249">
        <f t="shared" si="13"/>
        <v>4</v>
      </c>
      <c r="BB413" s="249">
        <v>0</v>
      </c>
      <c r="BC413" s="249">
        <f t="shared" si="12"/>
        <v>2002</v>
      </c>
    </row>
    <row r="414" spans="1:55" x14ac:dyDescent="0.25">
      <c r="A414" s="50" t="s">
        <v>1855</v>
      </c>
      <c r="B414" s="63" t="s">
        <v>636</v>
      </c>
      <c r="C414" s="14" t="s">
        <v>351</v>
      </c>
      <c r="D414" s="15">
        <v>2002</v>
      </c>
      <c r="E414" s="15" t="s">
        <v>407</v>
      </c>
      <c r="F414" s="15"/>
      <c r="G414" s="15"/>
      <c r="H414" s="15"/>
      <c r="I414" s="15"/>
      <c r="J414" s="16">
        <v>679213</v>
      </c>
      <c r="K414" s="15"/>
      <c r="L414" s="15" t="s">
        <v>328</v>
      </c>
      <c r="M414" s="15"/>
      <c r="N414" s="16">
        <v>4800</v>
      </c>
      <c r="O414" s="21">
        <v>0.5</v>
      </c>
      <c r="P414" s="15">
        <v>2</v>
      </c>
      <c r="Q414" s="15" t="s">
        <v>352</v>
      </c>
      <c r="R414" s="16" t="s">
        <v>352</v>
      </c>
      <c r="S414" s="15" t="s">
        <v>340</v>
      </c>
      <c r="T414" s="15">
        <v>3.3</v>
      </c>
      <c r="U414" s="15">
        <v>3.9</v>
      </c>
      <c r="V414" s="25">
        <v>1526.0323159784559</v>
      </c>
      <c r="W414" s="22">
        <v>17000</v>
      </c>
      <c r="X414" s="15"/>
      <c r="Y414" s="15"/>
      <c r="Z414" s="15"/>
      <c r="AA414" s="15"/>
      <c r="AB414" s="15" t="s">
        <v>328</v>
      </c>
      <c r="AC414" s="15"/>
      <c r="AD414" s="15" t="s">
        <v>328</v>
      </c>
      <c r="AE414" s="15"/>
      <c r="AF414" s="15"/>
      <c r="AG414" s="15"/>
      <c r="AH414" s="15"/>
      <c r="AI414" s="15"/>
      <c r="AJ414" s="15"/>
      <c r="AK414" s="15"/>
      <c r="AL414" s="15" t="s">
        <v>328</v>
      </c>
      <c r="AM414" s="15"/>
      <c r="AN414" s="16">
        <v>19000</v>
      </c>
      <c r="AO414" s="16">
        <v>38000</v>
      </c>
      <c r="AP414" s="16">
        <v>120000</v>
      </c>
      <c r="AQ414" s="16">
        <v>120000</v>
      </c>
      <c r="AR414" s="16">
        <v>38000</v>
      </c>
      <c r="AS414" s="22">
        <v>120000</v>
      </c>
      <c r="AT414" s="22">
        <v>0</v>
      </c>
      <c r="AU414" s="22">
        <v>30000</v>
      </c>
      <c r="AV414" s="22">
        <v>20000</v>
      </c>
      <c r="AW414" s="22">
        <v>18000</v>
      </c>
      <c r="AX414" s="66">
        <v>0</v>
      </c>
      <c r="AY414" s="17" t="s">
        <v>583</v>
      </c>
      <c r="AZ414" s="15" t="s">
        <v>351</v>
      </c>
      <c r="BA414" s="249">
        <f t="shared" si="13"/>
        <v>4</v>
      </c>
      <c r="BB414" s="249">
        <v>0</v>
      </c>
      <c r="BC414" s="249">
        <f t="shared" si="12"/>
        <v>2002</v>
      </c>
    </row>
    <row r="415" spans="1:55" x14ac:dyDescent="0.25">
      <c r="A415" s="50" t="s">
        <v>1855</v>
      </c>
      <c r="B415" s="63" t="s">
        <v>636</v>
      </c>
      <c r="C415" s="14" t="s">
        <v>351</v>
      </c>
      <c r="D415" s="15">
        <v>2006</v>
      </c>
      <c r="E415" s="15" t="s">
        <v>407</v>
      </c>
      <c r="F415" s="15"/>
      <c r="G415" s="15"/>
      <c r="H415" s="15"/>
      <c r="I415" s="15"/>
      <c r="J415" s="16">
        <v>633702</v>
      </c>
      <c r="K415" s="15"/>
      <c r="L415" s="15" t="s">
        <v>328</v>
      </c>
      <c r="M415" s="15"/>
      <c r="N415" s="16">
        <v>4800</v>
      </c>
      <c r="O415" s="21">
        <v>0.5</v>
      </c>
      <c r="P415" s="15">
        <v>2</v>
      </c>
      <c r="Q415" s="15" t="s">
        <v>352</v>
      </c>
      <c r="R415" s="16" t="s">
        <v>352</v>
      </c>
      <c r="S415" s="15" t="s">
        <v>340</v>
      </c>
      <c r="T415" s="15">
        <v>3.3</v>
      </c>
      <c r="U415" s="15">
        <v>3.9</v>
      </c>
      <c r="V415" s="25">
        <v>1526.0323159784559</v>
      </c>
      <c r="W415" s="22">
        <v>17000</v>
      </c>
      <c r="X415" s="15"/>
      <c r="Y415" s="15"/>
      <c r="Z415" s="15"/>
      <c r="AA415" s="15"/>
      <c r="AB415" s="15"/>
      <c r="AC415" s="15" t="s">
        <v>328</v>
      </c>
      <c r="AD415" s="15" t="s">
        <v>328</v>
      </c>
      <c r="AE415" s="15"/>
      <c r="AF415" s="15"/>
      <c r="AG415" s="15"/>
      <c r="AH415" s="15"/>
      <c r="AI415" s="15"/>
      <c r="AJ415" s="15"/>
      <c r="AK415" s="15"/>
      <c r="AL415" s="15" t="s">
        <v>328</v>
      </c>
      <c r="AM415" s="15"/>
      <c r="AN415" s="16">
        <v>19000</v>
      </c>
      <c r="AO415" s="16">
        <v>38000</v>
      </c>
      <c r="AP415" s="16">
        <v>120000</v>
      </c>
      <c r="AQ415" s="16">
        <v>120000</v>
      </c>
      <c r="AR415" s="16">
        <v>38000</v>
      </c>
      <c r="AS415" s="22">
        <v>120000</v>
      </c>
      <c r="AT415" s="22">
        <v>0</v>
      </c>
      <c r="AU415" s="22">
        <v>30000</v>
      </c>
      <c r="AV415" s="22">
        <v>20000</v>
      </c>
      <c r="AW415" s="22">
        <v>18000</v>
      </c>
      <c r="AX415" s="66">
        <v>0</v>
      </c>
      <c r="AY415" s="17" t="s">
        <v>688</v>
      </c>
      <c r="AZ415" s="15" t="s">
        <v>351</v>
      </c>
      <c r="BA415" s="249">
        <f t="shared" si="13"/>
        <v>4</v>
      </c>
      <c r="BB415" s="249">
        <v>0</v>
      </c>
      <c r="BC415" s="249">
        <f t="shared" si="12"/>
        <v>2006</v>
      </c>
    </row>
    <row r="416" spans="1:55" x14ac:dyDescent="0.25">
      <c r="A416" s="50" t="s">
        <v>1855</v>
      </c>
      <c r="B416" s="63" t="s">
        <v>637</v>
      </c>
      <c r="C416" s="14" t="s">
        <v>351</v>
      </c>
      <c r="D416" s="15">
        <v>1997</v>
      </c>
      <c r="E416" s="15" t="s">
        <v>690</v>
      </c>
      <c r="F416" s="15"/>
      <c r="G416" s="15"/>
      <c r="H416" s="15"/>
      <c r="I416" s="15"/>
      <c r="J416" s="16">
        <v>1152000</v>
      </c>
      <c r="K416" s="15"/>
      <c r="L416" s="15"/>
      <c r="M416" s="15" t="s">
        <v>328</v>
      </c>
      <c r="N416" s="16">
        <v>6000</v>
      </c>
      <c r="O416" s="21">
        <v>0.2</v>
      </c>
      <c r="P416" s="15">
        <v>2</v>
      </c>
      <c r="Q416" s="15">
        <v>400</v>
      </c>
      <c r="R416" s="16">
        <v>3279.9999999999995</v>
      </c>
      <c r="S416" s="15" t="s">
        <v>340</v>
      </c>
      <c r="T416" s="15">
        <v>4.0999999999999996</v>
      </c>
      <c r="U416" s="15">
        <v>4.5999999999999996</v>
      </c>
      <c r="V416" s="25">
        <v>1615.7989228007179</v>
      </c>
      <c r="W416" s="22">
        <v>18000</v>
      </c>
      <c r="X416" s="15"/>
      <c r="Y416" s="15"/>
      <c r="Z416" s="15" t="s">
        <v>328</v>
      </c>
      <c r="AA416" s="15"/>
      <c r="AB416" s="15"/>
      <c r="AC416" s="15"/>
      <c r="AD416" s="15" t="s">
        <v>332</v>
      </c>
      <c r="AE416" s="15"/>
      <c r="AF416" s="15"/>
      <c r="AG416" s="15"/>
      <c r="AH416" s="15"/>
      <c r="AI416" s="15"/>
      <c r="AJ416" s="15"/>
      <c r="AK416" s="15"/>
      <c r="AL416" s="15"/>
      <c r="AM416" s="15"/>
      <c r="AN416" s="16">
        <v>30000</v>
      </c>
      <c r="AO416" s="16">
        <v>30000</v>
      </c>
      <c r="AP416" s="16"/>
      <c r="AQ416" s="16"/>
      <c r="AR416" s="16"/>
      <c r="AS416" s="22">
        <v>0</v>
      </c>
      <c r="AT416" s="22">
        <v>0</v>
      </c>
      <c r="AU416" s="22">
        <v>0</v>
      </c>
      <c r="AV416" s="22">
        <v>36000</v>
      </c>
      <c r="AW416" s="22">
        <v>0</v>
      </c>
      <c r="AX416" s="66">
        <v>0</v>
      </c>
      <c r="AY416" s="17" t="s">
        <v>689</v>
      </c>
      <c r="AZ416" s="15" t="s">
        <v>351</v>
      </c>
      <c r="BA416" s="249">
        <f t="shared" si="13"/>
        <v>1</v>
      </c>
      <c r="BB416" s="249">
        <v>0</v>
      </c>
      <c r="BC416" s="249">
        <f t="shared" si="12"/>
        <v>1997</v>
      </c>
    </row>
    <row r="417" spans="1:55" x14ac:dyDescent="0.25">
      <c r="A417" s="50" t="s">
        <v>1855</v>
      </c>
      <c r="B417" s="63" t="s">
        <v>638</v>
      </c>
      <c r="C417" s="14" t="s">
        <v>351</v>
      </c>
      <c r="D417" s="15">
        <v>1988</v>
      </c>
      <c r="E417" s="15" t="s">
        <v>581</v>
      </c>
      <c r="F417" s="15"/>
      <c r="G417" s="15"/>
      <c r="H417" s="15"/>
      <c r="I417" s="15"/>
      <c r="J417" s="16">
        <v>1800000</v>
      </c>
      <c r="K417" s="15"/>
      <c r="L417" s="15"/>
      <c r="M417" s="15" t="s">
        <v>328</v>
      </c>
      <c r="N417" s="16">
        <v>6000</v>
      </c>
      <c r="O417" s="21">
        <v>0.1</v>
      </c>
      <c r="P417" s="15">
        <v>2</v>
      </c>
      <c r="Q417" s="15">
        <v>400</v>
      </c>
      <c r="R417" s="16">
        <v>3440</v>
      </c>
      <c r="S417" s="15" t="s">
        <v>340</v>
      </c>
      <c r="T417" s="15">
        <v>4.3</v>
      </c>
      <c r="U417" s="15">
        <v>4.7</v>
      </c>
      <c r="V417" s="25">
        <v>1481.1490125673249</v>
      </c>
      <c r="W417" s="22">
        <v>16500</v>
      </c>
      <c r="X417" s="15"/>
      <c r="Y417" s="15"/>
      <c r="Z417" s="15"/>
      <c r="AA417" s="15"/>
      <c r="AB417" s="15" t="s">
        <v>328</v>
      </c>
      <c r="AC417" s="15"/>
      <c r="AD417" s="15" t="s">
        <v>332</v>
      </c>
      <c r="AE417" s="15"/>
      <c r="AF417" s="15"/>
      <c r="AG417" s="15"/>
      <c r="AH417" s="15"/>
      <c r="AI417" s="15"/>
      <c r="AJ417" s="15"/>
      <c r="AK417" s="15"/>
      <c r="AL417" s="15"/>
      <c r="AM417" s="15"/>
      <c r="AN417" s="16">
        <v>24500</v>
      </c>
      <c r="AO417" s="16">
        <v>24500</v>
      </c>
      <c r="AP417" s="16">
        <v>100000</v>
      </c>
      <c r="AQ417" s="16">
        <v>100000</v>
      </c>
      <c r="AR417" s="16">
        <v>24500</v>
      </c>
      <c r="AS417" s="22">
        <v>0</v>
      </c>
      <c r="AT417" s="22">
        <v>0</v>
      </c>
      <c r="AU417" s="22">
        <v>36000</v>
      </c>
      <c r="AV417" s="22">
        <v>24000</v>
      </c>
      <c r="AW417" s="22">
        <v>0</v>
      </c>
      <c r="AX417" s="66">
        <v>0</v>
      </c>
      <c r="AZ417" s="15" t="s">
        <v>351</v>
      </c>
      <c r="BA417" s="249">
        <f t="shared" si="13"/>
        <v>1</v>
      </c>
      <c r="BB417" s="249">
        <v>0</v>
      </c>
      <c r="BC417" s="249">
        <f t="shared" si="12"/>
        <v>1988</v>
      </c>
    </row>
    <row r="418" spans="1:55" x14ac:dyDescent="0.25">
      <c r="A418" s="50" t="s">
        <v>1855</v>
      </c>
      <c r="B418" s="63" t="s">
        <v>639</v>
      </c>
      <c r="C418" s="15" t="s">
        <v>337</v>
      </c>
      <c r="D418" s="15">
        <v>2001</v>
      </c>
      <c r="E418" s="15" t="s">
        <v>407</v>
      </c>
      <c r="F418" s="15"/>
      <c r="G418" s="15"/>
      <c r="H418" s="15"/>
      <c r="I418" s="15"/>
      <c r="J418" s="16">
        <v>993814</v>
      </c>
      <c r="K418" s="15"/>
      <c r="L418" s="15" t="s">
        <v>328</v>
      </c>
      <c r="M418" s="15"/>
      <c r="N418" s="16">
        <v>2000</v>
      </c>
      <c r="O418" s="21">
        <v>0.1</v>
      </c>
      <c r="P418" s="15">
        <v>3</v>
      </c>
      <c r="Q418" s="15">
        <v>1300</v>
      </c>
      <c r="R418" s="16">
        <v>9360</v>
      </c>
      <c r="S418" s="15" t="s">
        <v>340</v>
      </c>
      <c r="T418" s="15">
        <v>2.4</v>
      </c>
      <c r="U418" s="15">
        <v>2.7</v>
      </c>
      <c r="V418" s="25">
        <v>4039.497307001795</v>
      </c>
      <c r="W418" s="22">
        <v>45000</v>
      </c>
      <c r="X418" s="15"/>
      <c r="Y418" s="15"/>
      <c r="Z418" s="15"/>
      <c r="AA418" s="15"/>
      <c r="AB418" s="15" t="s">
        <v>328</v>
      </c>
      <c r="AC418" s="15"/>
      <c r="AD418" s="15" t="s">
        <v>328</v>
      </c>
      <c r="AE418" s="15"/>
      <c r="AF418" s="15"/>
      <c r="AG418" s="15"/>
      <c r="AH418" s="15"/>
      <c r="AI418" s="15"/>
      <c r="AJ418" s="15"/>
      <c r="AK418" s="15"/>
      <c r="AL418" s="15"/>
      <c r="AM418" s="15"/>
      <c r="AN418" s="16">
        <v>24000</v>
      </c>
      <c r="AO418" s="16">
        <v>24000</v>
      </c>
      <c r="AP418" s="16">
        <v>150000</v>
      </c>
      <c r="AQ418" s="16">
        <v>120000</v>
      </c>
      <c r="AR418" s="16"/>
      <c r="AS418" s="22">
        <v>192000</v>
      </c>
      <c r="AT418" s="22">
        <v>0</v>
      </c>
      <c r="AU418" s="22">
        <v>60000</v>
      </c>
      <c r="AV418" s="22">
        <v>24000</v>
      </c>
      <c r="AW418" s="22">
        <v>36000</v>
      </c>
      <c r="AX418" s="66">
        <v>0</v>
      </c>
      <c r="AY418" s="17" t="s">
        <v>576</v>
      </c>
      <c r="AZ418" s="15" t="s">
        <v>562</v>
      </c>
      <c r="BA418" s="249">
        <f t="shared" si="13"/>
        <v>1</v>
      </c>
      <c r="BB418" s="249">
        <v>0</v>
      </c>
      <c r="BC418" s="249">
        <f t="shared" si="12"/>
        <v>2001</v>
      </c>
    </row>
    <row r="419" spans="1:55" x14ac:dyDescent="0.25">
      <c r="A419" s="50" t="s">
        <v>1855</v>
      </c>
      <c r="B419" s="63" t="s">
        <v>640</v>
      </c>
      <c r="C419" s="15" t="s">
        <v>337</v>
      </c>
      <c r="D419" s="15">
        <v>2004</v>
      </c>
      <c r="E419" s="15" t="s">
        <v>407</v>
      </c>
      <c r="F419" s="15"/>
      <c r="G419" s="15"/>
      <c r="H419" s="15"/>
      <c r="I419" s="15"/>
      <c r="J419" s="16">
        <v>1080000</v>
      </c>
      <c r="K419" s="15"/>
      <c r="L419" s="15" t="s">
        <v>328</v>
      </c>
      <c r="M419" s="15"/>
      <c r="N419" s="16">
        <v>10000</v>
      </c>
      <c r="O419" s="21">
        <v>0.05</v>
      </c>
      <c r="P419" s="15">
        <v>2</v>
      </c>
      <c r="Q419" s="15">
        <v>950</v>
      </c>
      <c r="R419" s="16">
        <v>4940</v>
      </c>
      <c r="S419" s="15" t="s">
        <v>340</v>
      </c>
      <c r="T419" s="15">
        <v>2.6</v>
      </c>
      <c r="U419" s="15">
        <v>2.9</v>
      </c>
      <c r="V419" s="25">
        <v>4488.3303411131055</v>
      </c>
      <c r="W419" s="22">
        <v>50000</v>
      </c>
      <c r="X419" s="15"/>
      <c r="Y419" s="15"/>
      <c r="Z419" s="15"/>
      <c r="AA419" s="15"/>
      <c r="AB419" s="15" t="s">
        <v>328</v>
      </c>
      <c r="AC419" s="15"/>
      <c r="AD419" s="15" t="s">
        <v>328</v>
      </c>
      <c r="AE419" s="15"/>
      <c r="AF419" s="15"/>
      <c r="AG419" s="15"/>
      <c r="AH419" s="15"/>
      <c r="AI419" s="15"/>
      <c r="AJ419" s="15"/>
      <c r="AK419" s="15"/>
      <c r="AL419" s="15"/>
      <c r="AM419" s="15"/>
      <c r="AN419" s="16">
        <v>25000</v>
      </c>
      <c r="AO419" s="16">
        <v>25000</v>
      </c>
      <c r="AP419" s="16">
        <v>120000</v>
      </c>
      <c r="AQ419" s="16">
        <v>120000</v>
      </c>
      <c r="AR419" s="16">
        <v>25000</v>
      </c>
      <c r="AS419" s="22">
        <v>210000</v>
      </c>
      <c r="AT419" s="22">
        <v>0</v>
      </c>
      <c r="AU419" s="22">
        <v>90000</v>
      </c>
      <c r="AV419" s="22">
        <v>0</v>
      </c>
      <c r="AW419" s="22">
        <v>24000</v>
      </c>
      <c r="AX419" s="66">
        <v>0</v>
      </c>
      <c r="AY419" s="17" t="s">
        <v>688</v>
      </c>
      <c r="AZ419" s="15" t="s">
        <v>562</v>
      </c>
      <c r="BA419" s="249">
        <f t="shared" si="13"/>
        <v>2</v>
      </c>
      <c r="BB419" s="249">
        <v>0</v>
      </c>
      <c r="BC419" s="249">
        <f t="shared" si="12"/>
        <v>2004</v>
      </c>
    </row>
    <row r="420" spans="1:55" x14ac:dyDescent="0.25">
      <c r="A420" s="50" t="s">
        <v>1855</v>
      </c>
      <c r="B420" s="63" t="s">
        <v>640</v>
      </c>
      <c r="C420" s="15" t="s">
        <v>337</v>
      </c>
      <c r="D420" s="15">
        <v>2007</v>
      </c>
      <c r="E420" s="15" t="s">
        <v>407</v>
      </c>
      <c r="F420" s="15"/>
      <c r="G420" s="15"/>
      <c r="H420" s="15"/>
      <c r="I420" s="15"/>
      <c r="J420" s="16">
        <v>720000</v>
      </c>
      <c r="K420" s="15"/>
      <c r="L420" s="15" t="s">
        <v>328</v>
      </c>
      <c r="M420" s="15"/>
      <c r="N420" s="16">
        <v>10000</v>
      </c>
      <c r="O420" s="21">
        <v>0.05</v>
      </c>
      <c r="P420" s="15">
        <v>2</v>
      </c>
      <c r="Q420" s="15">
        <v>950</v>
      </c>
      <c r="R420" s="16">
        <v>4940</v>
      </c>
      <c r="S420" s="15" t="s">
        <v>340</v>
      </c>
      <c r="T420" s="15">
        <v>2.6</v>
      </c>
      <c r="U420" s="15">
        <v>2.9</v>
      </c>
      <c r="V420" s="25">
        <v>4488.3303411131055</v>
      </c>
      <c r="W420" s="22">
        <v>50000</v>
      </c>
      <c r="X420" s="15"/>
      <c r="Y420" s="15"/>
      <c r="Z420" s="15"/>
      <c r="AA420" s="15"/>
      <c r="AB420" s="15" t="s">
        <v>328</v>
      </c>
      <c r="AC420" s="15"/>
      <c r="AD420" s="15" t="s">
        <v>328</v>
      </c>
      <c r="AE420" s="15"/>
      <c r="AF420" s="15"/>
      <c r="AG420" s="15"/>
      <c r="AH420" s="15"/>
      <c r="AI420" s="15"/>
      <c r="AJ420" s="15"/>
      <c r="AK420" s="15"/>
      <c r="AL420" s="15"/>
      <c r="AM420" s="15"/>
      <c r="AN420" s="16">
        <v>25000</v>
      </c>
      <c r="AO420" s="16">
        <v>25000</v>
      </c>
      <c r="AP420" s="16">
        <v>120000</v>
      </c>
      <c r="AQ420" s="16">
        <v>120000</v>
      </c>
      <c r="AR420" s="16">
        <v>25000</v>
      </c>
      <c r="AS420" s="22">
        <v>210000</v>
      </c>
      <c r="AT420" s="22">
        <v>0</v>
      </c>
      <c r="AU420" s="22">
        <v>90000</v>
      </c>
      <c r="AV420" s="22">
        <v>0</v>
      </c>
      <c r="AW420" s="22">
        <v>24000</v>
      </c>
      <c r="AX420" s="66">
        <v>0</v>
      </c>
      <c r="AY420" s="17" t="s">
        <v>688</v>
      </c>
      <c r="AZ420" s="15" t="s">
        <v>562</v>
      </c>
      <c r="BA420" s="249">
        <f t="shared" si="13"/>
        <v>2</v>
      </c>
      <c r="BB420" s="249">
        <v>0</v>
      </c>
      <c r="BC420" s="249">
        <f t="shared" si="12"/>
        <v>2007</v>
      </c>
    </row>
    <row r="421" spans="1:55" x14ac:dyDescent="0.25">
      <c r="A421" s="50" t="s">
        <v>1855</v>
      </c>
      <c r="B421" s="63" t="s">
        <v>641</v>
      </c>
      <c r="C421" s="15" t="s">
        <v>337</v>
      </c>
      <c r="D421" s="15">
        <v>2007</v>
      </c>
      <c r="E421" s="15" t="s">
        <v>407</v>
      </c>
      <c r="F421" s="15"/>
      <c r="G421" s="15"/>
      <c r="H421" s="15"/>
      <c r="I421" s="15"/>
      <c r="J421" s="16">
        <v>648000</v>
      </c>
      <c r="K421" s="15"/>
      <c r="L421" s="15" t="s">
        <v>328</v>
      </c>
      <c r="M421" s="15"/>
      <c r="N421" s="16">
        <v>9000</v>
      </c>
      <c r="O421" s="21">
        <v>0.5</v>
      </c>
      <c r="P421" s="15">
        <v>2</v>
      </c>
      <c r="Q421" s="15">
        <v>900</v>
      </c>
      <c r="R421" s="16">
        <v>4860</v>
      </c>
      <c r="S421" s="15" t="s">
        <v>340</v>
      </c>
      <c r="T421" s="15">
        <v>2.7</v>
      </c>
      <c r="U421" s="15">
        <v>2.9</v>
      </c>
      <c r="V421" s="25">
        <v>3590.6642728904844</v>
      </c>
      <c r="W421" s="22">
        <v>40000</v>
      </c>
      <c r="X421" s="15"/>
      <c r="Y421" s="15" t="s">
        <v>328</v>
      </c>
      <c r="Z421" s="15"/>
      <c r="AA421" s="15"/>
      <c r="AB421" s="15"/>
      <c r="AC421" s="15"/>
      <c r="AD421" s="15" t="s">
        <v>328</v>
      </c>
      <c r="AE421" s="15"/>
      <c r="AF421" s="15"/>
      <c r="AG421" s="15"/>
      <c r="AH421" s="15"/>
      <c r="AI421" s="15"/>
      <c r="AJ421" s="15"/>
      <c r="AK421" s="15"/>
      <c r="AL421" s="15" t="s">
        <v>328</v>
      </c>
      <c r="AM421" s="15"/>
      <c r="AN421" s="16">
        <v>27000</v>
      </c>
      <c r="AO421" s="16">
        <v>27000</v>
      </c>
      <c r="AP421" s="16">
        <v>120000</v>
      </c>
      <c r="AQ421" s="16">
        <v>120000</v>
      </c>
      <c r="AR421" s="16">
        <v>27000</v>
      </c>
      <c r="AS421" s="22">
        <v>180000</v>
      </c>
      <c r="AT421" s="22">
        <v>0</v>
      </c>
      <c r="AU421" s="22">
        <v>81000</v>
      </c>
      <c r="AV421" s="22">
        <v>12000</v>
      </c>
      <c r="AW421" s="22">
        <v>36000</v>
      </c>
      <c r="AX421" s="66">
        <v>0</v>
      </c>
      <c r="AY421" s="17" t="s">
        <v>688</v>
      </c>
      <c r="AZ421" s="15" t="s">
        <v>562</v>
      </c>
      <c r="BA421" s="249">
        <f t="shared" si="13"/>
        <v>3</v>
      </c>
      <c r="BB421" s="249">
        <v>0</v>
      </c>
      <c r="BC421" s="249">
        <f t="shared" si="12"/>
        <v>2007</v>
      </c>
    </row>
    <row r="422" spans="1:55" x14ac:dyDescent="0.25">
      <c r="A422" s="50" t="s">
        <v>1855</v>
      </c>
      <c r="B422" s="63" t="s">
        <v>641</v>
      </c>
      <c r="C422" s="15" t="s">
        <v>337</v>
      </c>
      <c r="D422" s="15">
        <v>2008</v>
      </c>
      <c r="E422" s="15" t="s">
        <v>407</v>
      </c>
      <c r="F422" s="15"/>
      <c r="G422" s="15"/>
      <c r="H422" s="15"/>
      <c r="I422" s="15"/>
      <c r="J422" s="16">
        <v>540000</v>
      </c>
      <c r="K422" s="15" t="s">
        <v>328</v>
      </c>
      <c r="L422" s="15"/>
      <c r="M422" s="15"/>
      <c r="N422" s="16">
        <v>9000</v>
      </c>
      <c r="O422" s="21">
        <v>0.5</v>
      </c>
      <c r="P422" s="15">
        <v>2</v>
      </c>
      <c r="Q422" s="15">
        <v>900</v>
      </c>
      <c r="R422" s="16">
        <v>4860</v>
      </c>
      <c r="S422" s="15" t="s">
        <v>340</v>
      </c>
      <c r="T422" s="15">
        <v>2.7</v>
      </c>
      <c r="U422" s="15">
        <v>2.9</v>
      </c>
      <c r="V422" s="25">
        <v>3590.6642728904844</v>
      </c>
      <c r="W422" s="22">
        <v>40000</v>
      </c>
      <c r="X422" s="15"/>
      <c r="Y422" s="15" t="s">
        <v>328</v>
      </c>
      <c r="Z422" s="15"/>
      <c r="AA422" s="15"/>
      <c r="AB422" s="15"/>
      <c r="AC422" s="15"/>
      <c r="AD422" s="15" t="s">
        <v>328</v>
      </c>
      <c r="AE422" s="15"/>
      <c r="AF422" s="15"/>
      <c r="AG422" s="15"/>
      <c r="AH422" s="15"/>
      <c r="AI422" s="15"/>
      <c r="AJ422" s="15"/>
      <c r="AK422" s="15"/>
      <c r="AL422" s="15" t="s">
        <v>328</v>
      </c>
      <c r="AM422" s="15"/>
      <c r="AN422" s="16">
        <v>27000</v>
      </c>
      <c r="AO422" s="16">
        <v>27000</v>
      </c>
      <c r="AP422" s="16">
        <v>120000</v>
      </c>
      <c r="AQ422" s="16">
        <v>120000</v>
      </c>
      <c r="AR422" s="16">
        <v>27000</v>
      </c>
      <c r="AS422" s="22">
        <v>180000</v>
      </c>
      <c r="AT422" s="22">
        <v>0</v>
      </c>
      <c r="AU422" s="22">
        <v>81000</v>
      </c>
      <c r="AV422" s="22">
        <v>12000</v>
      </c>
      <c r="AW422" s="22">
        <v>36000</v>
      </c>
      <c r="AX422" s="66">
        <v>0</v>
      </c>
      <c r="AY422" s="17" t="s">
        <v>688</v>
      </c>
      <c r="AZ422" s="15" t="s">
        <v>562</v>
      </c>
      <c r="BA422" s="249">
        <f t="shared" si="13"/>
        <v>3</v>
      </c>
      <c r="BB422" s="249">
        <v>0</v>
      </c>
      <c r="BC422" s="249">
        <f t="shared" si="12"/>
        <v>2008</v>
      </c>
    </row>
    <row r="423" spans="1:55" x14ac:dyDescent="0.25">
      <c r="A423" s="50" t="s">
        <v>1855</v>
      </c>
      <c r="B423" s="63" t="s">
        <v>641</v>
      </c>
      <c r="C423" s="15" t="s">
        <v>337</v>
      </c>
      <c r="D423" s="15">
        <v>2008</v>
      </c>
      <c r="E423" s="15" t="s">
        <v>407</v>
      </c>
      <c r="F423" s="15"/>
      <c r="G423" s="15"/>
      <c r="H423" s="15"/>
      <c r="I423" s="15"/>
      <c r="J423" s="16">
        <v>540000</v>
      </c>
      <c r="K423" s="15" t="s">
        <v>328</v>
      </c>
      <c r="L423" s="15"/>
      <c r="M423" s="15"/>
      <c r="N423" s="16">
        <v>9000</v>
      </c>
      <c r="O423" s="21">
        <v>0.5</v>
      </c>
      <c r="P423" s="15">
        <v>2</v>
      </c>
      <c r="Q423" s="15">
        <v>900</v>
      </c>
      <c r="R423" s="16">
        <v>4860</v>
      </c>
      <c r="S423" s="15" t="s">
        <v>340</v>
      </c>
      <c r="T423" s="15">
        <v>2.7</v>
      </c>
      <c r="U423" s="15">
        <v>2.9</v>
      </c>
      <c r="V423" s="25">
        <v>3590.6642728904844</v>
      </c>
      <c r="W423" s="22">
        <v>40000</v>
      </c>
      <c r="X423" s="15"/>
      <c r="Y423" s="15" t="s">
        <v>328</v>
      </c>
      <c r="Z423" s="15"/>
      <c r="AA423" s="15"/>
      <c r="AB423" s="15"/>
      <c r="AC423" s="15"/>
      <c r="AD423" s="15" t="s">
        <v>328</v>
      </c>
      <c r="AE423" s="15"/>
      <c r="AF423" s="15"/>
      <c r="AG423" s="15"/>
      <c r="AH423" s="15"/>
      <c r="AI423" s="15"/>
      <c r="AJ423" s="15"/>
      <c r="AK423" s="15"/>
      <c r="AL423" s="15" t="s">
        <v>328</v>
      </c>
      <c r="AM423" s="15"/>
      <c r="AN423" s="16">
        <v>27000</v>
      </c>
      <c r="AO423" s="16">
        <v>27000</v>
      </c>
      <c r="AP423" s="16">
        <v>120000</v>
      </c>
      <c r="AQ423" s="16">
        <v>120000</v>
      </c>
      <c r="AR423" s="16">
        <v>27000</v>
      </c>
      <c r="AS423" s="22">
        <v>180000</v>
      </c>
      <c r="AT423" s="22">
        <v>0</v>
      </c>
      <c r="AU423" s="22">
        <v>81000</v>
      </c>
      <c r="AV423" s="22">
        <v>12000</v>
      </c>
      <c r="AW423" s="22">
        <v>36000</v>
      </c>
      <c r="AX423" s="66">
        <v>0</v>
      </c>
      <c r="AY423" s="17" t="s">
        <v>688</v>
      </c>
      <c r="AZ423" s="15" t="s">
        <v>562</v>
      </c>
      <c r="BA423" s="249">
        <f t="shared" si="13"/>
        <v>3</v>
      </c>
      <c r="BB423" s="249">
        <v>0</v>
      </c>
      <c r="BC423" s="249">
        <f t="shared" si="12"/>
        <v>2008</v>
      </c>
    </row>
    <row r="424" spans="1:55" x14ac:dyDescent="0.25">
      <c r="A424" s="50" t="s">
        <v>1855</v>
      </c>
      <c r="B424" s="63" t="s">
        <v>642</v>
      </c>
      <c r="C424" s="15" t="s">
        <v>337</v>
      </c>
      <c r="D424" s="15">
        <v>2004</v>
      </c>
      <c r="E424" s="15" t="s">
        <v>475</v>
      </c>
      <c r="F424" s="15"/>
      <c r="G424" s="15"/>
      <c r="H424" s="15"/>
      <c r="I424" s="15"/>
      <c r="J424" s="16">
        <v>742613</v>
      </c>
      <c r="K424" s="15"/>
      <c r="L424" s="15" t="s">
        <v>328</v>
      </c>
      <c r="M424" s="15"/>
      <c r="N424" s="16">
        <v>1500</v>
      </c>
      <c r="O424" s="21" t="s">
        <v>352</v>
      </c>
      <c r="P424" s="15">
        <v>2</v>
      </c>
      <c r="Q424" s="15">
        <v>908</v>
      </c>
      <c r="R424" s="16">
        <v>4540</v>
      </c>
      <c r="S424" s="15" t="s">
        <v>340</v>
      </c>
      <c r="T424" s="15">
        <v>2.5</v>
      </c>
      <c r="U424" s="15">
        <v>2.8</v>
      </c>
      <c r="V424" s="25">
        <v>2692.9982046678633</v>
      </c>
      <c r="W424" s="22">
        <v>30000</v>
      </c>
      <c r="X424" s="15"/>
      <c r="Y424" s="15"/>
      <c r="Z424" s="15"/>
      <c r="AA424" s="15"/>
      <c r="AB424" s="15" t="s">
        <v>328</v>
      </c>
      <c r="AC424" s="15"/>
      <c r="AD424" s="15" t="s">
        <v>328</v>
      </c>
      <c r="AE424" s="15"/>
      <c r="AF424" s="15"/>
      <c r="AG424" s="15"/>
      <c r="AH424" s="15"/>
      <c r="AI424" s="15"/>
      <c r="AJ424" s="15"/>
      <c r="AK424" s="15"/>
      <c r="AL424" s="15"/>
      <c r="AM424" s="15"/>
      <c r="AN424" s="16">
        <v>24000</v>
      </c>
      <c r="AO424" s="16">
        <v>24000</v>
      </c>
      <c r="AP424" s="16">
        <v>200000</v>
      </c>
      <c r="AQ424" s="16">
        <v>120000</v>
      </c>
      <c r="AR424" s="16">
        <v>24000</v>
      </c>
      <c r="AS424" s="22">
        <v>0</v>
      </c>
      <c r="AT424" s="22">
        <v>0</v>
      </c>
      <c r="AU424" s="22">
        <v>48000</v>
      </c>
      <c r="AV424" s="22">
        <v>24000</v>
      </c>
      <c r="AW424" s="22">
        <v>21600</v>
      </c>
      <c r="AX424" s="66">
        <v>0</v>
      </c>
      <c r="AY424" s="17" t="s">
        <v>585</v>
      </c>
      <c r="AZ424" s="15" t="s">
        <v>562</v>
      </c>
      <c r="BA424" s="249">
        <f t="shared" si="13"/>
        <v>1</v>
      </c>
      <c r="BB424" s="249">
        <v>0</v>
      </c>
      <c r="BC424" s="249">
        <f t="shared" si="12"/>
        <v>2004</v>
      </c>
    </row>
    <row r="425" spans="1:55" x14ac:dyDescent="0.25">
      <c r="A425" s="50" t="s">
        <v>1855</v>
      </c>
      <c r="B425" s="63" t="s">
        <v>643</v>
      </c>
      <c r="C425" s="15" t="s">
        <v>337</v>
      </c>
      <c r="D425" s="15">
        <v>2006</v>
      </c>
      <c r="E425" s="15" t="s">
        <v>475</v>
      </c>
      <c r="F425" s="15"/>
      <c r="G425" s="15"/>
      <c r="H425" s="15"/>
      <c r="I425" s="15"/>
      <c r="J425" s="16">
        <v>802613</v>
      </c>
      <c r="K425" s="15"/>
      <c r="L425" s="15" t="s">
        <v>328</v>
      </c>
      <c r="M425" s="15"/>
      <c r="N425" s="16">
        <v>10000</v>
      </c>
      <c r="O425" s="21">
        <v>0.05</v>
      </c>
      <c r="P425" s="15">
        <v>2</v>
      </c>
      <c r="Q425" s="15">
        <v>950</v>
      </c>
      <c r="R425" s="16">
        <v>4750</v>
      </c>
      <c r="S425" s="15" t="s">
        <v>340</v>
      </c>
      <c r="T425" s="15">
        <v>2.5</v>
      </c>
      <c r="U425" s="15">
        <v>2.7</v>
      </c>
      <c r="V425" s="25">
        <v>4039.497307001795</v>
      </c>
      <c r="W425" s="22">
        <v>45000</v>
      </c>
      <c r="X425" s="15"/>
      <c r="Y425" s="15"/>
      <c r="Z425" s="15"/>
      <c r="AA425" s="15"/>
      <c r="AB425" s="15" t="s">
        <v>328</v>
      </c>
      <c r="AC425" s="15"/>
      <c r="AD425" s="15" t="s">
        <v>328</v>
      </c>
      <c r="AE425" s="15"/>
      <c r="AF425" s="15"/>
      <c r="AG425" s="15"/>
      <c r="AH425" s="15"/>
      <c r="AI425" s="15"/>
      <c r="AJ425" s="15"/>
      <c r="AK425" s="15"/>
      <c r="AL425" s="15" t="s">
        <v>328</v>
      </c>
      <c r="AM425" s="15"/>
      <c r="AN425" s="16">
        <v>28000</v>
      </c>
      <c r="AO425" s="16">
        <v>28000</v>
      </c>
      <c r="AP425" s="16">
        <v>180000</v>
      </c>
      <c r="AQ425" s="16">
        <v>120000</v>
      </c>
      <c r="AR425" s="16">
        <v>28000</v>
      </c>
      <c r="AS425" s="22">
        <v>183600</v>
      </c>
      <c r="AT425" s="22">
        <v>0</v>
      </c>
      <c r="AU425" s="22">
        <v>60000</v>
      </c>
      <c r="AV425" s="22">
        <v>24000</v>
      </c>
      <c r="AW425" s="22">
        <v>27600</v>
      </c>
      <c r="AX425" s="66">
        <v>0</v>
      </c>
      <c r="AY425" s="17" t="s">
        <v>585</v>
      </c>
      <c r="AZ425" s="15" t="s">
        <v>562</v>
      </c>
      <c r="BA425" s="249">
        <f t="shared" si="13"/>
        <v>2</v>
      </c>
      <c r="BB425" s="249">
        <v>0</v>
      </c>
      <c r="BC425" s="249">
        <f t="shared" si="12"/>
        <v>2006</v>
      </c>
    </row>
    <row r="426" spans="1:55" x14ac:dyDescent="0.25">
      <c r="A426" s="50" t="s">
        <v>1855</v>
      </c>
      <c r="B426" s="63" t="s">
        <v>643</v>
      </c>
      <c r="C426" s="15" t="s">
        <v>337</v>
      </c>
      <c r="D426" s="15">
        <v>2006</v>
      </c>
      <c r="E426" s="15" t="s">
        <v>475</v>
      </c>
      <c r="F426" s="15"/>
      <c r="G426" s="15"/>
      <c r="H426" s="15"/>
      <c r="I426" s="15"/>
      <c r="J426" s="16">
        <v>797004</v>
      </c>
      <c r="K426" s="15"/>
      <c r="L426" s="15" t="s">
        <v>328</v>
      </c>
      <c r="M426" s="15"/>
      <c r="N426" s="16">
        <v>10000</v>
      </c>
      <c r="O426" s="21">
        <v>0.05</v>
      </c>
      <c r="P426" s="15">
        <v>2</v>
      </c>
      <c r="Q426" s="15">
        <v>950</v>
      </c>
      <c r="R426" s="16">
        <v>4750</v>
      </c>
      <c r="S426" s="15" t="s">
        <v>340</v>
      </c>
      <c r="T426" s="15">
        <v>2.5</v>
      </c>
      <c r="U426" s="15">
        <v>2.7</v>
      </c>
      <c r="V426" s="25">
        <v>4039.497307001795</v>
      </c>
      <c r="W426" s="22">
        <v>45000</v>
      </c>
      <c r="X426" s="15"/>
      <c r="Y426" s="15"/>
      <c r="Z426" s="15"/>
      <c r="AA426" s="15"/>
      <c r="AB426" s="15" t="s">
        <v>328</v>
      </c>
      <c r="AC426" s="15"/>
      <c r="AD426" s="15" t="s">
        <v>328</v>
      </c>
      <c r="AE426" s="15"/>
      <c r="AF426" s="15"/>
      <c r="AG426" s="15"/>
      <c r="AH426" s="15"/>
      <c r="AI426" s="15"/>
      <c r="AJ426" s="15"/>
      <c r="AK426" s="15"/>
      <c r="AL426" s="15" t="s">
        <v>328</v>
      </c>
      <c r="AM426" s="15"/>
      <c r="AN426" s="16">
        <v>28000</v>
      </c>
      <c r="AO426" s="16">
        <v>28000</v>
      </c>
      <c r="AP426" s="16">
        <v>180000</v>
      </c>
      <c r="AQ426" s="16">
        <v>120000</v>
      </c>
      <c r="AR426" s="16">
        <v>28000</v>
      </c>
      <c r="AS426" s="22">
        <v>183600</v>
      </c>
      <c r="AT426" s="22">
        <v>0</v>
      </c>
      <c r="AU426" s="22">
        <v>60000</v>
      </c>
      <c r="AV426" s="22">
        <v>24000</v>
      </c>
      <c r="AW426" s="22">
        <v>27600</v>
      </c>
      <c r="AX426" s="66">
        <v>0</v>
      </c>
      <c r="AY426" s="17" t="s">
        <v>585</v>
      </c>
      <c r="AZ426" s="15" t="s">
        <v>562</v>
      </c>
      <c r="BA426" s="249">
        <f t="shared" si="13"/>
        <v>2</v>
      </c>
      <c r="BB426" s="249">
        <v>0</v>
      </c>
      <c r="BC426" s="249">
        <f t="shared" si="12"/>
        <v>2006</v>
      </c>
    </row>
    <row r="427" spans="1:55" x14ac:dyDescent="0.25">
      <c r="A427" s="50" t="s">
        <v>1855</v>
      </c>
      <c r="B427" s="63" t="s">
        <v>644</v>
      </c>
      <c r="C427" s="15" t="s">
        <v>337</v>
      </c>
      <c r="D427" s="15">
        <v>2007</v>
      </c>
      <c r="E427" s="15" t="s">
        <v>407</v>
      </c>
      <c r="F427" s="15"/>
      <c r="G427" s="15"/>
      <c r="H427" s="15"/>
      <c r="I427" s="15"/>
      <c r="J427" s="16">
        <v>563415</v>
      </c>
      <c r="K427" s="15" t="s">
        <v>328</v>
      </c>
      <c r="L427" s="15"/>
      <c r="M427" s="15"/>
      <c r="N427" s="16">
        <v>10000</v>
      </c>
      <c r="O427" s="21">
        <v>0.1</v>
      </c>
      <c r="P427" s="15">
        <v>2</v>
      </c>
      <c r="Q427" s="15">
        <v>1050</v>
      </c>
      <c r="R427" s="16">
        <v>3360</v>
      </c>
      <c r="S427" s="15" t="s">
        <v>340</v>
      </c>
      <c r="T427" s="15">
        <v>1.6</v>
      </c>
      <c r="U427" s="15">
        <v>1.7</v>
      </c>
      <c r="V427" s="25">
        <v>6732.4955116696583</v>
      </c>
      <c r="W427" s="22">
        <v>75000</v>
      </c>
      <c r="X427" s="15"/>
      <c r="Y427" s="15"/>
      <c r="Z427" s="15"/>
      <c r="AA427" s="15"/>
      <c r="AB427" s="15" t="s">
        <v>328</v>
      </c>
      <c r="AC427" s="15"/>
      <c r="AD427" s="15" t="s">
        <v>328</v>
      </c>
      <c r="AE427" s="15"/>
      <c r="AF427" s="15"/>
      <c r="AG427" s="15"/>
      <c r="AH427" s="15"/>
      <c r="AI427" s="15"/>
      <c r="AJ427" s="15"/>
      <c r="AK427" s="15"/>
      <c r="AL427" s="15" t="s">
        <v>328</v>
      </c>
      <c r="AM427" s="15"/>
      <c r="AN427" s="16">
        <v>20000</v>
      </c>
      <c r="AO427" s="16">
        <v>20000</v>
      </c>
      <c r="AP427" s="16">
        <v>120000</v>
      </c>
      <c r="AQ427" s="16">
        <v>120000</v>
      </c>
      <c r="AR427" s="16">
        <v>20000</v>
      </c>
      <c r="AS427" s="22">
        <v>222000</v>
      </c>
      <c r="AT427" s="22">
        <v>72000</v>
      </c>
      <c r="AU427" s="22">
        <v>150000</v>
      </c>
      <c r="AV427" s="22">
        <v>30000</v>
      </c>
      <c r="AW427" s="22">
        <v>42000</v>
      </c>
      <c r="AX427" s="66">
        <v>0</v>
      </c>
      <c r="AY427" s="17" t="s">
        <v>574</v>
      </c>
      <c r="AZ427" s="15" t="s">
        <v>693</v>
      </c>
      <c r="BA427" s="249">
        <f t="shared" si="13"/>
        <v>3</v>
      </c>
      <c r="BB427" s="249">
        <v>0</v>
      </c>
      <c r="BC427" s="249">
        <f t="shared" si="12"/>
        <v>2007</v>
      </c>
    </row>
    <row r="428" spans="1:55" x14ac:dyDescent="0.25">
      <c r="A428" s="50" t="s">
        <v>1855</v>
      </c>
      <c r="B428" s="63" t="s">
        <v>644</v>
      </c>
      <c r="C428" s="15" t="s">
        <v>337</v>
      </c>
      <c r="D428" s="15">
        <v>2008</v>
      </c>
      <c r="E428" s="15" t="s">
        <v>407</v>
      </c>
      <c r="F428" s="15"/>
      <c r="G428" s="15"/>
      <c r="H428" s="15"/>
      <c r="I428" s="15"/>
      <c r="J428" s="16">
        <v>499602</v>
      </c>
      <c r="K428" s="15" t="s">
        <v>328</v>
      </c>
      <c r="L428" s="15"/>
      <c r="M428" s="15"/>
      <c r="N428" s="16">
        <v>10000</v>
      </c>
      <c r="O428" s="21">
        <v>0.1</v>
      </c>
      <c r="P428" s="15">
        <v>2</v>
      </c>
      <c r="Q428" s="15">
        <v>1050</v>
      </c>
      <c r="R428" s="16">
        <v>3360</v>
      </c>
      <c r="S428" s="15" t="s">
        <v>340</v>
      </c>
      <c r="T428" s="15">
        <v>1.6</v>
      </c>
      <c r="U428" s="15">
        <v>1.7</v>
      </c>
      <c r="V428" s="25">
        <v>6732.4955116696583</v>
      </c>
      <c r="W428" s="22">
        <v>75000</v>
      </c>
      <c r="X428" s="15"/>
      <c r="Y428" s="15"/>
      <c r="Z428" s="15"/>
      <c r="AA428" s="15"/>
      <c r="AB428" s="15" t="s">
        <v>328</v>
      </c>
      <c r="AC428" s="15"/>
      <c r="AD428" s="15" t="s">
        <v>328</v>
      </c>
      <c r="AE428" s="15"/>
      <c r="AF428" s="15"/>
      <c r="AG428" s="15"/>
      <c r="AH428" s="15"/>
      <c r="AI428" s="15"/>
      <c r="AJ428" s="15"/>
      <c r="AK428" s="15"/>
      <c r="AL428" s="15" t="s">
        <v>328</v>
      </c>
      <c r="AM428" s="15"/>
      <c r="AN428" s="16">
        <v>20000</v>
      </c>
      <c r="AO428" s="16">
        <v>20000</v>
      </c>
      <c r="AP428" s="16">
        <v>120000</v>
      </c>
      <c r="AQ428" s="16">
        <v>120000</v>
      </c>
      <c r="AR428" s="16">
        <v>20000</v>
      </c>
      <c r="AS428" s="22">
        <v>222000</v>
      </c>
      <c r="AT428" s="22">
        <v>72000</v>
      </c>
      <c r="AU428" s="22">
        <v>150000</v>
      </c>
      <c r="AV428" s="22">
        <v>30000</v>
      </c>
      <c r="AW428" s="22">
        <v>42000</v>
      </c>
      <c r="AX428" s="66">
        <v>0</v>
      </c>
      <c r="AY428" s="17" t="s">
        <v>574</v>
      </c>
      <c r="AZ428" s="15" t="s">
        <v>693</v>
      </c>
      <c r="BA428" s="249">
        <f t="shared" si="13"/>
        <v>3</v>
      </c>
      <c r="BB428" s="249">
        <v>0</v>
      </c>
      <c r="BC428" s="249">
        <f t="shared" si="12"/>
        <v>2008</v>
      </c>
    </row>
    <row r="429" spans="1:55" x14ac:dyDescent="0.25">
      <c r="A429" s="50" t="s">
        <v>1855</v>
      </c>
      <c r="B429" s="63" t="s">
        <v>644</v>
      </c>
      <c r="C429" s="15" t="s">
        <v>337</v>
      </c>
      <c r="D429" s="15">
        <v>2009</v>
      </c>
      <c r="E429" s="15" t="s">
        <v>407</v>
      </c>
      <c r="F429" s="15"/>
      <c r="G429" s="15"/>
      <c r="H429" s="15"/>
      <c r="I429" s="15"/>
      <c r="J429" s="16">
        <v>405893</v>
      </c>
      <c r="K429" s="15" t="s">
        <v>328</v>
      </c>
      <c r="L429" s="15"/>
      <c r="M429" s="15"/>
      <c r="N429" s="16">
        <v>10000</v>
      </c>
      <c r="O429" s="21">
        <v>0.1</v>
      </c>
      <c r="P429" s="15">
        <v>2</v>
      </c>
      <c r="Q429" s="15">
        <v>1050</v>
      </c>
      <c r="R429" s="16">
        <v>3360</v>
      </c>
      <c r="S429" s="15" t="s">
        <v>340</v>
      </c>
      <c r="T429" s="15">
        <v>1.6</v>
      </c>
      <c r="U429" s="15">
        <v>1.7</v>
      </c>
      <c r="V429" s="25">
        <v>6732.4955116696583</v>
      </c>
      <c r="W429" s="22">
        <v>75000</v>
      </c>
      <c r="X429" s="15"/>
      <c r="Y429" s="15"/>
      <c r="Z429" s="15"/>
      <c r="AA429" s="15"/>
      <c r="AB429" s="15" t="s">
        <v>328</v>
      </c>
      <c r="AC429" s="15"/>
      <c r="AD429" s="15" t="s">
        <v>328</v>
      </c>
      <c r="AE429" s="15"/>
      <c r="AF429" s="15"/>
      <c r="AG429" s="15"/>
      <c r="AH429" s="15"/>
      <c r="AI429" s="15"/>
      <c r="AJ429" s="15"/>
      <c r="AK429" s="15"/>
      <c r="AL429" s="15" t="s">
        <v>328</v>
      </c>
      <c r="AM429" s="15"/>
      <c r="AN429" s="16">
        <v>20000</v>
      </c>
      <c r="AO429" s="16">
        <v>20000</v>
      </c>
      <c r="AP429" s="16">
        <v>120000</v>
      </c>
      <c r="AQ429" s="16">
        <v>120000</v>
      </c>
      <c r="AR429" s="16">
        <v>20000</v>
      </c>
      <c r="AS429" s="22">
        <v>222000</v>
      </c>
      <c r="AT429" s="22">
        <v>72000</v>
      </c>
      <c r="AU429" s="22">
        <v>150000</v>
      </c>
      <c r="AV429" s="22">
        <v>30000</v>
      </c>
      <c r="AW429" s="22">
        <v>42000</v>
      </c>
      <c r="AX429" s="66">
        <v>0</v>
      </c>
      <c r="AY429" s="17" t="s">
        <v>574</v>
      </c>
      <c r="AZ429" s="15" t="s">
        <v>693</v>
      </c>
      <c r="BA429" s="249">
        <f t="shared" si="13"/>
        <v>3</v>
      </c>
      <c r="BB429" s="249">
        <v>0</v>
      </c>
      <c r="BC429" s="249">
        <f t="shared" si="12"/>
        <v>2009</v>
      </c>
    </row>
    <row r="430" spans="1:55" x14ac:dyDescent="0.25">
      <c r="A430" s="50" t="s">
        <v>1855</v>
      </c>
      <c r="B430" s="63" t="s">
        <v>645</v>
      </c>
      <c r="C430" s="15" t="s">
        <v>337</v>
      </c>
      <c r="D430" s="15">
        <v>2002</v>
      </c>
      <c r="E430" s="15" t="s">
        <v>407</v>
      </c>
      <c r="F430" s="15"/>
      <c r="G430" s="15"/>
      <c r="H430" s="15"/>
      <c r="I430" s="15"/>
      <c r="J430" s="16">
        <v>876214</v>
      </c>
      <c r="K430" s="15"/>
      <c r="L430" s="15" t="s">
        <v>328</v>
      </c>
      <c r="M430" s="15"/>
      <c r="N430" s="16">
        <v>8333.3333333333339</v>
      </c>
      <c r="O430" s="21">
        <v>0.05</v>
      </c>
      <c r="P430" s="15">
        <v>2</v>
      </c>
      <c r="Q430" s="15">
        <v>908</v>
      </c>
      <c r="R430" s="16">
        <v>4358.3999999999996</v>
      </c>
      <c r="S430" s="15" t="s">
        <v>340</v>
      </c>
      <c r="T430" s="15">
        <v>2.4</v>
      </c>
      <c r="U430" s="15">
        <v>2.7</v>
      </c>
      <c r="V430" s="25">
        <v>3590.6642728904844</v>
      </c>
      <c r="W430" s="22">
        <v>40000</v>
      </c>
      <c r="X430" s="15"/>
      <c r="Y430" s="15"/>
      <c r="Z430" s="15"/>
      <c r="AA430" s="15"/>
      <c r="AB430" s="15" t="s">
        <v>328</v>
      </c>
      <c r="AC430" s="15"/>
      <c r="AD430" s="15" t="s">
        <v>328</v>
      </c>
      <c r="AE430" s="15"/>
      <c r="AF430" s="15"/>
      <c r="AG430" s="15"/>
      <c r="AH430" s="15"/>
      <c r="AI430" s="15"/>
      <c r="AJ430" s="15"/>
      <c r="AK430" s="15"/>
      <c r="AL430" s="15"/>
      <c r="AM430" s="15"/>
      <c r="AN430" s="16">
        <v>25000</v>
      </c>
      <c r="AO430" s="16">
        <v>25000</v>
      </c>
      <c r="AP430" s="16">
        <v>100000</v>
      </c>
      <c r="AQ430" s="16">
        <v>100000</v>
      </c>
      <c r="AR430" s="16">
        <v>25000</v>
      </c>
      <c r="AS430" s="22">
        <v>0</v>
      </c>
      <c r="AT430" s="22">
        <v>0</v>
      </c>
      <c r="AU430" s="22">
        <v>80000</v>
      </c>
      <c r="AV430" s="22">
        <v>20000</v>
      </c>
      <c r="AW430" s="22">
        <v>24000</v>
      </c>
      <c r="AX430" s="66">
        <v>0</v>
      </c>
      <c r="AY430" s="17" t="s">
        <v>574</v>
      </c>
      <c r="AZ430" s="15" t="s">
        <v>562</v>
      </c>
      <c r="BA430" s="249">
        <f t="shared" si="13"/>
        <v>1</v>
      </c>
      <c r="BB430" s="249">
        <v>0</v>
      </c>
      <c r="BC430" s="249">
        <f t="shared" si="12"/>
        <v>2002</v>
      </c>
    </row>
    <row r="431" spans="1:55" x14ac:dyDescent="0.25">
      <c r="A431" s="50" t="s">
        <v>1855</v>
      </c>
      <c r="B431" s="63" t="s">
        <v>646</v>
      </c>
      <c r="C431" s="15" t="s">
        <v>337</v>
      </c>
      <c r="D431" s="15">
        <v>2001</v>
      </c>
      <c r="E431" s="15" t="s">
        <v>407</v>
      </c>
      <c r="F431" s="15"/>
      <c r="G431" s="15"/>
      <c r="H431" s="15"/>
      <c r="I431" s="15"/>
      <c r="J431" s="16">
        <v>629113</v>
      </c>
      <c r="K431" s="15"/>
      <c r="L431" s="15" t="s">
        <v>328</v>
      </c>
      <c r="M431" s="15"/>
      <c r="N431" s="16">
        <v>5000</v>
      </c>
      <c r="O431" s="21">
        <v>0.5</v>
      </c>
      <c r="P431" s="15">
        <v>2</v>
      </c>
      <c r="Q431" s="15">
        <v>900</v>
      </c>
      <c r="R431" s="16">
        <v>3420</v>
      </c>
      <c r="S431" s="15" t="s">
        <v>340</v>
      </c>
      <c r="T431" s="15">
        <v>1.9</v>
      </c>
      <c r="U431" s="15">
        <v>2.5</v>
      </c>
      <c r="V431" s="25">
        <v>2692.9982046678633</v>
      </c>
      <c r="W431" s="22">
        <v>30000</v>
      </c>
      <c r="X431" s="15"/>
      <c r="Y431" s="15"/>
      <c r="Z431" s="15"/>
      <c r="AA431" s="15"/>
      <c r="AB431" s="15" t="s">
        <v>328</v>
      </c>
      <c r="AC431" s="15"/>
      <c r="AD431" s="15" t="s">
        <v>332</v>
      </c>
      <c r="AE431" s="15"/>
      <c r="AF431" s="15"/>
      <c r="AG431" s="15"/>
      <c r="AH431" s="15"/>
      <c r="AI431" s="15"/>
      <c r="AJ431" s="15"/>
      <c r="AK431" s="15"/>
      <c r="AL431" s="15"/>
      <c r="AM431" s="15"/>
      <c r="AN431" s="16">
        <v>18000</v>
      </c>
      <c r="AO431" s="16">
        <v>18000</v>
      </c>
      <c r="AP431" s="16">
        <v>80000</v>
      </c>
      <c r="AQ431" s="16">
        <v>80000</v>
      </c>
      <c r="AR431" s="16">
        <v>18000</v>
      </c>
      <c r="AS431" s="22">
        <v>0</v>
      </c>
      <c r="AT431" s="22">
        <v>38400</v>
      </c>
      <c r="AU431" s="22">
        <v>60000</v>
      </c>
      <c r="AV431" s="22">
        <v>24000</v>
      </c>
      <c r="AW431" s="22">
        <v>21600</v>
      </c>
      <c r="AX431" s="66">
        <v>0</v>
      </c>
      <c r="AY431" s="17" t="s">
        <v>576</v>
      </c>
      <c r="AZ431" s="15" t="s">
        <v>562</v>
      </c>
      <c r="BA431" s="249">
        <f t="shared" si="13"/>
        <v>1</v>
      </c>
      <c r="BB431" s="249">
        <v>0</v>
      </c>
      <c r="BC431" s="249">
        <f t="shared" si="12"/>
        <v>2001</v>
      </c>
    </row>
    <row r="432" spans="1:55" x14ac:dyDescent="0.25">
      <c r="A432" s="50" t="s">
        <v>1855</v>
      </c>
      <c r="B432" s="63" t="s">
        <v>647</v>
      </c>
      <c r="C432" s="15" t="s">
        <v>337</v>
      </c>
      <c r="D432" s="15">
        <v>2005</v>
      </c>
      <c r="E432" s="15" t="s">
        <v>475</v>
      </c>
      <c r="F432" s="15"/>
      <c r="G432" s="15"/>
      <c r="H432" s="15"/>
      <c r="I432" s="15"/>
      <c r="J432" s="16">
        <v>656701</v>
      </c>
      <c r="K432" s="15"/>
      <c r="L432" s="15" t="s">
        <v>328</v>
      </c>
      <c r="M432" s="15"/>
      <c r="N432" s="16">
        <v>6666.666666666667</v>
      </c>
      <c r="O432" s="21">
        <v>0.1</v>
      </c>
      <c r="P432" s="15">
        <v>2</v>
      </c>
      <c r="Q432" s="15">
        <v>950</v>
      </c>
      <c r="R432" s="16">
        <v>4750</v>
      </c>
      <c r="S432" s="15" t="s">
        <v>340</v>
      </c>
      <c r="T432" s="15">
        <v>2.5</v>
      </c>
      <c r="U432" s="15">
        <v>2.8</v>
      </c>
      <c r="V432" s="25">
        <v>3141.8312387791739</v>
      </c>
      <c r="W432" s="22">
        <v>35000</v>
      </c>
      <c r="X432" s="15"/>
      <c r="Y432" s="15"/>
      <c r="Z432" s="15"/>
      <c r="AA432" s="15"/>
      <c r="AB432" s="15" t="s">
        <v>328</v>
      </c>
      <c r="AC432" s="15"/>
      <c r="AD432" s="15" t="s">
        <v>328</v>
      </c>
      <c r="AE432" s="15"/>
      <c r="AF432" s="15"/>
      <c r="AG432" s="15"/>
      <c r="AH432" s="15"/>
      <c r="AI432" s="15"/>
      <c r="AJ432" s="15"/>
      <c r="AK432" s="15"/>
      <c r="AL432" s="15"/>
      <c r="AM432" s="15"/>
      <c r="AN432" s="16">
        <v>20000</v>
      </c>
      <c r="AO432" s="16">
        <v>20000</v>
      </c>
      <c r="AP432" s="16">
        <v>180000</v>
      </c>
      <c r="AQ432" s="16">
        <v>100000</v>
      </c>
      <c r="AR432" s="16">
        <v>20000</v>
      </c>
      <c r="AS432" s="22">
        <v>0</v>
      </c>
      <c r="AT432" s="22">
        <v>0</v>
      </c>
      <c r="AU432" s="22">
        <v>60000</v>
      </c>
      <c r="AV432" s="22">
        <v>30000</v>
      </c>
      <c r="AW432" s="22">
        <v>27600</v>
      </c>
      <c r="AX432" s="66">
        <v>0</v>
      </c>
      <c r="AY432" s="17" t="s">
        <v>585</v>
      </c>
      <c r="AZ432" s="15" t="s">
        <v>562</v>
      </c>
      <c r="BA432" s="249">
        <f t="shared" si="13"/>
        <v>1</v>
      </c>
      <c r="BB432" s="249">
        <v>0</v>
      </c>
      <c r="BC432" s="249">
        <f t="shared" si="12"/>
        <v>2005</v>
      </c>
    </row>
    <row r="433" spans="1:55" x14ac:dyDescent="0.25">
      <c r="A433" s="50" t="s">
        <v>1855</v>
      </c>
      <c r="B433" s="63" t="s">
        <v>648</v>
      </c>
      <c r="C433" s="15" t="s">
        <v>337</v>
      </c>
      <c r="D433" s="15">
        <v>2005</v>
      </c>
      <c r="E433" s="15" t="s">
        <v>407</v>
      </c>
      <c r="F433" s="15"/>
      <c r="G433" s="15"/>
      <c r="H433" s="15"/>
      <c r="I433" s="15"/>
      <c r="J433" s="16">
        <v>703960</v>
      </c>
      <c r="K433" s="15"/>
      <c r="L433" s="15" t="s">
        <v>328</v>
      </c>
      <c r="M433" s="15"/>
      <c r="N433" s="16">
        <v>8333.3333333333339</v>
      </c>
      <c r="O433" s="21">
        <v>0.1</v>
      </c>
      <c r="P433" s="15">
        <v>2</v>
      </c>
      <c r="Q433" s="15">
        <v>950</v>
      </c>
      <c r="R433" s="16">
        <v>4560</v>
      </c>
      <c r="S433" s="15" t="s">
        <v>340</v>
      </c>
      <c r="T433" s="15">
        <v>2.4</v>
      </c>
      <c r="U433" s="15">
        <v>2.7</v>
      </c>
      <c r="V433" s="25">
        <v>3770.1974865350089</v>
      </c>
      <c r="W433" s="22">
        <v>42000</v>
      </c>
      <c r="X433" s="15"/>
      <c r="Y433" s="15"/>
      <c r="Z433" s="15"/>
      <c r="AA433" s="15"/>
      <c r="AB433" s="15" t="s">
        <v>328</v>
      </c>
      <c r="AC433" s="15"/>
      <c r="AD433" s="15" t="s">
        <v>328</v>
      </c>
      <c r="AE433" s="15"/>
      <c r="AF433" s="15"/>
      <c r="AG433" s="15"/>
      <c r="AH433" s="15"/>
      <c r="AI433" s="15"/>
      <c r="AJ433" s="15"/>
      <c r="AK433" s="15"/>
      <c r="AL433" s="15"/>
      <c r="AM433" s="15"/>
      <c r="AN433" s="16">
        <v>17000</v>
      </c>
      <c r="AO433" s="16">
        <v>25000</v>
      </c>
      <c r="AP433" s="16">
        <v>175000</v>
      </c>
      <c r="AQ433" s="16">
        <v>125000</v>
      </c>
      <c r="AR433" s="16">
        <v>17000</v>
      </c>
      <c r="AS433" s="22">
        <v>150000</v>
      </c>
      <c r="AT433" s="22">
        <v>0</v>
      </c>
      <c r="AU433" s="22">
        <v>66000</v>
      </c>
      <c r="AV433" s="22">
        <v>21600</v>
      </c>
      <c r="AW433" s="22">
        <v>27600</v>
      </c>
      <c r="AX433" s="66">
        <v>0</v>
      </c>
      <c r="AY433" s="17" t="s">
        <v>574</v>
      </c>
      <c r="AZ433" s="15" t="s">
        <v>562</v>
      </c>
      <c r="BA433" s="249">
        <f t="shared" si="13"/>
        <v>2</v>
      </c>
      <c r="BB433" s="249">
        <v>0</v>
      </c>
      <c r="BC433" s="249">
        <f t="shared" si="12"/>
        <v>2005</v>
      </c>
    </row>
    <row r="434" spans="1:55" x14ac:dyDescent="0.25">
      <c r="A434" s="50" t="s">
        <v>1855</v>
      </c>
      <c r="B434" s="63" t="s">
        <v>648</v>
      </c>
      <c r="C434" s="15" t="s">
        <v>337</v>
      </c>
      <c r="D434" s="15">
        <v>2007</v>
      </c>
      <c r="E434" s="15" t="s">
        <v>407</v>
      </c>
      <c r="F434" s="15"/>
      <c r="G434" s="15"/>
      <c r="H434" s="15"/>
      <c r="I434" s="15"/>
      <c r="J434" s="16">
        <v>588917</v>
      </c>
      <c r="K434" s="15"/>
      <c r="L434" s="15" t="s">
        <v>328</v>
      </c>
      <c r="M434" s="15"/>
      <c r="N434" s="16">
        <v>8333.3333333333339</v>
      </c>
      <c r="O434" s="21">
        <v>0.1</v>
      </c>
      <c r="P434" s="15">
        <v>2</v>
      </c>
      <c r="Q434" s="15">
        <v>950</v>
      </c>
      <c r="R434" s="16">
        <v>4560</v>
      </c>
      <c r="S434" s="15" t="s">
        <v>340</v>
      </c>
      <c r="T434" s="15">
        <v>2.4</v>
      </c>
      <c r="U434" s="15">
        <v>2.7</v>
      </c>
      <c r="V434" s="25">
        <v>3770.1974865350089</v>
      </c>
      <c r="W434" s="22">
        <v>42000</v>
      </c>
      <c r="X434" s="15"/>
      <c r="Y434" s="15"/>
      <c r="Z434" s="15"/>
      <c r="AA434" s="15"/>
      <c r="AB434" s="15"/>
      <c r="AC434" s="15" t="s">
        <v>328</v>
      </c>
      <c r="AD434" s="15" t="s">
        <v>328</v>
      </c>
      <c r="AE434" s="15"/>
      <c r="AF434" s="15"/>
      <c r="AG434" s="15"/>
      <c r="AH434" s="15"/>
      <c r="AI434" s="15"/>
      <c r="AJ434" s="15"/>
      <c r="AK434" s="15"/>
      <c r="AL434" s="15"/>
      <c r="AM434" s="15"/>
      <c r="AN434" s="16">
        <v>17000</v>
      </c>
      <c r="AO434" s="16">
        <v>25000</v>
      </c>
      <c r="AP434" s="16">
        <v>175000</v>
      </c>
      <c r="AQ434" s="16">
        <v>125000</v>
      </c>
      <c r="AR434" s="16">
        <v>17000</v>
      </c>
      <c r="AS434" s="22">
        <v>150000</v>
      </c>
      <c r="AT434" s="22">
        <v>0</v>
      </c>
      <c r="AU434" s="22">
        <v>66000</v>
      </c>
      <c r="AV434" s="22">
        <v>21600</v>
      </c>
      <c r="AW434" s="22">
        <v>27600</v>
      </c>
      <c r="AX434" s="66">
        <v>0</v>
      </c>
      <c r="AY434" s="17" t="s">
        <v>574</v>
      </c>
      <c r="AZ434" s="15" t="s">
        <v>562</v>
      </c>
      <c r="BA434" s="249">
        <f t="shared" si="13"/>
        <v>2</v>
      </c>
      <c r="BB434" s="249">
        <v>0</v>
      </c>
      <c r="BC434" s="249">
        <f t="shared" si="12"/>
        <v>2007</v>
      </c>
    </row>
    <row r="435" spans="1:55" x14ac:dyDescent="0.25">
      <c r="A435" s="50" t="s">
        <v>1855</v>
      </c>
      <c r="B435" s="63" t="s">
        <v>649</v>
      </c>
      <c r="C435" s="15" t="s">
        <v>337</v>
      </c>
      <c r="D435" s="15">
        <v>2002</v>
      </c>
      <c r="E435" s="15" t="s">
        <v>407</v>
      </c>
      <c r="F435" s="15"/>
      <c r="G435" s="15"/>
      <c r="H435" s="15"/>
      <c r="I435" s="15"/>
      <c r="J435" s="16">
        <v>880044</v>
      </c>
      <c r="K435" s="15"/>
      <c r="L435" s="15" t="s">
        <v>328</v>
      </c>
      <c r="M435" s="15"/>
      <c r="N435" s="16">
        <v>6666.666666666667</v>
      </c>
      <c r="O435" s="21">
        <v>0.3</v>
      </c>
      <c r="P435" s="15">
        <v>2</v>
      </c>
      <c r="Q435" s="15">
        <v>908</v>
      </c>
      <c r="R435" s="16">
        <v>4540</v>
      </c>
      <c r="S435" s="15" t="s">
        <v>340</v>
      </c>
      <c r="T435" s="15">
        <v>2.5</v>
      </c>
      <c r="U435" s="15">
        <v>2.8</v>
      </c>
      <c r="V435" s="25">
        <v>3052.0646319569119</v>
      </c>
      <c r="W435" s="22">
        <v>34000</v>
      </c>
      <c r="X435" s="15"/>
      <c r="Y435" s="15"/>
      <c r="Z435" s="15"/>
      <c r="AA435" s="15"/>
      <c r="AB435" s="15" t="s">
        <v>328</v>
      </c>
      <c r="AC435" s="15"/>
      <c r="AD435" s="15" t="s">
        <v>328</v>
      </c>
      <c r="AE435" s="15"/>
      <c r="AF435" s="15"/>
      <c r="AG435" s="15"/>
      <c r="AH435" s="15"/>
      <c r="AI435" s="15"/>
      <c r="AJ435" s="15"/>
      <c r="AK435" s="15"/>
      <c r="AL435" s="15"/>
      <c r="AM435" s="15"/>
      <c r="AN435" s="16">
        <v>18000</v>
      </c>
      <c r="AO435" s="16">
        <v>24000</v>
      </c>
      <c r="AP435" s="16">
        <v>220000</v>
      </c>
      <c r="AQ435" s="16">
        <v>120000</v>
      </c>
      <c r="AR435" s="16">
        <v>18000</v>
      </c>
      <c r="AS435" s="22">
        <v>0</v>
      </c>
      <c r="AT435" s="22">
        <v>0</v>
      </c>
      <c r="AU435" s="22">
        <v>60000</v>
      </c>
      <c r="AV435" s="22">
        <v>18000</v>
      </c>
      <c r="AW435" s="22">
        <v>24000</v>
      </c>
      <c r="AX435" s="66">
        <v>0</v>
      </c>
      <c r="AY435" s="17" t="s">
        <v>576</v>
      </c>
      <c r="AZ435" s="15" t="s">
        <v>337</v>
      </c>
      <c r="BA435" s="249">
        <f t="shared" si="13"/>
        <v>1</v>
      </c>
      <c r="BB435" s="249">
        <v>0</v>
      </c>
      <c r="BC435" s="249">
        <f t="shared" si="12"/>
        <v>2002</v>
      </c>
    </row>
    <row r="436" spans="1:55" x14ac:dyDescent="0.25">
      <c r="A436" s="50" t="s">
        <v>1855</v>
      </c>
      <c r="B436" s="63" t="s">
        <v>650</v>
      </c>
      <c r="C436" s="15" t="s">
        <v>337</v>
      </c>
      <c r="D436" s="15">
        <v>2001</v>
      </c>
      <c r="E436" s="15" t="s">
        <v>407</v>
      </c>
      <c r="F436" s="15"/>
      <c r="G436" s="15"/>
      <c r="H436" s="15"/>
      <c r="I436" s="15"/>
      <c r="J436" s="16">
        <v>1037408</v>
      </c>
      <c r="K436" s="15"/>
      <c r="L436" s="15" t="s">
        <v>328</v>
      </c>
      <c r="M436" s="15"/>
      <c r="N436" s="16">
        <v>8333.3333333333339</v>
      </c>
      <c r="O436" s="21">
        <v>0.4</v>
      </c>
      <c r="P436" s="15">
        <v>3</v>
      </c>
      <c r="Q436" s="15">
        <v>1200</v>
      </c>
      <c r="R436" s="16">
        <v>9000</v>
      </c>
      <c r="S436" s="15" t="s">
        <v>340</v>
      </c>
      <c r="T436" s="15">
        <v>2.5</v>
      </c>
      <c r="U436" s="15">
        <v>2.8</v>
      </c>
      <c r="V436" s="25">
        <v>3590.6642728904844</v>
      </c>
      <c r="W436" s="22">
        <v>40000</v>
      </c>
      <c r="X436" s="15"/>
      <c r="Y436" s="15"/>
      <c r="Z436" s="15"/>
      <c r="AA436" s="15"/>
      <c r="AB436" s="15" t="s">
        <v>328</v>
      </c>
      <c r="AC436" s="15"/>
      <c r="AD436" s="15" t="s">
        <v>328</v>
      </c>
      <c r="AE436" s="15"/>
      <c r="AF436" s="15"/>
      <c r="AG436" s="15"/>
      <c r="AH436" s="15"/>
      <c r="AI436" s="15"/>
      <c r="AJ436" s="15"/>
      <c r="AK436" s="15"/>
      <c r="AL436" s="15"/>
      <c r="AM436" s="15"/>
      <c r="AN436" s="16">
        <v>18000</v>
      </c>
      <c r="AO436" s="16">
        <v>18000</v>
      </c>
      <c r="AP436" s="16">
        <v>150000</v>
      </c>
      <c r="AQ436" s="16">
        <v>150000</v>
      </c>
      <c r="AR436" s="16">
        <v>18000</v>
      </c>
      <c r="AS436" s="22">
        <v>0</v>
      </c>
      <c r="AT436" s="22">
        <v>0</v>
      </c>
      <c r="AU436" s="22">
        <v>80000</v>
      </c>
      <c r="AV436" s="22">
        <v>20000</v>
      </c>
      <c r="AW436" s="22">
        <v>23000</v>
      </c>
      <c r="AX436" s="66">
        <v>0</v>
      </c>
      <c r="AY436" s="17" t="s">
        <v>576</v>
      </c>
      <c r="AZ436" s="15" t="s">
        <v>337</v>
      </c>
      <c r="BA436" s="249">
        <f t="shared" si="13"/>
        <v>1</v>
      </c>
      <c r="BB436" s="249">
        <v>0</v>
      </c>
      <c r="BC436" s="249">
        <f t="shared" si="12"/>
        <v>2001</v>
      </c>
    </row>
    <row r="437" spans="1:55" x14ac:dyDescent="0.25">
      <c r="A437" s="50" t="s">
        <v>1855</v>
      </c>
      <c r="B437" s="63" t="s">
        <v>651</v>
      </c>
      <c r="C437" s="15" t="s">
        <v>337</v>
      </c>
      <c r="D437" s="15">
        <v>1999</v>
      </c>
      <c r="E437" s="15" t="s">
        <v>407</v>
      </c>
      <c r="F437" s="15"/>
      <c r="G437" s="15"/>
      <c r="H437" s="15"/>
      <c r="I437" s="15"/>
      <c r="J437" s="16">
        <v>537600</v>
      </c>
      <c r="K437" s="15"/>
      <c r="L437" s="15"/>
      <c r="M437" s="15" t="s">
        <v>328</v>
      </c>
      <c r="N437" s="16">
        <v>3200</v>
      </c>
      <c r="O437" s="21">
        <v>0.5</v>
      </c>
      <c r="P437" s="15">
        <v>2</v>
      </c>
      <c r="Q437" s="15">
        <v>900</v>
      </c>
      <c r="R437" s="16">
        <v>3600</v>
      </c>
      <c r="S437" s="15" t="s">
        <v>340</v>
      </c>
      <c r="T437" s="15">
        <v>2</v>
      </c>
      <c r="U437" s="15">
        <v>2.2999999999999998</v>
      </c>
      <c r="V437" s="25">
        <v>1795.3321364452422</v>
      </c>
      <c r="W437" s="22">
        <v>20000</v>
      </c>
      <c r="X437" s="15"/>
      <c r="Y437" s="15"/>
      <c r="Z437" s="15"/>
      <c r="AA437" s="15"/>
      <c r="AB437" s="15" t="s">
        <v>328</v>
      </c>
      <c r="AC437" s="15"/>
      <c r="AD437" s="15" t="s">
        <v>332</v>
      </c>
      <c r="AE437" s="15"/>
      <c r="AF437" s="15"/>
      <c r="AG437" s="15"/>
      <c r="AH437" s="15"/>
      <c r="AI437" s="15"/>
      <c r="AJ437" s="15"/>
      <c r="AK437" s="15"/>
      <c r="AL437" s="15"/>
      <c r="AM437" s="15"/>
      <c r="AN437" s="16">
        <v>25000</v>
      </c>
      <c r="AO437" s="16">
        <v>25000</v>
      </c>
      <c r="AP437" s="16">
        <v>100000</v>
      </c>
      <c r="AQ437" s="16">
        <v>80000</v>
      </c>
      <c r="AR437" s="16">
        <v>25000</v>
      </c>
      <c r="AS437" s="22">
        <v>60000</v>
      </c>
      <c r="AT437" s="22">
        <v>0</v>
      </c>
      <c r="AU437" s="22">
        <v>30000</v>
      </c>
      <c r="AV437" s="22">
        <v>21600</v>
      </c>
      <c r="AW437" s="22">
        <v>0</v>
      </c>
      <c r="AX437" s="66">
        <v>0</v>
      </c>
      <c r="AY437" s="17" t="s">
        <v>576</v>
      </c>
      <c r="AZ437" s="15" t="s">
        <v>561</v>
      </c>
      <c r="BA437" s="249">
        <f t="shared" si="13"/>
        <v>1</v>
      </c>
      <c r="BB437" s="249">
        <v>0</v>
      </c>
      <c r="BC437" s="249">
        <f t="shared" si="12"/>
        <v>1999</v>
      </c>
    </row>
    <row r="438" spans="1:55" x14ac:dyDescent="0.25">
      <c r="A438" s="50" t="s">
        <v>1855</v>
      </c>
      <c r="B438" s="63" t="s">
        <v>652</v>
      </c>
      <c r="C438" s="15" t="s">
        <v>337</v>
      </c>
      <c r="D438" s="15">
        <v>2007</v>
      </c>
      <c r="E438" s="15" t="s">
        <v>475</v>
      </c>
      <c r="F438" s="15"/>
      <c r="G438" s="15"/>
      <c r="H438" s="15"/>
      <c r="I438" s="15"/>
      <c r="J438" s="16">
        <v>596715</v>
      </c>
      <c r="K438" s="15" t="s">
        <v>328</v>
      </c>
      <c r="L438" s="15"/>
      <c r="M438" s="15"/>
      <c r="N438" s="16">
        <v>8333.3333333333339</v>
      </c>
      <c r="O438" s="21">
        <v>0.5</v>
      </c>
      <c r="P438" s="15">
        <v>2</v>
      </c>
      <c r="Q438" s="15">
        <v>950</v>
      </c>
      <c r="R438" s="16">
        <v>4180</v>
      </c>
      <c r="S438" s="15" t="s">
        <v>340</v>
      </c>
      <c r="T438" s="15">
        <v>2.2000000000000002</v>
      </c>
      <c r="U438" s="15">
        <v>2.6</v>
      </c>
      <c r="V438" s="25">
        <v>4129.2639138240575</v>
      </c>
      <c r="W438" s="22">
        <v>46000</v>
      </c>
      <c r="X438" s="15"/>
      <c r="Y438" s="15"/>
      <c r="Z438" s="15"/>
      <c r="AA438" s="15"/>
      <c r="AB438" s="15" t="s">
        <v>328</v>
      </c>
      <c r="AC438" s="15"/>
      <c r="AD438" s="15" t="s">
        <v>328</v>
      </c>
      <c r="AE438" s="15"/>
      <c r="AF438" s="15"/>
      <c r="AG438" s="15"/>
      <c r="AH438" s="15"/>
      <c r="AI438" s="15"/>
      <c r="AJ438" s="15"/>
      <c r="AK438" s="15"/>
      <c r="AL438" s="15" t="s">
        <v>328</v>
      </c>
      <c r="AM438" s="15"/>
      <c r="AN438" s="16">
        <v>18000</v>
      </c>
      <c r="AO438" s="16">
        <v>24000</v>
      </c>
      <c r="AP438" s="16">
        <v>200000</v>
      </c>
      <c r="AQ438" s="16">
        <v>100000</v>
      </c>
      <c r="AR438" s="16">
        <v>18000</v>
      </c>
      <c r="AS438" s="22">
        <v>198000</v>
      </c>
      <c r="AT438" s="22">
        <v>0</v>
      </c>
      <c r="AU438" s="22">
        <v>60000</v>
      </c>
      <c r="AV438" s="22">
        <v>30000</v>
      </c>
      <c r="AW438" s="22">
        <v>28800</v>
      </c>
      <c r="AX438" s="66">
        <v>0</v>
      </c>
      <c r="AY438" s="17" t="s">
        <v>585</v>
      </c>
      <c r="AZ438" s="15" t="s">
        <v>561</v>
      </c>
      <c r="BA438" s="249">
        <f t="shared" si="13"/>
        <v>3</v>
      </c>
      <c r="BB438" s="249">
        <v>0</v>
      </c>
      <c r="BC438" s="249">
        <f t="shared" si="12"/>
        <v>2007</v>
      </c>
    </row>
    <row r="439" spans="1:55" x14ac:dyDescent="0.25">
      <c r="A439" s="50" t="s">
        <v>1855</v>
      </c>
      <c r="B439" s="63" t="s">
        <v>652</v>
      </c>
      <c r="C439" s="15" t="s">
        <v>337</v>
      </c>
      <c r="D439" s="15">
        <v>2007</v>
      </c>
      <c r="E439" s="15" t="s">
        <v>475</v>
      </c>
      <c r="F439" s="15"/>
      <c r="G439" s="15"/>
      <c r="H439" s="15"/>
      <c r="I439" s="15"/>
      <c r="J439" s="16">
        <v>601214</v>
      </c>
      <c r="K439" s="15" t="s">
        <v>328</v>
      </c>
      <c r="L439" s="15"/>
      <c r="M439" s="15"/>
      <c r="N439" s="16">
        <v>8333.3333333333339</v>
      </c>
      <c r="O439" s="21">
        <v>0.5</v>
      </c>
      <c r="P439" s="15">
        <v>2</v>
      </c>
      <c r="Q439" s="15">
        <v>950</v>
      </c>
      <c r="R439" s="16">
        <v>4180</v>
      </c>
      <c r="S439" s="15" t="s">
        <v>340</v>
      </c>
      <c r="T439" s="15">
        <v>2.2000000000000002</v>
      </c>
      <c r="U439" s="15">
        <v>2.6</v>
      </c>
      <c r="V439" s="25">
        <v>4129.2639138240575</v>
      </c>
      <c r="W439" s="22">
        <v>46000</v>
      </c>
      <c r="X439" s="15"/>
      <c r="Y439" s="15"/>
      <c r="Z439" s="15"/>
      <c r="AA439" s="15"/>
      <c r="AB439" s="15" t="s">
        <v>328</v>
      </c>
      <c r="AC439" s="15"/>
      <c r="AD439" s="15" t="s">
        <v>328</v>
      </c>
      <c r="AE439" s="15"/>
      <c r="AF439" s="15"/>
      <c r="AG439" s="15"/>
      <c r="AH439" s="15"/>
      <c r="AI439" s="15"/>
      <c r="AJ439" s="15"/>
      <c r="AK439" s="15"/>
      <c r="AL439" s="15" t="s">
        <v>328</v>
      </c>
      <c r="AM439" s="15"/>
      <c r="AN439" s="16">
        <v>18000</v>
      </c>
      <c r="AO439" s="16">
        <v>24000</v>
      </c>
      <c r="AP439" s="16">
        <v>200000</v>
      </c>
      <c r="AQ439" s="16">
        <v>100000</v>
      </c>
      <c r="AR439" s="16">
        <v>18000</v>
      </c>
      <c r="AS439" s="22">
        <v>198000</v>
      </c>
      <c r="AT439" s="22">
        <v>0</v>
      </c>
      <c r="AU439" s="22">
        <v>60000</v>
      </c>
      <c r="AV439" s="22">
        <v>30000</v>
      </c>
      <c r="AW439" s="22">
        <v>28800</v>
      </c>
      <c r="AX439" s="66">
        <v>0</v>
      </c>
      <c r="AY439" s="17" t="s">
        <v>585</v>
      </c>
      <c r="AZ439" s="15" t="s">
        <v>561</v>
      </c>
      <c r="BA439" s="249">
        <f t="shared" si="13"/>
        <v>3</v>
      </c>
      <c r="BB439" s="249">
        <v>0</v>
      </c>
      <c r="BC439" s="249">
        <f t="shared" si="12"/>
        <v>2007</v>
      </c>
    </row>
    <row r="440" spans="1:55" x14ac:dyDescent="0.25">
      <c r="A440" s="50" t="s">
        <v>1855</v>
      </c>
      <c r="B440" s="63" t="s">
        <v>652</v>
      </c>
      <c r="C440" s="15" t="s">
        <v>337</v>
      </c>
      <c r="D440" s="15">
        <v>2007</v>
      </c>
      <c r="E440" s="15" t="s">
        <v>475</v>
      </c>
      <c r="F440" s="15"/>
      <c r="G440" s="15"/>
      <c r="H440" s="15"/>
      <c r="I440" s="15"/>
      <c r="J440" s="16">
        <v>600997</v>
      </c>
      <c r="K440" s="15" t="s">
        <v>328</v>
      </c>
      <c r="L440" s="15"/>
      <c r="M440" s="15"/>
      <c r="N440" s="16">
        <v>8333.3333333333339</v>
      </c>
      <c r="O440" s="21">
        <v>0.5</v>
      </c>
      <c r="P440" s="15">
        <v>2</v>
      </c>
      <c r="Q440" s="15">
        <v>950</v>
      </c>
      <c r="R440" s="16">
        <v>4180</v>
      </c>
      <c r="S440" s="15" t="s">
        <v>340</v>
      </c>
      <c r="T440" s="15">
        <v>2.2000000000000002</v>
      </c>
      <c r="U440" s="15">
        <v>2.6</v>
      </c>
      <c r="V440" s="25">
        <v>4129.2639138240575</v>
      </c>
      <c r="W440" s="22">
        <v>46000</v>
      </c>
      <c r="X440" s="15"/>
      <c r="Y440" s="15"/>
      <c r="Z440" s="15"/>
      <c r="AA440" s="15"/>
      <c r="AB440" s="15" t="s">
        <v>328</v>
      </c>
      <c r="AC440" s="15"/>
      <c r="AD440" s="15" t="s">
        <v>328</v>
      </c>
      <c r="AE440" s="15"/>
      <c r="AF440" s="15"/>
      <c r="AG440" s="15"/>
      <c r="AH440" s="15"/>
      <c r="AI440" s="15"/>
      <c r="AJ440" s="15"/>
      <c r="AK440" s="15"/>
      <c r="AL440" s="15" t="s">
        <v>328</v>
      </c>
      <c r="AM440" s="15"/>
      <c r="AN440" s="16">
        <v>18000</v>
      </c>
      <c r="AO440" s="16">
        <v>24000</v>
      </c>
      <c r="AP440" s="16">
        <v>200000</v>
      </c>
      <c r="AQ440" s="16">
        <v>100000</v>
      </c>
      <c r="AR440" s="16">
        <v>18000</v>
      </c>
      <c r="AS440" s="22">
        <v>198000</v>
      </c>
      <c r="AT440" s="22">
        <v>0</v>
      </c>
      <c r="AU440" s="22">
        <v>60000</v>
      </c>
      <c r="AV440" s="22">
        <v>30000</v>
      </c>
      <c r="AW440" s="22">
        <v>28800</v>
      </c>
      <c r="AX440" s="66">
        <v>0</v>
      </c>
      <c r="AY440" s="17" t="s">
        <v>585</v>
      </c>
      <c r="AZ440" s="15" t="s">
        <v>561</v>
      </c>
      <c r="BA440" s="249">
        <f t="shared" si="13"/>
        <v>3</v>
      </c>
      <c r="BB440" s="249">
        <v>0</v>
      </c>
      <c r="BC440" s="249">
        <f t="shared" si="12"/>
        <v>2007</v>
      </c>
    </row>
    <row r="441" spans="1:55" x14ac:dyDescent="0.25">
      <c r="A441" s="50" t="s">
        <v>1855</v>
      </c>
      <c r="B441" s="63" t="s">
        <v>653</v>
      </c>
      <c r="C441" s="15" t="s">
        <v>337</v>
      </c>
      <c r="D441" s="15">
        <v>1999</v>
      </c>
      <c r="E441" s="15" t="s">
        <v>407</v>
      </c>
      <c r="F441" s="15"/>
      <c r="G441" s="15"/>
      <c r="H441" s="15"/>
      <c r="I441" s="15"/>
      <c r="J441" s="16">
        <v>976215</v>
      </c>
      <c r="K441" s="15"/>
      <c r="L441" s="15" t="s">
        <v>328</v>
      </c>
      <c r="M441" s="15"/>
      <c r="N441" s="16">
        <v>6000</v>
      </c>
      <c r="O441" s="21" t="s">
        <v>352</v>
      </c>
      <c r="P441" s="15">
        <v>2</v>
      </c>
      <c r="Q441" s="15">
        <v>906</v>
      </c>
      <c r="R441" s="16">
        <v>3986.4000000000005</v>
      </c>
      <c r="S441" s="15" t="s">
        <v>340</v>
      </c>
      <c r="T441" s="15">
        <v>2.2000000000000002</v>
      </c>
      <c r="U441" s="15">
        <v>2.4</v>
      </c>
      <c r="V441" s="25">
        <v>2917.4147217235186</v>
      </c>
      <c r="W441" s="22">
        <v>32500</v>
      </c>
      <c r="X441" s="15"/>
      <c r="Y441" s="15"/>
      <c r="Z441" s="15"/>
      <c r="AA441" s="15"/>
      <c r="AB441" s="15" t="s">
        <v>328</v>
      </c>
      <c r="AC441" s="15"/>
      <c r="AD441" s="15" t="s">
        <v>332</v>
      </c>
      <c r="AE441" s="15"/>
      <c r="AF441" s="15"/>
      <c r="AG441" s="15"/>
      <c r="AH441" s="15"/>
      <c r="AI441" s="15"/>
      <c r="AJ441" s="15"/>
      <c r="AK441" s="15"/>
      <c r="AL441" s="15"/>
      <c r="AM441" s="15"/>
      <c r="AN441" s="16">
        <v>22000</v>
      </c>
      <c r="AO441" s="16">
        <v>22000</v>
      </c>
      <c r="AP441" s="16">
        <v>200000</v>
      </c>
      <c r="AQ441" s="16">
        <v>100000</v>
      </c>
      <c r="AR441" s="16">
        <v>22000</v>
      </c>
      <c r="AS441" s="22">
        <v>0</v>
      </c>
      <c r="AT441" s="22">
        <v>0</v>
      </c>
      <c r="AU441" s="22">
        <v>30000</v>
      </c>
      <c r="AV441" s="22">
        <v>15000</v>
      </c>
      <c r="AW441" s="22">
        <v>0</v>
      </c>
      <c r="AX441" s="66">
        <v>0</v>
      </c>
      <c r="AY441" s="17" t="s">
        <v>576</v>
      </c>
      <c r="AZ441" s="15" t="s">
        <v>561</v>
      </c>
      <c r="BA441" s="249">
        <f t="shared" si="13"/>
        <v>1</v>
      </c>
      <c r="BB441" s="249">
        <v>0</v>
      </c>
      <c r="BC441" s="249">
        <f t="shared" si="12"/>
        <v>1999</v>
      </c>
    </row>
    <row r="442" spans="1:55" x14ac:dyDescent="0.25">
      <c r="A442" s="50" t="s">
        <v>1855</v>
      </c>
      <c r="B442" s="63" t="s">
        <v>654</v>
      </c>
      <c r="C442" s="15" t="s">
        <v>337</v>
      </c>
      <c r="D442" s="15">
        <v>2000</v>
      </c>
      <c r="E442" s="15" t="s">
        <v>407</v>
      </c>
      <c r="F442" s="15"/>
      <c r="G442" s="15"/>
      <c r="H442" s="15"/>
      <c r="I442" s="15"/>
      <c r="J442" s="16">
        <v>936000</v>
      </c>
      <c r="K442" s="15"/>
      <c r="L442" s="15"/>
      <c r="M442" s="15" t="s">
        <v>328</v>
      </c>
      <c r="N442" s="16">
        <v>6000</v>
      </c>
      <c r="O442" s="21" t="s">
        <v>352</v>
      </c>
      <c r="P442" s="15">
        <v>2</v>
      </c>
      <c r="Q442" s="15">
        <v>900</v>
      </c>
      <c r="R442" s="16">
        <v>3780</v>
      </c>
      <c r="S442" s="15" t="s">
        <v>340</v>
      </c>
      <c r="T442" s="15">
        <v>2.1</v>
      </c>
      <c r="U442" s="15">
        <v>2.7</v>
      </c>
      <c r="V442" s="25">
        <v>3141.8312387791739</v>
      </c>
      <c r="W442" s="22">
        <v>35000</v>
      </c>
      <c r="X442" s="15"/>
      <c r="Y442" s="15"/>
      <c r="Z442" s="15"/>
      <c r="AA442" s="15" t="s">
        <v>328</v>
      </c>
      <c r="AB442" s="15"/>
      <c r="AC442" s="15"/>
      <c r="AD442" s="15" t="s">
        <v>332</v>
      </c>
      <c r="AE442" s="15"/>
      <c r="AF442" s="15"/>
      <c r="AG442" s="15"/>
      <c r="AH442" s="15"/>
      <c r="AI442" s="15"/>
      <c r="AJ442" s="15"/>
      <c r="AK442" s="15"/>
      <c r="AL442" s="15"/>
      <c r="AM442" s="15"/>
      <c r="AN442" s="16">
        <v>25000</v>
      </c>
      <c r="AO442" s="16">
        <v>25000</v>
      </c>
      <c r="AP442" s="16">
        <v>250000</v>
      </c>
      <c r="AQ442" s="16">
        <v>150000</v>
      </c>
      <c r="AR442" s="16">
        <v>25000</v>
      </c>
      <c r="AS442" s="22">
        <v>0</v>
      </c>
      <c r="AT442" s="22">
        <v>0</v>
      </c>
      <c r="AU442" s="22">
        <v>50000</v>
      </c>
      <c r="AV442" s="22">
        <v>15000</v>
      </c>
      <c r="AW442" s="22">
        <v>18000</v>
      </c>
      <c r="AX442" s="66">
        <v>0</v>
      </c>
      <c r="AY442" s="17" t="s">
        <v>576</v>
      </c>
      <c r="AZ442" s="15" t="s">
        <v>562</v>
      </c>
      <c r="BA442" s="249">
        <f t="shared" si="13"/>
        <v>1</v>
      </c>
      <c r="BB442" s="249">
        <v>0</v>
      </c>
      <c r="BC442" s="249">
        <f t="shared" si="12"/>
        <v>2000</v>
      </c>
    </row>
    <row r="443" spans="1:55" x14ac:dyDescent="0.25">
      <c r="A443" s="50" t="s">
        <v>1855</v>
      </c>
      <c r="B443" s="63" t="s">
        <v>655</v>
      </c>
      <c r="C443" s="15" t="s">
        <v>337</v>
      </c>
      <c r="D443" s="15">
        <v>2008</v>
      </c>
      <c r="E443" s="15" t="s">
        <v>407</v>
      </c>
      <c r="F443" s="15"/>
      <c r="G443" s="15"/>
      <c r="H443" s="15"/>
      <c r="I443" s="15"/>
      <c r="J443" s="16">
        <v>423214</v>
      </c>
      <c r="K443" s="15" t="s">
        <v>328</v>
      </c>
      <c r="L443" s="15"/>
      <c r="M443" s="15"/>
      <c r="N443" s="16">
        <v>6000</v>
      </c>
      <c r="O443" s="21">
        <v>0.5</v>
      </c>
      <c r="P443" s="15">
        <v>2</v>
      </c>
      <c r="Q443" s="15">
        <v>950</v>
      </c>
      <c r="R443" s="16">
        <v>4180</v>
      </c>
      <c r="S443" s="15" t="s">
        <v>340</v>
      </c>
      <c r="T443" s="15">
        <v>2.2000000000000002</v>
      </c>
      <c r="U443" s="15">
        <v>2.6</v>
      </c>
      <c r="V443" s="25">
        <v>3052.0646319569119</v>
      </c>
      <c r="W443" s="22">
        <v>34000</v>
      </c>
      <c r="X443" s="15"/>
      <c r="Y443" s="15" t="s">
        <v>328</v>
      </c>
      <c r="Z443" s="15"/>
      <c r="AA443" s="15"/>
      <c r="AB443" s="15"/>
      <c r="AC443" s="15"/>
      <c r="AD443" s="15" t="s">
        <v>328</v>
      </c>
      <c r="AE443" s="15"/>
      <c r="AF443" s="15"/>
      <c r="AG443" s="15"/>
      <c r="AH443" s="15"/>
      <c r="AI443" s="15"/>
      <c r="AJ443" s="15"/>
      <c r="AK443" s="15"/>
      <c r="AL443" s="15"/>
      <c r="AM443" s="15"/>
      <c r="AN443" s="16">
        <v>20000</v>
      </c>
      <c r="AO443" s="16">
        <v>30000</v>
      </c>
      <c r="AP443" s="16">
        <v>180000</v>
      </c>
      <c r="AQ443" s="16">
        <v>120000</v>
      </c>
      <c r="AR443" s="16">
        <v>20000</v>
      </c>
      <c r="AS443" s="22">
        <v>216000</v>
      </c>
      <c r="AT443" s="22">
        <v>36000</v>
      </c>
      <c r="AU443" s="22">
        <v>96000</v>
      </c>
      <c r="AV443" s="22">
        <v>24000</v>
      </c>
      <c r="AW443" s="22">
        <v>36000</v>
      </c>
      <c r="AX443" s="66">
        <v>0</v>
      </c>
      <c r="AY443" s="17" t="s">
        <v>574</v>
      </c>
      <c r="AZ443" s="15" t="s">
        <v>562</v>
      </c>
      <c r="BA443" s="249">
        <f t="shared" si="13"/>
        <v>1</v>
      </c>
      <c r="BB443" s="249">
        <v>0</v>
      </c>
      <c r="BC443" s="249">
        <f t="shared" si="12"/>
        <v>2008</v>
      </c>
    </row>
    <row r="444" spans="1:55" x14ac:dyDescent="0.25">
      <c r="A444" s="50" t="s">
        <v>1855</v>
      </c>
      <c r="B444" s="63" t="s">
        <v>656</v>
      </c>
      <c r="C444" s="15" t="s">
        <v>337</v>
      </c>
      <c r="D444" s="15">
        <v>2000</v>
      </c>
      <c r="E444" s="15" t="s">
        <v>407</v>
      </c>
      <c r="F444" s="15"/>
      <c r="G444" s="15"/>
      <c r="H444" s="15"/>
      <c r="I444" s="15"/>
      <c r="J444" s="16">
        <v>1050411</v>
      </c>
      <c r="K444" s="15"/>
      <c r="L444" s="15"/>
      <c r="M444" s="15" t="s">
        <v>328</v>
      </c>
      <c r="N444" s="16">
        <v>7000</v>
      </c>
      <c r="O444" s="21">
        <v>0.2</v>
      </c>
      <c r="P444" s="15">
        <v>2</v>
      </c>
      <c r="Q444" s="15">
        <v>900</v>
      </c>
      <c r="R444" s="16">
        <v>3600</v>
      </c>
      <c r="S444" s="15" t="s">
        <v>340</v>
      </c>
      <c r="T444" s="15">
        <v>2</v>
      </c>
      <c r="U444" s="15">
        <v>2.5</v>
      </c>
      <c r="V444" s="25">
        <v>3590.6642728904844</v>
      </c>
      <c r="W444" s="22">
        <v>40000</v>
      </c>
      <c r="X444" s="15"/>
      <c r="Y444" s="15" t="s">
        <v>328</v>
      </c>
      <c r="Z444" s="15"/>
      <c r="AA444" s="15"/>
      <c r="AB444" s="15"/>
      <c r="AC444" s="15"/>
      <c r="AD444" s="15" t="s">
        <v>328</v>
      </c>
      <c r="AE444" s="15"/>
      <c r="AF444" s="15"/>
      <c r="AG444" s="15"/>
      <c r="AH444" s="15"/>
      <c r="AI444" s="15"/>
      <c r="AJ444" s="15"/>
      <c r="AK444" s="15"/>
      <c r="AL444" s="15"/>
      <c r="AM444" s="15"/>
      <c r="AN444" s="16">
        <v>25000</v>
      </c>
      <c r="AO444" s="16">
        <v>25000</v>
      </c>
      <c r="AP444" s="16">
        <v>90000</v>
      </c>
      <c r="AQ444" s="16">
        <v>100000</v>
      </c>
      <c r="AR444" s="16">
        <v>25000</v>
      </c>
      <c r="AS444" s="22">
        <v>120000</v>
      </c>
      <c r="AT444" s="22">
        <v>0</v>
      </c>
      <c r="AU444" s="22">
        <v>30000</v>
      </c>
      <c r="AV444" s="22">
        <v>12000</v>
      </c>
      <c r="AW444" s="22">
        <v>0</v>
      </c>
      <c r="AX444" s="66">
        <v>0</v>
      </c>
      <c r="AY444" s="17" t="s">
        <v>576</v>
      </c>
      <c r="AZ444" s="15" t="s">
        <v>561</v>
      </c>
      <c r="BA444" s="249">
        <f t="shared" si="13"/>
        <v>1</v>
      </c>
      <c r="BB444" s="249">
        <v>0</v>
      </c>
      <c r="BC444" s="249">
        <f t="shared" si="12"/>
        <v>2000</v>
      </c>
    </row>
    <row r="445" spans="1:55" x14ac:dyDescent="0.25">
      <c r="A445" s="50" t="s">
        <v>1855</v>
      </c>
      <c r="B445" s="63" t="s">
        <v>657</v>
      </c>
      <c r="C445" s="14" t="s">
        <v>351</v>
      </c>
      <c r="D445" s="15">
        <v>1995</v>
      </c>
      <c r="E445" s="15" t="s">
        <v>690</v>
      </c>
      <c r="F445" s="15"/>
      <c r="G445" s="15"/>
      <c r="H445" s="15"/>
      <c r="I445" s="15"/>
      <c r="J445" s="16">
        <v>864000</v>
      </c>
      <c r="K445" s="15"/>
      <c r="L445" s="15"/>
      <c r="M445" s="15" t="s">
        <v>328</v>
      </c>
      <c r="N445" s="16">
        <v>4000</v>
      </c>
      <c r="O445" s="21">
        <v>0.2</v>
      </c>
      <c r="P445" s="15">
        <v>2</v>
      </c>
      <c r="Q445" s="15">
        <v>400</v>
      </c>
      <c r="R445" s="16">
        <v>2560</v>
      </c>
      <c r="S445" s="15" t="s">
        <v>340</v>
      </c>
      <c r="T445" s="15">
        <v>3.2</v>
      </c>
      <c r="U445" s="15">
        <v>3.8</v>
      </c>
      <c r="V445" s="25">
        <v>1256.7324955116696</v>
      </c>
      <c r="W445" s="22">
        <v>14000</v>
      </c>
      <c r="X445" s="15"/>
      <c r="Y445" s="15" t="s">
        <v>328</v>
      </c>
      <c r="Z445" s="15"/>
      <c r="AA445" s="15"/>
      <c r="AB445" s="15"/>
      <c r="AC445" s="15"/>
      <c r="AD445" s="15" t="s">
        <v>332</v>
      </c>
      <c r="AE445" s="15"/>
      <c r="AF445" s="15"/>
      <c r="AG445" s="15"/>
      <c r="AH445" s="15"/>
      <c r="AI445" s="15"/>
      <c r="AJ445" s="15"/>
      <c r="AK445" s="15"/>
      <c r="AL445" s="15"/>
      <c r="AM445" s="15"/>
      <c r="AN445" s="16">
        <v>15000</v>
      </c>
      <c r="AO445" s="16">
        <v>30000</v>
      </c>
      <c r="AP445" s="16">
        <v>180000</v>
      </c>
      <c r="AQ445" s="16">
        <v>140000</v>
      </c>
      <c r="AR445" s="16">
        <v>15000</v>
      </c>
      <c r="AS445" s="22">
        <v>0</v>
      </c>
      <c r="AT445" s="22">
        <v>0</v>
      </c>
      <c r="AU445" s="22">
        <v>42000</v>
      </c>
      <c r="AV445" s="22">
        <v>18000</v>
      </c>
      <c r="AW445" s="22">
        <v>0</v>
      </c>
      <c r="AX445" s="66">
        <v>0</v>
      </c>
      <c r="AY445" s="17" t="s">
        <v>694</v>
      </c>
      <c r="AZ445" s="15" t="s">
        <v>351</v>
      </c>
      <c r="BA445" s="249">
        <f t="shared" si="13"/>
        <v>1</v>
      </c>
      <c r="BB445" s="249">
        <v>0</v>
      </c>
      <c r="BC445" s="249">
        <f t="shared" si="12"/>
        <v>1995</v>
      </c>
    </row>
    <row r="446" spans="1:55" x14ac:dyDescent="0.25">
      <c r="A446" s="50" t="s">
        <v>1855</v>
      </c>
      <c r="B446" s="63" t="s">
        <v>658</v>
      </c>
      <c r="C446" s="15" t="s">
        <v>348</v>
      </c>
      <c r="D446" s="15">
        <v>1995</v>
      </c>
      <c r="E446" s="14" t="s">
        <v>349</v>
      </c>
      <c r="F446" s="15"/>
      <c r="G446" s="15"/>
      <c r="H446" s="15"/>
      <c r="I446" s="15"/>
      <c r="J446" s="16">
        <v>350217</v>
      </c>
      <c r="K446" s="15"/>
      <c r="L446" s="15"/>
      <c r="M446" s="15" t="s">
        <v>328</v>
      </c>
      <c r="N446" s="16">
        <v>3333.3333333333335</v>
      </c>
      <c r="O446" s="21">
        <v>0.1</v>
      </c>
      <c r="P446" s="15">
        <v>2</v>
      </c>
      <c r="Q446" s="15">
        <v>350</v>
      </c>
      <c r="R446" s="16">
        <v>3360</v>
      </c>
      <c r="S446" s="15" t="s">
        <v>340</v>
      </c>
      <c r="T446" s="15">
        <v>4.8</v>
      </c>
      <c r="U446" s="15">
        <v>5</v>
      </c>
      <c r="V446" s="25">
        <v>807.89946140035897</v>
      </c>
      <c r="W446" s="22">
        <v>9000</v>
      </c>
      <c r="X446" s="15" t="s">
        <v>328</v>
      </c>
      <c r="Y446" s="15"/>
      <c r="Z446" s="15"/>
      <c r="AA446" s="15"/>
      <c r="AB446" s="15"/>
      <c r="AC446" s="15"/>
      <c r="AD446" s="15" t="s">
        <v>328</v>
      </c>
      <c r="AE446" s="15"/>
      <c r="AF446" s="15"/>
      <c r="AG446" s="15"/>
      <c r="AH446" s="15"/>
      <c r="AI446" s="15"/>
      <c r="AJ446" s="15"/>
      <c r="AK446" s="15"/>
      <c r="AL446" s="15"/>
      <c r="AM446" s="15"/>
      <c r="AN446" s="16">
        <v>20000</v>
      </c>
      <c r="AO446" s="16">
        <v>20000</v>
      </c>
      <c r="AP446" s="16">
        <v>100000</v>
      </c>
      <c r="AQ446" s="16">
        <v>100000</v>
      </c>
      <c r="AR446" s="16">
        <v>20000</v>
      </c>
      <c r="AS446" s="22">
        <v>90000</v>
      </c>
      <c r="AT446" s="22">
        <v>18000</v>
      </c>
      <c r="AU446" s="22">
        <v>42000</v>
      </c>
      <c r="AV446" s="22">
        <v>18000</v>
      </c>
      <c r="AW446" s="22">
        <v>21600</v>
      </c>
      <c r="AX446" s="66">
        <v>0</v>
      </c>
      <c r="AY446" s="17" t="s">
        <v>695</v>
      </c>
      <c r="AZ446" s="15" t="s">
        <v>348</v>
      </c>
      <c r="BA446" s="249">
        <f t="shared" si="13"/>
        <v>5</v>
      </c>
      <c r="BB446" s="249">
        <v>0</v>
      </c>
      <c r="BC446" s="249">
        <f t="shared" si="12"/>
        <v>1995</v>
      </c>
    </row>
    <row r="447" spans="1:55" x14ac:dyDescent="0.25">
      <c r="A447" s="50" t="s">
        <v>1855</v>
      </c>
      <c r="B447" s="63" t="s">
        <v>658</v>
      </c>
      <c r="C447" s="15" t="s">
        <v>348</v>
      </c>
      <c r="D447" s="15">
        <v>1995</v>
      </c>
      <c r="E447" s="14" t="s">
        <v>349</v>
      </c>
      <c r="F447" s="15"/>
      <c r="G447" s="15"/>
      <c r="H447" s="15"/>
      <c r="I447" s="15"/>
      <c r="J447" s="16">
        <v>367880</v>
      </c>
      <c r="K447" s="15"/>
      <c r="L447" s="15"/>
      <c r="M447" s="15" t="s">
        <v>328</v>
      </c>
      <c r="N447" s="16">
        <v>3333.3333333333335</v>
      </c>
      <c r="O447" s="21">
        <v>0.1</v>
      </c>
      <c r="P447" s="15">
        <v>2</v>
      </c>
      <c r="Q447" s="15">
        <v>350</v>
      </c>
      <c r="R447" s="16">
        <v>3360</v>
      </c>
      <c r="S447" s="15" t="s">
        <v>340</v>
      </c>
      <c r="T447" s="15">
        <v>4.8</v>
      </c>
      <c r="U447" s="15">
        <v>5</v>
      </c>
      <c r="V447" s="25">
        <v>807.89946140035897</v>
      </c>
      <c r="W447" s="22">
        <v>9000</v>
      </c>
      <c r="X447" s="15" t="s">
        <v>328</v>
      </c>
      <c r="Y447" s="15"/>
      <c r="Z447" s="15"/>
      <c r="AA447" s="15"/>
      <c r="AB447" s="15"/>
      <c r="AC447" s="15"/>
      <c r="AD447" s="15" t="s">
        <v>328</v>
      </c>
      <c r="AE447" s="15"/>
      <c r="AF447" s="15"/>
      <c r="AG447" s="15"/>
      <c r="AH447" s="15"/>
      <c r="AI447" s="15"/>
      <c r="AJ447" s="15"/>
      <c r="AK447" s="15"/>
      <c r="AL447" s="15"/>
      <c r="AM447" s="15"/>
      <c r="AN447" s="16">
        <v>20000</v>
      </c>
      <c r="AO447" s="16">
        <v>20000</v>
      </c>
      <c r="AP447" s="16">
        <v>100000</v>
      </c>
      <c r="AQ447" s="16">
        <v>100000</v>
      </c>
      <c r="AR447" s="16">
        <v>20000</v>
      </c>
      <c r="AS447" s="22">
        <v>90000</v>
      </c>
      <c r="AT447" s="22">
        <v>18000</v>
      </c>
      <c r="AU447" s="22">
        <v>42000</v>
      </c>
      <c r="AV447" s="22">
        <v>18000</v>
      </c>
      <c r="AW447" s="22">
        <v>21600</v>
      </c>
      <c r="AX447" s="66">
        <v>0</v>
      </c>
      <c r="AY447" s="17" t="s">
        <v>695</v>
      </c>
      <c r="AZ447" s="15" t="s">
        <v>348</v>
      </c>
      <c r="BA447" s="249">
        <f t="shared" si="13"/>
        <v>5</v>
      </c>
      <c r="BB447" s="249">
        <v>0</v>
      </c>
      <c r="BC447" s="249">
        <f t="shared" si="12"/>
        <v>1995</v>
      </c>
    </row>
    <row r="448" spans="1:55" x14ac:dyDescent="0.25">
      <c r="A448" s="50" t="s">
        <v>1855</v>
      </c>
      <c r="B448" s="63" t="s">
        <v>658</v>
      </c>
      <c r="C448" s="15" t="s">
        <v>348</v>
      </c>
      <c r="D448" s="15">
        <v>2005</v>
      </c>
      <c r="E448" s="14" t="s">
        <v>349</v>
      </c>
      <c r="F448" s="15"/>
      <c r="G448" s="15"/>
      <c r="H448" s="15"/>
      <c r="I448" s="15"/>
      <c r="J448" s="16">
        <v>185322</v>
      </c>
      <c r="K448" s="15" t="s">
        <v>328</v>
      </c>
      <c r="L448" s="15"/>
      <c r="M448" s="15"/>
      <c r="N448" s="16">
        <v>3333.3333333333335</v>
      </c>
      <c r="O448" s="21">
        <v>0.1</v>
      </c>
      <c r="P448" s="15">
        <v>2</v>
      </c>
      <c r="Q448" s="15">
        <v>400</v>
      </c>
      <c r="R448" s="16">
        <v>4000</v>
      </c>
      <c r="S448" s="15" t="s">
        <v>340</v>
      </c>
      <c r="T448" s="15">
        <v>5</v>
      </c>
      <c r="U448" s="15">
        <v>5.5</v>
      </c>
      <c r="V448" s="25">
        <v>763.01615798922796</v>
      </c>
      <c r="W448" s="22">
        <v>8500</v>
      </c>
      <c r="X448" s="15" t="s">
        <v>328</v>
      </c>
      <c r="Y448" s="15"/>
      <c r="Z448" s="15"/>
      <c r="AA448" s="15"/>
      <c r="AB448" s="15"/>
      <c r="AC448" s="15"/>
      <c r="AD448" s="15" t="s">
        <v>328</v>
      </c>
      <c r="AE448" s="15"/>
      <c r="AF448" s="15"/>
      <c r="AG448" s="15"/>
      <c r="AH448" s="15"/>
      <c r="AI448" s="15"/>
      <c r="AJ448" s="15"/>
      <c r="AK448" s="15"/>
      <c r="AL448" s="15"/>
      <c r="AM448" s="15"/>
      <c r="AN448" s="16">
        <v>20000</v>
      </c>
      <c r="AO448" s="16">
        <v>20000</v>
      </c>
      <c r="AP448" s="16">
        <v>100000</v>
      </c>
      <c r="AQ448" s="16">
        <v>100000</v>
      </c>
      <c r="AR448" s="16">
        <v>20000</v>
      </c>
      <c r="AS448" s="22">
        <v>90000</v>
      </c>
      <c r="AT448" s="22">
        <v>18000</v>
      </c>
      <c r="AU448" s="22">
        <v>42000</v>
      </c>
      <c r="AV448" s="22">
        <v>18000</v>
      </c>
      <c r="AW448" s="22">
        <v>21600</v>
      </c>
      <c r="AX448" s="66">
        <v>0</v>
      </c>
      <c r="AY448" s="17" t="s">
        <v>695</v>
      </c>
      <c r="AZ448" s="15" t="s">
        <v>348</v>
      </c>
      <c r="BA448" s="249">
        <f t="shared" si="13"/>
        <v>5</v>
      </c>
      <c r="BB448" s="249">
        <v>0</v>
      </c>
      <c r="BC448" s="249">
        <f t="shared" si="12"/>
        <v>2005</v>
      </c>
    </row>
    <row r="449" spans="1:55" x14ac:dyDescent="0.25">
      <c r="A449" s="50" t="s">
        <v>1855</v>
      </c>
      <c r="B449" s="63" t="s">
        <v>658</v>
      </c>
      <c r="C449" s="15" t="s">
        <v>348</v>
      </c>
      <c r="D449" s="15">
        <v>2005</v>
      </c>
      <c r="E449" s="14" t="s">
        <v>349</v>
      </c>
      <c r="F449" s="15"/>
      <c r="G449" s="15"/>
      <c r="H449" s="15"/>
      <c r="I449" s="15"/>
      <c r="J449" s="16">
        <v>203647</v>
      </c>
      <c r="K449" s="15" t="s">
        <v>328</v>
      </c>
      <c r="L449" s="15"/>
      <c r="M449" s="15"/>
      <c r="N449" s="16">
        <v>3333.3333333333335</v>
      </c>
      <c r="O449" s="21">
        <v>0.1</v>
      </c>
      <c r="P449" s="15">
        <v>2</v>
      </c>
      <c r="Q449" s="15">
        <v>400</v>
      </c>
      <c r="R449" s="16">
        <v>4000</v>
      </c>
      <c r="S449" s="15" t="s">
        <v>340</v>
      </c>
      <c r="T449" s="15">
        <v>5</v>
      </c>
      <c r="U449" s="15">
        <v>5.5</v>
      </c>
      <c r="V449" s="25">
        <v>763.01615798922796</v>
      </c>
      <c r="W449" s="22">
        <v>8500</v>
      </c>
      <c r="X449" s="15" t="s">
        <v>328</v>
      </c>
      <c r="Y449" s="15"/>
      <c r="Z449" s="15"/>
      <c r="AA449" s="15"/>
      <c r="AB449" s="15"/>
      <c r="AC449" s="15"/>
      <c r="AD449" s="15" t="s">
        <v>328</v>
      </c>
      <c r="AE449" s="15"/>
      <c r="AF449" s="15"/>
      <c r="AG449" s="15"/>
      <c r="AH449" s="15"/>
      <c r="AI449" s="15"/>
      <c r="AJ449" s="15"/>
      <c r="AK449" s="15"/>
      <c r="AL449" s="15"/>
      <c r="AM449" s="15"/>
      <c r="AN449" s="16">
        <v>20000</v>
      </c>
      <c r="AO449" s="16">
        <v>20000</v>
      </c>
      <c r="AP449" s="16">
        <v>100000</v>
      </c>
      <c r="AQ449" s="16">
        <v>100000</v>
      </c>
      <c r="AR449" s="16">
        <v>20000</v>
      </c>
      <c r="AS449" s="22">
        <v>108000</v>
      </c>
      <c r="AT449" s="22">
        <v>24000</v>
      </c>
      <c r="AU449" s="22">
        <v>42000</v>
      </c>
      <c r="AV449" s="22">
        <v>18000</v>
      </c>
      <c r="AW449" s="22">
        <v>24000</v>
      </c>
      <c r="AX449" s="66">
        <v>0</v>
      </c>
      <c r="AY449" s="17" t="s">
        <v>695</v>
      </c>
      <c r="AZ449" s="15" t="s">
        <v>348</v>
      </c>
      <c r="BA449" s="249">
        <f t="shared" si="13"/>
        <v>5</v>
      </c>
      <c r="BB449" s="249">
        <v>0</v>
      </c>
      <c r="BC449" s="249">
        <f t="shared" si="12"/>
        <v>2005</v>
      </c>
    </row>
    <row r="450" spans="1:55" x14ac:dyDescent="0.25">
      <c r="A450" s="50" t="s">
        <v>1855</v>
      </c>
      <c r="B450" s="63" t="s">
        <v>658</v>
      </c>
      <c r="C450" s="15" t="s">
        <v>348</v>
      </c>
      <c r="D450" s="15">
        <v>2005</v>
      </c>
      <c r="E450" s="14" t="s">
        <v>349</v>
      </c>
      <c r="F450" s="15"/>
      <c r="G450" s="15"/>
      <c r="H450" s="15"/>
      <c r="I450" s="15"/>
      <c r="J450" s="16">
        <v>210815</v>
      </c>
      <c r="K450" s="15" t="s">
        <v>328</v>
      </c>
      <c r="L450" s="15"/>
      <c r="M450" s="15"/>
      <c r="N450" s="16">
        <v>3333.3333333333335</v>
      </c>
      <c r="O450" s="21">
        <v>0.1</v>
      </c>
      <c r="P450" s="15">
        <v>2</v>
      </c>
      <c r="Q450" s="15">
        <v>400</v>
      </c>
      <c r="R450" s="16">
        <v>4000</v>
      </c>
      <c r="S450" s="15" t="s">
        <v>340</v>
      </c>
      <c r="T450" s="15">
        <v>5</v>
      </c>
      <c r="U450" s="15">
        <v>5.5</v>
      </c>
      <c r="V450" s="25">
        <v>763.01615798922796</v>
      </c>
      <c r="W450" s="22">
        <v>8500</v>
      </c>
      <c r="X450" s="15" t="s">
        <v>328</v>
      </c>
      <c r="Y450" s="15"/>
      <c r="Z450" s="15"/>
      <c r="AA450" s="15"/>
      <c r="AB450" s="15"/>
      <c r="AC450" s="15"/>
      <c r="AD450" s="15" t="s">
        <v>328</v>
      </c>
      <c r="AE450" s="15"/>
      <c r="AF450" s="15"/>
      <c r="AG450" s="15"/>
      <c r="AH450" s="15"/>
      <c r="AI450" s="15"/>
      <c r="AJ450" s="15"/>
      <c r="AK450" s="15"/>
      <c r="AL450" s="15"/>
      <c r="AM450" s="15"/>
      <c r="AN450" s="16">
        <v>20000</v>
      </c>
      <c r="AO450" s="16">
        <v>20000</v>
      </c>
      <c r="AP450" s="16">
        <v>100000</v>
      </c>
      <c r="AQ450" s="16">
        <v>100000</v>
      </c>
      <c r="AR450" s="16">
        <v>20000</v>
      </c>
      <c r="AS450" s="22">
        <v>108000</v>
      </c>
      <c r="AT450" s="22">
        <v>24000</v>
      </c>
      <c r="AU450" s="22">
        <v>42000</v>
      </c>
      <c r="AV450" s="22">
        <v>18000</v>
      </c>
      <c r="AW450" s="22">
        <v>24000</v>
      </c>
      <c r="AX450" s="66">
        <v>0</v>
      </c>
      <c r="AY450" s="17" t="s">
        <v>695</v>
      </c>
      <c r="AZ450" s="15" t="s">
        <v>348</v>
      </c>
      <c r="BA450" s="249">
        <f t="shared" si="13"/>
        <v>5</v>
      </c>
      <c r="BB450" s="249">
        <v>0</v>
      </c>
      <c r="BC450" s="249">
        <f t="shared" si="12"/>
        <v>2005</v>
      </c>
    </row>
    <row r="451" spans="1:55" x14ac:dyDescent="0.25">
      <c r="A451" s="50" t="s">
        <v>1855</v>
      </c>
      <c r="B451" s="63" t="s">
        <v>659</v>
      </c>
      <c r="C451" s="14" t="s">
        <v>351</v>
      </c>
      <c r="D451" s="15">
        <v>1996</v>
      </c>
      <c r="E451" s="15" t="s">
        <v>690</v>
      </c>
      <c r="F451" s="15"/>
      <c r="G451" s="15"/>
      <c r="H451" s="15"/>
      <c r="I451" s="15"/>
      <c r="J451" s="16">
        <v>1358270</v>
      </c>
      <c r="K451" s="15"/>
      <c r="L451" s="15" t="s">
        <v>328</v>
      </c>
      <c r="M451" s="15"/>
      <c r="N451" s="16">
        <v>5000</v>
      </c>
      <c r="O451" s="21">
        <v>0.3</v>
      </c>
      <c r="P451" s="15">
        <v>2</v>
      </c>
      <c r="Q451" s="15">
        <v>400</v>
      </c>
      <c r="R451" s="16">
        <v>2560</v>
      </c>
      <c r="S451" s="15" t="s">
        <v>340</v>
      </c>
      <c r="T451" s="15">
        <v>3.2</v>
      </c>
      <c r="U451" s="15">
        <v>3.8</v>
      </c>
      <c r="V451" s="25">
        <v>1660.6822262118492</v>
      </c>
      <c r="W451" s="22">
        <v>18500</v>
      </c>
      <c r="X451" s="15"/>
      <c r="Y451" s="15" t="s">
        <v>328</v>
      </c>
      <c r="Z451" s="15"/>
      <c r="AA451" s="15"/>
      <c r="AB451" s="15"/>
      <c r="AC451" s="15"/>
      <c r="AD451" s="15" t="s">
        <v>332</v>
      </c>
      <c r="AE451" s="15"/>
      <c r="AF451" s="15"/>
      <c r="AG451" s="15"/>
      <c r="AH451" s="15"/>
      <c r="AI451" s="15"/>
      <c r="AJ451" s="15"/>
      <c r="AK451" s="15"/>
      <c r="AL451" s="15"/>
      <c r="AM451" s="15"/>
      <c r="AN451" s="16">
        <v>25000</v>
      </c>
      <c r="AO451" s="16">
        <v>25000</v>
      </c>
      <c r="AP451" s="16">
        <v>150000</v>
      </c>
      <c r="AQ451" s="16">
        <v>150000</v>
      </c>
      <c r="AR451" s="16">
        <v>25000</v>
      </c>
      <c r="AS451" s="22">
        <v>0</v>
      </c>
      <c r="AT451" s="22">
        <v>0</v>
      </c>
      <c r="AU451" s="22">
        <v>30000</v>
      </c>
      <c r="AV451" s="22">
        <v>18000</v>
      </c>
      <c r="AW451" s="22">
        <v>0</v>
      </c>
      <c r="AX451" s="66">
        <v>0</v>
      </c>
      <c r="AY451" s="17" t="s">
        <v>694</v>
      </c>
      <c r="AZ451" s="15" t="s">
        <v>351</v>
      </c>
      <c r="BA451" s="249">
        <f t="shared" si="13"/>
        <v>1</v>
      </c>
      <c r="BB451" s="249">
        <v>0</v>
      </c>
      <c r="BC451" s="249">
        <f t="shared" si="12"/>
        <v>1996</v>
      </c>
    </row>
    <row r="452" spans="1:55" x14ac:dyDescent="0.25">
      <c r="A452" s="50" t="s">
        <v>1855</v>
      </c>
      <c r="B452" s="63" t="s">
        <v>660</v>
      </c>
      <c r="C452" s="15" t="s">
        <v>337</v>
      </c>
      <c r="D452" s="15">
        <v>2003</v>
      </c>
      <c r="E452" s="15" t="s">
        <v>475</v>
      </c>
      <c r="F452" s="15"/>
      <c r="G452" s="15"/>
      <c r="H452" s="15"/>
      <c r="I452" s="15"/>
      <c r="J452" s="16">
        <v>627846</v>
      </c>
      <c r="K452" s="15"/>
      <c r="L452" s="15" t="s">
        <v>328</v>
      </c>
      <c r="M452" s="15"/>
      <c r="N452" s="16">
        <v>5000</v>
      </c>
      <c r="O452" s="21">
        <v>0.1</v>
      </c>
      <c r="P452" s="15">
        <v>2</v>
      </c>
      <c r="Q452" s="15">
        <v>950</v>
      </c>
      <c r="R452" s="16">
        <v>3990</v>
      </c>
      <c r="S452" s="15" t="s">
        <v>340</v>
      </c>
      <c r="T452" s="15">
        <v>2.1</v>
      </c>
      <c r="U452" s="15">
        <v>2.7</v>
      </c>
      <c r="V452" s="25">
        <v>2244.1651705565528</v>
      </c>
      <c r="W452" s="22">
        <v>25000</v>
      </c>
      <c r="X452" s="15"/>
      <c r="Y452" s="15"/>
      <c r="Z452" s="15"/>
      <c r="AA452" s="15"/>
      <c r="AB452" s="15" t="s">
        <v>328</v>
      </c>
      <c r="AC452" s="15"/>
      <c r="AD452" s="15" t="s">
        <v>328</v>
      </c>
      <c r="AE452" s="15"/>
      <c r="AF452" s="15"/>
      <c r="AG452" s="15"/>
      <c r="AH452" s="15"/>
      <c r="AI452" s="15"/>
      <c r="AJ452" s="15"/>
      <c r="AK452" s="15"/>
      <c r="AL452" s="15"/>
      <c r="AM452" s="15"/>
      <c r="AN452" s="16">
        <v>30000</v>
      </c>
      <c r="AO452" s="16">
        <v>30000</v>
      </c>
      <c r="AP452" s="16">
        <v>180000</v>
      </c>
      <c r="AQ452" s="16">
        <v>160000</v>
      </c>
      <c r="AR452" s="16">
        <v>25000</v>
      </c>
      <c r="AS452" s="22">
        <v>120000</v>
      </c>
      <c r="AT452" s="22">
        <v>0</v>
      </c>
      <c r="AU452" s="22">
        <v>48000</v>
      </c>
      <c r="AV452" s="22">
        <v>12000</v>
      </c>
      <c r="AW452" s="22">
        <v>0</v>
      </c>
      <c r="AX452" s="66">
        <v>12000</v>
      </c>
      <c r="AY452" s="17" t="s">
        <v>585</v>
      </c>
      <c r="AZ452" s="15" t="s">
        <v>561</v>
      </c>
      <c r="BA452" s="249">
        <f t="shared" si="13"/>
        <v>1</v>
      </c>
      <c r="BB452" s="249">
        <v>0</v>
      </c>
      <c r="BC452" s="249">
        <f t="shared" si="12"/>
        <v>2003</v>
      </c>
    </row>
    <row r="453" spans="1:55" x14ac:dyDescent="0.25">
      <c r="A453" s="50" t="s">
        <v>1855</v>
      </c>
      <c r="B453" s="63" t="s">
        <v>661</v>
      </c>
      <c r="C453" s="14" t="s">
        <v>351</v>
      </c>
      <c r="D453" s="15">
        <v>2005</v>
      </c>
      <c r="E453" s="14" t="s">
        <v>349</v>
      </c>
      <c r="F453" s="15"/>
      <c r="G453" s="15"/>
      <c r="H453" s="15"/>
      <c r="I453" s="15"/>
      <c r="J453" s="16">
        <v>553172</v>
      </c>
      <c r="K453" s="15" t="s">
        <v>328</v>
      </c>
      <c r="L453" s="15"/>
      <c r="M453" s="15"/>
      <c r="N453" s="16">
        <v>5833.333333333333</v>
      </c>
      <c r="O453" s="21">
        <v>0</v>
      </c>
      <c r="P453" s="15">
        <v>2</v>
      </c>
      <c r="Q453" s="15">
        <v>550</v>
      </c>
      <c r="R453" s="16">
        <v>3520</v>
      </c>
      <c r="S453" s="15" t="s">
        <v>340</v>
      </c>
      <c r="T453" s="15">
        <v>3.2</v>
      </c>
      <c r="U453" s="15">
        <v>3.6</v>
      </c>
      <c r="V453" s="25">
        <v>1974.8653500897665</v>
      </c>
      <c r="W453" s="22">
        <v>22000</v>
      </c>
      <c r="X453" s="15"/>
      <c r="Y453" s="15"/>
      <c r="Z453" s="15"/>
      <c r="AA453" s="15"/>
      <c r="AB453" s="15" t="s">
        <v>328</v>
      </c>
      <c r="AC453" s="15"/>
      <c r="AD453" s="15" t="s">
        <v>328</v>
      </c>
      <c r="AE453" s="15"/>
      <c r="AF453" s="15"/>
      <c r="AG453" s="15"/>
      <c r="AH453" s="15"/>
      <c r="AI453" s="15"/>
      <c r="AJ453" s="15"/>
      <c r="AK453" s="15"/>
      <c r="AL453" s="15"/>
      <c r="AM453" s="15"/>
      <c r="AN453" s="16">
        <v>25000</v>
      </c>
      <c r="AO453" s="16">
        <v>25000</v>
      </c>
      <c r="AP453" s="16">
        <v>150000</v>
      </c>
      <c r="AQ453" s="16">
        <v>150000</v>
      </c>
      <c r="AR453" s="16">
        <v>25000</v>
      </c>
      <c r="AS453" s="22">
        <v>144000</v>
      </c>
      <c r="AT453" s="22">
        <v>0</v>
      </c>
      <c r="AU453" s="22">
        <v>15000</v>
      </c>
      <c r="AV453" s="22">
        <v>10000</v>
      </c>
      <c r="AW453" s="22">
        <v>12000</v>
      </c>
      <c r="AX453" s="66">
        <v>0</v>
      </c>
      <c r="AY453" s="17" t="s">
        <v>701</v>
      </c>
      <c r="AZ453" s="15" t="s">
        <v>351</v>
      </c>
      <c r="BA453" s="249">
        <f t="shared" si="13"/>
        <v>1</v>
      </c>
      <c r="BB453" s="249">
        <v>0</v>
      </c>
      <c r="BC453" s="249">
        <f t="shared" si="12"/>
        <v>2005</v>
      </c>
    </row>
    <row r="454" spans="1:55" x14ac:dyDescent="0.25">
      <c r="A454" s="50" t="s">
        <v>1855</v>
      </c>
      <c r="B454" s="63" t="s">
        <v>662</v>
      </c>
      <c r="C454" s="14" t="s">
        <v>351</v>
      </c>
      <c r="D454" s="15">
        <v>2008</v>
      </c>
      <c r="E454" s="15" t="s">
        <v>407</v>
      </c>
      <c r="F454" s="15"/>
      <c r="G454" s="15"/>
      <c r="H454" s="15"/>
      <c r="I454" s="15"/>
      <c r="J454" s="16">
        <v>390456</v>
      </c>
      <c r="K454" s="15" t="s">
        <v>328</v>
      </c>
      <c r="L454" s="15"/>
      <c r="M454" s="15"/>
      <c r="N454" s="16">
        <v>6000</v>
      </c>
      <c r="O454" s="21">
        <v>0.2</v>
      </c>
      <c r="P454" s="15">
        <v>2</v>
      </c>
      <c r="Q454" s="15">
        <v>900</v>
      </c>
      <c r="R454" s="16">
        <v>5940</v>
      </c>
      <c r="S454" s="15" t="s">
        <v>340</v>
      </c>
      <c r="T454" s="15">
        <v>3.3</v>
      </c>
      <c r="U454" s="15">
        <v>3.8</v>
      </c>
      <c r="V454" s="25">
        <v>2064.6319569120287</v>
      </c>
      <c r="W454" s="22">
        <v>23000</v>
      </c>
      <c r="X454" s="15"/>
      <c r="Y454" s="15"/>
      <c r="Z454" s="15"/>
      <c r="AA454" s="15"/>
      <c r="AB454" s="15" t="s">
        <v>328</v>
      </c>
      <c r="AC454" s="15"/>
      <c r="AD454" s="15" t="s">
        <v>328</v>
      </c>
      <c r="AE454" s="15"/>
      <c r="AF454" s="15"/>
      <c r="AG454" s="15"/>
      <c r="AH454" s="15"/>
      <c r="AI454" s="15"/>
      <c r="AJ454" s="15"/>
      <c r="AK454" s="15"/>
      <c r="AL454" s="15"/>
      <c r="AM454" s="15"/>
      <c r="AN454" s="16">
        <v>24000</v>
      </c>
      <c r="AO454" s="16">
        <v>24000</v>
      </c>
      <c r="AP454" s="16">
        <v>140000</v>
      </c>
      <c r="AQ454" s="16">
        <v>140000</v>
      </c>
      <c r="AR454" s="16">
        <v>24000</v>
      </c>
      <c r="AS454" s="22">
        <v>0</v>
      </c>
      <c r="AT454" s="22">
        <v>0</v>
      </c>
      <c r="AU454" s="22">
        <v>30000</v>
      </c>
      <c r="AV454" s="22">
        <v>10000</v>
      </c>
      <c r="AW454" s="22">
        <v>17000</v>
      </c>
      <c r="AX454" s="66">
        <v>0</v>
      </c>
      <c r="AY454" s="17" t="s">
        <v>688</v>
      </c>
      <c r="AZ454" s="15" t="s">
        <v>351</v>
      </c>
      <c r="BA454" s="249">
        <f t="shared" si="13"/>
        <v>1</v>
      </c>
      <c r="BB454" s="249">
        <v>0</v>
      </c>
      <c r="BC454" s="249">
        <f t="shared" si="12"/>
        <v>2008</v>
      </c>
    </row>
    <row r="455" spans="1:55" x14ac:dyDescent="0.25">
      <c r="A455" s="50" t="s">
        <v>1855</v>
      </c>
      <c r="B455" s="63" t="s">
        <v>663</v>
      </c>
      <c r="C455" s="14" t="s">
        <v>351</v>
      </c>
      <c r="D455" s="15">
        <v>1998</v>
      </c>
      <c r="E455" s="15" t="s">
        <v>477</v>
      </c>
      <c r="F455" s="15"/>
      <c r="G455" s="15"/>
      <c r="H455" s="15"/>
      <c r="I455" s="15"/>
      <c r="J455" s="16">
        <v>836211</v>
      </c>
      <c r="K455" s="15"/>
      <c r="L455" s="15" t="s">
        <v>328</v>
      </c>
      <c r="M455" s="15"/>
      <c r="N455" s="16">
        <v>4000</v>
      </c>
      <c r="O455" s="21">
        <v>0.05</v>
      </c>
      <c r="P455" s="15">
        <v>2</v>
      </c>
      <c r="Q455" s="15">
        <v>908</v>
      </c>
      <c r="R455" s="16">
        <v>5811.2000000000007</v>
      </c>
      <c r="S455" s="15" t="s">
        <v>340</v>
      </c>
      <c r="T455" s="15">
        <v>3.2</v>
      </c>
      <c r="U455" s="15">
        <v>3.7</v>
      </c>
      <c r="V455" s="25">
        <v>1346.4991023339317</v>
      </c>
      <c r="W455" s="22">
        <v>15000</v>
      </c>
      <c r="X455" s="15"/>
      <c r="Y455" s="15"/>
      <c r="Z455" s="15"/>
      <c r="AA455" s="15"/>
      <c r="AB455" s="15" t="s">
        <v>328</v>
      </c>
      <c r="AC455" s="15"/>
      <c r="AD455" s="15" t="s">
        <v>328</v>
      </c>
      <c r="AE455" s="15"/>
      <c r="AF455" s="15"/>
      <c r="AG455" s="15"/>
      <c r="AH455" s="15"/>
      <c r="AI455" s="15"/>
      <c r="AJ455" s="15"/>
      <c r="AK455" s="15"/>
      <c r="AL455" s="15"/>
      <c r="AM455" s="15"/>
      <c r="AN455" s="16">
        <v>25000</v>
      </c>
      <c r="AO455" s="16">
        <v>25000</v>
      </c>
      <c r="AP455" s="16">
        <v>200000</v>
      </c>
      <c r="AQ455" s="16">
        <v>100000</v>
      </c>
      <c r="AR455" s="16">
        <v>25000</v>
      </c>
      <c r="AS455" s="22">
        <v>120000</v>
      </c>
      <c r="AT455" s="22">
        <v>0</v>
      </c>
      <c r="AU455" s="22">
        <v>42000</v>
      </c>
      <c r="AV455" s="22">
        <v>30000</v>
      </c>
      <c r="AW455" s="22">
        <v>0</v>
      </c>
      <c r="AX455" s="66">
        <v>12000</v>
      </c>
      <c r="AY455" s="17" t="s">
        <v>702</v>
      </c>
      <c r="AZ455" s="15" t="s">
        <v>351</v>
      </c>
      <c r="BA455" s="249">
        <f t="shared" si="13"/>
        <v>1</v>
      </c>
      <c r="BB455" s="249">
        <v>0</v>
      </c>
      <c r="BC455" s="249">
        <f t="shared" si="12"/>
        <v>1998</v>
      </c>
    </row>
    <row r="456" spans="1:55" x14ac:dyDescent="0.25">
      <c r="A456" s="50" t="s">
        <v>1855</v>
      </c>
      <c r="B456" s="63" t="s">
        <v>664</v>
      </c>
      <c r="C456" s="14" t="s">
        <v>351</v>
      </c>
      <c r="D456" s="15">
        <v>2000</v>
      </c>
      <c r="E456" s="15" t="s">
        <v>407</v>
      </c>
      <c r="F456" s="15"/>
      <c r="G456" s="15"/>
      <c r="H456" s="15"/>
      <c r="I456" s="15"/>
      <c r="J456" s="16">
        <v>728619</v>
      </c>
      <c r="K456" s="15"/>
      <c r="L456" s="15" t="s">
        <v>328</v>
      </c>
      <c r="M456" s="15"/>
      <c r="N456" s="16">
        <v>5000</v>
      </c>
      <c r="O456" s="21">
        <v>0.2</v>
      </c>
      <c r="P456" s="15">
        <v>2</v>
      </c>
      <c r="Q456" s="15">
        <v>950</v>
      </c>
      <c r="R456" s="16">
        <v>6080</v>
      </c>
      <c r="S456" s="15" t="s">
        <v>340</v>
      </c>
      <c r="T456" s="15">
        <v>3.2</v>
      </c>
      <c r="U456" s="15">
        <v>3.7</v>
      </c>
      <c r="V456" s="25">
        <v>1795.3321364452422</v>
      </c>
      <c r="W456" s="22">
        <v>20000</v>
      </c>
      <c r="X456" s="15"/>
      <c r="Y456" s="15" t="s">
        <v>328</v>
      </c>
      <c r="Z456" s="15"/>
      <c r="AA456" s="15"/>
      <c r="AB456" s="15"/>
      <c r="AC456" s="15"/>
      <c r="AD456" s="15" t="s">
        <v>332</v>
      </c>
      <c r="AE456" s="15"/>
      <c r="AF456" s="15"/>
      <c r="AG456" s="15"/>
      <c r="AH456" s="15"/>
      <c r="AI456" s="15"/>
      <c r="AJ456" s="15"/>
      <c r="AK456" s="15"/>
      <c r="AL456" s="15"/>
      <c r="AM456" s="15"/>
      <c r="AN456" s="16">
        <v>30000</v>
      </c>
      <c r="AO456" s="16">
        <v>30000</v>
      </c>
      <c r="AP456" s="16">
        <v>65000</v>
      </c>
      <c r="AQ456" s="16">
        <v>95000</v>
      </c>
      <c r="AR456" s="16">
        <v>30000</v>
      </c>
      <c r="AS456" s="22">
        <v>0</v>
      </c>
      <c r="AT456" s="22">
        <v>12000</v>
      </c>
      <c r="AU456" s="22">
        <v>10000</v>
      </c>
      <c r="AV456" s="22">
        <v>20000</v>
      </c>
      <c r="AW456" s="22">
        <v>0</v>
      </c>
      <c r="AX456" s="66">
        <v>8000</v>
      </c>
      <c r="AY456" s="17" t="s">
        <v>583</v>
      </c>
      <c r="AZ456" s="15" t="s">
        <v>351</v>
      </c>
      <c r="BA456" s="249">
        <f t="shared" si="13"/>
        <v>1</v>
      </c>
      <c r="BB456" s="249">
        <v>0</v>
      </c>
      <c r="BC456" s="249">
        <f t="shared" ref="BC456:BC519" si="14">IF(H456&gt;D456,(IF(H456&gt;F456,H456,(IF(F456&gt;D456,F456,D456)))),(IF(F456&gt;D456,F456,D456)))</f>
        <v>2000</v>
      </c>
    </row>
    <row r="457" spans="1:55" x14ac:dyDescent="0.25">
      <c r="A457" s="50" t="s">
        <v>1855</v>
      </c>
      <c r="B457" s="63" t="s">
        <v>665</v>
      </c>
      <c r="C457" s="15" t="s">
        <v>348</v>
      </c>
      <c r="D457" s="15">
        <v>2005</v>
      </c>
      <c r="E457" s="15" t="s">
        <v>407</v>
      </c>
      <c r="F457" s="15"/>
      <c r="G457" s="15"/>
      <c r="H457" s="15"/>
      <c r="I457" s="15"/>
      <c r="J457" s="16">
        <v>515800</v>
      </c>
      <c r="K457" s="15"/>
      <c r="L457" s="15" t="s">
        <v>328</v>
      </c>
      <c r="M457" s="15"/>
      <c r="N457" s="16">
        <v>6000</v>
      </c>
      <c r="O457" s="21">
        <v>0.5</v>
      </c>
      <c r="P457" s="15">
        <v>2</v>
      </c>
      <c r="Q457" s="15">
        <v>400</v>
      </c>
      <c r="R457" s="16">
        <v>3920.0000000000005</v>
      </c>
      <c r="S457" s="15" t="s">
        <v>340</v>
      </c>
      <c r="T457" s="15">
        <v>4.9000000000000004</v>
      </c>
      <c r="U457" s="15">
        <v>5.3</v>
      </c>
      <c r="V457" s="25">
        <v>1346.4991023339317</v>
      </c>
      <c r="W457" s="22">
        <v>15000</v>
      </c>
      <c r="X457" s="15"/>
      <c r="Y457" s="15" t="s">
        <v>328</v>
      </c>
      <c r="Z457" s="15"/>
      <c r="AA457" s="15"/>
      <c r="AB457" s="15"/>
      <c r="AC457" s="15"/>
      <c r="AD457" s="15" t="s">
        <v>328</v>
      </c>
      <c r="AE457" s="15"/>
      <c r="AF457" s="15"/>
      <c r="AG457" s="15"/>
      <c r="AH457" s="15"/>
      <c r="AI457" s="15"/>
      <c r="AJ457" s="15"/>
      <c r="AK457" s="15"/>
      <c r="AL457" s="15"/>
      <c r="AM457" s="15"/>
      <c r="AN457" s="16">
        <v>24000</v>
      </c>
      <c r="AO457" s="16">
        <v>24000</v>
      </c>
      <c r="AP457" s="16">
        <v>130000</v>
      </c>
      <c r="AQ457" s="16">
        <v>130000</v>
      </c>
      <c r="AR457" s="16">
        <v>24000</v>
      </c>
      <c r="AS457" s="22">
        <v>117000</v>
      </c>
      <c r="AT457" s="22">
        <v>0</v>
      </c>
      <c r="AU457" s="22">
        <v>25000</v>
      </c>
      <c r="AV457" s="22">
        <v>15000</v>
      </c>
      <c r="AW457" s="22">
        <v>8000</v>
      </c>
      <c r="AX457" s="66">
        <v>0</v>
      </c>
      <c r="AY457" s="17" t="s">
        <v>703</v>
      </c>
      <c r="AZ457" s="15" t="s">
        <v>348</v>
      </c>
      <c r="BA457" s="249">
        <f t="shared" ref="BA457:BA520" si="15">COUNTIF($B$8:$B$987,B457)</f>
        <v>1</v>
      </c>
      <c r="BB457" s="249">
        <v>0</v>
      </c>
      <c r="BC457" s="249">
        <f t="shared" si="14"/>
        <v>2005</v>
      </c>
    </row>
    <row r="458" spans="1:55" x14ac:dyDescent="0.25">
      <c r="A458" s="50" t="s">
        <v>1855</v>
      </c>
      <c r="B458" s="63" t="s">
        <v>666</v>
      </c>
      <c r="C458" s="15" t="s">
        <v>348</v>
      </c>
      <c r="D458" s="15">
        <v>1997</v>
      </c>
      <c r="E458" s="14" t="s">
        <v>367</v>
      </c>
      <c r="F458" s="15"/>
      <c r="G458" s="15"/>
      <c r="H458" s="15"/>
      <c r="I458" s="15"/>
      <c r="J458" s="16">
        <v>701968</v>
      </c>
      <c r="K458" s="15"/>
      <c r="L458" s="15"/>
      <c r="M458" s="15" t="s">
        <v>328</v>
      </c>
      <c r="N458" s="16">
        <v>3400</v>
      </c>
      <c r="O458" s="21">
        <v>0</v>
      </c>
      <c r="P458" s="15">
        <v>2</v>
      </c>
      <c r="Q458" s="15">
        <v>240</v>
      </c>
      <c r="R458" s="16">
        <v>2400</v>
      </c>
      <c r="S458" s="15" t="s">
        <v>371</v>
      </c>
      <c r="T458" s="15">
        <v>5</v>
      </c>
      <c r="U458" s="15">
        <v>5.8</v>
      </c>
      <c r="V458" s="25">
        <v>763.01615798922796</v>
      </c>
      <c r="W458" s="22">
        <v>8500</v>
      </c>
      <c r="X458" s="15"/>
      <c r="Y458" s="15"/>
      <c r="Z458" s="15"/>
      <c r="AA458" s="15"/>
      <c r="AB458" s="15" t="s">
        <v>328</v>
      </c>
      <c r="AC458" s="15"/>
      <c r="AD458" s="15" t="s">
        <v>332</v>
      </c>
      <c r="AE458" s="15"/>
      <c r="AF458" s="15"/>
      <c r="AG458" s="15"/>
      <c r="AH458" s="15"/>
      <c r="AI458" s="15"/>
      <c r="AJ458" s="15"/>
      <c r="AK458" s="15"/>
      <c r="AL458" s="15"/>
      <c r="AM458" s="15"/>
      <c r="AN458" s="16">
        <v>20000</v>
      </c>
      <c r="AO458" s="16">
        <v>20000</v>
      </c>
      <c r="AP458" s="16">
        <v>100000</v>
      </c>
      <c r="AQ458" s="16">
        <v>100000</v>
      </c>
      <c r="AR458" s="13" t="s">
        <v>385</v>
      </c>
      <c r="AS458" s="22">
        <v>114000</v>
      </c>
      <c r="AT458" s="22">
        <v>0</v>
      </c>
      <c r="AU458" s="22">
        <v>30000</v>
      </c>
      <c r="AV458" s="22">
        <v>12000</v>
      </c>
      <c r="AW458" s="22">
        <v>0</v>
      </c>
      <c r="AX458" s="66">
        <v>0</v>
      </c>
      <c r="AY458" s="17" t="s">
        <v>704</v>
      </c>
      <c r="AZ458" s="15" t="s">
        <v>348</v>
      </c>
      <c r="BA458" s="249">
        <f t="shared" si="15"/>
        <v>2</v>
      </c>
      <c r="BB458" s="249">
        <v>0</v>
      </c>
      <c r="BC458" s="249">
        <f t="shared" si="14"/>
        <v>1997</v>
      </c>
    </row>
    <row r="459" spans="1:55" x14ac:dyDescent="0.25">
      <c r="A459" s="50" t="s">
        <v>1855</v>
      </c>
      <c r="B459" s="63" t="s">
        <v>666</v>
      </c>
      <c r="C459" s="15" t="s">
        <v>348</v>
      </c>
      <c r="D459" s="15">
        <v>2001</v>
      </c>
      <c r="E459" s="15" t="s">
        <v>475</v>
      </c>
      <c r="F459" s="15"/>
      <c r="G459" s="15"/>
      <c r="H459" s="15"/>
      <c r="I459" s="15"/>
      <c r="J459" s="16">
        <v>592344</v>
      </c>
      <c r="K459" s="15"/>
      <c r="L459" s="15"/>
      <c r="M459" s="15" t="s">
        <v>328</v>
      </c>
      <c r="N459" s="16">
        <v>4000</v>
      </c>
      <c r="O459" s="21">
        <v>0</v>
      </c>
      <c r="P459" s="15">
        <v>2</v>
      </c>
      <c r="Q459" s="15">
        <v>300</v>
      </c>
      <c r="R459" s="16">
        <v>3060</v>
      </c>
      <c r="S459" s="15" t="s">
        <v>371</v>
      </c>
      <c r="T459" s="15">
        <v>5.0999999999999996</v>
      </c>
      <c r="U459" s="15">
        <v>5.7</v>
      </c>
      <c r="V459" s="25">
        <v>852.7827648114901</v>
      </c>
      <c r="W459" s="22">
        <v>9500</v>
      </c>
      <c r="X459" s="15"/>
      <c r="Y459" s="15"/>
      <c r="Z459" s="15"/>
      <c r="AA459" s="15"/>
      <c r="AB459" s="15" t="s">
        <v>328</v>
      </c>
      <c r="AC459" s="15"/>
      <c r="AD459" s="15" t="s">
        <v>332</v>
      </c>
      <c r="AE459" s="15"/>
      <c r="AF459" s="15"/>
      <c r="AG459" s="15"/>
      <c r="AH459" s="15"/>
      <c r="AI459" s="15"/>
      <c r="AJ459" s="15"/>
      <c r="AK459" s="15"/>
      <c r="AL459" s="15"/>
      <c r="AM459" s="15"/>
      <c r="AN459" s="16">
        <v>20000</v>
      </c>
      <c r="AO459" s="16">
        <v>20000</v>
      </c>
      <c r="AP459" s="16">
        <v>100000</v>
      </c>
      <c r="AQ459" s="16">
        <v>100000</v>
      </c>
      <c r="AR459" s="13" t="s">
        <v>385</v>
      </c>
      <c r="AS459" s="22">
        <v>150000</v>
      </c>
      <c r="AT459" s="22">
        <v>0</v>
      </c>
      <c r="AU459" s="22">
        <v>30000</v>
      </c>
      <c r="AV459" s="22">
        <v>18000</v>
      </c>
      <c r="AW459" s="22">
        <v>0</v>
      </c>
      <c r="AX459" s="66">
        <v>0</v>
      </c>
      <c r="AY459" s="17" t="s">
        <v>705</v>
      </c>
      <c r="AZ459" s="15" t="s">
        <v>348</v>
      </c>
      <c r="BA459" s="249">
        <f t="shared" si="15"/>
        <v>2</v>
      </c>
      <c r="BB459" s="249">
        <v>0</v>
      </c>
      <c r="BC459" s="249">
        <f t="shared" si="14"/>
        <v>2001</v>
      </c>
    </row>
    <row r="460" spans="1:55" x14ac:dyDescent="0.25">
      <c r="A460" s="50" t="s">
        <v>1855</v>
      </c>
      <c r="B460" s="63" t="s">
        <v>667</v>
      </c>
      <c r="C460" s="14" t="s">
        <v>351</v>
      </c>
      <c r="D460" s="15">
        <v>2004</v>
      </c>
      <c r="E460" s="14" t="s">
        <v>349</v>
      </c>
      <c r="F460" s="15"/>
      <c r="G460" s="15"/>
      <c r="H460" s="15"/>
      <c r="I460" s="15"/>
      <c r="J460" s="16">
        <v>473610</v>
      </c>
      <c r="K460" s="15"/>
      <c r="L460" s="15" t="s">
        <v>328</v>
      </c>
      <c r="M460" s="15"/>
      <c r="N460" s="16">
        <v>4000</v>
      </c>
      <c r="O460" s="21">
        <v>0.05</v>
      </c>
      <c r="P460" s="15">
        <v>2</v>
      </c>
      <c r="Q460" s="15">
        <v>500</v>
      </c>
      <c r="R460" s="16">
        <v>3200</v>
      </c>
      <c r="S460" s="15" t="s">
        <v>340</v>
      </c>
      <c r="T460" s="15">
        <v>3.2</v>
      </c>
      <c r="U460" s="15">
        <v>3.7</v>
      </c>
      <c r="V460" s="25">
        <v>1526.0323159784559</v>
      </c>
      <c r="W460" s="22">
        <v>17000</v>
      </c>
      <c r="X460" s="15"/>
      <c r="Y460" s="15"/>
      <c r="Z460" s="15"/>
      <c r="AA460" s="15"/>
      <c r="AB460" s="15" t="s">
        <v>328</v>
      </c>
      <c r="AC460" s="15"/>
      <c r="AD460" s="15" t="s">
        <v>328</v>
      </c>
      <c r="AE460" s="15"/>
      <c r="AF460" s="15"/>
      <c r="AG460" s="15"/>
      <c r="AH460" s="15"/>
      <c r="AI460" s="15"/>
      <c r="AJ460" s="15"/>
      <c r="AK460" s="15"/>
      <c r="AL460" s="15"/>
      <c r="AM460" s="15"/>
      <c r="AN460" s="16">
        <v>28000</v>
      </c>
      <c r="AO460" s="16">
        <v>28000</v>
      </c>
      <c r="AP460" s="16">
        <v>250000</v>
      </c>
      <c r="AQ460" s="16">
        <v>120000</v>
      </c>
      <c r="AR460" s="16">
        <v>28000</v>
      </c>
      <c r="AS460" s="22">
        <v>116400</v>
      </c>
      <c r="AT460" s="22">
        <v>0</v>
      </c>
      <c r="AU460" s="22">
        <v>54000</v>
      </c>
      <c r="AV460" s="22">
        <v>30000</v>
      </c>
      <c r="AW460" s="22">
        <v>25200</v>
      </c>
      <c r="AX460" s="66">
        <v>0</v>
      </c>
      <c r="AY460" s="17" t="s">
        <v>701</v>
      </c>
      <c r="AZ460" s="15" t="s">
        <v>351</v>
      </c>
      <c r="BA460" s="249">
        <f t="shared" si="15"/>
        <v>1</v>
      </c>
      <c r="BB460" s="249">
        <v>0</v>
      </c>
      <c r="BC460" s="249">
        <f t="shared" si="14"/>
        <v>2004</v>
      </c>
    </row>
    <row r="461" spans="1:55" x14ac:dyDescent="0.25">
      <c r="A461" s="50" t="s">
        <v>1855</v>
      </c>
      <c r="B461" s="63" t="s">
        <v>668</v>
      </c>
      <c r="C461" s="15" t="s">
        <v>337</v>
      </c>
      <c r="D461" s="15">
        <v>2008</v>
      </c>
      <c r="E461" s="15" t="s">
        <v>407</v>
      </c>
      <c r="F461" s="15"/>
      <c r="G461" s="15"/>
      <c r="H461" s="15"/>
      <c r="I461" s="15"/>
      <c r="J461" s="16">
        <v>323817</v>
      </c>
      <c r="K461" s="15" t="s">
        <v>328</v>
      </c>
      <c r="L461" s="15"/>
      <c r="M461" s="15"/>
      <c r="N461" s="16">
        <v>4000</v>
      </c>
      <c r="O461" s="21">
        <v>0.5</v>
      </c>
      <c r="P461" s="15">
        <v>2</v>
      </c>
      <c r="Q461" s="15">
        <v>900</v>
      </c>
      <c r="R461" s="16">
        <v>4500</v>
      </c>
      <c r="S461" s="15" t="s">
        <v>340</v>
      </c>
      <c r="T461" s="15">
        <v>2.5</v>
      </c>
      <c r="U461" s="15">
        <v>2.7</v>
      </c>
      <c r="V461" s="25">
        <v>1795.3321364452422</v>
      </c>
      <c r="W461" s="22">
        <v>20000</v>
      </c>
      <c r="X461" s="15"/>
      <c r="Y461" s="15"/>
      <c r="Z461" s="15"/>
      <c r="AA461" s="15"/>
      <c r="AB461" s="15" t="s">
        <v>328</v>
      </c>
      <c r="AC461" s="15"/>
      <c r="AD461" s="15" t="s">
        <v>328</v>
      </c>
      <c r="AE461" s="15"/>
      <c r="AF461" s="15"/>
      <c r="AG461" s="15"/>
      <c r="AH461" s="15"/>
      <c r="AI461" s="15"/>
      <c r="AJ461" s="15"/>
      <c r="AK461" s="15"/>
      <c r="AL461" s="15" t="s">
        <v>328</v>
      </c>
      <c r="AM461" s="15"/>
      <c r="AN461" s="16">
        <v>25000</v>
      </c>
      <c r="AO461" s="16">
        <v>25000</v>
      </c>
      <c r="AP461" s="16">
        <v>250000</v>
      </c>
      <c r="AQ461" s="16">
        <v>100000</v>
      </c>
      <c r="AR461" s="16">
        <v>25000</v>
      </c>
      <c r="AS461" s="22">
        <v>150000</v>
      </c>
      <c r="AT461" s="22">
        <v>0</v>
      </c>
      <c r="AU461" s="22">
        <v>45000</v>
      </c>
      <c r="AV461" s="22">
        <v>20000</v>
      </c>
      <c r="AW461" s="22">
        <v>40000</v>
      </c>
      <c r="AX461" s="66">
        <v>0</v>
      </c>
      <c r="AY461" s="17" t="s">
        <v>574</v>
      </c>
      <c r="AZ461" s="15" t="s">
        <v>562</v>
      </c>
      <c r="BA461" s="249">
        <f t="shared" si="15"/>
        <v>2</v>
      </c>
      <c r="BB461" s="249">
        <v>0</v>
      </c>
      <c r="BC461" s="249">
        <f t="shared" si="14"/>
        <v>2008</v>
      </c>
    </row>
    <row r="462" spans="1:55" x14ac:dyDescent="0.25">
      <c r="A462" s="50" t="s">
        <v>1855</v>
      </c>
      <c r="B462" s="63" t="s">
        <v>668</v>
      </c>
      <c r="C462" s="15" t="s">
        <v>337</v>
      </c>
      <c r="D462" s="15">
        <v>2008</v>
      </c>
      <c r="E462" s="15" t="s">
        <v>407</v>
      </c>
      <c r="F462" s="15"/>
      <c r="G462" s="15"/>
      <c r="H462" s="15"/>
      <c r="I462" s="15"/>
      <c r="J462" s="16">
        <v>315902</v>
      </c>
      <c r="K462" s="15" t="s">
        <v>328</v>
      </c>
      <c r="L462" s="15"/>
      <c r="M462" s="15"/>
      <c r="N462" s="16">
        <v>4000</v>
      </c>
      <c r="O462" s="21">
        <v>0.5</v>
      </c>
      <c r="P462" s="15">
        <v>2</v>
      </c>
      <c r="Q462" s="15">
        <v>900</v>
      </c>
      <c r="R462" s="16">
        <v>4500</v>
      </c>
      <c r="S462" s="15" t="s">
        <v>340</v>
      </c>
      <c r="T462" s="15">
        <v>2.5</v>
      </c>
      <c r="U462" s="15">
        <v>2.7</v>
      </c>
      <c r="V462" s="25">
        <v>1795.3321364452422</v>
      </c>
      <c r="W462" s="22">
        <v>20000</v>
      </c>
      <c r="X462" s="15"/>
      <c r="Y462" s="15"/>
      <c r="Z462" s="15"/>
      <c r="AA462" s="15"/>
      <c r="AB462" s="15" t="s">
        <v>328</v>
      </c>
      <c r="AC462" s="15"/>
      <c r="AD462" s="15" t="s">
        <v>328</v>
      </c>
      <c r="AE462" s="15"/>
      <c r="AF462" s="15"/>
      <c r="AG462" s="15"/>
      <c r="AH462" s="15"/>
      <c r="AI462" s="15"/>
      <c r="AJ462" s="15"/>
      <c r="AK462" s="15"/>
      <c r="AL462" s="15" t="s">
        <v>328</v>
      </c>
      <c r="AM462" s="15"/>
      <c r="AN462" s="16">
        <v>25000</v>
      </c>
      <c r="AO462" s="16">
        <v>25000</v>
      </c>
      <c r="AP462" s="16">
        <v>250000</v>
      </c>
      <c r="AQ462" s="16">
        <v>100000</v>
      </c>
      <c r="AR462" s="16">
        <v>25000</v>
      </c>
      <c r="AS462" s="22">
        <v>150000</v>
      </c>
      <c r="AT462" s="22">
        <v>0</v>
      </c>
      <c r="AU462" s="22">
        <v>45000</v>
      </c>
      <c r="AV462" s="22">
        <v>20000</v>
      </c>
      <c r="AW462" s="22">
        <v>40000</v>
      </c>
      <c r="AX462" s="66">
        <v>0</v>
      </c>
      <c r="AY462" s="17" t="s">
        <v>574</v>
      </c>
      <c r="AZ462" s="15" t="s">
        <v>562</v>
      </c>
      <c r="BA462" s="249">
        <f t="shared" si="15"/>
        <v>2</v>
      </c>
      <c r="BB462" s="249">
        <v>0</v>
      </c>
      <c r="BC462" s="249">
        <f t="shared" si="14"/>
        <v>2008</v>
      </c>
    </row>
    <row r="463" spans="1:55" x14ac:dyDescent="0.25">
      <c r="A463" s="50" t="s">
        <v>1855</v>
      </c>
      <c r="B463" s="63" t="s">
        <v>669</v>
      </c>
      <c r="C463" s="15" t="s">
        <v>337</v>
      </c>
      <c r="D463" s="15">
        <v>2007</v>
      </c>
      <c r="E463" s="15" t="s">
        <v>475</v>
      </c>
      <c r="F463" s="15"/>
      <c r="G463" s="15"/>
      <c r="H463" s="15"/>
      <c r="I463" s="15"/>
      <c r="J463" s="16">
        <v>731685</v>
      </c>
      <c r="K463" s="15"/>
      <c r="L463" s="15" t="s">
        <v>328</v>
      </c>
      <c r="M463" s="15"/>
      <c r="N463" s="16">
        <v>10000</v>
      </c>
      <c r="O463" s="21">
        <v>0</v>
      </c>
      <c r="P463" s="15">
        <v>2</v>
      </c>
      <c r="Q463" s="15">
        <v>980</v>
      </c>
      <c r="R463" s="16">
        <v>4900</v>
      </c>
      <c r="S463" s="15" t="s">
        <v>340</v>
      </c>
      <c r="T463" s="15">
        <v>2.5</v>
      </c>
      <c r="U463" s="15">
        <v>2.8</v>
      </c>
      <c r="V463" s="25">
        <v>4488.3303411131055</v>
      </c>
      <c r="W463" s="22">
        <v>50000</v>
      </c>
      <c r="X463" s="15"/>
      <c r="Y463" s="15"/>
      <c r="Z463" s="15"/>
      <c r="AA463" s="15"/>
      <c r="AB463" s="15" t="s">
        <v>328</v>
      </c>
      <c r="AC463" s="15"/>
      <c r="AD463" s="15" t="s">
        <v>328</v>
      </c>
      <c r="AE463" s="15"/>
      <c r="AF463" s="15"/>
      <c r="AG463" s="15"/>
      <c r="AH463" s="15"/>
      <c r="AI463" s="15"/>
      <c r="AJ463" s="15"/>
      <c r="AK463" s="15"/>
      <c r="AL463" s="15" t="s">
        <v>328</v>
      </c>
      <c r="AM463" s="15"/>
      <c r="AN463" s="16">
        <v>20000</v>
      </c>
      <c r="AO463" s="16">
        <v>20000</v>
      </c>
      <c r="AP463" s="16">
        <v>240000</v>
      </c>
      <c r="AQ463" s="16">
        <v>120000</v>
      </c>
      <c r="AR463" s="16">
        <v>20000</v>
      </c>
      <c r="AS463" s="22">
        <v>180000</v>
      </c>
      <c r="AT463" s="22">
        <v>0</v>
      </c>
      <c r="AU463" s="22">
        <v>90000</v>
      </c>
      <c r="AV463" s="22">
        <v>35000</v>
      </c>
      <c r="AW463" s="22">
        <v>30000</v>
      </c>
      <c r="AX463" s="66">
        <v>0</v>
      </c>
      <c r="AY463" s="17" t="s">
        <v>585</v>
      </c>
      <c r="AZ463" s="15" t="s">
        <v>562</v>
      </c>
      <c r="BA463" s="249">
        <f t="shared" si="15"/>
        <v>8</v>
      </c>
      <c r="BB463" s="249">
        <v>0</v>
      </c>
      <c r="BC463" s="249">
        <f t="shared" si="14"/>
        <v>2007</v>
      </c>
    </row>
    <row r="464" spans="1:55" x14ac:dyDescent="0.25">
      <c r="A464" s="50" t="s">
        <v>1855</v>
      </c>
      <c r="B464" s="63" t="s">
        <v>669</v>
      </c>
      <c r="C464" s="15" t="s">
        <v>337</v>
      </c>
      <c r="D464" s="15">
        <v>2007</v>
      </c>
      <c r="E464" s="15" t="s">
        <v>475</v>
      </c>
      <c r="F464" s="15"/>
      <c r="G464" s="15"/>
      <c r="H464" s="15"/>
      <c r="I464" s="15"/>
      <c r="J464" s="16">
        <v>750217</v>
      </c>
      <c r="K464" s="15"/>
      <c r="L464" s="15" t="s">
        <v>328</v>
      </c>
      <c r="M464" s="15"/>
      <c r="N464" s="16">
        <v>10000</v>
      </c>
      <c r="O464" s="21">
        <v>0</v>
      </c>
      <c r="P464" s="15">
        <v>2</v>
      </c>
      <c r="Q464" s="15">
        <v>976</v>
      </c>
      <c r="R464" s="16">
        <v>4880</v>
      </c>
      <c r="S464" s="15" t="s">
        <v>340</v>
      </c>
      <c r="T464" s="15">
        <v>2.5</v>
      </c>
      <c r="U464" s="15">
        <v>2.8</v>
      </c>
      <c r="V464" s="25">
        <v>4488.3303411131055</v>
      </c>
      <c r="W464" s="22">
        <v>50000</v>
      </c>
      <c r="X464" s="15"/>
      <c r="Y464" s="15"/>
      <c r="Z464" s="15"/>
      <c r="AA464" s="15"/>
      <c r="AB464" s="15" t="s">
        <v>328</v>
      </c>
      <c r="AC464" s="15"/>
      <c r="AD464" s="15" t="s">
        <v>328</v>
      </c>
      <c r="AE464" s="15"/>
      <c r="AF464" s="15"/>
      <c r="AG464" s="15"/>
      <c r="AH464" s="15"/>
      <c r="AI464" s="15"/>
      <c r="AJ464" s="15"/>
      <c r="AK464" s="15"/>
      <c r="AL464" s="15" t="s">
        <v>328</v>
      </c>
      <c r="AM464" s="15"/>
      <c r="AN464" s="16">
        <v>20000</v>
      </c>
      <c r="AO464" s="16">
        <v>20000</v>
      </c>
      <c r="AP464" s="16">
        <v>240000</v>
      </c>
      <c r="AQ464" s="16">
        <v>120000</v>
      </c>
      <c r="AR464" s="16">
        <v>20000</v>
      </c>
      <c r="AS464" s="22">
        <v>180000</v>
      </c>
      <c r="AT464" s="22">
        <v>0</v>
      </c>
      <c r="AU464" s="22">
        <v>90000</v>
      </c>
      <c r="AV464" s="22">
        <v>35000</v>
      </c>
      <c r="AW464" s="22">
        <v>30000</v>
      </c>
      <c r="AX464" s="66">
        <v>0</v>
      </c>
      <c r="AY464" s="17" t="s">
        <v>585</v>
      </c>
      <c r="AZ464" s="15" t="s">
        <v>562</v>
      </c>
      <c r="BA464" s="249">
        <f t="shared" si="15"/>
        <v>8</v>
      </c>
      <c r="BB464" s="249">
        <v>0</v>
      </c>
      <c r="BC464" s="249">
        <f t="shared" si="14"/>
        <v>2007</v>
      </c>
    </row>
    <row r="465" spans="1:55" x14ac:dyDescent="0.25">
      <c r="A465" s="50" t="s">
        <v>1855</v>
      </c>
      <c r="B465" s="63" t="s">
        <v>669</v>
      </c>
      <c r="C465" s="15" t="s">
        <v>337</v>
      </c>
      <c r="D465" s="15">
        <v>2007</v>
      </c>
      <c r="E465" s="15" t="s">
        <v>475</v>
      </c>
      <c r="F465" s="15"/>
      <c r="G465" s="15"/>
      <c r="H465" s="15"/>
      <c r="I465" s="15"/>
      <c r="J465" s="16">
        <v>706990</v>
      </c>
      <c r="K465" s="15"/>
      <c r="L465" s="15" t="s">
        <v>328</v>
      </c>
      <c r="M465" s="15"/>
      <c r="N465" s="16">
        <v>10000</v>
      </c>
      <c r="O465" s="21">
        <v>0</v>
      </c>
      <c r="P465" s="15">
        <v>2</v>
      </c>
      <c r="Q465" s="15">
        <v>980</v>
      </c>
      <c r="R465" s="16">
        <v>4900</v>
      </c>
      <c r="S465" s="15" t="s">
        <v>340</v>
      </c>
      <c r="T465" s="15">
        <v>2.5</v>
      </c>
      <c r="U465" s="15">
        <v>2.8</v>
      </c>
      <c r="V465" s="25">
        <v>4488.3303411131055</v>
      </c>
      <c r="W465" s="22">
        <v>50000</v>
      </c>
      <c r="X465" s="15"/>
      <c r="Y465" s="15"/>
      <c r="Z465" s="15"/>
      <c r="AA465" s="15"/>
      <c r="AB465" s="15" t="s">
        <v>328</v>
      </c>
      <c r="AC465" s="15"/>
      <c r="AD465" s="15" t="s">
        <v>328</v>
      </c>
      <c r="AE465" s="15"/>
      <c r="AF465" s="15"/>
      <c r="AG465" s="15"/>
      <c r="AH465" s="15"/>
      <c r="AI465" s="15"/>
      <c r="AJ465" s="15"/>
      <c r="AK465" s="15"/>
      <c r="AL465" s="15" t="s">
        <v>328</v>
      </c>
      <c r="AM465" s="15"/>
      <c r="AN465" s="16">
        <v>20000</v>
      </c>
      <c r="AO465" s="16">
        <v>20000</v>
      </c>
      <c r="AP465" s="16">
        <v>240000</v>
      </c>
      <c r="AQ465" s="16">
        <v>120000</v>
      </c>
      <c r="AR465" s="16">
        <v>20000</v>
      </c>
      <c r="AS465" s="22">
        <v>180000</v>
      </c>
      <c r="AT465" s="22">
        <v>0</v>
      </c>
      <c r="AU465" s="22">
        <v>90000</v>
      </c>
      <c r="AV465" s="22">
        <v>35000</v>
      </c>
      <c r="AW465" s="22">
        <v>30000</v>
      </c>
      <c r="AX465" s="66">
        <v>0</v>
      </c>
      <c r="AY465" s="17" t="s">
        <v>585</v>
      </c>
      <c r="AZ465" s="15" t="s">
        <v>562</v>
      </c>
      <c r="BA465" s="249">
        <f t="shared" si="15"/>
        <v>8</v>
      </c>
      <c r="BB465" s="249">
        <v>0</v>
      </c>
      <c r="BC465" s="249">
        <f t="shared" si="14"/>
        <v>2007</v>
      </c>
    </row>
    <row r="466" spans="1:55" x14ac:dyDescent="0.25">
      <c r="A466" s="50" t="s">
        <v>1855</v>
      </c>
      <c r="B466" s="63" t="s">
        <v>669</v>
      </c>
      <c r="C466" s="15" t="s">
        <v>337</v>
      </c>
      <c r="D466" s="15">
        <v>2008</v>
      </c>
      <c r="E466" s="15" t="s">
        <v>475</v>
      </c>
      <c r="F466" s="15"/>
      <c r="G466" s="15"/>
      <c r="H466" s="15"/>
      <c r="I466" s="15"/>
      <c r="J466" s="16">
        <v>622849</v>
      </c>
      <c r="K466" s="15"/>
      <c r="L466" s="15" t="s">
        <v>328</v>
      </c>
      <c r="M466" s="15"/>
      <c r="N466" s="16">
        <v>10000</v>
      </c>
      <c r="O466" s="21">
        <v>0</v>
      </c>
      <c r="P466" s="15">
        <v>2</v>
      </c>
      <c r="Q466" s="15">
        <v>1000</v>
      </c>
      <c r="R466" s="16">
        <v>5000</v>
      </c>
      <c r="S466" s="15" t="s">
        <v>340</v>
      </c>
      <c r="T466" s="15">
        <v>2.5</v>
      </c>
      <c r="U466" s="15">
        <v>2.8</v>
      </c>
      <c r="V466" s="25">
        <v>4488.3303411131055</v>
      </c>
      <c r="W466" s="22">
        <v>50000</v>
      </c>
      <c r="X466" s="15"/>
      <c r="Y466" s="15"/>
      <c r="Z466" s="15"/>
      <c r="AA466" s="15"/>
      <c r="AB466" s="15" t="s">
        <v>328</v>
      </c>
      <c r="AC466" s="15"/>
      <c r="AD466" s="15" t="s">
        <v>328</v>
      </c>
      <c r="AE466" s="15"/>
      <c r="AF466" s="15"/>
      <c r="AG466" s="15"/>
      <c r="AH466" s="15"/>
      <c r="AI466" s="15"/>
      <c r="AJ466" s="15"/>
      <c r="AK466" s="15"/>
      <c r="AL466" s="15" t="s">
        <v>328</v>
      </c>
      <c r="AM466" s="15"/>
      <c r="AN466" s="16">
        <v>20000</v>
      </c>
      <c r="AO466" s="16">
        <v>20000</v>
      </c>
      <c r="AP466" s="16">
        <v>240000</v>
      </c>
      <c r="AQ466" s="16">
        <v>120000</v>
      </c>
      <c r="AR466" s="16">
        <v>20000</v>
      </c>
      <c r="AS466" s="22">
        <v>180000</v>
      </c>
      <c r="AT466" s="22">
        <v>0</v>
      </c>
      <c r="AU466" s="22">
        <v>90000</v>
      </c>
      <c r="AV466" s="22">
        <v>35000</v>
      </c>
      <c r="AW466" s="22">
        <v>30000</v>
      </c>
      <c r="AX466" s="66">
        <v>0</v>
      </c>
      <c r="AY466" s="17" t="s">
        <v>585</v>
      </c>
      <c r="AZ466" s="15" t="s">
        <v>562</v>
      </c>
      <c r="BA466" s="249">
        <f t="shared" si="15"/>
        <v>8</v>
      </c>
      <c r="BB466" s="249">
        <v>0</v>
      </c>
      <c r="BC466" s="249">
        <f t="shared" si="14"/>
        <v>2008</v>
      </c>
    </row>
    <row r="467" spans="1:55" x14ac:dyDescent="0.25">
      <c r="A467" s="50" t="s">
        <v>1855</v>
      </c>
      <c r="B467" s="63" t="s">
        <v>669</v>
      </c>
      <c r="C467" s="15" t="s">
        <v>337</v>
      </c>
      <c r="D467" s="15">
        <v>2008</v>
      </c>
      <c r="E467" s="15" t="s">
        <v>475</v>
      </c>
      <c r="F467" s="15"/>
      <c r="G467" s="15"/>
      <c r="H467" s="15"/>
      <c r="I467" s="15"/>
      <c r="J467" s="16">
        <v>627231</v>
      </c>
      <c r="K467" s="15"/>
      <c r="L467" s="15" t="s">
        <v>328</v>
      </c>
      <c r="M467" s="15"/>
      <c r="N467" s="16">
        <v>10000</v>
      </c>
      <c r="O467" s="21">
        <v>0</v>
      </c>
      <c r="P467" s="15">
        <v>2</v>
      </c>
      <c r="Q467" s="15">
        <v>1000</v>
      </c>
      <c r="R467" s="16">
        <v>5000</v>
      </c>
      <c r="S467" s="15" t="s">
        <v>340</v>
      </c>
      <c r="T467" s="15">
        <v>2.5</v>
      </c>
      <c r="U467" s="15">
        <v>2.8</v>
      </c>
      <c r="V467" s="25">
        <v>4488.3303411131055</v>
      </c>
      <c r="W467" s="22">
        <v>50000</v>
      </c>
      <c r="X467" s="15"/>
      <c r="Y467" s="15"/>
      <c r="Z467" s="15"/>
      <c r="AA467" s="15"/>
      <c r="AB467" s="15" t="s">
        <v>328</v>
      </c>
      <c r="AC467" s="15"/>
      <c r="AD467" s="15" t="s">
        <v>328</v>
      </c>
      <c r="AE467" s="15"/>
      <c r="AF467" s="15"/>
      <c r="AG467" s="15"/>
      <c r="AH467" s="15"/>
      <c r="AI467" s="15"/>
      <c r="AJ467" s="15"/>
      <c r="AK467" s="15"/>
      <c r="AL467" s="15" t="s">
        <v>328</v>
      </c>
      <c r="AM467" s="15"/>
      <c r="AN467" s="16">
        <v>20000</v>
      </c>
      <c r="AO467" s="16">
        <v>20000</v>
      </c>
      <c r="AP467" s="16">
        <v>240000</v>
      </c>
      <c r="AQ467" s="16">
        <v>120000</v>
      </c>
      <c r="AR467" s="16">
        <v>20000</v>
      </c>
      <c r="AS467" s="22">
        <v>180000</v>
      </c>
      <c r="AT467" s="22">
        <v>0</v>
      </c>
      <c r="AU467" s="22">
        <v>90000</v>
      </c>
      <c r="AV467" s="22">
        <v>35000</v>
      </c>
      <c r="AW467" s="22">
        <v>30000</v>
      </c>
      <c r="AX467" s="66">
        <v>0</v>
      </c>
      <c r="AY467" s="17" t="s">
        <v>585</v>
      </c>
      <c r="AZ467" s="15" t="s">
        <v>562</v>
      </c>
      <c r="BA467" s="249">
        <f t="shared" si="15"/>
        <v>8</v>
      </c>
      <c r="BB467" s="249">
        <v>0</v>
      </c>
      <c r="BC467" s="249">
        <f t="shared" si="14"/>
        <v>2008</v>
      </c>
    </row>
    <row r="468" spans="1:55" x14ac:dyDescent="0.25">
      <c r="A468" s="50" t="s">
        <v>1855</v>
      </c>
      <c r="B468" s="63" t="s">
        <v>669</v>
      </c>
      <c r="C468" s="15" t="s">
        <v>337</v>
      </c>
      <c r="D468" s="15">
        <v>2009</v>
      </c>
      <c r="E468" s="15" t="s">
        <v>475</v>
      </c>
      <c r="F468" s="15"/>
      <c r="G468" s="15"/>
      <c r="H468" s="15"/>
      <c r="I468" s="15"/>
      <c r="J468" s="16">
        <v>596805</v>
      </c>
      <c r="K468" s="15" t="s">
        <v>328</v>
      </c>
      <c r="L468" s="15"/>
      <c r="M468" s="15"/>
      <c r="N468" s="16">
        <v>10000</v>
      </c>
      <c r="O468" s="21">
        <v>0</v>
      </c>
      <c r="P468" s="15">
        <v>2</v>
      </c>
      <c r="Q468" s="15">
        <v>958</v>
      </c>
      <c r="R468" s="16">
        <v>4790</v>
      </c>
      <c r="S468" s="15" t="s">
        <v>340</v>
      </c>
      <c r="T468" s="15">
        <v>2.5</v>
      </c>
      <c r="U468" s="15">
        <v>2.8</v>
      </c>
      <c r="V468" s="25">
        <v>4488.3303411131055</v>
      </c>
      <c r="W468" s="22">
        <v>50000</v>
      </c>
      <c r="X468" s="15"/>
      <c r="Y468" s="15"/>
      <c r="Z468" s="15"/>
      <c r="AA468" s="15"/>
      <c r="AB468" s="15"/>
      <c r="AC468" s="15" t="s">
        <v>328</v>
      </c>
      <c r="AD468" s="15" t="s">
        <v>328</v>
      </c>
      <c r="AE468" s="15"/>
      <c r="AF468" s="15"/>
      <c r="AG468" s="15"/>
      <c r="AH468" s="15"/>
      <c r="AI468" s="15"/>
      <c r="AJ468" s="15"/>
      <c r="AK468" s="15"/>
      <c r="AL468" s="15" t="s">
        <v>328</v>
      </c>
      <c r="AM468" s="15"/>
      <c r="AN468" s="16">
        <v>20000</v>
      </c>
      <c r="AO468" s="16">
        <v>20000</v>
      </c>
      <c r="AP468" s="16">
        <v>240000</v>
      </c>
      <c r="AQ468" s="16">
        <v>120000</v>
      </c>
      <c r="AR468" s="16">
        <v>20000</v>
      </c>
      <c r="AS468" s="22">
        <v>180000</v>
      </c>
      <c r="AT468" s="22">
        <v>0</v>
      </c>
      <c r="AU468" s="22">
        <v>90000</v>
      </c>
      <c r="AV468" s="22">
        <v>35000</v>
      </c>
      <c r="AW468" s="22">
        <v>30000</v>
      </c>
      <c r="AX468" s="66">
        <v>0</v>
      </c>
      <c r="AY468" s="17" t="s">
        <v>585</v>
      </c>
      <c r="AZ468" s="15" t="s">
        <v>562</v>
      </c>
      <c r="BA468" s="249">
        <f t="shared" si="15"/>
        <v>8</v>
      </c>
      <c r="BB468" s="249">
        <v>0</v>
      </c>
      <c r="BC468" s="249">
        <f t="shared" si="14"/>
        <v>2009</v>
      </c>
    </row>
    <row r="469" spans="1:55" x14ac:dyDescent="0.25">
      <c r="A469" s="50" t="s">
        <v>1855</v>
      </c>
      <c r="B469" s="63" t="s">
        <v>669</v>
      </c>
      <c r="C469" s="15" t="s">
        <v>337</v>
      </c>
      <c r="D469" s="15">
        <v>2010</v>
      </c>
      <c r="E469" s="15" t="s">
        <v>475</v>
      </c>
      <c r="F469" s="15"/>
      <c r="G469" s="15"/>
      <c r="H469" s="15"/>
      <c r="I469" s="15"/>
      <c r="J469" s="16">
        <v>371652</v>
      </c>
      <c r="K469" s="15" t="s">
        <v>328</v>
      </c>
      <c r="L469" s="15"/>
      <c r="M469" s="15"/>
      <c r="N469" s="16">
        <v>10000</v>
      </c>
      <c r="O469" s="21">
        <v>0</v>
      </c>
      <c r="P469" s="15">
        <v>2</v>
      </c>
      <c r="Q469" s="15">
        <v>1000</v>
      </c>
      <c r="R469" s="16">
        <v>5000</v>
      </c>
      <c r="S469" s="15" t="s">
        <v>340</v>
      </c>
      <c r="T469" s="15">
        <v>2.5</v>
      </c>
      <c r="U469" s="15">
        <v>2.8</v>
      </c>
      <c r="V469" s="25">
        <v>4488.3303411131055</v>
      </c>
      <c r="W469" s="22">
        <v>50000</v>
      </c>
      <c r="X469" s="15"/>
      <c r="Y469" s="15"/>
      <c r="Z469" s="15"/>
      <c r="AA469" s="15"/>
      <c r="AB469" s="15"/>
      <c r="AC469" s="15" t="s">
        <v>328</v>
      </c>
      <c r="AD469" s="15" t="s">
        <v>328</v>
      </c>
      <c r="AE469" s="15"/>
      <c r="AF469" s="15"/>
      <c r="AG469" s="15"/>
      <c r="AH469" s="15"/>
      <c r="AI469" s="15"/>
      <c r="AJ469" s="15"/>
      <c r="AK469" s="15"/>
      <c r="AL469" s="15" t="s">
        <v>328</v>
      </c>
      <c r="AM469" s="15"/>
      <c r="AN469" s="16">
        <v>20000</v>
      </c>
      <c r="AO469" s="16">
        <v>20000</v>
      </c>
      <c r="AP469" s="16">
        <v>240000</v>
      </c>
      <c r="AQ469" s="16">
        <v>120000</v>
      </c>
      <c r="AR469" s="16">
        <v>20000</v>
      </c>
      <c r="AS469" s="22">
        <v>180000</v>
      </c>
      <c r="AT469" s="22">
        <v>0</v>
      </c>
      <c r="AU469" s="22">
        <v>90000</v>
      </c>
      <c r="AV469" s="22">
        <v>35000</v>
      </c>
      <c r="AW469" s="22">
        <v>30000</v>
      </c>
      <c r="AX469" s="66">
        <v>0</v>
      </c>
      <c r="AY469" s="17" t="s">
        <v>585</v>
      </c>
      <c r="AZ469" s="15" t="s">
        <v>562</v>
      </c>
      <c r="BA469" s="249">
        <f t="shared" si="15"/>
        <v>8</v>
      </c>
      <c r="BB469" s="249">
        <v>0</v>
      </c>
      <c r="BC469" s="249">
        <f t="shared" si="14"/>
        <v>2010</v>
      </c>
    </row>
    <row r="470" spans="1:55" x14ac:dyDescent="0.25">
      <c r="A470" s="50" t="s">
        <v>1855</v>
      </c>
      <c r="B470" s="63" t="s">
        <v>669</v>
      </c>
      <c r="C470" s="15" t="s">
        <v>337</v>
      </c>
      <c r="D470" s="15">
        <v>2010</v>
      </c>
      <c r="E470" s="15" t="s">
        <v>475</v>
      </c>
      <c r="F470" s="15"/>
      <c r="G470" s="15"/>
      <c r="H470" s="15"/>
      <c r="I470" s="15"/>
      <c r="J470" s="16">
        <v>358923</v>
      </c>
      <c r="K470" s="15" t="s">
        <v>328</v>
      </c>
      <c r="L470" s="15"/>
      <c r="M470" s="15"/>
      <c r="N470" s="16">
        <v>10000</v>
      </c>
      <c r="O470" s="21">
        <v>0</v>
      </c>
      <c r="P470" s="15">
        <v>2</v>
      </c>
      <c r="Q470" s="15">
        <v>1000</v>
      </c>
      <c r="R470" s="16">
        <v>5000</v>
      </c>
      <c r="S470" s="15" t="s">
        <v>340</v>
      </c>
      <c r="T470" s="15">
        <v>2.5</v>
      </c>
      <c r="U470" s="15">
        <v>2.8</v>
      </c>
      <c r="V470" s="25">
        <v>4488.3303411131055</v>
      </c>
      <c r="W470" s="22">
        <v>50000</v>
      </c>
      <c r="X470" s="15"/>
      <c r="Y470" s="15"/>
      <c r="Z470" s="15"/>
      <c r="AA470" s="15"/>
      <c r="AB470" s="15"/>
      <c r="AC470" s="15" t="s">
        <v>328</v>
      </c>
      <c r="AD470" s="15" t="s">
        <v>328</v>
      </c>
      <c r="AE470" s="15"/>
      <c r="AF470" s="15"/>
      <c r="AG470" s="15"/>
      <c r="AH470" s="15"/>
      <c r="AI470" s="15"/>
      <c r="AJ470" s="15"/>
      <c r="AK470" s="15"/>
      <c r="AL470" s="15" t="s">
        <v>328</v>
      </c>
      <c r="AM470" s="15"/>
      <c r="AN470" s="16">
        <v>20000</v>
      </c>
      <c r="AO470" s="16">
        <v>20000</v>
      </c>
      <c r="AP470" s="16">
        <v>240000</v>
      </c>
      <c r="AQ470" s="16">
        <v>120000</v>
      </c>
      <c r="AR470" s="16">
        <v>20000</v>
      </c>
      <c r="AS470" s="22">
        <v>180000</v>
      </c>
      <c r="AT470" s="22">
        <v>0</v>
      </c>
      <c r="AU470" s="22">
        <v>90000</v>
      </c>
      <c r="AV470" s="22">
        <v>35000</v>
      </c>
      <c r="AW470" s="22">
        <v>30000</v>
      </c>
      <c r="AX470" s="66">
        <v>0</v>
      </c>
      <c r="AY470" s="17" t="s">
        <v>585</v>
      </c>
      <c r="AZ470" s="15" t="s">
        <v>562</v>
      </c>
      <c r="BA470" s="249">
        <f t="shared" si="15"/>
        <v>8</v>
      </c>
      <c r="BB470" s="249">
        <v>0</v>
      </c>
      <c r="BC470" s="249">
        <f t="shared" si="14"/>
        <v>2010</v>
      </c>
    </row>
    <row r="471" spans="1:55" x14ac:dyDescent="0.25">
      <c r="A471" s="50" t="s">
        <v>1855</v>
      </c>
      <c r="B471" s="63" t="s">
        <v>670</v>
      </c>
      <c r="C471" s="15" t="s">
        <v>337</v>
      </c>
      <c r="D471" s="15">
        <v>2003</v>
      </c>
      <c r="E471" s="15" t="s">
        <v>407</v>
      </c>
      <c r="F471" s="15"/>
      <c r="G471" s="15"/>
      <c r="H471" s="15"/>
      <c r="I471" s="15"/>
      <c r="J471" s="16">
        <v>899123</v>
      </c>
      <c r="K471" s="15"/>
      <c r="L471" s="15" t="s">
        <v>328</v>
      </c>
      <c r="M471" s="15"/>
      <c r="N471" s="16">
        <v>8000</v>
      </c>
      <c r="O471" s="21">
        <v>0.5</v>
      </c>
      <c r="P471" s="15">
        <v>2</v>
      </c>
      <c r="Q471" s="15">
        <v>950</v>
      </c>
      <c r="R471" s="16">
        <v>2850</v>
      </c>
      <c r="S471" s="15" t="s">
        <v>340</v>
      </c>
      <c r="T471" s="15">
        <v>1.5</v>
      </c>
      <c r="U471" s="15">
        <v>1.9</v>
      </c>
      <c r="V471" s="25">
        <v>4500</v>
      </c>
      <c r="W471" s="44">
        <v>63630</v>
      </c>
      <c r="X471" s="15"/>
      <c r="Y471" s="15"/>
      <c r="Z471" s="15"/>
      <c r="AA471" s="15"/>
      <c r="AB471" s="15" t="s">
        <v>328</v>
      </c>
      <c r="AC471" s="15"/>
      <c r="AD471" s="15" t="s">
        <v>328</v>
      </c>
      <c r="AE471" s="15"/>
      <c r="AF471" s="15"/>
      <c r="AG471" s="15"/>
      <c r="AH471" s="15"/>
      <c r="AI471" s="15"/>
      <c r="AJ471" s="15"/>
      <c r="AK471" s="15"/>
      <c r="AL471" s="15" t="s">
        <v>328</v>
      </c>
      <c r="AM471" s="15"/>
      <c r="AN471" s="16">
        <v>24000</v>
      </c>
      <c r="AO471" s="16">
        <v>24000</v>
      </c>
      <c r="AP471" s="16">
        <v>240000</v>
      </c>
      <c r="AQ471" s="16">
        <v>100000</v>
      </c>
      <c r="AR471" s="16">
        <v>24000</v>
      </c>
      <c r="AS471" s="22">
        <v>270000</v>
      </c>
      <c r="AT471" s="22">
        <v>0</v>
      </c>
      <c r="AU471" s="22">
        <v>186000</v>
      </c>
      <c r="AV471" s="22">
        <v>192000</v>
      </c>
      <c r="AW471" s="22">
        <v>38400</v>
      </c>
      <c r="AX471" s="66">
        <v>0</v>
      </c>
      <c r="AY471" s="17" t="s">
        <v>574</v>
      </c>
      <c r="AZ471" s="15" t="s">
        <v>693</v>
      </c>
      <c r="BA471" s="249">
        <f t="shared" si="15"/>
        <v>3</v>
      </c>
      <c r="BB471" s="249">
        <v>0</v>
      </c>
      <c r="BC471" s="249">
        <f t="shared" si="14"/>
        <v>2003</v>
      </c>
    </row>
    <row r="472" spans="1:55" x14ac:dyDescent="0.25">
      <c r="A472" s="50" t="s">
        <v>1855</v>
      </c>
      <c r="B472" s="63" t="s">
        <v>670</v>
      </c>
      <c r="C472" s="15" t="s">
        <v>337</v>
      </c>
      <c r="D472" s="15">
        <v>2003</v>
      </c>
      <c r="E472" s="15" t="s">
        <v>407</v>
      </c>
      <c r="F472" s="15"/>
      <c r="G472" s="15"/>
      <c r="H472" s="15"/>
      <c r="I472" s="15"/>
      <c r="J472" s="16">
        <v>876785</v>
      </c>
      <c r="K472" s="15"/>
      <c r="L472" s="15" t="s">
        <v>328</v>
      </c>
      <c r="M472" s="15"/>
      <c r="N472" s="16">
        <v>8000</v>
      </c>
      <c r="O472" s="21">
        <v>0.5</v>
      </c>
      <c r="P472" s="15">
        <v>2</v>
      </c>
      <c r="Q472" s="15">
        <v>950</v>
      </c>
      <c r="R472" s="16">
        <v>2850</v>
      </c>
      <c r="S472" s="15" t="s">
        <v>340</v>
      </c>
      <c r="T472" s="15">
        <v>1.5</v>
      </c>
      <c r="U472" s="15">
        <v>1.9</v>
      </c>
      <c r="V472" s="25">
        <v>4500</v>
      </c>
      <c r="W472" s="44">
        <v>63630</v>
      </c>
      <c r="X472" s="15"/>
      <c r="Y472" s="15"/>
      <c r="Z472" s="15"/>
      <c r="AA472" s="15"/>
      <c r="AB472" s="15" t="s">
        <v>328</v>
      </c>
      <c r="AC472" s="15"/>
      <c r="AD472" s="15" t="s">
        <v>328</v>
      </c>
      <c r="AE472" s="15"/>
      <c r="AF472" s="15"/>
      <c r="AG472" s="15"/>
      <c r="AH472" s="15"/>
      <c r="AI472" s="15"/>
      <c r="AJ472" s="15"/>
      <c r="AK472" s="15"/>
      <c r="AL472" s="15" t="s">
        <v>328</v>
      </c>
      <c r="AM472" s="15"/>
      <c r="AN472" s="16">
        <v>24000</v>
      </c>
      <c r="AO472" s="16">
        <v>24000</v>
      </c>
      <c r="AP472" s="16">
        <v>240000</v>
      </c>
      <c r="AQ472" s="16">
        <v>100000</v>
      </c>
      <c r="AR472" s="16">
        <v>24000</v>
      </c>
      <c r="AS472" s="22">
        <v>270000</v>
      </c>
      <c r="AT472" s="22">
        <v>0</v>
      </c>
      <c r="AU472" s="22">
        <v>186000</v>
      </c>
      <c r="AV472" s="22">
        <v>192000</v>
      </c>
      <c r="AW472" s="22">
        <v>38400</v>
      </c>
      <c r="AX472" s="66">
        <v>0</v>
      </c>
      <c r="AY472" s="17" t="s">
        <v>574</v>
      </c>
      <c r="AZ472" s="15" t="s">
        <v>693</v>
      </c>
      <c r="BA472" s="249">
        <f t="shared" si="15"/>
        <v>3</v>
      </c>
      <c r="BB472" s="249">
        <v>0</v>
      </c>
      <c r="BC472" s="249">
        <f t="shared" si="14"/>
        <v>2003</v>
      </c>
    </row>
    <row r="473" spans="1:55" x14ac:dyDescent="0.25">
      <c r="A473" s="50" t="s">
        <v>1855</v>
      </c>
      <c r="B473" s="63" t="s">
        <v>670</v>
      </c>
      <c r="C473" s="15" t="s">
        <v>337</v>
      </c>
      <c r="D473" s="15">
        <v>2009</v>
      </c>
      <c r="E473" s="15" t="s">
        <v>475</v>
      </c>
      <c r="F473" s="15"/>
      <c r="G473" s="15"/>
      <c r="H473" s="15"/>
      <c r="I473" s="15"/>
      <c r="J473" s="16">
        <v>395201</v>
      </c>
      <c r="K473" s="15"/>
      <c r="L473" s="15" t="s">
        <v>328</v>
      </c>
      <c r="M473" s="15"/>
      <c r="N473" s="16">
        <v>8000</v>
      </c>
      <c r="O473" s="21">
        <v>0.5</v>
      </c>
      <c r="P473" s="15">
        <v>2</v>
      </c>
      <c r="Q473" s="15">
        <v>1000</v>
      </c>
      <c r="R473" s="16">
        <v>3200</v>
      </c>
      <c r="S473" s="15" t="s">
        <v>340</v>
      </c>
      <c r="T473" s="15">
        <v>1.6</v>
      </c>
      <c r="U473" s="15">
        <v>1.9</v>
      </c>
      <c r="V473" s="25">
        <v>4500</v>
      </c>
      <c r="W473" s="44">
        <v>63630</v>
      </c>
      <c r="X473" s="15"/>
      <c r="Y473" s="15"/>
      <c r="Z473" s="15"/>
      <c r="AA473" s="15"/>
      <c r="AB473" s="15"/>
      <c r="AC473" s="15" t="s">
        <v>328</v>
      </c>
      <c r="AD473" s="15" t="s">
        <v>328</v>
      </c>
      <c r="AE473" s="15"/>
      <c r="AF473" s="15"/>
      <c r="AG473" s="15"/>
      <c r="AH473" s="15"/>
      <c r="AI473" s="15"/>
      <c r="AJ473" s="15"/>
      <c r="AK473" s="15"/>
      <c r="AL473" s="15" t="s">
        <v>328</v>
      </c>
      <c r="AM473" s="15"/>
      <c r="AN473" s="16">
        <v>24000</v>
      </c>
      <c r="AO473" s="16">
        <v>24000</v>
      </c>
      <c r="AP473" s="16">
        <v>240000</v>
      </c>
      <c r="AQ473" s="16">
        <v>100000</v>
      </c>
      <c r="AR473" s="16">
        <v>24000</v>
      </c>
      <c r="AS473" s="22">
        <v>270000</v>
      </c>
      <c r="AT473" s="22">
        <v>0</v>
      </c>
      <c r="AU473" s="22">
        <v>186000</v>
      </c>
      <c r="AV473" s="22">
        <v>192000</v>
      </c>
      <c r="AW473" s="22">
        <v>38400</v>
      </c>
      <c r="AX473" s="66">
        <v>0</v>
      </c>
      <c r="AY473" s="17" t="s">
        <v>585</v>
      </c>
      <c r="AZ473" s="15" t="s">
        <v>693</v>
      </c>
      <c r="BA473" s="249">
        <f t="shared" si="15"/>
        <v>3</v>
      </c>
      <c r="BB473" s="249">
        <v>0</v>
      </c>
      <c r="BC473" s="249">
        <f t="shared" si="14"/>
        <v>2009</v>
      </c>
    </row>
    <row r="474" spans="1:55" x14ac:dyDescent="0.25">
      <c r="A474" s="50" t="s">
        <v>1855</v>
      </c>
      <c r="B474" s="63" t="s">
        <v>671</v>
      </c>
      <c r="C474" s="15" t="s">
        <v>337</v>
      </c>
      <c r="D474" s="15">
        <v>1998</v>
      </c>
      <c r="E474" s="15" t="s">
        <v>407</v>
      </c>
      <c r="F474" s="15"/>
      <c r="G474" s="15"/>
      <c r="H474" s="15"/>
      <c r="I474" s="15"/>
      <c r="J474" s="16">
        <v>1056371</v>
      </c>
      <c r="K474" s="15"/>
      <c r="L474" s="15"/>
      <c r="M474" s="15" t="s">
        <v>328</v>
      </c>
      <c r="N474" s="16">
        <v>6000</v>
      </c>
      <c r="O474" s="21">
        <v>0.2</v>
      </c>
      <c r="P474" s="15">
        <v>2</v>
      </c>
      <c r="Q474" s="15">
        <v>950</v>
      </c>
      <c r="R474" s="16">
        <v>4560</v>
      </c>
      <c r="S474" s="15" t="s">
        <v>340</v>
      </c>
      <c r="T474" s="15">
        <v>2.4</v>
      </c>
      <c r="U474" s="15">
        <v>2.7</v>
      </c>
      <c r="V474" s="25">
        <v>2692.9982046678633</v>
      </c>
      <c r="W474" s="22">
        <v>30000</v>
      </c>
      <c r="X474" s="15"/>
      <c r="Y474" s="15" t="s">
        <v>328</v>
      </c>
      <c r="Z474" s="15"/>
      <c r="AA474" s="15"/>
      <c r="AB474" s="15"/>
      <c r="AC474" s="15"/>
      <c r="AD474" s="15" t="s">
        <v>328</v>
      </c>
      <c r="AE474" s="15"/>
      <c r="AF474" s="15"/>
      <c r="AG474" s="15"/>
      <c r="AH474" s="15"/>
      <c r="AI474" s="15"/>
      <c r="AJ474" s="15"/>
      <c r="AK474" s="15"/>
      <c r="AL474" s="15"/>
      <c r="AM474" s="15"/>
      <c r="AN474" s="16">
        <v>18000</v>
      </c>
      <c r="AO474" s="16">
        <v>36000</v>
      </c>
      <c r="AP474" s="16">
        <v>90000</v>
      </c>
      <c r="AQ474" s="16">
        <v>130000</v>
      </c>
      <c r="AR474" s="16">
        <v>18000</v>
      </c>
      <c r="AS474" s="22">
        <v>0</v>
      </c>
      <c r="AT474" s="22">
        <v>0</v>
      </c>
      <c r="AU474" s="22">
        <v>60000</v>
      </c>
      <c r="AV474" s="22">
        <v>60000</v>
      </c>
      <c r="AW474" s="22">
        <v>0</v>
      </c>
      <c r="AX474" s="66">
        <v>0</v>
      </c>
      <c r="AY474" s="17" t="s">
        <v>576</v>
      </c>
      <c r="AZ474" s="15" t="s">
        <v>562</v>
      </c>
      <c r="BA474" s="249">
        <f t="shared" si="15"/>
        <v>1</v>
      </c>
      <c r="BB474" s="249">
        <v>0</v>
      </c>
      <c r="BC474" s="249">
        <f t="shared" si="14"/>
        <v>1998</v>
      </c>
    </row>
    <row r="475" spans="1:55" x14ac:dyDescent="0.25">
      <c r="A475" s="50" t="s">
        <v>1855</v>
      </c>
      <c r="B475" s="63" t="s">
        <v>672</v>
      </c>
      <c r="C475" s="15" t="s">
        <v>348</v>
      </c>
      <c r="D475" s="15">
        <v>2003</v>
      </c>
      <c r="E475" s="15" t="s">
        <v>477</v>
      </c>
      <c r="F475" s="15"/>
      <c r="G475" s="15"/>
      <c r="H475" s="15"/>
      <c r="I475" s="15"/>
      <c r="J475" s="16">
        <v>613702</v>
      </c>
      <c r="K475" s="15"/>
      <c r="L475" s="15"/>
      <c r="M475" s="15" t="s">
        <v>328</v>
      </c>
      <c r="N475" s="16">
        <v>5000</v>
      </c>
      <c r="O475" s="21">
        <v>0.3</v>
      </c>
      <c r="P475" s="15">
        <v>2</v>
      </c>
      <c r="Q475" s="15">
        <v>550</v>
      </c>
      <c r="R475" s="16">
        <v>4290</v>
      </c>
      <c r="S475" s="15" t="s">
        <v>340</v>
      </c>
      <c r="T475" s="15">
        <v>3.9</v>
      </c>
      <c r="U475" s="15">
        <v>4.3</v>
      </c>
      <c r="V475" s="25">
        <v>1077.1992818671454</v>
      </c>
      <c r="W475" s="22">
        <v>12000</v>
      </c>
      <c r="X475" s="15"/>
      <c r="Y475" s="15" t="s">
        <v>328</v>
      </c>
      <c r="Z475" s="15"/>
      <c r="AA475" s="15"/>
      <c r="AB475" s="15"/>
      <c r="AC475" s="15"/>
      <c r="AD475" s="15" t="s">
        <v>332</v>
      </c>
      <c r="AE475" s="15"/>
      <c r="AF475" s="15"/>
      <c r="AG475" s="15"/>
      <c r="AH475" s="15"/>
      <c r="AI475" s="15"/>
      <c r="AJ475" s="15"/>
      <c r="AK475" s="15"/>
      <c r="AL475" s="15"/>
      <c r="AM475" s="15"/>
      <c r="AN475" s="16">
        <v>20000</v>
      </c>
      <c r="AO475" s="16">
        <v>20000</v>
      </c>
      <c r="AP475" s="16">
        <v>60000</v>
      </c>
      <c r="AQ475" s="16">
        <v>90000</v>
      </c>
      <c r="AR475" s="16">
        <v>20000</v>
      </c>
      <c r="AS475" s="22">
        <v>0</v>
      </c>
      <c r="AT475" s="22">
        <v>0</v>
      </c>
      <c r="AU475" s="22">
        <v>60000</v>
      </c>
      <c r="AV475" s="22">
        <v>48000</v>
      </c>
      <c r="AW475" s="22">
        <v>0</v>
      </c>
      <c r="AX475" s="66">
        <v>0</v>
      </c>
      <c r="AY475" s="17" t="s">
        <v>706</v>
      </c>
      <c r="AZ475" s="15" t="s">
        <v>348</v>
      </c>
      <c r="BA475" s="249">
        <f t="shared" si="15"/>
        <v>2</v>
      </c>
      <c r="BB475" s="249">
        <v>0</v>
      </c>
      <c r="BC475" s="249">
        <f t="shared" si="14"/>
        <v>2003</v>
      </c>
    </row>
    <row r="476" spans="1:55" x14ac:dyDescent="0.25">
      <c r="A476" s="50" t="s">
        <v>1855</v>
      </c>
      <c r="B476" s="63" t="s">
        <v>672</v>
      </c>
      <c r="C476" s="15" t="s">
        <v>348</v>
      </c>
      <c r="D476" s="15">
        <v>2003</v>
      </c>
      <c r="E476" s="15" t="s">
        <v>477</v>
      </c>
      <c r="F476" s="15"/>
      <c r="G476" s="15"/>
      <c r="H476" s="15"/>
      <c r="I476" s="15"/>
      <c r="J476" s="16">
        <v>590875</v>
      </c>
      <c r="K476" s="15"/>
      <c r="L476" s="15"/>
      <c r="M476" s="15" t="s">
        <v>328</v>
      </c>
      <c r="N476" s="16">
        <v>4000</v>
      </c>
      <c r="O476" s="21">
        <v>0.3</v>
      </c>
      <c r="P476" s="15">
        <v>2</v>
      </c>
      <c r="Q476" s="15">
        <v>550</v>
      </c>
      <c r="R476" s="16">
        <v>4290</v>
      </c>
      <c r="S476" s="15" t="s">
        <v>340</v>
      </c>
      <c r="T476" s="15">
        <v>3.9</v>
      </c>
      <c r="U476" s="15">
        <v>4.3</v>
      </c>
      <c r="V476" s="25">
        <v>897.66606822262111</v>
      </c>
      <c r="W476" s="22">
        <v>10000</v>
      </c>
      <c r="X476" s="15"/>
      <c r="Y476" s="15"/>
      <c r="Z476" s="15"/>
      <c r="AA476" s="15"/>
      <c r="AB476" s="15" t="s">
        <v>328</v>
      </c>
      <c r="AC476" s="15"/>
      <c r="AD476" s="15" t="s">
        <v>332</v>
      </c>
      <c r="AE476" s="15"/>
      <c r="AF476" s="15"/>
      <c r="AG476" s="15"/>
      <c r="AH476" s="15"/>
      <c r="AI476" s="15"/>
      <c r="AJ476" s="15"/>
      <c r="AK476" s="15"/>
      <c r="AL476" s="15"/>
      <c r="AM476" s="15"/>
      <c r="AN476" s="16">
        <v>20000</v>
      </c>
      <c r="AO476" s="16">
        <v>20000</v>
      </c>
      <c r="AP476" s="16">
        <v>60000</v>
      </c>
      <c r="AQ476" s="16">
        <v>90000</v>
      </c>
      <c r="AR476" s="16">
        <v>20000</v>
      </c>
      <c r="AS476" s="22">
        <v>0</v>
      </c>
      <c r="AT476" s="22">
        <v>0</v>
      </c>
      <c r="AU476" s="22">
        <v>60000</v>
      </c>
      <c r="AV476" s="22">
        <v>48000</v>
      </c>
      <c r="AW476" s="22">
        <v>0</v>
      </c>
      <c r="AX476" s="66">
        <v>0</v>
      </c>
      <c r="AY476" s="17" t="s">
        <v>706</v>
      </c>
      <c r="AZ476" s="15" t="s">
        <v>348</v>
      </c>
      <c r="BA476" s="249">
        <f t="shared" si="15"/>
        <v>2</v>
      </c>
      <c r="BB476" s="249">
        <v>0</v>
      </c>
      <c r="BC476" s="249">
        <f t="shared" si="14"/>
        <v>2003</v>
      </c>
    </row>
    <row r="477" spans="1:55" x14ac:dyDescent="0.25">
      <c r="A477" s="50" t="s">
        <v>1855</v>
      </c>
      <c r="B477" s="63" t="s">
        <v>673</v>
      </c>
      <c r="C477" s="15" t="s">
        <v>348</v>
      </c>
      <c r="D477" s="15">
        <v>2007</v>
      </c>
      <c r="E477" s="14" t="s">
        <v>360</v>
      </c>
      <c r="F477" s="15"/>
      <c r="G477" s="15"/>
      <c r="H477" s="15"/>
      <c r="I477" s="15"/>
      <c r="J477" s="16">
        <v>276214</v>
      </c>
      <c r="K477" s="15"/>
      <c r="L477" s="15" t="s">
        <v>328</v>
      </c>
      <c r="M477" s="15"/>
      <c r="N477" s="16">
        <v>3333.3333333333335</v>
      </c>
      <c r="O477" s="21">
        <v>0.5</v>
      </c>
      <c r="P477" s="15">
        <v>1</v>
      </c>
      <c r="Q477" s="15">
        <v>100</v>
      </c>
      <c r="R477" s="16">
        <v>800</v>
      </c>
      <c r="S477" s="15" t="s">
        <v>430</v>
      </c>
      <c r="T477" s="15">
        <v>8</v>
      </c>
      <c r="U477" s="15">
        <v>9</v>
      </c>
      <c r="V477" s="25">
        <v>448.83303411131055</v>
      </c>
      <c r="W477" s="22">
        <v>5000</v>
      </c>
      <c r="X477" s="15"/>
      <c r="Y477" s="15" t="s">
        <v>328</v>
      </c>
      <c r="Z477" s="15"/>
      <c r="AA477" s="15"/>
      <c r="AB477" s="15"/>
      <c r="AC477" s="15"/>
      <c r="AD477" s="15" t="s">
        <v>328</v>
      </c>
      <c r="AE477" s="15"/>
      <c r="AF477" s="15"/>
      <c r="AG477" s="15"/>
      <c r="AH477" s="15"/>
      <c r="AI477" s="15"/>
      <c r="AJ477" s="15"/>
      <c r="AK477" s="15"/>
      <c r="AL477" s="15"/>
      <c r="AM477" s="15"/>
      <c r="AN477" s="16">
        <v>15000</v>
      </c>
      <c r="AO477" s="16">
        <v>15000</v>
      </c>
      <c r="AP477" s="16">
        <v>80000</v>
      </c>
      <c r="AQ477" s="16">
        <v>80000</v>
      </c>
      <c r="AR477" s="16" t="s">
        <v>385</v>
      </c>
      <c r="AS477" s="22">
        <v>0</v>
      </c>
      <c r="AT477" s="22">
        <v>0</v>
      </c>
      <c r="AU477" s="22">
        <v>15000</v>
      </c>
      <c r="AV477" s="22">
        <v>15000</v>
      </c>
      <c r="AW477" s="22">
        <v>0</v>
      </c>
      <c r="AX477" s="66">
        <v>0</v>
      </c>
      <c r="AY477" s="17" t="s">
        <v>707</v>
      </c>
      <c r="AZ477" s="15" t="s">
        <v>348</v>
      </c>
      <c r="BA477" s="249">
        <f t="shared" si="15"/>
        <v>1</v>
      </c>
      <c r="BB477" s="249">
        <v>0</v>
      </c>
      <c r="BC477" s="249">
        <f t="shared" si="14"/>
        <v>2007</v>
      </c>
    </row>
    <row r="478" spans="1:55" x14ac:dyDescent="0.25">
      <c r="A478" s="50" t="s">
        <v>1855</v>
      </c>
      <c r="B478" s="63" t="s">
        <v>674</v>
      </c>
      <c r="C478" s="15" t="s">
        <v>337</v>
      </c>
      <c r="D478" s="15">
        <v>2007</v>
      </c>
      <c r="E478" s="15" t="s">
        <v>407</v>
      </c>
      <c r="F478" s="15"/>
      <c r="G478" s="15"/>
      <c r="H478" s="15"/>
      <c r="I478" s="15"/>
      <c r="J478" s="16">
        <v>563400</v>
      </c>
      <c r="K478" s="15"/>
      <c r="L478" s="15" t="s">
        <v>328</v>
      </c>
      <c r="M478" s="15"/>
      <c r="N478" s="16">
        <v>5000</v>
      </c>
      <c r="O478" s="21">
        <v>0</v>
      </c>
      <c r="P478" s="15">
        <v>2</v>
      </c>
      <c r="Q478" s="15">
        <v>950</v>
      </c>
      <c r="R478" s="16">
        <v>4940</v>
      </c>
      <c r="S478" s="15" t="s">
        <v>340</v>
      </c>
      <c r="T478" s="15">
        <v>2.6</v>
      </c>
      <c r="U478" s="15">
        <v>2.9</v>
      </c>
      <c r="V478" s="25">
        <v>8078.99461400359</v>
      </c>
      <c r="W478" s="22">
        <v>90000</v>
      </c>
      <c r="X478" s="15"/>
      <c r="Y478" s="15"/>
      <c r="Z478" s="15"/>
      <c r="AA478" s="15"/>
      <c r="AB478" s="15" t="s">
        <v>328</v>
      </c>
      <c r="AC478" s="15"/>
      <c r="AD478" s="15" t="s">
        <v>328</v>
      </c>
      <c r="AE478" s="15"/>
      <c r="AF478" s="15"/>
      <c r="AG478" s="15"/>
      <c r="AH478" s="15"/>
      <c r="AI478" s="15" t="s">
        <v>328</v>
      </c>
      <c r="AJ478" s="15"/>
      <c r="AK478" s="15"/>
      <c r="AL478" s="15" t="s">
        <v>328</v>
      </c>
      <c r="AM478" s="15"/>
      <c r="AN478" s="16">
        <v>20000</v>
      </c>
      <c r="AO478" s="16">
        <v>20000</v>
      </c>
      <c r="AP478" s="16">
        <v>240000</v>
      </c>
      <c r="AQ478" s="16">
        <v>240000</v>
      </c>
      <c r="AR478" s="16">
        <v>20000</v>
      </c>
      <c r="AS478" s="22">
        <v>312000</v>
      </c>
      <c r="AT478" s="22">
        <v>0</v>
      </c>
      <c r="AU478" s="22">
        <v>117000</v>
      </c>
      <c r="AV478" s="22">
        <v>51000</v>
      </c>
      <c r="AW478" s="22">
        <v>38640</v>
      </c>
      <c r="AX478" s="66">
        <v>0</v>
      </c>
      <c r="AY478" s="17" t="s">
        <v>574</v>
      </c>
      <c r="AZ478" s="15" t="s">
        <v>562</v>
      </c>
      <c r="BA478" s="249">
        <f t="shared" si="15"/>
        <v>3</v>
      </c>
      <c r="BB478" s="249">
        <v>0</v>
      </c>
      <c r="BC478" s="249">
        <f t="shared" si="14"/>
        <v>2007</v>
      </c>
    </row>
    <row r="479" spans="1:55" x14ac:dyDescent="0.25">
      <c r="A479" s="50" t="s">
        <v>1855</v>
      </c>
      <c r="B479" s="63" t="s">
        <v>674</v>
      </c>
      <c r="C479" s="15" t="s">
        <v>337</v>
      </c>
      <c r="D479" s="15">
        <v>2007</v>
      </c>
      <c r="E479" s="15" t="s">
        <v>407</v>
      </c>
      <c r="F479" s="15"/>
      <c r="G479" s="15"/>
      <c r="H479" s="15"/>
      <c r="I479" s="15"/>
      <c r="J479" s="16">
        <v>551713</v>
      </c>
      <c r="K479" s="15"/>
      <c r="L479" s="15" t="s">
        <v>328</v>
      </c>
      <c r="M479" s="15"/>
      <c r="N479" s="16">
        <v>5000</v>
      </c>
      <c r="O479" s="21">
        <v>0</v>
      </c>
      <c r="P479" s="15">
        <v>2</v>
      </c>
      <c r="Q479" s="15">
        <v>950</v>
      </c>
      <c r="R479" s="16">
        <v>4940</v>
      </c>
      <c r="S479" s="15" t="s">
        <v>340</v>
      </c>
      <c r="T479" s="15">
        <v>2.6</v>
      </c>
      <c r="U479" s="15">
        <v>2.9</v>
      </c>
      <c r="V479" s="25">
        <v>8078.99461400359</v>
      </c>
      <c r="W479" s="22">
        <v>90000</v>
      </c>
      <c r="X479" s="15"/>
      <c r="Y479" s="15"/>
      <c r="Z479" s="15"/>
      <c r="AA479" s="15"/>
      <c r="AB479" s="15" t="s">
        <v>328</v>
      </c>
      <c r="AC479" s="15"/>
      <c r="AD479" s="15" t="s">
        <v>328</v>
      </c>
      <c r="AE479" s="15"/>
      <c r="AF479" s="15"/>
      <c r="AG479" s="15"/>
      <c r="AH479" s="15"/>
      <c r="AI479" s="15" t="s">
        <v>328</v>
      </c>
      <c r="AJ479" s="15"/>
      <c r="AK479" s="15"/>
      <c r="AL479" s="15" t="s">
        <v>328</v>
      </c>
      <c r="AM479" s="15"/>
      <c r="AN479" s="16">
        <v>20000</v>
      </c>
      <c r="AO479" s="16">
        <v>20000</v>
      </c>
      <c r="AP479" s="16">
        <v>240000</v>
      </c>
      <c r="AQ479" s="16">
        <v>240000</v>
      </c>
      <c r="AR479" s="16">
        <v>20000</v>
      </c>
      <c r="AS479" s="22">
        <v>312000</v>
      </c>
      <c r="AT479" s="22">
        <v>0</v>
      </c>
      <c r="AU479" s="22">
        <v>117000</v>
      </c>
      <c r="AV479" s="22">
        <v>51000</v>
      </c>
      <c r="AW479" s="22">
        <v>38640</v>
      </c>
      <c r="AX479" s="66">
        <v>0</v>
      </c>
      <c r="AY479" s="17" t="s">
        <v>574</v>
      </c>
      <c r="AZ479" s="15" t="s">
        <v>562</v>
      </c>
      <c r="BA479" s="249">
        <f t="shared" si="15"/>
        <v>3</v>
      </c>
      <c r="BB479" s="249">
        <v>0</v>
      </c>
      <c r="BC479" s="249">
        <f t="shared" si="14"/>
        <v>2007</v>
      </c>
    </row>
    <row r="480" spans="1:55" x14ac:dyDescent="0.25">
      <c r="A480" s="50" t="s">
        <v>1855</v>
      </c>
      <c r="B480" s="63" t="s">
        <v>674</v>
      </c>
      <c r="C480" s="15" t="s">
        <v>337</v>
      </c>
      <c r="D480" s="15">
        <v>2007</v>
      </c>
      <c r="E480" s="15" t="s">
        <v>407</v>
      </c>
      <c r="F480" s="15"/>
      <c r="G480" s="15"/>
      <c r="H480" s="15"/>
      <c r="I480" s="15"/>
      <c r="J480" s="16">
        <v>508979</v>
      </c>
      <c r="K480" s="15"/>
      <c r="L480" s="15" t="s">
        <v>328</v>
      </c>
      <c r="M480" s="15"/>
      <c r="N480" s="16">
        <v>5000</v>
      </c>
      <c r="O480" s="21">
        <v>0</v>
      </c>
      <c r="P480" s="15">
        <v>2</v>
      </c>
      <c r="Q480" s="15">
        <v>950</v>
      </c>
      <c r="R480" s="16">
        <v>4940</v>
      </c>
      <c r="S480" s="15" t="s">
        <v>340</v>
      </c>
      <c r="T480" s="15">
        <v>2.6</v>
      </c>
      <c r="U480" s="15">
        <v>2.9</v>
      </c>
      <c r="V480" s="25">
        <v>8078.99461400359</v>
      </c>
      <c r="W480" s="22">
        <v>90000</v>
      </c>
      <c r="X480" s="15"/>
      <c r="Y480" s="15"/>
      <c r="Z480" s="15"/>
      <c r="AA480" s="15"/>
      <c r="AB480" s="15" t="s">
        <v>328</v>
      </c>
      <c r="AC480" s="15"/>
      <c r="AD480" s="15" t="s">
        <v>328</v>
      </c>
      <c r="AE480" s="15"/>
      <c r="AF480" s="15"/>
      <c r="AG480" s="15"/>
      <c r="AH480" s="15"/>
      <c r="AI480" s="15" t="s">
        <v>328</v>
      </c>
      <c r="AJ480" s="15"/>
      <c r="AK480" s="15"/>
      <c r="AL480" s="15" t="s">
        <v>328</v>
      </c>
      <c r="AM480" s="15"/>
      <c r="AN480" s="16">
        <v>20000</v>
      </c>
      <c r="AO480" s="16">
        <v>20000</v>
      </c>
      <c r="AP480" s="16">
        <v>240000</v>
      </c>
      <c r="AQ480" s="16">
        <v>240000</v>
      </c>
      <c r="AR480" s="16">
        <v>20000</v>
      </c>
      <c r="AS480" s="22">
        <v>312000</v>
      </c>
      <c r="AT480" s="22">
        <v>0</v>
      </c>
      <c r="AU480" s="22">
        <v>117000</v>
      </c>
      <c r="AV480" s="22">
        <v>51000</v>
      </c>
      <c r="AW480" s="22">
        <v>38640</v>
      </c>
      <c r="AX480" s="66">
        <v>0</v>
      </c>
      <c r="AY480" s="17" t="s">
        <v>574</v>
      </c>
      <c r="AZ480" s="15" t="s">
        <v>562</v>
      </c>
      <c r="BA480" s="249">
        <f t="shared" si="15"/>
        <v>3</v>
      </c>
      <c r="BB480" s="249">
        <v>0</v>
      </c>
      <c r="BC480" s="249">
        <f t="shared" si="14"/>
        <v>2007</v>
      </c>
    </row>
    <row r="481" spans="1:55" x14ac:dyDescent="0.25">
      <c r="A481" s="50" t="s">
        <v>1855</v>
      </c>
      <c r="B481" s="63" t="s">
        <v>675</v>
      </c>
      <c r="C481" s="14" t="s">
        <v>351</v>
      </c>
      <c r="D481" s="15">
        <v>2001</v>
      </c>
      <c r="E481" s="15" t="s">
        <v>477</v>
      </c>
      <c r="F481" s="15"/>
      <c r="G481" s="15"/>
      <c r="H481" s="15"/>
      <c r="I481" s="15"/>
      <c r="J481" s="16">
        <v>619832</v>
      </c>
      <c r="K481" s="15"/>
      <c r="L481" s="15" t="s">
        <v>328</v>
      </c>
      <c r="M481" s="15"/>
      <c r="N481" s="16">
        <v>4083.3333333333335</v>
      </c>
      <c r="O481" s="21">
        <v>0.5</v>
      </c>
      <c r="P481" s="15">
        <v>2</v>
      </c>
      <c r="Q481" s="15">
        <v>800</v>
      </c>
      <c r="R481" s="16">
        <v>4960</v>
      </c>
      <c r="S481" s="15" t="s">
        <v>340</v>
      </c>
      <c r="T481" s="15">
        <v>3.1</v>
      </c>
      <c r="U481" s="15">
        <v>3.7</v>
      </c>
      <c r="V481" s="25">
        <v>1481.1490125673249</v>
      </c>
      <c r="W481" s="22">
        <v>16500</v>
      </c>
      <c r="X481" s="15"/>
      <c r="Y481" s="15" t="s">
        <v>328</v>
      </c>
      <c r="Z481" s="15"/>
      <c r="AA481" s="15"/>
      <c r="AB481" s="15"/>
      <c r="AC481" s="15"/>
      <c r="AD481" s="15" t="s">
        <v>328</v>
      </c>
      <c r="AE481" s="15"/>
      <c r="AF481" s="15"/>
      <c r="AG481" s="15"/>
      <c r="AH481" s="15"/>
      <c r="AI481" s="15"/>
      <c r="AJ481" s="15"/>
      <c r="AK481" s="15"/>
      <c r="AL481" s="15"/>
      <c r="AM481" s="15"/>
      <c r="AN481" s="16">
        <v>25000</v>
      </c>
      <c r="AO481" s="16">
        <v>25000</v>
      </c>
      <c r="AP481" s="16">
        <v>100000</v>
      </c>
      <c r="AQ481" s="16">
        <v>100000</v>
      </c>
      <c r="AR481" s="16">
        <v>25000</v>
      </c>
      <c r="AS481" s="22">
        <v>91200</v>
      </c>
      <c r="AT481" s="22">
        <v>0</v>
      </c>
      <c r="AU481" s="22">
        <v>0</v>
      </c>
      <c r="AV481" s="22">
        <v>28800</v>
      </c>
      <c r="AW481" s="22">
        <v>30000</v>
      </c>
      <c r="AX481" s="66">
        <v>0</v>
      </c>
      <c r="AY481" s="17" t="s">
        <v>706</v>
      </c>
      <c r="AZ481" s="15" t="s">
        <v>351</v>
      </c>
      <c r="BA481" s="249">
        <f t="shared" si="15"/>
        <v>2</v>
      </c>
      <c r="BB481" s="249">
        <v>0</v>
      </c>
      <c r="BC481" s="249">
        <f t="shared" si="14"/>
        <v>2001</v>
      </c>
    </row>
    <row r="482" spans="1:55" x14ac:dyDescent="0.25">
      <c r="A482" s="50" t="s">
        <v>1855</v>
      </c>
      <c r="B482" s="63" t="s">
        <v>675</v>
      </c>
      <c r="C482" s="14" t="s">
        <v>351</v>
      </c>
      <c r="D482" s="15">
        <v>2001</v>
      </c>
      <c r="E482" s="15" t="s">
        <v>477</v>
      </c>
      <c r="F482" s="15"/>
      <c r="G482" s="15"/>
      <c r="H482" s="15"/>
      <c r="I482" s="15"/>
      <c r="J482" s="16">
        <v>675215</v>
      </c>
      <c r="K482" s="15"/>
      <c r="L482" s="15" t="s">
        <v>328</v>
      </c>
      <c r="M482" s="15"/>
      <c r="N482" s="16">
        <v>4083.3333333333335</v>
      </c>
      <c r="O482" s="21">
        <v>0.5</v>
      </c>
      <c r="P482" s="15">
        <v>2</v>
      </c>
      <c r="Q482" s="15">
        <v>800</v>
      </c>
      <c r="R482" s="16">
        <v>4960</v>
      </c>
      <c r="S482" s="15" t="s">
        <v>340</v>
      </c>
      <c r="T482" s="15">
        <v>3.1</v>
      </c>
      <c r="U482" s="15">
        <v>3.7</v>
      </c>
      <c r="V482" s="25">
        <v>1481.1490125673249</v>
      </c>
      <c r="W482" s="22">
        <v>16500</v>
      </c>
      <c r="X482" s="15"/>
      <c r="Y482" s="15" t="s">
        <v>328</v>
      </c>
      <c r="Z482" s="15"/>
      <c r="AA482" s="15"/>
      <c r="AB482" s="15"/>
      <c r="AC482" s="15"/>
      <c r="AD482" s="15" t="s">
        <v>328</v>
      </c>
      <c r="AE482" s="15"/>
      <c r="AF482" s="15"/>
      <c r="AG482" s="15"/>
      <c r="AH482" s="15"/>
      <c r="AI482" s="15"/>
      <c r="AJ482" s="15"/>
      <c r="AK482" s="15"/>
      <c r="AL482" s="15"/>
      <c r="AM482" s="15"/>
      <c r="AN482" s="16">
        <v>25000</v>
      </c>
      <c r="AO482" s="16">
        <v>25000</v>
      </c>
      <c r="AP482" s="16">
        <v>100000</v>
      </c>
      <c r="AQ482" s="16">
        <v>100000</v>
      </c>
      <c r="AR482" s="16">
        <v>25000</v>
      </c>
      <c r="AS482" s="22">
        <v>91200</v>
      </c>
      <c r="AT482" s="22">
        <v>0</v>
      </c>
      <c r="AU482" s="22">
        <v>0</v>
      </c>
      <c r="AV482" s="22">
        <v>28800</v>
      </c>
      <c r="AW482" s="22">
        <v>30000</v>
      </c>
      <c r="AX482" s="66">
        <v>0</v>
      </c>
      <c r="AY482" s="17" t="s">
        <v>706</v>
      </c>
      <c r="AZ482" s="15" t="s">
        <v>351</v>
      </c>
      <c r="BA482" s="249">
        <f t="shared" si="15"/>
        <v>2</v>
      </c>
      <c r="BB482" s="249">
        <v>0</v>
      </c>
      <c r="BC482" s="249">
        <f t="shared" si="14"/>
        <v>2001</v>
      </c>
    </row>
    <row r="483" spans="1:55" x14ac:dyDescent="0.25">
      <c r="A483" s="50" t="s">
        <v>1855</v>
      </c>
      <c r="B483" s="63" t="s">
        <v>676</v>
      </c>
      <c r="C483" s="15" t="s">
        <v>337</v>
      </c>
      <c r="D483" s="15">
        <v>1995</v>
      </c>
      <c r="E483" s="15" t="s">
        <v>407</v>
      </c>
      <c r="F483" s="15"/>
      <c r="G483" s="15"/>
      <c r="H483" s="15"/>
      <c r="I483" s="15"/>
      <c r="J483" s="16">
        <v>1728000</v>
      </c>
      <c r="K483" s="15"/>
      <c r="L483" s="15"/>
      <c r="M483" s="15" t="s">
        <v>328</v>
      </c>
      <c r="N483" s="16">
        <v>8000</v>
      </c>
      <c r="O483" s="21">
        <v>0.5</v>
      </c>
      <c r="P483" s="15">
        <v>2</v>
      </c>
      <c r="Q483" s="15">
        <v>900</v>
      </c>
      <c r="R483" s="16">
        <v>5400</v>
      </c>
      <c r="S483" s="15" t="s">
        <v>340</v>
      </c>
      <c r="T483" s="15">
        <v>3</v>
      </c>
      <c r="U483" s="15">
        <v>3.5</v>
      </c>
      <c r="V483" s="25">
        <v>2872.5314183123878</v>
      </c>
      <c r="W483" s="22">
        <v>32000</v>
      </c>
      <c r="X483" s="15"/>
      <c r="Y483" s="15" t="s">
        <v>328</v>
      </c>
      <c r="Z483" s="15"/>
      <c r="AA483" s="15"/>
      <c r="AB483" s="15"/>
      <c r="AC483" s="15"/>
      <c r="AD483" s="15" t="s">
        <v>332</v>
      </c>
      <c r="AE483" s="15"/>
      <c r="AF483" s="15"/>
      <c r="AG483" s="15"/>
      <c r="AH483" s="15"/>
      <c r="AI483" s="15"/>
      <c r="AJ483" s="15"/>
      <c r="AK483" s="15"/>
      <c r="AL483" s="15"/>
      <c r="AM483" s="15"/>
      <c r="AN483" s="16">
        <v>25000</v>
      </c>
      <c r="AO483" s="16">
        <v>25000</v>
      </c>
      <c r="AP483" s="16">
        <v>100000</v>
      </c>
      <c r="AQ483" s="16">
        <v>120000</v>
      </c>
      <c r="AR483" s="16">
        <v>25000</v>
      </c>
      <c r="AS483" s="22">
        <v>96000</v>
      </c>
      <c r="AT483" s="22">
        <v>0</v>
      </c>
      <c r="AU483" s="22">
        <v>54000</v>
      </c>
      <c r="AV483" s="22">
        <v>24000</v>
      </c>
      <c r="AW483" s="22">
        <v>0</v>
      </c>
      <c r="AX483" s="66">
        <v>0</v>
      </c>
      <c r="AY483" s="17" t="s">
        <v>708</v>
      </c>
      <c r="AZ483" s="15" t="s">
        <v>561</v>
      </c>
      <c r="BA483" s="249">
        <f t="shared" si="15"/>
        <v>1</v>
      </c>
      <c r="BB483" s="249">
        <v>0</v>
      </c>
      <c r="BC483" s="249">
        <f t="shared" si="14"/>
        <v>1995</v>
      </c>
    </row>
    <row r="484" spans="1:55" x14ac:dyDescent="0.25">
      <c r="A484" s="50" t="s">
        <v>1855</v>
      </c>
      <c r="B484" s="63" t="s">
        <v>677</v>
      </c>
      <c r="C484" s="14" t="s">
        <v>351</v>
      </c>
      <c r="D484" s="15">
        <v>1990</v>
      </c>
      <c r="E484" s="15" t="s">
        <v>477</v>
      </c>
      <c r="F484" s="15"/>
      <c r="G484" s="15"/>
      <c r="H484" s="15"/>
      <c r="I484" s="15"/>
      <c r="J484" s="16">
        <v>883200</v>
      </c>
      <c r="K484" s="15"/>
      <c r="L484" s="15"/>
      <c r="M484" s="15" t="s">
        <v>328</v>
      </c>
      <c r="N484" s="16">
        <v>3200</v>
      </c>
      <c r="O484" s="21">
        <v>0</v>
      </c>
      <c r="P484" s="15">
        <v>2</v>
      </c>
      <c r="Q484" s="15">
        <v>700</v>
      </c>
      <c r="R484" s="16">
        <v>4340</v>
      </c>
      <c r="S484" s="15" t="s">
        <v>340</v>
      </c>
      <c r="T484" s="15">
        <v>3.1</v>
      </c>
      <c r="U484" s="15">
        <v>4</v>
      </c>
      <c r="V484" s="25">
        <v>1166.9658886894074</v>
      </c>
      <c r="W484" s="22">
        <v>13000</v>
      </c>
      <c r="X484" s="15"/>
      <c r="Y484" s="15"/>
      <c r="Z484" s="15"/>
      <c r="AA484" s="15" t="s">
        <v>328</v>
      </c>
      <c r="AB484" s="15"/>
      <c r="AC484" s="15"/>
      <c r="AD484" s="15" t="s">
        <v>332</v>
      </c>
      <c r="AE484" s="15"/>
      <c r="AF484" s="15"/>
      <c r="AG484" s="15"/>
      <c r="AH484" s="15"/>
      <c r="AI484" s="15"/>
      <c r="AJ484" s="15"/>
      <c r="AK484" s="15"/>
      <c r="AL484" s="15"/>
      <c r="AM484" s="15"/>
      <c r="AN484" s="16">
        <v>20000</v>
      </c>
      <c r="AO484" s="16">
        <v>20000</v>
      </c>
      <c r="AP484" s="16">
        <v>70000</v>
      </c>
      <c r="AQ484" s="16">
        <v>135000</v>
      </c>
      <c r="AR484" s="16">
        <v>20000</v>
      </c>
      <c r="AS484" s="22">
        <v>0</v>
      </c>
      <c r="AT484" s="22">
        <v>0</v>
      </c>
      <c r="AU484" s="22">
        <v>0</v>
      </c>
      <c r="AV484" s="22">
        <v>24000</v>
      </c>
      <c r="AW484" s="22">
        <v>0</v>
      </c>
      <c r="AX484" s="66">
        <v>0</v>
      </c>
      <c r="AY484" s="17" t="s">
        <v>709</v>
      </c>
      <c r="AZ484" s="15" t="s">
        <v>351</v>
      </c>
      <c r="BA484" s="249">
        <f t="shared" si="15"/>
        <v>1</v>
      </c>
      <c r="BB484" s="249">
        <v>0</v>
      </c>
      <c r="BC484" s="249">
        <f t="shared" si="14"/>
        <v>1990</v>
      </c>
    </row>
    <row r="485" spans="1:55" x14ac:dyDescent="0.25">
      <c r="A485" s="50" t="s">
        <v>1855</v>
      </c>
      <c r="B485" s="63" t="s">
        <v>678</v>
      </c>
      <c r="C485" s="15" t="s">
        <v>348</v>
      </c>
      <c r="D485" s="15">
        <v>1996</v>
      </c>
      <c r="E485" s="14" t="s">
        <v>349</v>
      </c>
      <c r="F485" s="15"/>
      <c r="G485" s="15"/>
      <c r="H485" s="15"/>
      <c r="I485" s="15"/>
      <c r="J485" s="16">
        <v>1083215</v>
      </c>
      <c r="K485" s="15"/>
      <c r="L485" s="15"/>
      <c r="M485" s="15" t="s">
        <v>328</v>
      </c>
      <c r="N485" s="16">
        <v>5000</v>
      </c>
      <c r="O485" s="21">
        <v>0</v>
      </c>
      <c r="P485" s="15">
        <v>2</v>
      </c>
      <c r="Q485" s="15">
        <v>500</v>
      </c>
      <c r="R485" s="16">
        <v>3900</v>
      </c>
      <c r="S485" s="15" t="s">
        <v>340</v>
      </c>
      <c r="T485" s="15">
        <v>3.9</v>
      </c>
      <c r="U485" s="15">
        <v>4.5</v>
      </c>
      <c r="V485" s="25">
        <v>1346.4991023339317</v>
      </c>
      <c r="W485" s="22">
        <v>15000</v>
      </c>
      <c r="X485" s="15"/>
      <c r="Y485" s="15"/>
      <c r="Z485" s="15"/>
      <c r="AA485" s="15"/>
      <c r="AB485" s="15" t="s">
        <v>328</v>
      </c>
      <c r="AC485" s="15"/>
      <c r="AD485" s="15" t="s">
        <v>332</v>
      </c>
      <c r="AE485" s="15"/>
      <c r="AF485" s="15"/>
      <c r="AG485" s="15"/>
      <c r="AH485" s="15"/>
      <c r="AI485" s="15"/>
      <c r="AJ485" s="15"/>
      <c r="AK485" s="15"/>
      <c r="AL485" s="15"/>
      <c r="AM485" s="15"/>
      <c r="AN485" s="16">
        <v>30000</v>
      </c>
      <c r="AO485" s="16">
        <v>30000</v>
      </c>
      <c r="AP485" s="16">
        <v>120000</v>
      </c>
      <c r="AQ485" s="16">
        <v>120000</v>
      </c>
      <c r="AR485" s="16">
        <v>30000</v>
      </c>
      <c r="AS485" s="22">
        <v>0</v>
      </c>
      <c r="AT485" s="22">
        <v>0</v>
      </c>
      <c r="AU485" s="22">
        <v>18000</v>
      </c>
      <c r="AV485" s="22">
        <v>22000</v>
      </c>
      <c r="AW485" s="22">
        <v>10000</v>
      </c>
      <c r="AX485" s="66">
        <v>0</v>
      </c>
      <c r="AY485" s="17" t="s">
        <v>701</v>
      </c>
      <c r="AZ485" s="15" t="s">
        <v>348</v>
      </c>
      <c r="BA485" s="249">
        <f t="shared" si="15"/>
        <v>1</v>
      </c>
      <c r="BB485" s="249">
        <v>0</v>
      </c>
      <c r="BC485" s="249">
        <f t="shared" si="14"/>
        <v>1996</v>
      </c>
    </row>
    <row r="486" spans="1:55" x14ac:dyDescent="0.25">
      <c r="A486" s="50" t="s">
        <v>1855</v>
      </c>
      <c r="B486" s="63" t="s">
        <v>679</v>
      </c>
      <c r="C486" s="14" t="s">
        <v>351</v>
      </c>
      <c r="D486" s="15">
        <v>1990</v>
      </c>
      <c r="E486" s="15" t="s">
        <v>690</v>
      </c>
      <c r="F486" s="15"/>
      <c r="G486" s="15"/>
      <c r="H486" s="15"/>
      <c r="I486" s="15"/>
      <c r="J486" s="16">
        <v>873215</v>
      </c>
      <c r="K486" s="15"/>
      <c r="L486" s="15"/>
      <c r="M486" s="15" t="s">
        <v>328</v>
      </c>
      <c r="N486" s="16">
        <v>3000</v>
      </c>
      <c r="O486" s="21">
        <v>0.3</v>
      </c>
      <c r="P486" s="15">
        <v>2</v>
      </c>
      <c r="Q486" s="15">
        <v>350</v>
      </c>
      <c r="R486" s="16">
        <v>2240</v>
      </c>
      <c r="S486" s="15" t="s">
        <v>340</v>
      </c>
      <c r="T486" s="15">
        <v>3.2</v>
      </c>
      <c r="U486" s="15">
        <v>3.8</v>
      </c>
      <c r="V486" s="25">
        <v>1077.1992818671454</v>
      </c>
      <c r="W486" s="22">
        <v>12000</v>
      </c>
      <c r="X486" s="15"/>
      <c r="Y486" s="15" t="s">
        <v>328</v>
      </c>
      <c r="Z486" s="15"/>
      <c r="AA486" s="15"/>
      <c r="AB486" s="15"/>
      <c r="AC486" s="15"/>
      <c r="AD486" s="15" t="s">
        <v>332</v>
      </c>
      <c r="AE486" s="15"/>
      <c r="AF486" s="15"/>
      <c r="AG486" s="15"/>
      <c r="AH486" s="15"/>
      <c r="AI486" s="15"/>
      <c r="AJ486" s="15"/>
      <c r="AK486" s="15"/>
      <c r="AL486" s="15"/>
      <c r="AM486" s="15"/>
      <c r="AN486" s="16">
        <v>30000</v>
      </c>
      <c r="AO486" s="16">
        <v>30000</v>
      </c>
      <c r="AP486" s="16">
        <v>80000</v>
      </c>
      <c r="AQ486" s="16">
        <v>80000</v>
      </c>
      <c r="AR486" s="16">
        <v>30000</v>
      </c>
      <c r="AS486" s="22">
        <v>0</v>
      </c>
      <c r="AT486" s="22">
        <v>0</v>
      </c>
      <c r="AU486" s="22">
        <v>0</v>
      </c>
      <c r="AV486" s="22">
        <v>24000</v>
      </c>
      <c r="AW486" s="22">
        <v>0</v>
      </c>
      <c r="AX486" s="66">
        <v>18000</v>
      </c>
      <c r="AY486" s="17" t="s">
        <v>694</v>
      </c>
      <c r="AZ486" s="15" t="s">
        <v>351</v>
      </c>
      <c r="BA486" s="249">
        <f t="shared" si="15"/>
        <v>1</v>
      </c>
      <c r="BB486" s="249">
        <v>0</v>
      </c>
      <c r="BC486" s="249">
        <f t="shared" si="14"/>
        <v>1990</v>
      </c>
    </row>
    <row r="487" spans="1:55" x14ac:dyDescent="0.25">
      <c r="A487" s="50" t="s">
        <v>1855</v>
      </c>
      <c r="B487" s="63" t="s">
        <v>699</v>
      </c>
      <c r="C487" s="15" t="s">
        <v>348</v>
      </c>
      <c r="D487" s="15">
        <v>1989</v>
      </c>
      <c r="E487" s="15" t="s">
        <v>477</v>
      </c>
      <c r="F487" s="15"/>
      <c r="G487" s="15"/>
      <c r="H487" s="15"/>
      <c r="I487" s="15"/>
      <c r="J487" s="16">
        <v>921600</v>
      </c>
      <c r="K487" s="15"/>
      <c r="L487" s="15"/>
      <c r="M487" s="15" t="s">
        <v>328</v>
      </c>
      <c r="N487" s="16">
        <v>3200</v>
      </c>
      <c r="O487" s="21">
        <v>0.2</v>
      </c>
      <c r="P487" s="15">
        <v>2</v>
      </c>
      <c r="Q487" s="15">
        <v>450</v>
      </c>
      <c r="R487" s="16">
        <v>2880</v>
      </c>
      <c r="S487" s="15" t="s">
        <v>340</v>
      </c>
      <c r="T487" s="15">
        <v>3.2</v>
      </c>
      <c r="U487" s="15">
        <v>3.7</v>
      </c>
      <c r="V487" s="25">
        <v>1166.9658886894074</v>
      </c>
      <c r="W487" s="22">
        <v>13000</v>
      </c>
      <c r="X487" s="15" t="s">
        <v>328</v>
      </c>
      <c r="Y487" s="15"/>
      <c r="Z487" s="15"/>
      <c r="AA487" s="15"/>
      <c r="AB487" s="15"/>
      <c r="AC487" s="15"/>
      <c r="AD487" s="15" t="s">
        <v>332</v>
      </c>
      <c r="AE487" s="15"/>
      <c r="AF487" s="15"/>
      <c r="AG487" s="15"/>
      <c r="AH487" s="15"/>
      <c r="AI487" s="15"/>
      <c r="AJ487" s="15"/>
      <c r="AK487" s="15"/>
      <c r="AL487" s="15"/>
      <c r="AM487" s="15"/>
      <c r="AN487" s="16">
        <v>20000</v>
      </c>
      <c r="AO487" s="16">
        <v>20000</v>
      </c>
      <c r="AP487" s="16">
        <v>100000</v>
      </c>
      <c r="AQ487" s="16">
        <v>95000</v>
      </c>
      <c r="AR487" s="16">
        <v>20000</v>
      </c>
      <c r="AS487" s="22">
        <v>0</v>
      </c>
      <c r="AT487" s="22">
        <v>0</v>
      </c>
      <c r="AU487" s="22">
        <v>0</v>
      </c>
      <c r="AV487" s="22">
        <v>50000</v>
      </c>
      <c r="AW487" s="22">
        <v>0</v>
      </c>
      <c r="AX487" s="66">
        <v>0</v>
      </c>
      <c r="AY487" s="17" t="s">
        <v>710</v>
      </c>
      <c r="AZ487" s="15" t="s">
        <v>348</v>
      </c>
      <c r="BA487" s="249">
        <f t="shared" si="15"/>
        <v>1</v>
      </c>
      <c r="BB487" s="249">
        <v>0</v>
      </c>
      <c r="BC487" s="249">
        <f t="shared" si="14"/>
        <v>1989</v>
      </c>
    </row>
    <row r="488" spans="1:55" x14ac:dyDescent="0.25">
      <c r="A488" s="51" t="s">
        <v>1404</v>
      </c>
      <c r="B488" s="63" t="s">
        <v>1030</v>
      </c>
      <c r="C488" s="14" t="s">
        <v>351</v>
      </c>
      <c r="D488" s="15">
        <v>1985</v>
      </c>
      <c r="E488" s="15" t="s">
        <v>349</v>
      </c>
      <c r="F488" s="15"/>
      <c r="G488" s="15"/>
      <c r="H488" s="15"/>
      <c r="I488" s="15"/>
      <c r="J488" s="16">
        <v>1008000</v>
      </c>
      <c r="K488" s="15"/>
      <c r="L488" s="15" t="s">
        <v>328</v>
      </c>
      <c r="M488" s="15"/>
      <c r="N488" s="16">
        <v>3000</v>
      </c>
      <c r="O488" s="21">
        <v>0.5</v>
      </c>
      <c r="P488" s="15">
        <v>2</v>
      </c>
      <c r="Q488" s="15">
        <v>500</v>
      </c>
      <c r="R488" s="16">
        <v>2300</v>
      </c>
      <c r="S488" s="15" t="s">
        <v>340</v>
      </c>
      <c r="T488" s="15">
        <v>2.2999999999999998</v>
      </c>
      <c r="U488" s="15">
        <v>2.8</v>
      </c>
      <c r="V488" s="27">
        <v>6000</v>
      </c>
      <c r="W488" s="22">
        <v>84840</v>
      </c>
      <c r="X488" s="15"/>
      <c r="Y488" s="15" t="s">
        <v>328</v>
      </c>
      <c r="Z488" s="15"/>
      <c r="AA488" s="15"/>
      <c r="AB488" s="15"/>
      <c r="AC488" s="15"/>
      <c r="AD488" s="15"/>
      <c r="AE488" s="15"/>
      <c r="AF488" s="15"/>
      <c r="AG488" s="15" t="s">
        <v>328</v>
      </c>
      <c r="AH488" s="15"/>
      <c r="AI488" s="15"/>
      <c r="AJ488" s="15"/>
      <c r="AK488" s="15" t="s">
        <v>328</v>
      </c>
      <c r="AL488" s="15" t="s">
        <v>328</v>
      </c>
      <c r="AM488" s="15"/>
      <c r="AN488" s="16">
        <v>7000</v>
      </c>
      <c r="AO488" s="16">
        <v>7000</v>
      </c>
      <c r="AP488" s="16">
        <v>22000</v>
      </c>
      <c r="AQ488" s="16">
        <v>36000</v>
      </c>
      <c r="AR488" s="16">
        <v>7000</v>
      </c>
      <c r="AS488" s="22">
        <v>90000</v>
      </c>
      <c r="AT488" s="22">
        <v>48000</v>
      </c>
      <c r="AU488" s="22">
        <v>80000</v>
      </c>
      <c r="AV488" s="22">
        <v>24000</v>
      </c>
      <c r="AW488" s="22">
        <v>9000</v>
      </c>
      <c r="AX488" s="66">
        <v>0</v>
      </c>
      <c r="AZ488" s="15" t="s">
        <v>351</v>
      </c>
      <c r="BA488" s="249">
        <f t="shared" si="15"/>
        <v>1</v>
      </c>
      <c r="BB488" s="249">
        <v>0</v>
      </c>
      <c r="BC488" s="249">
        <f t="shared" si="14"/>
        <v>1985</v>
      </c>
    </row>
    <row r="489" spans="1:55" x14ac:dyDescent="0.25">
      <c r="A489" s="51" t="s">
        <v>1404</v>
      </c>
      <c r="B489" s="63" t="s">
        <v>1032</v>
      </c>
      <c r="C489" s="15" t="s">
        <v>348</v>
      </c>
      <c r="D489" s="15">
        <v>1993</v>
      </c>
      <c r="E489" s="15" t="s">
        <v>370</v>
      </c>
      <c r="F489" s="15"/>
      <c r="G489" s="15"/>
      <c r="H489" s="15"/>
      <c r="I489" s="15"/>
      <c r="J489" s="16">
        <v>840000</v>
      </c>
      <c r="K489" s="15"/>
      <c r="L489" s="15" t="s">
        <v>328</v>
      </c>
      <c r="M489" s="15"/>
      <c r="N489" s="16">
        <v>3500</v>
      </c>
      <c r="O489" s="21">
        <v>0.3</v>
      </c>
      <c r="P489" s="15">
        <v>2</v>
      </c>
      <c r="Q489" s="15">
        <v>350</v>
      </c>
      <c r="R489" s="16">
        <v>1959.9999999999998</v>
      </c>
      <c r="S489" s="15" t="s">
        <v>340</v>
      </c>
      <c r="T489" s="15">
        <v>2.8</v>
      </c>
      <c r="U489" s="15">
        <v>3</v>
      </c>
      <c r="V489" s="27">
        <v>5600</v>
      </c>
      <c r="W489" s="22">
        <v>79184</v>
      </c>
      <c r="X489" s="15"/>
      <c r="Y489" s="15" t="s">
        <v>328</v>
      </c>
      <c r="Z489" s="15"/>
      <c r="AA489" s="15"/>
      <c r="AB489" s="15"/>
      <c r="AC489" s="15"/>
      <c r="AD489" s="15"/>
      <c r="AE489" s="15"/>
      <c r="AF489" s="15"/>
      <c r="AG489" s="15" t="s">
        <v>328</v>
      </c>
      <c r="AH489" s="15"/>
      <c r="AI489" s="15"/>
      <c r="AJ489" s="15"/>
      <c r="AK489" s="15" t="s">
        <v>328</v>
      </c>
      <c r="AL489" s="15" t="s">
        <v>328</v>
      </c>
      <c r="AM489" s="15"/>
      <c r="AN489" s="16">
        <v>8000</v>
      </c>
      <c r="AO489" s="16">
        <v>6000</v>
      </c>
      <c r="AP489" s="16">
        <v>6000</v>
      </c>
      <c r="AQ489" s="16">
        <v>42000</v>
      </c>
      <c r="AR489" s="16">
        <v>8000</v>
      </c>
      <c r="AS489" s="22">
        <v>84000</v>
      </c>
      <c r="AT489" s="22">
        <v>36000</v>
      </c>
      <c r="AU489" s="22">
        <v>60000</v>
      </c>
      <c r="AV489" s="22">
        <v>10000</v>
      </c>
      <c r="AW489" s="22">
        <v>7000</v>
      </c>
      <c r="AX489" s="66">
        <v>0</v>
      </c>
      <c r="AZ489" s="15" t="s">
        <v>348</v>
      </c>
      <c r="BA489" s="249">
        <f t="shared" si="15"/>
        <v>1</v>
      </c>
      <c r="BB489" s="249">
        <v>0</v>
      </c>
      <c r="BC489" s="249">
        <f t="shared" si="14"/>
        <v>1993</v>
      </c>
    </row>
    <row r="490" spans="1:55" x14ac:dyDescent="0.25">
      <c r="A490" s="51" t="s">
        <v>1404</v>
      </c>
      <c r="B490" s="63" t="s">
        <v>1033</v>
      </c>
      <c r="C490" s="15" t="s">
        <v>348</v>
      </c>
      <c r="D490" s="15">
        <v>1996</v>
      </c>
      <c r="E490" s="15" t="s">
        <v>690</v>
      </c>
      <c r="F490" s="15"/>
      <c r="G490" s="15"/>
      <c r="H490" s="15"/>
      <c r="I490" s="15"/>
      <c r="J490" s="16">
        <v>830000</v>
      </c>
      <c r="K490" s="15" t="s">
        <v>328</v>
      </c>
      <c r="L490" s="15"/>
      <c r="M490" s="15"/>
      <c r="N490" s="16">
        <v>5000</v>
      </c>
      <c r="O490" s="21">
        <v>0.5</v>
      </c>
      <c r="P490" s="15">
        <v>2</v>
      </c>
      <c r="Q490" s="15">
        <v>380</v>
      </c>
      <c r="R490" s="16">
        <v>1824</v>
      </c>
      <c r="S490" s="15" t="s">
        <v>340</v>
      </c>
      <c r="T490" s="15">
        <v>2.4</v>
      </c>
      <c r="U490" s="15">
        <v>2.8</v>
      </c>
      <c r="V490" s="27">
        <v>6000</v>
      </c>
      <c r="W490" s="22">
        <v>84840</v>
      </c>
      <c r="X490" s="15"/>
      <c r="Y490" s="15" t="s">
        <v>328</v>
      </c>
      <c r="Z490" s="15"/>
      <c r="AA490" s="15"/>
      <c r="AB490" s="15"/>
      <c r="AC490" s="15"/>
      <c r="AD490" s="15"/>
      <c r="AE490" s="15" t="s">
        <v>328</v>
      </c>
      <c r="AF490" s="15"/>
      <c r="AG490" s="15" t="s">
        <v>328</v>
      </c>
      <c r="AH490" s="15" t="s">
        <v>328</v>
      </c>
      <c r="AI490" s="15" t="s">
        <v>328</v>
      </c>
      <c r="AJ490" s="15"/>
      <c r="AK490" s="15" t="s">
        <v>328</v>
      </c>
      <c r="AL490" s="15" t="s">
        <v>328</v>
      </c>
      <c r="AM490" s="15" t="s">
        <v>328</v>
      </c>
      <c r="AN490" s="16">
        <v>12000</v>
      </c>
      <c r="AO490" s="16">
        <v>30000</v>
      </c>
      <c r="AP490" s="16">
        <v>15000</v>
      </c>
      <c r="AQ490" s="16">
        <v>120000</v>
      </c>
      <c r="AR490" s="16">
        <v>30000</v>
      </c>
      <c r="AS490" s="22">
        <v>120000</v>
      </c>
      <c r="AT490" s="22">
        <v>42000</v>
      </c>
      <c r="AU490" s="22">
        <v>90000</v>
      </c>
      <c r="AV490" s="22">
        <v>120000</v>
      </c>
      <c r="AW490" s="22">
        <v>11000</v>
      </c>
      <c r="AX490" s="66">
        <v>0</v>
      </c>
      <c r="AZ490" s="15" t="s">
        <v>348</v>
      </c>
      <c r="BA490" s="249">
        <f t="shared" si="15"/>
        <v>1</v>
      </c>
      <c r="BB490" s="249">
        <v>0</v>
      </c>
      <c r="BC490" s="249">
        <f t="shared" si="14"/>
        <v>1996</v>
      </c>
    </row>
    <row r="491" spans="1:55" x14ac:dyDescent="0.25">
      <c r="A491" s="51" t="s">
        <v>1404</v>
      </c>
      <c r="B491" s="63" t="s">
        <v>1035</v>
      </c>
      <c r="C491" s="14" t="s">
        <v>351</v>
      </c>
      <c r="D491" s="15">
        <v>1980</v>
      </c>
      <c r="E491" s="15" t="s">
        <v>374</v>
      </c>
      <c r="F491" s="15"/>
      <c r="G491" s="15"/>
      <c r="H491" s="15"/>
      <c r="I491" s="15"/>
      <c r="J491" s="16">
        <v>1782000</v>
      </c>
      <c r="K491" s="15"/>
      <c r="L491" s="15" t="s">
        <v>328</v>
      </c>
      <c r="M491" s="15"/>
      <c r="N491" s="16">
        <v>4500</v>
      </c>
      <c r="O491" s="21">
        <v>0.5</v>
      </c>
      <c r="P491" s="15">
        <v>2</v>
      </c>
      <c r="Q491" s="15">
        <v>350</v>
      </c>
      <c r="R491" s="16">
        <v>1750</v>
      </c>
      <c r="S491" s="15" t="s">
        <v>340</v>
      </c>
      <c r="T491" s="15">
        <v>2.5</v>
      </c>
      <c r="U491" s="15">
        <v>3</v>
      </c>
      <c r="V491" s="45">
        <v>5600</v>
      </c>
      <c r="W491" s="22">
        <v>79184</v>
      </c>
      <c r="X491" s="15"/>
      <c r="Y491" s="15" t="s">
        <v>328</v>
      </c>
      <c r="Z491" s="15"/>
      <c r="AA491" s="15"/>
      <c r="AB491" s="15"/>
      <c r="AC491" s="15"/>
      <c r="AD491" s="15"/>
      <c r="AE491" s="15"/>
      <c r="AF491" s="15"/>
      <c r="AG491" s="15" t="s">
        <v>328</v>
      </c>
      <c r="AH491" s="15"/>
      <c r="AI491" s="15"/>
      <c r="AJ491" s="15"/>
      <c r="AK491" s="15" t="s">
        <v>328</v>
      </c>
      <c r="AL491" s="15" t="s">
        <v>328</v>
      </c>
      <c r="AM491" s="15"/>
      <c r="AN491" s="16">
        <v>6000</v>
      </c>
      <c r="AO491" s="16">
        <v>6000</v>
      </c>
      <c r="AP491" s="16">
        <v>20000</v>
      </c>
      <c r="AQ491" s="16">
        <v>108000</v>
      </c>
      <c r="AR491" s="16">
        <v>6000</v>
      </c>
      <c r="AS491" s="22">
        <v>90000</v>
      </c>
      <c r="AT491" s="22">
        <v>48000</v>
      </c>
      <c r="AU491" s="22">
        <v>50000</v>
      </c>
      <c r="AV491" s="22">
        <v>84000</v>
      </c>
      <c r="AW491" s="22">
        <v>8000</v>
      </c>
      <c r="AX491" s="66">
        <v>0</v>
      </c>
      <c r="AZ491" s="15" t="s">
        <v>351</v>
      </c>
      <c r="BA491" s="249">
        <f t="shared" si="15"/>
        <v>3</v>
      </c>
      <c r="BB491" s="249">
        <v>0</v>
      </c>
      <c r="BC491" s="249">
        <f t="shared" si="14"/>
        <v>1980</v>
      </c>
    </row>
    <row r="492" spans="1:55" x14ac:dyDescent="0.25">
      <c r="A492" s="51" t="s">
        <v>1404</v>
      </c>
      <c r="B492" s="63" t="s">
        <v>1035</v>
      </c>
      <c r="C492" s="14" t="s">
        <v>351</v>
      </c>
      <c r="D492" s="15">
        <v>1982</v>
      </c>
      <c r="E492" s="15" t="s">
        <v>374</v>
      </c>
      <c r="F492" s="15"/>
      <c r="G492" s="15"/>
      <c r="H492" s="15"/>
      <c r="I492" s="15"/>
      <c r="J492" s="16">
        <v>1860000</v>
      </c>
      <c r="K492" s="15"/>
      <c r="L492" s="15" t="s">
        <v>328</v>
      </c>
      <c r="M492" s="15"/>
      <c r="N492" s="16">
        <v>5000</v>
      </c>
      <c r="O492" s="21">
        <v>0.5</v>
      </c>
      <c r="P492" s="15">
        <v>2</v>
      </c>
      <c r="Q492" s="15">
        <v>400</v>
      </c>
      <c r="R492" s="16">
        <v>1760.0000000000002</v>
      </c>
      <c r="S492" s="15" t="s">
        <v>340</v>
      </c>
      <c r="T492" s="15">
        <v>2.2000000000000002</v>
      </c>
      <c r="U492" s="15">
        <v>2.8</v>
      </c>
      <c r="V492" s="45">
        <v>6400</v>
      </c>
      <c r="W492" s="22">
        <v>90496</v>
      </c>
      <c r="X492" s="15"/>
      <c r="Y492" s="15" t="s">
        <v>328</v>
      </c>
      <c r="Z492" s="15"/>
      <c r="AA492" s="15"/>
      <c r="AB492" s="15"/>
      <c r="AC492" s="15"/>
      <c r="AD492" s="15"/>
      <c r="AE492" s="15"/>
      <c r="AF492" s="15"/>
      <c r="AG492" s="15" t="s">
        <v>328</v>
      </c>
      <c r="AH492" s="15"/>
      <c r="AI492" s="15"/>
      <c r="AJ492" s="15"/>
      <c r="AK492" s="15" t="s">
        <v>328</v>
      </c>
      <c r="AL492" s="15" t="s">
        <v>328</v>
      </c>
      <c r="AM492" s="15"/>
      <c r="AN492" s="16">
        <v>6500</v>
      </c>
      <c r="AO492" s="16">
        <v>6500</v>
      </c>
      <c r="AP492" s="16">
        <v>20000</v>
      </c>
      <c r="AQ492" s="16">
        <v>120000</v>
      </c>
      <c r="AR492" s="16">
        <v>6500</v>
      </c>
      <c r="AS492" s="22">
        <v>96000</v>
      </c>
      <c r="AT492" s="22">
        <v>50400</v>
      </c>
      <c r="AU492" s="22">
        <v>50000</v>
      </c>
      <c r="AV492" s="22">
        <v>84000</v>
      </c>
      <c r="AW492" s="22">
        <v>8000</v>
      </c>
      <c r="AX492" s="66">
        <v>0</v>
      </c>
      <c r="AZ492" s="15" t="s">
        <v>351</v>
      </c>
      <c r="BA492" s="249">
        <f t="shared" si="15"/>
        <v>3</v>
      </c>
      <c r="BB492" s="249">
        <v>0</v>
      </c>
      <c r="BC492" s="249">
        <f t="shared" si="14"/>
        <v>1982</v>
      </c>
    </row>
    <row r="493" spans="1:55" x14ac:dyDescent="0.25">
      <c r="A493" s="51" t="s">
        <v>1404</v>
      </c>
      <c r="B493" s="63" t="s">
        <v>1035</v>
      </c>
      <c r="C493" s="14" t="s">
        <v>351</v>
      </c>
      <c r="D493" s="15">
        <v>1982</v>
      </c>
      <c r="E493" s="15" t="s">
        <v>374</v>
      </c>
      <c r="F493" s="15"/>
      <c r="G493" s="15"/>
      <c r="H493" s="15"/>
      <c r="I493" s="15"/>
      <c r="J493" s="16">
        <v>1860000</v>
      </c>
      <c r="K493" s="15"/>
      <c r="L493" s="15" t="s">
        <v>328</v>
      </c>
      <c r="M493" s="15"/>
      <c r="N493" s="16">
        <v>5000</v>
      </c>
      <c r="O493" s="21">
        <v>0.5</v>
      </c>
      <c r="P493" s="15">
        <v>2</v>
      </c>
      <c r="Q493" s="15">
        <v>400</v>
      </c>
      <c r="R493" s="16">
        <v>1760.0000000000002</v>
      </c>
      <c r="S493" s="15" t="s">
        <v>340</v>
      </c>
      <c r="T493" s="15">
        <v>2.2000000000000002</v>
      </c>
      <c r="U493" s="15">
        <v>2.8</v>
      </c>
      <c r="V493" s="45">
        <v>6400</v>
      </c>
      <c r="W493" s="22">
        <v>90496</v>
      </c>
      <c r="X493" s="15"/>
      <c r="Y493" s="15" t="s">
        <v>328</v>
      </c>
      <c r="Z493" s="15"/>
      <c r="AA493" s="15"/>
      <c r="AB493" s="15"/>
      <c r="AC493" s="15"/>
      <c r="AD493" s="15"/>
      <c r="AE493" s="15"/>
      <c r="AF493" s="15"/>
      <c r="AG493" s="15" t="s">
        <v>328</v>
      </c>
      <c r="AH493" s="15"/>
      <c r="AI493" s="15"/>
      <c r="AJ493" s="15"/>
      <c r="AK493" s="15" t="s">
        <v>328</v>
      </c>
      <c r="AL493" s="15" t="s">
        <v>328</v>
      </c>
      <c r="AM493" s="15"/>
      <c r="AN493" s="16">
        <v>6500</v>
      </c>
      <c r="AO493" s="16">
        <v>6500</v>
      </c>
      <c r="AP493" s="16">
        <v>20000</v>
      </c>
      <c r="AQ493" s="16">
        <v>120000</v>
      </c>
      <c r="AR493" s="16">
        <v>6500</v>
      </c>
      <c r="AS493" s="22">
        <v>96000</v>
      </c>
      <c r="AT493" s="22">
        <v>50400</v>
      </c>
      <c r="AU493" s="22">
        <v>50000</v>
      </c>
      <c r="AV493" s="22">
        <v>84000</v>
      </c>
      <c r="AW493" s="22">
        <v>8000</v>
      </c>
      <c r="AX493" s="66">
        <v>0</v>
      </c>
      <c r="AZ493" s="15" t="s">
        <v>351</v>
      </c>
      <c r="BA493" s="249">
        <f t="shared" si="15"/>
        <v>3</v>
      </c>
      <c r="BB493" s="249">
        <v>0</v>
      </c>
      <c r="BC493" s="249">
        <f t="shared" si="14"/>
        <v>1982</v>
      </c>
    </row>
    <row r="494" spans="1:55" x14ac:dyDescent="0.25">
      <c r="A494" s="51" t="s">
        <v>1404</v>
      </c>
      <c r="B494" s="63" t="s">
        <v>1037</v>
      </c>
      <c r="C494" s="15" t="s">
        <v>337</v>
      </c>
      <c r="D494" s="15">
        <v>1997</v>
      </c>
      <c r="E494" s="14" t="s">
        <v>338</v>
      </c>
      <c r="F494" s="15"/>
      <c r="G494" s="15"/>
      <c r="H494" s="15"/>
      <c r="I494" s="15"/>
      <c r="J494" s="16">
        <v>729600</v>
      </c>
      <c r="K494" s="15"/>
      <c r="L494" s="15" t="s">
        <v>328</v>
      </c>
      <c r="M494" s="15"/>
      <c r="N494" s="16">
        <v>3800</v>
      </c>
      <c r="O494" s="21">
        <v>0.5</v>
      </c>
      <c r="P494" s="15">
        <v>3</v>
      </c>
      <c r="Q494" s="15">
        <v>450</v>
      </c>
      <c r="R494" s="16">
        <v>2970.0000000000005</v>
      </c>
      <c r="S494" s="15" t="s">
        <v>340</v>
      </c>
      <c r="T494" s="15">
        <v>2.2000000000000002</v>
      </c>
      <c r="U494" s="15">
        <v>2.8</v>
      </c>
      <c r="V494" s="45">
        <v>8100</v>
      </c>
      <c r="W494" s="22">
        <v>114534</v>
      </c>
      <c r="X494" s="15"/>
      <c r="Y494" s="15" t="s">
        <v>328</v>
      </c>
      <c r="Z494" s="15"/>
      <c r="AA494" s="15"/>
      <c r="AB494" s="15"/>
      <c r="AC494" s="15"/>
      <c r="AD494" s="15" t="s">
        <v>328</v>
      </c>
      <c r="AE494" s="15"/>
      <c r="AF494" s="15"/>
      <c r="AG494" s="15"/>
      <c r="AH494" s="15"/>
      <c r="AI494" s="15"/>
      <c r="AJ494" s="15"/>
      <c r="AK494" s="15" t="s">
        <v>328</v>
      </c>
      <c r="AL494" s="15" t="s">
        <v>328</v>
      </c>
      <c r="AM494" s="15"/>
      <c r="AN494" s="16">
        <v>10000</v>
      </c>
      <c r="AO494" s="16">
        <v>10000</v>
      </c>
      <c r="AP494" s="16">
        <v>22000</v>
      </c>
      <c r="AQ494" s="16">
        <v>45600</v>
      </c>
      <c r="AR494" s="16">
        <v>10000</v>
      </c>
      <c r="AS494" s="22">
        <v>108000</v>
      </c>
      <c r="AT494" s="22">
        <v>60000</v>
      </c>
      <c r="AU494" s="22">
        <v>140000</v>
      </c>
      <c r="AV494" s="22">
        <v>60000</v>
      </c>
      <c r="AW494" s="22">
        <v>7000</v>
      </c>
      <c r="AX494" s="66">
        <v>0</v>
      </c>
      <c r="AZ494" s="15" t="s">
        <v>337</v>
      </c>
      <c r="BA494" s="249">
        <f t="shared" si="15"/>
        <v>2</v>
      </c>
      <c r="BB494" s="249">
        <v>0</v>
      </c>
      <c r="BC494" s="249">
        <f t="shared" si="14"/>
        <v>1997</v>
      </c>
    </row>
    <row r="495" spans="1:55" x14ac:dyDescent="0.25">
      <c r="A495" s="51" t="s">
        <v>1404</v>
      </c>
      <c r="B495" s="63" t="s">
        <v>1037</v>
      </c>
      <c r="C495" s="15" t="s">
        <v>337</v>
      </c>
      <c r="D495" s="15">
        <v>1997</v>
      </c>
      <c r="E495" s="14" t="s">
        <v>338</v>
      </c>
      <c r="F495" s="15"/>
      <c r="G495" s="15"/>
      <c r="H495" s="15"/>
      <c r="I495" s="15"/>
      <c r="J495" s="16">
        <v>768000</v>
      </c>
      <c r="K495" s="15"/>
      <c r="L495" s="15" t="s">
        <v>328</v>
      </c>
      <c r="M495" s="15"/>
      <c r="N495" s="16">
        <v>4000</v>
      </c>
      <c r="O495" s="21">
        <v>0.5</v>
      </c>
      <c r="P495" s="15">
        <v>3</v>
      </c>
      <c r="Q495" s="15">
        <v>450</v>
      </c>
      <c r="R495" s="16">
        <v>2970.0000000000005</v>
      </c>
      <c r="S495" s="15" t="s">
        <v>340</v>
      </c>
      <c r="T495" s="15">
        <v>2.2000000000000002</v>
      </c>
      <c r="U495" s="15">
        <v>2.8</v>
      </c>
      <c r="V495" s="45">
        <v>8100</v>
      </c>
      <c r="W495" s="22">
        <v>114534</v>
      </c>
      <c r="X495" s="15"/>
      <c r="Y495" s="15" t="s">
        <v>328</v>
      </c>
      <c r="Z495" s="15"/>
      <c r="AA495" s="15"/>
      <c r="AB495" s="15"/>
      <c r="AC495" s="15"/>
      <c r="AD495" s="15" t="s">
        <v>328</v>
      </c>
      <c r="AE495" s="15"/>
      <c r="AF495" s="15"/>
      <c r="AG495" s="15"/>
      <c r="AH495" s="15"/>
      <c r="AI495" s="15"/>
      <c r="AJ495" s="15"/>
      <c r="AK495" s="15" t="s">
        <v>328</v>
      </c>
      <c r="AL495" s="15" t="s">
        <v>328</v>
      </c>
      <c r="AM495" s="15"/>
      <c r="AN495" s="16">
        <v>10000</v>
      </c>
      <c r="AO495" s="16">
        <v>10000</v>
      </c>
      <c r="AP495" s="16">
        <v>22000</v>
      </c>
      <c r="AQ495" s="16">
        <v>48000</v>
      </c>
      <c r="AR495" s="16">
        <v>10000</v>
      </c>
      <c r="AS495" s="22">
        <v>108000</v>
      </c>
      <c r="AT495" s="22">
        <v>60000</v>
      </c>
      <c r="AU495" s="22">
        <v>140000</v>
      </c>
      <c r="AV495" s="22">
        <v>60000</v>
      </c>
      <c r="AW495" s="22">
        <v>7000</v>
      </c>
      <c r="AX495" s="66">
        <v>0</v>
      </c>
      <c r="AZ495" s="15" t="s">
        <v>337</v>
      </c>
      <c r="BA495" s="249">
        <f t="shared" si="15"/>
        <v>2</v>
      </c>
      <c r="BB495" s="249">
        <v>0</v>
      </c>
      <c r="BC495" s="249">
        <f t="shared" si="14"/>
        <v>1997</v>
      </c>
    </row>
    <row r="496" spans="1:55" x14ac:dyDescent="0.25">
      <c r="A496" s="51" t="s">
        <v>1404</v>
      </c>
      <c r="B496" s="63" t="s">
        <v>1038</v>
      </c>
      <c r="C496" s="15" t="s">
        <v>348</v>
      </c>
      <c r="D496" s="15">
        <v>2002</v>
      </c>
      <c r="E496" s="15" t="s">
        <v>360</v>
      </c>
      <c r="F496" s="15"/>
      <c r="G496" s="15"/>
      <c r="H496" s="15"/>
      <c r="I496" s="15"/>
      <c r="J496" s="16">
        <v>350000</v>
      </c>
      <c r="K496" s="15"/>
      <c r="L496" s="15" t="s">
        <v>328</v>
      </c>
      <c r="M496" s="15"/>
      <c r="N496" s="16">
        <v>2500</v>
      </c>
      <c r="O496" s="21">
        <v>0.5</v>
      </c>
      <c r="P496" s="15">
        <v>1</v>
      </c>
      <c r="Q496" s="15">
        <v>280</v>
      </c>
      <c r="R496" s="16">
        <v>1260</v>
      </c>
      <c r="S496" s="15" t="s">
        <v>430</v>
      </c>
      <c r="T496" s="15">
        <v>4.5</v>
      </c>
      <c r="U496" s="15">
        <v>6</v>
      </c>
      <c r="V496" s="45">
        <v>3000</v>
      </c>
      <c r="W496" s="22">
        <v>42420</v>
      </c>
      <c r="X496" s="15"/>
      <c r="Y496" s="15" t="s">
        <v>328</v>
      </c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 t="s">
        <v>328</v>
      </c>
      <c r="AL496" s="15" t="s">
        <v>328</v>
      </c>
      <c r="AM496" s="15"/>
      <c r="AN496" s="16">
        <v>15000</v>
      </c>
      <c r="AO496" s="16">
        <v>30000</v>
      </c>
      <c r="AP496" s="16">
        <v>15000</v>
      </c>
      <c r="AQ496" s="16">
        <v>60000</v>
      </c>
      <c r="AR496" s="16" t="s">
        <v>385</v>
      </c>
      <c r="AS496" s="22">
        <v>72000</v>
      </c>
      <c r="AT496" s="22">
        <v>42000</v>
      </c>
      <c r="AU496" s="22">
        <v>25000</v>
      </c>
      <c r="AV496" s="22">
        <v>48000</v>
      </c>
      <c r="AW496" s="22">
        <v>72000</v>
      </c>
      <c r="AX496" s="66">
        <v>0</v>
      </c>
      <c r="AZ496" s="15" t="s">
        <v>348</v>
      </c>
      <c r="BA496" s="249">
        <f t="shared" si="15"/>
        <v>1</v>
      </c>
      <c r="BB496" s="249">
        <v>0</v>
      </c>
      <c r="BC496" s="249">
        <f t="shared" si="14"/>
        <v>2002</v>
      </c>
    </row>
    <row r="497" spans="1:55" x14ac:dyDescent="0.25">
      <c r="A497" s="51" t="s">
        <v>1404</v>
      </c>
      <c r="B497" s="63" t="s">
        <v>1039</v>
      </c>
      <c r="C497" s="14" t="s">
        <v>351</v>
      </c>
      <c r="D497" s="15">
        <v>1983</v>
      </c>
      <c r="E497" s="15" t="s">
        <v>374</v>
      </c>
      <c r="F497" s="15"/>
      <c r="G497" s="15"/>
      <c r="H497" s="15"/>
      <c r="I497" s="15"/>
      <c r="J497" s="16">
        <v>1800000</v>
      </c>
      <c r="K497" s="15"/>
      <c r="L497" s="15" t="s">
        <v>328</v>
      </c>
      <c r="M497" s="15"/>
      <c r="N497" s="16">
        <v>5000</v>
      </c>
      <c r="O497" s="21">
        <v>0.5</v>
      </c>
      <c r="P497" s="15">
        <v>2</v>
      </c>
      <c r="Q497" s="15">
        <v>400</v>
      </c>
      <c r="R497" s="16">
        <v>2000</v>
      </c>
      <c r="S497" s="15" t="s">
        <v>340</v>
      </c>
      <c r="T497" s="15">
        <v>2.5</v>
      </c>
      <c r="U497" s="15">
        <v>2.8</v>
      </c>
      <c r="V497" s="45">
        <v>1840</v>
      </c>
      <c r="W497" s="22">
        <v>26017.600000000002</v>
      </c>
      <c r="X497" s="15"/>
      <c r="Y497" s="15" t="s">
        <v>328</v>
      </c>
      <c r="Z497" s="15"/>
      <c r="AA497" s="15"/>
      <c r="AB497" s="15"/>
      <c r="AC497" s="15"/>
      <c r="AD497" s="15"/>
      <c r="AE497" s="15" t="s">
        <v>328</v>
      </c>
      <c r="AF497" s="15"/>
      <c r="AG497" s="15" t="s">
        <v>328</v>
      </c>
      <c r="AH497" s="15"/>
      <c r="AI497" s="15"/>
      <c r="AJ497" s="15"/>
      <c r="AK497" s="15" t="s">
        <v>328</v>
      </c>
      <c r="AL497" s="15" t="s">
        <v>328</v>
      </c>
      <c r="AM497" s="15"/>
      <c r="AN497" s="16">
        <v>12000</v>
      </c>
      <c r="AO497" s="16">
        <v>12000</v>
      </c>
      <c r="AP497" s="16">
        <v>24000</v>
      </c>
      <c r="AQ497" s="16">
        <v>120000</v>
      </c>
      <c r="AR497" s="16">
        <v>12000</v>
      </c>
      <c r="AS497" s="22">
        <v>72000</v>
      </c>
      <c r="AT497" s="22">
        <v>48000</v>
      </c>
      <c r="AU497" s="22">
        <v>50000</v>
      </c>
      <c r="AV497" s="22">
        <v>5000</v>
      </c>
      <c r="AW497" s="22">
        <v>8000</v>
      </c>
      <c r="AX497" s="66">
        <v>0</v>
      </c>
      <c r="AZ497" s="15" t="s">
        <v>351</v>
      </c>
      <c r="BA497" s="249">
        <f t="shared" si="15"/>
        <v>2</v>
      </c>
      <c r="BB497" s="249">
        <v>0</v>
      </c>
      <c r="BC497" s="249">
        <f t="shared" si="14"/>
        <v>1983</v>
      </c>
    </row>
    <row r="498" spans="1:55" x14ac:dyDescent="0.25">
      <c r="A498" s="51" t="s">
        <v>1404</v>
      </c>
      <c r="B498" s="63" t="s">
        <v>1039</v>
      </c>
      <c r="C498" s="14" t="s">
        <v>351</v>
      </c>
      <c r="D498" s="15">
        <v>1983</v>
      </c>
      <c r="E498" s="15" t="s">
        <v>374</v>
      </c>
      <c r="F498" s="15"/>
      <c r="G498" s="15"/>
      <c r="H498" s="15"/>
      <c r="I498" s="15"/>
      <c r="J498" s="16">
        <v>1800000</v>
      </c>
      <c r="K498" s="15"/>
      <c r="L498" s="15" t="s">
        <v>328</v>
      </c>
      <c r="M498" s="15"/>
      <c r="N498" s="16">
        <v>5000</v>
      </c>
      <c r="O498" s="21">
        <v>0.5</v>
      </c>
      <c r="P498" s="15">
        <v>2</v>
      </c>
      <c r="Q498" s="15">
        <v>400</v>
      </c>
      <c r="R498" s="16">
        <v>2000</v>
      </c>
      <c r="S498" s="15" t="s">
        <v>340</v>
      </c>
      <c r="T498" s="15">
        <v>2.5</v>
      </c>
      <c r="U498" s="15">
        <v>2.8</v>
      </c>
      <c r="V498" s="45">
        <v>1840</v>
      </c>
      <c r="W498" s="22">
        <v>26017.600000000002</v>
      </c>
      <c r="X498" s="15"/>
      <c r="Y498" s="15" t="s">
        <v>328</v>
      </c>
      <c r="Z498" s="15"/>
      <c r="AA498" s="15"/>
      <c r="AB498" s="15"/>
      <c r="AC498" s="15"/>
      <c r="AD498" s="15"/>
      <c r="AE498" s="15" t="s">
        <v>328</v>
      </c>
      <c r="AF498" s="15"/>
      <c r="AG498" s="15" t="s">
        <v>328</v>
      </c>
      <c r="AH498" s="15"/>
      <c r="AI498" s="15"/>
      <c r="AJ498" s="15"/>
      <c r="AK498" s="15" t="s">
        <v>328</v>
      </c>
      <c r="AL498" s="15" t="s">
        <v>328</v>
      </c>
      <c r="AM498" s="15"/>
      <c r="AN498" s="16">
        <v>12000</v>
      </c>
      <c r="AO498" s="16">
        <v>12000</v>
      </c>
      <c r="AP498" s="16">
        <v>24000</v>
      </c>
      <c r="AQ498" s="16">
        <v>120000</v>
      </c>
      <c r="AR498" s="16">
        <v>12000</v>
      </c>
      <c r="AS498" s="22">
        <v>72000</v>
      </c>
      <c r="AT498" s="22">
        <v>48000</v>
      </c>
      <c r="AU498" s="22">
        <v>50000</v>
      </c>
      <c r="AV498" s="22">
        <v>5000</v>
      </c>
      <c r="AW498" s="22">
        <v>8000</v>
      </c>
      <c r="AX498" s="66">
        <v>0</v>
      </c>
      <c r="AZ498" s="15" t="s">
        <v>351</v>
      </c>
      <c r="BA498" s="249">
        <f t="shared" si="15"/>
        <v>2</v>
      </c>
      <c r="BB498" s="249">
        <v>0</v>
      </c>
      <c r="BC498" s="249">
        <f t="shared" si="14"/>
        <v>1983</v>
      </c>
    </row>
    <row r="499" spans="1:55" x14ac:dyDescent="0.25">
      <c r="A499" s="51" t="s">
        <v>1404</v>
      </c>
      <c r="B499" s="63" t="s">
        <v>1041</v>
      </c>
      <c r="C499" s="15" t="s">
        <v>337</v>
      </c>
      <c r="D499" s="15">
        <v>1990</v>
      </c>
      <c r="E499" s="14" t="s">
        <v>338</v>
      </c>
      <c r="F499" s="15"/>
      <c r="G499" s="15"/>
      <c r="H499" s="15"/>
      <c r="I499" s="15"/>
      <c r="J499" s="16">
        <v>1021200</v>
      </c>
      <c r="K499" s="15" t="s">
        <v>328</v>
      </c>
      <c r="L499" s="15"/>
      <c r="M499" s="15"/>
      <c r="N499" s="16">
        <v>3700</v>
      </c>
      <c r="O499" s="21">
        <v>0.5</v>
      </c>
      <c r="P499" s="15">
        <v>3</v>
      </c>
      <c r="Q499" s="15">
        <v>450</v>
      </c>
      <c r="R499" s="16">
        <v>3779.9999999999995</v>
      </c>
      <c r="S499" s="15" t="s">
        <v>340</v>
      </c>
      <c r="T499" s="15">
        <v>2.8</v>
      </c>
      <c r="U499" s="15">
        <v>3</v>
      </c>
      <c r="V499" s="45">
        <v>8100</v>
      </c>
      <c r="W499" s="22">
        <v>114534</v>
      </c>
      <c r="X499" s="15"/>
      <c r="Y499" s="15" t="s">
        <v>328</v>
      </c>
      <c r="Z499" s="15"/>
      <c r="AA499" s="15"/>
      <c r="AB499" s="15"/>
      <c r="AC499" s="15"/>
      <c r="AD499" s="15" t="s">
        <v>328</v>
      </c>
      <c r="AE499" s="15" t="s">
        <v>328</v>
      </c>
      <c r="AF499" s="15"/>
      <c r="AG499" s="15" t="s">
        <v>328</v>
      </c>
      <c r="AH499" s="15" t="s">
        <v>328</v>
      </c>
      <c r="AI499" s="15"/>
      <c r="AJ499" s="15"/>
      <c r="AK499" s="15" t="s">
        <v>328</v>
      </c>
      <c r="AL499" s="15" t="s">
        <v>328</v>
      </c>
      <c r="AM499" s="15"/>
      <c r="AN499" s="16">
        <v>8000</v>
      </c>
      <c r="AO499" s="16">
        <v>16000</v>
      </c>
      <c r="AP499" s="16">
        <v>32000</v>
      </c>
      <c r="AQ499" s="16">
        <v>44400</v>
      </c>
      <c r="AR499" s="16">
        <v>8000</v>
      </c>
      <c r="AS499" s="22">
        <v>96000</v>
      </c>
      <c r="AT499" s="22">
        <v>90000</v>
      </c>
      <c r="AU499" s="22">
        <v>180000</v>
      </c>
      <c r="AV499" s="22">
        <v>24000</v>
      </c>
      <c r="AW499" s="22">
        <v>10000</v>
      </c>
      <c r="AX499" s="66">
        <v>24000</v>
      </c>
      <c r="AZ499" s="15" t="s">
        <v>337</v>
      </c>
      <c r="BA499" s="249">
        <f t="shared" si="15"/>
        <v>3</v>
      </c>
      <c r="BB499" s="249">
        <v>0</v>
      </c>
      <c r="BC499" s="249">
        <f t="shared" si="14"/>
        <v>1990</v>
      </c>
    </row>
    <row r="500" spans="1:55" x14ac:dyDescent="0.25">
      <c r="A500" s="51" t="s">
        <v>1404</v>
      </c>
      <c r="B500" s="63" t="s">
        <v>1041</v>
      </c>
      <c r="C500" s="15" t="s">
        <v>337</v>
      </c>
      <c r="D500" s="15">
        <v>1993</v>
      </c>
      <c r="E500" s="15" t="s">
        <v>349</v>
      </c>
      <c r="F500" s="15"/>
      <c r="G500" s="15"/>
      <c r="H500" s="15"/>
      <c r="I500" s="15"/>
      <c r="J500" s="16">
        <v>960000</v>
      </c>
      <c r="K500" s="15" t="s">
        <v>328</v>
      </c>
      <c r="L500" s="15"/>
      <c r="M500" s="15"/>
      <c r="N500" s="16">
        <v>4000</v>
      </c>
      <c r="O500" s="21">
        <v>0.5</v>
      </c>
      <c r="P500" s="15">
        <v>3</v>
      </c>
      <c r="Q500" s="15">
        <v>450</v>
      </c>
      <c r="R500" s="16">
        <v>3779.9999999999995</v>
      </c>
      <c r="S500" s="15" t="s">
        <v>340</v>
      </c>
      <c r="T500" s="15">
        <v>2.8</v>
      </c>
      <c r="U500" s="15">
        <v>3</v>
      </c>
      <c r="V500" s="45">
        <v>8100</v>
      </c>
      <c r="W500" s="22">
        <v>114534</v>
      </c>
      <c r="X500" s="15"/>
      <c r="Y500" s="15" t="s">
        <v>328</v>
      </c>
      <c r="Z500" s="15"/>
      <c r="AA500" s="15"/>
      <c r="AB500" s="15"/>
      <c r="AC500" s="15"/>
      <c r="AD500" s="15" t="s">
        <v>328</v>
      </c>
      <c r="AE500" s="15" t="s">
        <v>328</v>
      </c>
      <c r="AF500" s="15"/>
      <c r="AG500" s="15" t="s">
        <v>328</v>
      </c>
      <c r="AH500" s="15" t="s">
        <v>328</v>
      </c>
      <c r="AI500" s="15"/>
      <c r="AJ500" s="15"/>
      <c r="AK500" s="15" t="s">
        <v>328</v>
      </c>
      <c r="AL500" s="15" t="s">
        <v>328</v>
      </c>
      <c r="AM500" s="15"/>
      <c r="AN500" s="16">
        <v>8000</v>
      </c>
      <c r="AO500" s="16">
        <v>16000</v>
      </c>
      <c r="AP500" s="16">
        <v>32000</v>
      </c>
      <c r="AQ500" s="16">
        <v>48000</v>
      </c>
      <c r="AR500" s="16">
        <v>8000</v>
      </c>
      <c r="AS500" s="22">
        <v>96000</v>
      </c>
      <c r="AT500" s="22">
        <v>90000</v>
      </c>
      <c r="AU500" s="22">
        <v>180000</v>
      </c>
      <c r="AV500" s="22">
        <v>24000</v>
      </c>
      <c r="AW500" s="22">
        <v>10000</v>
      </c>
      <c r="AX500" s="66">
        <v>24000</v>
      </c>
      <c r="AZ500" s="15" t="s">
        <v>337</v>
      </c>
      <c r="BA500" s="249">
        <f t="shared" si="15"/>
        <v>3</v>
      </c>
      <c r="BB500" s="249">
        <v>0</v>
      </c>
      <c r="BC500" s="249">
        <f t="shared" si="14"/>
        <v>1993</v>
      </c>
    </row>
    <row r="501" spans="1:55" x14ac:dyDescent="0.25">
      <c r="A501" s="51" t="s">
        <v>1404</v>
      </c>
      <c r="B501" s="63" t="s">
        <v>1041</v>
      </c>
      <c r="C501" s="15" t="s">
        <v>337</v>
      </c>
      <c r="D501" s="15">
        <v>1996</v>
      </c>
      <c r="E501" s="15" t="s">
        <v>349</v>
      </c>
      <c r="F501" s="15"/>
      <c r="G501" s="15"/>
      <c r="H501" s="15"/>
      <c r="I501" s="15"/>
      <c r="J501" s="16">
        <v>1020000</v>
      </c>
      <c r="K501" s="15" t="s">
        <v>328</v>
      </c>
      <c r="L501" s="15"/>
      <c r="M501" s="15"/>
      <c r="N501" s="16">
        <v>5000</v>
      </c>
      <c r="O501" s="21">
        <v>0.5</v>
      </c>
      <c r="P501" s="15">
        <v>3</v>
      </c>
      <c r="Q501" s="15">
        <v>450</v>
      </c>
      <c r="R501" s="16">
        <v>3779.9999999999995</v>
      </c>
      <c r="S501" s="15" t="s">
        <v>340</v>
      </c>
      <c r="T501" s="15">
        <v>2.8</v>
      </c>
      <c r="U501" s="15">
        <v>3</v>
      </c>
      <c r="V501" s="45">
        <v>8100</v>
      </c>
      <c r="W501" s="22">
        <v>114534</v>
      </c>
      <c r="X501" s="15"/>
      <c r="Y501" s="15" t="s">
        <v>328</v>
      </c>
      <c r="Z501" s="15"/>
      <c r="AA501" s="15"/>
      <c r="AB501" s="15"/>
      <c r="AC501" s="15"/>
      <c r="AD501" s="15" t="s">
        <v>328</v>
      </c>
      <c r="AE501" s="15" t="s">
        <v>328</v>
      </c>
      <c r="AF501" s="15"/>
      <c r="AG501" s="15" t="s">
        <v>328</v>
      </c>
      <c r="AH501" s="15" t="s">
        <v>328</v>
      </c>
      <c r="AI501" s="15"/>
      <c r="AJ501" s="15"/>
      <c r="AK501" s="15" t="s">
        <v>328</v>
      </c>
      <c r="AL501" s="15" t="s">
        <v>328</v>
      </c>
      <c r="AM501" s="15"/>
      <c r="AN501" s="16">
        <v>8000</v>
      </c>
      <c r="AO501" s="16">
        <v>16000</v>
      </c>
      <c r="AP501" s="16">
        <v>32000</v>
      </c>
      <c r="AQ501" s="16">
        <v>60000</v>
      </c>
      <c r="AR501" s="16">
        <v>8000</v>
      </c>
      <c r="AS501" s="22">
        <v>96000</v>
      </c>
      <c r="AT501" s="22">
        <v>90000</v>
      </c>
      <c r="AU501" s="22">
        <v>180000</v>
      </c>
      <c r="AV501" s="22">
        <v>24000</v>
      </c>
      <c r="AW501" s="22">
        <v>10000</v>
      </c>
      <c r="AX501" s="66">
        <v>24000</v>
      </c>
      <c r="AZ501" s="15" t="s">
        <v>337</v>
      </c>
      <c r="BA501" s="249">
        <f t="shared" si="15"/>
        <v>3</v>
      </c>
      <c r="BB501" s="249">
        <v>0</v>
      </c>
      <c r="BC501" s="249">
        <f t="shared" si="14"/>
        <v>1996</v>
      </c>
    </row>
    <row r="502" spans="1:55" x14ac:dyDescent="0.25">
      <c r="A502" s="51" t="s">
        <v>1404</v>
      </c>
      <c r="B502" s="63" t="s">
        <v>1043</v>
      </c>
      <c r="C502" s="14" t="s">
        <v>351</v>
      </c>
      <c r="D502" s="15">
        <v>1983</v>
      </c>
      <c r="E502" s="15" t="s">
        <v>456</v>
      </c>
      <c r="F502" s="15"/>
      <c r="G502" s="15"/>
      <c r="H502" s="15"/>
      <c r="I502" s="15"/>
      <c r="J502" s="16">
        <v>2520000</v>
      </c>
      <c r="K502" s="15" t="s">
        <v>328</v>
      </c>
      <c r="L502" s="15"/>
      <c r="M502" s="15"/>
      <c r="N502" s="16">
        <v>7000</v>
      </c>
      <c r="O502" s="21">
        <v>0.5</v>
      </c>
      <c r="P502" s="15">
        <v>2</v>
      </c>
      <c r="Q502" s="15">
        <v>500</v>
      </c>
      <c r="R502" s="16">
        <v>2300</v>
      </c>
      <c r="S502" s="15" t="s">
        <v>340</v>
      </c>
      <c r="T502" s="15">
        <v>2.2999999999999998</v>
      </c>
      <c r="U502" s="15">
        <v>2.8</v>
      </c>
      <c r="V502" s="45">
        <v>8000</v>
      </c>
      <c r="W502" s="22">
        <v>113120</v>
      </c>
      <c r="X502" s="15"/>
      <c r="Y502" s="15" t="s">
        <v>328</v>
      </c>
      <c r="Z502" s="15"/>
      <c r="AA502" s="15"/>
      <c r="AB502" s="15"/>
      <c r="AC502" s="15"/>
      <c r="AD502" s="15"/>
      <c r="AE502" s="15"/>
      <c r="AF502" s="15"/>
      <c r="AG502" s="15" t="s">
        <v>328</v>
      </c>
      <c r="AH502" s="15"/>
      <c r="AI502" s="15"/>
      <c r="AJ502" s="15"/>
      <c r="AK502" s="15" t="s">
        <v>328</v>
      </c>
      <c r="AL502" s="15" t="s">
        <v>328</v>
      </c>
      <c r="AM502" s="15"/>
      <c r="AN502" s="16">
        <v>15000</v>
      </c>
      <c r="AO502" s="16">
        <v>15000</v>
      </c>
      <c r="AP502" s="16">
        <v>30000</v>
      </c>
      <c r="AQ502" s="16">
        <v>168000</v>
      </c>
      <c r="AR502" s="16">
        <v>15000</v>
      </c>
      <c r="AS502" s="22">
        <v>84000</v>
      </c>
      <c r="AT502" s="22">
        <v>72000</v>
      </c>
      <c r="AU502" s="22">
        <v>50000</v>
      </c>
      <c r="AV502" s="22">
        <v>45000</v>
      </c>
      <c r="AW502" s="22">
        <v>7000</v>
      </c>
      <c r="AX502" s="66">
        <v>0</v>
      </c>
      <c r="AZ502" s="15" t="s">
        <v>351</v>
      </c>
      <c r="BA502" s="249">
        <f t="shared" si="15"/>
        <v>2</v>
      </c>
      <c r="BB502" s="249">
        <v>0</v>
      </c>
      <c r="BC502" s="249">
        <f t="shared" si="14"/>
        <v>1983</v>
      </c>
    </row>
    <row r="503" spans="1:55" x14ac:dyDescent="0.25">
      <c r="A503" s="51" t="s">
        <v>1404</v>
      </c>
      <c r="B503" s="63" t="s">
        <v>1043</v>
      </c>
      <c r="C503" s="14" t="s">
        <v>351</v>
      </c>
      <c r="D503" s="15">
        <v>1983</v>
      </c>
      <c r="E503" s="15" t="s">
        <v>456</v>
      </c>
      <c r="F503" s="15"/>
      <c r="G503" s="15"/>
      <c r="H503" s="15"/>
      <c r="I503" s="15"/>
      <c r="J503" s="16">
        <v>2520000</v>
      </c>
      <c r="K503" s="15" t="s">
        <v>328</v>
      </c>
      <c r="L503" s="15"/>
      <c r="M503" s="15"/>
      <c r="N503" s="16">
        <v>7000</v>
      </c>
      <c r="O503" s="21">
        <v>0.5</v>
      </c>
      <c r="P503" s="15">
        <v>2</v>
      </c>
      <c r="Q503" s="15">
        <v>500</v>
      </c>
      <c r="R503" s="16">
        <v>2300</v>
      </c>
      <c r="S503" s="15" t="s">
        <v>340</v>
      </c>
      <c r="T503" s="15">
        <v>2.2999999999999998</v>
      </c>
      <c r="U503" s="15">
        <v>2.8</v>
      </c>
      <c r="V503" s="45">
        <v>8000</v>
      </c>
      <c r="W503" s="22">
        <v>113120</v>
      </c>
      <c r="X503" s="15"/>
      <c r="Y503" s="15" t="s">
        <v>328</v>
      </c>
      <c r="Z503" s="15"/>
      <c r="AA503" s="15"/>
      <c r="AB503" s="15"/>
      <c r="AC503" s="15"/>
      <c r="AD503" s="15"/>
      <c r="AE503" s="15"/>
      <c r="AF503" s="15"/>
      <c r="AG503" s="15" t="s">
        <v>328</v>
      </c>
      <c r="AH503" s="15"/>
      <c r="AI503" s="15"/>
      <c r="AJ503" s="15"/>
      <c r="AK503" s="15" t="s">
        <v>328</v>
      </c>
      <c r="AL503" s="15" t="s">
        <v>328</v>
      </c>
      <c r="AM503" s="15"/>
      <c r="AN503" s="16">
        <v>15000</v>
      </c>
      <c r="AO503" s="16">
        <v>15000</v>
      </c>
      <c r="AP503" s="16">
        <v>30000</v>
      </c>
      <c r="AQ503" s="16">
        <v>168000</v>
      </c>
      <c r="AR503" s="16">
        <v>15000</v>
      </c>
      <c r="AS503" s="22">
        <v>84000</v>
      </c>
      <c r="AT503" s="22">
        <v>72000</v>
      </c>
      <c r="AU503" s="22">
        <v>50000</v>
      </c>
      <c r="AV503" s="22">
        <v>45000</v>
      </c>
      <c r="AW503" s="22">
        <v>7000</v>
      </c>
      <c r="AX503" s="66">
        <v>0</v>
      </c>
      <c r="AZ503" s="15" t="s">
        <v>351</v>
      </c>
      <c r="BA503" s="249">
        <f t="shared" si="15"/>
        <v>2</v>
      </c>
      <c r="BB503" s="249">
        <v>0</v>
      </c>
      <c r="BC503" s="249">
        <f t="shared" si="14"/>
        <v>1983</v>
      </c>
    </row>
    <row r="504" spans="1:55" x14ac:dyDescent="0.25">
      <c r="A504" s="51" t="s">
        <v>1856</v>
      </c>
      <c r="B504" s="63" t="s">
        <v>1044</v>
      </c>
      <c r="C504" s="14" t="s">
        <v>351</v>
      </c>
      <c r="D504" s="15">
        <v>1995</v>
      </c>
      <c r="E504" s="15" t="s">
        <v>477</v>
      </c>
      <c r="F504" s="15"/>
      <c r="G504" s="15"/>
      <c r="H504" s="15"/>
      <c r="I504" s="15"/>
      <c r="J504" s="16">
        <v>1512000</v>
      </c>
      <c r="K504" s="15"/>
      <c r="L504" s="15"/>
      <c r="M504" s="15" t="s">
        <v>328</v>
      </c>
      <c r="N504" s="16">
        <v>7000</v>
      </c>
      <c r="O504" s="21">
        <v>0.1</v>
      </c>
      <c r="P504" s="15">
        <v>2</v>
      </c>
      <c r="Q504" s="15">
        <v>500</v>
      </c>
      <c r="R504" s="16">
        <v>3200</v>
      </c>
      <c r="S504" s="15" t="s">
        <v>340</v>
      </c>
      <c r="T504" s="15">
        <v>3.2</v>
      </c>
      <c r="U504" s="15">
        <v>3.7</v>
      </c>
      <c r="V504" s="45">
        <v>25000</v>
      </c>
      <c r="W504" s="22">
        <v>353500</v>
      </c>
      <c r="X504" s="15"/>
      <c r="Y504" s="15" t="s">
        <v>328</v>
      </c>
      <c r="Z504" s="15"/>
      <c r="AA504" s="15"/>
      <c r="AB504" s="15"/>
      <c r="AC504" s="15"/>
      <c r="AD504" s="15" t="s">
        <v>332</v>
      </c>
      <c r="AE504" s="15"/>
      <c r="AF504" s="15"/>
      <c r="AG504" s="15"/>
      <c r="AH504" s="15"/>
      <c r="AI504" s="15"/>
      <c r="AJ504" s="15"/>
      <c r="AK504" s="15"/>
      <c r="AL504" s="15"/>
      <c r="AM504" s="15"/>
      <c r="AN504" s="16">
        <v>21000</v>
      </c>
      <c r="AO504" s="16">
        <v>21000</v>
      </c>
      <c r="AP504" s="16">
        <v>80000</v>
      </c>
      <c r="AQ504" s="16">
        <v>140000</v>
      </c>
      <c r="AR504" s="16">
        <v>21000</v>
      </c>
      <c r="AS504" s="22">
        <v>0</v>
      </c>
      <c r="AT504" s="22">
        <v>0</v>
      </c>
      <c r="AU504" s="22">
        <v>42000</v>
      </c>
      <c r="AV504" s="22">
        <v>24000</v>
      </c>
      <c r="AW504" s="22">
        <v>0</v>
      </c>
      <c r="AX504" s="66">
        <v>0</v>
      </c>
      <c r="AY504" s="17" t="s">
        <v>1129</v>
      </c>
      <c r="AZ504" s="15" t="s">
        <v>351</v>
      </c>
      <c r="BA504" s="249">
        <f t="shared" si="15"/>
        <v>1</v>
      </c>
      <c r="BB504" s="249">
        <v>0</v>
      </c>
      <c r="BC504" s="249">
        <f t="shared" si="14"/>
        <v>1995</v>
      </c>
    </row>
    <row r="505" spans="1:55" x14ac:dyDescent="0.25">
      <c r="A505" s="51" t="s">
        <v>1856</v>
      </c>
      <c r="B505" s="63" t="s">
        <v>1046</v>
      </c>
      <c r="C505" s="14" t="s">
        <v>351</v>
      </c>
      <c r="D505" s="15">
        <v>2004</v>
      </c>
      <c r="E505" s="15" t="s">
        <v>407</v>
      </c>
      <c r="F505" s="15"/>
      <c r="G505" s="15"/>
      <c r="H505" s="15"/>
      <c r="I505" s="15"/>
      <c r="J505" s="16">
        <v>582717</v>
      </c>
      <c r="K505" s="15"/>
      <c r="L505" s="15" t="s">
        <v>328</v>
      </c>
      <c r="M505" s="15"/>
      <c r="N505" s="16">
        <v>4000</v>
      </c>
      <c r="O505" s="21">
        <v>0.2</v>
      </c>
      <c r="P505" s="15">
        <v>2</v>
      </c>
      <c r="Q505" s="15">
        <v>900</v>
      </c>
      <c r="R505" s="16">
        <v>5760</v>
      </c>
      <c r="S505" s="15" t="s">
        <v>340</v>
      </c>
      <c r="T505" s="15">
        <v>3.2</v>
      </c>
      <c r="U505" s="15">
        <v>3.9</v>
      </c>
      <c r="V505" s="45">
        <v>15000</v>
      </c>
      <c r="W505" s="22">
        <v>212100</v>
      </c>
      <c r="X505" s="15"/>
      <c r="Y505" s="15"/>
      <c r="Z505" s="15"/>
      <c r="AA505" s="15"/>
      <c r="AB505" s="15" t="s">
        <v>328</v>
      </c>
      <c r="AC505" s="15"/>
      <c r="AD505" s="15" t="s">
        <v>332</v>
      </c>
      <c r="AE505" s="15"/>
      <c r="AF505" s="15"/>
      <c r="AG505" s="15"/>
      <c r="AH505" s="15"/>
      <c r="AI505" s="15"/>
      <c r="AJ505" s="15"/>
      <c r="AK505" s="15"/>
      <c r="AL505" s="15"/>
      <c r="AM505" s="15"/>
      <c r="AN505" s="16">
        <v>24000</v>
      </c>
      <c r="AO505" s="16">
        <v>24000</v>
      </c>
      <c r="AP505" s="16">
        <v>200000</v>
      </c>
      <c r="AQ505" s="16">
        <v>120000</v>
      </c>
      <c r="AR505" s="16">
        <v>24000</v>
      </c>
      <c r="AS505" s="22">
        <v>0</v>
      </c>
      <c r="AT505" s="22">
        <v>0</v>
      </c>
      <c r="AU505" s="22">
        <v>25000</v>
      </c>
      <c r="AV505" s="22">
        <v>20000</v>
      </c>
      <c r="AW505" s="22">
        <v>12000</v>
      </c>
      <c r="AX505" s="66">
        <v>0</v>
      </c>
      <c r="AY505" s="17" t="s">
        <v>688</v>
      </c>
      <c r="AZ505" s="15" t="s">
        <v>351</v>
      </c>
      <c r="BA505" s="249">
        <f t="shared" si="15"/>
        <v>1</v>
      </c>
      <c r="BB505" s="249">
        <v>0</v>
      </c>
      <c r="BC505" s="249">
        <f t="shared" si="14"/>
        <v>2004</v>
      </c>
    </row>
    <row r="506" spans="1:55" x14ac:dyDescent="0.25">
      <c r="A506" s="51" t="s">
        <v>1856</v>
      </c>
      <c r="B506" s="63" t="s">
        <v>1048</v>
      </c>
      <c r="C506" s="15" t="s">
        <v>348</v>
      </c>
      <c r="D506" s="15">
        <v>1990</v>
      </c>
      <c r="E506" s="15" t="s">
        <v>367</v>
      </c>
      <c r="F506" s="15"/>
      <c r="G506" s="15"/>
      <c r="H506" s="15"/>
      <c r="I506" s="15"/>
      <c r="J506" s="16">
        <v>883200</v>
      </c>
      <c r="K506" s="15"/>
      <c r="L506" s="15"/>
      <c r="M506" s="15" t="s">
        <v>328</v>
      </c>
      <c r="N506" s="16">
        <v>3200</v>
      </c>
      <c r="O506" s="21">
        <v>0.2</v>
      </c>
      <c r="P506" s="15">
        <v>1</v>
      </c>
      <c r="Q506" s="15">
        <v>175</v>
      </c>
      <c r="R506" s="16">
        <v>770.00000000000011</v>
      </c>
      <c r="S506" s="15" t="s">
        <v>371</v>
      </c>
      <c r="T506" s="15">
        <v>4.4000000000000004</v>
      </c>
      <c r="U506" s="15">
        <v>4.5999999999999996</v>
      </c>
      <c r="V506" s="46">
        <v>8000</v>
      </c>
      <c r="W506" s="22">
        <v>113120</v>
      </c>
      <c r="X506" s="15"/>
      <c r="Y506" s="15" t="s">
        <v>328</v>
      </c>
      <c r="Z506" s="15"/>
      <c r="AA506" s="15"/>
      <c r="AB506" s="15"/>
      <c r="AC506" s="15"/>
      <c r="AD506" s="15" t="s">
        <v>332</v>
      </c>
      <c r="AE506" s="15"/>
      <c r="AF506" s="15"/>
      <c r="AG506" s="15"/>
      <c r="AH506" s="15"/>
      <c r="AI506" s="15"/>
      <c r="AJ506" s="15"/>
      <c r="AK506" s="15"/>
      <c r="AL506" s="15"/>
      <c r="AM506" s="15"/>
      <c r="AN506" s="16">
        <v>25000</v>
      </c>
      <c r="AO506" s="16">
        <v>25000</v>
      </c>
      <c r="AP506" s="16">
        <v>120000</v>
      </c>
      <c r="AQ506" s="16">
        <v>140000</v>
      </c>
      <c r="AR506" s="13" t="s">
        <v>385</v>
      </c>
      <c r="AS506" s="22">
        <v>0</v>
      </c>
      <c r="AT506" s="22">
        <v>0</v>
      </c>
      <c r="AU506" s="22">
        <v>30000</v>
      </c>
      <c r="AV506" s="22">
        <v>24000</v>
      </c>
      <c r="AW506" s="22">
        <v>0</v>
      </c>
      <c r="AX506" s="66">
        <v>0</v>
      </c>
      <c r="AY506" s="17" t="s">
        <v>687</v>
      </c>
      <c r="AZ506" s="15" t="s">
        <v>348</v>
      </c>
      <c r="BA506" s="249">
        <f t="shared" si="15"/>
        <v>2</v>
      </c>
      <c r="BB506" s="249">
        <v>0</v>
      </c>
      <c r="BC506" s="249">
        <f t="shared" si="14"/>
        <v>1990</v>
      </c>
    </row>
    <row r="507" spans="1:55" x14ac:dyDescent="0.25">
      <c r="A507" s="51" t="s">
        <v>1856</v>
      </c>
      <c r="B507" s="63" t="s">
        <v>1048</v>
      </c>
      <c r="C507" s="15" t="s">
        <v>348</v>
      </c>
      <c r="D507" s="15">
        <v>1997</v>
      </c>
      <c r="E507" s="15" t="s">
        <v>349</v>
      </c>
      <c r="F507" s="15"/>
      <c r="G507" s="15"/>
      <c r="H507" s="15"/>
      <c r="I507" s="15"/>
      <c r="J507" s="16">
        <v>697235</v>
      </c>
      <c r="K507" s="15"/>
      <c r="L507" s="15"/>
      <c r="M507" s="15" t="s">
        <v>328</v>
      </c>
      <c r="N507" s="16">
        <v>3200</v>
      </c>
      <c r="O507" s="21">
        <v>0.2</v>
      </c>
      <c r="P507" s="15">
        <v>1</v>
      </c>
      <c r="Q507" s="15">
        <v>200</v>
      </c>
      <c r="R507" s="16">
        <v>780</v>
      </c>
      <c r="S507" s="15" t="s">
        <v>340</v>
      </c>
      <c r="T507" s="15">
        <v>3.9</v>
      </c>
      <c r="U507" s="15">
        <v>4.0999999999999996</v>
      </c>
      <c r="V507" s="46">
        <v>10000</v>
      </c>
      <c r="W507" s="22">
        <v>141400</v>
      </c>
      <c r="X507" s="15"/>
      <c r="Y507" s="15" t="s">
        <v>328</v>
      </c>
      <c r="Z507" s="15"/>
      <c r="AA507" s="15"/>
      <c r="AB507" s="15"/>
      <c r="AC507" s="15"/>
      <c r="AD507" s="15" t="s">
        <v>332</v>
      </c>
      <c r="AE507" s="15"/>
      <c r="AF507" s="15"/>
      <c r="AG507" s="15"/>
      <c r="AH507" s="15"/>
      <c r="AI507" s="15"/>
      <c r="AJ507" s="15"/>
      <c r="AK507" s="15"/>
      <c r="AL507" s="15"/>
      <c r="AM507" s="15"/>
      <c r="AN507" s="16">
        <v>30000</v>
      </c>
      <c r="AO507" s="16">
        <v>30000</v>
      </c>
      <c r="AP507" s="16">
        <v>70000</v>
      </c>
      <c r="AQ507" s="16">
        <v>100000</v>
      </c>
      <c r="AR507" s="16">
        <v>30000</v>
      </c>
      <c r="AS507" s="22">
        <v>0</v>
      </c>
      <c r="AT507" s="22">
        <v>0</v>
      </c>
      <c r="AU507" s="22">
        <v>36000</v>
      </c>
      <c r="AV507" s="22">
        <v>24000</v>
      </c>
      <c r="AW507" s="22">
        <v>0</v>
      </c>
      <c r="AX507" s="66">
        <v>0</v>
      </c>
      <c r="AY507" s="17" t="s">
        <v>701</v>
      </c>
      <c r="AZ507" s="15" t="s">
        <v>348</v>
      </c>
      <c r="BA507" s="249">
        <f t="shared" si="15"/>
        <v>2</v>
      </c>
      <c r="BB507" s="249">
        <v>0</v>
      </c>
      <c r="BC507" s="249">
        <f t="shared" si="14"/>
        <v>1997</v>
      </c>
    </row>
    <row r="508" spans="1:55" x14ac:dyDescent="0.25">
      <c r="A508" s="51" t="s">
        <v>1856</v>
      </c>
      <c r="B508" s="63" t="s">
        <v>1050</v>
      </c>
      <c r="C508" s="14" t="s">
        <v>351</v>
      </c>
      <c r="D508" s="15">
        <v>1980</v>
      </c>
      <c r="E508" s="15" t="s">
        <v>690</v>
      </c>
      <c r="F508" s="15"/>
      <c r="G508" s="15"/>
      <c r="H508" s="15"/>
      <c r="I508" s="15"/>
      <c r="J508" s="16">
        <v>712800</v>
      </c>
      <c r="K508" s="15"/>
      <c r="L508" s="15"/>
      <c r="M508" s="15" t="s">
        <v>328</v>
      </c>
      <c r="N508" s="16">
        <v>1800</v>
      </c>
      <c r="O508" s="21">
        <v>0.2</v>
      </c>
      <c r="P508" s="15">
        <v>2</v>
      </c>
      <c r="Q508" s="15">
        <v>375</v>
      </c>
      <c r="R508" s="16">
        <v>2325</v>
      </c>
      <c r="S508" s="15" t="s">
        <v>340</v>
      </c>
      <c r="T508" s="15">
        <v>3.1</v>
      </c>
      <c r="U508" s="15">
        <v>3.6</v>
      </c>
      <c r="V508" s="46">
        <v>7000</v>
      </c>
      <c r="W508" s="22">
        <v>98980</v>
      </c>
      <c r="X508" s="15"/>
      <c r="Y508" s="15" t="s">
        <v>328</v>
      </c>
      <c r="Z508" s="15"/>
      <c r="AA508" s="15"/>
      <c r="AB508" s="15"/>
      <c r="AC508" s="15"/>
      <c r="AD508" s="15" t="s">
        <v>332</v>
      </c>
      <c r="AE508" s="15"/>
      <c r="AF508" s="15"/>
      <c r="AG508" s="15"/>
      <c r="AH508" s="15"/>
      <c r="AI508" s="15"/>
      <c r="AJ508" s="15"/>
      <c r="AK508" s="15"/>
      <c r="AL508" s="15"/>
      <c r="AM508" s="15"/>
      <c r="AN508" s="16">
        <v>20000</v>
      </c>
      <c r="AO508" s="16">
        <v>20000</v>
      </c>
      <c r="AP508" s="16">
        <v>80000</v>
      </c>
      <c r="AQ508" s="16">
        <v>95000</v>
      </c>
      <c r="AR508" s="16">
        <v>20000</v>
      </c>
      <c r="AS508" s="22">
        <v>0</v>
      </c>
      <c r="AT508" s="22">
        <v>0</v>
      </c>
      <c r="AU508" s="22">
        <v>6000</v>
      </c>
      <c r="AV508" s="22">
        <v>18000</v>
      </c>
      <c r="AW508" s="22">
        <v>0</v>
      </c>
      <c r="AX508" s="66">
        <v>0</v>
      </c>
      <c r="AY508" s="17" t="s">
        <v>694</v>
      </c>
      <c r="AZ508" s="15" t="s">
        <v>351</v>
      </c>
      <c r="BA508" s="249">
        <f t="shared" si="15"/>
        <v>1</v>
      </c>
      <c r="BB508" s="249">
        <v>0</v>
      </c>
      <c r="BC508" s="249">
        <f t="shared" si="14"/>
        <v>1980</v>
      </c>
    </row>
    <row r="509" spans="1:55" x14ac:dyDescent="0.25">
      <c r="A509" s="51" t="s">
        <v>1856</v>
      </c>
      <c r="B509" s="63" t="s">
        <v>1052</v>
      </c>
      <c r="C509" s="15" t="s">
        <v>348</v>
      </c>
      <c r="D509" s="15">
        <v>2004</v>
      </c>
      <c r="E509" s="15" t="s">
        <v>349</v>
      </c>
      <c r="F509" s="15"/>
      <c r="G509" s="15"/>
      <c r="H509" s="15"/>
      <c r="I509" s="15"/>
      <c r="J509" s="16">
        <v>917867</v>
      </c>
      <c r="K509" s="15"/>
      <c r="L509" s="15" t="s">
        <v>328</v>
      </c>
      <c r="M509" s="15"/>
      <c r="N509" s="16">
        <v>9200</v>
      </c>
      <c r="O509" s="21">
        <v>0</v>
      </c>
      <c r="P509" s="15">
        <v>2</v>
      </c>
      <c r="Q509" s="15">
        <v>800</v>
      </c>
      <c r="R509" s="16">
        <v>4960</v>
      </c>
      <c r="S509" s="15" t="s">
        <v>340</v>
      </c>
      <c r="T509" s="15">
        <v>3.1</v>
      </c>
      <c r="U509" s="15">
        <v>3.7</v>
      </c>
      <c r="V509" s="46">
        <v>36000</v>
      </c>
      <c r="W509" s="22">
        <v>509040</v>
      </c>
      <c r="X509" s="15"/>
      <c r="Y509" s="15"/>
      <c r="Z509" s="15"/>
      <c r="AA509" s="15"/>
      <c r="AB509" s="15" t="s">
        <v>328</v>
      </c>
      <c r="AC509" s="15"/>
      <c r="AD509" s="15" t="s">
        <v>328</v>
      </c>
      <c r="AE509" s="15"/>
      <c r="AF509" s="15"/>
      <c r="AG509" s="15"/>
      <c r="AH509" s="15"/>
      <c r="AI509" s="15"/>
      <c r="AJ509" s="15"/>
      <c r="AK509" s="15"/>
      <c r="AL509" s="15"/>
      <c r="AM509" s="15"/>
      <c r="AN509" s="16">
        <v>27000</v>
      </c>
      <c r="AO509" s="16">
        <v>27000</v>
      </c>
      <c r="AP509" s="16">
        <v>110000</v>
      </c>
      <c r="AQ509" s="16">
        <v>110000</v>
      </c>
      <c r="AR509" s="16">
        <v>27000</v>
      </c>
      <c r="AS509" s="22">
        <v>0</v>
      </c>
      <c r="AT509" s="22">
        <v>0</v>
      </c>
      <c r="AU509" s="22">
        <v>50000</v>
      </c>
      <c r="AV509" s="22">
        <v>20000</v>
      </c>
      <c r="AW509" s="22">
        <v>23000</v>
      </c>
      <c r="AX509" s="66">
        <v>0</v>
      </c>
      <c r="AY509" s="17" t="s">
        <v>701</v>
      </c>
      <c r="AZ509" s="15" t="s">
        <v>348</v>
      </c>
      <c r="BA509" s="249">
        <f t="shared" si="15"/>
        <v>1</v>
      </c>
      <c r="BB509" s="249">
        <v>0</v>
      </c>
      <c r="BC509" s="249">
        <f t="shared" si="14"/>
        <v>2004</v>
      </c>
    </row>
    <row r="510" spans="1:55" x14ac:dyDescent="0.25">
      <c r="A510" s="51" t="s">
        <v>1856</v>
      </c>
      <c r="B510" s="63" t="s">
        <v>1054</v>
      </c>
      <c r="C510" s="15" t="s">
        <v>348</v>
      </c>
      <c r="D510" s="15">
        <v>1998</v>
      </c>
      <c r="E510" s="15" t="s">
        <v>477</v>
      </c>
      <c r="F510" s="15"/>
      <c r="G510" s="15"/>
      <c r="H510" s="15"/>
      <c r="I510" s="15"/>
      <c r="J510" s="16">
        <v>719323</v>
      </c>
      <c r="K510" s="15"/>
      <c r="L510" s="15"/>
      <c r="M510" s="15" t="s">
        <v>328</v>
      </c>
      <c r="N510" s="16">
        <v>4000</v>
      </c>
      <c r="O510" s="21">
        <v>0.2</v>
      </c>
      <c r="P510" s="15">
        <v>2</v>
      </c>
      <c r="Q510" s="15">
        <v>400</v>
      </c>
      <c r="R510" s="16">
        <v>3040</v>
      </c>
      <c r="S510" s="15" t="s">
        <v>340</v>
      </c>
      <c r="T510" s="15">
        <v>3.8</v>
      </c>
      <c r="U510" s="15">
        <v>4.0999999999999996</v>
      </c>
      <c r="V510" s="46">
        <v>13000</v>
      </c>
      <c r="W510" s="22">
        <v>183820</v>
      </c>
      <c r="X510" s="15"/>
      <c r="Y510" s="15"/>
      <c r="Z510" s="15"/>
      <c r="AA510" s="15"/>
      <c r="AB510" s="15" t="s">
        <v>328</v>
      </c>
      <c r="AC510" s="15"/>
      <c r="AD510" s="15" t="s">
        <v>328</v>
      </c>
      <c r="AE510" s="15"/>
      <c r="AF510" s="15"/>
      <c r="AG510" s="15"/>
      <c r="AH510" s="15"/>
      <c r="AI510" s="15"/>
      <c r="AJ510" s="15"/>
      <c r="AK510" s="15"/>
      <c r="AL510" s="15"/>
      <c r="AM510" s="15"/>
      <c r="AN510" s="16">
        <v>24000</v>
      </c>
      <c r="AO510" s="16">
        <v>24000</v>
      </c>
      <c r="AP510" s="16">
        <v>120000</v>
      </c>
      <c r="AQ510" s="16">
        <v>120000</v>
      </c>
      <c r="AR510" s="16">
        <v>24000</v>
      </c>
      <c r="AS510" s="22">
        <v>0</v>
      </c>
      <c r="AT510" s="22">
        <v>0</v>
      </c>
      <c r="AU510" s="22">
        <v>18000</v>
      </c>
      <c r="AV510" s="22">
        <v>18000</v>
      </c>
      <c r="AW510" s="22">
        <v>21600</v>
      </c>
      <c r="AX510" s="66">
        <v>0</v>
      </c>
      <c r="AY510" s="17" t="s">
        <v>706</v>
      </c>
      <c r="AZ510" s="15" t="s">
        <v>348</v>
      </c>
      <c r="BA510" s="249">
        <f t="shared" si="15"/>
        <v>1</v>
      </c>
      <c r="BB510" s="249">
        <v>0</v>
      </c>
      <c r="BC510" s="249">
        <f t="shared" si="14"/>
        <v>1998</v>
      </c>
    </row>
    <row r="511" spans="1:55" x14ac:dyDescent="0.25">
      <c r="A511" s="51" t="s">
        <v>1856</v>
      </c>
      <c r="B511" s="63" t="s">
        <v>1055</v>
      </c>
      <c r="C511" s="14" t="s">
        <v>351</v>
      </c>
      <c r="D511" s="15">
        <v>1995</v>
      </c>
      <c r="E511" s="15" t="s">
        <v>407</v>
      </c>
      <c r="F511" s="15"/>
      <c r="G511" s="15"/>
      <c r="H511" s="15"/>
      <c r="I511" s="15"/>
      <c r="J511" s="16">
        <v>975102</v>
      </c>
      <c r="K511" s="15"/>
      <c r="L511" s="15"/>
      <c r="M511" s="15" t="s">
        <v>328</v>
      </c>
      <c r="N511" s="16">
        <v>5000</v>
      </c>
      <c r="O511" s="21">
        <v>0</v>
      </c>
      <c r="P511" s="15">
        <v>2</v>
      </c>
      <c r="Q511" s="15">
        <v>900</v>
      </c>
      <c r="R511" s="16">
        <v>5580</v>
      </c>
      <c r="S511" s="15" t="s">
        <v>340</v>
      </c>
      <c r="T511" s="15">
        <v>3.1</v>
      </c>
      <c r="U511" s="15">
        <v>3.7</v>
      </c>
      <c r="V511" s="46">
        <v>20000</v>
      </c>
      <c r="W511" s="22">
        <v>282800</v>
      </c>
      <c r="X511" s="15"/>
      <c r="Y511" s="15"/>
      <c r="Z511" s="15"/>
      <c r="AA511" s="15"/>
      <c r="AB511" s="15" t="s">
        <v>328</v>
      </c>
      <c r="AC511" s="15"/>
      <c r="AD511" s="15" t="s">
        <v>328</v>
      </c>
      <c r="AE511" s="15"/>
      <c r="AF511" s="15"/>
      <c r="AG511" s="15"/>
      <c r="AH511" s="15"/>
      <c r="AI511" s="15"/>
      <c r="AJ511" s="15"/>
      <c r="AK511" s="15"/>
      <c r="AL511" s="15"/>
      <c r="AM511" s="15"/>
      <c r="AN511" s="16">
        <v>25000</v>
      </c>
      <c r="AO511" s="16">
        <v>25000</v>
      </c>
      <c r="AP511" s="16">
        <v>150000</v>
      </c>
      <c r="AQ511" s="16">
        <v>130000</v>
      </c>
      <c r="AR511" s="16">
        <v>25000</v>
      </c>
      <c r="AS511" s="22">
        <v>96000</v>
      </c>
      <c r="AT511" s="22">
        <v>48000</v>
      </c>
      <c r="AU511" s="22">
        <v>48000</v>
      </c>
      <c r="AV511" s="22">
        <v>24000</v>
      </c>
      <c r="AW511" s="22">
        <v>24000</v>
      </c>
      <c r="AX511" s="66">
        <v>0</v>
      </c>
      <c r="AY511" s="17" t="s">
        <v>583</v>
      </c>
      <c r="AZ511" s="15" t="s">
        <v>351</v>
      </c>
      <c r="BA511" s="249">
        <f t="shared" si="15"/>
        <v>2</v>
      </c>
      <c r="BB511" s="249">
        <v>0</v>
      </c>
      <c r="BC511" s="249">
        <f t="shared" si="14"/>
        <v>1995</v>
      </c>
    </row>
    <row r="512" spans="1:55" x14ac:dyDescent="0.25">
      <c r="A512" s="51" t="s">
        <v>1856</v>
      </c>
      <c r="B512" s="63" t="s">
        <v>1055</v>
      </c>
      <c r="C512" s="14" t="s">
        <v>351</v>
      </c>
      <c r="D512" s="15">
        <v>2000</v>
      </c>
      <c r="E512" s="15" t="s">
        <v>407</v>
      </c>
      <c r="F512" s="15"/>
      <c r="G512" s="15"/>
      <c r="H512" s="15"/>
      <c r="I512" s="15"/>
      <c r="J512" s="16">
        <v>753301</v>
      </c>
      <c r="K512" s="15"/>
      <c r="L512" s="15" t="s">
        <v>328</v>
      </c>
      <c r="M512" s="15"/>
      <c r="N512" s="16">
        <v>5000</v>
      </c>
      <c r="O512" s="21">
        <v>0</v>
      </c>
      <c r="P512" s="15">
        <v>2</v>
      </c>
      <c r="Q512" s="15">
        <v>900</v>
      </c>
      <c r="R512" s="16">
        <v>5580</v>
      </c>
      <c r="S512" s="15" t="s">
        <v>340</v>
      </c>
      <c r="T512" s="15">
        <v>3.1</v>
      </c>
      <c r="U512" s="15">
        <v>3.7</v>
      </c>
      <c r="V512" s="46">
        <v>20000</v>
      </c>
      <c r="W512" s="22">
        <v>282800</v>
      </c>
      <c r="X512" s="15"/>
      <c r="Y512" s="15"/>
      <c r="Z512" s="15"/>
      <c r="AA512" s="15"/>
      <c r="AB512" s="15" t="s">
        <v>328</v>
      </c>
      <c r="AC512" s="15"/>
      <c r="AD512" s="15" t="s">
        <v>328</v>
      </c>
      <c r="AE512" s="15"/>
      <c r="AF512" s="15"/>
      <c r="AG512" s="15"/>
      <c r="AH512" s="15"/>
      <c r="AI512" s="15"/>
      <c r="AJ512" s="15"/>
      <c r="AK512" s="15"/>
      <c r="AL512" s="15"/>
      <c r="AM512" s="15"/>
      <c r="AN512" s="16">
        <v>25000</v>
      </c>
      <c r="AO512" s="16">
        <v>25000</v>
      </c>
      <c r="AP512" s="16">
        <v>150000</v>
      </c>
      <c r="AQ512" s="16">
        <v>130000</v>
      </c>
      <c r="AR512" s="16">
        <v>25000</v>
      </c>
      <c r="AS512" s="22">
        <v>0</v>
      </c>
      <c r="AT512" s="22">
        <v>48000</v>
      </c>
      <c r="AU512" s="22">
        <v>48000</v>
      </c>
      <c r="AV512" s="22">
        <v>24000</v>
      </c>
      <c r="AW512" s="22">
        <v>24000</v>
      </c>
      <c r="AX512" s="66">
        <v>0</v>
      </c>
      <c r="AY512" s="17" t="s">
        <v>583</v>
      </c>
      <c r="AZ512" s="15" t="s">
        <v>351</v>
      </c>
      <c r="BA512" s="249">
        <f t="shared" si="15"/>
        <v>2</v>
      </c>
      <c r="BB512" s="249">
        <v>0</v>
      </c>
      <c r="BC512" s="249">
        <f t="shared" si="14"/>
        <v>2000</v>
      </c>
    </row>
    <row r="513" spans="1:55" x14ac:dyDescent="0.25">
      <c r="A513" s="51" t="s">
        <v>1856</v>
      </c>
      <c r="B513" s="63" t="s">
        <v>1057</v>
      </c>
      <c r="C513" s="14" t="s">
        <v>351</v>
      </c>
      <c r="D513" s="15">
        <v>1997</v>
      </c>
      <c r="E513" s="15" t="s">
        <v>477</v>
      </c>
      <c r="F513" s="15"/>
      <c r="G513" s="15"/>
      <c r="H513" s="15"/>
      <c r="I513" s="15"/>
      <c r="J513" s="16">
        <v>683915</v>
      </c>
      <c r="K513" s="15"/>
      <c r="L513" s="15"/>
      <c r="M513" s="15" t="s">
        <v>328</v>
      </c>
      <c r="N513" s="16">
        <v>3600</v>
      </c>
      <c r="O513" s="21">
        <v>0.1</v>
      </c>
      <c r="P513" s="15">
        <v>2</v>
      </c>
      <c r="Q513" s="15">
        <v>850</v>
      </c>
      <c r="R513" s="16">
        <v>5100</v>
      </c>
      <c r="S513" s="15" t="s">
        <v>340</v>
      </c>
      <c r="T513" s="15">
        <v>3</v>
      </c>
      <c r="U513" s="15">
        <v>3.5</v>
      </c>
      <c r="V513" s="46">
        <v>15000</v>
      </c>
      <c r="W513" s="22">
        <v>212100</v>
      </c>
      <c r="X513" s="15"/>
      <c r="Y513" s="15"/>
      <c r="Z513" s="15"/>
      <c r="AA513" s="15"/>
      <c r="AB513" s="15" t="s">
        <v>328</v>
      </c>
      <c r="AC513" s="15"/>
      <c r="AD513" s="15" t="s">
        <v>332</v>
      </c>
      <c r="AE513" s="15"/>
      <c r="AF513" s="15"/>
      <c r="AG513" s="15"/>
      <c r="AH513" s="15"/>
      <c r="AI513" s="15"/>
      <c r="AJ513" s="15"/>
      <c r="AK513" s="15"/>
      <c r="AL513" s="15"/>
      <c r="AM513" s="15"/>
      <c r="AN513" s="16">
        <v>21500</v>
      </c>
      <c r="AO513" s="16">
        <v>21500</v>
      </c>
      <c r="AP513" s="16">
        <v>160000</v>
      </c>
      <c r="AQ513" s="16">
        <v>80000</v>
      </c>
      <c r="AR513" s="16">
        <v>21500</v>
      </c>
      <c r="AS513" s="22">
        <v>0</v>
      </c>
      <c r="AT513" s="22">
        <v>0</v>
      </c>
      <c r="AU513" s="22">
        <v>15000</v>
      </c>
      <c r="AV513" s="22">
        <v>30000</v>
      </c>
      <c r="AW513" s="22">
        <v>0</v>
      </c>
      <c r="AX513" s="66">
        <v>0</v>
      </c>
      <c r="AY513" s="17" t="s">
        <v>1129</v>
      </c>
      <c r="AZ513" s="15" t="s">
        <v>351</v>
      </c>
      <c r="BA513" s="249">
        <f t="shared" si="15"/>
        <v>1</v>
      </c>
      <c r="BB513" s="249">
        <v>0</v>
      </c>
      <c r="BC513" s="249">
        <f t="shared" si="14"/>
        <v>1997</v>
      </c>
    </row>
    <row r="514" spans="1:55" x14ac:dyDescent="0.25">
      <c r="A514" s="51" t="s">
        <v>1856</v>
      </c>
      <c r="B514" s="63" t="s">
        <v>1059</v>
      </c>
      <c r="C514" s="14" t="s">
        <v>351</v>
      </c>
      <c r="D514" s="15">
        <v>2006</v>
      </c>
      <c r="E514" s="15" t="s">
        <v>407</v>
      </c>
      <c r="F514" s="15"/>
      <c r="G514" s="15"/>
      <c r="H514" s="15"/>
      <c r="I514" s="15"/>
      <c r="J514" s="16">
        <v>491567</v>
      </c>
      <c r="K514" s="15"/>
      <c r="L514" s="15" t="s">
        <v>328</v>
      </c>
      <c r="M514" s="15"/>
      <c r="N514" s="16">
        <v>8000</v>
      </c>
      <c r="O514" s="21">
        <v>0.05</v>
      </c>
      <c r="P514" s="15">
        <v>2</v>
      </c>
      <c r="Q514" s="15">
        <v>900</v>
      </c>
      <c r="R514" s="16">
        <v>5760</v>
      </c>
      <c r="S514" s="15" t="s">
        <v>340</v>
      </c>
      <c r="T514" s="15">
        <v>3.2</v>
      </c>
      <c r="U514" s="15">
        <v>3.7</v>
      </c>
      <c r="V514" s="46">
        <v>2500</v>
      </c>
      <c r="W514" s="22">
        <v>35350</v>
      </c>
      <c r="X514" s="15"/>
      <c r="Y514" s="15"/>
      <c r="Z514" s="15"/>
      <c r="AA514" s="15"/>
      <c r="AB514" s="15" t="s">
        <v>328</v>
      </c>
      <c r="AC514" s="15"/>
      <c r="AD514" s="15" t="s">
        <v>328</v>
      </c>
      <c r="AE514" s="15"/>
      <c r="AF514" s="15"/>
      <c r="AG514" s="15"/>
      <c r="AH514" s="15"/>
      <c r="AI514" s="15"/>
      <c r="AJ514" s="15"/>
      <c r="AK514" s="15"/>
      <c r="AL514" s="15"/>
      <c r="AM514" s="15"/>
      <c r="AN514" s="16">
        <v>24000</v>
      </c>
      <c r="AO514" s="16">
        <v>24000</v>
      </c>
      <c r="AP514" s="16">
        <v>200000</v>
      </c>
      <c r="AQ514" s="16">
        <v>120000</v>
      </c>
      <c r="AR514" s="16">
        <v>24000</v>
      </c>
      <c r="AS514" s="22">
        <v>0</v>
      </c>
      <c r="AT514" s="22">
        <v>0</v>
      </c>
      <c r="AU514" s="22">
        <v>42000</v>
      </c>
      <c r="AV514" s="22">
        <v>25000</v>
      </c>
      <c r="AW514" s="22">
        <v>18000</v>
      </c>
      <c r="AX514" s="66">
        <v>0</v>
      </c>
      <c r="AY514" s="17" t="s">
        <v>688</v>
      </c>
      <c r="AZ514" s="15" t="s">
        <v>351</v>
      </c>
      <c r="BA514" s="249">
        <f t="shared" si="15"/>
        <v>1</v>
      </c>
      <c r="BB514" s="249">
        <v>0</v>
      </c>
      <c r="BC514" s="249">
        <f t="shared" si="14"/>
        <v>2006</v>
      </c>
    </row>
    <row r="515" spans="1:55" x14ac:dyDescent="0.25">
      <c r="A515" s="51" t="s">
        <v>1856</v>
      </c>
      <c r="B515" s="63" t="s">
        <v>1063</v>
      </c>
      <c r="C515" s="14" t="s">
        <v>351</v>
      </c>
      <c r="D515" s="15">
        <v>2008</v>
      </c>
      <c r="E515" s="15" t="s">
        <v>407</v>
      </c>
      <c r="F515" s="15"/>
      <c r="G515" s="15"/>
      <c r="H515" s="15"/>
      <c r="I515" s="15"/>
      <c r="J515" s="16">
        <v>402795</v>
      </c>
      <c r="K515" s="15"/>
      <c r="L515" s="15" t="s">
        <v>328</v>
      </c>
      <c r="M515" s="15"/>
      <c r="N515" s="16">
        <v>6000</v>
      </c>
      <c r="O515" s="21">
        <v>0.1</v>
      </c>
      <c r="P515" s="15">
        <v>2</v>
      </c>
      <c r="Q515" s="15">
        <v>908</v>
      </c>
      <c r="R515" s="16">
        <v>5629.6</v>
      </c>
      <c r="S515" s="15" t="s">
        <v>340</v>
      </c>
      <c r="T515" s="15">
        <v>3.1</v>
      </c>
      <c r="U515" s="15">
        <v>3.7</v>
      </c>
      <c r="V515" s="46">
        <v>23500</v>
      </c>
      <c r="W515" s="22">
        <v>332290</v>
      </c>
      <c r="X515" s="15"/>
      <c r="Y515" s="15"/>
      <c r="Z515" s="15"/>
      <c r="AA515" s="15"/>
      <c r="AB515" s="15"/>
      <c r="AC515" s="15" t="s">
        <v>328</v>
      </c>
      <c r="AD515" s="15" t="s">
        <v>328</v>
      </c>
      <c r="AE515" s="15"/>
      <c r="AF515" s="15"/>
      <c r="AG515" s="15"/>
      <c r="AH515" s="15"/>
      <c r="AI515" s="15"/>
      <c r="AJ515" s="15"/>
      <c r="AK515" s="15"/>
      <c r="AL515" s="15"/>
      <c r="AM515" s="15"/>
      <c r="AN515" s="16">
        <v>18000</v>
      </c>
      <c r="AO515" s="16">
        <v>36000</v>
      </c>
      <c r="AP515" s="16">
        <v>240000</v>
      </c>
      <c r="AQ515" s="16">
        <v>140000</v>
      </c>
      <c r="AR515" s="16">
        <v>36000</v>
      </c>
      <c r="AS515" s="22">
        <v>0</v>
      </c>
      <c r="AT515" s="22">
        <v>0</v>
      </c>
      <c r="AU515" s="22">
        <v>30000</v>
      </c>
      <c r="AV515" s="22">
        <v>20000</v>
      </c>
      <c r="AW515" s="22">
        <v>23000</v>
      </c>
      <c r="AX515" s="66">
        <v>0</v>
      </c>
      <c r="AY515" s="17" t="s">
        <v>688</v>
      </c>
      <c r="AZ515" s="15" t="s">
        <v>351</v>
      </c>
      <c r="BA515" s="249">
        <f t="shared" si="15"/>
        <v>1</v>
      </c>
      <c r="BB515" s="249">
        <v>0</v>
      </c>
      <c r="BC515" s="249">
        <f t="shared" si="14"/>
        <v>2008</v>
      </c>
    </row>
    <row r="516" spans="1:55" x14ac:dyDescent="0.25">
      <c r="A516" s="51" t="s">
        <v>1856</v>
      </c>
      <c r="B516" s="63" t="s">
        <v>1065</v>
      </c>
      <c r="C516" s="15" t="s">
        <v>337</v>
      </c>
      <c r="D516" s="15">
        <v>2001</v>
      </c>
      <c r="E516" s="15" t="s">
        <v>407</v>
      </c>
      <c r="F516" s="15"/>
      <c r="G516" s="15"/>
      <c r="H516" s="15"/>
      <c r="I516" s="15"/>
      <c r="J516" s="16">
        <v>816766</v>
      </c>
      <c r="K516" s="15"/>
      <c r="L516" s="15" t="s">
        <v>328</v>
      </c>
      <c r="M516" s="15"/>
      <c r="N516" s="16">
        <v>7000</v>
      </c>
      <c r="O516" s="21">
        <v>0.2</v>
      </c>
      <c r="P516" s="15">
        <v>2</v>
      </c>
      <c r="Q516" s="15">
        <v>950</v>
      </c>
      <c r="R516" s="16">
        <v>4560</v>
      </c>
      <c r="S516" s="15" t="s">
        <v>340</v>
      </c>
      <c r="T516" s="15">
        <v>2.4</v>
      </c>
      <c r="U516" s="15">
        <v>2.7</v>
      </c>
      <c r="V516" s="16">
        <v>35000</v>
      </c>
      <c r="W516" s="22">
        <v>494900</v>
      </c>
      <c r="X516" s="15"/>
      <c r="Y516" s="15"/>
      <c r="Z516" s="15"/>
      <c r="AA516" s="15"/>
      <c r="AB516" s="15" t="s">
        <v>328</v>
      </c>
      <c r="AC516" s="15"/>
      <c r="AD516" s="15" t="s">
        <v>328</v>
      </c>
      <c r="AE516" s="15"/>
      <c r="AF516" s="15"/>
      <c r="AG516" s="15"/>
      <c r="AH516" s="15"/>
      <c r="AI516" s="15"/>
      <c r="AJ516" s="15"/>
      <c r="AK516" s="15"/>
      <c r="AL516" s="15"/>
      <c r="AM516" s="15"/>
      <c r="AN516" s="16">
        <v>21000</v>
      </c>
      <c r="AO516" s="16">
        <v>28000</v>
      </c>
      <c r="AP516" s="16">
        <v>210000</v>
      </c>
      <c r="AQ516" s="16">
        <v>140000</v>
      </c>
      <c r="AR516" s="16">
        <v>28000</v>
      </c>
      <c r="AS516" s="22">
        <v>0</v>
      </c>
      <c r="AT516" s="22">
        <v>0</v>
      </c>
      <c r="AU516" s="22">
        <v>54000</v>
      </c>
      <c r="AV516" s="22">
        <v>30000</v>
      </c>
      <c r="AW516" s="22">
        <v>36000</v>
      </c>
      <c r="AX516" s="66">
        <v>0</v>
      </c>
      <c r="AY516" s="17" t="s">
        <v>708</v>
      </c>
      <c r="AZ516" s="15" t="s">
        <v>562</v>
      </c>
      <c r="BA516" s="249">
        <f t="shared" si="15"/>
        <v>1</v>
      </c>
      <c r="BB516" s="249">
        <v>0</v>
      </c>
      <c r="BC516" s="249">
        <f t="shared" si="14"/>
        <v>2001</v>
      </c>
    </row>
    <row r="517" spans="1:55" x14ac:dyDescent="0.25">
      <c r="A517" s="51" t="s">
        <v>1856</v>
      </c>
      <c r="B517" s="63" t="s">
        <v>1067</v>
      </c>
      <c r="C517" s="15" t="s">
        <v>348</v>
      </c>
      <c r="D517" s="15">
        <v>2005</v>
      </c>
      <c r="E517" s="15" t="s">
        <v>429</v>
      </c>
      <c r="F517" s="15"/>
      <c r="G517" s="15"/>
      <c r="H517" s="15"/>
      <c r="I517" s="15"/>
      <c r="J517" s="16">
        <v>347620</v>
      </c>
      <c r="K517" s="15" t="s">
        <v>328</v>
      </c>
      <c r="L517" s="15"/>
      <c r="M517" s="15"/>
      <c r="N517" s="16">
        <v>8000</v>
      </c>
      <c r="O517" s="21">
        <v>0.5</v>
      </c>
      <c r="P517" s="15">
        <v>1</v>
      </c>
      <c r="Q517" s="15">
        <v>175</v>
      </c>
      <c r="R517" s="16">
        <v>700</v>
      </c>
      <c r="S517" s="15" t="s">
        <v>340</v>
      </c>
      <c r="T517" s="15">
        <v>4</v>
      </c>
      <c r="U517" s="15">
        <v>4.5</v>
      </c>
      <c r="V517" s="16">
        <v>25000</v>
      </c>
      <c r="W517" s="22">
        <v>353500</v>
      </c>
      <c r="X517" s="15"/>
      <c r="Y517" s="15"/>
      <c r="Z517" s="15"/>
      <c r="AA517" s="15"/>
      <c r="AB517" s="15" t="s">
        <v>328</v>
      </c>
      <c r="AC517" s="15"/>
      <c r="AD517" s="15" t="s">
        <v>328</v>
      </c>
      <c r="AE517" s="15"/>
      <c r="AF517" s="15"/>
      <c r="AG517" s="15"/>
      <c r="AH517" s="15"/>
      <c r="AI517" s="15"/>
      <c r="AJ517" s="15"/>
      <c r="AK517" s="15"/>
      <c r="AL517" s="15"/>
      <c r="AM517" s="15"/>
      <c r="AN517" s="16">
        <v>24000</v>
      </c>
      <c r="AO517" s="16">
        <v>32000</v>
      </c>
      <c r="AP517" s="16">
        <v>100000</v>
      </c>
      <c r="AQ517" s="16">
        <v>150000</v>
      </c>
      <c r="AR517" s="16">
        <v>24000</v>
      </c>
      <c r="AS517" s="22">
        <v>96000</v>
      </c>
      <c r="AT517" s="22">
        <v>0</v>
      </c>
      <c r="AU517" s="22">
        <v>20000</v>
      </c>
      <c r="AV517" s="22">
        <v>10000</v>
      </c>
      <c r="AW517" s="22">
        <v>12000</v>
      </c>
      <c r="AX517" s="66">
        <v>0</v>
      </c>
      <c r="AY517" s="17" t="s">
        <v>1130</v>
      </c>
      <c r="AZ517" s="15" t="s">
        <v>348</v>
      </c>
      <c r="BA517" s="249">
        <f t="shared" si="15"/>
        <v>3</v>
      </c>
      <c r="BB517" s="249">
        <v>0</v>
      </c>
      <c r="BC517" s="249">
        <f t="shared" si="14"/>
        <v>2005</v>
      </c>
    </row>
    <row r="518" spans="1:55" x14ac:dyDescent="0.25">
      <c r="A518" s="51" t="s">
        <v>1856</v>
      </c>
      <c r="B518" s="63" t="s">
        <v>1067</v>
      </c>
      <c r="C518" s="15" t="s">
        <v>348</v>
      </c>
      <c r="D518" s="15">
        <v>2005</v>
      </c>
      <c r="E518" s="15" t="s">
        <v>429</v>
      </c>
      <c r="F518" s="15"/>
      <c r="G518" s="15"/>
      <c r="H518" s="15"/>
      <c r="I518" s="15"/>
      <c r="J518" s="16">
        <v>376515</v>
      </c>
      <c r="K518" s="15" t="s">
        <v>328</v>
      </c>
      <c r="L518" s="15"/>
      <c r="M518" s="15"/>
      <c r="N518" s="16">
        <v>8000</v>
      </c>
      <c r="O518" s="21">
        <v>0.5</v>
      </c>
      <c r="P518" s="15">
        <v>1</v>
      </c>
      <c r="Q518" s="15">
        <v>175</v>
      </c>
      <c r="R518" s="16">
        <v>700</v>
      </c>
      <c r="S518" s="15" t="s">
        <v>340</v>
      </c>
      <c r="T518" s="15">
        <v>4</v>
      </c>
      <c r="U518" s="15">
        <v>4.5</v>
      </c>
      <c r="V518" s="16">
        <v>25000</v>
      </c>
      <c r="W518" s="22">
        <v>353500</v>
      </c>
      <c r="X518" s="15"/>
      <c r="Y518" s="15"/>
      <c r="Z518" s="15"/>
      <c r="AA518" s="15"/>
      <c r="AB518" s="15" t="s">
        <v>328</v>
      </c>
      <c r="AC518" s="15"/>
      <c r="AD518" s="15" t="s">
        <v>328</v>
      </c>
      <c r="AE518" s="15"/>
      <c r="AF518" s="15"/>
      <c r="AG518" s="15"/>
      <c r="AH518" s="15"/>
      <c r="AI518" s="15"/>
      <c r="AJ518" s="15"/>
      <c r="AK518" s="15"/>
      <c r="AL518" s="15"/>
      <c r="AM518" s="15"/>
      <c r="AN518" s="16">
        <v>24000</v>
      </c>
      <c r="AO518" s="16">
        <v>32000</v>
      </c>
      <c r="AP518" s="16">
        <v>100000</v>
      </c>
      <c r="AQ518" s="16">
        <v>150000</v>
      </c>
      <c r="AR518" s="16">
        <v>24000</v>
      </c>
      <c r="AS518" s="22">
        <v>96000</v>
      </c>
      <c r="AT518" s="22">
        <v>0</v>
      </c>
      <c r="AU518" s="22">
        <v>20000</v>
      </c>
      <c r="AV518" s="22">
        <v>10000</v>
      </c>
      <c r="AW518" s="22">
        <v>12000</v>
      </c>
      <c r="AX518" s="66">
        <v>0</v>
      </c>
      <c r="AY518" s="17" t="s">
        <v>1130</v>
      </c>
      <c r="AZ518" s="15" t="s">
        <v>348</v>
      </c>
      <c r="BA518" s="249">
        <f t="shared" si="15"/>
        <v>3</v>
      </c>
      <c r="BB518" s="249">
        <v>0</v>
      </c>
      <c r="BC518" s="249">
        <f t="shared" si="14"/>
        <v>2005</v>
      </c>
    </row>
    <row r="519" spans="1:55" x14ac:dyDescent="0.25">
      <c r="A519" s="51" t="s">
        <v>1856</v>
      </c>
      <c r="B519" s="63" t="s">
        <v>1067</v>
      </c>
      <c r="C519" s="15" t="s">
        <v>348</v>
      </c>
      <c r="D519" s="15">
        <v>2009</v>
      </c>
      <c r="E519" s="15" t="s">
        <v>367</v>
      </c>
      <c r="F519" s="15"/>
      <c r="G519" s="15"/>
      <c r="H519" s="15"/>
      <c r="I519" s="15"/>
      <c r="J519" s="16">
        <v>193796</v>
      </c>
      <c r="K519" s="15" t="s">
        <v>328</v>
      </c>
      <c r="L519" s="15"/>
      <c r="M519" s="15"/>
      <c r="N519" s="16">
        <v>8000</v>
      </c>
      <c r="O519" s="21">
        <v>0.5</v>
      </c>
      <c r="P519" s="15">
        <v>1</v>
      </c>
      <c r="Q519" s="15">
        <v>200</v>
      </c>
      <c r="R519" s="16">
        <v>780</v>
      </c>
      <c r="S519" s="15" t="s">
        <v>340</v>
      </c>
      <c r="T519" s="15">
        <v>3.9</v>
      </c>
      <c r="U519" s="15">
        <v>4.2</v>
      </c>
      <c r="V519" s="16">
        <v>25000</v>
      </c>
      <c r="W519" s="22">
        <v>353500</v>
      </c>
      <c r="X519" s="15"/>
      <c r="Y519" s="15"/>
      <c r="Z519" s="15"/>
      <c r="AA519" s="15"/>
      <c r="AB519" s="15" t="s">
        <v>328</v>
      </c>
      <c r="AC519" s="15"/>
      <c r="AD519" s="15" t="s">
        <v>328</v>
      </c>
      <c r="AE519" s="15"/>
      <c r="AF519" s="15"/>
      <c r="AG519" s="15"/>
      <c r="AH519" s="15"/>
      <c r="AI519" s="15"/>
      <c r="AJ519" s="15"/>
      <c r="AK519" s="15"/>
      <c r="AL519" s="15"/>
      <c r="AM519" s="15"/>
      <c r="AN519" s="16">
        <v>24000</v>
      </c>
      <c r="AO519" s="16">
        <v>32000</v>
      </c>
      <c r="AP519" s="16">
        <v>100000</v>
      </c>
      <c r="AQ519" s="16">
        <v>150000</v>
      </c>
      <c r="AR519" s="16">
        <v>24000</v>
      </c>
      <c r="AS519" s="22">
        <v>0</v>
      </c>
      <c r="AT519" s="22">
        <v>0</v>
      </c>
      <c r="AU519" s="22">
        <v>20000</v>
      </c>
      <c r="AV519" s="22">
        <v>10000</v>
      </c>
      <c r="AW519" s="22">
        <v>14000</v>
      </c>
      <c r="AX519" s="66">
        <v>0</v>
      </c>
      <c r="AY519" s="17" t="s">
        <v>1131</v>
      </c>
      <c r="AZ519" s="15" t="s">
        <v>348</v>
      </c>
      <c r="BA519" s="249">
        <f t="shared" si="15"/>
        <v>3</v>
      </c>
      <c r="BB519" s="249">
        <v>0</v>
      </c>
      <c r="BC519" s="249">
        <f t="shared" si="14"/>
        <v>2009</v>
      </c>
    </row>
    <row r="520" spans="1:55" x14ac:dyDescent="0.25">
      <c r="A520" s="51" t="s">
        <v>1856</v>
      </c>
      <c r="B520" s="63" t="s">
        <v>1069</v>
      </c>
      <c r="C520" s="14" t="s">
        <v>351</v>
      </c>
      <c r="D520" s="15">
        <v>1983</v>
      </c>
      <c r="E520" s="15" t="s">
        <v>690</v>
      </c>
      <c r="F520" s="15"/>
      <c r="G520" s="15"/>
      <c r="H520" s="15"/>
      <c r="I520" s="15"/>
      <c r="J520" s="16">
        <v>864000</v>
      </c>
      <c r="K520" s="15"/>
      <c r="L520" s="15"/>
      <c r="M520" s="15" t="s">
        <v>328</v>
      </c>
      <c r="N520" s="16">
        <v>2400</v>
      </c>
      <c r="O520" s="21">
        <v>0.2</v>
      </c>
      <c r="P520" s="15">
        <v>2</v>
      </c>
      <c r="Q520" s="15">
        <v>400</v>
      </c>
      <c r="R520" s="16">
        <v>2320</v>
      </c>
      <c r="S520" s="15" t="s">
        <v>340</v>
      </c>
      <c r="T520" s="15">
        <v>2.9</v>
      </c>
      <c r="U520" s="15">
        <v>3.4</v>
      </c>
      <c r="V520" s="16">
        <v>40000</v>
      </c>
      <c r="W520" s="22">
        <v>565600</v>
      </c>
      <c r="X520" s="15"/>
      <c r="Y520" s="15" t="s">
        <v>328</v>
      </c>
      <c r="Z520" s="15"/>
      <c r="AA520" s="15"/>
      <c r="AB520" s="15"/>
      <c r="AC520" s="15"/>
      <c r="AD520" s="15" t="s">
        <v>332</v>
      </c>
      <c r="AE520" s="15"/>
      <c r="AF520" s="15"/>
      <c r="AG520" s="15"/>
      <c r="AH520" s="15"/>
      <c r="AI520" s="15"/>
      <c r="AJ520" s="15"/>
      <c r="AK520" s="15"/>
      <c r="AL520" s="15"/>
      <c r="AM520" s="15"/>
      <c r="AN520" s="16">
        <v>19000</v>
      </c>
      <c r="AO520" s="16">
        <v>28000</v>
      </c>
      <c r="AP520" s="16">
        <v>65000</v>
      </c>
      <c r="AQ520" s="16">
        <v>120000</v>
      </c>
      <c r="AR520" s="16">
        <v>28000</v>
      </c>
      <c r="AS520" s="22">
        <v>0</v>
      </c>
      <c r="AT520" s="22">
        <v>60000</v>
      </c>
      <c r="AU520" s="22">
        <v>48000</v>
      </c>
      <c r="AV520" s="22">
        <v>30000</v>
      </c>
      <c r="AW520" s="22">
        <v>0</v>
      </c>
      <c r="AX520" s="66">
        <v>0</v>
      </c>
      <c r="AY520" s="17" t="s">
        <v>694</v>
      </c>
      <c r="AZ520" s="15" t="s">
        <v>351</v>
      </c>
      <c r="BA520" s="249">
        <f t="shared" si="15"/>
        <v>1</v>
      </c>
      <c r="BB520" s="249">
        <v>0</v>
      </c>
      <c r="BC520" s="249">
        <f t="shared" ref="BC520:BC583" si="16">IF(H520&gt;D520,(IF(H520&gt;F520,H520,(IF(F520&gt;D520,F520,D520)))),(IF(F520&gt;D520,F520,D520)))</f>
        <v>1983</v>
      </c>
    </row>
    <row r="521" spans="1:55" x14ac:dyDescent="0.25">
      <c r="A521" s="51" t="s">
        <v>1856</v>
      </c>
      <c r="B521" s="63" t="s">
        <v>1071</v>
      </c>
      <c r="C521" s="15" t="s">
        <v>337</v>
      </c>
      <c r="D521" s="15">
        <v>2004</v>
      </c>
      <c r="E521" s="15" t="s">
        <v>477</v>
      </c>
      <c r="F521" s="15"/>
      <c r="G521" s="15"/>
      <c r="H521" s="15"/>
      <c r="I521" s="15"/>
      <c r="J521" s="16">
        <v>973801</v>
      </c>
      <c r="K521" s="15"/>
      <c r="L521" s="15" t="s">
        <v>328</v>
      </c>
      <c r="M521" s="15"/>
      <c r="N521" s="16">
        <v>10000</v>
      </c>
      <c r="O521" s="21">
        <v>0.1</v>
      </c>
      <c r="P521" s="15">
        <v>3</v>
      </c>
      <c r="Q521" s="15">
        <v>1175</v>
      </c>
      <c r="R521" s="16">
        <v>8812.5</v>
      </c>
      <c r="S521" s="15" t="s">
        <v>340</v>
      </c>
      <c r="T521" s="15">
        <v>2.5</v>
      </c>
      <c r="U521" s="15">
        <v>2.8</v>
      </c>
      <c r="V521" s="16">
        <v>45000</v>
      </c>
      <c r="W521" s="22">
        <v>636300</v>
      </c>
      <c r="X521" s="15"/>
      <c r="Y521" s="15" t="s">
        <v>328</v>
      </c>
      <c r="Z521" s="15"/>
      <c r="AA521" s="15"/>
      <c r="AB521" s="15"/>
      <c r="AC521" s="15"/>
      <c r="AD521" s="15" t="s">
        <v>328</v>
      </c>
      <c r="AE521" s="15"/>
      <c r="AF521" s="15"/>
      <c r="AG521" s="15"/>
      <c r="AH521" s="15"/>
      <c r="AI521" s="15"/>
      <c r="AJ521" s="15"/>
      <c r="AK521" s="15"/>
      <c r="AL521" s="15"/>
      <c r="AM521" s="15"/>
      <c r="AN521" s="16">
        <v>18000</v>
      </c>
      <c r="AO521" s="16">
        <v>36000</v>
      </c>
      <c r="AP521" s="16">
        <v>150000</v>
      </c>
      <c r="AQ521" s="16">
        <v>150000</v>
      </c>
      <c r="AR521" s="16">
        <v>36000</v>
      </c>
      <c r="AS521" s="22">
        <v>0</v>
      </c>
      <c r="AT521" s="22">
        <v>0</v>
      </c>
      <c r="AU521" s="22">
        <v>70000</v>
      </c>
      <c r="AV521" s="22">
        <v>30000</v>
      </c>
      <c r="AW521" s="22">
        <v>18000</v>
      </c>
      <c r="AX521" s="66">
        <v>0</v>
      </c>
      <c r="AY521" s="17" t="s">
        <v>1132</v>
      </c>
      <c r="AZ521" s="15" t="s">
        <v>562</v>
      </c>
      <c r="BA521" s="249">
        <f t="shared" ref="BA521:BA584" si="17">COUNTIF($B$8:$B$987,B521)</f>
        <v>1</v>
      </c>
      <c r="BB521" s="249">
        <v>0</v>
      </c>
      <c r="BC521" s="249">
        <f t="shared" si="16"/>
        <v>2004</v>
      </c>
    </row>
    <row r="522" spans="1:55" x14ac:dyDescent="0.25">
      <c r="A522" s="51" t="s">
        <v>1856</v>
      </c>
      <c r="B522" s="63" t="s">
        <v>1073</v>
      </c>
      <c r="C522" s="14" t="s">
        <v>351</v>
      </c>
      <c r="D522" s="15">
        <v>1999</v>
      </c>
      <c r="E522" s="15" t="s">
        <v>407</v>
      </c>
      <c r="F522" s="15"/>
      <c r="G522" s="15"/>
      <c r="H522" s="15"/>
      <c r="I522" s="15"/>
      <c r="J522" s="16">
        <v>771054</v>
      </c>
      <c r="K522" s="15"/>
      <c r="L522" s="15" t="s">
        <v>328</v>
      </c>
      <c r="M522" s="15"/>
      <c r="N522" s="16">
        <v>8000</v>
      </c>
      <c r="O522" s="21">
        <v>0.1</v>
      </c>
      <c r="P522" s="15">
        <v>2</v>
      </c>
      <c r="Q522" s="15">
        <v>916</v>
      </c>
      <c r="R522" s="16">
        <v>5679.2</v>
      </c>
      <c r="S522" s="15" t="s">
        <v>340</v>
      </c>
      <c r="T522" s="15">
        <v>3.1</v>
      </c>
      <c r="U522" s="15">
        <v>3.7</v>
      </c>
      <c r="V522" s="16">
        <v>30000</v>
      </c>
      <c r="W522" s="22">
        <v>424200</v>
      </c>
      <c r="X522" s="15"/>
      <c r="Y522" s="15" t="s">
        <v>328</v>
      </c>
      <c r="Z522" s="15"/>
      <c r="AA522" s="15"/>
      <c r="AB522" s="15"/>
      <c r="AC522" s="15"/>
      <c r="AD522" s="15" t="s">
        <v>332</v>
      </c>
      <c r="AE522" s="15"/>
      <c r="AF522" s="15"/>
      <c r="AG522" s="15"/>
      <c r="AH522" s="15"/>
      <c r="AI522" s="15"/>
      <c r="AJ522" s="15"/>
      <c r="AK522" s="15"/>
      <c r="AL522" s="15"/>
      <c r="AM522" s="15"/>
      <c r="AN522" s="16">
        <v>24000</v>
      </c>
      <c r="AO522" s="16">
        <v>48000</v>
      </c>
      <c r="AP522" s="16">
        <v>200000</v>
      </c>
      <c r="AQ522" s="16">
        <v>140000</v>
      </c>
      <c r="AR522" s="16">
        <v>48000</v>
      </c>
      <c r="AS522" s="22">
        <v>0</v>
      </c>
      <c r="AT522" s="22">
        <v>0</v>
      </c>
      <c r="AU522" s="22">
        <v>20000</v>
      </c>
      <c r="AV522" s="22">
        <v>25000</v>
      </c>
      <c r="AW522" s="22">
        <v>12000</v>
      </c>
      <c r="AX522" s="66">
        <v>0</v>
      </c>
      <c r="AY522" s="17" t="s">
        <v>708</v>
      </c>
      <c r="AZ522" s="15" t="s">
        <v>351</v>
      </c>
      <c r="BA522" s="249">
        <f t="shared" si="17"/>
        <v>1</v>
      </c>
      <c r="BB522" s="249">
        <v>0</v>
      </c>
      <c r="BC522" s="249">
        <f t="shared" si="16"/>
        <v>1999</v>
      </c>
    </row>
    <row r="523" spans="1:55" x14ac:dyDescent="0.25">
      <c r="A523" s="51" t="s">
        <v>1856</v>
      </c>
      <c r="B523" s="63" t="s">
        <v>1076</v>
      </c>
      <c r="C523" s="15" t="s">
        <v>348</v>
      </c>
      <c r="D523" s="15">
        <v>2006</v>
      </c>
      <c r="E523" s="15" t="s">
        <v>349</v>
      </c>
      <c r="F523" s="15"/>
      <c r="G523" s="15"/>
      <c r="H523" s="15"/>
      <c r="I523" s="15"/>
      <c r="J523" s="16">
        <v>453165</v>
      </c>
      <c r="K523" s="15"/>
      <c r="L523" s="15" t="s">
        <v>328</v>
      </c>
      <c r="M523" s="15"/>
      <c r="N523" s="16">
        <v>5000</v>
      </c>
      <c r="O523" s="21">
        <v>0</v>
      </c>
      <c r="P523" s="15">
        <v>2</v>
      </c>
      <c r="Q523" s="15">
        <v>400</v>
      </c>
      <c r="R523" s="16">
        <v>3200</v>
      </c>
      <c r="S523" s="15" t="s">
        <v>340</v>
      </c>
      <c r="T523" s="15">
        <v>4</v>
      </c>
      <c r="U523" s="15">
        <v>4.5</v>
      </c>
      <c r="V523" s="16">
        <v>15000</v>
      </c>
      <c r="W523" s="22">
        <v>212100</v>
      </c>
      <c r="X523" s="15"/>
      <c r="Y523" s="15"/>
      <c r="Z523" s="15"/>
      <c r="AA523" s="15" t="s">
        <v>328</v>
      </c>
      <c r="AB523" s="15"/>
      <c r="AC523" s="15"/>
      <c r="AD523" s="15" t="s">
        <v>328</v>
      </c>
      <c r="AE523" s="15"/>
      <c r="AF523" s="15"/>
      <c r="AG523" s="15"/>
      <c r="AH523" s="15"/>
      <c r="AI523" s="15"/>
      <c r="AJ523" s="15"/>
      <c r="AK523" s="15"/>
      <c r="AL523" s="15"/>
      <c r="AM523" s="15"/>
      <c r="AN523" s="16">
        <v>20000</v>
      </c>
      <c r="AO523" s="16">
        <v>40000</v>
      </c>
      <c r="AP523" s="16">
        <v>120000</v>
      </c>
      <c r="AQ523" s="16">
        <v>100000</v>
      </c>
      <c r="AR523" s="16">
        <v>40000</v>
      </c>
      <c r="AS523" s="22">
        <v>0</v>
      </c>
      <c r="AT523" s="22">
        <v>0</v>
      </c>
      <c r="AU523" s="22">
        <v>20000</v>
      </c>
      <c r="AV523" s="22">
        <v>24000</v>
      </c>
      <c r="AW523" s="22">
        <v>16000</v>
      </c>
      <c r="AX523" s="66">
        <v>0</v>
      </c>
      <c r="AY523" s="17" t="s">
        <v>701</v>
      </c>
      <c r="AZ523" s="15" t="s">
        <v>348</v>
      </c>
      <c r="BA523" s="249">
        <f t="shared" si="17"/>
        <v>1</v>
      </c>
      <c r="BB523" s="249">
        <v>0</v>
      </c>
      <c r="BC523" s="249">
        <f t="shared" si="16"/>
        <v>2006</v>
      </c>
    </row>
    <row r="524" spans="1:55" x14ac:dyDescent="0.25">
      <c r="A524" s="51" t="s">
        <v>1856</v>
      </c>
      <c r="B524" s="63" t="s">
        <v>1078</v>
      </c>
      <c r="C524" s="14" t="s">
        <v>351</v>
      </c>
      <c r="D524" s="15">
        <v>1998</v>
      </c>
      <c r="E524" s="15" t="s">
        <v>407</v>
      </c>
      <c r="F524" s="15"/>
      <c r="G524" s="15"/>
      <c r="H524" s="15"/>
      <c r="I524" s="15"/>
      <c r="J524" s="16">
        <v>1315976</v>
      </c>
      <c r="K524" s="15"/>
      <c r="L524" s="15"/>
      <c r="M524" s="15" t="s">
        <v>328</v>
      </c>
      <c r="N524" s="16">
        <v>7000</v>
      </c>
      <c r="O524" s="21">
        <v>0.1</v>
      </c>
      <c r="P524" s="15">
        <v>2</v>
      </c>
      <c r="Q524" s="15">
        <v>908</v>
      </c>
      <c r="R524" s="16">
        <v>5629.6</v>
      </c>
      <c r="S524" s="15" t="s">
        <v>340</v>
      </c>
      <c r="T524" s="15">
        <v>3.1</v>
      </c>
      <c r="U524" s="15">
        <v>3.6</v>
      </c>
      <c r="V524" s="16">
        <v>27000</v>
      </c>
      <c r="W524" s="22">
        <v>381780</v>
      </c>
      <c r="X524" s="15"/>
      <c r="Y524" s="15"/>
      <c r="Z524" s="15"/>
      <c r="AA524" s="15"/>
      <c r="AB524" s="15" t="s">
        <v>328</v>
      </c>
      <c r="AC524" s="15"/>
      <c r="AD524" s="15" t="s">
        <v>328</v>
      </c>
      <c r="AE524" s="15"/>
      <c r="AF524" s="15"/>
      <c r="AG524" s="15"/>
      <c r="AH524" s="15"/>
      <c r="AI524" s="15"/>
      <c r="AJ524" s="15"/>
      <c r="AK524" s="15"/>
      <c r="AL524" s="15"/>
      <c r="AM524" s="15"/>
      <c r="AN524" s="16">
        <v>21000</v>
      </c>
      <c r="AO524" s="16">
        <v>40000</v>
      </c>
      <c r="AP524" s="16">
        <v>200000</v>
      </c>
      <c r="AQ524" s="16">
        <v>100000</v>
      </c>
      <c r="AR524" s="16">
        <v>40000</v>
      </c>
      <c r="AS524" s="22">
        <v>0</v>
      </c>
      <c r="AT524" s="22">
        <v>0</v>
      </c>
      <c r="AU524" s="22">
        <v>42000</v>
      </c>
      <c r="AV524" s="22">
        <v>21600</v>
      </c>
      <c r="AW524" s="22">
        <v>19200</v>
      </c>
      <c r="AX524" s="66">
        <v>0</v>
      </c>
      <c r="AY524" s="17" t="s">
        <v>583</v>
      </c>
      <c r="AZ524" s="15" t="s">
        <v>351</v>
      </c>
      <c r="BA524" s="249">
        <f t="shared" si="17"/>
        <v>1</v>
      </c>
      <c r="BB524" s="249">
        <v>0</v>
      </c>
      <c r="BC524" s="249">
        <f t="shared" si="16"/>
        <v>1998</v>
      </c>
    </row>
    <row r="525" spans="1:55" x14ac:dyDescent="0.25">
      <c r="A525" s="51" t="s">
        <v>1856</v>
      </c>
      <c r="B525" s="63" t="s">
        <v>1079</v>
      </c>
      <c r="C525" s="14" t="s">
        <v>351</v>
      </c>
      <c r="D525" s="15">
        <v>1997</v>
      </c>
      <c r="E525" s="15" t="s">
        <v>475</v>
      </c>
      <c r="F525" s="15"/>
      <c r="G525" s="15"/>
      <c r="H525" s="15"/>
      <c r="I525" s="15"/>
      <c r="J525" s="16">
        <v>768000</v>
      </c>
      <c r="K525" s="15"/>
      <c r="L525" s="15"/>
      <c r="M525" s="15" t="s">
        <v>328</v>
      </c>
      <c r="N525" s="16">
        <v>4000</v>
      </c>
      <c r="O525" s="21">
        <v>0.1</v>
      </c>
      <c r="P525" s="15">
        <v>2</v>
      </c>
      <c r="Q525" s="15">
        <v>850</v>
      </c>
      <c r="R525" s="16">
        <v>5270</v>
      </c>
      <c r="S525" s="15" t="s">
        <v>340</v>
      </c>
      <c r="T525" s="15">
        <v>3.1</v>
      </c>
      <c r="U525" s="15">
        <v>3.6</v>
      </c>
      <c r="V525" s="16">
        <v>17500</v>
      </c>
      <c r="W525" s="22">
        <v>247450</v>
      </c>
      <c r="X525" s="15"/>
      <c r="Y525" s="15"/>
      <c r="Z525" s="15"/>
      <c r="AA525" s="15"/>
      <c r="AB525" s="15" t="s">
        <v>328</v>
      </c>
      <c r="AC525" s="15"/>
      <c r="AD525" s="15" t="s">
        <v>328</v>
      </c>
      <c r="AE525" s="15"/>
      <c r="AF525" s="15"/>
      <c r="AG525" s="15"/>
      <c r="AH525" s="15"/>
      <c r="AI525" s="15"/>
      <c r="AJ525" s="15"/>
      <c r="AK525" s="15"/>
      <c r="AL525" s="15"/>
      <c r="AM525" s="15"/>
      <c r="AN525" s="16">
        <v>20000</v>
      </c>
      <c r="AO525" s="16">
        <v>20000</v>
      </c>
      <c r="AP525" s="16">
        <v>200000</v>
      </c>
      <c r="AQ525" s="16">
        <v>100000</v>
      </c>
      <c r="AR525" s="16">
        <v>20000</v>
      </c>
      <c r="AS525" s="22">
        <v>102000</v>
      </c>
      <c r="AT525" s="22">
        <v>0</v>
      </c>
      <c r="AU525" s="22">
        <v>25000</v>
      </c>
      <c r="AV525" s="22">
        <v>25000</v>
      </c>
      <c r="AW525" s="22">
        <v>12000</v>
      </c>
      <c r="AX525" s="66">
        <v>0</v>
      </c>
      <c r="AY525" s="17" t="s">
        <v>585</v>
      </c>
      <c r="AZ525" s="15" t="s">
        <v>351</v>
      </c>
      <c r="BA525" s="249">
        <f t="shared" si="17"/>
        <v>2</v>
      </c>
      <c r="BB525" s="249">
        <v>0</v>
      </c>
      <c r="BC525" s="249">
        <f t="shared" si="16"/>
        <v>1997</v>
      </c>
    </row>
    <row r="526" spans="1:55" x14ac:dyDescent="0.25">
      <c r="A526" s="51" t="s">
        <v>1856</v>
      </c>
      <c r="B526" s="63" t="s">
        <v>1079</v>
      </c>
      <c r="C526" s="14" t="s">
        <v>351</v>
      </c>
      <c r="D526" s="15">
        <v>2002</v>
      </c>
      <c r="E526" s="15" t="s">
        <v>407</v>
      </c>
      <c r="F526" s="15"/>
      <c r="G526" s="15"/>
      <c r="H526" s="15"/>
      <c r="I526" s="15"/>
      <c r="J526" s="16">
        <v>637001</v>
      </c>
      <c r="K526" s="15"/>
      <c r="L526" s="15"/>
      <c r="M526" s="15" t="s">
        <v>328</v>
      </c>
      <c r="N526" s="16">
        <v>5000</v>
      </c>
      <c r="O526" s="21">
        <v>0.1</v>
      </c>
      <c r="P526" s="15">
        <v>2</v>
      </c>
      <c r="Q526" s="15">
        <v>900</v>
      </c>
      <c r="R526" s="16">
        <v>5760</v>
      </c>
      <c r="S526" s="15" t="s">
        <v>340</v>
      </c>
      <c r="T526" s="15">
        <v>3.2</v>
      </c>
      <c r="U526" s="15">
        <v>3.7</v>
      </c>
      <c r="V526" s="16">
        <v>19000</v>
      </c>
      <c r="W526" s="22">
        <v>268660</v>
      </c>
      <c r="X526" s="15"/>
      <c r="Y526" s="15"/>
      <c r="Z526" s="15"/>
      <c r="AA526" s="15"/>
      <c r="AB526" s="15" t="s">
        <v>328</v>
      </c>
      <c r="AC526" s="15"/>
      <c r="AD526" s="15" t="s">
        <v>328</v>
      </c>
      <c r="AE526" s="15"/>
      <c r="AF526" s="15"/>
      <c r="AG526" s="15"/>
      <c r="AH526" s="15"/>
      <c r="AI526" s="15"/>
      <c r="AJ526" s="15"/>
      <c r="AK526" s="15"/>
      <c r="AL526" s="15"/>
      <c r="AM526" s="15"/>
      <c r="AN526" s="16">
        <v>20000</v>
      </c>
      <c r="AO526" s="16">
        <v>20000</v>
      </c>
      <c r="AP526" s="16">
        <v>200000</v>
      </c>
      <c r="AQ526" s="16">
        <v>100000</v>
      </c>
      <c r="AR526" s="16">
        <v>20000</v>
      </c>
      <c r="AS526" s="22">
        <v>144000</v>
      </c>
      <c r="AT526" s="22">
        <v>0</v>
      </c>
      <c r="AU526" s="22">
        <v>25000</v>
      </c>
      <c r="AV526" s="22">
        <v>25000</v>
      </c>
      <c r="AW526" s="22">
        <v>15000</v>
      </c>
      <c r="AX526" s="66">
        <v>0</v>
      </c>
      <c r="AY526" s="17" t="s">
        <v>688</v>
      </c>
      <c r="AZ526" s="15" t="s">
        <v>351</v>
      </c>
      <c r="BA526" s="249">
        <f t="shared" si="17"/>
        <v>2</v>
      </c>
      <c r="BB526" s="249">
        <v>0</v>
      </c>
      <c r="BC526" s="249">
        <f t="shared" si="16"/>
        <v>2002</v>
      </c>
    </row>
    <row r="527" spans="1:55" x14ac:dyDescent="0.25">
      <c r="A527" s="51" t="s">
        <v>1856</v>
      </c>
      <c r="B527" s="63" t="s">
        <v>1081</v>
      </c>
      <c r="C527" s="15" t="s">
        <v>348</v>
      </c>
      <c r="D527" s="15">
        <v>1998</v>
      </c>
      <c r="E527" s="15" t="s">
        <v>407</v>
      </c>
      <c r="F527" s="15"/>
      <c r="G527" s="15"/>
      <c r="H527" s="15"/>
      <c r="I527" s="15"/>
      <c r="J527" s="16">
        <v>1340611</v>
      </c>
      <c r="K527" s="15"/>
      <c r="L527" s="15"/>
      <c r="M527" s="15" t="s">
        <v>328</v>
      </c>
      <c r="N527" s="16">
        <v>7500</v>
      </c>
      <c r="O527" s="21">
        <v>0.1</v>
      </c>
      <c r="P527" s="15">
        <v>2</v>
      </c>
      <c r="Q527" s="15">
        <v>908</v>
      </c>
      <c r="R527" s="16">
        <v>5448</v>
      </c>
      <c r="S527" s="15" t="s">
        <v>340</v>
      </c>
      <c r="T527" s="15">
        <v>3</v>
      </c>
      <c r="U527" s="15">
        <v>3.6</v>
      </c>
      <c r="V527" s="16">
        <v>2500</v>
      </c>
      <c r="W527" s="22">
        <v>35350</v>
      </c>
      <c r="X527" s="15"/>
      <c r="Y527" s="15"/>
      <c r="Z527" s="15"/>
      <c r="AA527" s="15"/>
      <c r="AB527" s="15" t="s">
        <v>328</v>
      </c>
      <c r="AC527" s="15"/>
      <c r="AD527" s="15" t="s">
        <v>332</v>
      </c>
      <c r="AE527" s="15"/>
      <c r="AF527" s="15"/>
      <c r="AG527" s="15"/>
      <c r="AH527" s="15"/>
      <c r="AI527" s="15"/>
      <c r="AJ527" s="15"/>
      <c r="AK527" s="15"/>
      <c r="AL527" s="15"/>
      <c r="AM527" s="15"/>
      <c r="AN527" s="16">
        <v>15000</v>
      </c>
      <c r="AO527" s="16">
        <v>30000</v>
      </c>
      <c r="AP527" s="16">
        <v>110000</v>
      </c>
      <c r="AQ527" s="16">
        <v>130000</v>
      </c>
      <c r="AR527" s="16">
        <v>15000</v>
      </c>
      <c r="AS527" s="22">
        <v>126000</v>
      </c>
      <c r="AT527" s="22">
        <v>0</v>
      </c>
      <c r="AU527" s="22">
        <v>24000</v>
      </c>
      <c r="AV527" s="22">
        <v>24000</v>
      </c>
      <c r="AW527" s="22">
        <v>14400</v>
      </c>
      <c r="AX527" s="66">
        <v>0</v>
      </c>
      <c r="AY527" s="17" t="s">
        <v>708</v>
      </c>
      <c r="AZ527" s="15" t="s">
        <v>348</v>
      </c>
      <c r="BA527" s="249">
        <f t="shared" si="17"/>
        <v>2</v>
      </c>
      <c r="BB527" s="249">
        <v>0</v>
      </c>
      <c r="BC527" s="249">
        <f t="shared" si="16"/>
        <v>1998</v>
      </c>
    </row>
    <row r="528" spans="1:55" x14ac:dyDescent="0.25">
      <c r="A528" s="51" t="s">
        <v>1856</v>
      </c>
      <c r="B528" s="63" t="s">
        <v>1081</v>
      </c>
      <c r="C528" s="14" t="s">
        <v>351</v>
      </c>
      <c r="D528" s="15">
        <v>2000</v>
      </c>
      <c r="E528" s="15" t="s">
        <v>407</v>
      </c>
      <c r="F528" s="15"/>
      <c r="G528" s="15"/>
      <c r="H528" s="15"/>
      <c r="I528" s="15"/>
      <c r="J528" s="16">
        <v>1094501</v>
      </c>
      <c r="K528" s="15"/>
      <c r="L528" s="15"/>
      <c r="M528" s="15" t="s">
        <v>328</v>
      </c>
      <c r="N528" s="16">
        <v>7500</v>
      </c>
      <c r="O528" s="21">
        <v>0.1</v>
      </c>
      <c r="P528" s="15">
        <v>2</v>
      </c>
      <c r="Q528" s="15">
        <v>916</v>
      </c>
      <c r="R528" s="16">
        <v>5496</v>
      </c>
      <c r="S528" s="15" t="s">
        <v>340</v>
      </c>
      <c r="T528" s="15">
        <v>3</v>
      </c>
      <c r="U528" s="15">
        <v>3.6</v>
      </c>
      <c r="V528" s="16">
        <v>2500</v>
      </c>
      <c r="W528" s="22">
        <v>35350</v>
      </c>
      <c r="X528" s="15"/>
      <c r="Y528" s="15"/>
      <c r="Z528" s="15"/>
      <c r="AA528" s="15"/>
      <c r="AB528" s="15" t="s">
        <v>328</v>
      </c>
      <c r="AC528" s="15"/>
      <c r="AD528" s="15" t="s">
        <v>332</v>
      </c>
      <c r="AE528" s="15"/>
      <c r="AF528" s="15"/>
      <c r="AG528" s="15"/>
      <c r="AH528" s="15"/>
      <c r="AI528" s="15"/>
      <c r="AJ528" s="15"/>
      <c r="AK528" s="15"/>
      <c r="AL528" s="15"/>
      <c r="AM528" s="15"/>
      <c r="AN528" s="16">
        <v>15000</v>
      </c>
      <c r="AO528" s="16">
        <v>30000</v>
      </c>
      <c r="AP528" s="16">
        <v>110000</v>
      </c>
      <c r="AQ528" s="16">
        <v>130000</v>
      </c>
      <c r="AR528" s="16">
        <v>15000</v>
      </c>
      <c r="AS528" s="22">
        <v>0</v>
      </c>
      <c r="AT528" s="22">
        <v>0</v>
      </c>
      <c r="AU528" s="22">
        <v>24000</v>
      </c>
      <c r="AV528" s="22">
        <v>24000</v>
      </c>
      <c r="AW528" s="22">
        <v>15600</v>
      </c>
      <c r="AX528" s="66">
        <v>0</v>
      </c>
      <c r="AY528" s="17" t="s">
        <v>708</v>
      </c>
      <c r="AZ528" s="15" t="s">
        <v>351</v>
      </c>
      <c r="BA528" s="249">
        <f t="shared" si="17"/>
        <v>2</v>
      </c>
      <c r="BB528" s="249">
        <v>0</v>
      </c>
      <c r="BC528" s="249">
        <f t="shared" si="16"/>
        <v>2000</v>
      </c>
    </row>
    <row r="529" spans="1:55" x14ac:dyDescent="0.25">
      <c r="A529" s="51" t="s">
        <v>1856</v>
      </c>
      <c r="B529" s="63" t="s">
        <v>1083</v>
      </c>
      <c r="C529" s="15" t="s">
        <v>348</v>
      </c>
      <c r="D529" s="15">
        <v>2003</v>
      </c>
      <c r="E529" s="15" t="s">
        <v>360</v>
      </c>
      <c r="F529" s="15"/>
      <c r="G529" s="15"/>
      <c r="H529" s="15"/>
      <c r="I529" s="15"/>
      <c r="J529" s="16">
        <v>600374</v>
      </c>
      <c r="K529" s="15"/>
      <c r="L529" s="15" t="s">
        <v>328</v>
      </c>
      <c r="M529" s="15"/>
      <c r="N529" s="16">
        <v>4000</v>
      </c>
      <c r="O529" s="21">
        <v>0.5</v>
      </c>
      <c r="P529" s="15">
        <v>1</v>
      </c>
      <c r="Q529" s="15">
        <v>200</v>
      </c>
      <c r="R529" s="16">
        <v>800</v>
      </c>
      <c r="S529" s="15" t="s">
        <v>371</v>
      </c>
      <c r="T529" s="15">
        <v>4</v>
      </c>
      <c r="U529" s="15">
        <v>4.9000000000000004</v>
      </c>
      <c r="V529" s="16">
        <v>12000</v>
      </c>
      <c r="W529" s="22">
        <v>169680</v>
      </c>
      <c r="X529" s="15"/>
      <c r="Y529" s="15"/>
      <c r="Z529" s="15"/>
      <c r="AA529" s="15"/>
      <c r="AB529" s="15" t="s">
        <v>328</v>
      </c>
      <c r="AC529" s="15"/>
      <c r="AD529" s="15" t="s">
        <v>332</v>
      </c>
      <c r="AE529" s="15"/>
      <c r="AF529" s="15"/>
      <c r="AG529" s="15"/>
      <c r="AH529" s="15"/>
      <c r="AI529" s="15"/>
      <c r="AJ529" s="15"/>
      <c r="AK529" s="15"/>
      <c r="AL529" s="15"/>
      <c r="AM529" s="15"/>
      <c r="AN529" s="16">
        <v>15000</v>
      </c>
      <c r="AO529" s="16">
        <v>15000</v>
      </c>
      <c r="AP529" s="16">
        <v>80000</v>
      </c>
      <c r="AQ529" s="16">
        <v>120000</v>
      </c>
      <c r="AR529" s="16" t="s">
        <v>385</v>
      </c>
      <c r="AS529" s="22">
        <v>90000</v>
      </c>
      <c r="AT529" s="22">
        <v>0</v>
      </c>
      <c r="AU529" s="22">
        <v>24000</v>
      </c>
      <c r="AV529" s="22">
        <v>24000</v>
      </c>
      <c r="AW529" s="22">
        <v>12000</v>
      </c>
      <c r="AX529" s="66">
        <v>0</v>
      </c>
      <c r="AY529" s="17" t="s">
        <v>1133</v>
      </c>
      <c r="AZ529" s="15" t="s">
        <v>348</v>
      </c>
      <c r="BA529" s="249">
        <f t="shared" si="17"/>
        <v>3</v>
      </c>
      <c r="BC529" s="249">
        <f t="shared" si="16"/>
        <v>2003</v>
      </c>
    </row>
    <row r="530" spans="1:55" x14ac:dyDescent="0.25">
      <c r="A530" s="51" t="s">
        <v>1856</v>
      </c>
      <c r="B530" s="63" t="s">
        <v>1083</v>
      </c>
      <c r="C530" s="15" t="s">
        <v>348</v>
      </c>
      <c r="D530" s="15">
        <v>2004</v>
      </c>
      <c r="E530" s="15" t="s">
        <v>360</v>
      </c>
      <c r="F530" s="15"/>
      <c r="G530" s="15"/>
      <c r="H530" s="15"/>
      <c r="I530" s="15"/>
      <c r="J530" s="16">
        <v>478650</v>
      </c>
      <c r="K530" s="15" t="s">
        <v>328</v>
      </c>
      <c r="L530" s="15"/>
      <c r="M530" s="15"/>
      <c r="N530" s="16">
        <v>4000</v>
      </c>
      <c r="O530" s="21">
        <v>0.5</v>
      </c>
      <c r="P530" s="15">
        <v>1</v>
      </c>
      <c r="Q530" s="15">
        <v>200</v>
      </c>
      <c r="R530" s="16">
        <v>800</v>
      </c>
      <c r="S530" s="15" t="s">
        <v>371</v>
      </c>
      <c r="T530" s="15">
        <v>4</v>
      </c>
      <c r="U530" s="15">
        <v>4.9000000000000004</v>
      </c>
      <c r="V530" s="16">
        <v>12000</v>
      </c>
      <c r="W530" s="22">
        <v>169680</v>
      </c>
      <c r="X530" s="15"/>
      <c r="Y530" s="15"/>
      <c r="Z530" s="15"/>
      <c r="AA530" s="15"/>
      <c r="AB530" s="15" t="s">
        <v>328</v>
      </c>
      <c r="AC530" s="15"/>
      <c r="AD530" s="15" t="s">
        <v>332</v>
      </c>
      <c r="AE530" s="15"/>
      <c r="AF530" s="15"/>
      <c r="AG530" s="15"/>
      <c r="AH530" s="15"/>
      <c r="AI530" s="15"/>
      <c r="AJ530" s="15"/>
      <c r="AK530" s="15"/>
      <c r="AL530" s="15"/>
      <c r="AM530" s="15"/>
      <c r="AN530" s="16">
        <v>15000</v>
      </c>
      <c r="AO530" s="16">
        <v>15000</v>
      </c>
      <c r="AP530" s="16">
        <v>80000</v>
      </c>
      <c r="AQ530" s="16">
        <v>120000</v>
      </c>
      <c r="AR530" s="16" t="s">
        <v>385</v>
      </c>
      <c r="AS530" s="22">
        <v>90000</v>
      </c>
      <c r="AT530" s="22">
        <v>0</v>
      </c>
      <c r="AU530" s="22">
        <v>24000</v>
      </c>
      <c r="AV530" s="22">
        <v>24000</v>
      </c>
      <c r="AW530" s="22">
        <v>12000</v>
      </c>
      <c r="AX530" s="66">
        <v>0</v>
      </c>
      <c r="AY530" s="17" t="s">
        <v>1133</v>
      </c>
      <c r="AZ530" s="15" t="s">
        <v>348</v>
      </c>
      <c r="BA530" s="249">
        <f t="shared" si="17"/>
        <v>3</v>
      </c>
      <c r="BC530" s="249">
        <f t="shared" si="16"/>
        <v>2004</v>
      </c>
    </row>
    <row r="531" spans="1:55" x14ac:dyDescent="0.25">
      <c r="A531" s="51" t="s">
        <v>1856</v>
      </c>
      <c r="B531" s="63" t="s">
        <v>1083</v>
      </c>
      <c r="C531" s="15" t="s">
        <v>348</v>
      </c>
      <c r="D531" s="15">
        <v>2007</v>
      </c>
      <c r="E531" s="15" t="s">
        <v>360</v>
      </c>
      <c r="F531" s="15"/>
      <c r="G531" s="15"/>
      <c r="H531" s="15"/>
      <c r="I531" s="15"/>
      <c r="J531" s="16">
        <v>337402</v>
      </c>
      <c r="K531" s="15" t="s">
        <v>328</v>
      </c>
      <c r="L531" s="15"/>
      <c r="M531" s="15"/>
      <c r="N531" s="16">
        <v>4000</v>
      </c>
      <c r="O531" s="21">
        <v>0.5</v>
      </c>
      <c r="P531" s="15">
        <v>1</v>
      </c>
      <c r="Q531" s="15">
        <v>200</v>
      </c>
      <c r="R531" s="16">
        <v>800</v>
      </c>
      <c r="S531" s="15" t="s">
        <v>371</v>
      </c>
      <c r="T531" s="15">
        <v>4</v>
      </c>
      <c r="U531" s="15">
        <v>4.9000000000000004</v>
      </c>
      <c r="V531" s="16">
        <v>12000</v>
      </c>
      <c r="W531" s="22">
        <v>169680</v>
      </c>
      <c r="X531" s="15"/>
      <c r="Y531" s="15"/>
      <c r="Z531" s="15"/>
      <c r="AA531" s="15"/>
      <c r="AB531" s="15" t="s">
        <v>328</v>
      </c>
      <c r="AC531" s="15"/>
      <c r="AD531" s="15" t="s">
        <v>332</v>
      </c>
      <c r="AE531" s="15"/>
      <c r="AF531" s="15"/>
      <c r="AG531" s="15"/>
      <c r="AH531" s="15"/>
      <c r="AI531" s="15"/>
      <c r="AJ531" s="15"/>
      <c r="AK531" s="15"/>
      <c r="AL531" s="15"/>
      <c r="AM531" s="15"/>
      <c r="AN531" s="16">
        <v>15000</v>
      </c>
      <c r="AO531" s="16">
        <v>15000</v>
      </c>
      <c r="AP531" s="16">
        <v>80000</v>
      </c>
      <c r="AQ531" s="16">
        <v>120000</v>
      </c>
      <c r="AR531" s="16" t="s">
        <v>385</v>
      </c>
      <c r="AS531" s="22">
        <v>90000</v>
      </c>
      <c r="AT531" s="22">
        <v>0</v>
      </c>
      <c r="AU531" s="22">
        <v>24000</v>
      </c>
      <c r="AV531" s="22">
        <v>24000</v>
      </c>
      <c r="AW531" s="22">
        <v>12000</v>
      </c>
      <c r="AX531" s="66">
        <v>0</v>
      </c>
      <c r="AY531" s="17" t="s">
        <v>1133</v>
      </c>
      <c r="AZ531" s="15" t="s">
        <v>348</v>
      </c>
      <c r="BA531" s="249">
        <f t="shared" si="17"/>
        <v>3</v>
      </c>
      <c r="BC531" s="249">
        <f t="shared" si="16"/>
        <v>2007</v>
      </c>
    </row>
    <row r="532" spans="1:55" x14ac:dyDescent="0.25">
      <c r="A532" s="51" t="s">
        <v>1856</v>
      </c>
      <c r="B532" s="63" t="s">
        <v>1084</v>
      </c>
      <c r="C532" s="15" t="s">
        <v>337</v>
      </c>
      <c r="D532" s="15">
        <v>2001</v>
      </c>
      <c r="E532" s="15" t="s">
        <v>407</v>
      </c>
      <c r="F532" s="15"/>
      <c r="G532" s="15"/>
      <c r="H532" s="15"/>
      <c r="I532" s="15"/>
      <c r="J532" s="16">
        <v>873678</v>
      </c>
      <c r="K532" s="15"/>
      <c r="L532" s="15" t="s">
        <v>328</v>
      </c>
      <c r="M532" s="15"/>
      <c r="N532" s="16">
        <v>9000</v>
      </c>
      <c r="O532" s="21">
        <v>0.1</v>
      </c>
      <c r="P532" s="15">
        <v>3</v>
      </c>
      <c r="Q532" s="15">
        <v>1150</v>
      </c>
      <c r="R532" s="16">
        <v>8625</v>
      </c>
      <c r="S532" s="15" t="s">
        <v>340</v>
      </c>
      <c r="T532" s="15">
        <v>2.5</v>
      </c>
      <c r="U532" s="15">
        <v>2.7</v>
      </c>
      <c r="V532" s="16">
        <v>60000</v>
      </c>
      <c r="W532" s="22">
        <v>848400</v>
      </c>
      <c r="X532" s="15"/>
      <c r="Y532" s="15" t="s">
        <v>328</v>
      </c>
      <c r="Z532" s="15"/>
      <c r="AA532" s="15"/>
      <c r="AB532" s="15"/>
      <c r="AC532" s="15"/>
      <c r="AD532" s="15" t="s">
        <v>328</v>
      </c>
      <c r="AE532" s="15"/>
      <c r="AF532" s="15"/>
      <c r="AG532" s="15"/>
      <c r="AH532" s="15"/>
      <c r="AI532" s="15"/>
      <c r="AJ532" s="15"/>
      <c r="AK532" s="15"/>
      <c r="AL532" s="15"/>
      <c r="AM532" s="15"/>
      <c r="AN532" s="16">
        <v>18000</v>
      </c>
      <c r="AO532" s="16">
        <v>36000</v>
      </c>
      <c r="AP532" s="16">
        <v>150000</v>
      </c>
      <c r="AQ532" s="16">
        <v>120000</v>
      </c>
      <c r="AR532" s="16">
        <v>36000</v>
      </c>
      <c r="AS532" s="22">
        <v>0</v>
      </c>
      <c r="AT532" s="22">
        <v>0</v>
      </c>
      <c r="AU532" s="22">
        <v>54000</v>
      </c>
      <c r="AV532" s="22">
        <v>30000</v>
      </c>
      <c r="AW532" s="22">
        <v>32400</v>
      </c>
      <c r="AX532" s="66">
        <v>0</v>
      </c>
      <c r="AY532" s="17" t="s">
        <v>708</v>
      </c>
      <c r="AZ532" s="15" t="s">
        <v>562</v>
      </c>
      <c r="BA532" s="249">
        <f t="shared" si="17"/>
        <v>1</v>
      </c>
      <c r="BC532" s="249">
        <f t="shared" si="16"/>
        <v>2001</v>
      </c>
    </row>
    <row r="533" spans="1:55" x14ac:dyDescent="0.25">
      <c r="A533" s="51" t="s">
        <v>1856</v>
      </c>
      <c r="B533" s="63" t="s">
        <v>1086</v>
      </c>
      <c r="C533" s="14" t="s">
        <v>351</v>
      </c>
      <c r="D533" s="15">
        <v>1992</v>
      </c>
      <c r="E533" s="15" t="s">
        <v>477</v>
      </c>
      <c r="F533" s="15"/>
      <c r="G533" s="15"/>
      <c r="H533" s="15"/>
      <c r="I533" s="15"/>
      <c r="J533" s="16">
        <v>856800</v>
      </c>
      <c r="K533" s="15"/>
      <c r="L533" s="15"/>
      <c r="M533" s="15" t="s">
        <v>328</v>
      </c>
      <c r="N533" s="16">
        <v>3400</v>
      </c>
      <c r="O533" s="21">
        <v>0.2</v>
      </c>
      <c r="P533" s="15">
        <v>2</v>
      </c>
      <c r="Q533" s="15">
        <v>675</v>
      </c>
      <c r="R533" s="16">
        <v>4185</v>
      </c>
      <c r="S533" s="15" t="s">
        <v>340</v>
      </c>
      <c r="T533" s="15">
        <v>3.1</v>
      </c>
      <c r="U533" s="15">
        <v>3.7</v>
      </c>
      <c r="V533" s="16">
        <v>13000</v>
      </c>
      <c r="W533" s="22">
        <v>183820</v>
      </c>
      <c r="X533" s="15"/>
      <c r="Y533" s="15"/>
      <c r="Z533" s="15"/>
      <c r="AA533" s="15"/>
      <c r="AB533" s="15" t="s">
        <v>328</v>
      </c>
      <c r="AC533" s="15"/>
      <c r="AD533" s="15" t="s">
        <v>332</v>
      </c>
      <c r="AE533" s="15"/>
      <c r="AF533" s="15"/>
      <c r="AG533" s="15"/>
      <c r="AH533" s="15"/>
      <c r="AI533" s="15"/>
      <c r="AJ533" s="15"/>
      <c r="AK533" s="15"/>
      <c r="AL533" s="15"/>
      <c r="AM533" s="15"/>
      <c r="AN533" s="16">
        <v>20000</v>
      </c>
      <c r="AO533" s="16">
        <v>20000</v>
      </c>
      <c r="AP533" s="16">
        <v>80000</v>
      </c>
      <c r="AQ533" s="16">
        <v>10000</v>
      </c>
      <c r="AR533" s="16">
        <v>20000</v>
      </c>
      <c r="AS533" s="22">
        <v>144000</v>
      </c>
      <c r="AT533" s="22">
        <v>0</v>
      </c>
      <c r="AU533" s="22">
        <v>30000</v>
      </c>
      <c r="AV533" s="22">
        <v>18000</v>
      </c>
      <c r="AW533" s="22">
        <v>0</v>
      </c>
      <c r="AX533" s="66">
        <v>0</v>
      </c>
      <c r="AY533" s="17" t="s">
        <v>1129</v>
      </c>
      <c r="AZ533" s="15" t="s">
        <v>351</v>
      </c>
      <c r="BA533" s="249">
        <f t="shared" si="17"/>
        <v>1</v>
      </c>
      <c r="BC533" s="249">
        <f t="shared" si="16"/>
        <v>1992</v>
      </c>
    </row>
    <row r="534" spans="1:55" x14ac:dyDescent="0.25">
      <c r="A534" s="51" t="s">
        <v>1856</v>
      </c>
      <c r="B534" s="63" t="s">
        <v>1088</v>
      </c>
      <c r="C534" s="14" t="s">
        <v>351</v>
      </c>
      <c r="D534" s="15">
        <v>1995</v>
      </c>
      <c r="E534" s="15" t="s">
        <v>407</v>
      </c>
      <c r="F534" s="15"/>
      <c r="G534" s="15"/>
      <c r="H534" s="15"/>
      <c r="I534" s="15"/>
      <c r="J534" s="16">
        <v>777600</v>
      </c>
      <c r="K534" s="15"/>
      <c r="L534" s="15"/>
      <c r="M534" s="15" t="s">
        <v>328</v>
      </c>
      <c r="N534" s="16">
        <v>3600</v>
      </c>
      <c r="O534" s="21">
        <v>0.1</v>
      </c>
      <c r="P534" s="15">
        <v>2</v>
      </c>
      <c r="Q534" s="15">
        <v>700</v>
      </c>
      <c r="R534" s="16">
        <v>4340</v>
      </c>
      <c r="S534" s="15" t="s">
        <v>340</v>
      </c>
      <c r="T534" s="15">
        <v>3.1</v>
      </c>
      <c r="U534" s="15">
        <v>3.8</v>
      </c>
      <c r="V534" s="16">
        <v>15000</v>
      </c>
      <c r="W534" s="22">
        <v>212100</v>
      </c>
      <c r="X534" s="15" t="s">
        <v>328</v>
      </c>
      <c r="Y534" s="15"/>
      <c r="Z534" s="15"/>
      <c r="AA534" s="15"/>
      <c r="AB534" s="15"/>
      <c r="AC534" s="15"/>
      <c r="AD534" s="15" t="s">
        <v>332</v>
      </c>
      <c r="AE534" s="15"/>
      <c r="AF534" s="15"/>
      <c r="AG534" s="15"/>
      <c r="AH534" s="15"/>
      <c r="AI534" s="15"/>
      <c r="AJ534" s="15"/>
      <c r="AK534" s="15"/>
      <c r="AL534" s="15"/>
      <c r="AM534" s="15"/>
      <c r="AN534" s="16">
        <v>36000</v>
      </c>
      <c r="AO534" s="16">
        <v>36000</v>
      </c>
      <c r="AP534" s="16">
        <v>110000</v>
      </c>
      <c r="AQ534" s="16">
        <v>140000</v>
      </c>
      <c r="AR534" s="16">
        <v>36000</v>
      </c>
      <c r="AS534" s="22">
        <v>0</v>
      </c>
      <c r="AT534" s="22">
        <v>0</v>
      </c>
      <c r="AU534" s="22">
        <v>36000</v>
      </c>
      <c r="AV534" s="22">
        <v>24000</v>
      </c>
      <c r="AW534" s="22">
        <v>0</v>
      </c>
      <c r="AX534" s="66">
        <v>0</v>
      </c>
      <c r="AY534" s="17" t="s">
        <v>1134</v>
      </c>
      <c r="AZ534" s="15" t="s">
        <v>351</v>
      </c>
      <c r="BA534" s="249">
        <f t="shared" si="17"/>
        <v>1</v>
      </c>
      <c r="BC534" s="249">
        <f t="shared" si="16"/>
        <v>1995</v>
      </c>
    </row>
    <row r="535" spans="1:55" x14ac:dyDescent="0.25">
      <c r="A535" s="51" t="s">
        <v>1856</v>
      </c>
      <c r="B535" s="63" t="s">
        <v>1089</v>
      </c>
      <c r="C535" s="15" t="s">
        <v>348</v>
      </c>
      <c r="D535" s="15">
        <v>1980</v>
      </c>
      <c r="E535" s="15" t="s">
        <v>360</v>
      </c>
      <c r="F535" s="15"/>
      <c r="G535" s="15"/>
      <c r="H535" s="15"/>
      <c r="I535" s="15"/>
      <c r="J535" s="16">
        <v>1267200</v>
      </c>
      <c r="K535" s="15"/>
      <c r="L535" s="15"/>
      <c r="M535" s="15" t="s">
        <v>328</v>
      </c>
      <c r="N535" s="16">
        <v>3200</v>
      </c>
      <c r="O535" s="21">
        <v>0.05</v>
      </c>
      <c r="P535" s="15">
        <v>2</v>
      </c>
      <c r="Q535" s="15">
        <v>350</v>
      </c>
      <c r="R535" s="16">
        <v>2940</v>
      </c>
      <c r="S535" s="15" t="s">
        <v>371</v>
      </c>
      <c r="T535" s="15">
        <v>4.2</v>
      </c>
      <c r="U535" s="15">
        <v>4.8</v>
      </c>
      <c r="V535" s="16">
        <v>10000</v>
      </c>
      <c r="W535" s="22">
        <v>141400</v>
      </c>
      <c r="X535" s="15"/>
      <c r="Y535" s="15"/>
      <c r="Z535" s="15"/>
      <c r="AA535" s="15" t="s">
        <v>328</v>
      </c>
      <c r="AB535" s="15"/>
      <c r="AC535" s="15"/>
      <c r="AD535" s="15" t="s">
        <v>332</v>
      </c>
      <c r="AE535" s="15"/>
      <c r="AF535" s="15"/>
      <c r="AG535" s="15"/>
      <c r="AH535" s="15"/>
      <c r="AI535" s="15"/>
      <c r="AJ535" s="15"/>
      <c r="AK535" s="15"/>
      <c r="AL535" s="15"/>
      <c r="AM535" s="15"/>
      <c r="AN535" s="16">
        <v>25000</v>
      </c>
      <c r="AO535" s="16">
        <v>25000</v>
      </c>
      <c r="AP535" s="16">
        <v>100000</v>
      </c>
      <c r="AQ535" s="16">
        <v>100000</v>
      </c>
      <c r="AR535" s="13" t="s">
        <v>385</v>
      </c>
      <c r="AS535" s="22">
        <v>0</v>
      </c>
      <c r="AT535" s="22">
        <v>0</v>
      </c>
      <c r="AU535" s="22">
        <v>15000</v>
      </c>
      <c r="AV535" s="22">
        <v>15000</v>
      </c>
      <c r="AW535" s="22">
        <v>9000</v>
      </c>
      <c r="AX535" s="66">
        <v>0</v>
      </c>
      <c r="AY535" s="17" t="s">
        <v>1135</v>
      </c>
      <c r="AZ535" s="15" t="s">
        <v>348</v>
      </c>
      <c r="BA535" s="249">
        <f t="shared" si="17"/>
        <v>1</v>
      </c>
      <c r="BC535" s="249">
        <f t="shared" si="16"/>
        <v>1980</v>
      </c>
    </row>
    <row r="536" spans="1:55" x14ac:dyDescent="0.25">
      <c r="A536" s="51" t="s">
        <v>1856</v>
      </c>
      <c r="B536" s="63" t="s">
        <v>1090</v>
      </c>
      <c r="C536" s="14" t="s">
        <v>351</v>
      </c>
      <c r="D536" s="15">
        <v>2001</v>
      </c>
      <c r="E536" s="15" t="s">
        <v>407</v>
      </c>
      <c r="F536" s="15"/>
      <c r="G536" s="15"/>
      <c r="H536" s="15"/>
      <c r="I536" s="15"/>
      <c r="J536" s="16">
        <v>1123108</v>
      </c>
      <c r="K536" s="15"/>
      <c r="L536" s="15" t="s">
        <v>328</v>
      </c>
      <c r="M536" s="15"/>
      <c r="N536" s="16">
        <v>8000</v>
      </c>
      <c r="O536" s="21">
        <v>0.1</v>
      </c>
      <c r="P536" s="15">
        <v>2</v>
      </c>
      <c r="Q536" s="15">
        <v>908</v>
      </c>
      <c r="R536" s="16">
        <v>5630</v>
      </c>
      <c r="S536" s="15" t="s">
        <v>340</v>
      </c>
      <c r="T536" s="15">
        <v>3.1</v>
      </c>
      <c r="U536" s="15">
        <v>3.7</v>
      </c>
      <c r="V536" s="16">
        <v>35000</v>
      </c>
      <c r="W536" s="22">
        <v>494900</v>
      </c>
      <c r="X536" s="15"/>
      <c r="Y536" s="15"/>
      <c r="Z536" s="15"/>
      <c r="AA536" s="15"/>
      <c r="AB536" s="15" t="s">
        <v>328</v>
      </c>
      <c r="AC536" s="15"/>
      <c r="AD536" s="15" t="s">
        <v>328</v>
      </c>
      <c r="AE536" s="15"/>
      <c r="AF536" s="15"/>
      <c r="AG536" s="15"/>
      <c r="AH536" s="15"/>
      <c r="AI536" s="15"/>
      <c r="AJ536" s="15"/>
      <c r="AK536" s="15"/>
      <c r="AL536" s="15"/>
      <c r="AM536" s="15"/>
      <c r="AN536" s="16">
        <v>18000</v>
      </c>
      <c r="AO536" s="16">
        <v>36000</v>
      </c>
      <c r="AP536" s="16">
        <v>200000</v>
      </c>
      <c r="AQ536" s="16">
        <v>120000</v>
      </c>
      <c r="AR536" s="16">
        <v>36000</v>
      </c>
      <c r="AS536" s="22">
        <v>0</v>
      </c>
      <c r="AT536" s="22">
        <v>0</v>
      </c>
      <c r="AU536" s="22">
        <v>50000</v>
      </c>
      <c r="AV536" s="22">
        <v>20000</v>
      </c>
      <c r="AW536" s="22">
        <v>17000</v>
      </c>
      <c r="AX536" s="66">
        <v>0</v>
      </c>
      <c r="AY536" s="17" t="s">
        <v>583</v>
      </c>
      <c r="AZ536" s="15" t="s">
        <v>351</v>
      </c>
      <c r="BA536" s="249">
        <f t="shared" si="17"/>
        <v>1</v>
      </c>
      <c r="BC536" s="249">
        <f t="shared" si="16"/>
        <v>2001</v>
      </c>
    </row>
    <row r="537" spans="1:55" x14ac:dyDescent="0.25">
      <c r="A537" s="51" t="s">
        <v>1856</v>
      </c>
      <c r="B537" s="63" t="s">
        <v>1092</v>
      </c>
      <c r="C537" s="15" t="s">
        <v>337</v>
      </c>
      <c r="D537" s="15">
        <v>2002</v>
      </c>
      <c r="E537" s="15" t="s">
        <v>475</v>
      </c>
      <c r="F537" s="15"/>
      <c r="G537" s="15"/>
      <c r="H537" s="15"/>
      <c r="I537" s="15"/>
      <c r="J537" s="16">
        <v>1200972</v>
      </c>
      <c r="K537" s="15"/>
      <c r="L537" s="15" t="s">
        <v>328</v>
      </c>
      <c r="M537" s="15"/>
      <c r="N537" s="16">
        <v>8333.3333333333339</v>
      </c>
      <c r="O537" s="21">
        <v>0</v>
      </c>
      <c r="P537" s="15">
        <v>2</v>
      </c>
      <c r="Q537" s="15">
        <v>950</v>
      </c>
      <c r="R537" s="16">
        <v>4560</v>
      </c>
      <c r="S537" s="15" t="s">
        <v>340</v>
      </c>
      <c r="T537" s="15">
        <v>2.4</v>
      </c>
      <c r="U537" s="15">
        <v>2.8</v>
      </c>
      <c r="V537" s="16">
        <v>40000</v>
      </c>
      <c r="W537" s="22">
        <v>565600</v>
      </c>
      <c r="X537" s="15"/>
      <c r="Y537" s="15"/>
      <c r="Z537" s="15"/>
      <c r="AA537" s="15"/>
      <c r="AB537" s="15" t="s">
        <v>328</v>
      </c>
      <c r="AC537" s="15"/>
      <c r="AD537" s="15" t="s">
        <v>328</v>
      </c>
      <c r="AE537" s="15"/>
      <c r="AF537" s="15"/>
      <c r="AG537" s="15"/>
      <c r="AH537" s="15"/>
      <c r="AI537" s="15"/>
      <c r="AJ537" s="15"/>
      <c r="AK537" s="15"/>
      <c r="AL537" s="15"/>
      <c r="AM537" s="15"/>
      <c r="AN537" s="16">
        <v>20000</v>
      </c>
      <c r="AO537" s="16">
        <v>20000</v>
      </c>
      <c r="AP537" s="16">
        <v>200000</v>
      </c>
      <c r="AQ537" s="16">
        <v>120000</v>
      </c>
      <c r="AR537" s="16">
        <v>20000</v>
      </c>
      <c r="AS537" s="22">
        <v>0</v>
      </c>
      <c r="AT537" s="22">
        <v>0</v>
      </c>
      <c r="AU537" s="22">
        <v>90000</v>
      </c>
      <c r="AV537" s="22">
        <v>20000</v>
      </c>
      <c r="AW537" s="22">
        <v>23000</v>
      </c>
      <c r="AX537" s="66">
        <v>0</v>
      </c>
      <c r="AY537" s="17" t="s">
        <v>585</v>
      </c>
      <c r="AZ537" s="15" t="s">
        <v>562</v>
      </c>
      <c r="BA537" s="249">
        <f t="shared" si="17"/>
        <v>1</v>
      </c>
      <c r="BC537" s="249">
        <f t="shared" si="16"/>
        <v>2002</v>
      </c>
    </row>
    <row r="538" spans="1:55" x14ac:dyDescent="0.25">
      <c r="A538" s="51" t="s">
        <v>1856</v>
      </c>
      <c r="B538" s="63" t="s">
        <v>1094</v>
      </c>
      <c r="C538" s="15" t="s">
        <v>348</v>
      </c>
      <c r="D538" s="15">
        <v>1999</v>
      </c>
      <c r="E538" s="15" t="s">
        <v>367</v>
      </c>
      <c r="F538" s="15"/>
      <c r="G538" s="15"/>
      <c r="H538" s="15"/>
      <c r="I538" s="15"/>
      <c r="J538" s="16">
        <v>201600</v>
      </c>
      <c r="K538" s="15"/>
      <c r="L538" s="15" t="s">
        <v>328</v>
      </c>
      <c r="M538" s="15"/>
      <c r="N538" s="16">
        <v>1200</v>
      </c>
      <c r="O538" s="21">
        <v>0.2</v>
      </c>
      <c r="P538" s="15">
        <v>2</v>
      </c>
      <c r="Q538" s="15">
        <v>350</v>
      </c>
      <c r="R538" s="16">
        <v>2870</v>
      </c>
      <c r="S538" s="15" t="s">
        <v>371</v>
      </c>
      <c r="T538" s="15">
        <v>4.0999999999999996</v>
      </c>
      <c r="U538" s="15">
        <v>4.7</v>
      </c>
      <c r="V538" s="16">
        <v>14000</v>
      </c>
      <c r="W538" s="22">
        <v>197960</v>
      </c>
      <c r="X538" s="15"/>
      <c r="Y538" s="15"/>
      <c r="Z538" s="15"/>
      <c r="AA538" s="15"/>
      <c r="AB538" s="15" t="s">
        <v>328</v>
      </c>
      <c r="AC538" s="15"/>
      <c r="AD538" s="15" t="s">
        <v>332</v>
      </c>
      <c r="AE538" s="15"/>
      <c r="AF538" s="15"/>
      <c r="AG538" s="15"/>
      <c r="AH538" s="15"/>
      <c r="AI538" s="15"/>
      <c r="AJ538" s="15"/>
      <c r="AK538" s="15"/>
      <c r="AL538" s="15"/>
      <c r="AM538" s="15"/>
      <c r="AN538" s="16">
        <v>24000</v>
      </c>
      <c r="AO538" s="16">
        <v>24000</v>
      </c>
      <c r="AP538" s="16">
        <v>120000</v>
      </c>
      <c r="AQ538" s="16">
        <v>130000</v>
      </c>
      <c r="AR538" s="16" t="s">
        <v>385</v>
      </c>
      <c r="AS538" s="22">
        <v>115200</v>
      </c>
      <c r="AT538" s="22">
        <v>0</v>
      </c>
      <c r="AU538" s="22">
        <v>18000</v>
      </c>
      <c r="AV538" s="22">
        <v>24000</v>
      </c>
      <c r="AW538" s="22">
        <v>14400</v>
      </c>
      <c r="AX538" s="66">
        <v>0</v>
      </c>
      <c r="AY538" s="17" t="s">
        <v>704</v>
      </c>
      <c r="AZ538" s="15" t="s">
        <v>348</v>
      </c>
      <c r="BA538" s="249">
        <f t="shared" si="17"/>
        <v>2</v>
      </c>
      <c r="BC538" s="249">
        <f t="shared" si="16"/>
        <v>1999</v>
      </c>
    </row>
    <row r="539" spans="1:55" x14ac:dyDescent="0.25">
      <c r="A539" s="51" t="s">
        <v>1856</v>
      </c>
      <c r="B539" s="63" t="s">
        <v>1094</v>
      </c>
      <c r="C539" s="15" t="s">
        <v>348</v>
      </c>
      <c r="D539" s="15">
        <v>2004</v>
      </c>
      <c r="E539" s="15" t="s">
        <v>367</v>
      </c>
      <c r="F539" s="15"/>
      <c r="G539" s="15"/>
      <c r="H539" s="15"/>
      <c r="I539" s="15"/>
      <c r="J539" s="16">
        <v>619757</v>
      </c>
      <c r="K539" s="15"/>
      <c r="L539" s="15" t="s">
        <v>328</v>
      </c>
      <c r="M539" s="15"/>
      <c r="N539" s="16">
        <v>1500</v>
      </c>
      <c r="O539" s="21">
        <v>0.2</v>
      </c>
      <c r="P539" s="15">
        <v>2</v>
      </c>
      <c r="Q539" s="15">
        <v>400</v>
      </c>
      <c r="R539" s="16">
        <v>3600</v>
      </c>
      <c r="S539" s="15" t="s">
        <v>371</v>
      </c>
      <c r="T539" s="15">
        <v>4.5</v>
      </c>
      <c r="U539" s="15">
        <v>5</v>
      </c>
      <c r="V539" s="16">
        <v>17000</v>
      </c>
      <c r="W539" s="22">
        <v>240380</v>
      </c>
      <c r="X539" s="15"/>
      <c r="Y539" s="15"/>
      <c r="Z539" s="15"/>
      <c r="AA539" s="15"/>
      <c r="AB539" s="15"/>
      <c r="AC539" s="15" t="s">
        <v>328</v>
      </c>
      <c r="AD539" s="15" t="s">
        <v>332</v>
      </c>
      <c r="AE539" s="15"/>
      <c r="AF539" s="15"/>
      <c r="AG539" s="15"/>
      <c r="AH539" s="15"/>
      <c r="AI539" s="15"/>
      <c r="AJ539" s="15"/>
      <c r="AK539" s="15"/>
      <c r="AL539" s="15"/>
      <c r="AM539" s="15"/>
      <c r="AN539" s="16">
        <v>24000</v>
      </c>
      <c r="AO539" s="16">
        <v>24000</v>
      </c>
      <c r="AP539" s="16">
        <v>120000</v>
      </c>
      <c r="AQ539" s="16">
        <v>130000</v>
      </c>
      <c r="AR539" s="16" t="s">
        <v>385</v>
      </c>
      <c r="AS539" s="22">
        <v>0</v>
      </c>
      <c r="AT539" s="22">
        <v>0</v>
      </c>
      <c r="AU539" s="22">
        <v>18000</v>
      </c>
      <c r="AV539" s="22">
        <v>30000</v>
      </c>
      <c r="AW539" s="22">
        <v>15600</v>
      </c>
      <c r="AX539" s="66">
        <v>0</v>
      </c>
      <c r="AY539" s="17" t="s">
        <v>687</v>
      </c>
      <c r="AZ539" s="15" t="s">
        <v>348</v>
      </c>
      <c r="BA539" s="249">
        <f t="shared" si="17"/>
        <v>2</v>
      </c>
      <c r="BC539" s="249">
        <f t="shared" si="16"/>
        <v>2004</v>
      </c>
    </row>
    <row r="540" spans="1:55" x14ac:dyDescent="0.25">
      <c r="A540" s="51" t="s">
        <v>1856</v>
      </c>
      <c r="B540" s="63" t="s">
        <v>1096</v>
      </c>
      <c r="C540" s="14" t="s">
        <v>351</v>
      </c>
      <c r="D540" s="15">
        <v>1997</v>
      </c>
      <c r="E540" s="15" t="s">
        <v>349</v>
      </c>
      <c r="F540" s="15"/>
      <c r="G540" s="15"/>
      <c r="H540" s="15"/>
      <c r="I540" s="15"/>
      <c r="J540" s="16">
        <v>768000</v>
      </c>
      <c r="K540" s="15"/>
      <c r="L540" s="15"/>
      <c r="M540" s="15" t="s">
        <v>328</v>
      </c>
      <c r="N540" s="16">
        <v>4000</v>
      </c>
      <c r="O540" s="21">
        <v>0</v>
      </c>
      <c r="P540" s="15">
        <v>2</v>
      </c>
      <c r="Q540" s="15">
        <v>800</v>
      </c>
      <c r="R540" s="16">
        <v>4960</v>
      </c>
      <c r="S540" s="15" t="s">
        <v>340</v>
      </c>
      <c r="T540" s="15">
        <v>3.1</v>
      </c>
      <c r="U540" s="15">
        <v>3.7</v>
      </c>
      <c r="V540" s="16">
        <v>15000</v>
      </c>
      <c r="W540" s="22">
        <v>212100</v>
      </c>
      <c r="X540" s="15"/>
      <c r="Y540" s="15" t="s">
        <v>328</v>
      </c>
      <c r="Z540" s="15"/>
      <c r="AA540" s="15"/>
      <c r="AB540" s="15"/>
      <c r="AC540" s="15"/>
      <c r="AD540" s="15" t="s">
        <v>332</v>
      </c>
      <c r="AE540" s="15"/>
      <c r="AF540" s="15"/>
      <c r="AG540" s="15"/>
      <c r="AH540" s="15"/>
      <c r="AI540" s="15"/>
      <c r="AJ540" s="15"/>
      <c r="AK540" s="15"/>
      <c r="AL540" s="15"/>
      <c r="AM540" s="15"/>
      <c r="AN540" s="16">
        <v>24000</v>
      </c>
      <c r="AO540" s="16">
        <v>24000</v>
      </c>
      <c r="AP540" s="16">
        <v>60000</v>
      </c>
      <c r="AQ540" s="16">
        <v>100000</v>
      </c>
      <c r="AR540" s="16">
        <v>24000</v>
      </c>
      <c r="AS540" s="22">
        <v>0</v>
      </c>
      <c r="AT540" s="22">
        <v>0</v>
      </c>
      <c r="AU540" s="22">
        <v>20000</v>
      </c>
      <c r="AV540" s="22">
        <v>20000</v>
      </c>
      <c r="AW540" s="22">
        <v>0</v>
      </c>
      <c r="AX540" s="66">
        <v>0</v>
      </c>
      <c r="AY540" s="17" t="s">
        <v>701</v>
      </c>
      <c r="AZ540" s="15" t="s">
        <v>351</v>
      </c>
      <c r="BA540" s="249">
        <f t="shared" si="17"/>
        <v>1</v>
      </c>
      <c r="BC540" s="249">
        <f t="shared" si="16"/>
        <v>1997</v>
      </c>
    </row>
    <row r="541" spans="1:55" x14ac:dyDescent="0.25">
      <c r="A541" s="51" t="s">
        <v>1856</v>
      </c>
      <c r="B541" s="63" t="s">
        <v>1098</v>
      </c>
      <c r="C541" s="14" t="s">
        <v>351</v>
      </c>
      <c r="D541" s="15">
        <v>2000</v>
      </c>
      <c r="E541" s="15" t="s">
        <v>407</v>
      </c>
      <c r="F541" s="15"/>
      <c r="G541" s="15"/>
      <c r="H541" s="15"/>
      <c r="I541" s="15"/>
      <c r="J541" s="16">
        <v>976214</v>
      </c>
      <c r="K541" s="15"/>
      <c r="L541" s="15"/>
      <c r="M541" s="15" t="s">
        <v>328</v>
      </c>
      <c r="N541" s="16">
        <v>4800</v>
      </c>
      <c r="O541" s="21">
        <v>0</v>
      </c>
      <c r="P541" s="15">
        <v>2</v>
      </c>
      <c r="Q541" s="15">
        <v>900</v>
      </c>
      <c r="R541" s="16">
        <v>5400</v>
      </c>
      <c r="S541" s="15" t="s">
        <v>340</v>
      </c>
      <c r="T541" s="15">
        <v>3</v>
      </c>
      <c r="U541" s="15">
        <v>3.7</v>
      </c>
      <c r="V541" s="16">
        <v>20000</v>
      </c>
      <c r="W541" s="22">
        <v>282800</v>
      </c>
      <c r="X541" s="15"/>
      <c r="Y541" s="15"/>
      <c r="Z541" s="15"/>
      <c r="AA541" s="15"/>
      <c r="AB541" s="15" t="s">
        <v>328</v>
      </c>
      <c r="AC541" s="15"/>
      <c r="AD541" s="15" t="s">
        <v>328</v>
      </c>
      <c r="AE541" s="15"/>
      <c r="AF541" s="15"/>
      <c r="AG541" s="15"/>
      <c r="AH541" s="15"/>
      <c r="AI541" s="15"/>
      <c r="AJ541" s="15"/>
      <c r="AK541" s="15"/>
      <c r="AL541" s="15"/>
      <c r="AM541" s="15"/>
      <c r="AN541" s="16">
        <v>20000</v>
      </c>
      <c r="AO541" s="16">
        <v>40000</v>
      </c>
      <c r="AP541" s="16">
        <v>80000</v>
      </c>
      <c r="AQ541" s="16">
        <v>140000</v>
      </c>
      <c r="AR541" s="16">
        <v>40000</v>
      </c>
      <c r="AS541" s="22">
        <v>0</v>
      </c>
      <c r="AT541" s="22">
        <v>0</v>
      </c>
      <c r="AU541" s="22">
        <v>48000</v>
      </c>
      <c r="AV541" s="22">
        <v>24000</v>
      </c>
      <c r="AW541" s="22">
        <v>0</v>
      </c>
      <c r="AX541" s="66">
        <v>0</v>
      </c>
      <c r="AY541" s="17" t="s">
        <v>708</v>
      </c>
      <c r="AZ541" s="15" t="s">
        <v>351</v>
      </c>
      <c r="BA541" s="249">
        <f t="shared" si="17"/>
        <v>1</v>
      </c>
      <c r="BC541" s="249">
        <f t="shared" si="16"/>
        <v>2000</v>
      </c>
    </row>
    <row r="542" spans="1:55" x14ac:dyDescent="0.25">
      <c r="A542" s="51" t="s">
        <v>1856</v>
      </c>
      <c r="B542" s="63" t="s">
        <v>1100</v>
      </c>
      <c r="C542" s="14" t="s">
        <v>351</v>
      </c>
      <c r="D542" s="15">
        <v>1985</v>
      </c>
      <c r="E542" s="15" t="s">
        <v>581</v>
      </c>
      <c r="F542" s="15"/>
      <c r="G542" s="15"/>
      <c r="H542" s="15"/>
      <c r="I542" s="15"/>
      <c r="J542" s="16">
        <v>1344000</v>
      </c>
      <c r="K542" s="15"/>
      <c r="L542" s="15"/>
      <c r="M542" s="15" t="s">
        <v>328</v>
      </c>
      <c r="N542" s="16">
        <v>4000</v>
      </c>
      <c r="O542" s="21">
        <v>0</v>
      </c>
      <c r="P542" s="15">
        <v>2</v>
      </c>
      <c r="Q542" s="15">
        <v>350</v>
      </c>
      <c r="R542" s="16">
        <v>2170</v>
      </c>
      <c r="S542" s="15" t="s">
        <v>340</v>
      </c>
      <c r="T542" s="15">
        <v>3.1</v>
      </c>
      <c r="U542" s="15">
        <v>3.6</v>
      </c>
      <c r="V542" s="16">
        <v>15000</v>
      </c>
      <c r="W542" s="22">
        <v>212100</v>
      </c>
      <c r="X542" s="15"/>
      <c r="Y542" s="15" t="s">
        <v>328</v>
      </c>
      <c r="Z542" s="15"/>
      <c r="AA542" s="15"/>
      <c r="AB542" s="15"/>
      <c r="AC542" s="15"/>
      <c r="AD542" s="15" t="s">
        <v>332</v>
      </c>
      <c r="AE542" s="15"/>
      <c r="AF542" s="15"/>
      <c r="AG542" s="15"/>
      <c r="AH542" s="15"/>
      <c r="AI542" s="15"/>
      <c r="AJ542" s="15"/>
      <c r="AK542" s="15"/>
      <c r="AL542" s="15"/>
      <c r="AM542" s="15"/>
      <c r="AN542" s="16">
        <v>24000</v>
      </c>
      <c r="AO542" s="16">
        <v>24000</v>
      </c>
      <c r="AP542" s="16">
        <v>180000</v>
      </c>
      <c r="AQ542" s="16">
        <v>120000</v>
      </c>
      <c r="AR542" s="16">
        <v>24000</v>
      </c>
      <c r="AS542" s="22">
        <v>0</v>
      </c>
      <c r="AT542" s="22">
        <v>0</v>
      </c>
      <c r="AU542" s="22">
        <v>50000</v>
      </c>
      <c r="AV542" s="22">
        <v>25000</v>
      </c>
      <c r="AW542" s="22">
        <v>0</v>
      </c>
      <c r="AX542" s="66">
        <v>0</v>
      </c>
      <c r="AZ542" s="15" t="s">
        <v>351</v>
      </c>
      <c r="BA542" s="249">
        <f t="shared" si="17"/>
        <v>1</v>
      </c>
      <c r="BC542" s="249">
        <f t="shared" si="16"/>
        <v>1985</v>
      </c>
    </row>
    <row r="543" spans="1:55" x14ac:dyDescent="0.25">
      <c r="A543" s="51" t="s">
        <v>1856</v>
      </c>
      <c r="B543" s="63" t="s">
        <v>1101</v>
      </c>
      <c r="C543" s="14" t="s">
        <v>351</v>
      </c>
      <c r="D543" s="15">
        <v>2001</v>
      </c>
      <c r="E543" s="15" t="s">
        <v>407</v>
      </c>
      <c r="F543" s="15"/>
      <c r="G543" s="15"/>
      <c r="H543" s="15"/>
      <c r="I543" s="15"/>
      <c r="J543" s="16">
        <v>990108</v>
      </c>
      <c r="K543" s="15"/>
      <c r="L543" s="15" t="s">
        <v>328</v>
      </c>
      <c r="M543" s="15"/>
      <c r="N543" s="16">
        <v>6000</v>
      </c>
      <c r="O543" s="21">
        <v>0.1</v>
      </c>
      <c r="P543" s="15">
        <v>2</v>
      </c>
      <c r="Q543" s="15">
        <v>900</v>
      </c>
      <c r="R543" s="16">
        <v>5400</v>
      </c>
      <c r="S543" s="15" t="s">
        <v>340</v>
      </c>
      <c r="T543" s="15">
        <v>3</v>
      </c>
      <c r="U543" s="15">
        <v>3.6</v>
      </c>
      <c r="V543" s="16">
        <v>25000</v>
      </c>
      <c r="W543" s="22">
        <v>353500</v>
      </c>
      <c r="X543" s="15"/>
      <c r="Y543" s="15"/>
      <c r="Z543" s="15"/>
      <c r="AA543" s="15"/>
      <c r="AB543" s="15" t="s">
        <v>328</v>
      </c>
      <c r="AC543" s="15"/>
      <c r="AD543" s="15" t="s">
        <v>328</v>
      </c>
      <c r="AE543" s="15"/>
      <c r="AF543" s="15"/>
      <c r="AG543" s="15"/>
      <c r="AH543" s="15"/>
      <c r="AI543" s="15"/>
      <c r="AJ543" s="15"/>
      <c r="AK543" s="15"/>
      <c r="AL543" s="15"/>
      <c r="AM543" s="15"/>
      <c r="AN543" s="16">
        <v>18000</v>
      </c>
      <c r="AO543" s="16">
        <v>36000</v>
      </c>
      <c r="AP543" s="16">
        <v>120000</v>
      </c>
      <c r="AQ543" s="16">
        <v>140000</v>
      </c>
      <c r="AR543" s="16">
        <v>36000</v>
      </c>
      <c r="AS543" s="22">
        <v>0</v>
      </c>
      <c r="AT543" s="22">
        <v>0</v>
      </c>
      <c r="AU543" s="22">
        <v>60000</v>
      </c>
      <c r="AV543" s="22">
        <v>36000</v>
      </c>
      <c r="AW543" s="22">
        <v>21600</v>
      </c>
      <c r="AX543" s="66">
        <v>0</v>
      </c>
      <c r="AY543" s="17" t="s">
        <v>583</v>
      </c>
      <c r="AZ543" s="15" t="s">
        <v>351</v>
      </c>
      <c r="BA543" s="249">
        <f t="shared" si="17"/>
        <v>1</v>
      </c>
      <c r="BC543" s="249">
        <f t="shared" si="16"/>
        <v>2001</v>
      </c>
    </row>
    <row r="544" spans="1:55" x14ac:dyDescent="0.25">
      <c r="A544" s="51" t="s">
        <v>1856</v>
      </c>
      <c r="B544" s="63" t="s">
        <v>1103</v>
      </c>
      <c r="C544" s="14" t="s">
        <v>351</v>
      </c>
      <c r="D544" s="15">
        <v>1998</v>
      </c>
      <c r="E544" s="15" t="s">
        <v>407</v>
      </c>
      <c r="F544" s="15"/>
      <c r="G544" s="15"/>
      <c r="H544" s="15"/>
      <c r="I544" s="15"/>
      <c r="J544" s="16">
        <v>899655</v>
      </c>
      <c r="K544" s="15"/>
      <c r="L544" s="15"/>
      <c r="M544" s="15" t="s">
        <v>328</v>
      </c>
      <c r="N544" s="16">
        <v>3200</v>
      </c>
      <c r="O544" s="21">
        <v>0</v>
      </c>
      <c r="P544" s="15">
        <v>2</v>
      </c>
      <c r="Q544" s="15">
        <v>906</v>
      </c>
      <c r="R544" s="16">
        <v>5436</v>
      </c>
      <c r="S544" s="15" t="s">
        <v>340</v>
      </c>
      <c r="T544" s="15">
        <v>3</v>
      </c>
      <c r="U544" s="15">
        <v>3.5</v>
      </c>
      <c r="V544" s="16">
        <v>13000</v>
      </c>
      <c r="W544" s="22">
        <v>183820</v>
      </c>
      <c r="X544" s="15"/>
      <c r="Y544" s="15"/>
      <c r="Z544" s="15"/>
      <c r="AA544" s="15"/>
      <c r="AB544" s="15" t="s">
        <v>328</v>
      </c>
      <c r="AC544" s="15"/>
      <c r="AD544" s="15" t="s">
        <v>328</v>
      </c>
      <c r="AE544" s="15"/>
      <c r="AF544" s="15"/>
      <c r="AG544" s="15"/>
      <c r="AH544" s="15"/>
      <c r="AI544" s="15"/>
      <c r="AJ544" s="15"/>
      <c r="AK544" s="15"/>
      <c r="AL544" s="15"/>
      <c r="AM544" s="15"/>
      <c r="AN544" s="16">
        <v>19000</v>
      </c>
      <c r="AO544" s="16">
        <v>19000</v>
      </c>
      <c r="AP544" s="16">
        <v>80000</v>
      </c>
      <c r="AQ544" s="16">
        <v>130000</v>
      </c>
      <c r="AR544" s="16">
        <v>19000</v>
      </c>
      <c r="AS544" s="22">
        <v>91200</v>
      </c>
      <c r="AT544" s="22">
        <v>0</v>
      </c>
      <c r="AU544" s="22">
        <v>42000</v>
      </c>
      <c r="AV544" s="22">
        <v>24000</v>
      </c>
      <c r="AW544" s="22">
        <v>0</v>
      </c>
      <c r="AX544" s="66">
        <v>0</v>
      </c>
      <c r="AY544" s="17" t="s">
        <v>708</v>
      </c>
      <c r="AZ544" s="15" t="s">
        <v>351</v>
      </c>
      <c r="BA544" s="249">
        <f t="shared" si="17"/>
        <v>2</v>
      </c>
      <c r="BC544" s="249">
        <f t="shared" si="16"/>
        <v>1998</v>
      </c>
    </row>
    <row r="545" spans="1:55" x14ac:dyDescent="0.25">
      <c r="A545" s="51" t="s">
        <v>1856</v>
      </c>
      <c r="B545" s="63" t="s">
        <v>1103</v>
      </c>
      <c r="C545" s="14" t="s">
        <v>351</v>
      </c>
      <c r="D545" s="15">
        <v>2001</v>
      </c>
      <c r="E545" s="15" t="s">
        <v>407</v>
      </c>
      <c r="F545" s="15"/>
      <c r="G545" s="15"/>
      <c r="H545" s="15"/>
      <c r="I545" s="15"/>
      <c r="J545" s="16">
        <v>721871</v>
      </c>
      <c r="K545" s="15"/>
      <c r="L545" s="15" t="s">
        <v>328</v>
      </c>
      <c r="M545" s="15"/>
      <c r="N545" s="16">
        <v>3200</v>
      </c>
      <c r="O545" s="21">
        <v>0</v>
      </c>
      <c r="P545" s="15">
        <v>2</v>
      </c>
      <c r="Q545" s="15">
        <v>914</v>
      </c>
      <c r="R545" s="16">
        <v>5484</v>
      </c>
      <c r="S545" s="15" t="s">
        <v>340</v>
      </c>
      <c r="T545" s="15">
        <v>3</v>
      </c>
      <c r="U545" s="15">
        <v>3.5</v>
      </c>
      <c r="V545" s="16">
        <v>13000</v>
      </c>
      <c r="W545" s="22">
        <v>183820</v>
      </c>
      <c r="X545" s="15"/>
      <c r="Y545" s="15"/>
      <c r="Z545" s="15"/>
      <c r="AA545" s="15"/>
      <c r="AB545" s="15" t="s">
        <v>328</v>
      </c>
      <c r="AC545" s="15"/>
      <c r="AD545" s="15" t="s">
        <v>328</v>
      </c>
      <c r="AE545" s="15"/>
      <c r="AF545" s="15"/>
      <c r="AG545" s="15"/>
      <c r="AH545" s="15"/>
      <c r="AI545" s="15"/>
      <c r="AJ545" s="15"/>
      <c r="AK545" s="15"/>
      <c r="AL545" s="15"/>
      <c r="AM545" s="15"/>
      <c r="AN545" s="16">
        <v>19000</v>
      </c>
      <c r="AO545" s="16">
        <v>19000</v>
      </c>
      <c r="AP545" s="16">
        <v>80000</v>
      </c>
      <c r="AQ545" s="16">
        <v>130000</v>
      </c>
      <c r="AR545" s="16">
        <v>19000</v>
      </c>
      <c r="AS545" s="22">
        <v>0</v>
      </c>
      <c r="AT545" s="22">
        <v>0</v>
      </c>
      <c r="AU545" s="22">
        <v>42000</v>
      </c>
      <c r="AV545" s="22">
        <v>24000</v>
      </c>
      <c r="AW545" s="22">
        <v>0</v>
      </c>
      <c r="AX545" s="66">
        <v>0</v>
      </c>
      <c r="AY545" s="17" t="s">
        <v>708</v>
      </c>
      <c r="AZ545" s="15" t="s">
        <v>351</v>
      </c>
      <c r="BA545" s="249">
        <f t="shared" si="17"/>
        <v>2</v>
      </c>
      <c r="BC545" s="249">
        <f t="shared" si="16"/>
        <v>2001</v>
      </c>
    </row>
    <row r="546" spans="1:55" x14ac:dyDescent="0.25">
      <c r="A546" s="51" t="s">
        <v>1856</v>
      </c>
      <c r="B546" s="63" t="s">
        <v>1104</v>
      </c>
      <c r="C546" s="15" t="s">
        <v>337</v>
      </c>
      <c r="D546" s="15">
        <v>2001</v>
      </c>
      <c r="E546" s="15" t="s">
        <v>407</v>
      </c>
      <c r="F546" s="15"/>
      <c r="G546" s="15"/>
      <c r="H546" s="15"/>
      <c r="I546" s="15"/>
      <c r="J546" s="16">
        <v>873119</v>
      </c>
      <c r="K546" s="15"/>
      <c r="L546" s="15"/>
      <c r="M546" s="15" t="s">
        <v>328</v>
      </c>
      <c r="N546" s="16">
        <v>4800</v>
      </c>
      <c r="O546" s="21">
        <v>0.2</v>
      </c>
      <c r="P546" s="15">
        <v>2</v>
      </c>
      <c r="Q546" s="15">
        <v>950</v>
      </c>
      <c r="R546" s="16">
        <v>4560</v>
      </c>
      <c r="S546" s="15" t="s">
        <v>340</v>
      </c>
      <c r="T546" s="15">
        <v>2.4</v>
      </c>
      <c r="U546" s="15">
        <v>2.7</v>
      </c>
      <c r="V546" s="16">
        <v>25000</v>
      </c>
      <c r="W546" s="22">
        <v>353500</v>
      </c>
      <c r="X546" s="15"/>
      <c r="Y546" s="15"/>
      <c r="Z546" s="15"/>
      <c r="AA546" s="15"/>
      <c r="AB546" s="15" t="s">
        <v>328</v>
      </c>
      <c r="AC546" s="15"/>
      <c r="AD546" s="15" t="s">
        <v>328</v>
      </c>
      <c r="AE546" s="15"/>
      <c r="AF546" s="15"/>
      <c r="AG546" s="15"/>
      <c r="AH546" s="15"/>
      <c r="AI546" s="15"/>
      <c r="AJ546" s="15"/>
      <c r="AK546" s="15"/>
      <c r="AL546" s="15"/>
      <c r="AM546" s="15"/>
      <c r="AN546" s="16">
        <v>25000</v>
      </c>
      <c r="AO546" s="16">
        <v>25000</v>
      </c>
      <c r="AP546" s="16">
        <v>150000</v>
      </c>
      <c r="AQ546" s="16">
        <v>100000</v>
      </c>
      <c r="AR546" s="16">
        <v>25000</v>
      </c>
      <c r="AS546" s="22">
        <v>116400</v>
      </c>
      <c r="AT546" s="22">
        <v>0</v>
      </c>
      <c r="AU546" s="22">
        <v>66000</v>
      </c>
      <c r="AV546" s="22">
        <v>30000</v>
      </c>
      <c r="AW546" s="22">
        <v>21600</v>
      </c>
      <c r="AX546" s="66">
        <v>0</v>
      </c>
      <c r="AY546" s="17" t="s">
        <v>708</v>
      </c>
      <c r="AZ546" s="15" t="s">
        <v>562</v>
      </c>
      <c r="BA546" s="249">
        <f t="shared" si="17"/>
        <v>1</v>
      </c>
      <c r="BC546" s="249">
        <f t="shared" si="16"/>
        <v>2001</v>
      </c>
    </row>
    <row r="547" spans="1:55" x14ac:dyDescent="0.25">
      <c r="A547" s="51" t="s">
        <v>1856</v>
      </c>
      <c r="B547" s="63" t="s">
        <v>1106</v>
      </c>
      <c r="C547" s="14" t="s">
        <v>351</v>
      </c>
      <c r="D547" s="15">
        <v>2004</v>
      </c>
      <c r="E547" s="15" t="s">
        <v>407</v>
      </c>
      <c r="F547" s="15"/>
      <c r="G547" s="15"/>
      <c r="H547" s="15"/>
      <c r="I547" s="15"/>
      <c r="J547" s="16">
        <v>763401</v>
      </c>
      <c r="K547" s="15"/>
      <c r="L547" s="15" t="s">
        <v>328</v>
      </c>
      <c r="M547" s="15"/>
      <c r="N547" s="16">
        <v>6400</v>
      </c>
      <c r="O547" s="21">
        <v>0.3</v>
      </c>
      <c r="P547" s="15">
        <v>2</v>
      </c>
      <c r="Q547" s="15">
        <v>900</v>
      </c>
      <c r="R547" s="16">
        <v>5760</v>
      </c>
      <c r="S547" s="15" t="s">
        <v>340</v>
      </c>
      <c r="T547" s="15">
        <v>3.2</v>
      </c>
      <c r="U547" s="15">
        <v>3.7</v>
      </c>
      <c r="V547" s="16">
        <v>25000</v>
      </c>
      <c r="W547" s="22">
        <v>353500</v>
      </c>
      <c r="X547" s="15"/>
      <c r="Y547" s="15"/>
      <c r="Z547" s="15"/>
      <c r="AA547" s="15"/>
      <c r="AB547" s="15" t="s">
        <v>328</v>
      </c>
      <c r="AC547" s="15"/>
      <c r="AD547" s="15" t="s">
        <v>328</v>
      </c>
      <c r="AE547" s="15"/>
      <c r="AF547" s="15"/>
      <c r="AG547" s="15"/>
      <c r="AH547" s="15"/>
      <c r="AI547" s="15"/>
      <c r="AJ547" s="15"/>
      <c r="AK547" s="15"/>
      <c r="AL547" s="15"/>
      <c r="AM547" s="15"/>
      <c r="AN547" s="16">
        <v>20000</v>
      </c>
      <c r="AO547" s="16">
        <v>20000</v>
      </c>
      <c r="AP547" s="16">
        <v>200000</v>
      </c>
      <c r="AQ547" s="16">
        <v>120000</v>
      </c>
      <c r="AR547" s="16">
        <v>20000</v>
      </c>
      <c r="AS547" s="22">
        <v>0</v>
      </c>
      <c r="AT547" s="22">
        <v>0</v>
      </c>
      <c r="AU547" s="22">
        <v>60000</v>
      </c>
      <c r="AV547" s="22">
        <v>20000</v>
      </c>
      <c r="AW547" s="22">
        <v>23000</v>
      </c>
      <c r="AX547" s="66">
        <v>0</v>
      </c>
      <c r="AY547" s="17" t="s">
        <v>688</v>
      </c>
      <c r="AZ547" s="15" t="s">
        <v>351</v>
      </c>
      <c r="BA547" s="249">
        <f t="shared" si="17"/>
        <v>1</v>
      </c>
      <c r="BC547" s="249">
        <f t="shared" si="16"/>
        <v>2004</v>
      </c>
    </row>
    <row r="548" spans="1:55" x14ac:dyDescent="0.25">
      <c r="A548" s="51" t="s">
        <v>1856</v>
      </c>
      <c r="B548" s="63" t="s">
        <v>1108</v>
      </c>
      <c r="C548" s="15" t="s">
        <v>337</v>
      </c>
      <c r="D548" s="15">
        <v>2004</v>
      </c>
      <c r="E548" s="15" t="s">
        <v>407</v>
      </c>
      <c r="F548" s="15"/>
      <c r="G548" s="15"/>
      <c r="H548" s="15"/>
      <c r="I548" s="15"/>
      <c r="J548" s="16">
        <v>602910</v>
      </c>
      <c r="K548" s="15"/>
      <c r="L548" s="15" t="s">
        <v>328</v>
      </c>
      <c r="M548" s="15"/>
      <c r="N548" s="16">
        <v>4000</v>
      </c>
      <c r="O548" s="21">
        <v>0.1</v>
      </c>
      <c r="P548" s="15">
        <v>2</v>
      </c>
      <c r="Q548" s="15">
        <v>950</v>
      </c>
      <c r="R548" s="16">
        <v>4750</v>
      </c>
      <c r="S548" s="15" t="s">
        <v>340</v>
      </c>
      <c r="T548" s="15">
        <v>2.5</v>
      </c>
      <c r="U548" s="15">
        <v>2.7</v>
      </c>
      <c r="V548" s="16">
        <v>20000</v>
      </c>
      <c r="W548" s="22">
        <v>282800</v>
      </c>
      <c r="X548" s="15"/>
      <c r="Y548" s="15"/>
      <c r="Z548" s="15"/>
      <c r="AA548" s="15"/>
      <c r="AB548" s="15"/>
      <c r="AC548" s="15" t="s">
        <v>328</v>
      </c>
      <c r="AD548" s="15" t="s">
        <v>328</v>
      </c>
      <c r="AE548" s="15"/>
      <c r="AF548" s="15"/>
      <c r="AG548" s="15"/>
      <c r="AH548" s="15"/>
      <c r="AI548" s="15"/>
      <c r="AJ548" s="15"/>
      <c r="AK548" s="15"/>
      <c r="AL548" s="15"/>
      <c r="AM548" s="15"/>
      <c r="AN548" s="16">
        <v>24000</v>
      </c>
      <c r="AO548" s="16">
        <v>24000</v>
      </c>
      <c r="AP548" s="16">
        <v>130000</v>
      </c>
      <c r="AQ548" s="16">
        <v>150000</v>
      </c>
      <c r="AR548" s="16">
        <v>24000</v>
      </c>
      <c r="AS548" s="22">
        <v>0</v>
      </c>
      <c r="AT548" s="22">
        <v>0</v>
      </c>
      <c r="AU548" s="22">
        <v>45000</v>
      </c>
      <c r="AV548" s="22">
        <v>15000</v>
      </c>
      <c r="AW548" s="22">
        <v>25000</v>
      </c>
      <c r="AX548" s="66">
        <v>0</v>
      </c>
      <c r="AY548" s="17" t="s">
        <v>574</v>
      </c>
      <c r="AZ548" s="15" t="s">
        <v>562</v>
      </c>
      <c r="BA548" s="249">
        <f t="shared" si="17"/>
        <v>1</v>
      </c>
      <c r="BC548" s="249">
        <f t="shared" si="16"/>
        <v>2004</v>
      </c>
    </row>
    <row r="549" spans="1:55" x14ac:dyDescent="0.25">
      <c r="A549" s="51" t="s">
        <v>1856</v>
      </c>
      <c r="B549" s="63" t="s">
        <v>1109</v>
      </c>
      <c r="C549" s="15" t="s">
        <v>348</v>
      </c>
      <c r="D549" s="15">
        <v>1999</v>
      </c>
      <c r="E549" s="15" t="s">
        <v>477</v>
      </c>
      <c r="F549" s="15"/>
      <c r="G549" s="15"/>
      <c r="H549" s="15"/>
      <c r="I549" s="15"/>
      <c r="J549" s="16">
        <v>739200</v>
      </c>
      <c r="K549" s="15"/>
      <c r="L549" s="15"/>
      <c r="M549" s="15" t="s">
        <v>328</v>
      </c>
      <c r="N549" s="16">
        <v>4400</v>
      </c>
      <c r="O549" s="21">
        <v>0.1</v>
      </c>
      <c r="P549" s="15">
        <v>2</v>
      </c>
      <c r="Q549" s="15">
        <v>400</v>
      </c>
      <c r="R549" s="16">
        <v>3360</v>
      </c>
      <c r="S549" s="15" t="s">
        <v>340</v>
      </c>
      <c r="T549" s="15">
        <v>4.2</v>
      </c>
      <c r="U549" s="15">
        <v>4.7</v>
      </c>
      <c r="V549" s="16">
        <v>13000</v>
      </c>
      <c r="W549" s="22">
        <v>183820</v>
      </c>
      <c r="X549" s="15"/>
      <c r="Y549" s="15"/>
      <c r="Z549" s="15" t="s">
        <v>328</v>
      </c>
      <c r="AA549" s="15"/>
      <c r="AB549" s="15"/>
      <c r="AC549" s="15"/>
      <c r="AD549" s="15" t="s">
        <v>332</v>
      </c>
      <c r="AE549" s="15"/>
      <c r="AF549" s="15"/>
      <c r="AG549" s="15"/>
      <c r="AH549" s="15"/>
      <c r="AI549" s="15"/>
      <c r="AJ549" s="15"/>
      <c r="AK549" s="15"/>
      <c r="AL549" s="15"/>
      <c r="AM549" s="15"/>
      <c r="AN549" s="16">
        <v>25000</v>
      </c>
      <c r="AO549" s="16">
        <v>25000</v>
      </c>
      <c r="AP549" s="16">
        <v>90000</v>
      </c>
      <c r="AQ549" s="16">
        <v>120000</v>
      </c>
      <c r="AR549" s="16">
        <v>25000</v>
      </c>
      <c r="AS549" s="22">
        <v>0</v>
      </c>
      <c r="AT549" s="22">
        <v>0</v>
      </c>
      <c r="AU549" s="22">
        <v>30000</v>
      </c>
      <c r="AV549" s="22">
        <v>18000</v>
      </c>
      <c r="AW549" s="22">
        <v>0</v>
      </c>
      <c r="AX549" s="66">
        <v>0</v>
      </c>
      <c r="AY549" s="17" t="s">
        <v>706</v>
      </c>
      <c r="AZ549" s="15" t="s">
        <v>348</v>
      </c>
      <c r="BA549" s="249">
        <f t="shared" si="17"/>
        <v>1</v>
      </c>
      <c r="BC549" s="249">
        <f t="shared" si="16"/>
        <v>1999</v>
      </c>
    </row>
    <row r="550" spans="1:55" x14ac:dyDescent="0.25">
      <c r="A550" s="51" t="s">
        <v>1856</v>
      </c>
      <c r="B550" s="63" t="s">
        <v>1111</v>
      </c>
      <c r="C550" s="14" t="s">
        <v>351</v>
      </c>
      <c r="D550" s="15">
        <v>1987</v>
      </c>
      <c r="E550" s="15" t="s">
        <v>690</v>
      </c>
      <c r="F550" s="15"/>
      <c r="G550" s="15"/>
      <c r="H550" s="15"/>
      <c r="I550" s="15"/>
      <c r="J550" s="16">
        <v>1248000</v>
      </c>
      <c r="K550" s="15"/>
      <c r="L550" s="15"/>
      <c r="M550" s="15" t="s">
        <v>328</v>
      </c>
      <c r="N550" s="16">
        <v>4000</v>
      </c>
      <c r="O550" s="21">
        <v>0.1</v>
      </c>
      <c r="P550" s="15">
        <v>2</v>
      </c>
      <c r="Q550" s="15">
        <v>800</v>
      </c>
      <c r="R550" s="16">
        <v>5120</v>
      </c>
      <c r="S550" s="15" t="s">
        <v>340</v>
      </c>
      <c r="T550" s="15">
        <v>3.2</v>
      </c>
      <c r="U550" s="15">
        <v>3.6</v>
      </c>
      <c r="V550" s="16">
        <v>12000</v>
      </c>
      <c r="W550" s="22">
        <v>169680</v>
      </c>
      <c r="X550" s="15"/>
      <c r="Y550" s="15"/>
      <c r="Z550" s="15"/>
      <c r="AA550" s="15"/>
      <c r="AB550" s="15" t="s">
        <v>328</v>
      </c>
      <c r="AC550" s="15"/>
      <c r="AD550" s="15" t="s">
        <v>328</v>
      </c>
      <c r="AE550" s="15"/>
      <c r="AF550" s="15"/>
      <c r="AG550" s="15"/>
      <c r="AH550" s="15"/>
      <c r="AI550" s="15"/>
      <c r="AJ550" s="15"/>
      <c r="AK550" s="15"/>
      <c r="AL550" s="15"/>
      <c r="AM550" s="15"/>
      <c r="AN550" s="16">
        <v>26000</v>
      </c>
      <c r="AO550" s="16">
        <v>26000</v>
      </c>
      <c r="AP550" s="16">
        <v>120000</v>
      </c>
      <c r="AQ550" s="16">
        <v>125000</v>
      </c>
      <c r="AR550" s="16">
        <v>26000</v>
      </c>
      <c r="AS550" s="22">
        <v>0</v>
      </c>
      <c r="AT550" s="22">
        <v>0</v>
      </c>
      <c r="AU550" s="22">
        <v>45600</v>
      </c>
      <c r="AV550" s="22">
        <v>28800</v>
      </c>
      <c r="AW550" s="22">
        <v>14400</v>
      </c>
      <c r="AX550" s="66">
        <v>0</v>
      </c>
      <c r="AY550" s="17" t="s">
        <v>694</v>
      </c>
      <c r="AZ550" s="15" t="s">
        <v>351</v>
      </c>
      <c r="BA550" s="249">
        <f t="shared" si="17"/>
        <v>1</v>
      </c>
      <c r="BC550" s="249">
        <f t="shared" si="16"/>
        <v>1987</v>
      </c>
    </row>
    <row r="551" spans="1:55" x14ac:dyDescent="0.25">
      <c r="A551" s="51" t="s">
        <v>1856</v>
      </c>
      <c r="B551" s="63" t="s">
        <v>1113</v>
      </c>
      <c r="C551" s="15" t="s">
        <v>348</v>
      </c>
      <c r="D551" s="15">
        <v>2000</v>
      </c>
      <c r="E551" s="15" t="s">
        <v>407</v>
      </c>
      <c r="F551" s="15"/>
      <c r="G551" s="15"/>
      <c r="H551" s="15"/>
      <c r="I551" s="15"/>
      <c r="J551" s="16">
        <v>836573</v>
      </c>
      <c r="K551" s="15"/>
      <c r="L551" s="15"/>
      <c r="M551" s="15" t="s">
        <v>328</v>
      </c>
      <c r="N551" s="16">
        <v>5000</v>
      </c>
      <c r="O551" s="21">
        <v>0.2</v>
      </c>
      <c r="P551" s="15">
        <v>2</v>
      </c>
      <c r="Q551" s="15">
        <v>400</v>
      </c>
      <c r="R551" s="16">
        <v>3280</v>
      </c>
      <c r="S551" s="15" t="s">
        <v>340</v>
      </c>
      <c r="T551" s="15">
        <v>4.0999999999999996</v>
      </c>
      <c r="U551" s="15">
        <v>4.7</v>
      </c>
      <c r="V551" s="16">
        <v>15000</v>
      </c>
      <c r="W551" s="22">
        <v>212100</v>
      </c>
      <c r="X551" s="15"/>
      <c r="Y551" s="15"/>
      <c r="Z551" s="15"/>
      <c r="AA551" s="15"/>
      <c r="AB551" s="15" t="s">
        <v>328</v>
      </c>
      <c r="AC551" s="15"/>
      <c r="AD551" s="15" t="s">
        <v>328</v>
      </c>
      <c r="AE551" s="15"/>
      <c r="AF551" s="15"/>
      <c r="AG551" s="15"/>
      <c r="AH551" s="15"/>
      <c r="AI551" s="15"/>
      <c r="AJ551" s="15"/>
      <c r="AK551" s="15"/>
      <c r="AL551" s="15"/>
      <c r="AM551" s="15"/>
      <c r="AN551" s="16">
        <v>25000</v>
      </c>
      <c r="AO551" s="16">
        <v>25000</v>
      </c>
      <c r="AP551" s="16">
        <v>125000</v>
      </c>
      <c r="AQ551" s="16">
        <v>130000</v>
      </c>
      <c r="AR551" s="16">
        <v>25000</v>
      </c>
      <c r="AS551" s="22">
        <v>0</v>
      </c>
      <c r="AT551" s="22">
        <v>0</v>
      </c>
      <c r="AU551" s="22">
        <v>30000</v>
      </c>
      <c r="AV551" s="22">
        <v>20000</v>
      </c>
      <c r="AW551" s="22">
        <v>12000</v>
      </c>
      <c r="AX551" s="66">
        <v>0</v>
      </c>
      <c r="AY551" s="17" t="s">
        <v>1134</v>
      </c>
      <c r="AZ551" s="15" t="s">
        <v>348</v>
      </c>
      <c r="BA551" s="249">
        <f t="shared" si="17"/>
        <v>2</v>
      </c>
      <c r="BC551" s="249">
        <f t="shared" si="16"/>
        <v>2000</v>
      </c>
    </row>
    <row r="552" spans="1:55" x14ac:dyDescent="0.25">
      <c r="A552" s="51" t="s">
        <v>1856</v>
      </c>
      <c r="B552" s="63" t="s">
        <v>1113</v>
      </c>
      <c r="C552" s="15" t="s">
        <v>348</v>
      </c>
      <c r="D552" s="15">
        <v>2008</v>
      </c>
      <c r="E552" s="15" t="s">
        <v>407</v>
      </c>
      <c r="F552" s="15"/>
      <c r="G552" s="15"/>
      <c r="H552" s="15"/>
      <c r="I552" s="15"/>
      <c r="J552" s="16">
        <v>419705</v>
      </c>
      <c r="K552" s="15"/>
      <c r="L552" s="15" t="s">
        <v>328</v>
      </c>
      <c r="M552" s="15"/>
      <c r="N552" s="16">
        <v>5000</v>
      </c>
      <c r="O552" s="21">
        <v>0.2</v>
      </c>
      <c r="P552" s="15">
        <v>2</v>
      </c>
      <c r="Q552" s="15">
        <v>450</v>
      </c>
      <c r="R552" s="16">
        <v>3780</v>
      </c>
      <c r="S552" s="15" t="s">
        <v>340</v>
      </c>
      <c r="T552" s="15">
        <v>4.2</v>
      </c>
      <c r="U552" s="15">
        <v>4.7</v>
      </c>
      <c r="V552" s="16">
        <v>15000</v>
      </c>
      <c r="W552" s="22">
        <v>212100</v>
      </c>
      <c r="X552" s="15"/>
      <c r="Y552" s="15"/>
      <c r="Z552" s="15"/>
      <c r="AA552" s="15"/>
      <c r="AB552" s="15"/>
      <c r="AC552" s="15" t="s">
        <v>328</v>
      </c>
      <c r="AD552" s="15" t="s">
        <v>328</v>
      </c>
      <c r="AE552" s="15"/>
      <c r="AF552" s="15"/>
      <c r="AG552" s="15"/>
      <c r="AH552" s="15"/>
      <c r="AI552" s="15"/>
      <c r="AJ552" s="15"/>
      <c r="AK552" s="15"/>
      <c r="AL552" s="15"/>
      <c r="AM552" s="15"/>
      <c r="AN552" s="16">
        <v>25000</v>
      </c>
      <c r="AO552" s="16">
        <v>25000</v>
      </c>
      <c r="AP552" s="16">
        <v>125000</v>
      </c>
      <c r="AQ552" s="16">
        <v>130000</v>
      </c>
      <c r="AR552" s="16">
        <v>25000</v>
      </c>
      <c r="AS552" s="22">
        <v>0</v>
      </c>
      <c r="AT552" s="22">
        <v>0</v>
      </c>
      <c r="AU552" s="22">
        <v>30000</v>
      </c>
      <c r="AV552" s="22">
        <v>20000</v>
      </c>
      <c r="AW552" s="22">
        <v>18000</v>
      </c>
      <c r="AX552" s="66">
        <v>0</v>
      </c>
      <c r="AY552" s="17" t="s">
        <v>1136</v>
      </c>
      <c r="AZ552" s="15" t="s">
        <v>348</v>
      </c>
      <c r="BA552" s="249">
        <f t="shared" si="17"/>
        <v>2</v>
      </c>
      <c r="BC552" s="249">
        <f t="shared" si="16"/>
        <v>2008</v>
      </c>
    </row>
    <row r="553" spans="1:55" x14ac:dyDescent="0.25">
      <c r="A553" s="51" t="s">
        <v>1856</v>
      </c>
      <c r="B553" s="63" t="s">
        <v>1118</v>
      </c>
      <c r="C553" s="15" t="s">
        <v>337</v>
      </c>
      <c r="D553" s="15">
        <v>1998</v>
      </c>
      <c r="E553" s="15" t="s">
        <v>407</v>
      </c>
      <c r="F553" s="15"/>
      <c r="G553" s="15"/>
      <c r="H553" s="15"/>
      <c r="I553" s="15"/>
      <c r="J553" s="16">
        <v>1273618</v>
      </c>
      <c r="K553" s="15"/>
      <c r="L553" s="15"/>
      <c r="M553" s="15" t="s">
        <v>328</v>
      </c>
      <c r="N553" s="16">
        <v>8000</v>
      </c>
      <c r="O553" s="21">
        <v>0</v>
      </c>
      <c r="P553" s="15">
        <v>2</v>
      </c>
      <c r="Q553" s="15">
        <v>950</v>
      </c>
      <c r="R553" s="16">
        <v>4560</v>
      </c>
      <c r="S553" s="15" t="s">
        <v>340</v>
      </c>
      <c r="T553" s="15">
        <v>2.4</v>
      </c>
      <c r="U553" s="15">
        <v>2.7</v>
      </c>
      <c r="V553" s="16">
        <v>40000</v>
      </c>
      <c r="W553" s="22">
        <v>565600</v>
      </c>
      <c r="X553" s="15"/>
      <c r="Y553" s="15"/>
      <c r="Z553" s="15"/>
      <c r="AA553" s="15"/>
      <c r="AB553" s="15" t="s">
        <v>328</v>
      </c>
      <c r="AC553" s="15"/>
      <c r="AD553" s="15" t="s">
        <v>328</v>
      </c>
      <c r="AE553" s="15"/>
      <c r="AF553" s="15"/>
      <c r="AG553" s="15"/>
      <c r="AH553" s="15"/>
      <c r="AI553" s="15"/>
      <c r="AJ553" s="15"/>
      <c r="AK553" s="15"/>
      <c r="AL553" s="15"/>
      <c r="AM553" s="15"/>
      <c r="AN553" s="16">
        <v>24000</v>
      </c>
      <c r="AO553" s="16">
        <v>24000</v>
      </c>
      <c r="AP553" s="16">
        <v>200000</v>
      </c>
      <c r="AQ553" s="16">
        <v>120000</v>
      </c>
      <c r="AR553" s="16">
        <v>24000</v>
      </c>
      <c r="AS553" s="22">
        <v>0</v>
      </c>
      <c r="AT553" s="22">
        <v>0</v>
      </c>
      <c r="AU553" s="22">
        <v>60000</v>
      </c>
      <c r="AV553" s="22">
        <v>30000</v>
      </c>
      <c r="AW553" s="22">
        <v>23000</v>
      </c>
      <c r="AX553" s="66">
        <v>0</v>
      </c>
      <c r="AY553" s="17" t="s">
        <v>708</v>
      </c>
      <c r="AZ553" s="15" t="s">
        <v>562</v>
      </c>
      <c r="BA553" s="249">
        <f t="shared" si="17"/>
        <v>1</v>
      </c>
      <c r="BC553" s="249">
        <f t="shared" si="16"/>
        <v>1998</v>
      </c>
    </row>
    <row r="554" spans="1:55" x14ac:dyDescent="0.25">
      <c r="A554" s="51" t="s">
        <v>1856</v>
      </c>
      <c r="B554" s="63" t="s">
        <v>1120</v>
      </c>
      <c r="C554" s="14" t="s">
        <v>351</v>
      </c>
      <c r="D554" s="15">
        <v>2000</v>
      </c>
      <c r="E554" s="15" t="s">
        <v>477</v>
      </c>
      <c r="F554" s="15"/>
      <c r="G554" s="15"/>
      <c r="H554" s="15"/>
      <c r="I554" s="15"/>
      <c r="J554" s="16">
        <v>1368215</v>
      </c>
      <c r="K554" s="15"/>
      <c r="L554" s="15" t="s">
        <v>328</v>
      </c>
      <c r="M554" s="15"/>
      <c r="N554" s="16">
        <v>7200</v>
      </c>
      <c r="O554" s="21">
        <v>0.1</v>
      </c>
      <c r="P554" s="15">
        <v>2</v>
      </c>
      <c r="Q554" s="15">
        <v>900</v>
      </c>
      <c r="R554" s="16">
        <v>5760</v>
      </c>
      <c r="S554" s="15" t="s">
        <v>340</v>
      </c>
      <c r="T554" s="15">
        <v>3.2</v>
      </c>
      <c r="U554" s="15">
        <v>3.7</v>
      </c>
      <c r="V554" s="16">
        <v>30000</v>
      </c>
      <c r="W554" s="22">
        <v>424200</v>
      </c>
      <c r="X554" s="15"/>
      <c r="Y554" s="15"/>
      <c r="Z554" s="15"/>
      <c r="AA554" s="15"/>
      <c r="AB554" s="15" t="s">
        <v>328</v>
      </c>
      <c r="AC554" s="15"/>
      <c r="AD554" s="15" t="s">
        <v>328</v>
      </c>
      <c r="AE554" s="15"/>
      <c r="AF554" s="15"/>
      <c r="AG554" s="15"/>
      <c r="AH554" s="15"/>
      <c r="AI554" s="15"/>
      <c r="AJ554" s="15"/>
      <c r="AK554" s="15"/>
      <c r="AL554" s="15"/>
      <c r="AM554" s="15"/>
      <c r="AN554" s="16">
        <v>28000</v>
      </c>
      <c r="AO554" s="16">
        <v>28000</v>
      </c>
      <c r="AP554" s="16">
        <v>120000</v>
      </c>
      <c r="AQ554" s="16">
        <v>140000</v>
      </c>
      <c r="AR554" s="16">
        <v>28000</v>
      </c>
      <c r="AS554" s="22">
        <v>0</v>
      </c>
      <c r="AT554" s="22">
        <v>0</v>
      </c>
      <c r="AU554" s="22">
        <v>30000</v>
      </c>
      <c r="AV554" s="22">
        <v>30000</v>
      </c>
      <c r="AW554" s="22">
        <v>0</v>
      </c>
      <c r="AX554" s="66">
        <v>0</v>
      </c>
      <c r="AY554" s="17" t="s">
        <v>1129</v>
      </c>
      <c r="AZ554" s="15" t="s">
        <v>351</v>
      </c>
      <c r="BA554" s="249">
        <f t="shared" si="17"/>
        <v>1</v>
      </c>
      <c r="BC554" s="249">
        <f t="shared" si="16"/>
        <v>2000</v>
      </c>
    </row>
    <row r="555" spans="1:55" x14ac:dyDescent="0.25">
      <c r="A555" s="51" t="s">
        <v>1856</v>
      </c>
      <c r="B555" s="63" t="s">
        <v>1121</v>
      </c>
      <c r="C555" s="14" t="s">
        <v>351</v>
      </c>
      <c r="D555" s="15">
        <v>1995</v>
      </c>
      <c r="E555" s="15" t="s">
        <v>349</v>
      </c>
      <c r="F555" s="15"/>
      <c r="G555" s="15"/>
      <c r="H555" s="15"/>
      <c r="I555" s="15"/>
      <c r="J555" s="16">
        <v>1296000</v>
      </c>
      <c r="K555" s="15"/>
      <c r="L555" s="15"/>
      <c r="M555" s="15" t="s">
        <v>328</v>
      </c>
      <c r="N555" s="16">
        <v>6000</v>
      </c>
      <c r="O555" s="21">
        <v>0</v>
      </c>
      <c r="P555" s="15">
        <v>2</v>
      </c>
      <c r="Q555" s="15">
        <v>450</v>
      </c>
      <c r="R555" s="16">
        <v>2970</v>
      </c>
      <c r="S555" s="15" t="s">
        <v>340</v>
      </c>
      <c r="T555" s="15">
        <v>3.3</v>
      </c>
      <c r="U555" s="15">
        <v>3.7</v>
      </c>
      <c r="V555" s="16">
        <v>22000</v>
      </c>
      <c r="W555" s="22">
        <v>311080</v>
      </c>
      <c r="X555" s="15"/>
      <c r="Y555" s="15"/>
      <c r="Z555" s="15"/>
      <c r="AA555" s="15"/>
      <c r="AB555" s="15" t="s">
        <v>328</v>
      </c>
      <c r="AC555" s="15"/>
      <c r="AD555" s="15" t="s">
        <v>332</v>
      </c>
      <c r="AE555" s="15"/>
      <c r="AF555" s="15"/>
      <c r="AG555" s="15"/>
      <c r="AH555" s="15"/>
      <c r="AI555" s="15"/>
      <c r="AJ555" s="15"/>
      <c r="AK555" s="15"/>
      <c r="AL555" s="15"/>
      <c r="AM555" s="15"/>
      <c r="AN555" s="16">
        <v>18000</v>
      </c>
      <c r="AO555" s="16">
        <v>36000</v>
      </c>
      <c r="AP555" s="16">
        <v>180000</v>
      </c>
      <c r="AQ555" s="16">
        <v>120000</v>
      </c>
      <c r="AR555" s="16">
        <v>36000</v>
      </c>
      <c r="AS555" s="22">
        <v>0</v>
      </c>
      <c r="AT555" s="22">
        <v>0</v>
      </c>
      <c r="AU555" s="22">
        <v>30000</v>
      </c>
      <c r="AV555" s="22">
        <v>25000</v>
      </c>
      <c r="AW555" s="22">
        <v>12000</v>
      </c>
      <c r="AX555" s="66">
        <v>0</v>
      </c>
      <c r="AY555" s="17" t="s">
        <v>701</v>
      </c>
      <c r="AZ555" s="15" t="s">
        <v>351</v>
      </c>
      <c r="BA555" s="249">
        <f t="shared" si="17"/>
        <v>1</v>
      </c>
      <c r="BC555" s="249">
        <f t="shared" si="16"/>
        <v>1995</v>
      </c>
    </row>
    <row r="556" spans="1:55" x14ac:dyDescent="0.25">
      <c r="A556" s="51" t="s">
        <v>1856</v>
      </c>
      <c r="B556" s="63" t="s">
        <v>1123</v>
      </c>
      <c r="C556" s="14" t="s">
        <v>351</v>
      </c>
      <c r="D556" s="15">
        <v>2001</v>
      </c>
      <c r="E556" s="15" t="s">
        <v>407</v>
      </c>
      <c r="F556" s="15"/>
      <c r="G556" s="15"/>
      <c r="H556" s="15"/>
      <c r="I556" s="15"/>
      <c r="J556" s="16">
        <v>1138850</v>
      </c>
      <c r="K556" s="15"/>
      <c r="L556" s="15" t="s">
        <v>328</v>
      </c>
      <c r="M556" s="15"/>
      <c r="N556" s="16">
        <v>9000</v>
      </c>
      <c r="O556" s="21">
        <v>0.1</v>
      </c>
      <c r="P556" s="15">
        <v>2</v>
      </c>
      <c r="Q556" s="15">
        <v>900</v>
      </c>
      <c r="R556" s="16">
        <v>5940</v>
      </c>
      <c r="S556" s="15" t="s">
        <v>340</v>
      </c>
      <c r="T556" s="15">
        <v>3.3</v>
      </c>
      <c r="U556" s="15">
        <v>3.8</v>
      </c>
      <c r="V556" s="16">
        <v>35000</v>
      </c>
      <c r="W556" s="22">
        <v>494900</v>
      </c>
      <c r="X556" s="15"/>
      <c r="Y556" s="15"/>
      <c r="Z556" s="15"/>
      <c r="AA556" s="15"/>
      <c r="AB556" s="15" t="s">
        <v>328</v>
      </c>
      <c r="AC556" s="15"/>
      <c r="AD556" s="15" t="s">
        <v>328</v>
      </c>
      <c r="AE556" s="15"/>
      <c r="AF556" s="15"/>
      <c r="AG556" s="15"/>
      <c r="AH556" s="15"/>
      <c r="AI556" s="15"/>
      <c r="AJ556" s="15"/>
      <c r="AK556" s="15"/>
      <c r="AL556" s="15"/>
      <c r="AM556" s="15"/>
      <c r="AN556" s="16">
        <v>27000</v>
      </c>
      <c r="AO556" s="16">
        <v>27000</v>
      </c>
      <c r="AP556" s="16">
        <v>240000</v>
      </c>
      <c r="AQ556" s="16">
        <v>108000</v>
      </c>
      <c r="AR556" s="16">
        <v>27000</v>
      </c>
      <c r="AS556" s="22">
        <v>0</v>
      </c>
      <c r="AT556" s="22">
        <v>0</v>
      </c>
      <c r="AU556" s="22">
        <v>50000</v>
      </c>
      <c r="AV556" s="22">
        <v>25000</v>
      </c>
      <c r="AW556" s="22">
        <v>17000</v>
      </c>
      <c r="AX556" s="66">
        <v>0</v>
      </c>
      <c r="AY556" s="17" t="s">
        <v>583</v>
      </c>
      <c r="AZ556" s="15" t="s">
        <v>351</v>
      </c>
      <c r="BA556" s="249">
        <f t="shared" si="17"/>
        <v>1</v>
      </c>
      <c r="BC556" s="249">
        <f t="shared" si="16"/>
        <v>2001</v>
      </c>
    </row>
    <row r="557" spans="1:55" x14ac:dyDescent="0.25">
      <c r="A557" s="51" t="s">
        <v>1856</v>
      </c>
      <c r="B557" s="63" t="s">
        <v>1125</v>
      </c>
      <c r="C557" s="14" t="s">
        <v>351</v>
      </c>
      <c r="D557" s="15">
        <v>1997</v>
      </c>
      <c r="E557" s="15" t="s">
        <v>407</v>
      </c>
      <c r="F557" s="15"/>
      <c r="G557" s="15"/>
      <c r="H557" s="15"/>
      <c r="I557" s="15"/>
      <c r="J557" s="16">
        <v>1152000</v>
      </c>
      <c r="K557" s="15"/>
      <c r="L557" s="15"/>
      <c r="M557" s="15" t="s">
        <v>328</v>
      </c>
      <c r="N557" s="16">
        <v>6000</v>
      </c>
      <c r="O557" s="21">
        <v>0</v>
      </c>
      <c r="P557" s="15">
        <v>2</v>
      </c>
      <c r="Q557" s="15">
        <v>908</v>
      </c>
      <c r="R557" s="16">
        <v>5811</v>
      </c>
      <c r="S557" s="15" t="s">
        <v>340</v>
      </c>
      <c r="T557" s="15">
        <v>3.2</v>
      </c>
      <c r="U557" s="15">
        <v>3.6</v>
      </c>
      <c r="V557" s="16">
        <v>23000</v>
      </c>
      <c r="W557" s="22">
        <v>325220</v>
      </c>
      <c r="X557" s="15"/>
      <c r="Y557" s="15"/>
      <c r="Z557" s="15"/>
      <c r="AA557" s="15"/>
      <c r="AB557" s="15" t="s">
        <v>328</v>
      </c>
      <c r="AC557" s="15"/>
      <c r="AD557" s="15" t="s">
        <v>328</v>
      </c>
      <c r="AE557" s="15"/>
      <c r="AF557" s="15"/>
      <c r="AG557" s="15"/>
      <c r="AH557" s="15"/>
      <c r="AI557" s="15"/>
      <c r="AJ557" s="15"/>
      <c r="AK557" s="15"/>
      <c r="AL557" s="15"/>
      <c r="AM557" s="15"/>
      <c r="AN557" s="16">
        <v>18000</v>
      </c>
      <c r="AO557" s="16">
        <v>36000</v>
      </c>
      <c r="AP557" s="16">
        <v>180000</v>
      </c>
      <c r="AQ557" s="16">
        <v>100000</v>
      </c>
      <c r="AR557" s="16">
        <v>36000</v>
      </c>
      <c r="AS557" s="22">
        <v>0</v>
      </c>
      <c r="AT557" s="22">
        <v>0</v>
      </c>
      <c r="AU557" s="22">
        <v>50000</v>
      </c>
      <c r="AV557" s="22">
        <v>20000</v>
      </c>
      <c r="AW557" s="22">
        <v>17000</v>
      </c>
      <c r="AX557" s="66">
        <v>5000</v>
      </c>
      <c r="AY557" s="17" t="s">
        <v>583</v>
      </c>
      <c r="AZ557" s="15" t="s">
        <v>351</v>
      </c>
      <c r="BA557" s="249">
        <f t="shared" si="17"/>
        <v>1</v>
      </c>
      <c r="BC557" s="249">
        <f t="shared" si="16"/>
        <v>1997</v>
      </c>
    </row>
    <row r="558" spans="1:55" x14ac:dyDescent="0.25">
      <c r="A558" s="51" t="s">
        <v>1856</v>
      </c>
      <c r="B558" s="63" t="s">
        <v>1127</v>
      </c>
      <c r="C558" s="14" t="s">
        <v>351</v>
      </c>
      <c r="D558" s="15">
        <v>2003</v>
      </c>
      <c r="E558" s="15" t="s">
        <v>407</v>
      </c>
      <c r="F558" s="15"/>
      <c r="G558" s="15"/>
      <c r="H558" s="15"/>
      <c r="I558" s="15"/>
      <c r="J558" s="16">
        <v>799601</v>
      </c>
      <c r="K558" s="15"/>
      <c r="L558" s="15" t="s">
        <v>328</v>
      </c>
      <c r="M558" s="15"/>
      <c r="N558" s="16">
        <v>8000</v>
      </c>
      <c r="O558" s="21">
        <v>0</v>
      </c>
      <c r="P558" s="15">
        <v>2</v>
      </c>
      <c r="Q558" s="15">
        <v>916</v>
      </c>
      <c r="R558" s="16">
        <v>6046</v>
      </c>
      <c r="S558" s="15" t="s">
        <v>340</v>
      </c>
      <c r="T558" s="15">
        <v>3.3</v>
      </c>
      <c r="U558" s="15">
        <v>3.7</v>
      </c>
      <c r="V558" s="16">
        <v>30000</v>
      </c>
      <c r="W558" s="22">
        <v>424200</v>
      </c>
      <c r="X558" s="15"/>
      <c r="Y558" s="15"/>
      <c r="Z558" s="15"/>
      <c r="AA558" s="15"/>
      <c r="AB558" s="15" t="s">
        <v>328</v>
      </c>
      <c r="AC558" s="15"/>
      <c r="AD558" s="15" t="s">
        <v>328</v>
      </c>
      <c r="AE558" s="15"/>
      <c r="AF558" s="15"/>
      <c r="AG558" s="15"/>
      <c r="AH558" s="15"/>
      <c r="AI558" s="15"/>
      <c r="AJ558" s="15"/>
      <c r="AK558" s="15"/>
      <c r="AL558" s="15"/>
      <c r="AM558" s="15"/>
      <c r="AN558" s="16">
        <v>24000</v>
      </c>
      <c r="AO558" s="16">
        <v>24000</v>
      </c>
      <c r="AP558" s="16">
        <v>240000</v>
      </c>
      <c r="AQ558" s="16">
        <v>120000</v>
      </c>
      <c r="AR558" s="16">
        <v>24000</v>
      </c>
      <c r="AS558" s="22">
        <v>0</v>
      </c>
      <c r="AT558" s="22">
        <v>0</v>
      </c>
      <c r="AU558" s="22">
        <v>60000</v>
      </c>
      <c r="AV558" s="22">
        <v>20000</v>
      </c>
      <c r="AW558" s="22">
        <v>23000</v>
      </c>
      <c r="AX558" s="66">
        <v>0</v>
      </c>
      <c r="AY558" s="17" t="s">
        <v>688</v>
      </c>
      <c r="AZ558" s="15" t="s">
        <v>351</v>
      </c>
      <c r="BA558" s="249">
        <f t="shared" si="17"/>
        <v>1</v>
      </c>
      <c r="BC558" s="249">
        <f t="shared" si="16"/>
        <v>2003</v>
      </c>
    </row>
    <row r="559" spans="1:55" x14ac:dyDescent="0.25">
      <c r="A559" s="51" t="s">
        <v>1856</v>
      </c>
      <c r="B559" s="63" t="s">
        <v>1128</v>
      </c>
      <c r="C559" s="14" t="s">
        <v>351</v>
      </c>
      <c r="D559" s="15">
        <v>2004</v>
      </c>
      <c r="E559" s="15" t="s">
        <v>407</v>
      </c>
      <c r="F559" s="15"/>
      <c r="G559" s="15"/>
      <c r="H559" s="15"/>
      <c r="I559" s="15"/>
      <c r="J559" s="16">
        <v>629107</v>
      </c>
      <c r="K559" s="15"/>
      <c r="L559" s="15" t="s">
        <v>328</v>
      </c>
      <c r="M559" s="15"/>
      <c r="N559" s="16">
        <v>6000</v>
      </c>
      <c r="O559" s="21">
        <v>0.5</v>
      </c>
      <c r="P559" s="15">
        <v>2</v>
      </c>
      <c r="Q559" s="15">
        <v>500</v>
      </c>
      <c r="R559" s="16">
        <v>3300</v>
      </c>
      <c r="S559" s="15" t="s">
        <v>340</v>
      </c>
      <c r="T559" s="15">
        <v>3.3</v>
      </c>
      <c r="U559" s="15">
        <v>3.8</v>
      </c>
      <c r="V559" s="16">
        <v>22500</v>
      </c>
      <c r="W559" s="22">
        <v>318150</v>
      </c>
      <c r="X559" s="15"/>
      <c r="Y559" s="15"/>
      <c r="Z559" s="15"/>
      <c r="AA559" s="15"/>
      <c r="AB559" s="15" t="s">
        <v>328</v>
      </c>
      <c r="AC559" s="15"/>
      <c r="AD559" s="15" t="s">
        <v>328</v>
      </c>
      <c r="AE559" s="15"/>
      <c r="AF559" s="15"/>
      <c r="AG559" s="15"/>
      <c r="AH559" s="15"/>
      <c r="AI559" s="15"/>
      <c r="AJ559" s="15"/>
      <c r="AK559" s="15"/>
      <c r="AL559" s="15"/>
      <c r="AM559" s="15"/>
      <c r="AN559" s="16">
        <v>18000</v>
      </c>
      <c r="AO559" s="16">
        <v>36000</v>
      </c>
      <c r="AP559" s="16">
        <v>200000</v>
      </c>
      <c r="AQ559" s="16">
        <v>140000</v>
      </c>
      <c r="AR559" s="16">
        <v>36000</v>
      </c>
      <c r="AS559" s="22">
        <v>108000</v>
      </c>
      <c r="AT559" s="22">
        <v>0</v>
      </c>
      <c r="AU559" s="22">
        <v>48000</v>
      </c>
      <c r="AV559" s="22">
        <v>18000</v>
      </c>
      <c r="AW559" s="22">
        <v>21600</v>
      </c>
      <c r="AX559" s="66">
        <v>0</v>
      </c>
      <c r="AY559" s="17" t="s">
        <v>688</v>
      </c>
      <c r="AZ559" s="15" t="s">
        <v>351</v>
      </c>
      <c r="BA559" s="249">
        <f t="shared" si="17"/>
        <v>2</v>
      </c>
      <c r="BC559" s="249">
        <f t="shared" si="16"/>
        <v>2004</v>
      </c>
    </row>
    <row r="560" spans="1:55" x14ac:dyDescent="0.25">
      <c r="A560" s="51" t="s">
        <v>1856</v>
      </c>
      <c r="B560" s="63" t="s">
        <v>1128</v>
      </c>
      <c r="C560" s="14" t="s">
        <v>351</v>
      </c>
      <c r="D560" s="15">
        <v>2006</v>
      </c>
      <c r="E560" s="15" t="s">
        <v>407</v>
      </c>
      <c r="F560" s="15"/>
      <c r="G560" s="15"/>
      <c r="H560" s="15"/>
      <c r="I560" s="15"/>
      <c r="J560" s="16">
        <v>561238</v>
      </c>
      <c r="K560" s="15"/>
      <c r="L560" s="15" t="s">
        <v>328</v>
      </c>
      <c r="M560" s="15"/>
      <c r="N560" s="16">
        <v>6000</v>
      </c>
      <c r="O560" s="21">
        <v>0.5</v>
      </c>
      <c r="P560" s="15">
        <v>2</v>
      </c>
      <c r="Q560" s="15">
        <v>500</v>
      </c>
      <c r="R560" s="16">
        <v>3300</v>
      </c>
      <c r="S560" s="15" t="s">
        <v>340</v>
      </c>
      <c r="T560" s="15">
        <v>3.3</v>
      </c>
      <c r="U560" s="15">
        <v>3.8</v>
      </c>
      <c r="V560" s="16">
        <v>22500</v>
      </c>
      <c r="W560" s="22">
        <v>318150</v>
      </c>
      <c r="X560" s="15"/>
      <c r="Y560" s="15"/>
      <c r="Z560" s="15"/>
      <c r="AA560" s="15"/>
      <c r="AB560" s="15"/>
      <c r="AC560" s="15" t="s">
        <v>328</v>
      </c>
      <c r="AD560" s="15" t="s">
        <v>328</v>
      </c>
      <c r="AE560" s="15"/>
      <c r="AF560" s="15"/>
      <c r="AG560" s="15"/>
      <c r="AH560" s="15"/>
      <c r="AI560" s="15"/>
      <c r="AJ560" s="15"/>
      <c r="AK560" s="15"/>
      <c r="AL560" s="15"/>
      <c r="AM560" s="15"/>
      <c r="AN560" s="16">
        <v>18000</v>
      </c>
      <c r="AO560" s="16">
        <v>36000</v>
      </c>
      <c r="AP560" s="16">
        <v>200000</v>
      </c>
      <c r="AQ560" s="16">
        <v>140000</v>
      </c>
      <c r="AR560" s="16">
        <v>36000</v>
      </c>
      <c r="AS560" s="22">
        <v>0</v>
      </c>
      <c r="AT560" s="22">
        <v>0</v>
      </c>
      <c r="AU560" s="22">
        <v>48000</v>
      </c>
      <c r="AV560" s="22">
        <v>18000</v>
      </c>
      <c r="AW560" s="22">
        <v>22800</v>
      </c>
      <c r="AX560" s="66">
        <v>0</v>
      </c>
      <c r="AY560" s="17" t="s">
        <v>688</v>
      </c>
      <c r="AZ560" s="15" t="s">
        <v>351</v>
      </c>
      <c r="BA560" s="249">
        <f t="shared" si="17"/>
        <v>2</v>
      </c>
      <c r="BC560" s="249">
        <f t="shared" si="16"/>
        <v>2006</v>
      </c>
    </row>
    <row r="561" spans="1:55" x14ac:dyDescent="0.25">
      <c r="A561" s="51" t="s">
        <v>1404</v>
      </c>
      <c r="B561" s="63" t="s">
        <v>1137</v>
      </c>
      <c r="C561" s="14" t="s">
        <v>351</v>
      </c>
      <c r="D561" s="15">
        <v>1986</v>
      </c>
      <c r="E561" s="15" t="s">
        <v>349</v>
      </c>
      <c r="F561" s="15"/>
      <c r="G561" s="15"/>
      <c r="H561" s="15"/>
      <c r="I561" s="15"/>
      <c r="J561" s="16">
        <v>1783251</v>
      </c>
      <c r="K561" s="15"/>
      <c r="L561" s="15"/>
      <c r="M561" s="15" t="s">
        <v>328</v>
      </c>
      <c r="N561" s="16">
        <v>6000</v>
      </c>
      <c r="O561" s="21">
        <v>0.5</v>
      </c>
      <c r="P561" s="15">
        <v>2</v>
      </c>
      <c r="Q561" s="15">
        <v>380</v>
      </c>
      <c r="R561" s="16">
        <v>1520</v>
      </c>
      <c r="S561" s="15" t="s">
        <v>340</v>
      </c>
      <c r="T561" s="15">
        <v>2</v>
      </c>
      <c r="U561" s="15">
        <v>2.2999999999999998</v>
      </c>
      <c r="V561" s="27">
        <v>848.65629420084861</v>
      </c>
      <c r="W561" s="22">
        <v>12000</v>
      </c>
      <c r="X561" s="15"/>
      <c r="Y561" s="15" t="s">
        <v>328</v>
      </c>
      <c r="Z561" s="15"/>
      <c r="AA561" s="15"/>
      <c r="AB561" s="15"/>
      <c r="AC561" s="15"/>
      <c r="AD561" s="15"/>
      <c r="AE561" s="15" t="s">
        <v>328</v>
      </c>
      <c r="AF561" s="15"/>
      <c r="AG561" s="15"/>
      <c r="AH561" s="15"/>
      <c r="AI561" s="15"/>
      <c r="AJ561" s="15"/>
      <c r="AK561" s="15" t="s">
        <v>328</v>
      </c>
      <c r="AL561" s="15" t="s">
        <v>328</v>
      </c>
      <c r="AM561" s="15"/>
      <c r="AN561" s="16">
        <v>10000</v>
      </c>
      <c r="AO561" s="16">
        <v>30000</v>
      </c>
      <c r="AP561" s="16">
        <v>8000</v>
      </c>
      <c r="AQ561" s="16">
        <v>144000</v>
      </c>
      <c r="AR561" s="16">
        <v>30000</v>
      </c>
      <c r="AS561" s="22">
        <v>120000</v>
      </c>
      <c r="AT561" s="22">
        <v>36000</v>
      </c>
      <c r="AU561" s="22">
        <v>90000</v>
      </c>
      <c r="AV561" s="22">
        <v>8000</v>
      </c>
      <c r="AW561" s="22">
        <v>10000</v>
      </c>
      <c r="AX561" s="66">
        <v>0</v>
      </c>
      <c r="AZ561" s="15" t="s">
        <v>351</v>
      </c>
      <c r="BA561" s="249">
        <f t="shared" si="17"/>
        <v>1</v>
      </c>
      <c r="BC561" s="249">
        <f t="shared" si="16"/>
        <v>1986</v>
      </c>
    </row>
    <row r="562" spans="1:55" x14ac:dyDescent="0.25">
      <c r="A562" s="51" t="s">
        <v>1404</v>
      </c>
      <c r="B562" s="63" t="s">
        <v>1138</v>
      </c>
      <c r="C562" s="14" t="s">
        <v>351</v>
      </c>
      <c r="D562" s="15">
        <v>1980</v>
      </c>
      <c r="E562" s="15" t="s">
        <v>370</v>
      </c>
      <c r="F562" s="15"/>
      <c r="G562" s="15"/>
      <c r="H562" s="15"/>
      <c r="I562" s="15"/>
      <c r="J562" s="16">
        <v>2376000</v>
      </c>
      <c r="K562" s="15" t="s">
        <v>328</v>
      </c>
      <c r="L562" s="15"/>
      <c r="M562" s="15"/>
      <c r="N562" s="16">
        <v>6000</v>
      </c>
      <c r="O562" s="21">
        <v>0.2</v>
      </c>
      <c r="P562" s="15">
        <v>2</v>
      </c>
      <c r="Q562" s="15">
        <v>500</v>
      </c>
      <c r="R562" s="16">
        <v>2200</v>
      </c>
      <c r="S562" s="15" t="s">
        <v>340</v>
      </c>
      <c r="T562" s="15">
        <v>2.2000000000000002</v>
      </c>
      <c r="U562" s="15">
        <v>2.5</v>
      </c>
      <c r="V562" s="27">
        <v>8000</v>
      </c>
      <c r="W562" s="22">
        <v>113120</v>
      </c>
      <c r="X562" s="15"/>
      <c r="Y562" s="15" t="s">
        <v>328</v>
      </c>
      <c r="Z562" s="15"/>
      <c r="AA562" s="15"/>
      <c r="AB562" s="15"/>
      <c r="AC562" s="15"/>
      <c r="AD562" s="15"/>
      <c r="AE562" s="15"/>
      <c r="AF562" s="15"/>
      <c r="AG562" s="15" t="s">
        <v>328</v>
      </c>
      <c r="AH562" s="15"/>
      <c r="AI562" s="15"/>
      <c r="AJ562" s="15"/>
      <c r="AK562" s="15" t="s">
        <v>328</v>
      </c>
      <c r="AL562" s="15" t="s">
        <v>328</v>
      </c>
      <c r="AM562" s="15"/>
      <c r="AN562" s="16">
        <v>12000</v>
      </c>
      <c r="AO562" s="16">
        <v>12000</v>
      </c>
      <c r="AP562" s="16">
        <v>30000</v>
      </c>
      <c r="AQ562" s="16">
        <v>144000</v>
      </c>
      <c r="AR562" s="16">
        <v>12000</v>
      </c>
      <c r="AS562" s="22">
        <v>120000</v>
      </c>
      <c r="AT562" s="22">
        <v>72000</v>
      </c>
      <c r="AU562" s="22">
        <v>50000</v>
      </c>
      <c r="AV562" s="22">
        <v>20000</v>
      </c>
      <c r="AW562" s="22">
        <v>7000</v>
      </c>
      <c r="AX562" s="66">
        <v>0</v>
      </c>
      <c r="AZ562" s="15" t="s">
        <v>351</v>
      </c>
      <c r="BA562" s="249">
        <f t="shared" si="17"/>
        <v>2</v>
      </c>
      <c r="BC562" s="249">
        <f t="shared" si="16"/>
        <v>1980</v>
      </c>
    </row>
    <row r="563" spans="1:55" x14ac:dyDescent="0.25">
      <c r="A563" s="51" t="s">
        <v>1404</v>
      </c>
      <c r="B563" s="63" t="s">
        <v>1138</v>
      </c>
      <c r="C563" s="14" t="s">
        <v>351</v>
      </c>
      <c r="D563" s="15">
        <v>1980</v>
      </c>
      <c r="E563" s="15" t="s">
        <v>370</v>
      </c>
      <c r="F563" s="15"/>
      <c r="G563" s="15"/>
      <c r="H563" s="15"/>
      <c r="I563" s="15"/>
      <c r="J563" s="16">
        <v>2376000</v>
      </c>
      <c r="K563" s="15" t="s">
        <v>328</v>
      </c>
      <c r="L563" s="15"/>
      <c r="M563" s="15"/>
      <c r="N563" s="16">
        <v>6000</v>
      </c>
      <c r="O563" s="21">
        <v>0.2</v>
      </c>
      <c r="P563" s="15">
        <v>2</v>
      </c>
      <c r="Q563" s="15">
        <v>500</v>
      </c>
      <c r="R563" s="16">
        <v>2200</v>
      </c>
      <c r="S563" s="15" t="s">
        <v>340</v>
      </c>
      <c r="T563" s="15">
        <v>2.2000000000000002</v>
      </c>
      <c r="U563" s="15">
        <v>2.5</v>
      </c>
      <c r="V563" s="27">
        <v>8000</v>
      </c>
      <c r="W563" s="22">
        <v>113120</v>
      </c>
      <c r="X563" s="15"/>
      <c r="Y563" s="15" t="s">
        <v>328</v>
      </c>
      <c r="Z563" s="15"/>
      <c r="AA563" s="15"/>
      <c r="AB563" s="15"/>
      <c r="AC563" s="15"/>
      <c r="AD563" s="15"/>
      <c r="AE563" s="15"/>
      <c r="AF563" s="15"/>
      <c r="AG563" s="15" t="s">
        <v>328</v>
      </c>
      <c r="AH563" s="15"/>
      <c r="AI563" s="15"/>
      <c r="AJ563" s="15"/>
      <c r="AK563" s="15" t="s">
        <v>328</v>
      </c>
      <c r="AL563" s="15" t="s">
        <v>328</v>
      </c>
      <c r="AM563" s="15"/>
      <c r="AN563" s="16">
        <v>12000</v>
      </c>
      <c r="AO563" s="16">
        <v>12000</v>
      </c>
      <c r="AP563" s="16">
        <v>30000</v>
      </c>
      <c r="AQ563" s="16">
        <v>144000</v>
      </c>
      <c r="AR563" s="16">
        <v>12000</v>
      </c>
      <c r="AS563" s="22">
        <v>120000</v>
      </c>
      <c r="AT563" s="22">
        <v>72000</v>
      </c>
      <c r="AU563" s="22">
        <v>50000</v>
      </c>
      <c r="AV563" s="22">
        <v>20000</v>
      </c>
      <c r="AW563" s="22">
        <v>7000</v>
      </c>
      <c r="AX563" s="66">
        <v>0</v>
      </c>
      <c r="AZ563" s="15" t="s">
        <v>351</v>
      </c>
      <c r="BA563" s="249">
        <f t="shared" si="17"/>
        <v>2</v>
      </c>
      <c r="BC563" s="249">
        <f t="shared" si="16"/>
        <v>1980</v>
      </c>
    </row>
    <row r="564" spans="1:55" x14ac:dyDescent="0.25">
      <c r="A564" s="51" t="s">
        <v>1404</v>
      </c>
      <c r="B564" s="63" t="s">
        <v>1139</v>
      </c>
      <c r="C564" s="15" t="s">
        <v>337</v>
      </c>
      <c r="D564" s="15">
        <v>1998</v>
      </c>
      <c r="E564" s="15" t="s">
        <v>338</v>
      </c>
      <c r="F564" s="15"/>
      <c r="G564" s="15"/>
      <c r="H564" s="15"/>
      <c r="I564" s="15"/>
      <c r="J564" s="16">
        <v>1250000</v>
      </c>
      <c r="K564" s="15" t="s">
        <v>328</v>
      </c>
      <c r="L564" s="15"/>
      <c r="M564" s="15"/>
      <c r="N564" s="16">
        <v>7000</v>
      </c>
      <c r="O564" s="21">
        <v>0.5</v>
      </c>
      <c r="P564" s="15">
        <v>2</v>
      </c>
      <c r="Q564" s="15">
        <v>480</v>
      </c>
      <c r="R564" s="16">
        <v>1728</v>
      </c>
      <c r="S564" s="15" t="s">
        <v>340</v>
      </c>
      <c r="T564" s="15">
        <v>1.8</v>
      </c>
      <c r="U564" s="15">
        <v>2.2999999999999998</v>
      </c>
      <c r="V564" s="27">
        <v>919.37765205091932</v>
      </c>
      <c r="W564" s="22">
        <v>13000</v>
      </c>
      <c r="X564" s="15"/>
      <c r="Y564" s="15" t="s">
        <v>328</v>
      </c>
      <c r="Z564" s="15"/>
      <c r="AA564" s="15"/>
      <c r="AB564" s="15"/>
      <c r="AC564" s="15"/>
      <c r="AD564" s="15"/>
      <c r="AE564" s="15" t="s">
        <v>328</v>
      </c>
      <c r="AF564" s="15"/>
      <c r="AG564" s="15"/>
      <c r="AH564" s="15" t="s">
        <v>328</v>
      </c>
      <c r="AI564" s="15"/>
      <c r="AJ564" s="15"/>
      <c r="AK564" s="15" t="s">
        <v>328</v>
      </c>
      <c r="AL564" s="15" t="s">
        <v>328</v>
      </c>
      <c r="AM564" s="15"/>
      <c r="AN564" s="16">
        <v>10000</v>
      </c>
      <c r="AO564" s="16">
        <v>40000</v>
      </c>
      <c r="AP564" s="16">
        <v>50000</v>
      </c>
      <c r="AQ564" s="16">
        <v>200000</v>
      </c>
      <c r="AR564" s="16">
        <v>40000</v>
      </c>
      <c r="AS564" s="22">
        <v>144000</v>
      </c>
      <c r="AT564" s="22">
        <v>48000</v>
      </c>
      <c r="AU564" s="22">
        <v>100000</v>
      </c>
      <c r="AV564" s="22">
        <v>12000</v>
      </c>
      <c r="AW564" s="22">
        <v>12000</v>
      </c>
      <c r="AX564" s="66">
        <v>0</v>
      </c>
      <c r="AZ564" s="15" t="s">
        <v>337</v>
      </c>
      <c r="BA564" s="249">
        <f t="shared" si="17"/>
        <v>1</v>
      </c>
      <c r="BC564" s="249">
        <f t="shared" si="16"/>
        <v>1998</v>
      </c>
    </row>
    <row r="565" spans="1:55" x14ac:dyDescent="0.25">
      <c r="A565" s="51" t="s">
        <v>1404</v>
      </c>
      <c r="B565" s="63" t="s">
        <v>1140</v>
      </c>
      <c r="C565" s="15" t="s">
        <v>337</v>
      </c>
      <c r="D565" s="15">
        <v>1990</v>
      </c>
      <c r="E565" s="15" t="s">
        <v>384</v>
      </c>
      <c r="F565" s="15"/>
      <c r="G565" s="15"/>
      <c r="H565" s="15"/>
      <c r="I565" s="15"/>
      <c r="J565" s="16">
        <v>1932000</v>
      </c>
      <c r="K565" s="15" t="s">
        <v>328</v>
      </c>
      <c r="L565" s="15"/>
      <c r="M565" s="15"/>
      <c r="N565" s="16">
        <v>7000</v>
      </c>
      <c r="O565" s="21">
        <v>0.5</v>
      </c>
      <c r="P565" s="15">
        <v>2</v>
      </c>
      <c r="Q565" s="15">
        <v>550</v>
      </c>
      <c r="R565" s="16">
        <v>3080</v>
      </c>
      <c r="S565" s="15" t="s">
        <v>340</v>
      </c>
      <c r="T565" s="15">
        <v>2.8</v>
      </c>
      <c r="U565" s="15">
        <v>3</v>
      </c>
      <c r="V565" s="27">
        <v>7000</v>
      </c>
      <c r="W565" s="22">
        <v>98980</v>
      </c>
      <c r="X565" s="15"/>
      <c r="Y565" s="15" t="s">
        <v>328</v>
      </c>
      <c r="Z565" s="15"/>
      <c r="AA565" s="15"/>
      <c r="AB565" s="15"/>
      <c r="AC565" s="15"/>
      <c r="AD565" s="15" t="s">
        <v>328</v>
      </c>
      <c r="AE565" s="15"/>
      <c r="AF565" s="15"/>
      <c r="AG565" s="15"/>
      <c r="AH565" s="15"/>
      <c r="AI565" s="15"/>
      <c r="AJ565" s="15"/>
      <c r="AK565" s="15" t="s">
        <v>328</v>
      </c>
      <c r="AL565" s="15" t="s">
        <v>328</v>
      </c>
      <c r="AM565" s="15"/>
      <c r="AN565" s="16">
        <v>8000</v>
      </c>
      <c r="AO565" s="16">
        <v>8000</v>
      </c>
      <c r="AP565" s="16">
        <v>24000</v>
      </c>
      <c r="AQ565" s="16">
        <v>84000</v>
      </c>
      <c r="AR565" s="16">
        <v>24000</v>
      </c>
      <c r="AS565" s="22">
        <v>114000</v>
      </c>
      <c r="AT565" s="22">
        <v>102000</v>
      </c>
      <c r="AU565" s="22">
        <v>22000</v>
      </c>
      <c r="AV565" s="22">
        <v>24000</v>
      </c>
      <c r="AW565" s="22">
        <v>9000</v>
      </c>
      <c r="AX565" s="66">
        <v>0</v>
      </c>
      <c r="AZ565" s="15" t="s">
        <v>561</v>
      </c>
      <c r="BA565" s="249">
        <f t="shared" si="17"/>
        <v>1</v>
      </c>
      <c r="BC565" s="249">
        <f t="shared" si="16"/>
        <v>1990</v>
      </c>
    </row>
    <row r="566" spans="1:55" x14ac:dyDescent="0.25">
      <c r="A566" s="51" t="s">
        <v>1404</v>
      </c>
      <c r="B566" s="63" t="s">
        <v>1141</v>
      </c>
      <c r="C566" s="15" t="s">
        <v>337</v>
      </c>
      <c r="D566" s="15">
        <v>2004</v>
      </c>
      <c r="E566" s="15" t="s">
        <v>338</v>
      </c>
      <c r="F566" s="15"/>
      <c r="G566" s="15"/>
      <c r="H566" s="15"/>
      <c r="I566" s="15"/>
      <c r="J566" s="16">
        <v>683201</v>
      </c>
      <c r="K566" s="15" t="s">
        <v>328</v>
      </c>
      <c r="L566" s="15"/>
      <c r="M566" s="15"/>
      <c r="N566" s="16">
        <v>5000</v>
      </c>
      <c r="O566" s="21">
        <v>0.5</v>
      </c>
      <c r="P566" s="15">
        <v>2</v>
      </c>
      <c r="Q566" s="15">
        <v>420</v>
      </c>
      <c r="R566" s="16">
        <v>1848</v>
      </c>
      <c r="S566" s="15" t="s">
        <v>340</v>
      </c>
      <c r="T566" s="15">
        <v>2.2000000000000002</v>
      </c>
      <c r="U566" s="15">
        <v>2.5</v>
      </c>
      <c r="V566" s="27">
        <v>1272.9844413012729</v>
      </c>
      <c r="W566" s="22">
        <v>18000</v>
      </c>
      <c r="X566" s="15"/>
      <c r="Y566" s="15" t="s">
        <v>328</v>
      </c>
      <c r="Z566" s="15"/>
      <c r="AA566" s="15"/>
      <c r="AB566" s="15"/>
      <c r="AC566" s="15"/>
      <c r="AD566" s="15" t="s">
        <v>328</v>
      </c>
      <c r="AE566" s="15" t="s">
        <v>328</v>
      </c>
      <c r="AF566" s="15"/>
      <c r="AG566" s="15" t="s">
        <v>328</v>
      </c>
      <c r="AH566" s="15"/>
      <c r="AI566" s="15" t="s">
        <v>328</v>
      </c>
      <c r="AJ566" s="15"/>
      <c r="AK566" s="15" t="s">
        <v>328</v>
      </c>
      <c r="AL566" s="15" t="s">
        <v>328</v>
      </c>
      <c r="AM566" s="15"/>
      <c r="AN566" s="16">
        <v>12000</v>
      </c>
      <c r="AO566" s="16">
        <v>45000</v>
      </c>
      <c r="AP566" s="16">
        <v>10000</v>
      </c>
      <c r="AQ566" s="16">
        <v>300000</v>
      </c>
      <c r="AR566" s="16">
        <v>450000</v>
      </c>
      <c r="AS566" s="22">
        <v>120000</v>
      </c>
      <c r="AT566" s="22">
        <v>42000</v>
      </c>
      <c r="AU566" s="22">
        <v>100000</v>
      </c>
      <c r="AV566" s="22">
        <v>15000</v>
      </c>
      <c r="AW566" s="22">
        <v>13000</v>
      </c>
      <c r="AX566" s="66">
        <v>0</v>
      </c>
      <c r="AZ566" s="15" t="s">
        <v>337</v>
      </c>
      <c r="BA566" s="249">
        <f t="shared" si="17"/>
        <v>1</v>
      </c>
      <c r="BC566" s="249">
        <f t="shared" si="16"/>
        <v>2004</v>
      </c>
    </row>
    <row r="567" spans="1:55" x14ac:dyDescent="0.25">
      <c r="A567" s="51" t="s">
        <v>1404</v>
      </c>
      <c r="B567" s="63" t="s">
        <v>1142</v>
      </c>
      <c r="C567" s="15" t="s">
        <v>337</v>
      </c>
      <c r="D567" s="15">
        <v>1997</v>
      </c>
      <c r="E567" s="15" t="s">
        <v>456</v>
      </c>
      <c r="F567" s="15"/>
      <c r="G567" s="15"/>
      <c r="H567" s="15"/>
      <c r="I567" s="15"/>
      <c r="J567" s="16">
        <v>1440000</v>
      </c>
      <c r="K567" s="15" t="s">
        <v>328</v>
      </c>
      <c r="L567" s="15"/>
      <c r="M567" s="15"/>
      <c r="N567" s="16">
        <v>7500</v>
      </c>
      <c r="O567" s="21">
        <v>0.3</v>
      </c>
      <c r="P567" s="15">
        <v>2</v>
      </c>
      <c r="Q567" s="15">
        <v>550</v>
      </c>
      <c r="R567" s="16">
        <v>2530</v>
      </c>
      <c r="S567" s="15" t="s">
        <v>340</v>
      </c>
      <c r="T567" s="15">
        <v>2.2999999999999998</v>
      </c>
      <c r="U567" s="15">
        <v>2.8</v>
      </c>
      <c r="V567" s="27">
        <v>8800</v>
      </c>
      <c r="W567" s="22">
        <v>124432</v>
      </c>
      <c r="X567" s="15"/>
      <c r="Y567" s="15" t="s">
        <v>328</v>
      </c>
      <c r="Z567" s="15"/>
      <c r="AA567" s="15"/>
      <c r="AB567" s="15"/>
      <c r="AC567" s="15"/>
      <c r="AD567" s="15" t="s">
        <v>328</v>
      </c>
      <c r="AE567" s="15"/>
      <c r="AF567" s="15"/>
      <c r="AG567" s="15"/>
      <c r="AH567" s="15"/>
      <c r="AI567" s="15"/>
      <c r="AJ567" s="15"/>
      <c r="AK567" s="15" t="s">
        <v>328</v>
      </c>
      <c r="AL567" s="15" t="s">
        <v>328</v>
      </c>
      <c r="AM567" s="15"/>
      <c r="AN567" s="16">
        <v>15000</v>
      </c>
      <c r="AO567" s="16">
        <v>15000</v>
      </c>
      <c r="AP567" s="16">
        <v>30000</v>
      </c>
      <c r="AQ567" s="16">
        <v>180000</v>
      </c>
      <c r="AR567" s="16">
        <v>15000</v>
      </c>
      <c r="AS567" s="22">
        <v>120000</v>
      </c>
      <c r="AT567" s="22">
        <v>96000</v>
      </c>
      <c r="AU567" s="22">
        <v>11000</v>
      </c>
      <c r="AV567" s="22">
        <v>24000</v>
      </c>
      <c r="AW567" s="22">
        <v>10000</v>
      </c>
      <c r="AX567" s="66">
        <v>0</v>
      </c>
      <c r="AZ567" s="15" t="s">
        <v>561</v>
      </c>
      <c r="BA567" s="249">
        <f t="shared" si="17"/>
        <v>2</v>
      </c>
      <c r="BC567" s="249">
        <f t="shared" si="16"/>
        <v>1997</v>
      </c>
    </row>
    <row r="568" spans="1:55" x14ac:dyDescent="0.25">
      <c r="A568" s="51" t="s">
        <v>1404</v>
      </c>
      <c r="B568" s="63" t="s">
        <v>1142</v>
      </c>
      <c r="C568" s="15" t="s">
        <v>337</v>
      </c>
      <c r="D568" s="15">
        <v>1997</v>
      </c>
      <c r="E568" s="15" t="s">
        <v>456</v>
      </c>
      <c r="F568" s="15"/>
      <c r="G568" s="15"/>
      <c r="H568" s="15"/>
      <c r="I568" s="15"/>
      <c r="J568" s="16">
        <v>1440000</v>
      </c>
      <c r="K568" s="15" t="s">
        <v>328</v>
      </c>
      <c r="L568" s="15"/>
      <c r="M568" s="15"/>
      <c r="N568" s="16">
        <v>7500</v>
      </c>
      <c r="O568" s="21">
        <v>0.3</v>
      </c>
      <c r="P568" s="15">
        <v>2</v>
      </c>
      <c r="Q568" s="15">
        <v>550</v>
      </c>
      <c r="R568" s="16">
        <v>2530</v>
      </c>
      <c r="S568" s="15" t="s">
        <v>340</v>
      </c>
      <c r="T568" s="15">
        <v>2.2999999999999998</v>
      </c>
      <c r="U568" s="15">
        <v>2.8</v>
      </c>
      <c r="V568" s="27">
        <v>8800</v>
      </c>
      <c r="W568" s="22">
        <v>124432</v>
      </c>
      <c r="X568" s="15"/>
      <c r="Y568" s="15" t="s">
        <v>328</v>
      </c>
      <c r="Z568" s="15"/>
      <c r="AA568" s="15"/>
      <c r="AB568" s="15"/>
      <c r="AC568" s="15"/>
      <c r="AD568" s="15" t="s">
        <v>328</v>
      </c>
      <c r="AE568" s="15"/>
      <c r="AF568" s="15"/>
      <c r="AG568" s="15"/>
      <c r="AH568" s="15"/>
      <c r="AI568" s="15"/>
      <c r="AJ568" s="15"/>
      <c r="AK568" s="15" t="s">
        <v>328</v>
      </c>
      <c r="AL568" s="15" t="s">
        <v>328</v>
      </c>
      <c r="AM568" s="15"/>
      <c r="AN568" s="16">
        <v>15000</v>
      </c>
      <c r="AO568" s="16">
        <v>15000</v>
      </c>
      <c r="AP568" s="16">
        <v>30000</v>
      </c>
      <c r="AQ568" s="16">
        <v>180000</v>
      </c>
      <c r="AR568" s="16">
        <v>15000</v>
      </c>
      <c r="AS568" s="22">
        <v>120000</v>
      </c>
      <c r="AT568" s="22">
        <v>96000</v>
      </c>
      <c r="AU568" s="22">
        <v>11000</v>
      </c>
      <c r="AV568" s="22">
        <v>24000</v>
      </c>
      <c r="AW568" s="22">
        <v>10000</v>
      </c>
      <c r="AX568" s="66">
        <v>0</v>
      </c>
      <c r="AZ568" s="15" t="s">
        <v>561</v>
      </c>
      <c r="BA568" s="249">
        <f t="shared" si="17"/>
        <v>2</v>
      </c>
      <c r="BC568" s="249">
        <f t="shared" si="16"/>
        <v>1997</v>
      </c>
    </row>
    <row r="569" spans="1:55" x14ac:dyDescent="0.25">
      <c r="A569" s="51" t="s">
        <v>1404</v>
      </c>
      <c r="B569" s="63" t="s">
        <v>1143</v>
      </c>
      <c r="C569" s="15" t="s">
        <v>337</v>
      </c>
      <c r="D569" s="15">
        <v>1988</v>
      </c>
      <c r="E569" s="15" t="s">
        <v>349</v>
      </c>
      <c r="F569" s="15"/>
      <c r="G569" s="15"/>
      <c r="H569" s="15"/>
      <c r="I569" s="15"/>
      <c r="J569" s="16">
        <v>1500000</v>
      </c>
      <c r="K569" s="15" t="s">
        <v>328</v>
      </c>
      <c r="L569" s="15"/>
      <c r="M569" s="15"/>
      <c r="N569" s="16">
        <v>5000</v>
      </c>
      <c r="O569" s="21">
        <v>0.1</v>
      </c>
      <c r="P569" s="15">
        <v>2</v>
      </c>
      <c r="Q569" s="15">
        <v>550</v>
      </c>
      <c r="R569" s="16">
        <v>2750</v>
      </c>
      <c r="S569" s="15" t="s">
        <v>340</v>
      </c>
      <c r="T569" s="15">
        <v>2.5</v>
      </c>
      <c r="U569" s="15">
        <v>2.8</v>
      </c>
      <c r="V569" s="27">
        <v>6600</v>
      </c>
      <c r="W569" s="22">
        <v>93324</v>
      </c>
      <c r="X569" s="15"/>
      <c r="Y569" s="15" t="s">
        <v>328</v>
      </c>
      <c r="Z569" s="15"/>
      <c r="AA569" s="15"/>
      <c r="AB569" s="15"/>
      <c r="AC569" s="15"/>
      <c r="AD569" s="15" t="s">
        <v>328</v>
      </c>
      <c r="AE569" s="15"/>
      <c r="AF569" s="15"/>
      <c r="AG569" s="15" t="s">
        <v>328</v>
      </c>
      <c r="AH569" s="15" t="s">
        <v>328</v>
      </c>
      <c r="AI569" s="15"/>
      <c r="AJ569" s="15"/>
      <c r="AK569" s="15" t="s">
        <v>328</v>
      </c>
      <c r="AL569" s="15" t="s">
        <v>328</v>
      </c>
      <c r="AM569" s="15"/>
      <c r="AN569" s="16">
        <v>15000</v>
      </c>
      <c r="AO569" s="16">
        <v>15000</v>
      </c>
      <c r="AP569" s="16">
        <v>30000</v>
      </c>
      <c r="AQ569" s="16">
        <v>120000</v>
      </c>
      <c r="AR569" s="16">
        <v>15000</v>
      </c>
      <c r="AS569" s="22">
        <v>96000</v>
      </c>
      <c r="AT569" s="22">
        <v>48000</v>
      </c>
      <c r="AU569" s="22">
        <v>90000</v>
      </c>
      <c r="AV569" s="22">
        <v>24000</v>
      </c>
      <c r="AW569" s="22">
        <v>10000</v>
      </c>
      <c r="AX569" s="66">
        <v>0</v>
      </c>
      <c r="AZ569" s="15" t="s">
        <v>562</v>
      </c>
      <c r="BA569" s="249">
        <f t="shared" si="17"/>
        <v>2</v>
      </c>
      <c r="BC569" s="249">
        <f t="shared" si="16"/>
        <v>1988</v>
      </c>
    </row>
    <row r="570" spans="1:55" x14ac:dyDescent="0.25">
      <c r="A570" s="51" t="s">
        <v>1404</v>
      </c>
      <c r="B570" s="63" t="s">
        <v>1143</v>
      </c>
      <c r="C570" s="15" t="s">
        <v>337</v>
      </c>
      <c r="D570" s="15">
        <v>1988</v>
      </c>
      <c r="E570" s="15" t="s">
        <v>349</v>
      </c>
      <c r="F570" s="15"/>
      <c r="G570" s="15"/>
      <c r="H570" s="15"/>
      <c r="I570" s="15"/>
      <c r="J570" s="16">
        <v>1500000</v>
      </c>
      <c r="K570" s="15" t="s">
        <v>328</v>
      </c>
      <c r="L570" s="15"/>
      <c r="M570" s="15"/>
      <c r="N570" s="16">
        <v>5000</v>
      </c>
      <c r="O570" s="21">
        <v>0.1</v>
      </c>
      <c r="P570" s="15">
        <v>2</v>
      </c>
      <c r="Q570" s="15">
        <v>550</v>
      </c>
      <c r="R570" s="16">
        <v>2750</v>
      </c>
      <c r="S570" s="15" t="s">
        <v>340</v>
      </c>
      <c r="T570" s="15">
        <v>2.5</v>
      </c>
      <c r="U570" s="15">
        <v>2.8</v>
      </c>
      <c r="V570" s="27">
        <v>6600</v>
      </c>
      <c r="W570" s="22">
        <v>93324</v>
      </c>
      <c r="X570" s="15"/>
      <c r="Y570" s="15" t="s">
        <v>328</v>
      </c>
      <c r="Z570" s="15"/>
      <c r="AA570" s="15"/>
      <c r="AB570" s="15"/>
      <c r="AC570" s="15"/>
      <c r="AD570" s="15" t="s">
        <v>328</v>
      </c>
      <c r="AE570" s="15"/>
      <c r="AF570" s="15"/>
      <c r="AG570" s="15" t="s">
        <v>328</v>
      </c>
      <c r="AH570" s="15" t="s">
        <v>328</v>
      </c>
      <c r="AI570" s="15"/>
      <c r="AJ570" s="15"/>
      <c r="AK570" s="15" t="s">
        <v>328</v>
      </c>
      <c r="AL570" s="15" t="s">
        <v>328</v>
      </c>
      <c r="AM570" s="15"/>
      <c r="AN570" s="16">
        <v>15000</v>
      </c>
      <c r="AO570" s="16">
        <v>15000</v>
      </c>
      <c r="AP570" s="16">
        <v>30000</v>
      </c>
      <c r="AQ570" s="16">
        <v>120000</v>
      </c>
      <c r="AR570" s="16">
        <v>15000</v>
      </c>
      <c r="AS570" s="22">
        <v>96000</v>
      </c>
      <c r="AT570" s="22">
        <v>48000</v>
      </c>
      <c r="AU570" s="22">
        <v>90000</v>
      </c>
      <c r="AV570" s="22">
        <v>24000</v>
      </c>
      <c r="AW570" s="22">
        <v>10000</v>
      </c>
      <c r="AX570" s="66">
        <v>0</v>
      </c>
      <c r="AZ570" s="15" t="s">
        <v>562</v>
      </c>
      <c r="BA570" s="249">
        <f t="shared" si="17"/>
        <v>2</v>
      </c>
      <c r="BC570" s="249">
        <f t="shared" si="16"/>
        <v>1988</v>
      </c>
    </row>
    <row r="571" spans="1:55" x14ac:dyDescent="0.25">
      <c r="A571" s="51" t="s">
        <v>1378</v>
      </c>
      <c r="B571" s="61" t="s">
        <v>1351</v>
      </c>
      <c r="C571" s="15" t="s">
        <v>337</v>
      </c>
      <c r="D571" s="15">
        <v>1995</v>
      </c>
      <c r="E571" s="15" t="s">
        <v>349</v>
      </c>
      <c r="F571" s="15"/>
      <c r="G571" s="15"/>
      <c r="H571" s="15"/>
      <c r="I571" s="15"/>
      <c r="J571" s="16">
        <v>1300000</v>
      </c>
      <c r="K571" s="15" t="s">
        <v>328</v>
      </c>
      <c r="L571" s="15"/>
      <c r="M571" s="15"/>
      <c r="N571" s="16">
        <v>6000</v>
      </c>
      <c r="O571" s="21">
        <v>0.5</v>
      </c>
      <c r="P571" s="15">
        <v>2</v>
      </c>
      <c r="Q571" s="15">
        <v>580</v>
      </c>
      <c r="R571" s="16">
        <v>1250</v>
      </c>
      <c r="S571" s="15" t="s">
        <v>340</v>
      </c>
      <c r="T571" s="15">
        <v>2</v>
      </c>
      <c r="U571" s="15">
        <v>2.2000000000000002</v>
      </c>
      <c r="V571" s="27">
        <v>2827.6481149012566</v>
      </c>
      <c r="W571" s="22">
        <v>31500</v>
      </c>
      <c r="X571" s="15" t="s">
        <v>328</v>
      </c>
      <c r="Y571" s="15"/>
      <c r="Z571" s="15"/>
      <c r="AA571" s="15"/>
      <c r="AB571" s="15"/>
      <c r="AC571" s="15"/>
      <c r="AD571" s="15" t="s">
        <v>328</v>
      </c>
      <c r="AE571" s="15" t="s">
        <v>328</v>
      </c>
      <c r="AF571" s="15"/>
      <c r="AG571" s="15" t="s">
        <v>328</v>
      </c>
      <c r="AH571" s="15" t="s">
        <v>328</v>
      </c>
      <c r="AI571" s="15"/>
      <c r="AJ571" s="15"/>
      <c r="AK571" s="15"/>
      <c r="AL571" s="15" t="s">
        <v>328</v>
      </c>
      <c r="AM571" s="15"/>
      <c r="AN571" s="16">
        <v>15000</v>
      </c>
      <c r="AO571" s="16">
        <v>20000</v>
      </c>
      <c r="AP571" s="16">
        <v>15000</v>
      </c>
      <c r="AQ571" s="16">
        <v>130000</v>
      </c>
      <c r="AR571" s="16">
        <v>20000</v>
      </c>
      <c r="AS571" s="22">
        <v>90000</v>
      </c>
      <c r="AT571" s="22">
        <v>0</v>
      </c>
      <c r="AU571" s="22">
        <v>80000</v>
      </c>
      <c r="AV571" s="22">
        <v>30000</v>
      </c>
      <c r="AW571" s="22">
        <v>13000</v>
      </c>
      <c r="AX571" s="66">
        <v>0</v>
      </c>
      <c r="AZ571" s="15"/>
      <c r="BA571" s="249">
        <f t="shared" si="17"/>
        <v>6</v>
      </c>
      <c r="BB571" s="249">
        <v>0</v>
      </c>
      <c r="BC571" s="249">
        <f t="shared" si="16"/>
        <v>1995</v>
      </c>
    </row>
    <row r="572" spans="1:55" x14ac:dyDescent="0.25">
      <c r="A572" s="51" t="s">
        <v>1378</v>
      </c>
      <c r="B572" s="61" t="s">
        <v>1351</v>
      </c>
      <c r="C572" s="15" t="s">
        <v>337</v>
      </c>
      <c r="D572" s="15">
        <v>1995</v>
      </c>
      <c r="E572" s="15" t="s">
        <v>349</v>
      </c>
      <c r="F572" s="15"/>
      <c r="G572" s="15"/>
      <c r="H572" s="15"/>
      <c r="I572" s="15"/>
      <c r="J572" s="16">
        <v>1250000</v>
      </c>
      <c r="K572" s="15" t="s">
        <v>328</v>
      </c>
      <c r="L572" s="15"/>
      <c r="M572" s="15"/>
      <c r="N572" s="16">
        <v>6000</v>
      </c>
      <c r="O572" s="21">
        <v>0.5</v>
      </c>
      <c r="P572" s="15">
        <v>2</v>
      </c>
      <c r="Q572" s="15">
        <v>580</v>
      </c>
      <c r="R572" s="16">
        <v>1250</v>
      </c>
      <c r="S572" s="15" t="s">
        <v>340</v>
      </c>
      <c r="T572" s="15">
        <v>2</v>
      </c>
      <c r="U572" s="15">
        <v>2.2000000000000002</v>
      </c>
      <c r="V572" s="27">
        <v>2827.6481149012566</v>
      </c>
      <c r="W572" s="22">
        <v>31500</v>
      </c>
      <c r="X572" s="15" t="s">
        <v>328</v>
      </c>
      <c r="Y572" s="15"/>
      <c r="Z572" s="15"/>
      <c r="AA572" s="15"/>
      <c r="AB572" s="15"/>
      <c r="AC572" s="15"/>
      <c r="AD572" s="15" t="s">
        <v>328</v>
      </c>
      <c r="AE572" s="15" t="s">
        <v>328</v>
      </c>
      <c r="AF572" s="15"/>
      <c r="AG572" s="15" t="s">
        <v>328</v>
      </c>
      <c r="AH572" s="15" t="s">
        <v>328</v>
      </c>
      <c r="AI572" s="15"/>
      <c r="AJ572" s="15"/>
      <c r="AK572" s="15"/>
      <c r="AL572" s="15" t="s">
        <v>328</v>
      </c>
      <c r="AM572" s="15"/>
      <c r="AN572" s="16">
        <v>15000</v>
      </c>
      <c r="AO572" s="16">
        <v>20000</v>
      </c>
      <c r="AP572" s="16">
        <v>15000</v>
      </c>
      <c r="AQ572" s="16">
        <v>130000</v>
      </c>
      <c r="AR572" s="16">
        <v>20000</v>
      </c>
      <c r="AS572" s="22">
        <v>90000</v>
      </c>
      <c r="AT572" s="22">
        <v>0</v>
      </c>
      <c r="AU572" s="22">
        <v>80000</v>
      </c>
      <c r="AV572" s="22">
        <v>30000</v>
      </c>
      <c r="AW572" s="22">
        <v>13000</v>
      </c>
      <c r="AX572" s="66">
        <v>0</v>
      </c>
      <c r="AZ572" s="15"/>
      <c r="BA572" s="249">
        <f t="shared" si="17"/>
        <v>6</v>
      </c>
      <c r="BB572" s="249"/>
      <c r="BC572" s="249">
        <f t="shared" si="16"/>
        <v>1995</v>
      </c>
    </row>
    <row r="573" spans="1:55" x14ac:dyDescent="0.25">
      <c r="A573" s="51" t="s">
        <v>1378</v>
      </c>
      <c r="B573" s="61" t="s">
        <v>1351</v>
      </c>
      <c r="C573" s="15" t="s">
        <v>337</v>
      </c>
      <c r="D573" s="15">
        <v>1998</v>
      </c>
      <c r="E573" s="15" t="s">
        <v>338</v>
      </c>
      <c r="F573" s="15"/>
      <c r="G573" s="15"/>
      <c r="H573" s="15"/>
      <c r="I573" s="15"/>
      <c r="J573" s="16">
        <v>1340000</v>
      </c>
      <c r="K573" s="15" t="s">
        <v>328</v>
      </c>
      <c r="L573" s="15"/>
      <c r="M573" s="15"/>
      <c r="N573" s="16">
        <v>7000</v>
      </c>
      <c r="O573" s="21">
        <v>0.5</v>
      </c>
      <c r="P573" s="15">
        <v>2</v>
      </c>
      <c r="Q573" s="15">
        <v>640</v>
      </c>
      <c r="R573" s="16">
        <v>1400</v>
      </c>
      <c r="S573" s="15" t="s">
        <v>340</v>
      </c>
      <c r="T573" s="15">
        <v>2.1</v>
      </c>
      <c r="U573" s="15">
        <v>2.2000000000000002</v>
      </c>
      <c r="V573" s="27">
        <v>3141.8312387791739</v>
      </c>
      <c r="W573" s="22">
        <v>35000</v>
      </c>
      <c r="X573" s="15"/>
      <c r="Y573" s="15" t="s">
        <v>328</v>
      </c>
      <c r="Z573" s="15"/>
      <c r="AA573" s="15"/>
      <c r="AB573" s="15"/>
      <c r="AC573" s="15"/>
      <c r="AD573" s="15" t="s">
        <v>328</v>
      </c>
      <c r="AE573" s="15" t="s">
        <v>328</v>
      </c>
      <c r="AF573" s="15"/>
      <c r="AG573" s="15" t="s">
        <v>328</v>
      </c>
      <c r="AH573" s="15" t="s">
        <v>328</v>
      </c>
      <c r="AI573" s="15"/>
      <c r="AJ573" s="15"/>
      <c r="AK573" s="15"/>
      <c r="AL573" s="15" t="s">
        <v>328</v>
      </c>
      <c r="AM573" s="15"/>
      <c r="AN573" s="16">
        <v>20000</v>
      </c>
      <c r="AO573" s="16">
        <v>20000</v>
      </c>
      <c r="AP573" s="16">
        <v>20000</v>
      </c>
      <c r="AQ573" s="16">
        <v>130000</v>
      </c>
      <c r="AR573" s="16">
        <v>20000</v>
      </c>
      <c r="AS573" s="22">
        <v>96000</v>
      </c>
      <c r="AT573" s="22">
        <v>0</v>
      </c>
      <c r="AU573" s="22">
        <v>95000</v>
      </c>
      <c r="AV573" s="22">
        <v>25000</v>
      </c>
      <c r="AW573" s="22">
        <v>13000</v>
      </c>
      <c r="AX573" s="66">
        <v>0</v>
      </c>
      <c r="AZ573" s="15"/>
      <c r="BA573" s="249">
        <f t="shared" si="17"/>
        <v>6</v>
      </c>
      <c r="BB573" s="249"/>
      <c r="BC573" s="249">
        <f t="shared" si="16"/>
        <v>1998</v>
      </c>
    </row>
    <row r="574" spans="1:55" x14ac:dyDescent="0.25">
      <c r="A574" s="51" t="s">
        <v>1378</v>
      </c>
      <c r="B574" s="61" t="s">
        <v>1351</v>
      </c>
      <c r="C574" s="15" t="s">
        <v>337</v>
      </c>
      <c r="D574" s="15">
        <v>1998</v>
      </c>
      <c r="E574" s="15" t="s">
        <v>338</v>
      </c>
      <c r="F574" s="15"/>
      <c r="G574" s="15"/>
      <c r="H574" s="15"/>
      <c r="I574" s="15"/>
      <c r="J574" s="16">
        <v>1350000</v>
      </c>
      <c r="K574" s="15" t="s">
        <v>328</v>
      </c>
      <c r="L574" s="15"/>
      <c r="M574" s="15"/>
      <c r="N574" s="16">
        <v>7000</v>
      </c>
      <c r="O574" s="21">
        <v>0.5</v>
      </c>
      <c r="P574" s="15">
        <v>2</v>
      </c>
      <c r="Q574" s="15">
        <v>680</v>
      </c>
      <c r="R574" s="16">
        <v>1450</v>
      </c>
      <c r="S574" s="15" t="s">
        <v>340</v>
      </c>
      <c r="T574" s="15">
        <v>2.1</v>
      </c>
      <c r="U574" s="15">
        <v>2.2000000000000002</v>
      </c>
      <c r="V574" s="27">
        <v>3141.8312387791739</v>
      </c>
      <c r="W574" s="22">
        <v>35000</v>
      </c>
      <c r="X574" s="15"/>
      <c r="Y574" s="15" t="s">
        <v>328</v>
      </c>
      <c r="Z574" s="15"/>
      <c r="AA574" s="15"/>
      <c r="AB574" s="15"/>
      <c r="AC574" s="15"/>
      <c r="AD574" s="15" t="s">
        <v>328</v>
      </c>
      <c r="AE574" s="15" t="s">
        <v>328</v>
      </c>
      <c r="AF574" s="15"/>
      <c r="AG574" s="15" t="s">
        <v>328</v>
      </c>
      <c r="AH574" s="15" t="s">
        <v>328</v>
      </c>
      <c r="AI574" s="15"/>
      <c r="AJ574" s="15"/>
      <c r="AK574" s="15"/>
      <c r="AL574" s="15" t="s">
        <v>328</v>
      </c>
      <c r="AM574" s="15"/>
      <c r="AN574" s="16">
        <v>20000</v>
      </c>
      <c r="AO574" s="16">
        <v>20000</v>
      </c>
      <c r="AP574" s="16">
        <v>20000</v>
      </c>
      <c r="AQ574" s="16">
        <v>130000</v>
      </c>
      <c r="AR574" s="16">
        <v>20000</v>
      </c>
      <c r="AS574" s="22">
        <v>96000</v>
      </c>
      <c r="AT574" s="22">
        <v>0</v>
      </c>
      <c r="AU574" s="22">
        <v>95000</v>
      </c>
      <c r="AV574" s="22">
        <v>25000</v>
      </c>
      <c r="AW574" s="22">
        <v>13000</v>
      </c>
      <c r="AX574" s="66">
        <v>0</v>
      </c>
      <c r="AZ574" s="15"/>
      <c r="BA574" s="249">
        <f t="shared" si="17"/>
        <v>6</v>
      </c>
      <c r="BB574" s="249"/>
      <c r="BC574" s="249">
        <f t="shared" si="16"/>
        <v>1998</v>
      </c>
    </row>
    <row r="575" spans="1:55" x14ac:dyDescent="0.25">
      <c r="A575" s="51" t="s">
        <v>1378</v>
      </c>
      <c r="B575" s="61" t="s">
        <v>1351</v>
      </c>
      <c r="C575" s="15" t="s">
        <v>337</v>
      </c>
      <c r="D575" s="15">
        <v>2000</v>
      </c>
      <c r="E575" s="15" t="s">
        <v>338</v>
      </c>
      <c r="F575" s="15"/>
      <c r="G575" s="15"/>
      <c r="H575" s="15"/>
      <c r="I575" s="15"/>
      <c r="J575" s="16">
        <v>1280000</v>
      </c>
      <c r="K575" s="15" t="s">
        <v>328</v>
      </c>
      <c r="L575" s="15"/>
      <c r="M575" s="15"/>
      <c r="N575" s="16">
        <v>8000</v>
      </c>
      <c r="O575" s="21">
        <v>0.5</v>
      </c>
      <c r="P575" s="15">
        <v>3</v>
      </c>
      <c r="Q575" s="15">
        <v>930</v>
      </c>
      <c r="R575" s="16">
        <v>2200</v>
      </c>
      <c r="S575" s="15" t="s">
        <v>340</v>
      </c>
      <c r="T575" s="15">
        <v>2.2999999999999998</v>
      </c>
      <c r="U575" s="15">
        <v>2.5</v>
      </c>
      <c r="V575" s="27">
        <v>3321.3644524236984</v>
      </c>
      <c r="W575" s="22">
        <v>37000</v>
      </c>
      <c r="X575" s="15"/>
      <c r="Y575" s="15" t="s">
        <v>328</v>
      </c>
      <c r="Z575" s="15"/>
      <c r="AA575" s="15"/>
      <c r="AB575" s="15"/>
      <c r="AC575" s="15"/>
      <c r="AD575" s="15" t="s">
        <v>328</v>
      </c>
      <c r="AE575" s="15"/>
      <c r="AF575" s="15" t="s">
        <v>328</v>
      </c>
      <c r="AG575" s="15" t="s">
        <v>328</v>
      </c>
      <c r="AH575" s="15" t="s">
        <v>328</v>
      </c>
      <c r="AI575" s="15" t="s">
        <v>328</v>
      </c>
      <c r="AJ575" s="15"/>
      <c r="AK575" s="15"/>
      <c r="AL575" s="15" t="s">
        <v>328</v>
      </c>
      <c r="AM575" s="15"/>
      <c r="AN575" s="16">
        <v>20000</v>
      </c>
      <c r="AO575" s="16">
        <v>20000</v>
      </c>
      <c r="AP575" s="16">
        <v>20000</v>
      </c>
      <c r="AQ575" s="16">
        <v>130000</v>
      </c>
      <c r="AR575" s="16">
        <v>20000</v>
      </c>
      <c r="AS575" s="22">
        <v>108000</v>
      </c>
      <c r="AT575" s="22">
        <v>0</v>
      </c>
      <c r="AU575" s="22">
        <v>110000</v>
      </c>
      <c r="AV575" s="22">
        <v>20000</v>
      </c>
      <c r="AW575" s="22">
        <v>13000</v>
      </c>
      <c r="AX575" s="66">
        <v>0</v>
      </c>
      <c r="AZ575" s="15"/>
      <c r="BA575" s="249">
        <f t="shared" si="17"/>
        <v>6</v>
      </c>
      <c r="BB575" s="249"/>
      <c r="BC575" s="249">
        <f t="shared" si="16"/>
        <v>2000</v>
      </c>
    </row>
    <row r="576" spans="1:55" x14ac:dyDescent="0.25">
      <c r="A576" s="51" t="s">
        <v>1378</v>
      </c>
      <c r="B576" s="61" t="s">
        <v>1351</v>
      </c>
      <c r="C576" s="15" t="s">
        <v>337</v>
      </c>
      <c r="D576" s="15">
        <v>2000</v>
      </c>
      <c r="E576" s="15" t="s">
        <v>338</v>
      </c>
      <c r="F576" s="15"/>
      <c r="G576" s="15"/>
      <c r="H576" s="15"/>
      <c r="I576" s="15"/>
      <c r="J576" s="16">
        <v>1240000</v>
      </c>
      <c r="K576" s="15" t="s">
        <v>328</v>
      </c>
      <c r="L576" s="15"/>
      <c r="M576" s="15"/>
      <c r="N576" s="16">
        <v>8000</v>
      </c>
      <c r="O576" s="21">
        <v>0.5</v>
      </c>
      <c r="P576" s="15">
        <v>3</v>
      </c>
      <c r="Q576" s="15">
        <v>930</v>
      </c>
      <c r="R576" s="16">
        <v>2200</v>
      </c>
      <c r="S576" s="15" t="s">
        <v>340</v>
      </c>
      <c r="T576" s="15">
        <v>2.2999999999999998</v>
      </c>
      <c r="U576" s="15">
        <v>2.5</v>
      </c>
      <c r="V576" s="27">
        <v>3321.3644524236984</v>
      </c>
      <c r="W576" s="22">
        <v>37000</v>
      </c>
      <c r="X576" s="15"/>
      <c r="Y576" s="15"/>
      <c r="Z576" s="15"/>
      <c r="AA576" s="15"/>
      <c r="AB576" s="15" t="s">
        <v>328</v>
      </c>
      <c r="AC576" s="15"/>
      <c r="AD576" s="15" t="s">
        <v>328</v>
      </c>
      <c r="AE576" s="15"/>
      <c r="AF576" s="15" t="s">
        <v>328</v>
      </c>
      <c r="AG576" s="15" t="s">
        <v>328</v>
      </c>
      <c r="AH576" s="15" t="s">
        <v>328</v>
      </c>
      <c r="AI576" s="15" t="s">
        <v>328</v>
      </c>
      <c r="AJ576" s="15"/>
      <c r="AK576" s="15"/>
      <c r="AL576" s="15" t="s">
        <v>328</v>
      </c>
      <c r="AM576" s="15"/>
      <c r="AN576" s="16">
        <v>20000</v>
      </c>
      <c r="AO576" s="16">
        <v>20000</v>
      </c>
      <c r="AP576" s="16">
        <v>20000</v>
      </c>
      <c r="AQ576" s="16">
        <v>130000</v>
      </c>
      <c r="AR576" s="16">
        <v>20000</v>
      </c>
      <c r="AS576" s="22">
        <v>108000</v>
      </c>
      <c r="AT576" s="22">
        <v>0</v>
      </c>
      <c r="AU576" s="22">
        <v>110000</v>
      </c>
      <c r="AV576" s="22">
        <v>20000</v>
      </c>
      <c r="AW576" s="22">
        <v>13000</v>
      </c>
      <c r="AX576" s="66">
        <v>0</v>
      </c>
      <c r="AZ576" s="15"/>
      <c r="BA576" s="249">
        <f t="shared" si="17"/>
        <v>6</v>
      </c>
      <c r="BB576" s="249"/>
      <c r="BC576" s="249">
        <f t="shared" si="16"/>
        <v>2000</v>
      </c>
    </row>
    <row r="577" spans="1:55" x14ac:dyDescent="0.25">
      <c r="A577" s="51" t="s">
        <v>1378</v>
      </c>
      <c r="B577" s="63" t="s">
        <v>1352</v>
      </c>
      <c r="C577" s="15" t="s">
        <v>337</v>
      </c>
      <c r="D577" s="15">
        <v>2005</v>
      </c>
      <c r="E577" s="15" t="s">
        <v>407</v>
      </c>
      <c r="F577" s="15"/>
      <c r="G577" s="15"/>
      <c r="H577" s="15"/>
      <c r="I577" s="15"/>
      <c r="J577" s="16" t="s">
        <v>352</v>
      </c>
      <c r="K577" s="15"/>
      <c r="L577" s="15" t="s">
        <v>328</v>
      </c>
      <c r="M577" s="15"/>
      <c r="N577" s="16">
        <v>7000</v>
      </c>
      <c r="O577" s="21">
        <v>0.3</v>
      </c>
      <c r="P577" s="15">
        <v>2</v>
      </c>
      <c r="Q577" s="15">
        <v>600</v>
      </c>
      <c r="R577" s="16">
        <v>1200</v>
      </c>
      <c r="S577" s="15" t="s">
        <v>340</v>
      </c>
      <c r="T577" s="15">
        <v>2.2000000000000002</v>
      </c>
      <c r="U577" s="15">
        <v>2.2999999999999998</v>
      </c>
      <c r="V577" s="27">
        <v>3141.8312387791739</v>
      </c>
      <c r="W577" s="22">
        <v>35000</v>
      </c>
      <c r="X577" s="15"/>
      <c r="Y577" s="15" t="s">
        <v>328</v>
      </c>
      <c r="Z577" s="15"/>
      <c r="AA577" s="15"/>
      <c r="AB577" s="15"/>
      <c r="AC577" s="15"/>
      <c r="AD577" s="15" t="s">
        <v>328</v>
      </c>
      <c r="AE577" s="15" t="s">
        <v>328</v>
      </c>
      <c r="AF577" s="15"/>
      <c r="AG577" s="15"/>
      <c r="AH577" s="15" t="s">
        <v>328</v>
      </c>
      <c r="AI577" s="15" t="s">
        <v>328</v>
      </c>
      <c r="AJ577" s="15"/>
      <c r="AK577" s="15"/>
      <c r="AL577" s="15" t="s">
        <v>328</v>
      </c>
      <c r="AM577" s="15"/>
      <c r="AN577" s="16">
        <v>30000</v>
      </c>
      <c r="AO577" s="16">
        <v>30000</v>
      </c>
      <c r="AP577" s="16">
        <v>30000</v>
      </c>
      <c r="AQ577" s="16">
        <v>100000</v>
      </c>
      <c r="AR577" s="16">
        <v>30000</v>
      </c>
      <c r="AS577" s="22">
        <v>180000</v>
      </c>
      <c r="AT577" s="22">
        <v>0</v>
      </c>
      <c r="AU577" s="22">
        <v>36000</v>
      </c>
      <c r="AV577" s="22">
        <v>60000</v>
      </c>
      <c r="AW577" s="22">
        <v>36000</v>
      </c>
      <c r="AX577" s="66">
        <v>0</v>
      </c>
      <c r="AY577" s="17" t="s">
        <v>574</v>
      </c>
      <c r="AZ577" s="15" t="s">
        <v>337</v>
      </c>
      <c r="BA577" s="249">
        <f t="shared" si="17"/>
        <v>1</v>
      </c>
      <c r="BB577" s="249">
        <v>0</v>
      </c>
      <c r="BC577" s="249">
        <f t="shared" si="16"/>
        <v>2005</v>
      </c>
    </row>
    <row r="578" spans="1:55" x14ac:dyDescent="0.25">
      <c r="A578" s="51" t="s">
        <v>1378</v>
      </c>
      <c r="B578" s="63" t="s">
        <v>1353</v>
      </c>
      <c r="C578" s="15" t="s">
        <v>348</v>
      </c>
      <c r="D578" s="15">
        <v>1989</v>
      </c>
      <c r="E578" s="15" t="s">
        <v>360</v>
      </c>
      <c r="F578" s="15"/>
      <c r="G578" s="15"/>
      <c r="H578" s="15"/>
      <c r="I578" s="15"/>
      <c r="J578" s="16">
        <v>1200000</v>
      </c>
      <c r="K578" s="15"/>
      <c r="L578" s="15"/>
      <c r="M578" s="15" t="s">
        <v>328</v>
      </c>
      <c r="N578" s="16" t="s">
        <v>480</v>
      </c>
      <c r="O578" s="21" t="s">
        <v>480</v>
      </c>
      <c r="P578" s="15">
        <v>1</v>
      </c>
      <c r="Q578" s="15">
        <v>400</v>
      </c>
      <c r="R578" s="16">
        <v>950</v>
      </c>
      <c r="S578" s="15" t="s">
        <v>340</v>
      </c>
      <c r="T578" s="15">
        <v>2.2999999999999998</v>
      </c>
      <c r="U578" s="15">
        <v>2.5</v>
      </c>
      <c r="V578" s="27" t="s">
        <v>480</v>
      </c>
      <c r="W578" s="27" t="s">
        <v>480</v>
      </c>
      <c r="X578" s="15"/>
      <c r="Y578" s="15"/>
      <c r="Z578" s="15"/>
      <c r="AA578" s="15"/>
      <c r="AB578" s="15" t="s">
        <v>328</v>
      </c>
      <c r="AC578" s="15"/>
      <c r="AD578" s="15" t="s">
        <v>332</v>
      </c>
      <c r="AE578" s="15"/>
      <c r="AF578" s="15"/>
      <c r="AG578" s="15"/>
      <c r="AH578" s="15"/>
      <c r="AI578" s="15"/>
      <c r="AJ578" s="15"/>
      <c r="AK578" s="15"/>
      <c r="AL578" s="15"/>
      <c r="AM578" s="15"/>
      <c r="AN578" s="16">
        <v>15000</v>
      </c>
      <c r="AO578" s="16">
        <v>25000</v>
      </c>
      <c r="AP578" s="16">
        <v>30000</v>
      </c>
      <c r="AQ578" s="16">
        <v>45000</v>
      </c>
      <c r="AR578" s="16">
        <v>25000</v>
      </c>
      <c r="AS578" s="22">
        <v>90000</v>
      </c>
      <c r="AT578" s="22">
        <v>0</v>
      </c>
      <c r="AU578" s="22">
        <v>40000</v>
      </c>
      <c r="AV578" s="22">
        <v>40000</v>
      </c>
      <c r="AW578" s="22">
        <v>15000</v>
      </c>
      <c r="AX578" s="66">
        <v>0</v>
      </c>
      <c r="AZ578" s="15" t="s">
        <v>348</v>
      </c>
      <c r="BA578" s="249">
        <f t="shared" si="17"/>
        <v>6</v>
      </c>
      <c r="BB578" s="249">
        <v>0</v>
      </c>
      <c r="BC578" s="249">
        <f t="shared" si="16"/>
        <v>1989</v>
      </c>
    </row>
    <row r="579" spans="1:55" x14ac:dyDescent="0.25">
      <c r="A579" s="51" t="s">
        <v>1378</v>
      </c>
      <c r="B579" s="63" t="s">
        <v>1353</v>
      </c>
      <c r="C579" s="15" t="s">
        <v>348</v>
      </c>
      <c r="D579" s="15">
        <v>1994</v>
      </c>
      <c r="E579" s="15" t="s">
        <v>360</v>
      </c>
      <c r="F579" s="15"/>
      <c r="G579" s="15"/>
      <c r="H579" s="15"/>
      <c r="I579" s="15"/>
      <c r="J579" s="16">
        <v>1000000</v>
      </c>
      <c r="K579" s="15"/>
      <c r="L579" s="15"/>
      <c r="M579" s="15" t="s">
        <v>328</v>
      </c>
      <c r="N579" s="16" t="s">
        <v>480</v>
      </c>
      <c r="O579" s="21" t="s">
        <v>480</v>
      </c>
      <c r="P579" s="15">
        <v>1</v>
      </c>
      <c r="Q579" s="15">
        <v>400</v>
      </c>
      <c r="R579" s="16">
        <v>950</v>
      </c>
      <c r="S579" s="15" t="s">
        <v>340</v>
      </c>
      <c r="T579" s="15">
        <v>2.4</v>
      </c>
      <c r="U579" s="15">
        <v>2.5</v>
      </c>
      <c r="V579" s="27" t="s">
        <v>480</v>
      </c>
      <c r="W579" s="27" t="s">
        <v>480</v>
      </c>
      <c r="X579" s="15"/>
      <c r="Y579" s="15"/>
      <c r="Z579" s="15"/>
      <c r="AA579" s="15"/>
      <c r="AB579" s="15" t="s">
        <v>328</v>
      </c>
      <c r="AC579" s="15"/>
      <c r="AD579" s="15" t="s">
        <v>332</v>
      </c>
      <c r="AE579" s="15"/>
      <c r="AF579" s="15"/>
      <c r="AG579" s="15"/>
      <c r="AH579" s="15"/>
      <c r="AI579" s="15"/>
      <c r="AJ579" s="15"/>
      <c r="AK579" s="15"/>
      <c r="AL579" s="15"/>
      <c r="AM579" s="15"/>
      <c r="AN579" s="16">
        <v>15000</v>
      </c>
      <c r="AO579" s="16">
        <v>25000</v>
      </c>
      <c r="AP579" s="16">
        <v>30000</v>
      </c>
      <c r="AQ579" s="16">
        <v>45000</v>
      </c>
      <c r="AR579" s="16">
        <v>25000</v>
      </c>
      <c r="AS579" s="22">
        <v>90000</v>
      </c>
      <c r="AT579" s="22">
        <v>0</v>
      </c>
      <c r="AU579" s="22">
        <v>40000</v>
      </c>
      <c r="AV579" s="22">
        <v>40000</v>
      </c>
      <c r="AW579" s="22">
        <v>15000</v>
      </c>
      <c r="AX579" s="66">
        <v>0</v>
      </c>
      <c r="AZ579" s="15" t="s">
        <v>348</v>
      </c>
      <c r="BA579" s="249">
        <f t="shared" si="17"/>
        <v>6</v>
      </c>
      <c r="BB579" s="249">
        <v>0</v>
      </c>
      <c r="BC579" s="249">
        <f t="shared" si="16"/>
        <v>1994</v>
      </c>
    </row>
    <row r="580" spans="1:55" x14ac:dyDescent="0.25">
      <c r="A580" s="51" t="s">
        <v>1378</v>
      </c>
      <c r="B580" s="63" t="s">
        <v>1353</v>
      </c>
      <c r="C580" s="14" t="s">
        <v>351</v>
      </c>
      <c r="D580" s="15">
        <v>1997</v>
      </c>
      <c r="E580" s="15" t="s">
        <v>407</v>
      </c>
      <c r="F580" s="15"/>
      <c r="G580" s="15"/>
      <c r="H580" s="15"/>
      <c r="I580" s="15"/>
      <c r="J580" s="16">
        <v>600000</v>
      </c>
      <c r="K580" s="15"/>
      <c r="L580" s="15"/>
      <c r="M580" s="15" t="s">
        <v>328</v>
      </c>
      <c r="N580" s="16" t="s">
        <v>480</v>
      </c>
      <c r="O580" s="21" t="s">
        <v>480</v>
      </c>
      <c r="P580" s="15">
        <v>1</v>
      </c>
      <c r="Q580" s="15">
        <v>550</v>
      </c>
      <c r="R580" s="16">
        <v>1300</v>
      </c>
      <c r="S580" s="15" t="s">
        <v>340</v>
      </c>
      <c r="T580" s="15">
        <v>2.2999999999999998</v>
      </c>
      <c r="U580" s="15">
        <v>2.5</v>
      </c>
      <c r="V580" s="27" t="s">
        <v>480</v>
      </c>
      <c r="W580" s="27" t="s">
        <v>480</v>
      </c>
      <c r="X580" s="15"/>
      <c r="Y580" s="15"/>
      <c r="Z580" s="15"/>
      <c r="AA580" s="15"/>
      <c r="AB580" s="15" t="s">
        <v>328</v>
      </c>
      <c r="AC580" s="15"/>
      <c r="AD580" s="15" t="s">
        <v>332</v>
      </c>
      <c r="AE580" s="15"/>
      <c r="AF580" s="15"/>
      <c r="AG580" s="15"/>
      <c r="AH580" s="15"/>
      <c r="AI580" s="15"/>
      <c r="AJ580" s="15"/>
      <c r="AK580" s="15"/>
      <c r="AL580" s="15"/>
      <c r="AM580" s="15"/>
      <c r="AN580" s="16">
        <v>15000</v>
      </c>
      <c r="AO580" s="16">
        <v>25000</v>
      </c>
      <c r="AP580" s="16">
        <v>30000</v>
      </c>
      <c r="AQ580" s="16">
        <v>45000</v>
      </c>
      <c r="AR580" s="16">
        <v>25000</v>
      </c>
      <c r="AS580" s="22">
        <v>90000</v>
      </c>
      <c r="AT580" s="22">
        <v>0</v>
      </c>
      <c r="AU580" s="22">
        <v>65000</v>
      </c>
      <c r="AV580" s="22">
        <v>40000</v>
      </c>
      <c r="AW580" s="22">
        <v>15000</v>
      </c>
      <c r="AX580" s="66">
        <v>0</v>
      </c>
      <c r="AZ580" s="15" t="s">
        <v>351</v>
      </c>
      <c r="BA580" s="249">
        <f t="shared" si="17"/>
        <v>6</v>
      </c>
      <c r="BB580" s="249">
        <v>0</v>
      </c>
      <c r="BC580" s="249">
        <f t="shared" si="16"/>
        <v>1997</v>
      </c>
    </row>
    <row r="581" spans="1:55" x14ac:dyDescent="0.25">
      <c r="A581" s="51" t="s">
        <v>1378</v>
      </c>
      <c r="B581" s="63" t="s">
        <v>1353</v>
      </c>
      <c r="C581" s="14" t="s">
        <v>351</v>
      </c>
      <c r="D581" s="15">
        <v>1998</v>
      </c>
      <c r="E581" s="15" t="s">
        <v>407</v>
      </c>
      <c r="F581" s="15"/>
      <c r="G581" s="15"/>
      <c r="H581" s="15"/>
      <c r="I581" s="15"/>
      <c r="J581" s="16">
        <v>650000</v>
      </c>
      <c r="K581" s="15"/>
      <c r="L581" s="15"/>
      <c r="M581" s="15" t="s">
        <v>328</v>
      </c>
      <c r="N581" s="16" t="s">
        <v>480</v>
      </c>
      <c r="O581" s="21" t="s">
        <v>480</v>
      </c>
      <c r="P581" s="15">
        <v>1</v>
      </c>
      <c r="Q581" s="15">
        <v>550</v>
      </c>
      <c r="R581" s="16">
        <v>1350</v>
      </c>
      <c r="S581" s="15" t="s">
        <v>340</v>
      </c>
      <c r="T581" s="15">
        <v>2.4</v>
      </c>
      <c r="U581" s="15">
        <v>2.6</v>
      </c>
      <c r="V581" s="27" t="s">
        <v>480</v>
      </c>
      <c r="W581" s="27" t="s">
        <v>480</v>
      </c>
      <c r="X581" s="15"/>
      <c r="Y581" s="15"/>
      <c r="Z581" s="15"/>
      <c r="AA581" s="15"/>
      <c r="AB581" s="15" t="s">
        <v>328</v>
      </c>
      <c r="AC581" s="15"/>
      <c r="AD581" s="15" t="s">
        <v>332</v>
      </c>
      <c r="AE581" s="15"/>
      <c r="AF581" s="15"/>
      <c r="AG581" s="15"/>
      <c r="AH581" s="15"/>
      <c r="AI581" s="15"/>
      <c r="AJ581" s="15"/>
      <c r="AK581" s="15"/>
      <c r="AL581" s="15"/>
      <c r="AM581" s="15"/>
      <c r="AN581" s="16">
        <v>15000</v>
      </c>
      <c r="AO581" s="16">
        <v>25000</v>
      </c>
      <c r="AP581" s="16">
        <v>30000</v>
      </c>
      <c r="AQ581" s="16">
        <v>45000</v>
      </c>
      <c r="AR581" s="16">
        <v>25000</v>
      </c>
      <c r="AS581" s="22">
        <v>90000</v>
      </c>
      <c r="AT581" s="22">
        <v>0</v>
      </c>
      <c r="AU581" s="22">
        <v>65000</v>
      </c>
      <c r="AV581" s="22">
        <v>40000</v>
      </c>
      <c r="AW581" s="22">
        <v>15000</v>
      </c>
      <c r="AX581" s="66">
        <v>0</v>
      </c>
      <c r="AZ581" s="15" t="s">
        <v>351</v>
      </c>
      <c r="BA581" s="249">
        <f t="shared" si="17"/>
        <v>6</v>
      </c>
      <c r="BB581" s="249">
        <v>0</v>
      </c>
      <c r="BC581" s="249">
        <f t="shared" si="16"/>
        <v>1998</v>
      </c>
    </row>
    <row r="582" spans="1:55" x14ac:dyDescent="0.25">
      <c r="A582" s="51" t="s">
        <v>1378</v>
      </c>
      <c r="B582" s="63" t="s">
        <v>1353</v>
      </c>
      <c r="C582" s="15" t="s">
        <v>359</v>
      </c>
      <c r="D582" s="15">
        <v>1991</v>
      </c>
      <c r="E582" s="15" t="s">
        <v>338</v>
      </c>
      <c r="F582" s="15"/>
      <c r="G582" s="15"/>
      <c r="H582" s="15"/>
      <c r="I582" s="15"/>
      <c r="J582" s="16">
        <v>1000000</v>
      </c>
      <c r="K582" s="15"/>
      <c r="L582" s="15"/>
      <c r="M582" s="15" t="s">
        <v>328</v>
      </c>
      <c r="N582" s="16" t="s">
        <v>480</v>
      </c>
      <c r="O582" s="21" t="s">
        <v>480</v>
      </c>
      <c r="P582" s="15">
        <v>2</v>
      </c>
      <c r="Q582" s="15">
        <v>900</v>
      </c>
      <c r="R582" s="16">
        <v>1800</v>
      </c>
      <c r="S582" s="15" t="s">
        <v>340</v>
      </c>
      <c r="T582" s="15">
        <v>1.9</v>
      </c>
      <c r="U582" s="15">
        <v>2.1</v>
      </c>
      <c r="V582" s="27" t="s">
        <v>480</v>
      </c>
      <c r="W582" s="27" t="s">
        <v>480</v>
      </c>
      <c r="X582" s="15"/>
      <c r="Y582" s="15"/>
      <c r="Z582" s="15"/>
      <c r="AA582" s="15"/>
      <c r="AB582" s="15" t="s">
        <v>328</v>
      </c>
      <c r="AC582" s="15"/>
      <c r="AD582" s="15"/>
      <c r="AE582" s="15" t="s">
        <v>328</v>
      </c>
      <c r="AF582" s="15"/>
      <c r="AG582" s="15" t="s">
        <v>328</v>
      </c>
      <c r="AH582" s="15"/>
      <c r="AI582" s="15"/>
      <c r="AJ582" s="15"/>
      <c r="AK582" s="15"/>
      <c r="AL582" s="15"/>
      <c r="AM582" s="15"/>
      <c r="AN582" s="16">
        <v>18000</v>
      </c>
      <c r="AO582" s="16">
        <v>25000</v>
      </c>
      <c r="AP582" s="16">
        <v>30000</v>
      </c>
      <c r="AQ582" s="16">
        <v>30000</v>
      </c>
      <c r="AR582" s="16">
        <v>25000</v>
      </c>
      <c r="AS582" s="22">
        <v>90000</v>
      </c>
      <c r="AT582" s="22">
        <v>0</v>
      </c>
      <c r="AU582" s="22">
        <v>65000</v>
      </c>
      <c r="AV582" s="22">
        <v>40000</v>
      </c>
      <c r="AW582" s="22">
        <v>15000</v>
      </c>
      <c r="AX582" s="66">
        <v>0</v>
      </c>
      <c r="AZ582" s="15" t="s">
        <v>359</v>
      </c>
      <c r="BA582" s="249">
        <f t="shared" si="17"/>
        <v>6</v>
      </c>
      <c r="BB582" s="249">
        <v>0</v>
      </c>
      <c r="BC582" s="249">
        <f t="shared" si="16"/>
        <v>1991</v>
      </c>
    </row>
    <row r="583" spans="1:55" x14ac:dyDescent="0.25">
      <c r="A583" s="51" t="s">
        <v>1378</v>
      </c>
      <c r="B583" s="63" t="s">
        <v>1353</v>
      </c>
      <c r="C583" s="15" t="s">
        <v>337</v>
      </c>
      <c r="D583" s="15">
        <v>1999</v>
      </c>
      <c r="E583" s="15" t="s">
        <v>338</v>
      </c>
      <c r="F583" s="15"/>
      <c r="G583" s="15"/>
      <c r="H583" s="15"/>
      <c r="I583" s="15"/>
      <c r="J583" s="16">
        <v>350000</v>
      </c>
      <c r="K583" s="15"/>
      <c r="L583" s="15"/>
      <c r="M583" s="15" t="s">
        <v>328</v>
      </c>
      <c r="N583" s="16" t="s">
        <v>480</v>
      </c>
      <c r="O583" s="21" t="s">
        <v>480</v>
      </c>
      <c r="P583" s="15">
        <v>2</v>
      </c>
      <c r="Q583" s="15">
        <v>1000</v>
      </c>
      <c r="R583" s="16">
        <v>2200</v>
      </c>
      <c r="S583" s="15" t="s">
        <v>340</v>
      </c>
      <c r="T583" s="15">
        <v>2.1</v>
      </c>
      <c r="U583" s="15">
        <v>2.2999999999999998</v>
      </c>
      <c r="V583" s="27" t="s">
        <v>480</v>
      </c>
      <c r="W583" s="27" t="s">
        <v>480</v>
      </c>
      <c r="X583" s="15"/>
      <c r="Y583" s="15"/>
      <c r="Z583" s="15"/>
      <c r="AA583" s="15"/>
      <c r="AB583" s="15" t="s">
        <v>328</v>
      </c>
      <c r="AC583" s="15"/>
      <c r="AD583" s="15" t="s">
        <v>328</v>
      </c>
      <c r="AE583" s="15" t="s">
        <v>328</v>
      </c>
      <c r="AF583" s="15"/>
      <c r="AG583" s="15" t="s">
        <v>328</v>
      </c>
      <c r="AH583" s="15"/>
      <c r="AI583" s="15"/>
      <c r="AJ583" s="15"/>
      <c r="AK583" s="15"/>
      <c r="AL583" s="15"/>
      <c r="AM583" s="15"/>
      <c r="AN583" s="16">
        <v>18000</v>
      </c>
      <c r="AO583" s="16">
        <v>25000</v>
      </c>
      <c r="AP583" s="16">
        <v>30000</v>
      </c>
      <c r="AQ583" s="16">
        <v>30000</v>
      </c>
      <c r="AR583" s="16">
        <v>25000</v>
      </c>
      <c r="AS583" s="22">
        <v>90000</v>
      </c>
      <c r="AT583" s="22">
        <v>0</v>
      </c>
      <c r="AU583" s="22">
        <v>75000</v>
      </c>
      <c r="AV583" s="22">
        <v>40000</v>
      </c>
      <c r="AW583" s="22">
        <v>15000</v>
      </c>
      <c r="AX583" s="66">
        <v>0</v>
      </c>
      <c r="AZ583" s="15" t="s">
        <v>337</v>
      </c>
      <c r="BA583" s="249">
        <f t="shared" si="17"/>
        <v>6</v>
      </c>
      <c r="BB583" s="249">
        <v>0</v>
      </c>
      <c r="BC583" s="249">
        <f t="shared" si="16"/>
        <v>1999</v>
      </c>
    </row>
    <row r="584" spans="1:55" x14ac:dyDescent="0.25">
      <c r="A584" s="51" t="s">
        <v>1378</v>
      </c>
      <c r="B584" s="63" t="s">
        <v>1354</v>
      </c>
      <c r="C584" s="15" t="s">
        <v>337</v>
      </c>
      <c r="D584" s="15">
        <v>1978</v>
      </c>
      <c r="E584" s="15"/>
      <c r="F584" s="15"/>
      <c r="G584" s="15"/>
      <c r="H584" s="15">
        <v>1992</v>
      </c>
      <c r="I584" s="15" t="s">
        <v>374</v>
      </c>
      <c r="J584" s="16">
        <v>1200000</v>
      </c>
      <c r="K584" s="15"/>
      <c r="L584" s="15"/>
      <c r="M584" s="15" t="s">
        <v>328</v>
      </c>
      <c r="N584" s="16">
        <v>2000</v>
      </c>
      <c r="O584" s="21">
        <v>0.5</v>
      </c>
      <c r="P584" s="15">
        <v>1</v>
      </c>
      <c r="Q584" s="15">
        <v>380</v>
      </c>
      <c r="R584" s="16">
        <v>684</v>
      </c>
      <c r="S584" s="15" t="s">
        <v>340</v>
      </c>
      <c r="T584" s="15">
        <v>1.8</v>
      </c>
      <c r="U584" s="15">
        <v>2.1</v>
      </c>
      <c r="V584" s="27">
        <v>820</v>
      </c>
      <c r="W584" s="22">
        <v>11500</v>
      </c>
      <c r="X584" s="15" t="s">
        <v>328</v>
      </c>
      <c r="Y584" s="15"/>
      <c r="Z584" s="15"/>
      <c r="AA584" s="15"/>
      <c r="AB584" s="15"/>
      <c r="AC584" s="15"/>
      <c r="AD584" s="15"/>
      <c r="AE584" s="15" t="s">
        <v>328</v>
      </c>
      <c r="AF584" s="15"/>
      <c r="AG584" s="15" t="s">
        <v>328</v>
      </c>
      <c r="AH584" s="15"/>
      <c r="AI584" s="15"/>
      <c r="AJ584" s="15"/>
      <c r="AK584" s="15"/>
      <c r="AL584" s="15" t="s">
        <v>328</v>
      </c>
      <c r="AM584" s="15"/>
      <c r="AN584" s="16">
        <v>15000</v>
      </c>
      <c r="AO584" s="16">
        <v>20000</v>
      </c>
      <c r="AP584" s="16">
        <v>20000</v>
      </c>
      <c r="AQ584" s="16">
        <v>130000</v>
      </c>
      <c r="AR584" s="16">
        <v>20000</v>
      </c>
      <c r="AS584" s="22">
        <v>90000</v>
      </c>
      <c r="AT584" s="22">
        <v>0</v>
      </c>
      <c r="AU584" s="22">
        <v>30000</v>
      </c>
      <c r="AV584" s="22">
        <v>15000</v>
      </c>
      <c r="AW584" s="22">
        <v>15000</v>
      </c>
      <c r="AX584" s="66">
        <v>0</v>
      </c>
      <c r="AZ584" s="15" t="s">
        <v>337</v>
      </c>
      <c r="BA584" s="249">
        <f t="shared" si="17"/>
        <v>17</v>
      </c>
      <c r="BB584" s="249">
        <v>0</v>
      </c>
      <c r="BC584" s="249">
        <f t="shared" ref="BC584:BC647" si="18">IF(H584&gt;D584,(IF(H584&gt;F584,H584,(IF(F584&gt;D584,F584,D584)))),(IF(F584&gt;D584,F584,D584)))</f>
        <v>1992</v>
      </c>
    </row>
    <row r="585" spans="1:55" x14ac:dyDescent="0.25">
      <c r="A585" s="51" t="s">
        <v>1378</v>
      </c>
      <c r="B585" s="63" t="s">
        <v>1354</v>
      </c>
      <c r="C585" s="15" t="s">
        <v>337</v>
      </c>
      <c r="D585" s="15">
        <v>1978</v>
      </c>
      <c r="E585" s="15"/>
      <c r="F585" s="15"/>
      <c r="G585" s="15"/>
      <c r="H585" s="15">
        <v>1994</v>
      </c>
      <c r="I585" s="15" t="s">
        <v>374</v>
      </c>
      <c r="J585" s="16">
        <v>1200000</v>
      </c>
      <c r="K585" s="15"/>
      <c r="L585" s="15"/>
      <c r="M585" s="15" t="s">
        <v>328</v>
      </c>
      <c r="N585" s="16">
        <v>2000</v>
      </c>
      <c r="O585" s="21">
        <v>0.5</v>
      </c>
      <c r="P585" s="15">
        <v>1</v>
      </c>
      <c r="Q585" s="15">
        <v>380</v>
      </c>
      <c r="R585" s="16">
        <v>684</v>
      </c>
      <c r="S585" s="15" t="s">
        <v>340</v>
      </c>
      <c r="T585" s="15">
        <v>1.8</v>
      </c>
      <c r="U585" s="15">
        <v>2.1</v>
      </c>
      <c r="V585" s="27">
        <v>820</v>
      </c>
      <c r="W585" s="22">
        <v>11500</v>
      </c>
      <c r="X585" s="15" t="s">
        <v>328</v>
      </c>
      <c r="Y585" s="15"/>
      <c r="Z585" s="15"/>
      <c r="AA585" s="15"/>
      <c r="AB585" s="15"/>
      <c r="AC585" s="15"/>
      <c r="AD585" s="15"/>
      <c r="AE585" s="15" t="s">
        <v>328</v>
      </c>
      <c r="AF585" s="15"/>
      <c r="AG585" s="15" t="s">
        <v>328</v>
      </c>
      <c r="AH585" s="15"/>
      <c r="AI585" s="15"/>
      <c r="AJ585" s="15"/>
      <c r="AK585" s="15"/>
      <c r="AL585" s="15" t="s">
        <v>328</v>
      </c>
      <c r="AM585" s="15"/>
      <c r="AN585" s="16">
        <v>15000</v>
      </c>
      <c r="AO585" s="16">
        <v>20000</v>
      </c>
      <c r="AP585" s="16">
        <v>20000</v>
      </c>
      <c r="AQ585" s="16">
        <v>130000</v>
      </c>
      <c r="AR585" s="16">
        <v>20000</v>
      </c>
      <c r="AS585" s="22">
        <v>90000</v>
      </c>
      <c r="AT585" s="22">
        <v>0</v>
      </c>
      <c r="AU585" s="22">
        <v>30000</v>
      </c>
      <c r="AV585" s="22">
        <v>15000</v>
      </c>
      <c r="AW585" s="22">
        <v>15000</v>
      </c>
      <c r="AX585" s="66">
        <v>0</v>
      </c>
      <c r="AZ585" s="15" t="s">
        <v>337</v>
      </c>
      <c r="BA585" s="249">
        <f t="shared" ref="BA585:BA648" si="19">COUNTIF($B$8:$B$987,B585)</f>
        <v>17</v>
      </c>
      <c r="BB585" s="249">
        <v>0</v>
      </c>
      <c r="BC585" s="249">
        <f t="shared" si="18"/>
        <v>1994</v>
      </c>
    </row>
    <row r="586" spans="1:55" x14ac:dyDescent="0.25">
      <c r="A586" s="51" t="s">
        <v>1378</v>
      </c>
      <c r="B586" s="63" t="s">
        <v>1354</v>
      </c>
      <c r="C586" s="15" t="s">
        <v>337</v>
      </c>
      <c r="D586" s="15">
        <v>1981</v>
      </c>
      <c r="E586" s="15"/>
      <c r="F586" s="15"/>
      <c r="G586" s="15"/>
      <c r="H586" s="15">
        <v>2000</v>
      </c>
      <c r="I586" s="15" t="s">
        <v>349</v>
      </c>
      <c r="J586" s="16">
        <v>840000</v>
      </c>
      <c r="K586" s="15"/>
      <c r="L586" s="15"/>
      <c r="M586" s="15" t="s">
        <v>328</v>
      </c>
      <c r="N586" s="16">
        <v>2000</v>
      </c>
      <c r="O586" s="21">
        <v>0.5</v>
      </c>
      <c r="P586" s="15">
        <v>1</v>
      </c>
      <c r="Q586" s="15">
        <v>380</v>
      </c>
      <c r="R586" s="16">
        <v>684</v>
      </c>
      <c r="S586" s="15" t="s">
        <v>340</v>
      </c>
      <c r="T586" s="15">
        <v>1.8</v>
      </c>
      <c r="U586" s="15">
        <v>2.1</v>
      </c>
      <c r="V586" s="27">
        <v>820</v>
      </c>
      <c r="W586" s="22">
        <v>11500</v>
      </c>
      <c r="X586" s="15" t="s">
        <v>328</v>
      </c>
      <c r="Y586" s="15"/>
      <c r="Z586" s="15"/>
      <c r="AA586" s="15"/>
      <c r="AB586" s="15"/>
      <c r="AC586" s="15"/>
      <c r="AD586" s="15"/>
      <c r="AE586" s="15" t="s">
        <v>328</v>
      </c>
      <c r="AF586" s="15"/>
      <c r="AG586" s="15" t="s">
        <v>328</v>
      </c>
      <c r="AH586" s="15"/>
      <c r="AI586" s="15"/>
      <c r="AJ586" s="15"/>
      <c r="AK586" s="15"/>
      <c r="AL586" s="15" t="s">
        <v>328</v>
      </c>
      <c r="AM586" s="15"/>
      <c r="AN586" s="16">
        <v>15000</v>
      </c>
      <c r="AO586" s="16">
        <v>20000</v>
      </c>
      <c r="AP586" s="16">
        <v>20000</v>
      </c>
      <c r="AQ586" s="16">
        <v>130000</v>
      </c>
      <c r="AR586" s="16">
        <v>20000</v>
      </c>
      <c r="AS586" s="22">
        <v>90000</v>
      </c>
      <c r="AT586" s="22">
        <v>0</v>
      </c>
      <c r="AU586" s="22">
        <v>30000</v>
      </c>
      <c r="AV586" s="22">
        <v>15000</v>
      </c>
      <c r="AW586" s="22">
        <v>15000</v>
      </c>
      <c r="AX586" s="66">
        <v>0</v>
      </c>
      <c r="AZ586" s="15" t="s">
        <v>337</v>
      </c>
      <c r="BA586" s="249">
        <f t="shared" si="19"/>
        <v>17</v>
      </c>
      <c r="BB586" s="249">
        <v>0</v>
      </c>
      <c r="BC586" s="249">
        <f t="shared" si="18"/>
        <v>2000</v>
      </c>
    </row>
    <row r="587" spans="1:55" x14ac:dyDescent="0.25">
      <c r="A587" s="51" t="s">
        <v>1378</v>
      </c>
      <c r="B587" s="63" t="s">
        <v>1354</v>
      </c>
      <c r="C587" s="15" t="s">
        <v>337</v>
      </c>
      <c r="D587" s="15">
        <v>1981</v>
      </c>
      <c r="E587" s="15"/>
      <c r="F587" s="15"/>
      <c r="G587" s="15"/>
      <c r="H587" s="15">
        <v>2000</v>
      </c>
      <c r="I587" s="15" t="s">
        <v>349</v>
      </c>
      <c r="J587" s="16">
        <v>840000</v>
      </c>
      <c r="K587" s="15"/>
      <c r="L587" s="15"/>
      <c r="M587" s="15" t="s">
        <v>328</v>
      </c>
      <c r="N587" s="16">
        <v>2000</v>
      </c>
      <c r="O587" s="21">
        <v>0.5</v>
      </c>
      <c r="P587" s="15">
        <v>1</v>
      </c>
      <c r="Q587" s="15">
        <v>380</v>
      </c>
      <c r="R587" s="16">
        <v>684</v>
      </c>
      <c r="S587" s="15" t="s">
        <v>340</v>
      </c>
      <c r="T587" s="15">
        <v>1.8</v>
      </c>
      <c r="U587" s="15">
        <v>2.1</v>
      </c>
      <c r="V587" s="27">
        <v>820</v>
      </c>
      <c r="W587" s="22">
        <v>11500</v>
      </c>
      <c r="X587" s="15" t="s">
        <v>328</v>
      </c>
      <c r="Y587" s="15"/>
      <c r="Z587" s="15"/>
      <c r="AA587" s="15"/>
      <c r="AB587" s="15"/>
      <c r="AC587" s="15"/>
      <c r="AD587" s="15"/>
      <c r="AE587" s="15" t="s">
        <v>328</v>
      </c>
      <c r="AF587" s="15"/>
      <c r="AG587" s="15" t="s">
        <v>328</v>
      </c>
      <c r="AH587" s="15"/>
      <c r="AI587" s="15"/>
      <c r="AJ587" s="15"/>
      <c r="AK587" s="15"/>
      <c r="AL587" s="15" t="s">
        <v>328</v>
      </c>
      <c r="AM587" s="15"/>
      <c r="AN587" s="16">
        <v>15000</v>
      </c>
      <c r="AO587" s="16">
        <v>20000</v>
      </c>
      <c r="AP587" s="16">
        <v>20000</v>
      </c>
      <c r="AQ587" s="16">
        <v>130000</v>
      </c>
      <c r="AR587" s="16">
        <v>20000</v>
      </c>
      <c r="AS587" s="22">
        <v>90000</v>
      </c>
      <c r="AT587" s="22">
        <v>0</v>
      </c>
      <c r="AU587" s="22">
        <v>30000</v>
      </c>
      <c r="AV587" s="22">
        <v>15000</v>
      </c>
      <c r="AW587" s="22">
        <v>15000</v>
      </c>
      <c r="AX587" s="66">
        <v>0</v>
      </c>
      <c r="AZ587" s="15" t="s">
        <v>337</v>
      </c>
      <c r="BA587" s="249">
        <f t="shared" si="19"/>
        <v>17</v>
      </c>
      <c r="BB587" s="249">
        <v>0</v>
      </c>
      <c r="BC587" s="249">
        <f t="shared" si="18"/>
        <v>2000</v>
      </c>
    </row>
    <row r="588" spans="1:55" x14ac:dyDescent="0.25">
      <c r="A588" s="51" t="s">
        <v>1378</v>
      </c>
      <c r="B588" s="63" t="s">
        <v>1354</v>
      </c>
      <c r="C588" s="15" t="s">
        <v>337</v>
      </c>
      <c r="D588" s="15">
        <v>1981</v>
      </c>
      <c r="E588" s="15"/>
      <c r="F588" s="15"/>
      <c r="G588" s="15"/>
      <c r="H588" s="15">
        <v>2000</v>
      </c>
      <c r="I588" s="15" t="s">
        <v>456</v>
      </c>
      <c r="J588" s="16">
        <v>840000</v>
      </c>
      <c r="K588" s="15"/>
      <c r="L588" s="15"/>
      <c r="M588" s="15" t="s">
        <v>328</v>
      </c>
      <c r="N588" s="16">
        <v>2000</v>
      </c>
      <c r="O588" s="21">
        <v>0.5</v>
      </c>
      <c r="P588" s="15">
        <v>1</v>
      </c>
      <c r="Q588" s="15">
        <v>380</v>
      </c>
      <c r="R588" s="16">
        <v>684</v>
      </c>
      <c r="S588" s="15" t="s">
        <v>340</v>
      </c>
      <c r="T588" s="15">
        <v>1.8</v>
      </c>
      <c r="U588" s="15">
        <v>2.1</v>
      </c>
      <c r="V588" s="27">
        <v>820</v>
      </c>
      <c r="W588" s="22">
        <v>11500</v>
      </c>
      <c r="X588" s="15" t="s">
        <v>328</v>
      </c>
      <c r="Y588" s="15"/>
      <c r="Z588" s="15"/>
      <c r="AA588" s="15"/>
      <c r="AB588" s="15"/>
      <c r="AC588" s="15"/>
      <c r="AD588" s="15"/>
      <c r="AE588" s="15" t="s">
        <v>328</v>
      </c>
      <c r="AF588" s="15"/>
      <c r="AG588" s="15" t="s">
        <v>328</v>
      </c>
      <c r="AH588" s="15"/>
      <c r="AI588" s="15"/>
      <c r="AJ588" s="15"/>
      <c r="AK588" s="15"/>
      <c r="AL588" s="15" t="s">
        <v>328</v>
      </c>
      <c r="AM588" s="15"/>
      <c r="AN588" s="16">
        <v>15000</v>
      </c>
      <c r="AO588" s="16">
        <v>20000</v>
      </c>
      <c r="AP588" s="16">
        <v>20000</v>
      </c>
      <c r="AQ588" s="16">
        <v>130000</v>
      </c>
      <c r="AR588" s="16">
        <v>20000</v>
      </c>
      <c r="AS588" s="22">
        <v>90000</v>
      </c>
      <c r="AT588" s="22">
        <v>0</v>
      </c>
      <c r="AU588" s="22">
        <v>30000</v>
      </c>
      <c r="AV588" s="22">
        <v>15000</v>
      </c>
      <c r="AW588" s="22">
        <v>15000</v>
      </c>
      <c r="AX588" s="66">
        <v>0</v>
      </c>
      <c r="AZ588" s="15" t="s">
        <v>337</v>
      </c>
      <c r="BA588" s="249">
        <f t="shared" si="19"/>
        <v>17</v>
      </c>
      <c r="BB588" s="249">
        <v>0</v>
      </c>
      <c r="BC588" s="249">
        <f t="shared" si="18"/>
        <v>2000</v>
      </c>
    </row>
    <row r="589" spans="1:55" x14ac:dyDescent="0.25">
      <c r="A589" s="51" t="s">
        <v>1378</v>
      </c>
      <c r="B589" s="63" t="s">
        <v>1354</v>
      </c>
      <c r="C589" s="15" t="s">
        <v>337</v>
      </c>
      <c r="D589" s="15">
        <v>1990</v>
      </c>
      <c r="E589" s="15" t="s">
        <v>456</v>
      </c>
      <c r="F589" s="15"/>
      <c r="G589" s="15"/>
      <c r="H589" s="15"/>
      <c r="I589" s="15"/>
      <c r="J589" s="16">
        <v>552000</v>
      </c>
      <c r="K589" s="15"/>
      <c r="L589" s="15" t="s">
        <v>328</v>
      </c>
      <c r="M589" s="15"/>
      <c r="N589" s="16">
        <v>2500</v>
      </c>
      <c r="O589" s="21">
        <v>0.5</v>
      </c>
      <c r="P589" s="15">
        <v>1</v>
      </c>
      <c r="Q589" s="15">
        <v>380</v>
      </c>
      <c r="R589" s="16">
        <v>722</v>
      </c>
      <c r="S589" s="15" t="s">
        <v>340</v>
      </c>
      <c r="T589" s="15">
        <v>1.9</v>
      </c>
      <c r="U589" s="15">
        <v>2.1</v>
      </c>
      <c r="V589" s="27">
        <v>1000</v>
      </c>
      <c r="W589" s="22">
        <v>14000</v>
      </c>
      <c r="X589" s="15"/>
      <c r="Y589" s="15"/>
      <c r="Z589" s="15"/>
      <c r="AA589" s="15"/>
      <c r="AB589" s="15" t="s">
        <v>328</v>
      </c>
      <c r="AC589" s="15"/>
      <c r="AD589" s="15"/>
      <c r="AE589" s="15" t="s">
        <v>328</v>
      </c>
      <c r="AF589" s="15"/>
      <c r="AG589" s="15" t="s">
        <v>328</v>
      </c>
      <c r="AH589" s="15"/>
      <c r="AI589" s="15"/>
      <c r="AJ589" s="15"/>
      <c r="AK589" s="15"/>
      <c r="AL589" s="15" t="s">
        <v>328</v>
      </c>
      <c r="AM589" s="15"/>
      <c r="AN589" s="16">
        <v>15000</v>
      </c>
      <c r="AO589" s="16">
        <v>20000</v>
      </c>
      <c r="AP589" s="16">
        <v>20000</v>
      </c>
      <c r="AQ589" s="16">
        <v>130000</v>
      </c>
      <c r="AR589" s="16">
        <v>20000</v>
      </c>
      <c r="AS589" s="22">
        <v>96000</v>
      </c>
      <c r="AT589" s="22">
        <v>0</v>
      </c>
      <c r="AU589" s="22">
        <v>45000</v>
      </c>
      <c r="AV589" s="22">
        <v>15000</v>
      </c>
      <c r="AW589" s="22">
        <v>15000</v>
      </c>
      <c r="AX589" s="66">
        <v>0</v>
      </c>
      <c r="AZ589" s="15" t="s">
        <v>337</v>
      </c>
      <c r="BA589" s="249">
        <f t="shared" si="19"/>
        <v>17</v>
      </c>
      <c r="BB589" s="249">
        <v>0</v>
      </c>
      <c r="BC589" s="249">
        <f t="shared" si="18"/>
        <v>1990</v>
      </c>
    </row>
    <row r="590" spans="1:55" x14ac:dyDescent="0.25">
      <c r="A590" s="51" t="s">
        <v>1378</v>
      </c>
      <c r="B590" s="63" t="s">
        <v>1354</v>
      </c>
      <c r="C590" s="15" t="s">
        <v>337</v>
      </c>
      <c r="D590" s="15">
        <v>1990</v>
      </c>
      <c r="E590" s="15" t="s">
        <v>456</v>
      </c>
      <c r="F590" s="15"/>
      <c r="G590" s="15"/>
      <c r="H590" s="15"/>
      <c r="I590" s="15"/>
      <c r="J590" s="16">
        <v>552000</v>
      </c>
      <c r="K590" s="15"/>
      <c r="L590" s="15" t="s">
        <v>328</v>
      </c>
      <c r="M590" s="15"/>
      <c r="N590" s="16">
        <v>2500</v>
      </c>
      <c r="O590" s="21">
        <v>0.5</v>
      </c>
      <c r="P590" s="15">
        <v>1</v>
      </c>
      <c r="Q590" s="15">
        <v>380</v>
      </c>
      <c r="R590" s="16">
        <v>722</v>
      </c>
      <c r="S590" s="15" t="s">
        <v>340</v>
      </c>
      <c r="T590" s="15">
        <v>1.9</v>
      </c>
      <c r="U590" s="15">
        <v>2.1</v>
      </c>
      <c r="V590" s="27">
        <v>1000</v>
      </c>
      <c r="W590" s="22">
        <v>14000</v>
      </c>
      <c r="X590" s="15"/>
      <c r="Y590" s="15"/>
      <c r="Z590" s="15"/>
      <c r="AA590" s="15"/>
      <c r="AB590" s="15" t="s">
        <v>328</v>
      </c>
      <c r="AC590" s="15"/>
      <c r="AD590" s="15"/>
      <c r="AE590" s="15" t="s">
        <v>328</v>
      </c>
      <c r="AF590" s="15"/>
      <c r="AG590" s="15" t="s">
        <v>328</v>
      </c>
      <c r="AH590" s="15"/>
      <c r="AI590" s="15"/>
      <c r="AJ590" s="15"/>
      <c r="AK590" s="15"/>
      <c r="AL590" s="15" t="s">
        <v>328</v>
      </c>
      <c r="AM590" s="15"/>
      <c r="AN590" s="16">
        <v>15000</v>
      </c>
      <c r="AO590" s="16">
        <v>20000</v>
      </c>
      <c r="AP590" s="16">
        <v>20000</v>
      </c>
      <c r="AQ590" s="16">
        <v>130000</v>
      </c>
      <c r="AR590" s="16">
        <v>20000</v>
      </c>
      <c r="AS590" s="22">
        <v>96000</v>
      </c>
      <c r="AT590" s="22">
        <v>0</v>
      </c>
      <c r="AU590" s="22">
        <v>45000</v>
      </c>
      <c r="AV590" s="22">
        <v>15000</v>
      </c>
      <c r="AW590" s="22">
        <v>15000</v>
      </c>
      <c r="AX590" s="66">
        <v>0</v>
      </c>
      <c r="AZ590" s="15" t="s">
        <v>337</v>
      </c>
      <c r="BA590" s="249">
        <f t="shared" si="19"/>
        <v>17</v>
      </c>
      <c r="BB590" s="249">
        <v>0</v>
      </c>
      <c r="BC590" s="249">
        <f t="shared" si="18"/>
        <v>1990</v>
      </c>
    </row>
    <row r="591" spans="1:55" x14ac:dyDescent="0.25">
      <c r="A591" s="51" t="s">
        <v>1378</v>
      </c>
      <c r="B591" s="63" t="s">
        <v>1354</v>
      </c>
      <c r="C591" s="15" t="s">
        <v>337</v>
      </c>
      <c r="D591" s="15">
        <v>1990</v>
      </c>
      <c r="E591" s="15" t="s">
        <v>456</v>
      </c>
      <c r="F591" s="15"/>
      <c r="G591" s="15"/>
      <c r="H591" s="15"/>
      <c r="I591" s="15"/>
      <c r="J591" s="16">
        <v>552000</v>
      </c>
      <c r="K591" s="15"/>
      <c r="L591" s="15" t="s">
        <v>328</v>
      </c>
      <c r="M591" s="15"/>
      <c r="N591" s="16">
        <v>2500</v>
      </c>
      <c r="O591" s="21">
        <v>0.5</v>
      </c>
      <c r="P591" s="15">
        <v>1</v>
      </c>
      <c r="Q591" s="15">
        <v>380</v>
      </c>
      <c r="R591" s="16">
        <v>722</v>
      </c>
      <c r="S591" s="15" t="s">
        <v>340</v>
      </c>
      <c r="T591" s="15">
        <v>1.9</v>
      </c>
      <c r="U591" s="15">
        <v>2.1</v>
      </c>
      <c r="V591" s="27">
        <v>1000</v>
      </c>
      <c r="W591" s="22">
        <v>14000</v>
      </c>
      <c r="X591" s="15"/>
      <c r="Y591" s="15"/>
      <c r="Z591" s="15"/>
      <c r="AA591" s="15"/>
      <c r="AB591" s="15" t="s">
        <v>328</v>
      </c>
      <c r="AC591" s="15"/>
      <c r="AD591" s="15"/>
      <c r="AE591" s="15" t="s">
        <v>328</v>
      </c>
      <c r="AF591" s="15"/>
      <c r="AG591" s="15" t="s">
        <v>328</v>
      </c>
      <c r="AH591" s="15"/>
      <c r="AI591" s="15"/>
      <c r="AJ591" s="15"/>
      <c r="AK591" s="15"/>
      <c r="AL591" s="15" t="s">
        <v>328</v>
      </c>
      <c r="AM591" s="15"/>
      <c r="AN591" s="16">
        <v>15000</v>
      </c>
      <c r="AO591" s="16">
        <v>20000</v>
      </c>
      <c r="AP591" s="16">
        <v>20000</v>
      </c>
      <c r="AQ591" s="16">
        <v>130000</v>
      </c>
      <c r="AR591" s="16">
        <v>20000</v>
      </c>
      <c r="AS591" s="22">
        <v>96000</v>
      </c>
      <c r="AT591" s="22">
        <v>0</v>
      </c>
      <c r="AU591" s="22">
        <v>45000</v>
      </c>
      <c r="AV591" s="22">
        <v>15000</v>
      </c>
      <c r="AW591" s="22">
        <v>15000</v>
      </c>
      <c r="AX591" s="66">
        <v>0</v>
      </c>
      <c r="AZ591" s="15" t="s">
        <v>337</v>
      </c>
      <c r="BA591" s="249">
        <f t="shared" si="19"/>
        <v>17</v>
      </c>
      <c r="BB591" s="249">
        <v>0</v>
      </c>
      <c r="BC591" s="249">
        <f t="shared" si="18"/>
        <v>1990</v>
      </c>
    </row>
    <row r="592" spans="1:55" x14ac:dyDescent="0.25">
      <c r="A592" s="51" t="s">
        <v>1378</v>
      </c>
      <c r="B592" s="63" t="s">
        <v>1354</v>
      </c>
      <c r="C592" s="15" t="s">
        <v>337</v>
      </c>
      <c r="D592" s="15">
        <v>1995</v>
      </c>
      <c r="E592" s="15" t="s">
        <v>338</v>
      </c>
      <c r="F592" s="15"/>
      <c r="G592" s="15"/>
      <c r="H592" s="15"/>
      <c r="I592" s="15"/>
      <c r="J592" s="16">
        <v>432000</v>
      </c>
      <c r="K592" s="15"/>
      <c r="L592" s="15" t="s">
        <v>328</v>
      </c>
      <c r="M592" s="15"/>
      <c r="N592" s="16">
        <v>3500</v>
      </c>
      <c r="O592" s="21">
        <v>0.5</v>
      </c>
      <c r="P592" s="15">
        <v>2</v>
      </c>
      <c r="Q592" s="15">
        <v>630</v>
      </c>
      <c r="R592" s="16">
        <v>2394</v>
      </c>
      <c r="S592" s="15" t="s">
        <v>340</v>
      </c>
      <c r="T592" s="15">
        <v>1.9</v>
      </c>
      <c r="U592" s="15">
        <v>2.1</v>
      </c>
      <c r="V592" s="27">
        <v>1400</v>
      </c>
      <c r="W592" s="22">
        <v>19500</v>
      </c>
      <c r="X592" s="15"/>
      <c r="Y592" s="15"/>
      <c r="Z592" s="15"/>
      <c r="AA592" s="15"/>
      <c r="AB592" s="15" t="s">
        <v>328</v>
      </c>
      <c r="AC592" s="15"/>
      <c r="AD592" s="15"/>
      <c r="AE592" s="15" t="s">
        <v>328</v>
      </c>
      <c r="AF592" s="15"/>
      <c r="AG592" s="15" t="s">
        <v>328</v>
      </c>
      <c r="AH592" s="15"/>
      <c r="AI592" s="15"/>
      <c r="AJ592" s="15"/>
      <c r="AK592" s="15"/>
      <c r="AL592" s="15" t="s">
        <v>328</v>
      </c>
      <c r="AM592" s="15"/>
      <c r="AN592" s="16">
        <v>20000</v>
      </c>
      <c r="AO592" s="16">
        <v>25000</v>
      </c>
      <c r="AP592" s="16">
        <v>25000</v>
      </c>
      <c r="AQ592" s="16">
        <v>130000</v>
      </c>
      <c r="AR592" s="16">
        <v>25000</v>
      </c>
      <c r="AS592" s="22">
        <v>102000</v>
      </c>
      <c r="AT592" s="22">
        <v>0</v>
      </c>
      <c r="AU592" s="22">
        <v>50000</v>
      </c>
      <c r="AV592" s="22">
        <v>20000</v>
      </c>
      <c r="AW592" s="22">
        <v>15000</v>
      </c>
      <c r="AX592" s="66">
        <v>0</v>
      </c>
      <c r="AZ592" s="15" t="s">
        <v>337</v>
      </c>
      <c r="BA592" s="249">
        <f t="shared" si="19"/>
        <v>17</v>
      </c>
      <c r="BB592" s="249">
        <v>0</v>
      </c>
      <c r="BC592" s="249">
        <f t="shared" si="18"/>
        <v>1995</v>
      </c>
    </row>
    <row r="593" spans="1:55" x14ac:dyDescent="0.25">
      <c r="A593" s="51" t="s">
        <v>1378</v>
      </c>
      <c r="B593" s="63" t="s">
        <v>1354</v>
      </c>
      <c r="C593" s="15" t="s">
        <v>337</v>
      </c>
      <c r="D593" s="15">
        <v>1995</v>
      </c>
      <c r="E593" s="15" t="s">
        <v>338</v>
      </c>
      <c r="F593" s="15"/>
      <c r="G593" s="15"/>
      <c r="H593" s="15"/>
      <c r="I593" s="15"/>
      <c r="J593" s="16">
        <v>432000</v>
      </c>
      <c r="K593" s="15"/>
      <c r="L593" s="15" t="s">
        <v>328</v>
      </c>
      <c r="M593" s="15"/>
      <c r="N593" s="16">
        <v>3500</v>
      </c>
      <c r="O593" s="21">
        <v>0.5</v>
      </c>
      <c r="P593" s="15">
        <v>2</v>
      </c>
      <c r="Q593" s="15">
        <v>630</v>
      </c>
      <c r="R593" s="16">
        <v>2394</v>
      </c>
      <c r="S593" s="15" t="s">
        <v>340</v>
      </c>
      <c r="T593" s="15">
        <v>1.9</v>
      </c>
      <c r="U593" s="15">
        <v>2.1</v>
      </c>
      <c r="V593" s="27">
        <v>1400</v>
      </c>
      <c r="W593" s="22">
        <v>19500</v>
      </c>
      <c r="X593" s="15"/>
      <c r="Y593" s="15"/>
      <c r="Z593" s="15"/>
      <c r="AA593" s="15"/>
      <c r="AB593" s="15" t="s">
        <v>328</v>
      </c>
      <c r="AC593" s="15"/>
      <c r="AD593" s="15"/>
      <c r="AE593" s="15" t="s">
        <v>328</v>
      </c>
      <c r="AF593" s="15"/>
      <c r="AG593" s="15" t="s">
        <v>328</v>
      </c>
      <c r="AH593" s="15"/>
      <c r="AI593" s="15"/>
      <c r="AJ593" s="15"/>
      <c r="AK593" s="15"/>
      <c r="AL593" s="15" t="s">
        <v>328</v>
      </c>
      <c r="AM593" s="15"/>
      <c r="AN593" s="16">
        <v>20000</v>
      </c>
      <c r="AO593" s="16">
        <v>25000</v>
      </c>
      <c r="AP593" s="16">
        <v>25000</v>
      </c>
      <c r="AQ593" s="16">
        <v>130000</v>
      </c>
      <c r="AR593" s="16">
        <v>25000</v>
      </c>
      <c r="AS593" s="22">
        <v>102000</v>
      </c>
      <c r="AT593" s="22">
        <v>0</v>
      </c>
      <c r="AU593" s="22">
        <v>50000</v>
      </c>
      <c r="AV593" s="22">
        <v>20000</v>
      </c>
      <c r="AW593" s="22">
        <v>15000</v>
      </c>
      <c r="AX593" s="66">
        <v>0</v>
      </c>
      <c r="AZ593" s="15" t="s">
        <v>337</v>
      </c>
      <c r="BA593" s="249">
        <f t="shared" si="19"/>
        <v>17</v>
      </c>
      <c r="BB593" s="249">
        <v>0</v>
      </c>
      <c r="BC593" s="249">
        <f t="shared" si="18"/>
        <v>1995</v>
      </c>
    </row>
    <row r="594" spans="1:55" x14ac:dyDescent="0.25">
      <c r="A594" s="51" t="s">
        <v>1378</v>
      </c>
      <c r="B594" s="63" t="s">
        <v>1354</v>
      </c>
      <c r="C594" s="15" t="s">
        <v>337</v>
      </c>
      <c r="D594" s="15">
        <v>1995</v>
      </c>
      <c r="E594" s="15" t="s">
        <v>338</v>
      </c>
      <c r="F594" s="15"/>
      <c r="G594" s="15"/>
      <c r="H594" s="15"/>
      <c r="I594" s="15"/>
      <c r="J594" s="16">
        <v>432000</v>
      </c>
      <c r="K594" s="15"/>
      <c r="L594" s="15" t="s">
        <v>328</v>
      </c>
      <c r="M594" s="15"/>
      <c r="N594" s="16">
        <v>3500</v>
      </c>
      <c r="O594" s="21">
        <v>0.5</v>
      </c>
      <c r="P594" s="15">
        <v>2</v>
      </c>
      <c r="Q594" s="15">
        <v>630</v>
      </c>
      <c r="R594" s="16">
        <v>2394</v>
      </c>
      <c r="S594" s="15" t="s">
        <v>340</v>
      </c>
      <c r="T594" s="15">
        <v>1.9</v>
      </c>
      <c r="U594" s="15">
        <v>2.1</v>
      </c>
      <c r="V594" s="27">
        <v>1400</v>
      </c>
      <c r="W594" s="22">
        <v>19500</v>
      </c>
      <c r="X594" s="15"/>
      <c r="Y594" s="15"/>
      <c r="Z594" s="15"/>
      <c r="AA594" s="15"/>
      <c r="AB594" s="15" t="s">
        <v>328</v>
      </c>
      <c r="AC594" s="15"/>
      <c r="AD594" s="15"/>
      <c r="AE594" s="15" t="s">
        <v>328</v>
      </c>
      <c r="AF594" s="15"/>
      <c r="AG594" s="15" t="s">
        <v>328</v>
      </c>
      <c r="AH594" s="15"/>
      <c r="AI594" s="15"/>
      <c r="AJ594" s="15"/>
      <c r="AK594" s="15"/>
      <c r="AL594" s="15" t="s">
        <v>328</v>
      </c>
      <c r="AM594" s="15"/>
      <c r="AN594" s="16">
        <v>20000</v>
      </c>
      <c r="AO594" s="16">
        <v>25000</v>
      </c>
      <c r="AP594" s="16">
        <v>25000</v>
      </c>
      <c r="AQ594" s="16">
        <v>130000</v>
      </c>
      <c r="AR594" s="16">
        <v>25000</v>
      </c>
      <c r="AS594" s="22">
        <v>102000</v>
      </c>
      <c r="AT594" s="22">
        <v>0</v>
      </c>
      <c r="AU594" s="22">
        <v>50000</v>
      </c>
      <c r="AV594" s="22">
        <v>20000</v>
      </c>
      <c r="AW594" s="22">
        <v>15000</v>
      </c>
      <c r="AX594" s="66">
        <v>0</v>
      </c>
      <c r="AZ594" s="15" t="s">
        <v>337</v>
      </c>
      <c r="BA594" s="249">
        <f t="shared" si="19"/>
        <v>17</v>
      </c>
      <c r="BB594" s="249">
        <v>0</v>
      </c>
      <c r="BC594" s="249">
        <f t="shared" si="18"/>
        <v>1995</v>
      </c>
    </row>
    <row r="595" spans="1:55" x14ac:dyDescent="0.25">
      <c r="A595" s="51" t="s">
        <v>1378</v>
      </c>
      <c r="B595" s="63" t="s">
        <v>1354</v>
      </c>
      <c r="C595" s="15" t="s">
        <v>337</v>
      </c>
      <c r="D595" s="15">
        <v>1995</v>
      </c>
      <c r="E595" s="15" t="s">
        <v>338</v>
      </c>
      <c r="F595" s="15"/>
      <c r="G595" s="15"/>
      <c r="H595" s="15"/>
      <c r="I595" s="15"/>
      <c r="J595" s="16">
        <v>432000</v>
      </c>
      <c r="K595" s="15"/>
      <c r="L595" s="15" t="s">
        <v>328</v>
      </c>
      <c r="M595" s="15"/>
      <c r="N595" s="16">
        <v>3500</v>
      </c>
      <c r="O595" s="21">
        <v>0.5</v>
      </c>
      <c r="P595" s="15">
        <v>2</v>
      </c>
      <c r="Q595" s="15">
        <v>650</v>
      </c>
      <c r="R595" s="16">
        <v>2470</v>
      </c>
      <c r="S595" s="15" t="s">
        <v>340</v>
      </c>
      <c r="T595" s="15">
        <v>1.9</v>
      </c>
      <c r="U595" s="15">
        <v>2.1</v>
      </c>
      <c r="V595" s="27">
        <v>1400</v>
      </c>
      <c r="W595" s="22">
        <v>19500</v>
      </c>
      <c r="X595" s="15"/>
      <c r="Y595" s="15"/>
      <c r="Z595" s="15"/>
      <c r="AA595" s="15"/>
      <c r="AB595" s="15" t="s">
        <v>328</v>
      </c>
      <c r="AC595" s="15"/>
      <c r="AD595" s="15"/>
      <c r="AE595" s="15" t="s">
        <v>328</v>
      </c>
      <c r="AF595" s="15"/>
      <c r="AG595" s="15" t="s">
        <v>328</v>
      </c>
      <c r="AH595" s="15"/>
      <c r="AI595" s="15"/>
      <c r="AJ595" s="15"/>
      <c r="AK595" s="15"/>
      <c r="AL595" s="15" t="s">
        <v>328</v>
      </c>
      <c r="AM595" s="15"/>
      <c r="AN595" s="16">
        <v>20000</v>
      </c>
      <c r="AO595" s="16">
        <v>25000</v>
      </c>
      <c r="AP595" s="16">
        <v>25000</v>
      </c>
      <c r="AQ595" s="16">
        <v>130000</v>
      </c>
      <c r="AR595" s="16">
        <v>25000</v>
      </c>
      <c r="AS595" s="22">
        <v>102000</v>
      </c>
      <c r="AT595" s="22">
        <v>0</v>
      </c>
      <c r="AU595" s="22">
        <v>50000</v>
      </c>
      <c r="AV595" s="22">
        <v>20000</v>
      </c>
      <c r="AW595" s="22">
        <v>15000</v>
      </c>
      <c r="AX595" s="66">
        <v>0</v>
      </c>
      <c r="AZ595" s="15" t="s">
        <v>337</v>
      </c>
      <c r="BA595" s="249">
        <f t="shared" si="19"/>
        <v>17</v>
      </c>
      <c r="BB595" s="249">
        <v>0</v>
      </c>
      <c r="BC595" s="249">
        <f t="shared" si="18"/>
        <v>1995</v>
      </c>
    </row>
    <row r="596" spans="1:55" x14ac:dyDescent="0.25">
      <c r="A596" s="51" t="s">
        <v>1378</v>
      </c>
      <c r="B596" s="63" t="s">
        <v>1354</v>
      </c>
      <c r="C596" s="15" t="s">
        <v>359</v>
      </c>
      <c r="D596" s="15">
        <v>1995</v>
      </c>
      <c r="E596" s="15" t="s">
        <v>338</v>
      </c>
      <c r="F596" s="15"/>
      <c r="G596" s="15"/>
      <c r="H596" s="15"/>
      <c r="I596" s="15"/>
      <c r="J596" s="16">
        <v>432000</v>
      </c>
      <c r="K596" s="15" t="s">
        <v>328</v>
      </c>
      <c r="L596" s="15"/>
      <c r="M596" s="15"/>
      <c r="N596" s="16">
        <v>3500</v>
      </c>
      <c r="O596" s="21">
        <v>0.5</v>
      </c>
      <c r="P596" s="15">
        <v>2</v>
      </c>
      <c r="Q596" s="15">
        <v>650</v>
      </c>
      <c r="R596" s="16">
        <v>2470</v>
      </c>
      <c r="S596" s="15" t="s">
        <v>340</v>
      </c>
      <c r="T596" s="15">
        <v>1.9</v>
      </c>
      <c r="U596" s="15">
        <v>2.1</v>
      </c>
      <c r="V596" s="27">
        <v>1400</v>
      </c>
      <c r="W596" s="22">
        <v>19500</v>
      </c>
      <c r="X596" s="15"/>
      <c r="Y596" s="15"/>
      <c r="Z596" s="15"/>
      <c r="AA596" s="15"/>
      <c r="AB596" s="15" t="s">
        <v>328</v>
      </c>
      <c r="AC596" s="15"/>
      <c r="AD596" s="15"/>
      <c r="AE596" s="15" t="s">
        <v>328</v>
      </c>
      <c r="AF596" s="15"/>
      <c r="AG596" s="15" t="s">
        <v>328</v>
      </c>
      <c r="AH596" s="15"/>
      <c r="AI596" s="15"/>
      <c r="AJ596" s="15"/>
      <c r="AK596" s="15"/>
      <c r="AL596" s="15" t="s">
        <v>328</v>
      </c>
      <c r="AM596" s="15"/>
      <c r="AN596" s="16">
        <v>20000</v>
      </c>
      <c r="AO596" s="16">
        <v>25000</v>
      </c>
      <c r="AP596" s="16">
        <v>25000</v>
      </c>
      <c r="AQ596" s="16">
        <v>130000</v>
      </c>
      <c r="AR596" s="16">
        <v>25000</v>
      </c>
      <c r="AS596" s="22">
        <v>102000</v>
      </c>
      <c r="AT596" s="22">
        <v>0</v>
      </c>
      <c r="AU596" s="22">
        <v>50000</v>
      </c>
      <c r="AV596" s="22">
        <v>20000</v>
      </c>
      <c r="AW596" s="22">
        <v>15000</v>
      </c>
      <c r="AX596" s="66">
        <v>0</v>
      </c>
      <c r="AZ596" s="15" t="s">
        <v>359</v>
      </c>
      <c r="BA596" s="249">
        <f t="shared" si="19"/>
        <v>17</v>
      </c>
      <c r="BB596" s="249">
        <v>0</v>
      </c>
      <c r="BC596" s="249">
        <f t="shared" si="18"/>
        <v>1995</v>
      </c>
    </row>
    <row r="597" spans="1:55" x14ac:dyDescent="0.25">
      <c r="A597" s="51" t="s">
        <v>1378</v>
      </c>
      <c r="B597" s="63" t="s">
        <v>1354</v>
      </c>
      <c r="C597" s="15" t="s">
        <v>359</v>
      </c>
      <c r="D597" s="15">
        <v>1997</v>
      </c>
      <c r="E597" s="15" t="s">
        <v>338</v>
      </c>
      <c r="F597" s="15"/>
      <c r="G597" s="15"/>
      <c r="H597" s="15"/>
      <c r="I597" s="15"/>
      <c r="J597" s="16">
        <v>384000</v>
      </c>
      <c r="K597" s="15" t="s">
        <v>328</v>
      </c>
      <c r="L597" s="15"/>
      <c r="M597" s="15"/>
      <c r="N597" s="16">
        <v>3500</v>
      </c>
      <c r="O597" s="21">
        <v>0.5</v>
      </c>
      <c r="P597" s="15">
        <v>2</v>
      </c>
      <c r="Q597" s="15">
        <v>650</v>
      </c>
      <c r="R597" s="16">
        <v>2600</v>
      </c>
      <c r="S597" s="15" t="s">
        <v>340</v>
      </c>
      <c r="T597" s="15">
        <v>2</v>
      </c>
      <c r="U597" s="15">
        <v>2.2000000000000002</v>
      </c>
      <c r="V597" s="27">
        <v>1400</v>
      </c>
      <c r="W597" s="22">
        <v>19000</v>
      </c>
      <c r="X597" s="15"/>
      <c r="Y597" s="15" t="s">
        <v>328</v>
      </c>
      <c r="Z597" s="15"/>
      <c r="AA597" s="15"/>
      <c r="AB597" s="15"/>
      <c r="AC597" s="15"/>
      <c r="AD597" s="15" t="s">
        <v>328</v>
      </c>
      <c r="AE597" s="15" t="s">
        <v>328</v>
      </c>
      <c r="AF597" s="15"/>
      <c r="AG597" s="15" t="s">
        <v>328</v>
      </c>
      <c r="AH597" s="15"/>
      <c r="AI597" s="15"/>
      <c r="AJ597" s="15"/>
      <c r="AK597" s="15"/>
      <c r="AL597" s="15" t="s">
        <v>328</v>
      </c>
      <c r="AM597" s="15"/>
      <c r="AN597" s="16">
        <v>20000</v>
      </c>
      <c r="AO597" s="16">
        <v>25000</v>
      </c>
      <c r="AP597" s="16">
        <v>25000</v>
      </c>
      <c r="AQ597" s="16">
        <v>130000</v>
      </c>
      <c r="AR597" s="16">
        <v>25000</v>
      </c>
      <c r="AS597" s="22">
        <v>102000</v>
      </c>
      <c r="AT597" s="22">
        <v>0</v>
      </c>
      <c r="AU597" s="22">
        <v>50000</v>
      </c>
      <c r="AV597" s="22">
        <v>30000</v>
      </c>
      <c r="AW597" s="22">
        <v>15000</v>
      </c>
      <c r="AX597" s="66">
        <v>0</v>
      </c>
      <c r="AZ597" s="15" t="s">
        <v>359</v>
      </c>
      <c r="BA597" s="249">
        <f t="shared" si="19"/>
        <v>17</v>
      </c>
      <c r="BB597" s="249">
        <v>0</v>
      </c>
      <c r="BC597" s="249">
        <f t="shared" si="18"/>
        <v>1997</v>
      </c>
    </row>
    <row r="598" spans="1:55" x14ac:dyDescent="0.25">
      <c r="A598" s="51" t="s">
        <v>1378</v>
      </c>
      <c r="B598" s="63" t="s">
        <v>1354</v>
      </c>
      <c r="C598" s="15" t="s">
        <v>359</v>
      </c>
      <c r="D598" s="15">
        <v>1997</v>
      </c>
      <c r="E598" s="15" t="s">
        <v>338</v>
      </c>
      <c r="F598" s="15"/>
      <c r="G598" s="15"/>
      <c r="H598" s="15"/>
      <c r="I598" s="15"/>
      <c r="J598" s="16">
        <v>384000</v>
      </c>
      <c r="K598" s="15" t="s">
        <v>328</v>
      </c>
      <c r="L598" s="15"/>
      <c r="M598" s="15"/>
      <c r="N598" s="16">
        <v>3500</v>
      </c>
      <c r="O598" s="21">
        <v>0.5</v>
      </c>
      <c r="P598" s="15">
        <v>2</v>
      </c>
      <c r="Q598" s="15">
        <v>650</v>
      </c>
      <c r="R598" s="16">
        <v>2600</v>
      </c>
      <c r="S598" s="15" t="s">
        <v>340</v>
      </c>
      <c r="T598" s="15">
        <v>2</v>
      </c>
      <c r="U598" s="15">
        <v>2.2000000000000002</v>
      </c>
      <c r="V598" s="27">
        <v>1400</v>
      </c>
      <c r="W598" s="22">
        <v>19000</v>
      </c>
      <c r="X598" s="15"/>
      <c r="Y598" s="15" t="s">
        <v>328</v>
      </c>
      <c r="Z598" s="15"/>
      <c r="AA598" s="15"/>
      <c r="AB598" s="15"/>
      <c r="AC598" s="15"/>
      <c r="AD598" s="15" t="s">
        <v>328</v>
      </c>
      <c r="AE598" s="15" t="s">
        <v>328</v>
      </c>
      <c r="AF598" s="15"/>
      <c r="AG598" s="15" t="s">
        <v>328</v>
      </c>
      <c r="AH598" s="15"/>
      <c r="AI598" s="15"/>
      <c r="AJ598" s="15"/>
      <c r="AK598" s="15"/>
      <c r="AL598" s="15" t="s">
        <v>328</v>
      </c>
      <c r="AM598" s="15"/>
      <c r="AN598" s="16">
        <v>20000</v>
      </c>
      <c r="AO598" s="16">
        <v>25000</v>
      </c>
      <c r="AP598" s="16">
        <v>25000</v>
      </c>
      <c r="AQ598" s="16">
        <v>130000</v>
      </c>
      <c r="AR598" s="16">
        <v>25000</v>
      </c>
      <c r="AS598" s="22">
        <v>102000</v>
      </c>
      <c r="AT598" s="22">
        <v>0</v>
      </c>
      <c r="AU598" s="22">
        <v>50000</v>
      </c>
      <c r="AV598" s="22">
        <v>30000</v>
      </c>
      <c r="AW598" s="22">
        <v>15000</v>
      </c>
      <c r="AX598" s="66">
        <v>0</v>
      </c>
      <c r="AZ598" s="15" t="s">
        <v>359</v>
      </c>
      <c r="BA598" s="249">
        <f t="shared" si="19"/>
        <v>17</v>
      </c>
      <c r="BB598" s="249">
        <v>0</v>
      </c>
      <c r="BC598" s="249">
        <f t="shared" si="18"/>
        <v>1997</v>
      </c>
    </row>
    <row r="599" spans="1:55" x14ac:dyDescent="0.25">
      <c r="A599" s="51" t="s">
        <v>1378</v>
      </c>
      <c r="B599" s="63" t="s">
        <v>1354</v>
      </c>
      <c r="C599" s="15" t="s">
        <v>359</v>
      </c>
      <c r="D599" s="15">
        <v>1997</v>
      </c>
      <c r="E599" s="15" t="s">
        <v>338</v>
      </c>
      <c r="F599" s="15"/>
      <c r="G599" s="15"/>
      <c r="H599" s="15"/>
      <c r="I599" s="15"/>
      <c r="J599" s="16">
        <v>384000</v>
      </c>
      <c r="K599" s="15" t="s">
        <v>328</v>
      </c>
      <c r="L599" s="15"/>
      <c r="M599" s="15"/>
      <c r="N599" s="16">
        <v>3500</v>
      </c>
      <c r="O599" s="21">
        <v>0.5</v>
      </c>
      <c r="P599" s="15">
        <v>2</v>
      </c>
      <c r="Q599" s="15">
        <v>650</v>
      </c>
      <c r="R599" s="16">
        <v>2600</v>
      </c>
      <c r="S599" s="15" t="s">
        <v>340</v>
      </c>
      <c r="T599" s="15">
        <v>2</v>
      </c>
      <c r="U599" s="15">
        <v>2.2000000000000002</v>
      </c>
      <c r="V599" s="27">
        <v>1400</v>
      </c>
      <c r="W599" s="22">
        <v>19000</v>
      </c>
      <c r="X599" s="15"/>
      <c r="Y599" s="15" t="s">
        <v>328</v>
      </c>
      <c r="Z599" s="15"/>
      <c r="AA599" s="15"/>
      <c r="AB599" s="15"/>
      <c r="AC599" s="15"/>
      <c r="AD599" s="15" t="s">
        <v>328</v>
      </c>
      <c r="AE599" s="15" t="s">
        <v>328</v>
      </c>
      <c r="AF599" s="15"/>
      <c r="AG599" s="15" t="s">
        <v>328</v>
      </c>
      <c r="AH599" s="15"/>
      <c r="AI599" s="15"/>
      <c r="AJ599" s="15"/>
      <c r="AK599" s="15"/>
      <c r="AL599" s="15" t="s">
        <v>328</v>
      </c>
      <c r="AM599" s="15"/>
      <c r="AN599" s="16">
        <v>20000</v>
      </c>
      <c r="AO599" s="16">
        <v>25000</v>
      </c>
      <c r="AP599" s="16">
        <v>25000</v>
      </c>
      <c r="AQ599" s="16">
        <v>130000</v>
      </c>
      <c r="AR599" s="16">
        <v>25000</v>
      </c>
      <c r="AS599" s="22">
        <v>102000</v>
      </c>
      <c r="AT599" s="22">
        <v>0</v>
      </c>
      <c r="AU599" s="22">
        <v>50000</v>
      </c>
      <c r="AV599" s="22">
        <v>30000</v>
      </c>
      <c r="AW599" s="22">
        <v>15000</v>
      </c>
      <c r="AX599" s="66">
        <v>0</v>
      </c>
      <c r="AZ599" s="15" t="s">
        <v>359</v>
      </c>
      <c r="BA599" s="249">
        <f t="shared" si="19"/>
        <v>17</v>
      </c>
      <c r="BB599" s="249">
        <v>0</v>
      </c>
      <c r="BC599" s="249">
        <f t="shared" si="18"/>
        <v>1997</v>
      </c>
    </row>
    <row r="600" spans="1:55" x14ac:dyDescent="0.25">
      <c r="A600" s="51" t="s">
        <v>1378</v>
      </c>
      <c r="B600" s="63" t="s">
        <v>1354</v>
      </c>
      <c r="C600" s="15" t="s">
        <v>359</v>
      </c>
      <c r="D600" s="15">
        <v>1997</v>
      </c>
      <c r="E600" s="15" t="s">
        <v>338</v>
      </c>
      <c r="F600" s="15"/>
      <c r="G600" s="15"/>
      <c r="H600" s="15"/>
      <c r="I600" s="15"/>
      <c r="J600" s="16">
        <v>384000</v>
      </c>
      <c r="K600" s="15" t="s">
        <v>328</v>
      </c>
      <c r="L600" s="15"/>
      <c r="M600" s="15"/>
      <c r="N600" s="16">
        <v>3500</v>
      </c>
      <c r="O600" s="21">
        <v>0.5</v>
      </c>
      <c r="P600" s="15">
        <v>2</v>
      </c>
      <c r="Q600" s="15">
        <v>650</v>
      </c>
      <c r="R600" s="16">
        <v>2600</v>
      </c>
      <c r="S600" s="15" t="s">
        <v>340</v>
      </c>
      <c r="T600" s="15">
        <v>2</v>
      </c>
      <c r="U600" s="15">
        <v>2.2000000000000002</v>
      </c>
      <c r="V600" s="27">
        <v>1400</v>
      </c>
      <c r="W600" s="22">
        <v>19000</v>
      </c>
      <c r="X600" s="15"/>
      <c r="Y600" s="15" t="s">
        <v>328</v>
      </c>
      <c r="Z600" s="15"/>
      <c r="AA600" s="15"/>
      <c r="AB600" s="15"/>
      <c r="AC600" s="15"/>
      <c r="AD600" s="15" t="s">
        <v>328</v>
      </c>
      <c r="AE600" s="15" t="s">
        <v>328</v>
      </c>
      <c r="AF600" s="15"/>
      <c r="AG600" s="15" t="s">
        <v>328</v>
      </c>
      <c r="AH600" s="15"/>
      <c r="AI600" s="15"/>
      <c r="AJ600" s="15"/>
      <c r="AK600" s="15"/>
      <c r="AL600" s="15" t="s">
        <v>328</v>
      </c>
      <c r="AM600" s="15"/>
      <c r="AN600" s="16">
        <v>20000</v>
      </c>
      <c r="AO600" s="16">
        <v>25000</v>
      </c>
      <c r="AP600" s="16">
        <v>25000</v>
      </c>
      <c r="AQ600" s="16">
        <v>130000</v>
      </c>
      <c r="AR600" s="16">
        <v>25000</v>
      </c>
      <c r="AS600" s="22">
        <v>102000</v>
      </c>
      <c r="AT600" s="22">
        <v>0</v>
      </c>
      <c r="AU600" s="22">
        <v>50000</v>
      </c>
      <c r="AV600" s="22">
        <v>30000</v>
      </c>
      <c r="AW600" s="22">
        <v>15000</v>
      </c>
      <c r="AX600" s="66">
        <v>0</v>
      </c>
      <c r="AZ600" s="15" t="s">
        <v>359</v>
      </c>
      <c r="BA600" s="249">
        <f t="shared" si="19"/>
        <v>17</v>
      </c>
      <c r="BB600" s="249">
        <v>0</v>
      </c>
      <c r="BC600" s="249">
        <f t="shared" si="18"/>
        <v>1997</v>
      </c>
    </row>
    <row r="601" spans="1:55" x14ac:dyDescent="0.25">
      <c r="A601" s="51" t="s">
        <v>1378</v>
      </c>
      <c r="B601" s="63" t="s">
        <v>1355</v>
      </c>
      <c r="C601" s="15" t="s">
        <v>337</v>
      </c>
      <c r="D601" s="15">
        <v>2006</v>
      </c>
      <c r="E601" s="15" t="s">
        <v>407</v>
      </c>
      <c r="F601" s="15"/>
      <c r="G601" s="15"/>
      <c r="H601" s="15"/>
      <c r="I601" s="15"/>
      <c r="J601" s="16">
        <v>350000</v>
      </c>
      <c r="K601" s="15" t="s">
        <v>328</v>
      </c>
      <c r="L601" s="15"/>
      <c r="M601" s="15"/>
      <c r="N601" s="16">
        <v>5000</v>
      </c>
      <c r="O601" s="21">
        <v>0.5</v>
      </c>
      <c r="P601" s="15">
        <v>2</v>
      </c>
      <c r="Q601" s="15">
        <v>680</v>
      </c>
      <c r="R601" s="16">
        <v>2856</v>
      </c>
      <c r="S601" s="15" t="s">
        <v>340</v>
      </c>
      <c r="T601" s="15">
        <v>2.1</v>
      </c>
      <c r="U601" s="15">
        <v>2.2999999999999998</v>
      </c>
      <c r="V601" s="27">
        <v>1800</v>
      </c>
      <c r="W601" s="22">
        <v>25000</v>
      </c>
      <c r="X601" s="15"/>
      <c r="Y601" s="15"/>
      <c r="Z601" s="15"/>
      <c r="AA601" s="15"/>
      <c r="AB601" s="15" t="s">
        <v>328</v>
      </c>
      <c r="AC601" s="15"/>
      <c r="AD601" s="15" t="s">
        <v>328</v>
      </c>
      <c r="AE601" s="15" t="s">
        <v>328</v>
      </c>
      <c r="AF601" s="15"/>
      <c r="AG601" s="15" t="s">
        <v>328</v>
      </c>
      <c r="AH601" s="15" t="s">
        <v>328</v>
      </c>
      <c r="AI601" s="15"/>
      <c r="AJ601" s="15"/>
      <c r="AK601" s="15"/>
      <c r="AL601" s="15" t="s">
        <v>328</v>
      </c>
      <c r="AM601" s="15"/>
      <c r="AN601" s="16">
        <v>40000</v>
      </c>
      <c r="AO601" s="16">
        <v>40000</v>
      </c>
      <c r="AP601" s="16">
        <v>25000</v>
      </c>
      <c r="AQ601" s="16">
        <v>60000</v>
      </c>
      <c r="AR601" s="16">
        <v>40000</v>
      </c>
      <c r="AS601" s="22">
        <v>0</v>
      </c>
      <c r="AT601" s="22">
        <v>0</v>
      </c>
      <c r="AU601" s="22">
        <v>80000</v>
      </c>
      <c r="AV601" s="22">
        <v>10000</v>
      </c>
      <c r="AW601" s="22">
        <v>13000</v>
      </c>
      <c r="AX601" s="66">
        <v>0</v>
      </c>
      <c r="AZ601" s="15" t="s">
        <v>337</v>
      </c>
      <c r="BA601" s="249">
        <f t="shared" si="19"/>
        <v>1</v>
      </c>
      <c r="BB601" s="249">
        <v>0</v>
      </c>
      <c r="BC601" s="249">
        <f t="shared" si="18"/>
        <v>2006</v>
      </c>
    </row>
    <row r="602" spans="1:55" x14ac:dyDescent="0.25">
      <c r="A602" s="51" t="s">
        <v>1378</v>
      </c>
      <c r="B602" s="63" t="s">
        <v>1356</v>
      </c>
      <c r="C602" s="15" t="s">
        <v>337</v>
      </c>
      <c r="D602" s="15">
        <v>2000</v>
      </c>
      <c r="E602" s="15" t="s">
        <v>444</v>
      </c>
      <c r="F602" s="15"/>
      <c r="G602" s="15"/>
      <c r="H602" s="15"/>
      <c r="I602" s="15"/>
      <c r="J602" s="16">
        <v>1560000</v>
      </c>
      <c r="K602" s="15" t="s">
        <v>328</v>
      </c>
      <c r="L602" s="15"/>
      <c r="M602" s="15"/>
      <c r="N602" s="16">
        <v>10000</v>
      </c>
      <c r="O602" s="21">
        <v>0.2</v>
      </c>
      <c r="P602" s="15">
        <v>2</v>
      </c>
      <c r="Q602" s="15">
        <v>660</v>
      </c>
      <c r="R602" s="16">
        <v>2772</v>
      </c>
      <c r="S602" s="15" t="s">
        <v>340</v>
      </c>
      <c r="T602" s="15">
        <v>2.1</v>
      </c>
      <c r="U602" s="15">
        <v>2.2999999999999998</v>
      </c>
      <c r="V602" s="27">
        <v>4600</v>
      </c>
      <c r="W602" s="22">
        <v>64500</v>
      </c>
      <c r="X602" s="15"/>
      <c r="Y602" s="15"/>
      <c r="Z602" s="15"/>
      <c r="AA602" s="15"/>
      <c r="AB602" s="15" t="s">
        <v>328</v>
      </c>
      <c r="AC602" s="15"/>
      <c r="AD602" s="15" t="s">
        <v>328</v>
      </c>
      <c r="AE602" s="15" t="s">
        <v>328</v>
      </c>
      <c r="AF602" s="15"/>
      <c r="AG602" s="15" t="s">
        <v>328</v>
      </c>
      <c r="AH602" s="15" t="s">
        <v>328</v>
      </c>
      <c r="AI602" s="15" t="s">
        <v>328</v>
      </c>
      <c r="AJ602" s="15"/>
      <c r="AK602" s="15" t="s">
        <v>328</v>
      </c>
      <c r="AL602" s="15" t="s">
        <v>328</v>
      </c>
      <c r="AM602" s="15" t="s">
        <v>328</v>
      </c>
      <c r="AN602" s="16">
        <v>15000</v>
      </c>
      <c r="AO602" s="16">
        <v>25000</v>
      </c>
      <c r="AP602" s="16">
        <v>30000</v>
      </c>
      <c r="AQ602" s="16">
        <v>120000</v>
      </c>
      <c r="AR602" s="16">
        <v>25000</v>
      </c>
      <c r="AS602" s="22">
        <v>30000</v>
      </c>
      <c r="AT602" s="22">
        <v>0</v>
      </c>
      <c r="AU602" s="22">
        <v>80000</v>
      </c>
      <c r="AV602" s="22">
        <v>30000</v>
      </c>
      <c r="AW602" s="22">
        <v>10000</v>
      </c>
      <c r="AX602" s="66">
        <v>0</v>
      </c>
      <c r="AZ602" s="15" t="s">
        <v>562</v>
      </c>
      <c r="BA602" s="249">
        <f t="shared" si="19"/>
        <v>26</v>
      </c>
      <c r="BB602" s="249">
        <v>0</v>
      </c>
      <c r="BC602" s="249">
        <f t="shared" si="18"/>
        <v>2000</v>
      </c>
    </row>
    <row r="603" spans="1:55" x14ac:dyDescent="0.25">
      <c r="A603" s="51" t="s">
        <v>1378</v>
      </c>
      <c r="B603" s="63" t="s">
        <v>1356</v>
      </c>
      <c r="C603" s="15" t="s">
        <v>337</v>
      </c>
      <c r="D603" s="15">
        <v>2000</v>
      </c>
      <c r="E603" s="15" t="s">
        <v>444</v>
      </c>
      <c r="F603" s="15"/>
      <c r="G603" s="15"/>
      <c r="H603" s="15"/>
      <c r="I603" s="15"/>
      <c r="J603" s="16">
        <v>1560000</v>
      </c>
      <c r="K603" s="15" t="s">
        <v>328</v>
      </c>
      <c r="L603" s="15"/>
      <c r="M603" s="15"/>
      <c r="N603" s="16">
        <v>10000</v>
      </c>
      <c r="O603" s="21">
        <v>0.2</v>
      </c>
      <c r="P603" s="15">
        <v>2</v>
      </c>
      <c r="Q603" s="15">
        <v>660</v>
      </c>
      <c r="R603" s="16">
        <v>2772</v>
      </c>
      <c r="S603" s="15" t="s">
        <v>340</v>
      </c>
      <c r="T603" s="15">
        <v>2.1</v>
      </c>
      <c r="U603" s="15">
        <v>2.2999999999999998</v>
      </c>
      <c r="V603" s="27">
        <v>4600</v>
      </c>
      <c r="W603" s="22">
        <v>64500</v>
      </c>
      <c r="X603" s="15"/>
      <c r="Y603" s="15"/>
      <c r="Z603" s="15"/>
      <c r="AA603" s="15"/>
      <c r="AB603" s="15" t="s">
        <v>328</v>
      </c>
      <c r="AC603" s="15"/>
      <c r="AD603" s="15" t="s">
        <v>328</v>
      </c>
      <c r="AE603" s="15" t="s">
        <v>328</v>
      </c>
      <c r="AF603" s="15"/>
      <c r="AG603" s="15" t="s">
        <v>328</v>
      </c>
      <c r="AH603" s="15" t="s">
        <v>328</v>
      </c>
      <c r="AI603" s="15" t="s">
        <v>328</v>
      </c>
      <c r="AJ603" s="15"/>
      <c r="AK603" s="15" t="s">
        <v>328</v>
      </c>
      <c r="AL603" s="15" t="s">
        <v>328</v>
      </c>
      <c r="AM603" s="15" t="s">
        <v>328</v>
      </c>
      <c r="AN603" s="16">
        <v>15000</v>
      </c>
      <c r="AO603" s="16">
        <v>25000</v>
      </c>
      <c r="AP603" s="16">
        <v>30000</v>
      </c>
      <c r="AQ603" s="16">
        <v>120000</v>
      </c>
      <c r="AR603" s="16">
        <v>25000</v>
      </c>
      <c r="AS603" s="22">
        <v>30000</v>
      </c>
      <c r="AT603" s="22">
        <v>0</v>
      </c>
      <c r="AU603" s="22">
        <v>80000</v>
      </c>
      <c r="AV603" s="22">
        <v>30000</v>
      </c>
      <c r="AW603" s="22">
        <v>10000</v>
      </c>
      <c r="AX603" s="66">
        <v>0</v>
      </c>
      <c r="AZ603" s="15" t="s">
        <v>562</v>
      </c>
      <c r="BA603" s="249">
        <f t="shared" si="19"/>
        <v>26</v>
      </c>
      <c r="BB603" s="249">
        <v>0</v>
      </c>
      <c r="BC603" s="249">
        <f t="shared" si="18"/>
        <v>2000</v>
      </c>
    </row>
    <row r="604" spans="1:55" x14ac:dyDescent="0.25">
      <c r="A604" s="51" t="s">
        <v>1378</v>
      </c>
      <c r="B604" s="63" t="s">
        <v>1356</v>
      </c>
      <c r="C604" s="15" t="s">
        <v>337</v>
      </c>
      <c r="D604" s="15">
        <v>2000</v>
      </c>
      <c r="E604" s="15" t="s">
        <v>444</v>
      </c>
      <c r="F604" s="15"/>
      <c r="G604" s="15"/>
      <c r="H604" s="15"/>
      <c r="I604" s="15"/>
      <c r="J604" s="16">
        <v>1560000</v>
      </c>
      <c r="K604" s="15" t="s">
        <v>328</v>
      </c>
      <c r="L604" s="15"/>
      <c r="M604" s="15"/>
      <c r="N604" s="16">
        <v>10000</v>
      </c>
      <c r="O604" s="21">
        <v>0.2</v>
      </c>
      <c r="P604" s="15">
        <v>2</v>
      </c>
      <c r="Q604" s="15">
        <v>660</v>
      </c>
      <c r="R604" s="16">
        <v>2772</v>
      </c>
      <c r="S604" s="15" t="s">
        <v>340</v>
      </c>
      <c r="T604" s="15">
        <v>2.1</v>
      </c>
      <c r="U604" s="15">
        <v>2.2999999999999998</v>
      </c>
      <c r="V604" s="27">
        <v>4600</v>
      </c>
      <c r="W604" s="22">
        <v>64500</v>
      </c>
      <c r="X604" s="15"/>
      <c r="Y604" s="15"/>
      <c r="Z604" s="15"/>
      <c r="AA604" s="15"/>
      <c r="AB604" s="15" t="s">
        <v>328</v>
      </c>
      <c r="AC604" s="15"/>
      <c r="AD604" s="15" t="s">
        <v>328</v>
      </c>
      <c r="AE604" s="15" t="s">
        <v>328</v>
      </c>
      <c r="AF604" s="15"/>
      <c r="AG604" s="15" t="s">
        <v>328</v>
      </c>
      <c r="AH604" s="15" t="s">
        <v>328</v>
      </c>
      <c r="AI604" s="15" t="s">
        <v>328</v>
      </c>
      <c r="AJ604" s="15"/>
      <c r="AK604" s="15" t="s">
        <v>328</v>
      </c>
      <c r="AL604" s="15" t="s">
        <v>328</v>
      </c>
      <c r="AM604" s="15" t="s">
        <v>328</v>
      </c>
      <c r="AN604" s="16">
        <v>15000</v>
      </c>
      <c r="AO604" s="16">
        <v>25000</v>
      </c>
      <c r="AP604" s="16">
        <v>30000</v>
      </c>
      <c r="AQ604" s="16">
        <v>120000</v>
      </c>
      <c r="AR604" s="16">
        <v>25000</v>
      </c>
      <c r="AS604" s="22">
        <v>30000</v>
      </c>
      <c r="AT604" s="22">
        <v>0</v>
      </c>
      <c r="AU604" s="22">
        <v>80000</v>
      </c>
      <c r="AV604" s="22">
        <v>30000</v>
      </c>
      <c r="AW604" s="22">
        <v>10000</v>
      </c>
      <c r="AX604" s="66">
        <v>0</v>
      </c>
      <c r="AZ604" s="15" t="s">
        <v>562</v>
      </c>
      <c r="BA604" s="249">
        <f t="shared" si="19"/>
        <v>26</v>
      </c>
      <c r="BB604" s="249">
        <v>0</v>
      </c>
      <c r="BC604" s="249">
        <f t="shared" si="18"/>
        <v>2000</v>
      </c>
    </row>
    <row r="605" spans="1:55" x14ac:dyDescent="0.25">
      <c r="A605" s="51" t="s">
        <v>1378</v>
      </c>
      <c r="B605" s="63" t="s">
        <v>1356</v>
      </c>
      <c r="C605" s="15" t="s">
        <v>337</v>
      </c>
      <c r="D605" s="15">
        <v>2000</v>
      </c>
      <c r="E605" s="15" t="s">
        <v>444</v>
      </c>
      <c r="F605" s="15"/>
      <c r="G605" s="15"/>
      <c r="H605" s="15"/>
      <c r="I605" s="15"/>
      <c r="J605" s="16">
        <v>1560000</v>
      </c>
      <c r="K605" s="15" t="s">
        <v>328</v>
      </c>
      <c r="L605" s="15"/>
      <c r="M605" s="15"/>
      <c r="N605" s="16">
        <v>10000</v>
      </c>
      <c r="O605" s="21">
        <v>0.2</v>
      </c>
      <c r="P605" s="15">
        <v>2</v>
      </c>
      <c r="Q605" s="15">
        <v>660</v>
      </c>
      <c r="R605" s="16">
        <v>2772</v>
      </c>
      <c r="S605" s="15" t="s">
        <v>340</v>
      </c>
      <c r="T605" s="15">
        <v>2.1</v>
      </c>
      <c r="U605" s="15">
        <v>2.2999999999999998</v>
      </c>
      <c r="V605" s="27">
        <v>4600</v>
      </c>
      <c r="W605" s="22">
        <v>64500</v>
      </c>
      <c r="X605" s="15"/>
      <c r="Y605" s="15"/>
      <c r="Z605" s="15"/>
      <c r="AA605" s="15"/>
      <c r="AB605" s="15" t="s">
        <v>328</v>
      </c>
      <c r="AC605" s="15"/>
      <c r="AD605" s="15" t="s">
        <v>328</v>
      </c>
      <c r="AE605" s="15" t="s">
        <v>328</v>
      </c>
      <c r="AF605" s="15"/>
      <c r="AG605" s="15" t="s">
        <v>328</v>
      </c>
      <c r="AH605" s="15" t="s">
        <v>328</v>
      </c>
      <c r="AI605" s="15" t="s">
        <v>328</v>
      </c>
      <c r="AJ605" s="15"/>
      <c r="AK605" s="15" t="s">
        <v>328</v>
      </c>
      <c r="AL605" s="15" t="s">
        <v>328</v>
      </c>
      <c r="AM605" s="15" t="s">
        <v>328</v>
      </c>
      <c r="AN605" s="16">
        <v>15000</v>
      </c>
      <c r="AO605" s="16">
        <v>25000</v>
      </c>
      <c r="AP605" s="16">
        <v>30000</v>
      </c>
      <c r="AQ605" s="16">
        <v>120000</v>
      </c>
      <c r="AR605" s="16">
        <v>25000</v>
      </c>
      <c r="AS605" s="22">
        <v>30000</v>
      </c>
      <c r="AT605" s="22">
        <v>0</v>
      </c>
      <c r="AU605" s="22">
        <v>80000</v>
      </c>
      <c r="AV605" s="22">
        <v>30000</v>
      </c>
      <c r="AW605" s="22">
        <v>10000</v>
      </c>
      <c r="AX605" s="66">
        <v>0</v>
      </c>
      <c r="AZ605" s="15" t="s">
        <v>562</v>
      </c>
      <c r="BA605" s="249">
        <f t="shared" si="19"/>
        <v>26</v>
      </c>
      <c r="BB605" s="249">
        <v>0</v>
      </c>
      <c r="BC605" s="249">
        <f t="shared" si="18"/>
        <v>2000</v>
      </c>
    </row>
    <row r="606" spans="1:55" x14ac:dyDescent="0.25">
      <c r="A606" s="51" t="s">
        <v>1378</v>
      </c>
      <c r="B606" s="63" t="s">
        <v>1356</v>
      </c>
      <c r="C606" s="15" t="s">
        <v>337</v>
      </c>
      <c r="D606" s="15">
        <v>2000</v>
      </c>
      <c r="E606" s="15" t="s">
        <v>444</v>
      </c>
      <c r="F606" s="15"/>
      <c r="G606" s="15"/>
      <c r="H606" s="15"/>
      <c r="I606" s="15"/>
      <c r="J606" s="16">
        <v>1560000</v>
      </c>
      <c r="K606" s="15" t="s">
        <v>328</v>
      </c>
      <c r="L606" s="15"/>
      <c r="M606" s="15"/>
      <c r="N606" s="16">
        <v>10000</v>
      </c>
      <c r="O606" s="21">
        <v>0.2</v>
      </c>
      <c r="P606" s="15">
        <v>2</v>
      </c>
      <c r="Q606" s="15">
        <v>660</v>
      </c>
      <c r="R606" s="16">
        <v>2772</v>
      </c>
      <c r="S606" s="15" t="s">
        <v>340</v>
      </c>
      <c r="T606" s="15">
        <v>2.1</v>
      </c>
      <c r="U606" s="15">
        <v>2.2999999999999998</v>
      </c>
      <c r="V606" s="27">
        <v>4600</v>
      </c>
      <c r="W606" s="22">
        <v>64500</v>
      </c>
      <c r="X606" s="15"/>
      <c r="Y606" s="15"/>
      <c r="Z606" s="15"/>
      <c r="AA606" s="15"/>
      <c r="AB606" s="15" t="s">
        <v>328</v>
      </c>
      <c r="AC606" s="15"/>
      <c r="AD606" s="15" t="s">
        <v>328</v>
      </c>
      <c r="AE606" s="15" t="s">
        <v>328</v>
      </c>
      <c r="AF606" s="15"/>
      <c r="AG606" s="15" t="s">
        <v>328</v>
      </c>
      <c r="AH606" s="15" t="s">
        <v>328</v>
      </c>
      <c r="AI606" s="15" t="s">
        <v>328</v>
      </c>
      <c r="AJ606" s="15"/>
      <c r="AK606" s="15" t="s">
        <v>328</v>
      </c>
      <c r="AL606" s="15" t="s">
        <v>328</v>
      </c>
      <c r="AM606" s="15" t="s">
        <v>328</v>
      </c>
      <c r="AN606" s="16">
        <v>15000</v>
      </c>
      <c r="AO606" s="16">
        <v>25000</v>
      </c>
      <c r="AP606" s="16">
        <v>30000</v>
      </c>
      <c r="AQ606" s="16">
        <v>120000</v>
      </c>
      <c r="AR606" s="16">
        <v>25000</v>
      </c>
      <c r="AS606" s="22">
        <v>30000</v>
      </c>
      <c r="AT606" s="22">
        <v>0</v>
      </c>
      <c r="AU606" s="22">
        <v>80000</v>
      </c>
      <c r="AV606" s="22">
        <v>30000</v>
      </c>
      <c r="AW606" s="22">
        <v>10000</v>
      </c>
      <c r="AX606" s="66">
        <v>0</v>
      </c>
      <c r="AZ606" s="15" t="s">
        <v>562</v>
      </c>
      <c r="BA606" s="249">
        <f t="shared" si="19"/>
        <v>26</v>
      </c>
      <c r="BB606" s="249">
        <v>0</v>
      </c>
      <c r="BC606" s="249">
        <f t="shared" si="18"/>
        <v>2000</v>
      </c>
    </row>
    <row r="607" spans="1:55" x14ac:dyDescent="0.25">
      <c r="A607" s="51" t="s">
        <v>1378</v>
      </c>
      <c r="B607" s="63" t="s">
        <v>1356</v>
      </c>
      <c r="C607" s="15" t="s">
        <v>337</v>
      </c>
      <c r="D607" s="15">
        <v>2000</v>
      </c>
      <c r="E607" s="15" t="s">
        <v>444</v>
      </c>
      <c r="F607" s="15"/>
      <c r="G607" s="15"/>
      <c r="H607" s="15"/>
      <c r="I607" s="15"/>
      <c r="J607" s="16">
        <v>1560000</v>
      </c>
      <c r="K607" s="15" t="s">
        <v>328</v>
      </c>
      <c r="L607" s="15"/>
      <c r="M607" s="15"/>
      <c r="N607" s="16">
        <v>10000</v>
      </c>
      <c r="O607" s="21">
        <v>0.2</v>
      </c>
      <c r="P607" s="15">
        <v>2</v>
      </c>
      <c r="Q607" s="15">
        <v>660</v>
      </c>
      <c r="R607" s="16">
        <v>2772</v>
      </c>
      <c r="S607" s="15" t="s">
        <v>340</v>
      </c>
      <c r="T607" s="15">
        <v>2.1</v>
      </c>
      <c r="U607" s="15">
        <v>2.2999999999999998</v>
      </c>
      <c r="V607" s="27">
        <v>4600</v>
      </c>
      <c r="W607" s="22">
        <v>64500</v>
      </c>
      <c r="X607" s="15"/>
      <c r="Y607" s="15"/>
      <c r="Z607" s="15"/>
      <c r="AA607" s="15"/>
      <c r="AB607" s="15" t="s">
        <v>328</v>
      </c>
      <c r="AC607" s="15"/>
      <c r="AD607" s="15" t="s">
        <v>328</v>
      </c>
      <c r="AE607" s="15" t="s">
        <v>328</v>
      </c>
      <c r="AF607" s="15"/>
      <c r="AG607" s="15" t="s">
        <v>328</v>
      </c>
      <c r="AH607" s="15" t="s">
        <v>328</v>
      </c>
      <c r="AI607" s="15" t="s">
        <v>328</v>
      </c>
      <c r="AJ607" s="15"/>
      <c r="AK607" s="15" t="s">
        <v>328</v>
      </c>
      <c r="AL607" s="15" t="s">
        <v>328</v>
      </c>
      <c r="AM607" s="15" t="s">
        <v>328</v>
      </c>
      <c r="AN607" s="16">
        <v>15000</v>
      </c>
      <c r="AO607" s="16">
        <v>25000</v>
      </c>
      <c r="AP607" s="16">
        <v>30000</v>
      </c>
      <c r="AQ607" s="16">
        <v>120000</v>
      </c>
      <c r="AR607" s="16">
        <v>25000</v>
      </c>
      <c r="AS607" s="22">
        <v>30000</v>
      </c>
      <c r="AT607" s="22">
        <v>0</v>
      </c>
      <c r="AU607" s="22">
        <v>80000</v>
      </c>
      <c r="AV607" s="22">
        <v>30000</v>
      </c>
      <c r="AW607" s="22">
        <v>10000</v>
      </c>
      <c r="AX607" s="66">
        <v>0</v>
      </c>
      <c r="AZ607" s="15" t="s">
        <v>562</v>
      </c>
      <c r="BA607" s="249">
        <f t="shared" si="19"/>
        <v>26</v>
      </c>
      <c r="BB607" s="249">
        <v>0</v>
      </c>
      <c r="BC607" s="249">
        <f t="shared" si="18"/>
        <v>2000</v>
      </c>
    </row>
    <row r="608" spans="1:55" x14ac:dyDescent="0.25">
      <c r="A608" s="51" t="s">
        <v>1378</v>
      </c>
      <c r="B608" s="63" t="s">
        <v>1356</v>
      </c>
      <c r="C608" s="15" t="s">
        <v>337</v>
      </c>
      <c r="D608" s="15">
        <v>2000</v>
      </c>
      <c r="E608" s="15" t="s">
        <v>444</v>
      </c>
      <c r="F608" s="15"/>
      <c r="G608" s="15"/>
      <c r="H608" s="15"/>
      <c r="I608" s="15"/>
      <c r="J608" s="16">
        <v>1560000</v>
      </c>
      <c r="K608" s="15" t="s">
        <v>328</v>
      </c>
      <c r="L608" s="15"/>
      <c r="M608" s="15"/>
      <c r="N608" s="16">
        <v>10000</v>
      </c>
      <c r="O608" s="21">
        <v>0.2</v>
      </c>
      <c r="P608" s="15">
        <v>2</v>
      </c>
      <c r="Q608" s="15">
        <v>660</v>
      </c>
      <c r="R608" s="16">
        <v>2772</v>
      </c>
      <c r="S608" s="15" t="s">
        <v>340</v>
      </c>
      <c r="T608" s="15">
        <v>2.1</v>
      </c>
      <c r="U608" s="15">
        <v>2.2999999999999998</v>
      </c>
      <c r="V608" s="27">
        <v>4600</v>
      </c>
      <c r="W608" s="22">
        <v>64500</v>
      </c>
      <c r="X608" s="15"/>
      <c r="Y608" s="15"/>
      <c r="Z608" s="15"/>
      <c r="AA608" s="15"/>
      <c r="AB608" s="15" t="s">
        <v>328</v>
      </c>
      <c r="AC608" s="15"/>
      <c r="AD608" s="15" t="s">
        <v>328</v>
      </c>
      <c r="AE608" s="15" t="s">
        <v>328</v>
      </c>
      <c r="AF608" s="15"/>
      <c r="AG608" s="15" t="s">
        <v>328</v>
      </c>
      <c r="AH608" s="15" t="s">
        <v>328</v>
      </c>
      <c r="AI608" s="15" t="s">
        <v>328</v>
      </c>
      <c r="AJ608" s="15"/>
      <c r="AK608" s="15" t="s">
        <v>328</v>
      </c>
      <c r="AL608" s="15" t="s">
        <v>328</v>
      </c>
      <c r="AM608" s="15" t="s">
        <v>328</v>
      </c>
      <c r="AN608" s="16">
        <v>15000</v>
      </c>
      <c r="AO608" s="16">
        <v>25000</v>
      </c>
      <c r="AP608" s="16">
        <v>30000</v>
      </c>
      <c r="AQ608" s="16">
        <v>120000</v>
      </c>
      <c r="AR608" s="16">
        <v>25000</v>
      </c>
      <c r="AS608" s="22">
        <v>30000</v>
      </c>
      <c r="AT608" s="22">
        <v>0</v>
      </c>
      <c r="AU608" s="22">
        <v>80000</v>
      </c>
      <c r="AV608" s="22">
        <v>30000</v>
      </c>
      <c r="AW608" s="22">
        <v>10000</v>
      </c>
      <c r="AX608" s="66">
        <v>0</v>
      </c>
      <c r="AZ608" s="15" t="s">
        <v>562</v>
      </c>
      <c r="BA608" s="249">
        <f t="shared" si="19"/>
        <v>26</v>
      </c>
      <c r="BB608" s="249">
        <v>0</v>
      </c>
      <c r="BC608" s="249">
        <f t="shared" si="18"/>
        <v>2000</v>
      </c>
    </row>
    <row r="609" spans="1:55" x14ac:dyDescent="0.25">
      <c r="A609" s="51" t="s">
        <v>1378</v>
      </c>
      <c r="B609" s="63" t="s">
        <v>1356</v>
      </c>
      <c r="C609" s="15" t="s">
        <v>337</v>
      </c>
      <c r="D609" s="15">
        <v>2000</v>
      </c>
      <c r="E609" s="15" t="s">
        <v>444</v>
      </c>
      <c r="F609" s="15"/>
      <c r="G609" s="15"/>
      <c r="H609" s="15"/>
      <c r="I609" s="15"/>
      <c r="J609" s="16">
        <v>1560000</v>
      </c>
      <c r="K609" s="15" t="s">
        <v>328</v>
      </c>
      <c r="L609" s="15"/>
      <c r="M609" s="15"/>
      <c r="N609" s="16">
        <v>10000</v>
      </c>
      <c r="O609" s="21">
        <v>0.2</v>
      </c>
      <c r="P609" s="15">
        <v>2</v>
      </c>
      <c r="Q609" s="15">
        <v>660</v>
      </c>
      <c r="R609" s="16">
        <v>2772</v>
      </c>
      <c r="S609" s="15" t="s">
        <v>340</v>
      </c>
      <c r="T609" s="15">
        <v>2.1</v>
      </c>
      <c r="U609" s="15">
        <v>2.2999999999999998</v>
      </c>
      <c r="V609" s="27">
        <v>4600</v>
      </c>
      <c r="W609" s="22">
        <v>64500</v>
      </c>
      <c r="X609" s="15"/>
      <c r="Y609" s="15"/>
      <c r="Z609" s="15"/>
      <c r="AA609" s="15"/>
      <c r="AB609" s="15" t="s">
        <v>328</v>
      </c>
      <c r="AC609" s="15"/>
      <c r="AD609" s="15" t="s">
        <v>328</v>
      </c>
      <c r="AE609" s="15" t="s">
        <v>328</v>
      </c>
      <c r="AF609" s="15"/>
      <c r="AG609" s="15" t="s">
        <v>328</v>
      </c>
      <c r="AH609" s="15" t="s">
        <v>328</v>
      </c>
      <c r="AI609" s="15" t="s">
        <v>328</v>
      </c>
      <c r="AJ609" s="15"/>
      <c r="AK609" s="15" t="s">
        <v>328</v>
      </c>
      <c r="AL609" s="15" t="s">
        <v>328</v>
      </c>
      <c r="AM609" s="15" t="s">
        <v>328</v>
      </c>
      <c r="AN609" s="16">
        <v>15000</v>
      </c>
      <c r="AO609" s="16">
        <v>25000</v>
      </c>
      <c r="AP609" s="16">
        <v>30000</v>
      </c>
      <c r="AQ609" s="16">
        <v>120000</v>
      </c>
      <c r="AR609" s="16">
        <v>25000</v>
      </c>
      <c r="AS609" s="22">
        <v>30000</v>
      </c>
      <c r="AT609" s="22">
        <v>0</v>
      </c>
      <c r="AU609" s="22">
        <v>80000</v>
      </c>
      <c r="AV609" s="22">
        <v>30000</v>
      </c>
      <c r="AW609" s="22">
        <v>10000</v>
      </c>
      <c r="AX609" s="66">
        <v>0</v>
      </c>
      <c r="AZ609" s="15" t="s">
        <v>562</v>
      </c>
      <c r="BA609" s="249">
        <f t="shared" si="19"/>
        <v>26</v>
      </c>
      <c r="BB609" s="249">
        <v>0</v>
      </c>
      <c r="BC609" s="249">
        <f t="shared" si="18"/>
        <v>2000</v>
      </c>
    </row>
    <row r="610" spans="1:55" x14ac:dyDescent="0.25">
      <c r="A610" s="51" t="s">
        <v>1378</v>
      </c>
      <c r="B610" s="63" t="s">
        <v>1356</v>
      </c>
      <c r="C610" s="15" t="s">
        <v>337</v>
      </c>
      <c r="D610" s="15">
        <v>2000</v>
      </c>
      <c r="E610" s="15" t="s">
        <v>456</v>
      </c>
      <c r="F610" s="15"/>
      <c r="G610" s="15"/>
      <c r="H610" s="15"/>
      <c r="I610" s="15"/>
      <c r="J610" s="16">
        <v>1560000</v>
      </c>
      <c r="K610" s="15" t="s">
        <v>328</v>
      </c>
      <c r="L610" s="15"/>
      <c r="M610" s="15"/>
      <c r="N610" s="16">
        <v>10000</v>
      </c>
      <c r="O610" s="21">
        <v>0.2</v>
      </c>
      <c r="P610" s="15">
        <v>3</v>
      </c>
      <c r="Q610" s="15">
        <v>1000</v>
      </c>
      <c r="R610" s="16">
        <v>6300</v>
      </c>
      <c r="S610" s="15" t="s">
        <v>340</v>
      </c>
      <c r="T610" s="15">
        <v>2.1</v>
      </c>
      <c r="U610" s="15">
        <v>2.2999999999999998</v>
      </c>
      <c r="V610" s="27">
        <v>4600</v>
      </c>
      <c r="W610" s="22">
        <v>64500</v>
      </c>
      <c r="X610" s="15"/>
      <c r="Y610" s="15"/>
      <c r="Z610" s="15"/>
      <c r="AA610" s="15"/>
      <c r="AB610" s="15" t="s">
        <v>328</v>
      </c>
      <c r="AC610" s="15"/>
      <c r="AD610" s="15" t="s">
        <v>328</v>
      </c>
      <c r="AE610" s="15" t="s">
        <v>328</v>
      </c>
      <c r="AF610" s="15"/>
      <c r="AG610" s="15" t="s">
        <v>328</v>
      </c>
      <c r="AH610" s="15" t="s">
        <v>328</v>
      </c>
      <c r="AI610" s="15" t="s">
        <v>328</v>
      </c>
      <c r="AJ610" s="15"/>
      <c r="AK610" s="15" t="s">
        <v>328</v>
      </c>
      <c r="AL610" s="15" t="s">
        <v>328</v>
      </c>
      <c r="AM610" s="15" t="s">
        <v>328</v>
      </c>
      <c r="AN610" s="16">
        <v>15000</v>
      </c>
      <c r="AO610" s="16">
        <v>25000</v>
      </c>
      <c r="AP610" s="16">
        <v>30000</v>
      </c>
      <c r="AQ610" s="16">
        <v>120000</v>
      </c>
      <c r="AR610" s="16">
        <v>25000</v>
      </c>
      <c r="AS610" s="22">
        <v>30000</v>
      </c>
      <c r="AT610" s="22">
        <v>0</v>
      </c>
      <c r="AU610" s="22">
        <v>80000</v>
      </c>
      <c r="AV610" s="22">
        <v>30000</v>
      </c>
      <c r="AW610" s="22">
        <v>10000</v>
      </c>
      <c r="AX610" s="66">
        <v>0</v>
      </c>
      <c r="AZ610" s="15" t="s">
        <v>562</v>
      </c>
      <c r="BA610" s="249">
        <f t="shared" si="19"/>
        <v>26</v>
      </c>
      <c r="BB610" s="249">
        <v>0</v>
      </c>
      <c r="BC610" s="249">
        <f t="shared" si="18"/>
        <v>2000</v>
      </c>
    </row>
    <row r="611" spans="1:55" x14ac:dyDescent="0.25">
      <c r="A611" s="51" t="s">
        <v>1378</v>
      </c>
      <c r="B611" s="63" t="s">
        <v>1356</v>
      </c>
      <c r="C611" s="15" t="s">
        <v>337</v>
      </c>
      <c r="D611" s="15">
        <v>2000</v>
      </c>
      <c r="E611" s="15" t="s">
        <v>456</v>
      </c>
      <c r="F611" s="15"/>
      <c r="G611" s="15"/>
      <c r="H611" s="15"/>
      <c r="I611" s="15"/>
      <c r="J611" s="16">
        <v>1560000</v>
      </c>
      <c r="K611" s="15" t="s">
        <v>328</v>
      </c>
      <c r="L611" s="15"/>
      <c r="M611" s="15"/>
      <c r="N611" s="16">
        <v>10000</v>
      </c>
      <c r="O611" s="21">
        <v>0.2</v>
      </c>
      <c r="P611" s="15">
        <v>3</v>
      </c>
      <c r="Q611" s="15">
        <v>1000</v>
      </c>
      <c r="R611" s="16">
        <v>6300</v>
      </c>
      <c r="S611" s="15" t="s">
        <v>340</v>
      </c>
      <c r="T611" s="15">
        <v>2.1</v>
      </c>
      <c r="U611" s="15">
        <v>2.2999999999999998</v>
      </c>
      <c r="V611" s="27">
        <v>4600</v>
      </c>
      <c r="W611" s="22">
        <v>64500</v>
      </c>
      <c r="X611" s="15"/>
      <c r="Y611" s="15"/>
      <c r="Z611" s="15"/>
      <c r="AA611" s="15"/>
      <c r="AB611" s="15" t="s">
        <v>328</v>
      </c>
      <c r="AC611" s="15"/>
      <c r="AD611" s="15" t="s">
        <v>328</v>
      </c>
      <c r="AE611" s="15" t="s">
        <v>328</v>
      </c>
      <c r="AF611" s="15"/>
      <c r="AG611" s="15" t="s">
        <v>328</v>
      </c>
      <c r="AH611" s="15" t="s">
        <v>328</v>
      </c>
      <c r="AI611" s="15" t="s">
        <v>328</v>
      </c>
      <c r="AJ611" s="15"/>
      <c r="AK611" s="15" t="s">
        <v>328</v>
      </c>
      <c r="AL611" s="15" t="s">
        <v>328</v>
      </c>
      <c r="AM611" s="15" t="s">
        <v>328</v>
      </c>
      <c r="AN611" s="16">
        <v>15000</v>
      </c>
      <c r="AO611" s="16">
        <v>25000</v>
      </c>
      <c r="AP611" s="16">
        <v>30000</v>
      </c>
      <c r="AQ611" s="16">
        <v>120000</v>
      </c>
      <c r="AR611" s="16">
        <v>25000</v>
      </c>
      <c r="AS611" s="22">
        <v>30000</v>
      </c>
      <c r="AT611" s="22">
        <v>0</v>
      </c>
      <c r="AU611" s="22">
        <v>80000</v>
      </c>
      <c r="AV611" s="22">
        <v>30000</v>
      </c>
      <c r="AW611" s="22">
        <v>10000</v>
      </c>
      <c r="AX611" s="66">
        <v>0</v>
      </c>
      <c r="AZ611" s="15" t="s">
        <v>562</v>
      </c>
      <c r="BA611" s="249">
        <f t="shared" si="19"/>
        <v>26</v>
      </c>
      <c r="BB611" s="249">
        <v>0</v>
      </c>
      <c r="BC611" s="249">
        <f t="shared" si="18"/>
        <v>2000</v>
      </c>
    </row>
    <row r="612" spans="1:55" x14ac:dyDescent="0.25">
      <c r="A612" s="51" t="s">
        <v>1378</v>
      </c>
      <c r="B612" s="63" t="s">
        <v>1356</v>
      </c>
      <c r="C612" s="15" t="s">
        <v>337</v>
      </c>
      <c r="D612" s="15">
        <v>2000</v>
      </c>
      <c r="E612" s="15" t="s">
        <v>456</v>
      </c>
      <c r="F612" s="15"/>
      <c r="G612" s="15"/>
      <c r="H612" s="15"/>
      <c r="I612" s="15"/>
      <c r="J612" s="16">
        <v>1560000</v>
      </c>
      <c r="K612" s="15" t="s">
        <v>328</v>
      </c>
      <c r="L612" s="15"/>
      <c r="M612" s="15"/>
      <c r="N612" s="16">
        <v>10000</v>
      </c>
      <c r="O612" s="21">
        <v>0.2</v>
      </c>
      <c r="P612" s="15">
        <v>3</v>
      </c>
      <c r="Q612" s="15">
        <v>1000</v>
      </c>
      <c r="R612" s="16">
        <v>6300</v>
      </c>
      <c r="S612" s="15" t="s">
        <v>340</v>
      </c>
      <c r="T612" s="15">
        <v>2.1</v>
      </c>
      <c r="U612" s="15">
        <v>2.2999999999999998</v>
      </c>
      <c r="V612" s="27">
        <v>4600</v>
      </c>
      <c r="W612" s="22">
        <v>64500</v>
      </c>
      <c r="X612" s="15"/>
      <c r="Y612" s="15"/>
      <c r="Z612" s="15"/>
      <c r="AA612" s="15"/>
      <c r="AB612" s="15" t="s">
        <v>328</v>
      </c>
      <c r="AC612" s="15"/>
      <c r="AD612" s="15" t="s">
        <v>328</v>
      </c>
      <c r="AE612" s="15" t="s">
        <v>328</v>
      </c>
      <c r="AF612" s="15"/>
      <c r="AG612" s="15" t="s">
        <v>328</v>
      </c>
      <c r="AH612" s="15" t="s">
        <v>328</v>
      </c>
      <c r="AI612" s="15" t="s">
        <v>328</v>
      </c>
      <c r="AJ612" s="15"/>
      <c r="AK612" s="15" t="s">
        <v>328</v>
      </c>
      <c r="AL612" s="15" t="s">
        <v>328</v>
      </c>
      <c r="AM612" s="15" t="s">
        <v>328</v>
      </c>
      <c r="AN612" s="16">
        <v>15000</v>
      </c>
      <c r="AO612" s="16">
        <v>25000</v>
      </c>
      <c r="AP612" s="16">
        <v>30000</v>
      </c>
      <c r="AQ612" s="16">
        <v>120000</v>
      </c>
      <c r="AR612" s="16">
        <v>25000</v>
      </c>
      <c r="AS612" s="22">
        <v>30000</v>
      </c>
      <c r="AT612" s="22">
        <v>0</v>
      </c>
      <c r="AU612" s="22">
        <v>80000</v>
      </c>
      <c r="AV612" s="22">
        <v>30000</v>
      </c>
      <c r="AW612" s="22">
        <v>10000</v>
      </c>
      <c r="AX612" s="66">
        <v>0</v>
      </c>
      <c r="AZ612" s="15" t="s">
        <v>562</v>
      </c>
      <c r="BA612" s="249">
        <f t="shared" si="19"/>
        <v>26</v>
      </c>
      <c r="BB612" s="249">
        <v>0</v>
      </c>
      <c r="BC612" s="249">
        <f t="shared" si="18"/>
        <v>2000</v>
      </c>
    </row>
    <row r="613" spans="1:55" x14ac:dyDescent="0.25">
      <c r="A613" s="51" t="s">
        <v>1378</v>
      </c>
      <c r="B613" s="63" t="s">
        <v>1356</v>
      </c>
      <c r="C613" s="15" t="s">
        <v>337</v>
      </c>
      <c r="D613" s="15">
        <v>2000</v>
      </c>
      <c r="E613" s="15" t="s">
        <v>456</v>
      </c>
      <c r="F613" s="15"/>
      <c r="G613" s="15"/>
      <c r="H613" s="15"/>
      <c r="I613" s="15"/>
      <c r="J613" s="16">
        <v>1560000</v>
      </c>
      <c r="K613" s="15" t="s">
        <v>328</v>
      </c>
      <c r="L613" s="15"/>
      <c r="M613" s="15"/>
      <c r="N613" s="16">
        <v>10000</v>
      </c>
      <c r="O613" s="21">
        <v>0.2</v>
      </c>
      <c r="P613" s="15">
        <v>3</v>
      </c>
      <c r="Q613" s="15">
        <v>1000</v>
      </c>
      <c r="R613" s="16">
        <v>6300</v>
      </c>
      <c r="S613" s="15" t="s">
        <v>340</v>
      </c>
      <c r="T613" s="15">
        <v>2.1</v>
      </c>
      <c r="U613" s="15">
        <v>2.2999999999999998</v>
      </c>
      <c r="V613" s="27">
        <v>4600</v>
      </c>
      <c r="W613" s="22">
        <v>64500</v>
      </c>
      <c r="X613" s="15"/>
      <c r="Y613" s="15"/>
      <c r="Z613" s="15"/>
      <c r="AA613" s="15"/>
      <c r="AB613" s="15" t="s">
        <v>328</v>
      </c>
      <c r="AC613" s="15"/>
      <c r="AD613" s="15" t="s">
        <v>328</v>
      </c>
      <c r="AE613" s="15" t="s">
        <v>328</v>
      </c>
      <c r="AF613" s="15"/>
      <c r="AG613" s="15" t="s">
        <v>328</v>
      </c>
      <c r="AH613" s="15" t="s">
        <v>328</v>
      </c>
      <c r="AI613" s="15" t="s">
        <v>328</v>
      </c>
      <c r="AJ613" s="15"/>
      <c r="AK613" s="15" t="s">
        <v>328</v>
      </c>
      <c r="AL613" s="15" t="s">
        <v>328</v>
      </c>
      <c r="AM613" s="15" t="s">
        <v>328</v>
      </c>
      <c r="AN613" s="16">
        <v>15000</v>
      </c>
      <c r="AO613" s="16">
        <v>25000</v>
      </c>
      <c r="AP613" s="16">
        <v>30000</v>
      </c>
      <c r="AQ613" s="16">
        <v>120000</v>
      </c>
      <c r="AR613" s="16">
        <v>25000</v>
      </c>
      <c r="AS613" s="22">
        <v>30000</v>
      </c>
      <c r="AT613" s="22">
        <v>0</v>
      </c>
      <c r="AU613" s="22">
        <v>80000</v>
      </c>
      <c r="AV613" s="22">
        <v>30000</v>
      </c>
      <c r="AW613" s="22">
        <v>10000</v>
      </c>
      <c r="AX613" s="66">
        <v>0</v>
      </c>
      <c r="AZ613" s="15" t="s">
        <v>562</v>
      </c>
      <c r="BA613" s="249">
        <f t="shared" si="19"/>
        <v>26</v>
      </c>
      <c r="BB613" s="249">
        <v>0</v>
      </c>
      <c r="BC613" s="249">
        <f t="shared" si="18"/>
        <v>2000</v>
      </c>
    </row>
    <row r="614" spans="1:55" x14ac:dyDescent="0.25">
      <c r="A614" s="51" t="s">
        <v>1378</v>
      </c>
      <c r="B614" s="63" t="s">
        <v>1356</v>
      </c>
      <c r="C614" s="15" t="s">
        <v>337</v>
      </c>
      <c r="D614" s="15">
        <v>2000</v>
      </c>
      <c r="E614" s="15" t="s">
        <v>456</v>
      </c>
      <c r="F614" s="15"/>
      <c r="G614" s="15"/>
      <c r="H614" s="15"/>
      <c r="I614" s="15"/>
      <c r="J614" s="16">
        <v>1560000</v>
      </c>
      <c r="K614" s="15" t="s">
        <v>328</v>
      </c>
      <c r="L614" s="15"/>
      <c r="M614" s="15"/>
      <c r="N614" s="16">
        <v>10000</v>
      </c>
      <c r="O614" s="21">
        <v>0.2</v>
      </c>
      <c r="P614" s="15">
        <v>3</v>
      </c>
      <c r="Q614" s="15">
        <v>1000</v>
      </c>
      <c r="R614" s="16">
        <v>6300</v>
      </c>
      <c r="S614" s="15" t="s">
        <v>340</v>
      </c>
      <c r="T614" s="15">
        <v>2.1</v>
      </c>
      <c r="U614" s="15">
        <v>2.2999999999999998</v>
      </c>
      <c r="V614" s="27">
        <v>4600</v>
      </c>
      <c r="W614" s="22">
        <v>64500</v>
      </c>
      <c r="X614" s="15"/>
      <c r="Y614" s="15" t="s">
        <v>328</v>
      </c>
      <c r="Z614" s="15"/>
      <c r="AA614" s="15"/>
      <c r="AB614" s="15"/>
      <c r="AC614" s="15"/>
      <c r="AD614" s="15" t="s">
        <v>328</v>
      </c>
      <c r="AE614" s="15" t="s">
        <v>328</v>
      </c>
      <c r="AF614" s="15"/>
      <c r="AG614" s="15" t="s">
        <v>328</v>
      </c>
      <c r="AH614" s="15" t="s">
        <v>328</v>
      </c>
      <c r="AI614" s="15" t="s">
        <v>328</v>
      </c>
      <c r="AJ614" s="15"/>
      <c r="AK614" s="15" t="s">
        <v>328</v>
      </c>
      <c r="AL614" s="15" t="s">
        <v>328</v>
      </c>
      <c r="AM614" s="15" t="s">
        <v>328</v>
      </c>
      <c r="AN614" s="16">
        <v>15000</v>
      </c>
      <c r="AO614" s="16">
        <v>25000</v>
      </c>
      <c r="AP614" s="16">
        <v>30000</v>
      </c>
      <c r="AQ614" s="16">
        <v>120000</v>
      </c>
      <c r="AR614" s="16">
        <v>25000</v>
      </c>
      <c r="AS614" s="22">
        <v>30000</v>
      </c>
      <c r="AT614" s="22">
        <v>0</v>
      </c>
      <c r="AU614" s="22">
        <v>80000</v>
      </c>
      <c r="AV614" s="22">
        <v>30000</v>
      </c>
      <c r="AW614" s="22">
        <v>10000</v>
      </c>
      <c r="AX614" s="66">
        <v>0</v>
      </c>
      <c r="AZ614" s="15" t="s">
        <v>562</v>
      </c>
      <c r="BA614" s="249">
        <f t="shared" si="19"/>
        <v>26</v>
      </c>
      <c r="BB614" s="249">
        <v>0</v>
      </c>
      <c r="BC614" s="249">
        <f t="shared" si="18"/>
        <v>2000</v>
      </c>
    </row>
    <row r="615" spans="1:55" x14ac:dyDescent="0.25">
      <c r="A615" s="51" t="s">
        <v>1378</v>
      </c>
      <c r="B615" s="63" t="s">
        <v>1356</v>
      </c>
      <c r="C615" s="15" t="s">
        <v>337</v>
      </c>
      <c r="D615" s="15">
        <v>2014</v>
      </c>
      <c r="E615" s="15" t="s">
        <v>456</v>
      </c>
      <c r="F615" s="15"/>
      <c r="G615" s="15"/>
      <c r="H615" s="15"/>
      <c r="I615" s="15"/>
      <c r="J615" s="16">
        <v>120000</v>
      </c>
      <c r="K615" s="15" t="s">
        <v>328</v>
      </c>
      <c r="L615" s="15"/>
      <c r="M615" s="15"/>
      <c r="N615" s="16">
        <v>10000</v>
      </c>
      <c r="O615" s="21">
        <v>0.2</v>
      </c>
      <c r="P615" s="15">
        <v>3</v>
      </c>
      <c r="Q615" s="15">
        <v>1000</v>
      </c>
      <c r="R615" s="16">
        <v>6300</v>
      </c>
      <c r="S615" s="15" t="s">
        <v>340</v>
      </c>
      <c r="T615" s="15">
        <v>2.1</v>
      </c>
      <c r="U615" s="15">
        <v>2.2999999999999998</v>
      </c>
      <c r="V615" s="27">
        <v>4600</v>
      </c>
      <c r="W615" s="22">
        <v>64500</v>
      </c>
      <c r="X615" s="15"/>
      <c r="Y615" s="15" t="s">
        <v>328</v>
      </c>
      <c r="Z615" s="15"/>
      <c r="AA615" s="15"/>
      <c r="AB615" s="15"/>
      <c r="AC615" s="15"/>
      <c r="AD615" s="15" t="s">
        <v>328</v>
      </c>
      <c r="AE615" s="15" t="s">
        <v>328</v>
      </c>
      <c r="AF615" s="15"/>
      <c r="AG615" s="15" t="s">
        <v>328</v>
      </c>
      <c r="AH615" s="15" t="s">
        <v>328</v>
      </c>
      <c r="AI615" s="15" t="s">
        <v>328</v>
      </c>
      <c r="AJ615" s="15"/>
      <c r="AK615" s="15" t="s">
        <v>328</v>
      </c>
      <c r="AL615" s="15" t="s">
        <v>328</v>
      </c>
      <c r="AM615" s="15" t="s">
        <v>328</v>
      </c>
      <c r="AN615" s="16">
        <v>15000</v>
      </c>
      <c r="AO615" s="16">
        <v>25000</v>
      </c>
      <c r="AP615" s="16">
        <v>30000</v>
      </c>
      <c r="AQ615" s="16">
        <v>120000</v>
      </c>
      <c r="AR615" s="16">
        <v>25000</v>
      </c>
      <c r="AS615" s="22">
        <v>30000</v>
      </c>
      <c r="AT615" s="22">
        <v>0</v>
      </c>
      <c r="AU615" s="22">
        <v>80000</v>
      </c>
      <c r="AV615" s="22">
        <v>30000</v>
      </c>
      <c r="AW615" s="22">
        <v>10000</v>
      </c>
      <c r="AX615" s="66">
        <v>0</v>
      </c>
      <c r="AZ615" s="15" t="s">
        <v>562</v>
      </c>
      <c r="BA615" s="249">
        <f t="shared" si="19"/>
        <v>26</v>
      </c>
      <c r="BB615" s="249">
        <v>0</v>
      </c>
      <c r="BC615" s="249">
        <f t="shared" si="18"/>
        <v>2014</v>
      </c>
    </row>
    <row r="616" spans="1:55" x14ac:dyDescent="0.25">
      <c r="A616" s="51" t="s">
        <v>1378</v>
      </c>
      <c r="B616" s="63" t="s">
        <v>1356</v>
      </c>
      <c r="C616" s="15" t="s">
        <v>337</v>
      </c>
      <c r="D616" s="15">
        <v>2014</v>
      </c>
      <c r="E616" s="15" t="s">
        <v>456</v>
      </c>
      <c r="F616" s="15"/>
      <c r="G616" s="15"/>
      <c r="H616" s="15"/>
      <c r="I616" s="15"/>
      <c r="J616" s="16">
        <v>120000</v>
      </c>
      <c r="K616" s="15" t="s">
        <v>328</v>
      </c>
      <c r="L616" s="15"/>
      <c r="M616" s="15"/>
      <c r="N616" s="16">
        <v>10000</v>
      </c>
      <c r="O616" s="21">
        <v>0.2</v>
      </c>
      <c r="P616" s="15">
        <v>3</v>
      </c>
      <c r="Q616" s="15">
        <v>1000</v>
      </c>
      <c r="R616" s="16">
        <v>6600.0000000000009</v>
      </c>
      <c r="S616" s="15" t="s">
        <v>340</v>
      </c>
      <c r="T616" s="15">
        <v>2.2000000000000002</v>
      </c>
      <c r="U616" s="15">
        <v>2.2999999999999998</v>
      </c>
      <c r="V616" s="27">
        <v>4500</v>
      </c>
      <c r="W616" s="22">
        <v>63000</v>
      </c>
      <c r="X616" s="15"/>
      <c r="Y616" s="15" t="s">
        <v>328</v>
      </c>
      <c r="Z616" s="15"/>
      <c r="AA616" s="15"/>
      <c r="AB616" s="15"/>
      <c r="AC616" s="15"/>
      <c r="AD616" s="15" t="s">
        <v>328</v>
      </c>
      <c r="AE616" s="15" t="s">
        <v>328</v>
      </c>
      <c r="AF616" s="15"/>
      <c r="AG616" s="15" t="s">
        <v>328</v>
      </c>
      <c r="AH616" s="15" t="s">
        <v>328</v>
      </c>
      <c r="AI616" s="15" t="s">
        <v>328</v>
      </c>
      <c r="AJ616" s="15"/>
      <c r="AK616" s="15" t="s">
        <v>328</v>
      </c>
      <c r="AL616" s="15" t="s">
        <v>328</v>
      </c>
      <c r="AM616" s="15" t="s">
        <v>328</v>
      </c>
      <c r="AN616" s="16">
        <v>15000</v>
      </c>
      <c r="AO616" s="16">
        <v>25000</v>
      </c>
      <c r="AP616" s="16">
        <v>30000</v>
      </c>
      <c r="AQ616" s="16">
        <v>120000</v>
      </c>
      <c r="AR616" s="16">
        <v>25000</v>
      </c>
      <c r="AS616" s="22">
        <v>30000</v>
      </c>
      <c r="AT616" s="22">
        <v>0</v>
      </c>
      <c r="AU616" s="22">
        <v>80000</v>
      </c>
      <c r="AV616" s="22">
        <v>30000</v>
      </c>
      <c r="AW616" s="22">
        <v>10000</v>
      </c>
      <c r="AX616" s="66">
        <v>0</v>
      </c>
      <c r="AZ616" s="15" t="s">
        <v>562</v>
      </c>
      <c r="BA616" s="249">
        <f t="shared" si="19"/>
        <v>26</v>
      </c>
      <c r="BB616" s="249">
        <v>0</v>
      </c>
      <c r="BC616" s="249">
        <f t="shared" si="18"/>
        <v>2014</v>
      </c>
    </row>
    <row r="617" spans="1:55" x14ac:dyDescent="0.25">
      <c r="A617" s="51" t="s">
        <v>1378</v>
      </c>
      <c r="B617" s="63" t="s">
        <v>1356</v>
      </c>
      <c r="C617" s="15" t="s">
        <v>337</v>
      </c>
      <c r="D617" s="15">
        <v>2014</v>
      </c>
      <c r="E617" s="15" t="s">
        <v>456</v>
      </c>
      <c r="F617" s="15"/>
      <c r="G617" s="15"/>
      <c r="H617" s="15"/>
      <c r="I617" s="15"/>
      <c r="J617" s="16">
        <v>120000</v>
      </c>
      <c r="K617" s="15" t="s">
        <v>328</v>
      </c>
      <c r="L617" s="15"/>
      <c r="M617" s="15"/>
      <c r="N617" s="16">
        <v>10000</v>
      </c>
      <c r="O617" s="21">
        <v>0.2</v>
      </c>
      <c r="P617" s="15">
        <v>3</v>
      </c>
      <c r="Q617" s="15">
        <v>1000</v>
      </c>
      <c r="R617" s="16">
        <v>6600.0000000000009</v>
      </c>
      <c r="S617" s="15" t="s">
        <v>340</v>
      </c>
      <c r="T617" s="15">
        <v>2.2000000000000002</v>
      </c>
      <c r="U617" s="15">
        <v>2.2999999999999998</v>
      </c>
      <c r="V617" s="27">
        <v>4500</v>
      </c>
      <c r="W617" s="22">
        <v>63000</v>
      </c>
      <c r="X617" s="15"/>
      <c r="Y617" s="15" t="s">
        <v>328</v>
      </c>
      <c r="Z617" s="15"/>
      <c r="AA617" s="15"/>
      <c r="AB617" s="15"/>
      <c r="AC617" s="15"/>
      <c r="AD617" s="15" t="s">
        <v>328</v>
      </c>
      <c r="AE617" s="15" t="s">
        <v>328</v>
      </c>
      <c r="AF617" s="15"/>
      <c r="AG617" s="15" t="s">
        <v>328</v>
      </c>
      <c r="AH617" s="15" t="s">
        <v>328</v>
      </c>
      <c r="AI617" s="15" t="s">
        <v>328</v>
      </c>
      <c r="AJ617" s="15"/>
      <c r="AK617" s="15" t="s">
        <v>328</v>
      </c>
      <c r="AL617" s="15" t="s">
        <v>328</v>
      </c>
      <c r="AM617" s="15" t="s">
        <v>328</v>
      </c>
      <c r="AN617" s="16">
        <v>15000</v>
      </c>
      <c r="AO617" s="16">
        <v>25000</v>
      </c>
      <c r="AP617" s="16">
        <v>30000</v>
      </c>
      <c r="AQ617" s="16">
        <v>120000</v>
      </c>
      <c r="AR617" s="16">
        <v>25000</v>
      </c>
      <c r="AS617" s="22">
        <v>30000</v>
      </c>
      <c r="AT617" s="22">
        <v>0</v>
      </c>
      <c r="AU617" s="22">
        <v>80000</v>
      </c>
      <c r="AV617" s="22">
        <v>30000</v>
      </c>
      <c r="AW617" s="22">
        <v>10000</v>
      </c>
      <c r="AX617" s="66">
        <v>0</v>
      </c>
      <c r="AZ617" s="15" t="s">
        <v>562</v>
      </c>
      <c r="BA617" s="249">
        <f t="shared" si="19"/>
        <v>26</v>
      </c>
      <c r="BB617" s="249">
        <v>0</v>
      </c>
      <c r="BC617" s="249">
        <f t="shared" si="18"/>
        <v>2014</v>
      </c>
    </row>
    <row r="618" spans="1:55" x14ac:dyDescent="0.25">
      <c r="A618" s="51" t="s">
        <v>1378</v>
      </c>
      <c r="B618" s="63" t="s">
        <v>1356</v>
      </c>
      <c r="C618" s="15" t="s">
        <v>337</v>
      </c>
      <c r="D618" s="15">
        <v>2014</v>
      </c>
      <c r="E618" s="15" t="s">
        <v>349</v>
      </c>
      <c r="F618" s="15"/>
      <c r="G618" s="15"/>
      <c r="H618" s="15"/>
      <c r="I618" s="15"/>
      <c r="J618" s="16">
        <v>120000</v>
      </c>
      <c r="K618" s="15" t="s">
        <v>328</v>
      </c>
      <c r="L618" s="15"/>
      <c r="M618" s="15"/>
      <c r="N618" s="16">
        <v>10000</v>
      </c>
      <c r="O618" s="21">
        <v>0.2</v>
      </c>
      <c r="P618" s="15">
        <v>3</v>
      </c>
      <c r="Q618" s="15">
        <v>1000</v>
      </c>
      <c r="R618" s="16">
        <v>6600.0000000000009</v>
      </c>
      <c r="S618" s="15" t="s">
        <v>340</v>
      </c>
      <c r="T618" s="15">
        <v>2.2000000000000002</v>
      </c>
      <c r="U618" s="15">
        <v>2.2999999999999998</v>
      </c>
      <c r="V618" s="27">
        <v>4500</v>
      </c>
      <c r="W618" s="22">
        <v>63000</v>
      </c>
      <c r="X618" s="15"/>
      <c r="Y618" s="15" t="s">
        <v>328</v>
      </c>
      <c r="Z618" s="15"/>
      <c r="AA618" s="15"/>
      <c r="AB618" s="15"/>
      <c r="AC618" s="15"/>
      <c r="AD618" s="15" t="s">
        <v>328</v>
      </c>
      <c r="AE618" s="15" t="s">
        <v>328</v>
      </c>
      <c r="AF618" s="15"/>
      <c r="AG618" s="15" t="s">
        <v>328</v>
      </c>
      <c r="AH618" s="15" t="s">
        <v>328</v>
      </c>
      <c r="AI618" s="15" t="s">
        <v>328</v>
      </c>
      <c r="AJ618" s="15"/>
      <c r="AK618" s="15" t="s">
        <v>328</v>
      </c>
      <c r="AL618" s="15" t="s">
        <v>328</v>
      </c>
      <c r="AM618" s="15" t="s">
        <v>328</v>
      </c>
      <c r="AN618" s="16">
        <v>15000</v>
      </c>
      <c r="AO618" s="16">
        <v>25000</v>
      </c>
      <c r="AP618" s="16">
        <v>30000</v>
      </c>
      <c r="AQ618" s="16">
        <v>120000</v>
      </c>
      <c r="AR618" s="16">
        <v>25000</v>
      </c>
      <c r="AS618" s="22">
        <v>30000</v>
      </c>
      <c r="AT618" s="22">
        <v>0</v>
      </c>
      <c r="AU618" s="22">
        <v>80000</v>
      </c>
      <c r="AV618" s="22">
        <v>30000</v>
      </c>
      <c r="AW618" s="22">
        <v>10000</v>
      </c>
      <c r="AX618" s="66">
        <v>0</v>
      </c>
      <c r="AZ618" s="15" t="s">
        <v>562</v>
      </c>
      <c r="BA618" s="249">
        <f t="shared" si="19"/>
        <v>26</v>
      </c>
      <c r="BB618" s="249">
        <v>0</v>
      </c>
      <c r="BC618" s="249">
        <f t="shared" si="18"/>
        <v>2014</v>
      </c>
    </row>
    <row r="619" spans="1:55" x14ac:dyDescent="0.25">
      <c r="A619" s="51" t="s">
        <v>1378</v>
      </c>
      <c r="B619" s="63" t="s">
        <v>1356</v>
      </c>
      <c r="C619" s="15" t="s">
        <v>337</v>
      </c>
      <c r="D619" s="15">
        <v>2014</v>
      </c>
      <c r="E619" s="15" t="s">
        <v>349</v>
      </c>
      <c r="F619" s="15"/>
      <c r="G619" s="15"/>
      <c r="H619" s="15"/>
      <c r="I619" s="15"/>
      <c r="J619" s="16">
        <v>120000</v>
      </c>
      <c r="K619" s="15" t="s">
        <v>328</v>
      </c>
      <c r="L619" s="15"/>
      <c r="M619" s="15"/>
      <c r="N619" s="16">
        <v>10000</v>
      </c>
      <c r="O619" s="21">
        <v>0.2</v>
      </c>
      <c r="P619" s="15">
        <v>3</v>
      </c>
      <c r="Q619" s="15">
        <v>1000</v>
      </c>
      <c r="R619" s="16">
        <v>6600.0000000000009</v>
      </c>
      <c r="S619" s="15" t="s">
        <v>340</v>
      </c>
      <c r="T619" s="15">
        <v>2.2000000000000002</v>
      </c>
      <c r="U619" s="15">
        <v>2.2999999999999998</v>
      </c>
      <c r="V619" s="27">
        <v>4500</v>
      </c>
      <c r="W619" s="22">
        <v>63000</v>
      </c>
      <c r="X619" s="15"/>
      <c r="Y619" s="15" t="s">
        <v>328</v>
      </c>
      <c r="Z619" s="15"/>
      <c r="AA619" s="15"/>
      <c r="AB619" s="15"/>
      <c r="AC619" s="15"/>
      <c r="AD619" s="15" t="s">
        <v>328</v>
      </c>
      <c r="AE619" s="15" t="s">
        <v>328</v>
      </c>
      <c r="AF619" s="15"/>
      <c r="AG619" s="15" t="s">
        <v>328</v>
      </c>
      <c r="AH619" s="15" t="s">
        <v>328</v>
      </c>
      <c r="AI619" s="15" t="s">
        <v>328</v>
      </c>
      <c r="AJ619" s="15"/>
      <c r="AK619" s="15" t="s">
        <v>328</v>
      </c>
      <c r="AL619" s="15" t="s">
        <v>328</v>
      </c>
      <c r="AM619" s="15" t="s">
        <v>328</v>
      </c>
      <c r="AN619" s="16">
        <v>15000</v>
      </c>
      <c r="AO619" s="16">
        <v>25000</v>
      </c>
      <c r="AP619" s="16">
        <v>30000</v>
      </c>
      <c r="AQ619" s="16">
        <v>120000</v>
      </c>
      <c r="AR619" s="16">
        <v>25000</v>
      </c>
      <c r="AS619" s="22">
        <v>30000</v>
      </c>
      <c r="AT619" s="22">
        <v>0</v>
      </c>
      <c r="AU619" s="22">
        <v>80000</v>
      </c>
      <c r="AV619" s="22">
        <v>30000</v>
      </c>
      <c r="AW619" s="22">
        <v>10000</v>
      </c>
      <c r="AX619" s="66">
        <v>0</v>
      </c>
      <c r="AZ619" s="15" t="s">
        <v>562</v>
      </c>
      <c r="BA619" s="249">
        <f t="shared" si="19"/>
        <v>26</v>
      </c>
      <c r="BB619" s="249">
        <v>0</v>
      </c>
      <c r="BC619" s="249">
        <f t="shared" si="18"/>
        <v>2014</v>
      </c>
    </row>
    <row r="620" spans="1:55" x14ac:dyDescent="0.25">
      <c r="A620" s="51" t="s">
        <v>1378</v>
      </c>
      <c r="B620" s="63" t="s">
        <v>1356</v>
      </c>
      <c r="C620" s="15" t="s">
        <v>337</v>
      </c>
      <c r="D620" s="15">
        <v>2014</v>
      </c>
      <c r="E620" s="15" t="s">
        <v>349</v>
      </c>
      <c r="F620" s="15"/>
      <c r="G620" s="15"/>
      <c r="H620" s="15"/>
      <c r="I620" s="15"/>
      <c r="J620" s="16">
        <v>120000</v>
      </c>
      <c r="K620" s="15" t="s">
        <v>328</v>
      </c>
      <c r="L620" s="15"/>
      <c r="M620" s="15"/>
      <c r="N620" s="16">
        <v>10000</v>
      </c>
      <c r="O620" s="21">
        <v>0.2</v>
      </c>
      <c r="P620" s="15">
        <v>3</v>
      </c>
      <c r="Q620" s="15">
        <v>1000</v>
      </c>
      <c r="R620" s="16">
        <v>6600.0000000000009</v>
      </c>
      <c r="S620" s="15" t="s">
        <v>340</v>
      </c>
      <c r="T620" s="15">
        <v>2.2000000000000002</v>
      </c>
      <c r="U620" s="15">
        <v>2.2999999999999998</v>
      </c>
      <c r="V620" s="27">
        <v>4500</v>
      </c>
      <c r="W620" s="22">
        <v>63000</v>
      </c>
      <c r="X620" s="15"/>
      <c r="Y620" s="15" t="s">
        <v>328</v>
      </c>
      <c r="Z620" s="15"/>
      <c r="AA620" s="15"/>
      <c r="AB620" s="15"/>
      <c r="AC620" s="15"/>
      <c r="AD620" s="15" t="s">
        <v>328</v>
      </c>
      <c r="AE620" s="15" t="s">
        <v>328</v>
      </c>
      <c r="AF620" s="15"/>
      <c r="AG620" s="15" t="s">
        <v>328</v>
      </c>
      <c r="AH620" s="15" t="s">
        <v>328</v>
      </c>
      <c r="AI620" s="15" t="s">
        <v>328</v>
      </c>
      <c r="AJ620" s="15"/>
      <c r="AK620" s="15" t="s">
        <v>328</v>
      </c>
      <c r="AL620" s="15" t="s">
        <v>328</v>
      </c>
      <c r="AM620" s="15" t="s">
        <v>328</v>
      </c>
      <c r="AN620" s="16">
        <v>15000</v>
      </c>
      <c r="AO620" s="16">
        <v>25000</v>
      </c>
      <c r="AP620" s="16">
        <v>30000</v>
      </c>
      <c r="AQ620" s="16">
        <v>120000</v>
      </c>
      <c r="AR620" s="16">
        <v>25000</v>
      </c>
      <c r="AS620" s="22">
        <v>30000</v>
      </c>
      <c r="AT620" s="22">
        <v>0</v>
      </c>
      <c r="AU620" s="22">
        <v>80000</v>
      </c>
      <c r="AV620" s="22">
        <v>30000</v>
      </c>
      <c r="AW620" s="22">
        <v>10000</v>
      </c>
      <c r="AX620" s="66">
        <v>0</v>
      </c>
      <c r="AZ620" s="15" t="s">
        <v>562</v>
      </c>
      <c r="BA620" s="249">
        <f t="shared" si="19"/>
        <v>26</v>
      </c>
      <c r="BB620" s="249">
        <v>0</v>
      </c>
      <c r="BC620" s="249">
        <f t="shared" si="18"/>
        <v>2014</v>
      </c>
    </row>
    <row r="621" spans="1:55" x14ac:dyDescent="0.25">
      <c r="A621" s="51" t="s">
        <v>1378</v>
      </c>
      <c r="B621" s="63" t="s">
        <v>1356</v>
      </c>
      <c r="C621" s="15" t="s">
        <v>337</v>
      </c>
      <c r="D621" s="15">
        <v>2014</v>
      </c>
      <c r="E621" s="15" t="s">
        <v>349</v>
      </c>
      <c r="F621" s="15"/>
      <c r="G621" s="15"/>
      <c r="H621" s="15"/>
      <c r="I621" s="15"/>
      <c r="J621" s="16">
        <v>120000</v>
      </c>
      <c r="K621" s="15" t="s">
        <v>328</v>
      </c>
      <c r="L621" s="15"/>
      <c r="M621" s="15"/>
      <c r="N621" s="16">
        <v>10000</v>
      </c>
      <c r="O621" s="21">
        <v>0.2</v>
      </c>
      <c r="P621" s="15">
        <v>3</v>
      </c>
      <c r="Q621" s="15">
        <v>1000</v>
      </c>
      <c r="R621" s="16">
        <v>6600.0000000000009</v>
      </c>
      <c r="S621" s="15" t="s">
        <v>340</v>
      </c>
      <c r="T621" s="15">
        <v>2.2000000000000002</v>
      </c>
      <c r="U621" s="15">
        <v>2.2999999999999998</v>
      </c>
      <c r="V621" s="27">
        <v>4500</v>
      </c>
      <c r="W621" s="22">
        <v>63000</v>
      </c>
      <c r="X621" s="15"/>
      <c r="Y621" s="15" t="s">
        <v>328</v>
      </c>
      <c r="Z621" s="15"/>
      <c r="AA621" s="15"/>
      <c r="AB621" s="15"/>
      <c r="AC621" s="15"/>
      <c r="AD621" s="15" t="s">
        <v>328</v>
      </c>
      <c r="AE621" s="15" t="s">
        <v>328</v>
      </c>
      <c r="AF621" s="15"/>
      <c r="AG621" s="15" t="s">
        <v>328</v>
      </c>
      <c r="AH621" s="15" t="s">
        <v>328</v>
      </c>
      <c r="AI621" s="15" t="s">
        <v>328</v>
      </c>
      <c r="AJ621" s="15"/>
      <c r="AK621" s="15" t="s">
        <v>328</v>
      </c>
      <c r="AL621" s="15" t="s">
        <v>328</v>
      </c>
      <c r="AM621" s="15" t="s">
        <v>328</v>
      </c>
      <c r="AN621" s="16">
        <v>15000</v>
      </c>
      <c r="AO621" s="16">
        <v>25000</v>
      </c>
      <c r="AP621" s="16">
        <v>30000</v>
      </c>
      <c r="AQ621" s="16">
        <v>120000</v>
      </c>
      <c r="AR621" s="16">
        <v>25000</v>
      </c>
      <c r="AS621" s="22">
        <v>30000</v>
      </c>
      <c r="AT621" s="22">
        <v>0</v>
      </c>
      <c r="AU621" s="22">
        <v>80000</v>
      </c>
      <c r="AV621" s="22">
        <v>30000</v>
      </c>
      <c r="AW621" s="22">
        <v>10000</v>
      </c>
      <c r="AX621" s="66">
        <v>0</v>
      </c>
      <c r="AZ621" s="15" t="s">
        <v>562</v>
      </c>
      <c r="BA621" s="249">
        <f t="shared" si="19"/>
        <v>26</v>
      </c>
      <c r="BB621" s="249">
        <v>0</v>
      </c>
      <c r="BC621" s="249">
        <f t="shared" si="18"/>
        <v>2014</v>
      </c>
    </row>
    <row r="622" spans="1:55" x14ac:dyDescent="0.25">
      <c r="A622" s="51" t="s">
        <v>1378</v>
      </c>
      <c r="B622" s="63" t="s">
        <v>1356</v>
      </c>
      <c r="C622" s="15" t="s">
        <v>337</v>
      </c>
      <c r="D622" s="15">
        <v>2014</v>
      </c>
      <c r="E622" s="15" t="s">
        <v>349</v>
      </c>
      <c r="F622" s="15"/>
      <c r="G622" s="15"/>
      <c r="H622" s="15"/>
      <c r="I622" s="15"/>
      <c r="J622" s="16">
        <v>120000</v>
      </c>
      <c r="K622" s="15" t="s">
        <v>328</v>
      </c>
      <c r="L622" s="15"/>
      <c r="M622" s="15"/>
      <c r="N622" s="16">
        <v>10000</v>
      </c>
      <c r="O622" s="21">
        <v>0.2</v>
      </c>
      <c r="P622" s="15">
        <v>3</v>
      </c>
      <c r="Q622" s="15">
        <v>1000</v>
      </c>
      <c r="R622" s="16">
        <v>6600.0000000000009</v>
      </c>
      <c r="S622" s="15" t="s">
        <v>340</v>
      </c>
      <c r="T622" s="15">
        <v>2.2000000000000002</v>
      </c>
      <c r="U622" s="15">
        <v>2.2999999999999998</v>
      </c>
      <c r="V622" s="27">
        <v>4500</v>
      </c>
      <c r="W622" s="22">
        <v>63000</v>
      </c>
      <c r="X622" s="15"/>
      <c r="Y622" s="15" t="s">
        <v>328</v>
      </c>
      <c r="Z622" s="15"/>
      <c r="AA622" s="15"/>
      <c r="AB622" s="15"/>
      <c r="AC622" s="15"/>
      <c r="AD622" s="15" t="s">
        <v>328</v>
      </c>
      <c r="AE622" s="15" t="s">
        <v>328</v>
      </c>
      <c r="AF622" s="15"/>
      <c r="AG622" s="15" t="s">
        <v>328</v>
      </c>
      <c r="AH622" s="15" t="s">
        <v>328</v>
      </c>
      <c r="AI622" s="15" t="s">
        <v>328</v>
      </c>
      <c r="AJ622" s="15"/>
      <c r="AK622" s="15" t="s">
        <v>328</v>
      </c>
      <c r="AL622" s="15" t="s">
        <v>328</v>
      </c>
      <c r="AM622" s="15" t="s">
        <v>328</v>
      </c>
      <c r="AN622" s="16">
        <v>15000</v>
      </c>
      <c r="AO622" s="16">
        <v>25000</v>
      </c>
      <c r="AP622" s="16">
        <v>30000</v>
      </c>
      <c r="AQ622" s="16">
        <v>120000</v>
      </c>
      <c r="AR622" s="16">
        <v>25000</v>
      </c>
      <c r="AS622" s="22">
        <v>30000</v>
      </c>
      <c r="AT622" s="22">
        <v>0</v>
      </c>
      <c r="AU622" s="22">
        <v>80000</v>
      </c>
      <c r="AV622" s="22">
        <v>30000</v>
      </c>
      <c r="AW622" s="22">
        <v>10000</v>
      </c>
      <c r="AX622" s="66">
        <v>0</v>
      </c>
      <c r="AZ622" s="15" t="s">
        <v>562</v>
      </c>
      <c r="BA622" s="249">
        <f t="shared" si="19"/>
        <v>26</v>
      </c>
      <c r="BB622" s="249">
        <v>0</v>
      </c>
      <c r="BC622" s="249">
        <f t="shared" si="18"/>
        <v>2014</v>
      </c>
    </row>
    <row r="623" spans="1:55" x14ac:dyDescent="0.25">
      <c r="A623" s="51" t="s">
        <v>1378</v>
      </c>
      <c r="B623" s="63" t="s">
        <v>1356</v>
      </c>
      <c r="C623" s="15" t="s">
        <v>337</v>
      </c>
      <c r="D623" s="15">
        <v>2014</v>
      </c>
      <c r="E623" s="15" t="s">
        <v>349</v>
      </c>
      <c r="F623" s="15"/>
      <c r="G623" s="15"/>
      <c r="H623" s="15"/>
      <c r="I623" s="15"/>
      <c r="J623" s="16">
        <v>120000</v>
      </c>
      <c r="K623" s="15" t="s">
        <v>328</v>
      </c>
      <c r="L623" s="15"/>
      <c r="M623" s="15"/>
      <c r="N623" s="16">
        <v>10000</v>
      </c>
      <c r="O623" s="21">
        <v>0.2</v>
      </c>
      <c r="P623" s="15">
        <v>3</v>
      </c>
      <c r="Q623" s="15">
        <v>1000</v>
      </c>
      <c r="R623" s="16">
        <v>6600.0000000000009</v>
      </c>
      <c r="S623" s="15" t="s">
        <v>340</v>
      </c>
      <c r="T623" s="15">
        <v>2.2000000000000002</v>
      </c>
      <c r="U623" s="15">
        <v>2.2999999999999998</v>
      </c>
      <c r="V623" s="27">
        <v>4500</v>
      </c>
      <c r="W623" s="22">
        <v>63000</v>
      </c>
      <c r="X623" s="15"/>
      <c r="Y623" s="15" t="s">
        <v>328</v>
      </c>
      <c r="Z623" s="15"/>
      <c r="AA623" s="15"/>
      <c r="AB623" s="15"/>
      <c r="AC623" s="15"/>
      <c r="AD623" s="15" t="s">
        <v>328</v>
      </c>
      <c r="AE623" s="15" t="s">
        <v>328</v>
      </c>
      <c r="AF623" s="15"/>
      <c r="AG623" s="15" t="s">
        <v>328</v>
      </c>
      <c r="AH623" s="15" t="s">
        <v>328</v>
      </c>
      <c r="AI623" s="15" t="s">
        <v>328</v>
      </c>
      <c r="AJ623" s="15"/>
      <c r="AK623" s="15" t="s">
        <v>328</v>
      </c>
      <c r="AL623" s="15" t="s">
        <v>328</v>
      </c>
      <c r="AM623" s="15" t="s">
        <v>328</v>
      </c>
      <c r="AN623" s="16">
        <v>15000</v>
      </c>
      <c r="AO623" s="16">
        <v>25000</v>
      </c>
      <c r="AP623" s="16">
        <v>30000</v>
      </c>
      <c r="AQ623" s="16">
        <v>120000</v>
      </c>
      <c r="AR623" s="16">
        <v>25000</v>
      </c>
      <c r="AS623" s="22">
        <v>30000</v>
      </c>
      <c r="AT623" s="22">
        <v>0</v>
      </c>
      <c r="AU623" s="22">
        <v>80000</v>
      </c>
      <c r="AV623" s="22">
        <v>30000</v>
      </c>
      <c r="AW623" s="22">
        <v>10000</v>
      </c>
      <c r="AX623" s="66">
        <v>0</v>
      </c>
      <c r="AZ623" s="15" t="s">
        <v>562</v>
      </c>
      <c r="BA623" s="249">
        <f t="shared" si="19"/>
        <v>26</v>
      </c>
      <c r="BB623" s="249">
        <v>0</v>
      </c>
      <c r="BC623" s="249">
        <f t="shared" si="18"/>
        <v>2014</v>
      </c>
    </row>
    <row r="624" spans="1:55" x14ac:dyDescent="0.25">
      <c r="A624" s="51" t="s">
        <v>1378</v>
      </c>
      <c r="B624" s="63" t="s">
        <v>1356</v>
      </c>
      <c r="C624" s="15" t="s">
        <v>337</v>
      </c>
      <c r="D624" s="15">
        <v>2014</v>
      </c>
      <c r="E624" s="15" t="s">
        <v>349</v>
      </c>
      <c r="F624" s="15"/>
      <c r="G624" s="15"/>
      <c r="H624" s="15"/>
      <c r="I624" s="15"/>
      <c r="J624" s="16">
        <v>120000</v>
      </c>
      <c r="K624" s="15" t="s">
        <v>328</v>
      </c>
      <c r="L624" s="15"/>
      <c r="M624" s="15"/>
      <c r="N624" s="16">
        <v>10000</v>
      </c>
      <c r="O624" s="21">
        <v>0.2</v>
      </c>
      <c r="P624" s="15">
        <v>3</v>
      </c>
      <c r="Q624" s="15">
        <v>1000</v>
      </c>
      <c r="R624" s="16">
        <v>6600.0000000000009</v>
      </c>
      <c r="S624" s="15" t="s">
        <v>340</v>
      </c>
      <c r="T624" s="15">
        <v>2.2000000000000002</v>
      </c>
      <c r="U624" s="15">
        <v>2.2999999999999998</v>
      </c>
      <c r="V624" s="27">
        <v>4500</v>
      </c>
      <c r="W624" s="22">
        <v>63000</v>
      </c>
      <c r="X624" s="15"/>
      <c r="Y624" s="15" t="s">
        <v>328</v>
      </c>
      <c r="Z624" s="15"/>
      <c r="AA624" s="15"/>
      <c r="AB624" s="15"/>
      <c r="AC624" s="15"/>
      <c r="AD624" s="15" t="s">
        <v>328</v>
      </c>
      <c r="AE624" s="15" t="s">
        <v>328</v>
      </c>
      <c r="AF624" s="15"/>
      <c r="AG624" s="15" t="s">
        <v>328</v>
      </c>
      <c r="AH624" s="15" t="s">
        <v>328</v>
      </c>
      <c r="AI624" s="15" t="s">
        <v>328</v>
      </c>
      <c r="AJ624" s="15"/>
      <c r="AK624" s="15" t="s">
        <v>328</v>
      </c>
      <c r="AL624" s="15" t="s">
        <v>328</v>
      </c>
      <c r="AM624" s="15" t="s">
        <v>328</v>
      </c>
      <c r="AN624" s="16">
        <v>15000</v>
      </c>
      <c r="AO624" s="16">
        <v>25000</v>
      </c>
      <c r="AP624" s="16">
        <v>30000</v>
      </c>
      <c r="AQ624" s="16">
        <v>120000</v>
      </c>
      <c r="AR624" s="16">
        <v>25000</v>
      </c>
      <c r="AS624" s="22">
        <v>30000</v>
      </c>
      <c r="AT624" s="22">
        <v>0</v>
      </c>
      <c r="AU624" s="22">
        <v>80000</v>
      </c>
      <c r="AV624" s="22">
        <v>30000</v>
      </c>
      <c r="AW624" s="22">
        <v>10000</v>
      </c>
      <c r="AX624" s="66">
        <v>0</v>
      </c>
      <c r="AZ624" s="15" t="s">
        <v>562</v>
      </c>
      <c r="BA624" s="249">
        <f t="shared" si="19"/>
        <v>26</v>
      </c>
      <c r="BB624" s="249">
        <v>0</v>
      </c>
      <c r="BC624" s="249">
        <f t="shared" si="18"/>
        <v>2014</v>
      </c>
    </row>
    <row r="625" spans="1:55" x14ac:dyDescent="0.25">
      <c r="A625" s="51" t="s">
        <v>1378</v>
      </c>
      <c r="B625" s="63" t="s">
        <v>1356</v>
      </c>
      <c r="C625" s="15" t="s">
        <v>337</v>
      </c>
      <c r="D625" s="15">
        <v>2014</v>
      </c>
      <c r="E625" s="15" t="s">
        <v>349</v>
      </c>
      <c r="F625" s="15"/>
      <c r="G625" s="15"/>
      <c r="H625" s="15"/>
      <c r="I625" s="15"/>
      <c r="J625" s="16">
        <v>120000</v>
      </c>
      <c r="K625" s="15" t="s">
        <v>328</v>
      </c>
      <c r="L625" s="15"/>
      <c r="M625" s="15"/>
      <c r="N625" s="16">
        <v>10000</v>
      </c>
      <c r="O625" s="21">
        <v>0.2</v>
      </c>
      <c r="P625" s="15">
        <v>3</v>
      </c>
      <c r="Q625" s="15">
        <v>1000</v>
      </c>
      <c r="R625" s="16">
        <v>6600.0000000000009</v>
      </c>
      <c r="S625" s="15" t="s">
        <v>340</v>
      </c>
      <c r="T625" s="15">
        <v>2.2000000000000002</v>
      </c>
      <c r="U625" s="15">
        <v>2.2999999999999998</v>
      </c>
      <c r="V625" s="27">
        <v>4500</v>
      </c>
      <c r="W625" s="22">
        <v>63000</v>
      </c>
      <c r="X625" s="15"/>
      <c r="Y625" s="15" t="s">
        <v>328</v>
      </c>
      <c r="Z625" s="15"/>
      <c r="AA625" s="15"/>
      <c r="AB625" s="15"/>
      <c r="AC625" s="15"/>
      <c r="AD625" s="15" t="s">
        <v>328</v>
      </c>
      <c r="AE625" s="15" t="s">
        <v>328</v>
      </c>
      <c r="AF625" s="15"/>
      <c r="AG625" s="15" t="s">
        <v>328</v>
      </c>
      <c r="AH625" s="15" t="s">
        <v>328</v>
      </c>
      <c r="AI625" s="15" t="s">
        <v>328</v>
      </c>
      <c r="AJ625" s="15"/>
      <c r="AK625" s="15" t="s">
        <v>328</v>
      </c>
      <c r="AL625" s="15" t="s">
        <v>328</v>
      </c>
      <c r="AM625" s="15" t="s">
        <v>328</v>
      </c>
      <c r="AN625" s="16">
        <v>15000</v>
      </c>
      <c r="AO625" s="16">
        <v>25000</v>
      </c>
      <c r="AP625" s="16">
        <v>30000</v>
      </c>
      <c r="AQ625" s="16">
        <v>120000</v>
      </c>
      <c r="AR625" s="16">
        <v>25000</v>
      </c>
      <c r="AS625" s="22">
        <v>30000</v>
      </c>
      <c r="AT625" s="22">
        <v>0</v>
      </c>
      <c r="AU625" s="22">
        <v>80000</v>
      </c>
      <c r="AV625" s="22">
        <v>30000</v>
      </c>
      <c r="AW625" s="22">
        <v>10000</v>
      </c>
      <c r="AX625" s="66">
        <v>0</v>
      </c>
      <c r="AZ625" s="15" t="s">
        <v>562</v>
      </c>
      <c r="BA625" s="249">
        <f t="shared" si="19"/>
        <v>26</v>
      </c>
      <c r="BB625" s="249">
        <v>0</v>
      </c>
      <c r="BC625" s="249">
        <f t="shared" si="18"/>
        <v>2014</v>
      </c>
    </row>
    <row r="626" spans="1:55" x14ac:dyDescent="0.25">
      <c r="A626" s="51" t="s">
        <v>1378</v>
      </c>
      <c r="B626" s="63" t="s">
        <v>1356</v>
      </c>
      <c r="C626" s="15" t="s">
        <v>337</v>
      </c>
      <c r="D626" s="15">
        <v>2014</v>
      </c>
      <c r="E626" s="15" t="s">
        <v>349</v>
      </c>
      <c r="F626" s="15"/>
      <c r="G626" s="15"/>
      <c r="H626" s="15"/>
      <c r="I626" s="15"/>
      <c r="J626" s="16">
        <v>120000</v>
      </c>
      <c r="K626" s="15" t="s">
        <v>328</v>
      </c>
      <c r="L626" s="15"/>
      <c r="M626" s="15"/>
      <c r="N626" s="16">
        <v>10000</v>
      </c>
      <c r="O626" s="21">
        <v>0.2</v>
      </c>
      <c r="P626" s="15">
        <v>3</v>
      </c>
      <c r="Q626" s="15">
        <v>1000</v>
      </c>
      <c r="R626" s="16">
        <v>6600.0000000000009</v>
      </c>
      <c r="S626" s="15" t="s">
        <v>340</v>
      </c>
      <c r="T626" s="15">
        <v>2.2000000000000002</v>
      </c>
      <c r="U626" s="15">
        <v>2.2999999999999998</v>
      </c>
      <c r="V626" s="27">
        <v>4500</v>
      </c>
      <c r="W626" s="22">
        <v>63000</v>
      </c>
      <c r="X626" s="15"/>
      <c r="Y626" s="15" t="s">
        <v>328</v>
      </c>
      <c r="Z626" s="15"/>
      <c r="AA626" s="15"/>
      <c r="AB626" s="15"/>
      <c r="AC626" s="15"/>
      <c r="AD626" s="15" t="s">
        <v>328</v>
      </c>
      <c r="AE626" s="15" t="s">
        <v>328</v>
      </c>
      <c r="AF626" s="15"/>
      <c r="AG626" s="15" t="s">
        <v>328</v>
      </c>
      <c r="AH626" s="15" t="s">
        <v>328</v>
      </c>
      <c r="AI626" s="15" t="s">
        <v>328</v>
      </c>
      <c r="AJ626" s="15"/>
      <c r="AK626" s="15" t="s">
        <v>328</v>
      </c>
      <c r="AL626" s="15" t="s">
        <v>328</v>
      </c>
      <c r="AM626" s="15" t="s">
        <v>328</v>
      </c>
      <c r="AN626" s="16">
        <v>15000</v>
      </c>
      <c r="AO626" s="16">
        <v>25000</v>
      </c>
      <c r="AP626" s="16">
        <v>30000</v>
      </c>
      <c r="AQ626" s="16">
        <v>120000</v>
      </c>
      <c r="AR626" s="16">
        <v>25000</v>
      </c>
      <c r="AS626" s="22">
        <v>30000</v>
      </c>
      <c r="AT626" s="22">
        <v>0</v>
      </c>
      <c r="AU626" s="22">
        <v>80000</v>
      </c>
      <c r="AV626" s="22">
        <v>30000</v>
      </c>
      <c r="AW626" s="22">
        <v>10000</v>
      </c>
      <c r="AX626" s="66">
        <v>0</v>
      </c>
      <c r="AZ626" s="15" t="s">
        <v>562</v>
      </c>
      <c r="BA626" s="249">
        <f t="shared" si="19"/>
        <v>26</v>
      </c>
      <c r="BB626" s="249">
        <v>0</v>
      </c>
      <c r="BC626" s="249">
        <f t="shared" si="18"/>
        <v>2014</v>
      </c>
    </row>
    <row r="627" spans="1:55" x14ac:dyDescent="0.25">
      <c r="A627" s="51" t="s">
        <v>1378</v>
      </c>
      <c r="B627" s="63" t="s">
        <v>1356</v>
      </c>
      <c r="C627" s="15" t="s">
        <v>337</v>
      </c>
      <c r="D627" s="15">
        <v>2014</v>
      </c>
      <c r="E627" s="15" t="s">
        <v>349</v>
      </c>
      <c r="F627" s="15"/>
      <c r="G627" s="15"/>
      <c r="H627" s="15"/>
      <c r="I627" s="15"/>
      <c r="J627" s="16">
        <v>120000</v>
      </c>
      <c r="K627" s="15" t="s">
        <v>328</v>
      </c>
      <c r="L627" s="15"/>
      <c r="M627" s="15"/>
      <c r="N627" s="16">
        <v>10000</v>
      </c>
      <c r="O627" s="21">
        <v>0.2</v>
      </c>
      <c r="P627" s="15">
        <v>3</v>
      </c>
      <c r="Q627" s="15">
        <v>1000</v>
      </c>
      <c r="R627" s="16">
        <v>6600.0000000000009</v>
      </c>
      <c r="S627" s="15" t="s">
        <v>340</v>
      </c>
      <c r="T627" s="15">
        <v>2.2000000000000002</v>
      </c>
      <c r="U627" s="15">
        <v>2.2999999999999998</v>
      </c>
      <c r="V627" s="27">
        <v>4500</v>
      </c>
      <c r="W627" s="22">
        <v>63000</v>
      </c>
      <c r="X627" s="15"/>
      <c r="Y627" s="15" t="s">
        <v>328</v>
      </c>
      <c r="Z627" s="15"/>
      <c r="AA627" s="15"/>
      <c r="AB627" s="15"/>
      <c r="AC627" s="15"/>
      <c r="AD627" s="15" t="s">
        <v>328</v>
      </c>
      <c r="AE627" s="15" t="s">
        <v>328</v>
      </c>
      <c r="AF627" s="15"/>
      <c r="AG627" s="15" t="s">
        <v>328</v>
      </c>
      <c r="AH627" s="15" t="s">
        <v>328</v>
      </c>
      <c r="AI627" s="15" t="s">
        <v>328</v>
      </c>
      <c r="AJ627" s="15"/>
      <c r="AK627" s="15" t="s">
        <v>328</v>
      </c>
      <c r="AL627" s="15" t="s">
        <v>328</v>
      </c>
      <c r="AM627" s="15" t="s">
        <v>328</v>
      </c>
      <c r="AN627" s="16">
        <v>15000</v>
      </c>
      <c r="AO627" s="16">
        <v>25000</v>
      </c>
      <c r="AP627" s="16">
        <v>30000</v>
      </c>
      <c r="AQ627" s="16">
        <v>120000</v>
      </c>
      <c r="AR627" s="16">
        <v>25000</v>
      </c>
      <c r="AS627" s="22">
        <v>30000</v>
      </c>
      <c r="AT627" s="22">
        <v>0</v>
      </c>
      <c r="AU627" s="22">
        <v>80000</v>
      </c>
      <c r="AV627" s="22">
        <v>30000</v>
      </c>
      <c r="AW627" s="22">
        <v>10000</v>
      </c>
      <c r="AX627" s="66">
        <v>0</v>
      </c>
      <c r="AZ627" s="15" t="s">
        <v>562</v>
      </c>
      <c r="BA627" s="249">
        <f t="shared" si="19"/>
        <v>26</v>
      </c>
      <c r="BB627" s="249">
        <v>0</v>
      </c>
      <c r="BC627" s="249">
        <f t="shared" si="18"/>
        <v>2014</v>
      </c>
    </row>
    <row r="628" spans="1:55" x14ac:dyDescent="0.25">
      <c r="A628" s="51" t="s">
        <v>1378</v>
      </c>
      <c r="B628" s="63" t="s">
        <v>1357</v>
      </c>
      <c r="C628" s="15" t="s">
        <v>337</v>
      </c>
      <c r="D628" s="15">
        <v>1978</v>
      </c>
      <c r="E628" s="15"/>
      <c r="F628" s="15"/>
      <c r="G628" s="15"/>
      <c r="H628" s="15">
        <v>1994</v>
      </c>
      <c r="I628" s="15" t="s">
        <v>374</v>
      </c>
      <c r="J628" s="16">
        <v>1200000</v>
      </c>
      <c r="K628" s="15"/>
      <c r="L628" s="15"/>
      <c r="M628" s="15" t="s">
        <v>328</v>
      </c>
      <c r="N628" s="16">
        <v>2000</v>
      </c>
      <c r="O628" s="21">
        <v>0.5</v>
      </c>
      <c r="P628" s="15">
        <v>1</v>
      </c>
      <c r="Q628" s="15">
        <v>380</v>
      </c>
      <c r="R628" s="16">
        <v>684</v>
      </c>
      <c r="S628" s="15" t="s">
        <v>340</v>
      </c>
      <c r="T628" s="15">
        <v>1.8</v>
      </c>
      <c r="U628" s="15">
        <v>2.1</v>
      </c>
      <c r="V628" s="27">
        <v>1300</v>
      </c>
      <c r="W628" s="22">
        <v>14500</v>
      </c>
      <c r="X628" s="15" t="s">
        <v>328</v>
      </c>
      <c r="Y628" s="15"/>
      <c r="Z628" s="15"/>
      <c r="AA628" s="15"/>
      <c r="AB628" s="15"/>
      <c r="AC628" s="15"/>
      <c r="AD628" s="15"/>
      <c r="AE628" s="15" t="s">
        <v>328</v>
      </c>
      <c r="AF628" s="15"/>
      <c r="AG628" s="15" t="s">
        <v>328</v>
      </c>
      <c r="AH628" s="15"/>
      <c r="AI628" s="15"/>
      <c r="AJ628" s="15"/>
      <c r="AK628" s="15"/>
      <c r="AL628" s="15" t="s">
        <v>328</v>
      </c>
      <c r="AM628" s="15"/>
      <c r="AN628" s="16">
        <v>20000</v>
      </c>
      <c r="AO628" s="16">
        <v>20000</v>
      </c>
      <c r="AP628" s="16">
        <v>20000</v>
      </c>
      <c r="AQ628" s="16">
        <v>130000</v>
      </c>
      <c r="AR628" s="16">
        <v>20000</v>
      </c>
      <c r="AS628" s="22">
        <v>90000</v>
      </c>
      <c r="AT628" s="22">
        <v>0</v>
      </c>
      <c r="AU628" s="22">
        <v>54000</v>
      </c>
      <c r="AV628" s="22">
        <v>15000</v>
      </c>
      <c r="AW628" s="22">
        <v>15000</v>
      </c>
      <c r="AX628" s="66">
        <v>0</v>
      </c>
      <c r="AZ628" s="15" t="s">
        <v>337</v>
      </c>
      <c r="BA628" s="249">
        <f t="shared" si="19"/>
        <v>4</v>
      </c>
      <c r="BB628" s="249">
        <v>0</v>
      </c>
      <c r="BC628" s="249">
        <f t="shared" si="18"/>
        <v>1994</v>
      </c>
    </row>
    <row r="629" spans="1:55" x14ac:dyDescent="0.25">
      <c r="A629" s="51" t="s">
        <v>1378</v>
      </c>
      <c r="B629" s="63" t="s">
        <v>1357</v>
      </c>
      <c r="C629" s="15" t="s">
        <v>337</v>
      </c>
      <c r="D629" s="15">
        <v>1997</v>
      </c>
      <c r="E629" s="14" t="s">
        <v>338</v>
      </c>
      <c r="F629" s="15"/>
      <c r="G629" s="15"/>
      <c r="H629" s="15"/>
      <c r="I629" s="15"/>
      <c r="J629" s="16">
        <v>768000</v>
      </c>
      <c r="K629" s="15"/>
      <c r="L629" s="15" t="s">
        <v>328</v>
      </c>
      <c r="M629" s="15"/>
      <c r="N629" s="16">
        <v>4000</v>
      </c>
      <c r="O629" s="21">
        <v>0.5</v>
      </c>
      <c r="P629" s="15">
        <v>3</v>
      </c>
      <c r="Q629" s="15">
        <v>450</v>
      </c>
      <c r="R629" s="16">
        <v>2970.0000000000005</v>
      </c>
      <c r="S629" s="15" t="s">
        <v>340</v>
      </c>
      <c r="T629" s="15">
        <v>2.2000000000000002</v>
      </c>
      <c r="U629" s="15">
        <v>2.8</v>
      </c>
      <c r="V629" s="27">
        <v>2000</v>
      </c>
      <c r="W629" s="22">
        <v>22500</v>
      </c>
      <c r="X629" s="15"/>
      <c r="Y629" s="15" t="s">
        <v>328</v>
      </c>
      <c r="Z629" s="15"/>
      <c r="AA629" s="15"/>
      <c r="AB629" s="15"/>
      <c r="AC629" s="15"/>
      <c r="AD629" s="15" t="s">
        <v>328</v>
      </c>
      <c r="AE629" s="15" t="s">
        <v>328</v>
      </c>
      <c r="AF629" s="15"/>
      <c r="AG629" s="15" t="s">
        <v>328</v>
      </c>
      <c r="AH629" s="15"/>
      <c r="AI629" s="15"/>
      <c r="AJ629" s="15"/>
      <c r="AK629" s="15"/>
      <c r="AL629" s="15" t="s">
        <v>328</v>
      </c>
      <c r="AM629" s="15"/>
      <c r="AN629" s="16">
        <v>20000</v>
      </c>
      <c r="AO629" s="16">
        <v>20000</v>
      </c>
      <c r="AP629" s="16">
        <v>20000</v>
      </c>
      <c r="AQ629" s="16">
        <v>130000</v>
      </c>
      <c r="AR629" s="16">
        <v>20000</v>
      </c>
      <c r="AS629" s="22">
        <v>90000</v>
      </c>
      <c r="AT629" s="22">
        <v>0</v>
      </c>
      <c r="AU629" s="22">
        <v>54000</v>
      </c>
      <c r="AV629" s="22">
        <v>15000</v>
      </c>
      <c r="AW629" s="22">
        <v>15000</v>
      </c>
      <c r="AX629" s="66">
        <v>0</v>
      </c>
      <c r="AZ629" s="15"/>
      <c r="BA629" s="249">
        <f t="shared" si="19"/>
        <v>4</v>
      </c>
      <c r="BB629" s="249">
        <v>0</v>
      </c>
      <c r="BC629" s="249">
        <f t="shared" si="18"/>
        <v>1997</v>
      </c>
    </row>
    <row r="630" spans="1:55" x14ac:dyDescent="0.25">
      <c r="A630" s="51" t="s">
        <v>1378</v>
      </c>
      <c r="B630" s="63" t="s">
        <v>1357</v>
      </c>
      <c r="C630" s="15" t="s">
        <v>337</v>
      </c>
      <c r="D630" s="15">
        <v>1999</v>
      </c>
      <c r="E630" s="15" t="s">
        <v>407</v>
      </c>
      <c r="F630" s="15"/>
      <c r="G630" s="15"/>
      <c r="H630" s="15"/>
      <c r="I630" s="15"/>
      <c r="J630" s="16">
        <v>537600</v>
      </c>
      <c r="K630" s="15"/>
      <c r="L630" s="15"/>
      <c r="M630" s="15" t="s">
        <v>328</v>
      </c>
      <c r="N630" s="16">
        <v>3200</v>
      </c>
      <c r="O630" s="21">
        <v>0.5</v>
      </c>
      <c r="P630" s="15">
        <v>2</v>
      </c>
      <c r="Q630" s="15">
        <v>900</v>
      </c>
      <c r="R630" s="16">
        <v>3600</v>
      </c>
      <c r="S630" s="15" t="s">
        <v>340</v>
      </c>
      <c r="T630" s="15">
        <v>2</v>
      </c>
      <c r="U630" s="15">
        <v>2.2999999999999998</v>
      </c>
      <c r="V630" s="27">
        <v>2000</v>
      </c>
      <c r="W630" s="22">
        <v>22500</v>
      </c>
      <c r="X630" s="15"/>
      <c r="Y630" s="15"/>
      <c r="Z630" s="15"/>
      <c r="AA630" s="15"/>
      <c r="AB630" s="15" t="s">
        <v>328</v>
      </c>
      <c r="AC630" s="15"/>
      <c r="AD630" s="15" t="s">
        <v>328</v>
      </c>
      <c r="AE630" s="15" t="s">
        <v>328</v>
      </c>
      <c r="AF630" s="15"/>
      <c r="AG630" s="15" t="s">
        <v>328</v>
      </c>
      <c r="AH630" s="15"/>
      <c r="AI630" s="15"/>
      <c r="AJ630" s="15"/>
      <c r="AK630" s="15"/>
      <c r="AL630" s="15" t="s">
        <v>328</v>
      </c>
      <c r="AM630" s="15"/>
      <c r="AN630" s="16">
        <v>20000</v>
      </c>
      <c r="AO630" s="16">
        <v>20000</v>
      </c>
      <c r="AP630" s="16">
        <v>20000</v>
      </c>
      <c r="AQ630" s="16">
        <v>130000</v>
      </c>
      <c r="AR630" s="16">
        <v>20000</v>
      </c>
      <c r="AS630" s="22">
        <v>90000</v>
      </c>
      <c r="AT630" s="22">
        <v>0</v>
      </c>
      <c r="AU630" s="22">
        <v>54000</v>
      </c>
      <c r="AV630" s="22">
        <v>15000</v>
      </c>
      <c r="AW630" s="22">
        <v>15000</v>
      </c>
      <c r="AX630" s="66">
        <v>0</v>
      </c>
      <c r="AY630" s="17" t="s">
        <v>576</v>
      </c>
      <c r="AZ630" s="15" t="s">
        <v>561</v>
      </c>
      <c r="BA630" s="249">
        <f t="shared" si="19"/>
        <v>4</v>
      </c>
      <c r="BB630" s="249">
        <v>0</v>
      </c>
      <c r="BC630" s="249">
        <f t="shared" si="18"/>
        <v>1999</v>
      </c>
    </row>
    <row r="631" spans="1:55" x14ac:dyDescent="0.25">
      <c r="A631" s="51" t="s">
        <v>1378</v>
      </c>
      <c r="B631" s="63" t="s">
        <v>1357</v>
      </c>
      <c r="C631" s="15" t="s">
        <v>337</v>
      </c>
      <c r="D631" s="15">
        <v>2001</v>
      </c>
      <c r="E631" s="15" t="s">
        <v>407</v>
      </c>
      <c r="F631" s="15"/>
      <c r="G631" s="15"/>
      <c r="H631" s="15"/>
      <c r="I631" s="15"/>
      <c r="J631" s="16">
        <v>816766</v>
      </c>
      <c r="K631" s="15"/>
      <c r="L631" s="15" t="s">
        <v>328</v>
      </c>
      <c r="M631" s="15"/>
      <c r="N631" s="16">
        <v>7000</v>
      </c>
      <c r="O631" s="21">
        <v>0.2</v>
      </c>
      <c r="P631" s="15">
        <v>2</v>
      </c>
      <c r="Q631" s="15">
        <v>950</v>
      </c>
      <c r="R631" s="16">
        <v>4560</v>
      </c>
      <c r="S631" s="15" t="s">
        <v>340</v>
      </c>
      <c r="T631" s="15">
        <v>2.4</v>
      </c>
      <c r="U631" s="15">
        <v>2.7</v>
      </c>
      <c r="V631" s="27">
        <v>3100</v>
      </c>
      <c r="W631" s="22">
        <v>44000</v>
      </c>
      <c r="X631" s="15"/>
      <c r="Y631" s="15"/>
      <c r="Z631" s="15"/>
      <c r="AA631" s="15"/>
      <c r="AB631" s="15" t="s">
        <v>328</v>
      </c>
      <c r="AC631" s="15"/>
      <c r="AD631" s="15" t="s">
        <v>328</v>
      </c>
      <c r="AE631" s="15" t="s">
        <v>328</v>
      </c>
      <c r="AF631" s="15"/>
      <c r="AG631" s="15" t="s">
        <v>328</v>
      </c>
      <c r="AH631" s="15"/>
      <c r="AI631" s="15"/>
      <c r="AJ631" s="15"/>
      <c r="AK631" s="15"/>
      <c r="AL631" s="15" t="s">
        <v>328</v>
      </c>
      <c r="AM631" s="15"/>
      <c r="AN631" s="16">
        <v>20000</v>
      </c>
      <c r="AO631" s="16">
        <v>20000</v>
      </c>
      <c r="AP631" s="16">
        <v>20000</v>
      </c>
      <c r="AQ631" s="16">
        <v>130000</v>
      </c>
      <c r="AR631" s="16">
        <v>20000</v>
      </c>
      <c r="AS631" s="22">
        <v>90000</v>
      </c>
      <c r="AT631" s="22">
        <v>0</v>
      </c>
      <c r="AU631" s="22">
        <v>54000</v>
      </c>
      <c r="AV631" s="22">
        <v>15000</v>
      </c>
      <c r="AW631" s="22">
        <v>15000</v>
      </c>
      <c r="AX631" s="66">
        <v>0</v>
      </c>
      <c r="AY631" s="17" t="s">
        <v>708</v>
      </c>
      <c r="AZ631" s="15" t="s">
        <v>562</v>
      </c>
      <c r="BA631" s="249">
        <f t="shared" si="19"/>
        <v>4</v>
      </c>
      <c r="BB631" s="249">
        <v>0</v>
      </c>
      <c r="BC631" s="249">
        <f t="shared" si="18"/>
        <v>2001</v>
      </c>
    </row>
    <row r="632" spans="1:55" x14ac:dyDescent="0.25">
      <c r="A632" s="51" t="s">
        <v>1378</v>
      </c>
      <c r="B632" s="65" t="s">
        <v>1358</v>
      </c>
      <c r="C632" s="15" t="s">
        <v>337</v>
      </c>
      <c r="D632" s="15">
        <v>1997</v>
      </c>
      <c r="E632" s="15" t="s">
        <v>456</v>
      </c>
      <c r="F632" s="15"/>
      <c r="G632" s="15"/>
      <c r="H632" s="15"/>
      <c r="I632" s="15"/>
      <c r="J632" s="16">
        <v>1440000</v>
      </c>
      <c r="K632" s="15"/>
      <c r="L632" s="15" t="s">
        <v>328</v>
      </c>
      <c r="M632" s="15"/>
      <c r="N632" s="16">
        <v>7500</v>
      </c>
      <c r="O632" s="21">
        <v>0.3</v>
      </c>
      <c r="P632" s="15">
        <v>2</v>
      </c>
      <c r="Q632" s="15">
        <v>550</v>
      </c>
      <c r="R632" s="16">
        <v>2200</v>
      </c>
      <c r="S632" s="15" t="s">
        <v>340</v>
      </c>
      <c r="T632" s="15">
        <v>2</v>
      </c>
      <c r="U632" s="15">
        <v>2.2000000000000002</v>
      </c>
      <c r="V632" s="27">
        <v>3400</v>
      </c>
      <c r="W632" s="22">
        <v>48000</v>
      </c>
      <c r="X632" s="15"/>
      <c r="Y632" s="15" t="s">
        <v>328</v>
      </c>
      <c r="Z632" s="15"/>
      <c r="AA632" s="15"/>
      <c r="AB632" s="15"/>
      <c r="AC632" s="15"/>
      <c r="AD632" s="15" t="s">
        <v>328</v>
      </c>
      <c r="AE632" s="15"/>
      <c r="AF632" s="15"/>
      <c r="AG632" s="15" t="s">
        <v>328</v>
      </c>
      <c r="AH632" s="15"/>
      <c r="AI632" s="15"/>
      <c r="AJ632" s="15"/>
      <c r="AK632" s="15"/>
      <c r="AL632" s="15" t="s">
        <v>328</v>
      </c>
      <c r="AM632" s="15"/>
      <c r="AN632" s="16">
        <v>15000</v>
      </c>
      <c r="AO632" s="16">
        <v>20000</v>
      </c>
      <c r="AP632" s="16">
        <v>30000</v>
      </c>
      <c r="AQ632" s="16">
        <v>120000</v>
      </c>
      <c r="AR632" s="16">
        <v>30000</v>
      </c>
      <c r="AS632" s="22">
        <v>90000</v>
      </c>
      <c r="AT632" s="22">
        <v>0</v>
      </c>
      <c r="AU632" s="22">
        <v>60000</v>
      </c>
      <c r="AV632" s="22">
        <v>24000</v>
      </c>
      <c r="AW632" s="22">
        <v>10000</v>
      </c>
      <c r="AX632" s="66">
        <v>0</v>
      </c>
      <c r="AZ632" s="15" t="s">
        <v>561</v>
      </c>
      <c r="BA632" s="249">
        <f t="shared" si="19"/>
        <v>5</v>
      </c>
      <c r="BB632" s="249">
        <v>0</v>
      </c>
      <c r="BC632" s="249">
        <f t="shared" si="18"/>
        <v>1997</v>
      </c>
    </row>
    <row r="633" spans="1:55" x14ac:dyDescent="0.25">
      <c r="A633" s="51" t="s">
        <v>1378</v>
      </c>
      <c r="B633" s="65" t="s">
        <v>1358</v>
      </c>
      <c r="C633" s="15" t="s">
        <v>337</v>
      </c>
      <c r="D633" s="15">
        <v>1997</v>
      </c>
      <c r="E633" s="15" t="s">
        <v>456</v>
      </c>
      <c r="F633" s="15"/>
      <c r="G633" s="15"/>
      <c r="H633" s="15"/>
      <c r="I633" s="15"/>
      <c r="J633" s="16">
        <v>1440000</v>
      </c>
      <c r="K633" s="15"/>
      <c r="L633" s="15" t="s">
        <v>328</v>
      </c>
      <c r="M633" s="15"/>
      <c r="N633" s="16">
        <v>7500</v>
      </c>
      <c r="O633" s="21">
        <v>0.3</v>
      </c>
      <c r="P633" s="15">
        <v>2</v>
      </c>
      <c r="Q633" s="15">
        <v>550</v>
      </c>
      <c r="R633" s="16">
        <v>2200</v>
      </c>
      <c r="S633" s="15" t="s">
        <v>340</v>
      </c>
      <c r="T633" s="15">
        <v>2</v>
      </c>
      <c r="U633" s="15">
        <v>2.2000000000000002</v>
      </c>
      <c r="V633" s="27">
        <v>3400</v>
      </c>
      <c r="W633" s="22">
        <v>48000</v>
      </c>
      <c r="X633" s="15"/>
      <c r="Y633" s="15" t="s">
        <v>328</v>
      </c>
      <c r="Z633" s="15"/>
      <c r="AA633" s="15"/>
      <c r="AB633" s="15"/>
      <c r="AC633" s="15"/>
      <c r="AD633" s="15" t="s">
        <v>328</v>
      </c>
      <c r="AE633" s="15"/>
      <c r="AF633" s="15"/>
      <c r="AG633" s="15" t="s">
        <v>328</v>
      </c>
      <c r="AH633" s="15"/>
      <c r="AI633" s="15"/>
      <c r="AJ633" s="15"/>
      <c r="AK633" s="15"/>
      <c r="AL633" s="15" t="s">
        <v>328</v>
      </c>
      <c r="AM633" s="15"/>
      <c r="AN633" s="16">
        <v>15000</v>
      </c>
      <c r="AO633" s="16">
        <v>20000</v>
      </c>
      <c r="AP633" s="16">
        <v>30000</v>
      </c>
      <c r="AQ633" s="16">
        <v>120000</v>
      </c>
      <c r="AR633" s="16">
        <v>30000</v>
      </c>
      <c r="AS633" s="22">
        <v>90000</v>
      </c>
      <c r="AT633" s="22">
        <v>0</v>
      </c>
      <c r="AU633" s="22">
        <v>60000</v>
      </c>
      <c r="AV633" s="22">
        <v>24000</v>
      </c>
      <c r="AW633" s="22">
        <v>10000</v>
      </c>
      <c r="AX633" s="66">
        <v>0</v>
      </c>
      <c r="AZ633" s="15" t="s">
        <v>561</v>
      </c>
      <c r="BA633" s="249">
        <f t="shared" si="19"/>
        <v>5</v>
      </c>
      <c r="BB633" s="249">
        <v>0</v>
      </c>
      <c r="BC633" s="249">
        <f t="shared" si="18"/>
        <v>1997</v>
      </c>
    </row>
    <row r="634" spans="1:55" x14ac:dyDescent="0.25">
      <c r="A634" s="51" t="s">
        <v>1378</v>
      </c>
      <c r="B634" s="65" t="s">
        <v>1358</v>
      </c>
      <c r="C634" s="15" t="s">
        <v>337</v>
      </c>
      <c r="D634" s="15">
        <v>1988</v>
      </c>
      <c r="E634" s="15" t="s">
        <v>349</v>
      </c>
      <c r="F634" s="15"/>
      <c r="G634" s="15"/>
      <c r="H634" s="15"/>
      <c r="I634" s="15"/>
      <c r="J634" s="16">
        <v>1500000</v>
      </c>
      <c r="K634" s="15"/>
      <c r="L634" s="15" t="s">
        <v>328</v>
      </c>
      <c r="M634" s="15"/>
      <c r="N634" s="16">
        <v>7500</v>
      </c>
      <c r="O634" s="21">
        <v>0.1</v>
      </c>
      <c r="P634" s="15">
        <v>2</v>
      </c>
      <c r="Q634" s="15">
        <v>550</v>
      </c>
      <c r="R634" s="16">
        <v>2420</v>
      </c>
      <c r="S634" s="15" t="s">
        <v>340</v>
      </c>
      <c r="T634" s="15">
        <v>2.2000000000000002</v>
      </c>
      <c r="U634" s="15">
        <v>2.8</v>
      </c>
      <c r="V634" s="27">
        <v>3000</v>
      </c>
      <c r="W634" s="22">
        <v>42000</v>
      </c>
      <c r="X634" s="15"/>
      <c r="Y634" s="15" t="s">
        <v>328</v>
      </c>
      <c r="Z634" s="15"/>
      <c r="AA634" s="15"/>
      <c r="AB634" s="15"/>
      <c r="AC634" s="15"/>
      <c r="AD634" s="15" t="s">
        <v>328</v>
      </c>
      <c r="AE634" s="15"/>
      <c r="AF634" s="15"/>
      <c r="AG634" s="15" t="s">
        <v>328</v>
      </c>
      <c r="AH634" s="15"/>
      <c r="AI634" s="15"/>
      <c r="AJ634" s="15"/>
      <c r="AK634" s="15"/>
      <c r="AL634" s="15" t="s">
        <v>328</v>
      </c>
      <c r="AM634" s="15"/>
      <c r="AN634" s="16">
        <v>15000</v>
      </c>
      <c r="AO634" s="16">
        <v>20000</v>
      </c>
      <c r="AP634" s="16">
        <v>30000</v>
      </c>
      <c r="AQ634" s="16">
        <v>120000</v>
      </c>
      <c r="AR634" s="16">
        <v>30000</v>
      </c>
      <c r="AS634" s="22">
        <v>90000</v>
      </c>
      <c r="AT634" s="22">
        <v>0</v>
      </c>
      <c r="AU634" s="22">
        <v>60000</v>
      </c>
      <c r="AV634" s="22">
        <v>24000</v>
      </c>
      <c r="AW634" s="22">
        <v>10000</v>
      </c>
      <c r="AX634" s="66">
        <v>0</v>
      </c>
      <c r="AZ634" s="15" t="s">
        <v>562</v>
      </c>
      <c r="BA634" s="249">
        <f t="shared" si="19"/>
        <v>5</v>
      </c>
      <c r="BB634" s="249">
        <v>0</v>
      </c>
      <c r="BC634" s="249">
        <f t="shared" si="18"/>
        <v>1988</v>
      </c>
    </row>
    <row r="635" spans="1:55" x14ac:dyDescent="0.25">
      <c r="A635" s="51" t="s">
        <v>1378</v>
      </c>
      <c r="B635" s="65" t="s">
        <v>1358</v>
      </c>
      <c r="C635" s="15" t="s">
        <v>337</v>
      </c>
      <c r="D635" s="15">
        <v>1988</v>
      </c>
      <c r="E635" s="15" t="s">
        <v>349</v>
      </c>
      <c r="F635" s="15"/>
      <c r="G635" s="15"/>
      <c r="H635" s="15"/>
      <c r="I635" s="15"/>
      <c r="J635" s="16">
        <v>1500000</v>
      </c>
      <c r="K635" s="15"/>
      <c r="L635" s="15" t="s">
        <v>328</v>
      </c>
      <c r="M635" s="15"/>
      <c r="N635" s="16">
        <v>7500</v>
      </c>
      <c r="O635" s="21">
        <v>0.1</v>
      </c>
      <c r="P635" s="15">
        <v>2</v>
      </c>
      <c r="Q635" s="15">
        <v>550</v>
      </c>
      <c r="R635" s="16">
        <v>2420</v>
      </c>
      <c r="S635" s="15" t="s">
        <v>340</v>
      </c>
      <c r="T635" s="15">
        <v>2.2000000000000002</v>
      </c>
      <c r="U635" s="15">
        <v>2.8</v>
      </c>
      <c r="V635" s="27">
        <v>3000</v>
      </c>
      <c r="W635" s="22">
        <v>42000</v>
      </c>
      <c r="X635" s="15"/>
      <c r="Y635" s="15" t="s">
        <v>328</v>
      </c>
      <c r="Z635" s="15"/>
      <c r="AA635" s="15"/>
      <c r="AB635" s="15"/>
      <c r="AC635" s="15"/>
      <c r="AD635" s="15" t="s">
        <v>328</v>
      </c>
      <c r="AE635" s="15"/>
      <c r="AF635" s="15"/>
      <c r="AG635" s="15" t="s">
        <v>328</v>
      </c>
      <c r="AH635" s="15"/>
      <c r="AI635" s="15"/>
      <c r="AJ635" s="15"/>
      <c r="AK635" s="15"/>
      <c r="AL635" s="15" t="s">
        <v>328</v>
      </c>
      <c r="AM635" s="15"/>
      <c r="AN635" s="16">
        <v>15000</v>
      </c>
      <c r="AO635" s="16">
        <v>20000</v>
      </c>
      <c r="AP635" s="16">
        <v>30000</v>
      </c>
      <c r="AQ635" s="16">
        <v>120000</v>
      </c>
      <c r="AR635" s="16">
        <v>30000</v>
      </c>
      <c r="AS635" s="22">
        <v>90000</v>
      </c>
      <c r="AT635" s="22">
        <v>0</v>
      </c>
      <c r="AU635" s="22">
        <v>60000</v>
      </c>
      <c r="AV635" s="22">
        <v>24000</v>
      </c>
      <c r="AW635" s="22">
        <v>10000</v>
      </c>
      <c r="AX635" s="66">
        <v>0</v>
      </c>
      <c r="AZ635" s="15" t="s">
        <v>562</v>
      </c>
      <c r="BA635" s="249">
        <f t="shared" si="19"/>
        <v>5</v>
      </c>
      <c r="BB635" s="249">
        <v>0</v>
      </c>
      <c r="BC635" s="249">
        <f t="shared" si="18"/>
        <v>1988</v>
      </c>
    </row>
    <row r="636" spans="1:55" x14ac:dyDescent="0.25">
      <c r="A636" s="51" t="s">
        <v>1378</v>
      </c>
      <c r="B636" s="65" t="s">
        <v>1358</v>
      </c>
      <c r="C636" s="15" t="s">
        <v>337</v>
      </c>
      <c r="D636" s="15">
        <v>1995</v>
      </c>
      <c r="E636" s="15" t="s">
        <v>349</v>
      </c>
      <c r="F636" s="15"/>
      <c r="G636" s="15"/>
      <c r="H636" s="15"/>
      <c r="I636" s="15"/>
      <c r="J636" s="16">
        <v>1300000</v>
      </c>
      <c r="K636" s="15"/>
      <c r="L636" s="15" t="s">
        <v>328</v>
      </c>
      <c r="M636" s="15"/>
      <c r="N636" s="16">
        <v>7500</v>
      </c>
      <c r="O636" s="21">
        <v>0.5</v>
      </c>
      <c r="P636" s="15">
        <v>2</v>
      </c>
      <c r="Q636" s="15">
        <v>580</v>
      </c>
      <c r="R636" s="16">
        <v>2552</v>
      </c>
      <c r="S636" s="15" t="s">
        <v>340</v>
      </c>
      <c r="T636" s="15">
        <v>2.2000000000000002</v>
      </c>
      <c r="U636" s="15">
        <v>2.8</v>
      </c>
      <c r="V636" s="27">
        <v>3000</v>
      </c>
      <c r="W636" s="22">
        <v>42000</v>
      </c>
      <c r="X636" s="15"/>
      <c r="Y636" s="15" t="s">
        <v>328</v>
      </c>
      <c r="Z636" s="15"/>
      <c r="AA636" s="15"/>
      <c r="AB636" s="15"/>
      <c r="AC636" s="15"/>
      <c r="AD636" s="15" t="s">
        <v>328</v>
      </c>
      <c r="AE636" s="15" t="s">
        <v>328</v>
      </c>
      <c r="AF636" s="15"/>
      <c r="AG636" s="15" t="s">
        <v>328</v>
      </c>
      <c r="AH636" s="15"/>
      <c r="AI636" s="15"/>
      <c r="AJ636" s="15"/>
      <c r="AK636" s="15"/>
      <c r="AL636" s="15" t="s">
        <v>328</v>
      </c>
      <c r="AM636" s="15"/>
      <c r="AN636" s="16">
        <v>15000</v>
      </c>
      <c r="AO636" s="16">
        <v>20000</v>
      </c>
      <c r="AP636" s="16">
        <v>30000</v>
      </c>
      <c r="AQ636" s="16">
        <v>120000</v>
      </c>
      <c r="AR636" s="16">
        <v>30000</v>
      </c>
      <c r="AS636" s="22">
        <v>90000</v>
      </c>
      <c r="AT636" s="22">
        <v>0</v>
      </c>
      <c r="AU636" s="22">
        <v>60000</v>
      </c>
      <c r="AV636" s="22">
        <v>24000</v>
      </c>
      <c r="AW636" s="22">
        <v>10000</v>
      </c>
      <c r="AX636" s="66">
        <v>0</v>
      </c>
      <c r="AZ636" s="15"/>
      <c r="BA636" s="249">
        <f t="shared" si="19"/>
        <v>5</v>
      </c>
      <c r="BB636" s="249">
        <v>0</v>
      </c>
      <c r="BC636" s="249">
        <f t="shared" si="18"/>
        <v>1995</v>
      </c>
    </row>
    <row r="637" spans="1:55" x14ac:dyDescent="0.25">
      <c r="A637" s="51" t="s">
        <v>1378</v>
      </c>
      <c r="B637" s="63" t="s">
        <v>1359</v>
      </c>
      <c r="C637" s="15" t="s">
        <v>337</v>
      </c>
      <c r="D637" s="15">
        <v>2003</v>
      </c>
      <c r="E637" s="15" t="s">
        <v>407</v>
      </c>
      <c r="F637" s="15"/>
      <c r="G637" s="15"/>
      <c r="H637" s="15"/>
      <c r="I637" s="15"/>
      <c r="J637" s="16">
        <v>1200000</v>
      </c>
      <c r="K637" s="15" t="s">
        <v>328</v>
      </c>
      <c r="L637" s="15"/>
      <c r="M637" s="15"/>
      <c r="N637" s="16">
        <v>10000</v>
      </c>
      <c r="O637" s="21">
        <v>0.35</v>
      </c>
      <c r="P637" s="15">
        <v>2</v>
      </c>
      <c r="Q637" s="15">
        <v>550</v>
      </c>
      <c r="R637" s="16">
        <v>2200</v>
      </c>
      <c r="S637" s="15" t="s">
        <v>340</v>
      </c>
      <c r="T637" s="15">
        <v>2</v>
      </c>
      <c r="U637" s="15">
        <v>2.8</v>
      </c>
      <c r="V637" s="27">
        <v>4000</v>
      </c>
      <c r="W637" s="22">
        <v>57000</v>
      </c>
      <c r="X637" s="15"/>
      <c r="Y637" s="15"/>
      <c r="Z637" s="15"/>
      <c r="AA637" s="15"/>
      <c r="AB637" s="15" t="s">
        <v>328</v>
      </c>
      <c r="AC637" s="15"/>
      <c r="AD637" s="15" t="s">
        <v>328</v>
      </c>
      <c r="AE637" s="15" t="s">
        <v>328</v>
      </c>
      <c r="AF637" s="15"/>
      <c r="AG637" s="15" t="s">
        <v>328</v>
      </c>
      <c r="AH637" s="15" t="s">
        <v>328</v>
      </c>
      <c r="AI637" s="15" t="s">
        <v>328</v>
      </c>
      <c r="AJ637" s="15"/>
      <c r="AK637" s="15"/>
      <c r="AL637" s="15" t="s">
        <v>328</v>
      </c>
      <c r="AM637" s="15" t="s">
        <v>328</v>
      </c>
      <c r="AN637" s="16">
        <v>25000</v>
      </c>
      <c r="AO637" s="16">
        <v>40000</v>
      </c>
      <c r="AP637" s="16">
        <v>40000</v>
      </c>
      <c r="AQ637" s="16">
        <v>150000</v>
      </c>
      <c r="AR637" s="16">
        <v>40000</v>
      </c>
      <c r="AS637" s="22">
        <v>96000</v>
      </c>
      <c r="AT637" s="22">
        <v>0</v>
      </c>
      <c r="AU637" s="22">
        <v>64000</v>
      </c>
      <c r="AV637" s="22">
        <v>20000</v>
      </c>
      <c r="AW637" s="22">
        <v>8000</v>
      </c>
      <c r="AX637" s="66">
        <v>0</v>
      </c>
      <c r="AZ637" s="15" t="s">
        <v>337</v>
      </c>
      <c r="BA637" s="249">
        <f t="shared" si="19"/>
        <v>5</v>
      </c>
      <c r="BB637" s="249">
        <v>0</v>
      </c>
      <c r="BC637" s="249">
        <f t="shared" si="18"/>
        <v>2003</v>
      </c>
    </row>
    <row r="638" spans="1:55" x14ac:dyDescent="0.25">
      <c r="A638" s="51" t="s">
        <v>1378</v>
      </c>
      <c r="B638" s="63" t="s">
        <v>1359</v>
      </c>
      <c r="C638" s="15" t="s">
        <v>337</v>
      </c>
      <c r="D638" s="15">
        <v>2003</v>
      </c>
      <c r="E638" s="15" t="s">
        <v>407</v>
      </c>
      <c r="F638" s="15"/>
      <c r="G638" s="15"/>
      <c r="H638" s="15"/>
      <c r="I638" s="15"/>
      <c r="J638" s="16">
        <v>1200000</v>
      </c>
      <c r="K638" s="15" t="s">
        <v>328</v>
      </c>
      <c r="L638" s="15"/>
      <c r="M638" s="15"/>
      <c r="N638" s="16">
        <v>10000</v>
      </c>
      <c r="O638" s="21">
        <v>0.35</v>
      </c>
      <c r="P638" s="15">
        <v>2</v>
      </c>
      <c r="Q638" s="15">
        <v>550</v>
      </c>
      <c r="R638" s="16">
        <v>2200</v>
      </c>
      <c r="S638" s="15" t="s">
        <v>340</v>
      </c>
      <c r="T638" s="15">
        <v>2</v>
      </c>
      <c r="U638" s="15">
        <v>2.8</v>
      </c>
      <c r="V638" s="27">
        <v>4000</v>
      </c>
      <c r="W638" s="22">
        <v>57000</v>
      </c>
      <c r="X638" s="15"/>
      <c r="Y638" s="15"/>
      <c r="Z638" s="15"/>
      <c r="AA638" s="15"/>
      <c r="AB638" s="15" t="s">
        <v>328</v>
      </c>
      <c r="AC638" s="15"/>
      <c r="AD638" s="15" t="s">
        <v>328</v>
      </c>
      <c r="AE638" s="15" t="s">
        <v>328</v>
      </c>
      <c r="AF638" s="15"/>
      <c r="AG638" s="15" t="s">
        <v>328</v>
      </c>
      <c r="AH638" s="15" t="s">
        <v>328</v>
      </c>
      <c r="AI638" s="15" t="s">
        <v>328</v>
      </c>
      <c r="AJ638" s="15"/>
      <c r="AK638" s="15"/>
      <c r="AL638" s="15" t="s">
        <v>328</v>
      </c>
      <c r="AM638" s="15" t="s">
        <v>328</v>
      </c>
      <c r="AN638" s="16">
        <v>25000</v>
      </c>
      <c r="AO638" s="16">
        <v>40000</v>
      </c>
      <c r="AP638" s="16">
        <v>40000</v>
      </c>
      <c r="AQ638" s="16">
        <v>150000</v>
      </c>
      <c r="AR638" s="16">
        <v>40000</v>
      </c>
      <c r="AS638" s="22">
        <v>96000</v>
      </c>
      <c r="AT638" s="22">
        <v>0</v>
      </c>
      <c r="AU638" s="22">
        <v>64000</v>
      </c>
      <c r="AV638" s="22">
        <v>20000</v>
      </c>
      <c r="AW638" s="22">
        <v>8000</v>
      </c>
      <c r="AX638" s="66">
        <v>0</v>
      </c>
      <c r="AZ638" s="15" t="s">
        <v>337</v>
      </c>
      <c r="BA638" s="249">
        <f t="shared" si="19"/>
        <v>5</v>
      </c>
      <c r="BB638" s="249">
        <v>0</v>
      </c>
      <c r="BC638" s="249">
        <f t="shared" si="18"/>
        <v>2003</v>
      </c>
    </row>
    <row r="639" spans="1:55" x14ac:dyDescent="0.25">
      <c r="A639" s="51" t="s">
        <v>1378</v>
      </c>
      <c r="B639" s="63" t="s">
        <v>1359</v>
      </c>
      <c r="C639" s="15" t="s">
        <v>337</v>
      </c>
      <c r="D639" s="15">
        <v>2003</v>
      </c>
      <c r="E639" s="15" t="s">
        <v>407</v>
      </c>
      <c r="F639" s="15"/>
      <c r="G639" s="15"/>
      <c r="H639" s="15"/>
      <c r="I639" s="15"/>
      <c r="J639" s="16">
        <v>1200000</v>
      </c>
      <c r="K639" s="15" t="s">
        <v>328</v>
      </c>
      <c r="L639" s="15"/>
      <c r="M639" s="15"/>
      <c r="N639" s="16">
        <v>10000</v>
      </c>
      <c r="O639" s="21">
        <v>0.35</v>
      </c>
      <c r="P639" s="15">
        <v>2</v>
      </c>
      <c r="Q639" s="15">
        <v>550</v>
      </c>
      <c r="R639" s="16">
        <v>2200</v>
      </c>
      <c r="S639" s="15" t="s">
        <v>340</v>
      </c>
      <c r="T639" s="15">
        <v>2</v>
      </c>
      <c r="U639" s="15">
        <v>2.8</v>
      </c>
      <c r="V639" s="27">
        <v>4000</v>
      </c>
      <c r="W639" s="22">
        <v>57000</v>
      </c>
      <c r="X639" s="15"/>
      <c r="Y639" s="15"/>
      <c r="Z639" s="15"/>
      <c r="AA639" s="15"/>
      <c r="AB639" s="15" t="s">
        <v>328</v>
      </c>
      <c r="AC639" s="15"/>
      <c r="AD639" s="15" t="s">
        <v>328</v>
      </c>
      <c r="AE639" s="15" t="s">
        <v>328</v>
      </c>
      <c r="AF639" s="15"/>
      <c r="AG639" s="15" t="s">
        <v>328</v>
      </c>
      <c r="AH639" s="15" t="s">
        <v>328</v>
      </c>
      <c r="AI639" s="15" t="s">
        <v>328</v>
      </c>
      <c r="AJ639" s="15"/>
      <c r="AK639" s="15"/>
      <c r="AL639" s="15" t="s">
        <v>328</v>
      </c>
      <c r="AM639" s="15" t="s">
        <v>328</v>
      </c>
      <c r="AN639" s="16">
        <v>25000</v>
      </c>
      <c r="AO639" s="16">
        <v>40000</v>
      </c>
      <c r="AP639" s="16">
        <v>40000</v>
      </c>
      <c r="AQ639" s="16">
        <v>150000</v>
      </c>
      <c r="AR639" s="16">
        <v>40000</v>
      </c>
      <c r="AS639" s="22">
        <v>96000</v>
      </c>
      <c r="AT639" s="22">
        <v>0</v>
      </c>
      <c r="AU639" s="22">
        <v>64000</v>
      </c>
      <c r="AV639" s="22">
        <v>20000</v>
      </c>
      <c r="AW639" s="22">
        <v>8000</v>
      </c>
      <c r="AX639" s="66">
        <v>0</v>
      </c>
      <c r="AZ639" s="15" t="s">
        <v>337</v>
      </c>
      <c r="BA639" s="249">
        <f t="shared" si="19"/>
        <v>5</v>
      </c>
      <c r="BB639" s="249">
        <v>0</v>
      </c>
      <c r="BC639" s="249">
        <f t="shared" si="18"/>
        <v>2003</v>
      </c>
    </row>
    <row r="640" spans="1:55" x14ac:dyDescent="0.25">
      <c r="A640" s="51" t="s">
        <v>1378</v>
      </c>
      <c r="B640" s="63" t="s">
        <v>1359</v>
      </c>
      <c r="C640" s="15" t="s">
        <v>337</v>
      </c>
      <c r="D640" s="15">
        <v>2014</v>
      </c>
      <c r="E640" s="15" t="s">
        <v>407</v>
      </c>
      <c r="F640" s="15"/>
      <c r="G640" s="15"/>
      <c r="H640" s="15"/>
      <c r="I640" s="15"/>
      <c r="J640" s="16">
        <v>120000</v>
      </c>
      <c r="K640" s="15" t="s">
        <v>328</v>
      </c>
      <c r="L640" s="15"/>
      <c r="M640" s="15"/>
      <c r="N640" s="16">
        <v>10000</v>
      </c>
      <c r="O640" s="21">
        <v>0.35</v>
      </c>
      <c r="P640" s="15">
        <v>2</v>
      </c>
      <c r="Q640" s="15">
        <v>550</v>
      </c>
      <c r="R640" s="16">
        <v>2200</v>
      </c>
      <c r="S640" s="15" t="s">
        <v>340</v>
      </c>
      <c r="T640" s="15">
        <v>2</v>
      </c>
      <c r="U640" s="15">
        <v>2.8</v>
      </c>
      <c r="V640" s="27">
        <v>4000</v>
      </c>
      <c r="W640" s="22">
        <v>57000</v>
      </c>
      <c r="X640" s="15"/>
      <c r="Y640" s="15"/>
      <c r="Z640" s="15"/>
      <c r="AA640" s="15"/>
      <c r="AB640" s="15"/>
      <c r="AC640" s="15" t="s">
        <v>328</v>
      </c>
      <c r="AD640" s="15" t="s">
        <v>328</v>
      </c>
      <c r="AE640" s="15" t="s">
        <v>328</v>
      </c>
      <c r="AF640" s="15" t="s">
        <v>328</v>
      </c>
      <c r="AG640" s="15" t="s">
        <v>328</v>
      </c>
      <c r="AH640" s="15" t="s">
        <v>328</v>
      </c>
      <c r="AI640" s="15" t="s">
        <v>328</v>
      </c>
      <c r="AJ640" s="15"/>
      <c r="AK640" s="15"/>
      <c r="AL640" s="15" t="s">
        <v>328</v>
      </c>
      <c r="AM640" s="15" t="s">
        <v>328</v>
      </c>
      <c r="AN640" s="16">
        <v>25000</v>
      </c>
      <c r="AO640" s="16">
        <v>40000</v>
      </c>
      <c r="AP640" s="16">
        <v>40000</v>
      </c>
      <c r="AQ640" s="16">
        <v>150000</v>
      </c>
      <c r="AR640" s="16">
        <v>40000</v>
      </c>
      <c r="AS640" s="22">
        <v>96000</v>
      </c>
      <c r="AT640" s="22">
        <v>0</v>
      </c>
      <c r="AU640" s="22">
        <v>64000</v>
      </c>
      <c r="AV640" s="22">
        <v>10000</v>
      </c>
      <c r="AW640" s="22">
        <v>8000</v>
      </c>
      <c r="AX640" s="66">
        <v>0</v>
      </c>
      <c r="AZ640" s="15" t="s">
        <v>337</v>
      </c>
      <c r="BA640" s="249">
        <f t="shared" si="19"/>
        <v>5</v>
      </c>
      <c r="BB640" s="249">
        <v>0</v>
      </c>
      <c r="BC640" s="249">
        <f t="shared" si="18"/>
        <v>2014</v>
      </c>
    </row>
    <row r="641" spans="1:55" x14ac:dyDescent="0.25">
      <c r="A641" s="51" t="s">
        <v>1378</v>
      </c>
      <c r="B641" s="63" t="s">
        <v>1359</v>
      </c>
      <c r="C641" s="15" t="s">
        <v>337</v>
      </c>
      <c r="D641" s="15">
        <v>2014</v>
      </c>
      <c r="E641" s="15" t="s">
        <v>407</v>
      </c>
      <c r="F641" s="15"/>
      <c r="G641" s="15"/>
      <c r="H641" s="15"/>
      <c r="I641" s="15"/>
      <c r="J641" s="16">
        <v>120000</v>
      </c>
      <c r="K641" s="15" t="s">
        <v>328</v>
      </c>
      <c r="L641" s="15"/>
      <c r="M641" s="15"/>
      <c r="N641" s="16">
        <v>10000</v>
      </c>
      <c r="O641" s="21">
        <v>0.35</v>
      </c>
      <c r="P641" s="15">
        <v>2</v>
      </c>
      <c r="Q641" s="15">
        <v>550</v>
      </c>
      <c r="R641" s="16">
        <v>2200</v>
      </c>
      <c r="S641" s="15" t="s">
        <v>340</v>
      </c>
      <c r="T641" s="15">
        <v>2</v>
      </c>
      <c r="U641" s="15">
        <v>2.8</v>
      </c>
      <c r="V641" s="27">
        <v>4000</v>
      </c>
      <c r="W641" s="22">
        <v>57000</v>
      </c>
      <c r="X641" s="15"/>
      <c r="Y641" s="15"/>
      <c r="Z641" s="15"/>
      <c r="AA641" s="15"/>
      <c r="AB641" s="15"/>
      <c r="AC641" s="15" t="s">
        <v>328</v>
      </c>
      <c r="AD641" s="15" t="s">
        <v>328</v>
      </c>
      <c r="AE641" s="15" t="s">
        <v>328</v>
      </c>
      <c r="AF641" s="15" t="s">
        <v>328</v>
      </c>
      <c r="AG641" s="15" t="s">
        <v>328</v>
      </c>
      <c r="AH641" s="15" t="s">
        <v>328</v>
      </c>
      <c r="AI641" s="15" t="s">
        <v>328</v>
      </c>
      <c r="AJ641" s="15"/>
      <c r="AK641" s="15"/>
      <c r="AL641" s="15" t="s">
        <v>328</v>
      </c>
      <c r="AM641" s="15" t="s">
        <v>328</v>
      </c>
      <c r="AN641" s="16">
        <v>25000</v>
      </c>
      <c r="AO641" s="16">
        <v>40000</v>
      </c>
      <c r="AP641" s="16">
        <v>40000</v>
      </c>
      <c r="AQ641" s="16">
        <v>150000</v>
      </c>
      <c r="AR641" s="16">
        <v>40000</v>
      </c>
      <c r="AS641" s="22">
        <v>96000</v>
      </c>
      <c r="AT641" s="22">
        <v>0</v>
      </c>
      <c r="AU641" s="22">
        <v>64000</v>
      </c>
      <c r="AV641" s="22">
        <v>10000</v>
      </c>
      <c r="AW641" s="22">
        <v>8000</v>
      </c>
      <c r="AX641" s="66">
        <v>0</v>
      </c>
      <c r="AZ641" s="15" t="s">
        <v>337</v>
      </c>
      <c r="BA641" s="249">
        <f t="shared" si="19"/>
        <v>5</v>
      </c>
      <c r="BB641" s="249">
        <v>0</v>
      </c>
      <c r="BC641" s="249">
        <f t="shared" si="18"/>
        <v>2014</v>
      </c>
    </row>
    <row r="642" spans="1:55" x14ac:dyDescent="0.25">
      <c r="A642" s="51" t="s">
        <v>1378</v>
      </c>
      <c r="B642" s="63" t="s">
        <v>1360</v>
      </c>
      <c r="C642" s="15" t="s">
        <v>337</v>
      </c>
      <c r="D642" s="15">
        <v>2001</v>
      </c>
      <c r="E642" s="15" t="s">
        <v>407</v>
      </c>
      <c r="F642" s="15"/>
      <c r="G642" s="15"/>
      <c r="H642" s="15"/>
      <c r="I642" s="15"/>
      <c r="J642" s="16">
        <v>120000</v>
      </c>
      <c r="K642" s="15" t="s">
        <v>328</v>
      </c>
      <c r="L642" s="15"/>
      <c r="M642" s="15"/>
      <c r="N642" s="16">
        <v>7000</v>
      </c>
      <c r="O642" s="21">
        <v>0.3</v>
      </c>
      <c r="P642" s="15">
        <v>2</v>
      </c>
      <c r="Q642" s="15">
        <v>950</v>
      </c>
      <c r="R642" s="16">
        <v>4560</v>
      </c>
      <c r="S642" s="15" t="s">
        <v>340</v>
      </c>
      <c r="T642" s="15">
        <v>2.4</v>
      </c>
      <c r="U642" s="15">
        <v>2.7</v>
      </c>
      <c r="V642" s="27">
        <v>2800</v>
      </c>
      <c r="W642" s="22">
        <v>39500</v>
      </c>
      <c r="X642" s="15"/>
      <c r="Y642" s="15"/>
      <c r="Z642" s="15"/>
      <c r="AA642" s="15"/>
      <c r="AB642" s="15" t="s">
        <v>328</v>
      </c>
      <c r="AC642" s="15"/>
      <c r="AD642" s="15" t="s">
        <v>328</v>
      </c>
      <c r="AE642" s="15"/>
      <c r="AF642" s="15"/>
      <c r="AG642" s="15" t="s">
        <v>328</v>
      </c>
      <c r="AH642" s="15" t="s">
        <v>328</v>
      </c>
      <c r="AI642" s="15"/>
      <c r="AJ642" s="15"/>
      <c r="AK642" s="15"/>
      <c r="AL642" s="15"/>
      <c r="AM642" s="15"/>
      <c r="AN642" s="16">
        <v>20000</v>
      </c>
      <c r="AO642" s="16">
        <v>25000</v>
      </c>
      <c r="AP642" s="16">
        <v>70000</v>
      </c>
      <c r="AQ642" s="16">
        <v>130000</v>
      </c>
      <c r="AR642" s="16">
        <v>25000</v>
      </c>
      <c r="AS642" s="22">
        <v>84000</v>
      </c>
      <c r="AT642" s="22">
        <v>0</v>
      </c>
      <c r="AU642" s="22">
        <v>70000</v>
      </c>
      <c r="AV642" s="22">
        <v>18000</v>
      </c>
      <c r="AW642" s="22">
        <v>18000</v>
      </c>
      <c r="AX642" s="66">
        <v>0</v>
      </c>
      <c r="AY642" s="17" t="s">
        <v>708</v>
      </c>
      <c r="AZ642" s="15" t="s">
        <v>562</v>
      </c>
      <c r="BA642" s="249">
        <f t="shared" si="19"/>
        <v>3</v>
      </c>
      <c r="BB642" s="249">
        <v>0</v>
      </c>
      <c r="BC642" s="249">
        <f t="shared" si="18"/>
        <v>2001</v>
      </c>
    </row>
    <row r="643" spans="1:55" x14ac:dyDescent="0.25">
      <c r="A643" s="51" t="s">
        <v>1378</v>
      </c>
      <c r="B643" s="63" t="s">
        <v>1360</v>
      </c>
      <c r="C643" s="14" t="s">
        <v>351</v>
      </c>
      <c r="D643" s="15">
        <v>2006</v>
      </c>
      <c r="E643" s="15" t="s">
        <v>407</v>
      </c>
      <c r="F643" s="15"/>
      <c r="G643" s="15"/>
      <c r="H643" s="15"/>
      <c r="I643" s="15"/>
      <c r="J643" s="16">
        <v>672000</v>
      </c>
      <c r="K643" s="15" t="s">
        <v>328</v>
      </c>
      <c r="L643" s="15"/>
      <c r="M643" s="15"/>
      <c r="N643" s="16">
        <v>8000</v>
      </c>
      <c r="O643" s="21">
        <v>0.3</v>
      </c>
      <c r="P643" s="15">
        <v>2</v>
      </c>
      <c r="Q643" s="15">
        <v>900</v>
      </c>
      <c r="R643" s="16">
        <v>5760</v>
      </c>
      <c r="S643" s="15" t="s">
        <v>340</v>
      </c>
      <c r="T643" s="15">
        <v>3.2</v>
      </c>
      <c r="U643" s="15">
        <v>3.7</v>
      </c>
      <c r="V643" s="27">
        <v>2600</v>
      </c>
      <c r="W643" s="22">
        <v>37500</v>
      </c>
      <c r="X643" s="15"/>
      <c r="Y643" s="15"/>
      <c r="Z643" s="15"/>
      <c r="AA643" s="15"/>
      <c r="AB643" s="15" t="s">
        <v>328</v>
      </c>
      <c r="AC643" s="15"/>
      <c r="AD643" s="15" t="s">
        <v>328</v>
      </c>
      <c r="AE643" s="15"/>
      <c r="AF643" s="15"/>
      <c r="AG643" s="15" t="s">
        <v>328</v>
      </c>
      <c r="AH643" s="15" t="s">
        <v>328</v>
      </c>
      <c r="AI643" s="15"/>
      <c r="AJ643" s="15"/>
      <c r="AK643" s="15"/>
      <c r="AL643" s="15"/>
      <c r="AM643" s="15"/>
      <c r="AN643" s="16">
        <v>20000</v>
      </c>
      <c r="AO643" s="16">
        <v>25000</v>
      </c>
      <c r="AP643" s="16">
        <v>70000</v>
      </c>
      <c r="AQ643" s="16">
        <v>130000</v>
      </c>
      <c r="AR643" s="16">
        <v>25000</v>
      </c>
      <c r="AS643" s="22">
        <v>84000</v>
      </c>
      <c r="AT643" s="22">
        <v>0</v>
      </c>
      <c r="AU643" s="22">
        <v>70000</v>
      </c>
      <c r="AV643" s="22">
        <v>18000</v>
      </c>
      <c r="AW643" s="22">
        <v>18000</v>
      </c>
      <c r="AX643" s="66">
        <v>0</v>
      </c>
      <c r="AY643" s="17" t="s">
        <v>688</v>
      </c>
      <c r="AZ643" s="15" t="s">
        <v>351</v>
      </c>
      <c r="BA643" s="249">
        <f t="shared" si="19"/>
        <v>3</v>
      </c>
      <c r="BB643" s="249">
        <v>0</v>
      </c>
      <c r="BC643" s="249">
        <f t="shared" si="18"/>
        <v>2006</v>
      </c>
    </row>
    <row r="644" spans="1:55" x14ac:dyDescent="0.25">
      <c r="A644" s="51" t="s">
        <v>1378</v>
      </c>
      <c r="B644" s="63" t="s">
        <v>1360</v>
      </c>
      <c r="C644" s="14" t="s">
        <v>351</v>
      </c>
      <c r="D644" s="15">
        <v>2008</v>
      </c>
      <c r="E644" s="15" t="s">
        <v>407</v>
      </c>
      <c r="F644" s="15"/>
      <c r="G644" s="15"/>
      <c r="H644" s="15"/>
      <c r="I644" s="15"/>
      <c r="J644" s="16">
        <v>360000</v>
      </c>
      <c r="K644" s="15" t="s">
        <v>328</v>
      </c>
      <c r="L644" s="15"/>
      <c r="M644" s="15"/>
      <c r="N644" s="16">
        <v>8000</v>
      </c>
      <c r="O644" s="21">
        <v>0.3</v>
      </c>
      <c r="P644" s="15">
        <v>2</v>
      </c>
      <c r="Q644" s="15">
        <v>908</v>
      </c>
      <c r="R644" s="16">
        <v>5811.2000000000007</v>
      </c>
      <c r="S644" s="15" t="s">
        <v>340</v>
      </c>
      <c r="T644" s="15">
        <v>3.2</v>
      </c>
      <c r="U644" s="15">
        <v>3.7</v>
      </c>
      <c r="V644" s="27">
        <v>2600</v>
      </c>
      <c r="W644" s="22">
        <v>37500</v>
      </c>
      <c r="X644" s="15"/>
      <c r="Y644" s="15"/>
      <c r="Z644" s="15"/>
      <c r="AA644" s="15"/>
      <c r="AB644" s="15" t="s">
        <v>328</v>
      </c>
      <c r="AC644" s="15"/>
      <c r="AD644" s="15" t="s">
        <v>328</v>
      </c>
      <c r="AE644" s="15"/>
      <c r="AF644" s="15"/>
      <c r="AG644" s="15" t="s">
        <v>328</v>
      </c>
      <c r="AH644" s="15" t="s">
        <v>328</v>
      </c>
      <c r="AI644" s="15"/>
      <c r="AJ644" s="15"/>
      <c r="AK644" s="15"/>
      <c r="AL644" s="15"/>
      <c r="AM644" s="15"/>
      <c r="AN644" s="16">
        <v>20000</v>
      </c>
      <c r="AO644" s="16">
        <v>25000</v>
      </c>
      <c r="AP644" s="16">
        <v>70000</v>
      </c>
      <c r="AQ644" s="16">
        <v>130000</v>
      </c>
      <c r="AR644" s="16">
        <v>25000</v>
      </c>
      <c r="AS644" s="22">
        <v>84000</v>
      </c>
      <c r="AT644" s="22">
        <v>0</v>
      </c>
      <c r="AU644" s="22">
        <v>70000</v>
      </c>
      <c r="AV644" s="22">
        <v>18000</v>
      </c>
      <c r="AW644" s="22">
        <v>18000</v>
      </c>
      <c r="AX644" s="66">
        <v>0</v>
      </c>
      <c r="AY644" s="17" t="s">
        <v>688</v>
      </c>
      <c r="AZ644" s="15" t="s">
        <v>351</v>
      </c>
      <c r="BA644" s="249">
        <f t="shared" si="19"/>
        <v>3</v>
      </c>
      <c r="BB644" s="249">
        <v>0</v>
      </c>
      <c r="BC644" s="249">
        <f t="shared" si="18"/>
        <v>2008</v>
      </c>
    </row>
    <row r="645" spans="1:55" x14ac:dyDescent="0.25">
      <c r="A645" s="51" t="s">
        <v>1378</v>
      </c>
      <c r="B645" s="63" t="s">
        <v>1361</v>
      </c>
      <c r="C645" s="15" t="s">
        <v>337</v>
      </c>
      <c r="D645" s="15">
        <v>2007</v>
      </c>
      <c r="E645" s="15" t="s">
        <v>338</v>
      </c>
      <c r="F645" s="15"/>
      <c r="G645" s="15"/>
      <c r="H645" s="15"/>
      <c r="I645" s="15"/>
      <c r="J645" s="16">
        <v>420000</v>
      </c>
      <c r="K645" s="15" t="s">
        <v>328</v>
      </c>
      <c r="L645" s="15"/>
      <c r="M645" s="15"/>
      <c r="N645" s="16">
        <v>7000</v>
      </c>
      <c r="O645" s="21">
        <v>0.5</v>
      </c>
      <c r="P645" s="15">
        <v>2</v>
      </c>
      <c r="Q645" s="15">
        <v>480</v>
      </c>
      <c r="R645" s="16">
        <v>1728</v>
      </c>
      <c r="S645" s="15" t="s">
        <v>340</v>
      </c>
      <c r="T645" s="15">
        <v>1.8</v>
      </c>
      <c r="U645" s="15">
        <v>2.2999999999999998</v>
      </c>
      <c r="V645" s="27">
        <v>3400</v>
      </c>
      <c r="W645" s="22">
        <v>48000</v>
      </c>
      <c r="X645" s="15"/>
      <c r="Y645" s="15" t="s">
        <v>328</v>
      </c>
      <c r="Z645" s="15"/>
      <c r="AA645" s="15"/>
      <c r="AB645" s="15"/>
      <c r="AC645" s="15"/>
      <c r="AD645" s="15" t="s">
        <v>328</v>
      </c>
      <c r="AE645" s="15" t="s">
        <v>328</v>
      </c>
      <c r="AF645" s="15"/>
      <c r="AG645" s="15" t="s">
        <v>328</v>
      </c>
      <c r="AH645" s="15" t="s">
        <v>328</v>
      </c>
      <c r="AI645" s="15"/>
      <c r="AJ645" s="15"/>
      <c r="AK645" s="15" t="s">
        <v>328</v>
      </c>
      <c r="AL645" s="15" t="s">
        <v>328</v>
      </c>
      <c r="AM645" s="15"/>
      <c r="AN645" s="16">
        <v>25000</v>
      </c>
      <c r="AO645" s="16">
        <v>30000</v>
      </c>
      <c r="AP645" s="16">
        <v>30000</v>
      </c>
      <c r="AQ645" s="16">
        <v>120000</v>
      </c>
      <c r="AR645" s="16">
        <v>30000</v>
      </c>
      <c r="AS645" s="22">
        <v>0</v>
      </c>
      <c r="AT645" s="22">
        <v>0</v>
      </c>
      <c r="AU645" s="22">
        <v>56000</v>
      </c>
      <c r="AV645" s="22">
        <v>12000</v>
      </c>
      <c r="AW645" s="22">
        <v>12000</v>
      </c>
      <c r="AX645" s="66">
        <v>0</v>
      </c>
      <c r="AZ645" s="15" t="s">
        <v>337</v>
      </c>
      <c r="BA645" s="249">
        <f t="shared" si="19"/>
        <v>1</v>
      </c>
      <c r="BB645" s="249">
        <v>0</v>
      </c>
      <c r="BC645" s="249">
        <f t="shared" si="18"/>
        <v>2007</v>
      </c>
    </row>
    <row r="646" spans="1:55" x14ac:dyDescent="0.25">
      <c r="A646" s="51" t="s">
        <v>1378</v>
      </c>
      <c r="B646" s="63" t="s">
        <v>1362</v>
      </c>
      <c r="C646" s="15" t="s">
        <v>337</v>
      </c>
      <c r="D646" s="15">
        <v>2011</v>
      </c>
      <c r="E646" s="15" t="s">
        <v>407</v>
      </c>
      <c r="F646" s="15"/>
      <c r="G646" s="15"/>
      <c r="H646" s="15"/>
      <c r="I646" s="15"/>
      <c r="J646" s="16">
        <v>300000</v>
      </c>
      <c r="K646" s="15" t="s">
        <v>328</v>
      </c>
      <c r="L646" s="15"/>
      <c r="M646" s="15"/>
      <c r="N646" s="16">
        <v>10000</v>
      </c>
      <c r="O646" s="21">
        <v>0.5</v>
      </c>
      <c r="P646" s="15">
        <v>2</v>
      </c>
      <c r="Q646" s="15">
        <v>1200</v>
      </c>
      <c r="R646" s="16">
        <v>5040</v>
      </c>
      <c r="S646" s="15" t="s">
        <v>340</v>
      </c>
      <c r="T646" s="15">
        <v>2.1</v>
      </c>
      <c r="U646" s="15">
        <v>2.2999999999999998</v>
      </c>
      <c r="V646" s="27">
        <v>4500</v>
      </c>
      <c r="W646" s="22">
        <v>63000</v>
      </c>
      <c r="X646" s="15"/>
      <c r="Y646" s="15"/>
      <c r="Z646" s="15"/>
      <c r="AA646" s="15"/>
      <c r="AB646" s="15" t="s">
        <v>328</v>
      </c>
      <c r="AC646" s="15"/>
      <c r="AD646" s="15" t="s">
        <v>328</v>
      </c>
      <c r="AE646" s="15"/>
      <c r="AF646" s="15"/>
      <c r="AG646" s="15" t="s">
        <v>328</v>
      </c>
      <c r="AH646" s="15" t="s">
        <v>328</v>
      </c>
      <c r="AI646" s="15"/>
      <c r="AJ646" s="15"/>
      <c r="AK646" s="15"/>
      <c r="AL646" s="15" t="s">
        <v>328</v>
      </c>
      <c r="AM646" s="15"/>
      <c r="AN646" s="16">
        <v>18000</v>
      </c>
      <c r="AO646" s="16">
        <v>20000</v>
      </c>
      <c r="AP646" s="16">
        <v>50000</v>
      </c>
      <c r="AQ646" s="16">
        <v>110000</v>
      </c>
      <c r="AR646" s="16">
        <v>20000</v>
      </c>
      <c r="AS646" s="22">
        <v>102000</v>
      </c>
      <c r="AT646" s="22">
        <v>0</v>
      </c>
      <c r="AU646" s="22">
        <v>85000</v>
      </c>
      <c r="AV646" s="22">
        <v>18000</v>
      </c>
      <c r="AW646" s="22">
        <v>16000</v>
      </c>
      <c r="AX646" s="66">
        <v>0</v>
      </c>
      <c r="AZ646" s="15"/>
      <c r="BA646" s="249">
        <f t="shared" si="19"/>
        <v>2</v>
      </c>
      <c r="BB646" s="249">
        <v>0</v>
      </c>
      <c r="BC646" s="249">
        <f t="shared" si="18"/>
        <v>2011</v>
      </c>
    </row>
    <row r="647" spans="1:55" x14ac:dyDescent="0.25">
      <c r="A647" s="51" t="s">
        <v>1378</v>
      </c>
      <c r="B647" s="63" t="s">
        <v>1362</v>
      </c>
      <c r="C647" s="15" t="s">
        <v>337</v>
      </c>
      <c r="D647" s="15">
        <v>2011</v>
      </c>
      <c r="E647" s="15" t="s">
        <v>407</v>
      </c>
      <c r="F647" s="15"/>
      <c r="G647" s="15"/>
      <c r="H647" s="15"/>
      <c r="I647" s="15"/>
      <c r="J647" s="16">
        <v>300000</v>
      </c>
      <c r="K647" s="15" t="s">
        <v>328</v>
      </c>
      <c r="L647" s="15"/>
      <c r="M647" s="15"/>
      <c r="N647" s="16">
        <v>10000</v>
      </c>
      <c r="O647" s="21">
        <v>0.5</v>
      </c>
      <c r="P647" s="15">
        <v>2</v>
      </c>
      <c r="Q647" s="15">
        <v>1200</v>
      </c>
      <c r="R647" s="16">
        <v>5040</v>
      </c>
      <c r="S647" s="15" t="s">
        <v>340</v>
      </c>
      <c r="T647" s="15">
        <v>2.1</v>
      </c>
      <c r="U647" s="15">
        <v>2.2999999999999998</v>
      </c>
      <c r="V647" s="27">
        <v>4500</v>
      </c>
      <c r="W647" s="22">
        <v>63000</v>
      </c>
      <c r="X647" s="15"/>
      <c r="Y647" s="15"/>
      <c r="Z647" s="15"/>
      <c r="AA647" s="15"/>
      <c r="AB647" s="15" t="s">
        <v>328</v>
      </c>
      <c r="AC647" s="15"/>
      <c r="AD647" s="15" t="s">
        <v>328</v>
      </c>
      <c r="AE647" s="15"/>
      <c r="AF647" s="15"/>
      <c r="AG647" s="15" t="s">
        <v>328</v>
      </c>
      <c r="AH647" s="15" t="s">
        <v>328</v>
      </c>
      <c r="AI647" s="15"/>
      <c r="AJ647" s="15"/>
      <c r="AK647" s="15"/>
      <c r="AL647" s="15" t="s">
        <v>328</v>
      </c>
      <c r="AM647" s="15"/>
      <c r="AN647" s="16">
        <v>18000</v>
      </c>
      <c r="AO647" s="16">
        <v>20000</v>
      </c>
      <c r="AP647" s="16">
        <v>50000</v>
      </c>
      <c r="AQ647" s="16">
        <v>110000</v>
      </c>
      <c r="AR647" s="16">
        <v>20000</v>
      </c>
      <c r="AS647" s="22">
        <v>102000</v>
      </c>
      <c r="AT647" s="22">
        <v>0</v>
      </c>
      <c r="AU647" s="22">
        <v>85000</v>
      </c>
      <c r="AV647" s="22">
        <v>18000</v>
      </c>
      <c r="AW647" s="22">
        <v>16000</v>
      </c>
      <c r="AX647" s="66">
        <v>0</v>
      </c>
      <c r="AZ647" s="15"/>
      <c r="BA647" s="249">
        <f t="shared" si="19"/>
        <v>2</v>
      </c>
      <c r="BB647" s="249">
        <v>0</v>
      </c>
      <c r="BC647" s="249">
        <f t="shared" si="18"/>
        <v>2011</v>
      </c>
    </row>
    <row r="648" spans="1:55" x14ac:dyDescent="0.25">
      <c r="A648" s="51" t="s">
        <v>1378</v>
      </c>
      <c r="B648" s="63" t="s">
        <v>1363</v>
      </c>
      <c r="C648" s="14" t="s">
        <v>359</v>
      </c>
      <c r="D648" s="14">
        <v>2010</v>
      </c>
      <c r="E648" s="14" t="s">
        <v>349</v>
      </c>
      <c r="F648" s="14"/>
      <c r="G648" s="14"/>
      <c r="H648" s="14"/>
      <c r="I648" s="14"/>
      <c r="J648" s="13">
        <v>80000</v>
      </c>
      <c r="K648" s="14" t="s">
        <v>328</v>
      </c>
      <c r="L648" s="14"/>
      <c r="M648" s="14"/>
      <c r="N648" s="13">
        <v>4500</v>
      </c>
      <c r="O648" s="24">
        <v>0.5</v>
      </c>
      <c r="P648" s="14">
        <v>3</v>
      </c>
      <c r="Q648" s="14">
        <v>550</v>
      </c>
      <c r="R648" s="16">
        <v>3300</v>
      </c>
      <c r="S648" s="14" t="s">
        <v>340</v>
      </c>
      <c r="T648" s="14">
        <v>2</v>
      </c>
      <c r="U648" s="14">
        <v>2.2000000000000002</v>
      </c>
      <c r="V648" s="25">
        <v>2600</v>
      </c>
      <c r="W648" s="22">
        <v>28500</v>
      </c>
      <c r="X648" s="14"/>
      <c r="Y648" s="14" t="s">
        <v>328</v>
      </c>
      <c r="Z648" s="14"/>
      <c r="AA648" s="14"/>
      <c r="AB648" s="14"/>
      <c r="AC648" s="14"/>
      <c r="AD648" s="14" t="s">
        <v>328</v>
      </c>
      <c r="AE648" s="14" t="s">
        <v>328</v>
      </c>
      <c r="AF648" s="14"/>
      <c r="AG648" s="14" t="s">
        <v>328</v>
      </c>
      <c r="AH648" s="14" t="s">
        <v>328</v>
      </c>
      <c r="AI648" s="14" t="s">
        <v>328</v>
      </c>
      <c r="AJ648" s="14"/>
      <c r="AK648" s="14" t="s">
        <v>328</v>
      </c>
      <c r="AL648" s="14" t="s">
        <v>328</v>
      </c>
      <c r="AM648" s="14" t="s">
        <v>328</v>
      </c>
      <c r="AN648" s="13">
        <v>16000</v>
      </c>
      <c r="AO648" s="13">
        <v>22000</v>
      </c>
      <c r="AP648" s="13">
        <v>12000</v>
      </c>
      <c r="AQ648" s="13">
        <v>90000</v>
      </c>
      <c r="AR648" s="13">
        <v>22000</v>
      </c>
      <c r="AS648" s="26">
        <v>140000</v>
      </c>
      <c r="AT648" s="26">
        <v>0</v>
      </c>
      <c r="AU648" s="26">
        <v>100000</v>
      </c>
      <c r="AV648" s="26">
        <v>3000</v>
      </c>
      <c r="AW648" s="26">
        <v>9000</v>
      </c>
      <c r="AX648" s="62">
        <v>2000</v>
      </c>
      <c r="AZ648" s="15" t="s">
        <v>359</v>
      </c>
      <c r="BA648" s="249">
        <f t="shared" si="19"/>
        <v>5</v>
      </c>
      <c r="BB648" s="249">
        <v>0</v>
      </c>
      <c r="BC648" s="249">
        <f t="shared" ref="BC648:BC711" si="20">IF(H648&gt;D648,(IF(H648&gt;F648,H648,(IF(F648&gt;D648,F648,D648)))),(IF(F648&gt;D648,F648,D648)))</f>
        <v>2010</v>
      </c>
    </row>
    <row r="649" spans="1:55" x14ac:dyDescent="0.25">
      <c r="A649" s="51" t="s">
        <v>1378</v>
      </c>
      <c r="B649" s="63" t="s">
        <v>1363</v>
      </c>
      <c r="C649" s="14" t="s">
        <v>359</v>
      </c>
      <c r="D649" s="14">
        <v>2010</v>
      </c>
      <c r="E649" s="14" t="s">
        <v>349</v>
      </c>
      <c r="F649" s="14"/>
      <c r="G649" s="14"/>
      <c r="H649" s="14"/>
      <c r="I649" s="14"/>
      <c r="J649" s="13">
        <v>80000</v>
      </c>
      <c r="K649" s="14" t="s">
        <v>328</v>
      </c>
      <c r="L649" s="14"/>
      <c r="M649" s="14"/>
      <c r="N649" s="13">
        <v>4500</v>
      </c>
      <c r="O649" s="24">
        <v>0.5</v>
      </c>
      <c r="P649" s="14">
        <v>3</v>
      </c>
      <c r="Q649" s="14">
        <v>550</v>
      </c>
      <c r="R649" s="16">
        <v>3300</v>
      </c>
      <c r="S649" s="14" t="s">
        <v>340</v>
      </c>
      <c r="T649" s="14">
        <v>2</v>
      </c>
      <c r="U649" s="14">
        <v>2.2000000000000002</v>
      </c>
      <c r="V649" s="25">
        <v>2600</v>
      </c>
      <c r="W649" s="22">
        <v>28500</v>
      </c>
      <c r="X649" s="14"/>
      <c r="Y649" s="14" t="s">
        <v>328</v>
      </c>
      <c r="Z649" s="14"/>
      <c r="AA649" s="14"/>
      <c r="AB649" s="14"/>
      <c r="AC649" s="14"/>
      <c r="AD649" s="14" t="s">
        <v>328</v>
      </c>
      <c r="AE649" s="14" t="s">
        <v>328</v>
      </c>
      <c r="AF649" s="14"/>
      <c r="AG649" s="14" t="s">
        <v>328</v>
      </c>
      <c r="AH649" s="14" t="s">
        <v>328</v>
      </c>
      <c r="AI649" s="14" t="s">
        <v>328</v>
      </c>
      <c r="AJ649" s="14"/>
      <c r="AK649" s="14" t="s">
        <v>328</v>
      </c>
      <c r="AL649" s="14" t="s">
        <v>328</v>
      </c>
      <c r="AM649" s="14" t="s">
        <v>328</v>
      </c>
      <c r="AN649" s="13">
        <v>16000</v>
      </c>
      <c r="AO649" s="13">
        <v>22000</v>
      </c>
      <c r="AP649" s="13">
        <v>12000</v>
      </c>
      <c r="AQ649" s="13">
        <v>90000</v>
      </c>
      <c r="AR649" s="13">
        <v>22000</v>
      </c>
      <c r="AS649" s="26">
        <v>140000</v>
      </c>
      <c r="AT649" s="26">
        <v>0</v>
      </c>
      <c r="AU649" s="26">
        <v>100000</v>
      </c>
      <c r="AV649" s="26">
        <v>3000</v>
      </c>
      <c r="AW649" s="26">
        <v>9000</v>
      </c>
      <c r="AX649" s="62">
        <v>2000</v>
      </c>
      <c r="AZ649" s="15" t="s">
        <v>359</v>
      </c>
      <c r="BA649" s="249">
        <f t="shared" ref="BA649:BA712" si="21">COUNTIF($B$8:$B$987,B649)</f>
        <v>5</v>
      </c>
      <c r="BB649" s="249">
        <v>0</v>
      </c>
      <c r="BC649" s="249">
        <f t="shared" si="20"/>
        <v>2010</v>
      </c>
    </row>
    <row r="650" spans="1:55" x14ac:dyDescent="0.25">
      <c r="A650" s="51" t="s">
        <v>1378</v>
      </c>
      <c r="B650" s="63" t="s">
        <v>1363</v>
      </c>
      <c r="C650" s="14" t="s">
        <v>337</v>
      </c>
      <c r="D650" s="14">
        <v>2012</v>
      </c>
      <c r="E650" s="14" t="s">
        <v>338</v>
      </c>
      <c r="F650" s="14"/>
      <c r="G650" s="14"/>
      <c r="H650" s="14"/>
      <c r="I650" s="14"/>
      <c r="J650" s="13">
        <v>50000</v>
      </c>
      <c r="K650" s="14" t="s">
        <v>328</v>
      </c>
      <c r="L650" s="14"/>
      <c r="M650" s="14"/>
      <c r="N650" s="13">
        <v>4500</v>
      </c>
      <c r="O650" s="24">
        <v>0.5</v>
      </c>
      <c r="P650" s="14">
        <v>3</v>
      </c>
      <c r="Q650" s="14">
        <v>550</v>
      </c>
      <c r="R650" s="16">
        <v>3300</v>
      </c>
      <c r="S650" s="14" t="s">
        <v>340</v>
      </c>
      <c r="T650" s="14">
        <v>2</v>
      </c>
      <c r="U650" s="14">
        <v>2.2000000000000002</v>
      </c>
      <c r="V650" s="25">
        <v>2600</v>
      </c>
      <c r="W650" s="22">
        <v>28500</v>
      </c>
      <c r="X650" s="14"/>
      <c r="Y650" s="14" t="s">
        <v>328</v>
      </c>
      <c r="Z650" s="14"/>
      <c r="AA650" s="14"/>
      <c r="AB650" s="14"/>
      <c r="AC650" s="14"/>
      <c r="AD650" s="14" t="s">
        <v>328</v>
      </c>
      <c r="AE650" s="14" t="s">
        <v>328</v>
      </c>
      <c r="AF650" s="14"/>
      <c r="AG650" s="14" t="s">
        <v>328</v>
      </c>
      <c r="AH650" s="14" t="s">
        <v>328</v>
      </c>
      <c r="AI650" s="14" t="s">
        <v>328</v>
      </c>
      <c r="AJ650" s="14"/>
      <c r="AK650" s="14" t="s">
        <v>328</v>
      </c>
      <c r="AL650" s="14" t="s">
        <v>328</v>
      </c>
      <c r="AM650" s="14" t="s">
        <v>328</v>
      </c>
      <c r="AN650" s="13">
        <v>16000</v>
      </c>
      <c r="AO650" s="13">
        <v>22000</v>
      </c>
      <c r="AP650" s="13">
        <v>12000</v>
      </c>
      <c r="AQ650" s="13">
        <v>90000</v>
      </c>
      <c r="AR650" s="13">
        <v>22000</v>
      </c>
      <c r="AS650" s="26">
        <v>140000</v>
      </c>
      <c r="AT650" s="26">
        <v>0</v>
      </c>
      <c r="AU650" s="26">
        <v>150000</v>
      </c>
      <c r="AV650" s="26">
        <v>3000</v>
      </c>
      <c r="AW650" s="26">
        <v>9000</v>
      </c>
      <c r="AX650" s="62">
        <v>3000</v>
      </c>
      <c r="AZ650" s="15" t="s">
        <v>337</v>
      </c>
      <c r="BA650" s="249">
        <f t="shared" si="21"/>
        <v>5</v>
      </c>
      <c r="BB650" s="249">
        <v>0</v>
      </c>
      <c r="BC650" s="249">
        <f t="shared" si="20"/>
        <v>2012</v>
      </c>
    </row>
    <row r="651" spans="1:55" x14ac:dyDescent="0.25">
      <c r="A651" s="51" t="s">
        <v>1378</v>
      </c>
      <c r="B651" s="63" t="s">
        <v>1363</v>
      </c>
      <c r="C651" s="14" t="s">
        <v>337</v>
      </c>
      <c r="D651" s="14">
        <v>2012</v>
      </c>
      <c r="E651" s="14" t="s">
        <v>338</v>
      </c>
      <c r="F651" s="14"/>
      <c r="G651" s="14"/>
      <c r="H651" s="14"/>
      <c r="I651" s="14"/>
      <c r="J651" s="13">
        <v>50000</v>
      </c>
      <c r="K651" s="14" t="s">
        <v>328</v>
      </c>
      <c r="L651" s="14"/>
      <c r="M651" s="14"/>
      <c r="N651" s="13">
        <v>4500</v>
      </c>
      <c r="O651" s="24">
        <v>0.5</v>
      </c>
      <c r="P651" s="14">
        <v>3</v>
      </c>
      <c r="Q651" s="14">
        <v>550</v>
      </c>
      <c r="R651" s="16">
        <v>3300</v>
      </c>
      <c r="S651" s="14" t="s">
        <v>340</v>
      </c>
      <c r="T651" s="14">
        <v>2</v>
      </c>
      <c r="U651" s="14">
        <v>2.2000000000000002</v>
      </c>
      <c r="V651" s="25">
        <v>2600</v>
      </c>
      <c r="W651" s="22">
        <v>28500</v>
      </c>
      <c r="X651" s="14"/>
      <c r="Y651" s="14" t="s">
        <v>328</v>
      </c>
      <c r="Z651" s="14"/>
      <c r="AA651" s="14"/>
      <c r="AB651" s="14"/>
      <c r="AC651" s="14"/>
      <c r="AD651" s="14" t="s">
        <v>328</v>
      </c>
      <c r="AE651" s="14" t="s">
        <v>328</v>
      </c>
      <c r="AF651" s="14"/>
      <c r="AG651" s="14" t="s">
        <v>328</v>
      </c>
      <c r="AH651" s="14" t="s">
        <v>328</v>
      </c>
      <c r="AI651" s="14" t="s">
        <v>328</v>
      </c>
      <c r="AJ651" s="14"/>
      <c r="AK651" s="14" t="s">
        <v>328</v>
      </c>
      <c r="AL651" s="14" t="s">
        <v>328</v>
      </c>
      <c r="AM651" s="14" t="s">
        <v>328</v>
      </c>
      <c r="AN651" s="13">
        <v>16000</v>
      </c>
      <c r="AO651" s="13">
        <v>22000</v>
      </c>
      <c r="AP651" s="13">
        <v>12000</v>
      </c>
      <c r="AQ651" s="13">
        <v>90000</v>
      </c>
      <c r="AR651" s="13">
        <v>22000</v>
      </c>
      <c r="AS651" s="26">
        <v>140000</v>
      </c>
      <c r="AT651" s="26">
        <v>0</v>
      </c>
      <c r="AU651" s="26">
        <v>150000</v>
      </c>
      <c r="AV651" s="26">
        <v>3000</v>
      </c>
      <c r="AW651" s="26">
        <v>9000</v>
      </c>
      <c r="AX651" s="62">
        <v>3000</v>
      </c>
      <c r="AZ651" s="15" t="s">
        <v>337</v>
      </c>
      <c r="BA651" s="249">
        <f t="shared" si="21"/>
        <v>5</v>
      </c>
      <c r="BB651" s="249">
        <v>0</v>
      </c>
      <c r="BC651" s="249">
        <f t="shared" si="20"/>
        <v>2012</v>
      </c>
    </row>
    <row r="652" spans="1:55" x14ac:dyDescent="0.25">
      <c r="A652" s="51" t="s">
        <v>1378</v>
      </c>
      <c r="B652" s="63" t="s">
        <v>1363</v>
      </c>
      <c r="C652" s="14" t="s">
        <v>337</v>
      </c>
      <c r="D652" s="14">
        <v>2012</v>
      </c>
      <c r="E652" s="14" t="s">
        <v>338</v>
      </c>
      <c r="F652" s="14"/>
      <c r="G652" s="14"/>
      <c r="H652" s="14"/>
      <c r="I652" s="14"/>
      <c r="J652" s="13">
        <v>50000</v>
      </c>
      <c r="K652" s="14" t="s">
        <v>328</v>
      </c>
      <c r="L652" s="14"/>
      <c r="M652" s="14"/>
      <c r="N652" s="13">
        <v>4500</v>
      </c>
      <c r="O652" s="24">
        <v>0.5</v>
      </c>
      <c r="P652" s="14">
        <v>3</v>
      </c>
      <c r="Q652" s="14">
        <v>550</v>
      </c>
      <c r="R652" s="16">
        <v>3300</v>
      </c>
      <c r="S652" s="14" t="s">
        <v>340</v>
      </c>
      <c r="T652" s="14">
        <v>2</v>
      </c>
      <c r="U652" s="14">
        <v>2.2000000000000002</v>
      </c>
      <c r="V652" s="25">
        <v>2600</v>
      </c>
      <c r="W652" s="22">
        <v>28500</v>
      </c>
      <c r="X652" s="14"/>
      <c r="Y652" s="14" t="s">
        <v>328</v>
      </c>
      <c r="Z652" s="14"/>
      <c r="AA652" s="14"/>
      <c r="AB652" s="14"/>
      <c r="AC652" s="14"/>
      <c r="AD652" s="14" t="s">
        <v>328</v>
      </c>
      <c r="AE652" s="14" t="s">
        <v>328</v>
      </c>
      <c r="AF652" s="14"/>
      <c r="AG652" s="14" t="s">
        <v>328</v>
      </c>
      <c r="AH652" s="14" t="s">
        <v>328</v>
      </c>
      <c r="AI652" s="14" t="s">
        <v>328</v>
      </c>
      <c r="AJ652" s="14"/>
      <c r="AK652" s="14" t="s">
        <v>328</v>
      </c>
      <c r="AL652" s="14" t="s">
        <v>328</v>
      </c>
      <c r="AM652" s="14" t="s">
        <v>328</v>
      </c>
      <c r="AN652" s="13">
        <v>16000</v>
      </c>
      <c r="AO652" s="13">
        <v>22000</v>
      </c>
      <c r="AP652" s="13">
        <v>12000</v>
      </c>
      <c r="AQ652" s="13">
        <v>90000</v>
      </c>
      <c r="AR652" s="13">
        <v>22000</v>
      </c>
      <c r="AS652" s="26">
        <v>140000</v>
      </c>
      <c r="AT652" s="26">
        <v>0</v>
      </c>
      <c r="AU652" s="26">
        <v>150000</v>
      </c>
      <c r="AV652" s="26">
        <v>3000</v>
      </c>
      <c r="AW652" s="26">
        <v>9000</v>
      </c>
      <c r="AX652" s="62">
        <v>3000</v>
      </c>
      <c r="AZ652" s="15" t="s">
        <v>337</v>
      </c>
      <c r="BA652" s="249">
        <f t="shared" si="21"/>
        <v>5</v>
      </c>
      <c r="BB652" s="249">
        <v>0</v>
      </c>
      <c r="BC652" s="249">
        <f t="shared" si="20"/>
        <v>2012</v>
      </c>
    </row>
    <row r="653" spans="1:55" x14ac:dyDescent="0.25">
      <c r="A653" s="51" t="s">
        <v>1378</v>
      </c>
      <c r="B653" s="65" t="s">
        <v>1364</v>
      </c>
      <c r="C653" s="15" t="s">
        <v>337</v>
      </c>
      <c r="D653" s="15">
        <v>1978</v>
      </c>
      <c r="E653" s="15"/>
      <c r="F653" s="15"/>
      <c r="G653" s="15"/>
      <c r="H653" s="15">
        <v>1995</v>
      </c>
      <c r="I653" s="15" t="s">
        <v>374</v>
      </c>
      <c r="J653" s="16">
        <v>1050000</v>
      </c>
      <c r="K653" s="15"/>
      <c r="L653" s="15"/>
      <c r="M653" s="15" t="s">
        <v>328</v>
      </c>
      <c r="N653" s="16">
        <v>2500</v>
      </c>
      <c r="O653" s="21">
        <v>0.5</v>
      </c>
      <c r="P653" s="15">
        <v>2</v>
      </c>
      <c r="Q653" s="15">
        <v>550</v>
      </c>
      <c r="R653" s="16">
        <v>1980</v>
      </c>
      <c r="S653" s="15" t="s">
        <v>340</v>
      </c>
      <c r="T653" s="15">
        <v>1.8</v>
      </c>
      <c r="U653" s="15">
        <v>2.1</v>
      </c>
      <c r="V653" s="27">
        <v>1100</v>
      </c>
      <c r="W653" s="22">
        <v>16000</v>
      </c>
      <c r="X653" s="15" t="s">
        <v>328</v>
      </c>
      <c r="Y653" s="15"/>
      <c r="Z653" s="15"/>
      <c r="AA653" s="15"/>
      <c r="AB653" s="15"/>
      <c r="AC653" s="15"/>
      <c r="AD653" s="15"/>
      <c r="AE653" s="15" t="s">
        <v>328</v>
      </c>
      <c r="AF653" s="15"/>
      <c r="AG653" s="15" t="s">
        <v>328</v>
      </c>
      <c r="AH653" s="15"/>
      <c r="AI653" s="15"/>
      <c r="AJ653" s="15"/>
      <c r="AK653" s="15"/>
      <c r="AL653" s="15" t="s">
        <v>328</v>
      </c>
      <c r="AM653" s="15"/>
      <c r="AN653" s="16">
        <v>15000</v>
      </c>
      <c r="AO653" s="16">
        <v>20000</v>
      </c>
      <c r="AP653" s="16">
        <v>20000</v>
      </c>
      <c r="AQ653" s="16">
        <v>130000</v>
      </c>
      <c r="AR653" s="16">
        <v>20000</v>
      </c>
      <c r="AS653" s="22">
        <v>80000</v>
      </c>
      <c r="AT653" s="22">
        <v>0</v>
      </c>
      <c r="AU653" s="22">
        <v>30000</v>
      </c>
      <c r="AV653" s="22">
        <v>15000</v>
      </c>
      <c r="AW653" s="22">
        <v>15000</v>
      </c>
      <c r="AX653" s="66">
        <v>0</v>
      </c>
      <c r="AZ653" s="15" t="s">
        <v>337</v>
      </c>
      <c r="BA653" s="249">
        <f t="shared" si="21"/>
        <v>1</v>
      </c>
      <c r="BB653" s="249">
        <v>0</v>
      </c>
      <c r="BC653" s="249">
        <f t="shared" si="20"/>
        <v>1995</v>
      </c>
    </row>
    <row r="654" spans="1:55" x14ac:dyDescent="0.25">
      <c r="A654" s="51" t="s">
        <v>1378</v>
      </c>
      <c r="B654" s="65" t="s">
        <v>1365</v>
      </c>
      <c r="C654" s="15" t="s">
        <v>337</v>
      </c>
      <c r="D654" s="15">
        <v>1978</v>
      </c>
      <c r="E654" s="15"/>
      <c r="F654" s="15"/>
      <c r="G654" s="15"/>
      <c r="H654" s="15">
        <v>1996</v>
      </c>
      <c r="I654" s="15" t="s">
        <v>374</v>
      </c>
      <c r="J654" s="16">
        <v>1050000</v>
      </c>
      <c r="K654" s="15"/>
      <c r="L654" s="15"/>
      <c r="M654" s="15" t="s">
        <v>328</v>
      </c>
      <c r="N654" s="16">
        <v>2500</v>
      </c>
      <c r="O654" s="21">
        <v>0.5</v>
      </c>
      <c r="P654" s="15">
        <v>2</v>
      </c>
      <c r="Q654" s="15">
        <v>550</v>
      </c>
      <c r="R654" s="16">
        <v>1980</v>
      </c>
      <c r="S654" s="15" t="s">
        <v>340</v>
      </c>
      <c r="T654" s="15">
        <v>1.8</v>
      </c>
      <c r="U654" s="15">
        <v>2.1</v>
      </c>
      <c r="V654" s="27">
        <v>1100</v>
      </c>
      <c r="W654" s="22">
        <v>16000</v>
      </c>
      <c r="X654" s="15"/>
      <c r="Y654" s="15" t="s">
        <v>328</v>
      </c>
      <c r="Z654" s="15"/>
      <c r="AA654" s="15"/>
      <c r="AB654" s="15"/>
      <c r="AC654" s="15"/>
      <c r="AD654" s="15"/>
      <c r="AE654" s="15" t="s">
        <v>328</v>
      </c>
      <c r="AF654" s="15"/>
      <c r="AG654" s="15" t="s">
        <v>328</v>
      </c>
      <c r="AH654" s="15"/>
      <c r="AI654" s="15"/>
      <c r="AJ654" s="15"/>
      <c r="AK654" s="15"/>
      <c r="AL654" s="15" t="s">
        <v>328</v>
      </c>
      <c r="AM654" s="15"/>
      <c r="AN654" s="16">
        <v>15000</v>
      </c>
      <c r="AO654" s="16">
        <v>20000</v>
      </c>
      <c r="AP654" s="16">
        <v>20000</v>
      </c>
      <c r="AQ654" s="16">
        <v>130000</v>
      </c>
      <c r="AR654" s="16">
        <v>20000</v>
      </c>
      <c r="AS654" s="22">
        <v>80000</v>
      </c>
      <c r="AT654" s="22">
        <v>0</v>
      </c>
      <c r="AU654" s="22">
        <v>30000</v>
      </c>
      <c r="AV654" s="22">
        <v>15000</v>
      </c>
      <c r="AW654" s="22">
        <v>15000</v>
      </c>
      <c r="AX654" s="66">
        <v>0</v>
      </c>
      <c r="AZ654" s="15" t="s">
        <v>337</v>
      </c>
      <c r="BA654" s="249">
        <f t="shared" si="21"/>
        <v>3</v>
      </c>
      <c r="BB654" s="249">
        <v>0</v>
      </c>
      <c r="BC654" s="249">
        <f t="shared" si="20"/>
        <v>1996</v>
      </c>
    </row>
    <row r="655" spans="1:55" x14ac:dyDescent="0.25">
      <c r="A655" s="51" t="s">
        <v>1378</v>
      </c>
      <c r="B655" s="65" t="s">
        <v>1366</v>
      </c>
      <c r="C655" s="15" t="s">
        <v>337</v>
      </c>
      <c r="D655" s="15">
        <v>1981</v>
      </c>
      <c r="E655" s="15"/>
      <c r="F655" s="15"/>
      <c r="G655" s="15"/>
      <c r="H655" s="15">
        <v>2005</v>
      </c>
      <c r="I655" s="15" t="s">
        <v>349</v>
      </c>
      <c r="J655" s="16">
        <v>960000</v>
      </c>
      <c r="K655" s="15"/>
      <c r="L655" s="15"/>
      <c r="M655" s="15" t="s">
        <v>328</v>
      </c>
      <c r="N655" s="16">
        <v>2500</v>
      </c>
      <c r="O655" s="21">
        <v>0.5</v>
      </c>
      <c r="P655" s="15">
        <v>2</v>
      </c>
      <c r="Q655" s="15">
        <v>550</v>
      </c>
      <c r="R655" s="16">
        <v>1980</v>
      </c>
      <c r="S655" s="15" t="s">
        <v>340</v>
      </c>
      <c r="T655" s="15">
        <v>1.8</v>
      </c>
      <c r="U655" s="15">
        <v>2.1</v>
      </c>
      <c r="V655" s="27">
        <v>1100</v>
      </c>
      <c r="W655" s="22">
        <v>16000</v>
      </c>
      <c r="X655" s="15"/>
      <c r="Y655" s="15" t="s">
        <v>328</v>
      </c>
      <c r="Z655" s="15"/>
      <c r="AA655" s="15"/>
      <c r="AB655" s="15"/>
      <c r="AC655" s="15"/>
      <c r="AD655" s="15"/>
      <c r="AE655" s="15" t="s">
        <v>328</v>
      </c>
      <c r="AF655" s="15"/>
      <c r="AG655" s="15" t="s">
        <v>328</v>
      </c>
      <c r="AH655" s="15"/>
      <c r="AI655" s="15"/>
      <c r="AJ655" s="15"/>
      <c r="AK655" s="15"/>
      <c r="AL655" s="15" t="s">
        <v>328</v>
      </c>
      <c r="AM655" s="15"/>
      <c r="AN655" s="16">
        <v>15000</v>
      </c>
      <c r="AO655" s="16">
        <v>20000</v>
      </c>
      <c r="AP655" s="16">
        <v>20000</v>
      </c>
      <c r="AQ655" s="16">
        <v>130000</v>
      </c>
      <c r="AR655" s="16">
        <v>20000</v>
      </c>
      <c r="AS655" s="22">
        <v>80000</v>
      </c>
      <c r="AT655" s="22">
        <v>0</v>
      </c>
      <c r="AU655" s="22">
        <v>30000</v>
      </c>
      <c r="AV655" s="22">
        <v>15000</v>
      </c>
      <c r="AW655" s="22">
        <v>15000</v>
      </c>
      <c r="AX655" s="66">
        <v>0</v>
      </c>
      <c r="AZ655" s="15" t="s">
        <v>337</v>
      </c>
      <c r="BA655" s="249">
        <f t="shared" si="21"/>
        <v>3</v>
      </c>
      <c r="BB655" s="249">
        <v>0</v>
      </c>
      <c r="BC655" s="249">
        <f t="shared" si="20"/>
        <v>2005</v>
      </c>
    </row>
    <row r="656" spans="1:55" x14ac:dyDescent="0.25">
      <c r="A656" s="51" t="s">
        <v>1378</v>
      </c>
      <c r="B656" s="63" t="s">
        <v>1365</v>
      </c>
      <c r="C656" s="14" t="s">
        <v>351</v>
      </c>
      <c r="D656" s="15">
        <v>1986</v>
      </c>
      <c r="E656" s="15" t="s">
        <v>477</v>
      </c>
      <c r="F656" s="15"/>
      <c r="G656" s="15"/>
      <c r="H656" s="15"/>
      <c r="I656" s="15"/>
      <c r="J656" s="16">
        <v>1944000</v>
      </c>
      <c r="K656" s="15"/>
      <c r="L656" s="15"/>
      <c r="M656" s="15" t="s">
        <v>328</v>
      </c>
      <c r="N656" s="16">
        <v>6000</v>
      </c>
      <c r="O656" s="21">
        <v>0.3</v>
      </c>
      <c r="P656" s="15">
        <v>2</v>
      </c>
      <c r="Q656" s="15">
        <v>540</v>
      </c>
      <c r="R656" s="16">
        <v>2376</v>
      </c>
      <c r="S656" s="15" t="s">
        <v>340</v>
      </c>
      <c r="T656" s="15">
        <v>2.2000000000000002</v>
      </c>
      <c r="U656" s="15">
        <v>2.5</v>
      </c>
      <c r="V656" s="25">
        <v>3300</v>
      </c>
      <c r="W656" s="22">
        <v>37000</v>
      </c>
      <c r="X656" s="15"/>
      <c r="Y656" s="15" t="s">
        <v>328</v>
      </c>
      <c r="Z656" s="15"/>
      <c r="AA656" s="15"/>
      <c r="AB656" s="15"/>
      <c r="AC656" s="15"/>
      <c r="AD656" s="15" t="s">
        <v>328</v>
      </c>
      <c r="AE656" s="15"/>
      <c r="AF656" s="15"/>
      <c r="AG656" s="15"/>
      <c r="AH656" s="15" t="s">
        <v>328</v>
      </c>
      <c r="AI656" s="15"/>
      <c r="AJ656" s="15"/>
      <c r="AK656" s="15"/>
      <c r="AL656" s="15" t="s">
        <v>328</v>
      </c>
      <c r="AM656" s="15"/>
      <c r="AN656" s="16">
        <v>15000</v>
      </c>
      <c r="AO656" s="16">
        <v>30000</v>
      </c>
      <c r="AP656" s="16">
        <v>30000</v>
      </c>
      <c r="AQ656" s="16">
        <v>120000</v>
      </c>
      <c r="AR656" s="16">
        <v>30000</v>
      </c>
      <c r="AS656" s="22">
        <v>144000</v>
      </c>
      <c r="AT656" s="22">
        <v>0</v>
      </c>
      <c r="AU656" s="22">
        <v>48000</v>
      </c>
      <c r="AV656" s="22">
        <v>25000</v>
      </c>
      <c r="AW656" s="22">
        <v>15000</v>
      </c>
      <c r="AX656" s="66">
        <v>0</v>
      </c>
      <c r="AZ656" s="15"/>
      <c r="BA656" s="249">
        <f t="shared" si="21"/>
        <v>3</v>
      </c>
      <c r="BB656" s="249">
        <v>0</v>
      </c>
      <c r="BC656" s="249">
        <f t="shared" si="20"/>
        <v>1986</v>
      </c>
    </row>
    <row r="657" spans="1:55" x14ac:dyDescent="0.25">
      <c r="A657" s="51" t="s">
        <v>1378</v>
      </c>
      <c r="B657" s="63" t="s">
        <v>1365</v>
      </c>
      <c r="C657" s="14" t="s">
        <v>351</v>
      </c>
      <c r="D657" s="15">
        <v>2000</v>
      </c>
      <c r="E657" s="15" t="s">
        <v>477</v>
      </c>
      <c r="F657" s="15"/>
      <c r="G657" s="15"/>
      <c r="H657" s="15"/>
      <c r="I657" s="15"/>
      <c r="J657" s="16">
        <v>936000</v>
      </c>
      <c r="K657" s="15"/>
      <c r="L657" s="15"/>
      <c r="M657" s="15" t="s">
        <v>328</v>
      </c>
      <c r="N657" s="16">
        <v>6000</v>
      </c>
      <c r="O657" s="21">
        <v>0.3</v>
      </c>
      <c r="P657" s="15">
        <v>2</v>
      </c>
      <c r="Q657" s="15">
        <v>540</v>
      </c>
      <c r="R657" s="16">
        <v>2376</v>
      </c>
      <c r="S657" s="15" t="s">
        <v>340</v>
      </c>
      <c r="T657" s="15">
        <v>2.2000000000000002</v>
      </c>
      <c r="U657" s="15">
        <v>2.5</v>
      </c>
      <c r="V657" s="25">
        <v>3300</v>
      </c>
      <c r="W657" s="22">
        <v>37000</v>
      </c>
      <c r="X657" s="15"/>
      <c r="Y657" s="15" t="s">
        <v>328</v>
      </c>
      <c r="Z657" s="15"/>
      <c r="AA657" s="15"/>
      <c r="AB657" s="15"/>
      <c r="AC657" s="15"/>
      <c r="AD657" s="15" t="s">
        <v>328</v>
      </c>
      <c r="AE657" s="15"/>
      <c r="AF657" s="15"/>
      <c r="AG657" s="15"/>
      <c r="AH657" s="15" t="s">
        <v>328</v>
      </c>
      <c r="AI657" s="15"/>
      <c r="AJ657" s="15"/>
      <c r="AK657" s="15"/>
      <c r="AL657" s="15" t="s">
        <v>328</v>
      </c>
      <c r="AM657" s="15"/>
      <c r="AN657" s="16">
        <v>15000</v>
      </c>
      <c r="AO657" s="16">
        <v>30000</v>
      </c>
      <c r="AP657" s="16">
        <v>30000</v>
      </c>
      <c r="AQ657" s="16">
        <v>120000</v>
      </c>
      <c r="AR657" s="16">
        <v>30000</v>
      </c>
      <c r="AS657" s="22">
        <v>144000</v>
      </c>
      <c r="AT657" s="22">
        <v>0</v>
      </c>
      <c r="AU657" s="22">
        <v>48000</v>
      </c>
      <c r="AV657" s="22">
        <v>25000</v>
      </c>
      <c r="AW657" s="22">
        <v>15000</v>
      </c>
      <c r="AX657" s="66">
        <v>0</v>
      </c>
      <c r="AZ657" s="15"/>
      <c r="BA657" s="249">
        <f t="shared" si="21"/>
        <v>3</v>
      </c>
      <c r="BB657" s="249">
        <v>0</v>
      </c>
      <c r="BC657" s="249">
        <f t="shared" si="20"/>
        <v>2000</v>
      </c>
    </row>
    <row r="658" spans="1:55" x14ac:dyDescent="0.25">
      <c r="A658" s="51" t="s">
        <v>1378</v>
      </c>
      <c r="B658" s="63" t="s">
        <v>1366</v>
      </c>
      <c r="C658" s="15" t="s">
        <v>337</v>
      </c>
      <c r="D658" s="15">
        <v>1986</v>
      </c>
      <c r="E658" s="15"/>
      <c r="F658" s="15">
        <v>1991</v>
      </c>
      <c r="G658" s="15" t="s">
        <v>338</v>
      </c>
      <c r="H658" s="15"/>
      <c r="I658" s="15"/>
      <c r="J658" s="16">
        <v>1680000</v>
      </c>
      <c r="K658" s="15"/>
      <c r="L658" s="15"/>
      <c r="M658" s="15" t="s">
        <v>328</v>
      </c>
      <c r="N658" s="16">
        <v>5000</v>
      </c>
      <c r="O658" s="21">
        <v>0.5</v>
      </c>
      <c r="P658" s="15">
        <v>2</v>
      </c>
      <c r="Q658" s="15">
        <v>660</v>
      </c>
      <c r="R658" s="16">
        <v>2508</v>
      </c>
      <c r="S658" s="15" t="s">
        <v>340</v>
      </c>
      <c r="T658" s="15">
        <v>1.9</v>
      </c>
      <c r="U658" s="15">
        <v>2.2000000000000002</v>
      </c>
      <c r="V658" s="27">
        <v>2200</v>
      </c>
      <c r="W658" s="22">
        <v>31500</v>
      </c>
      <c r="X658" s="15"/>
      <c r="Y658" s="15"/>
      <c r="Z658" s="15"/>
      <c r="AA658" s="15"/>
      <c r="AB658" s="15" t="s">
        <v>328</v>
      </c>
      <c r="AC658" s="15"/>
      <c r="AD658" s="15"/>
      <c r="AE658" s="15" t="s">
        <v>328</v>
      </c>
      <c r="AF658" s="15"/>
      <c r="AG658" s="15"/>
      <c r="AH658" s="15" t="s">
        <v>328</v>
      </c>
      <c r="AI658" s="15"/>
      <c r="AJ658" s="15"/>
      <c r="AK658" s="15"/>
      <c r="AL658" s="15"/>
      <c r="AM658" s="15"/>
      <c r="AN658" s="16">
        <v>30000</v>
      </c>
      <c r="AO658" s="16">
        <v>30000</v>
      </c>
      <c r="AP658" s="16">
        <v>30000</v>
      </c>
      <c r="AQ658" s="16">
        <v>100000</v>
      </c>
      <c r="AR658" s="16">
        <v>30000</v>
      </c>
      <c r="AS658" s="22">
        <v>96000</v>
      </c>
      <c r="AT658" s="22">
        <v>0</v>
      </c>
      <c r="AU658" s="22">
        <v>40000</v>
      </c>
      <c r="AV658" s="22">
        <v>20000</v>
      </c>
      <c r="AW658" s="22">
        <v>18000</v>
      </c>
      <c r="AX658" s="66">
        <v>0</v>
      </c>
      <c r="AZ658" s="15" t="s">
        <v>337</v>
      </c>
      <c r="BA658" s="249">
        <f t="shared" si="21"/>
        <v>3</v>
      </c>
      <c r="BB658" s="249">
        <v>0</v>
      </c>
      <c r="BC658" s="249">
        <f t="shared" si="20"/>
        <v>1991</v>
      </c>
    </row>
    <row r="659" spans="1:55" x14ac:dyDescent="0.25">
      <c r="A659" s="51" t="s">
        <v>1378</v>
      </c>
      <c r="B659" s="63" t="s">
        <v>1366</v>
      </c>
      <c r="C659" s="15" t="s">
        <v>337</v>
      </c>
      <c r="D659" s="15">
        <v>1989</v>
      </c>
      <c r="E659" s="15"/>
      <c r="F659" s="15">
        <v>2000</v>
      </c>
      <c r="G659" s="15" t="s">
        <v>407</v>
      </c>
      <c r="H659" s="15"/>
      <c r="I659" s="15"/>
      <c r="J659" s="16">
        <v>1500000</v>
      </c>
      <c r="K659" s="15"/>
      <c r="L659" s="15"/>
      <c r="M659" s="15" t="s">
        <v>328</v>
      </c>
      <c r="N659" s="16">
        <v>5000</v>
      </c>
      <c r="O659" s="21">
        <v>0.5</v>
      </c>
      <c r="P659" s="15">
        <v>2</v>
      </c>
      <c r="Q659" s="15">
        <v>660</v>
      </c>
      <c r="R659" s="16">
        <v>2508</v>
      </c>
      <c r="S659" s="15" t="s">
        <v>340</v>
      </c>
      <c r="T659" s="15">
        <v>1.9</v>
      </c>
      <c r="U659" s="15">
        <v>2.2000000000000002</v>
      </c>
      <c r="V659" s="27">
        <v>2200</v>
      </c>
      <c r="W659" s="22">
        <v>31500</v>
      </c>
      <c r="X659" s="15"/>
      <c r="Y659" s="15" t="s">
        <v>328</v>
      </c>
      <c r="Z659" s="15"/>
      <c r="AA659" s="15"/>
      <c r="AB659" s="15"/>
      <c r="AC659" s="15"/>
      <c r="AD659" s="15"/>
      <c r="AE659" s="15" t="s">
        <v>328</v>
      </c>
      <c r="AF659" s="15"/>
      <c r="AG659" s="15"/>
      <c r="AH659" s="15" t="s">
        <v>328</v>
      </c>
      <c r="AI659" s="15"/>
      <c r="AJ659" s="15"/>
      <c r="AK659" s="15"/>
      <c r="AL659" s="15"/>
      <c r="AM659" s="15"/>
      <c r="AN659" s="16">
        <v>30000</v>
      </c>
      <c r="AO659" s="16">
        <v>30000</v>
      </c>
      <c r="AP659" s="16">
        <v>30000</v>
      </c>
      <c r="AQ659" s="16">
        <v>100000</v>
      </c>
      <c r="AR659" s="16">
        <v>30000</v>
      </c>
      <c r="AS659" s="22">
        <v>96000</v>
      </c>
      <c r="AT659" s="22">
        <v>0</v>
      </c>
      <c r="AU659" s="22">
        <v>40000</v>
      </c>
      <c r="AV659" s="22">
        <v>20000</v>
      </c>
      <c r="AW659" s="22">
        <v>18000</v>
      </c>
      <c r="AX659" s="66">
        <v>0</v>
      </c>
      <c r="AZ659" s="15" t="s">
        <v>337</v>
      </c>
      <c r="BA659" s="249">
        <f t="shared" si="21"/>
        <v>3</v>
      </c>
      <c r="BB659" s="249">
        <v>0</v>
      </c>
      <c r="BC659" s="249">
        <f t="shared" si="20"/>
        <v>2000</v>
      </c>
    </row>
    <row r="660" spans="1:55" x14ac:dyDescent="0.25">
      <c r="A660" s="51" t="s">
        <v>1378</v>
      </c>
      <c r="B660" s="63" t="s">
        <v>1367</v>
      </c>
      <c r="C660" s="15" t="s">
        <v>337</v>
      </c>
      <c r="D660" s="15">
        <v>1993</v>
      </c>
      <c r="E660" s="15" t="s">
        <v>407</v>
      </c>
      <c r="F660" s="15"/>
      <c r="G660" s="15"/>
      <c r="H660" s="15"/>
      <c r="I660" s="15"/>
      <c r="J660" s="16">
        <v>1512000</v>
      </c>
      <c r="K660" s="15"/>
      <c r="L660" s="15"/>
      <c r="M660" s="15" t="s">
        <v>328</v>
      </c>
      <c r="N660" s="16">
        <v>6000</v>
      </c>
      <c r="O660" s="21">
        <v>0.1</v>
      </c>
      <c r="P660" s="15">
        <v>3</v>
      </c>
      <c r="Q660" s="15">
        <v>1200</v>
      </c>
      <c r="R660" s="16">
        <v>7920.0000000000009</v>
      </c>
      <c r="S660" s="15" t="s">
        <v>340</v>
      </c>
      <c r="T660" s="15">
        <v>2.2000000000000002</v>
      </c>
      <c r="U660" s="15">
        <v>2.4</v>
      </c>
      <c r="V660" s="27">
        <v>2700</v>
      </c>
      <c r="W660" s="22">
        <v>38500</v>
      </c>
      <c r="X660" s="15"/>
      <c r="Y660" s="15"/>
      <c r="Z660" s="15"/>
      <c r="AA660" s="15"/>
      <c r="AB660" s="15" t="s">
        <v>328</v>
      </c>
      <c r="AC660" s="15"/>
      <c r="AD660" s="15" t="s">
        <v>328</v>
      </c>
      <c r="AE660" s="15" t="s">
        <v>328</v>
      </c>
      <c r="AF660" s="15"/>
      <c r="AG660" s="15"/>
      <c r="AH660" s="15" t="s">
        <v>328</v>
      </c>
      <c r="AI660" s="15"/>
      <c r="AJ660" s="15"/>
      <c r="AK660" s="15"/>
      <c r="AL660" s="15" t="s">
        <v>328</v>
      </c>
      <c r="AM660" s="15" t="s">
        <v>328</v>
      </c>
      <c r="AN660" s="16">
        <v>16000</v>
      </c>
      <c r="AO660" s="16">
        <v>25000</v>
      </c>
      <c r="AP660" s="16">
        <v>30000</v>
      </c>
      <c r="AQ660" s="16">
        <v>130000</v>
      </c>
      <c r="AR660" s="16">
        <v>25000</v>
      </c>
      <c r="AS660" s="22">
        <v>90000</v>
      </c>
      <c r="AT660" s="22">
        <v>0</v>
      </c>
      <c r="AU660" s="22">
        <v>50000</v>
      </c>
      <c r="AV660" s="22">
        <v>15000</v>
      </c>
      <c r="AW660" s="22">
        <v>11000</v>
      </c>
      <c r="AX660" s="66">
        <v>0</v>
      </c>
      <c r="AZ660" s="15" t="s">
        <v>337</v>
      </c>
      <c r="BA660" s="249">
        <f t="shared" si="21"/>
        <v>4</v>
      </c>
      <c r="BB660" s="249">
        <v>0</v>
      </c>
      <c r="BC660" s="249">
        <f t="shared" si="20"/>
        <v>1993</v>
      </c>
    </row>
    <row r="661" spans="1:55" x14ac:dyDescent="0.25">
      <c r="A661" s="51" t="s">
        <v>1378</v>
      </c>
      <c r="B661" s="63" t="s">
        <v>1367</v>
      </c>
      <c r="C661" s="15" t="s">
        <v>337</v>
      </c>
      <c r="D661" s="15">
        <v>1993</v>
      </c>
      <c r="E661" s="15" t="s">
        <v>407</v>
      </c>
      <c r="F661" s="15"/>
      <c r="G661" s="15"/>
      <c r="H661" s="15"/>
      <c r="I661" s="15"/>
      <c r="J661" s="16">
        <v>1512000</v>
      </c>
      <c r="K661" s="15"/>
      <c r="L661" s="15"/>
      <c r="M661" s="15" t="s">
        <v>328</v>
      </c>
      <c r="N661" s="16">
        <v>6000</v>
      </c>
      <c r="O661" s="21">
        <v>0.1</v>
      </c>
      <c r="P661" s="15">
        <v>3</v>
      </c>
      <c r="Q661" s="15">
        <v>1200</v>
      </c>
      <c r="R661" s="16">
        <v>7920.0000000000009</v>
      </c>
      <c r="S661" s="15" t="s">
        <v>340</v>
      </c>
      <c r="T661" s="15">
        <v>2.2000000000000002</v>
      </c>
      <c r="U661" s="15">
        <v>2.4</v>
      </c>
      <c r="V661" s="27">
        <v>2700</v>
      </c>
      <c r="W661" s="22">
        <v>38500</v>
      </c>
      <c r="X661" s="15"/>
      <c r="Y661" s="15"/>
      <c r="Z661" s="15"/>
      <c r="AA661" s="15"/>
      <c r="AB661" s="15" t="s">
        <v>328</v>
      </c>
      <c r="AC661" s="15"/>
      <c r="AD661" s="15" t="s">
        <v>328</v>
      </c>
      <c r="AE661" s="15" t="s">
        <v>328</v>
      </c>
      <c r="AF661" s="15"/>
      <c r="AG661" s="15"/>
      <c r="AH661" s="15" t="s">
        <v>328</v>
      </c>
      <c r="AI661" s="15"/>
      <c r="AJ661" s="15"/>
      <c r="AK661" s="15"/>
      <c r="AL661" s="15" t="s">
        <v>328</v>
      </c>
      <c r="AM661" s="15" t="s">
        <v>328</v>
      </c>
      <c r="AN661" s="16">
        <v>16000</v>
      </c>
      <c r="AO661" s="16">
        <v>25000</v>
      </c>
      <c r="AP661" s="16">
        <v>30000</v>
      </c>
      <c r="AQ661" s="16">
        <v>130000</v>
      </c>
      <c r="AR661" s="16">
        <v>25000</v>
      </c>
      <c r="AS661" s="22">
        <v>90000</v>
      </c>
      <c r="AT661" s="22">
        <v>0</v>
      </c>
      <c r="AU661" s="22">
        <v>50000</v>
      </c>
      <c r="AV661" s="22">
        <v>15000</v>
      </c>
      <c r="AW661" s="22">
        <v>11000</v>
      </c>
      <c r="AX661" s="66">
        <v>0</v>
      </c>
      <c r="AZ661" s="15" t="s">
        <v>337</v>
      </c>
      <c r="BA661" s="249">
        <f t="shared" si="21"/>
        <v>4</v>
      </c>
      <c r="BB661" s="249">
        <v>0</v>
      </c>
      <c r="BC661" s="249">
        <f t="shared" si="20"/>
        <v>1993</v>
      </c>
    </row>
    <row r="662" spans="1:55" x14ac:dyDescent="0.25">
      <c r="A662" s="51" t="s">
        <v>1378</v>
      </c>
      <c r="B662" s="63" t="s">
        <v>1367</v>
      </c>
      <c r="C662" s="15" t="s">
        <v>337</v>
      </c>
      <c r="D662" s="15">
        <v>1993</v>
      </c>
      <c r="E662" s="15" t="s">
        <v>407</v>
      </c>
      <c r="F662" s="15"/>
      <c r="G662" s="15"/>
      <c r="H662" s="15"/>
      <c r="I662" s="15"/>
      <c r="J662" s="16">
        <v>1512000</v>
      </c>
      <c r="K662" s="15"/>
      <c r="L662" s="15"/>
      <c r="M662" s="15" t="s">
        <v>328</v>
      </c>
      <c r="N662" s="16">
        <v>6000</v>
      </c>
      <c r="O662" s="21">
        <v>0.1</v>
      </c>
      <c r="P662" s="15">
        <v>3</v>
      </c>
      <c r="Q662" s="15">
        <v>1200</v>
      </c>
      <c r="R662" s="16">
        <v>7920.0000000000009</v>
      </c>
      <c r="S662" s="15" t="s">
        <v>340</v>
      </c>
      <c r="T662" s="15">
        <v>2.2000000000000002</v>
      </c>
      <c r="U662" s="15">
        <v>2.4</v>
      </c>
      <c r="V662" s="27">
        <v>2700</v>
      </c>
      <c r="W662" s="22">
        <v>38500</v>
      </c>
      <c r="X662" s="15"/>
      <c r="Y662" s="15"/>
      <c r="Z662" s="15"/>
      <c r="AA662" s="15"/>
      <c r="AB662" s="15" t="s">
        <v>328</v>
      </c>
      <c r="AC662" s="15"/>
      <c r="AD662" s="15" t="s">
        <v>328</v>
      </c>
      <c r="AE662" s="15" t="s">
        <v>328</v>
      </c>
      <c r="AF662" s="15"/>
      <c r="AG662" s="15"/>
      <c r="AH662" s="15" t="s">
        <v>328</v>
      </c>
      <c r="AI662" s="15"/>
      <c r="AJ662" s="15"/>
      <c r="AK662" s="15"/>
      <c r="AL662" s="15" t="s">
        <v>328</v>
      </c>
      <c r="AM662" s="15" t="s">
        <v>328</v>
      </c>
      <c r="AN662" s="16">
        <v>16000</v>
      </c>
      <c r="AO662" s="16">
        <v>25000</v>
      </c>
      <c r="AP662" s="16">
        <v>30000</v>
      </c>
      <c r="AQ662" s="16">
        <v>130000</v>
      </c>
      <c r="AR662" s="16">
        <v>25000</v>
      </c>
      <c r="AS662" s="22">
        <v>90000</v>
      </c>
      <c r="AT662" s="22">
        <v>0</v>
      </c>
      <c r="AU662" s="22">
        <v>50000</v>
      </c>
      <c r="AV662" s="22">
        <v>15000</v>
      </c>
      <c r="AW662" s="22">
        <v>11000</v>
      </c>
      <c r="AX662" s="66">
        <v>0</v>
      </c>
      <c r="AZ662" s="15" t="s">
        <v>337</v>
      </c>
      <c r="BA662" s="249">
        <f t="shared" si="21"/>
        <v>4</v>
      </c>
      <c r="BB662" s="249">
        <v>0</v>
      </c>
      <c r="BC662" s="249">
        <f t="shared" si="20"/>
        <v>1993</v>
      </c>
    </row>
    <row r="663" spans="1:55" x14ac:dyDescent="0.25">
      <c r="A663" s="51" t="s">
        <v>1378</v>
      </c>
      <c r="B663" s="63" t="s">
        <v>1367</v>
      </c>
      <c r="C663" s="15" t="s">
        <v>337</v>
      </c>
      <c r="D663" s="15">
        <v>1993</v>
      </c>
      <c r="E663" s="15" t="s">
        <v>407</v>
      </c>
      <c r="F663" s="15"/>
      <c r="G663" s="15"/>
      <c r="H663" s="15"/>
      <c r="I663" s="15"/>
      <c r="J663" s="16">
        <v>1512000</v>
      </c>
      <c r="K663" s="15"/>
      <c r="L663" s="15"/>
      <c r="M663" s="15" t="s">
        <v>328</v>
      </c>
      <c r="N663" s="16">
        <v>6000</v>
      </c>
      <c r="O663" s="21">
        <v>0.1</v>
      </c>
      <c r="P663" s="15">
        <v>3</v>
      </c>
      <c r="Q663" s="15">
        <v>1200</v>
      </c>
      <c r="R663" s="16">
        <v>7920.0000000000009</v>
      </c>
      <c r="S663" s="15" t="s">
        <v>340</v>
      </c>
      <c r="T663" s="15">
        <v>2.2000000000000002</v>
      </c>
      <c r="U663" s="15">
        <v>2.4</v>
      </c>
      <c r="V663" s="27">
        <v>2700</v>
      </c>
      <c r="W663" s="22">
        <v>38500</v>
      </c>
      <c r="X663" s="15"/>
      <c r="Y663" s="15"/>
      <c r="Z663" s="15"/>
      <c r="AA663" s="15"/>
      <c r="AB663" s="15" t="s">
        <v>328</v>
      </c>
      <c r="AC663" s="15"/>
      <c r="AD663" s="15" t="s">
        <v>328</v>
      </c>
      <c r="AE663" s="15" t="s">
        <v>328</v>
      </c>
      <c r="AF663" s="15"/>
      <c r="AG663" s="15"/>
      <c r="AH663" s="15" t="s">
        <v>328</v>
      </c>
      <c r="AI663" s="15"/>
      <c r="AJ663" s="15"/>
      <c r="AK663" s="15"/>
      <c r="AL663" s="15" t="s">
        <v>328</v>
      </c>
      <c r="AM663" s="15" t="s">
        <v>328</v>
      </c>
      <c r="AN663" s="16">
        <v>16000</v>
      </c>
      <c r="AO663" s="16">
        <v>25000</v>
      </c>
      <c r="AP663" s="16">
        <v>30000</v>
      </c>
      <c r="AQ663" s="16">
        <v>130000</v>
      </c>
      <c r="AR663" s="16">
        <v>25000</v>
      </c>
      <c r="AS663" s="22">
        <v>90000</v>
      </c>
      <c r="AT663" s="22">
        <v>0</v>
      </c>
      <c r="AU663" s="22">
        <v>50000</v>
      </c>
      <c r="AV663" s="22">
        <v>15000</v>
      </c>
      <c r="AW663" s="22">
        <v>11000</v>
      </c>
      <c r="AX663" s="66">
        <v>0</v>
      </c>
      <c r="AZ663" s="15" t="s">
        <v>337</v>
      </c>
      <c r="BA663" s="249">
        <f t="shared" si="21"/>
        <v>4</v>
      </c>
      <c r="BB663" s="249">
        <v>0</v>
      </c>
      <c r="BC663" s="249">
        <f t="shared" si="20"/>
        <v>1993</v>
      </c>
    </row>
    <row r="664" spans="1:55" x14ac:dyDescent="0.25">
      <c r="A664" s="51" t="s">
        <v>1378</v>
      </c>
      <c r="B664" s="63" t="s">
        <v>1368</v>
      </c>
      <c r="C664" s="15" t="s">
        <v>348</v>
      </c>
      <c r="D664" s="15">
        <v>2004</v>
      </c>
      <c r="E664" s="15" t="s">
        <v>384</v>
      </c>
      <c r="F664" s="15"/>
      <c r="G664" s="15"/>
      <c r="H664" s="15"/>
      <c r="I664" s="15"/>
      <c r="J664" s="16">
        <v>350000</v>
      </c>
      <c r="K664" s="15"/>
      <c r="L664" s="15" t="s">
        <v>328</v>
      </c>
      <c r="M664" s="15"/>
      <c r="N664" s="16">
        <v>3000</v>
      </c>
      <c r="O664" s="21">
        <v>0.5</v>
      </c>
      <c r="P664" s="15">
        <v>1</v>
      </c>
      <c r="Q664" s="15">
        <v>280</v>
      </c>
      <c r="R664" s="16">
        <v>1680</v>
      </c>
      <c r="S664" s="15" t="s">
        <v>371</v>
      </c>
      <c r="T664" s="15">
        <v>6</v>
      </c>
      <c r="U664" s="15">
        <v>9</v>
      </c>
      <c r="V664" s="27">
        <v>500</v>
      </c>
      <c r="W664" s="22">
        <v>6070</v>
      </c>
      <c r="X664" s="15"/>
      <c r="Y664" s="15" t="s">
        <v>328</v>
      </c>
      <c r="Z664" s="15"/>
      <c r="AA664" s="15"/>
      <c r="AB664" s="15"/>
      <c r="AC664" s="15"/>
      <c r="AD664" s="15" t="s">
        <v>332</v>
      </c>
      <c r="AE664" s="15"/>
      <c r="AF664" s="15"/>
      <c r="AG664" s="15"/>
      <c r="AH664" s="15"/>
      <c r="AI664" s="15"/>
      <c r="AJ664" s="15"/>
      <c r="AK664" s="15"/>
      <c r="AL664" s="15"/>
      <c r="AM664" s="15"/>
      <c r="AN664" s="16">
        <v>10000</v>
      </c>
      <c r="AO664" s="16">
        <v>20000</v>
      </c>
      <c r="AP664" s="16">
        <v>20000</v>
      </c>
      <c r="AQ664" s="16">
        <v>110000</v>
      </c>
      <c r="AR664" s="16" t="s">
        <v>385</v>
      </c>
      <c r="AS664" s="22">
        <v>84000</v>
      </c>
      <c r="AT664" s="22">
        <v>0</v>
      </c>
      <c r="AU664" s="22">
        <v>20000</v>
      </c>
      <c r="AV664" s="22">
        <v>12000</v>
      </c>
      <c r="AW664" s="22">
        <v>9000</v>
      </c>
      <c r="AX664" s="66">
        <v>0</v>
      </c>
      <c r="AZ664" s="15" t="s">
        <v>348</v>
      </c>
      <c r="BA664" s="249">
        <f t="shared" si="21"/>
        <v>3</v>
      </c>
      <c r="BB664" s="249">
        <v>0</v>
      </c>
      <c r="BC664" s="249">
        <f t="shared" si="20"/>
        <v>2004</v>
      </c>
    </row>
    <row r="665" spans="1:55" x14ac:dyDescent="0.25">
      <c r="A665" s="51" t="s">
        <v>1378</v>
      </c>
      <c r="B665" s="63" t="s">
        <v>1368</v>
      </c>
      <c r="C665" s="15" t="s">
        <v>348</v>
      </c>
      <c r="D665" s="15">
        <v>2004</v>
      </c>
      <c r="E665" s="15" t="s">
        <v>360</v>
      </c>
      <c r="F665" s="15"/>
      <c r="G665" s="15"/>
      <c r="H665" s="15"/>
      <c r="I665" s="15"/>
      <c r="J665" s="16">
        <v>600000</v>
      </c>
      <c r="K665" s="15"/>
      <c r="L665" s="15" t="s">
        <v>328</v>
      </c>
      <c r="M665" s="15"/>
      <c r="N665" s="16">
        <v>3000</v>
      </c>
      <c r="O665" s="21">
        <v>0.5</v>
      </c>
      <c r="P665" s="15">
        <v>1</v>
      </c>
      <c r="Q665" s="15">
        <v>280</v>
      </c>
      <c r="R665" s="16">
        <v>1400</v>
      </c>
      <c r="S665" s="15" t="s">
        <v>371</v>
      </c>
      <c r="T665" s="15">
        <v>5</v>
      </c>
      <c r="U665" s="15">
        <v>8</v>
      </c>
      <c r="V665" s="27">
        <v>600</v>
      </c>
      <c r="W665" s="22">
        <v>7284</v>
      </c>
      <c r="X665" s="15"/>
      <c r="Y665" s="15" t="s">
        <v>328</v>
      </c>
      <c r="Z665" s="15"/>
      <c r="AA665" s="15"/>
      <c r="AB665" s="15"/>
      <c r="AC665" s="15"/>
      <c r="AD665" s="15" t="s">
        <v>332</v>
      </c>
      <c r="AE665" s="15"/>
      <c r="AF665" s="15"/>
      <c r="AG665" s="15"/>
      <c r="AH665" s="15"/>
      <c r="AI665" s="15"/>
      <c r="AJ665" s="15"/>
      <c r="AK665" s="15"/>
      <c r="AL665" s="15"/>
      <c r="AM665" s="15"/>
      <c r="AN665" s="16">
        <v>10000</v>
      </c>
      <c r="AO665" s="16">
        <v>20000</v>
      </c>
      <c r="AP665" s="16">
        <v>20000</v>
      </c>
      <c r="AQ665" s="16">
        <v>110000</v>
      </c>
      <c r="AR665" s="16" t="s">
        <v>385</v>
      </c>
      <c r="AS665" s="22">
        <v>84000</v>
      </c>
      <c r="AT665" s="22">
        <v>0</v>
      </c>
      <c r="AU665" s="22">
        <v>20000</v>
      </c>
      <c r="AV665" s="22">
        <v>12000</v>
      </c>
      <c r="AW665" s="22">
        <v>9000</v>
      </c>
      <c r="AX665" s="66">
        <v>0</v>
      </c>
      <c r="AZ665" s="15" t="s">
        <v>348</v>
      </c>
      <c r="BA665" s="249">
        <f t="shared" si="21"/>
        <v>3</v>
      </c>
      <c r="BB665" s="249">
        <v>0</v>
      </c>
      <c r="BC665" s="249">
        <f t="shared" si="20"/>
        <v>2004</v>
      </c>
    </row>
    <row r="666" spans="1:55" x14ac:dyDescent="0.25">
      <c r="A666" s="51" t="s">
        <v>1378</v>
      </c>
      <c r="B666" s="63" t="s">
        <v>1368</v>
      </c>
      <c r="C666" s="14" t="s">
        <v>351</v>
      </c>
      <c r="D666" s="15">
        <v>2006</v>
      </c>
      <c r="E666" s="15" t="s">
        <v>429</v>
      </c>
      <c r="F666" s="15"/>
      <c r="G666" s="15"/>
      <c r="H666" s="15"/>
      <c r="I666" s="15"/>
      <c r="J666" s="16">
        <v>520000</v>
      </c>
      <c r="K666" s="15"/>
      <c r="L666" s="15" t="s">
        <v>328</v>
      </c>
      <c r="M666" s="15"/>
      <c r="N666" s="16">
        <v>3000</v>
      </c>
      <c r="O666" s="21">
        <v>0.5</v>
      </c>
      <c r="P666" s="15">
        <v>2</v>
      </c>
      <c r="Q666" s="15">
        <v>280</v>
      </c>
      <c r="R666" s="16">
        <v>1344</v>
      </c>
      <c r="S666" s="15" t="s">
        <v>340</v>
      </c>
      <c r="T666" s="15">
        <v>2.4</v>
      </c>
      <c r="U666" s="15">
        <v>3</v>
      </c>
      <c r="V666" s="27">
        <v>1250</v>
      </c>
      <c r="W666" s="22">
        <v>17675</v>
      </c>
      <c r="X666" s="15"/>
      <c r="Y666" s="15"/>
      <c r="Z666" s="15"/>
      <c r="AA666" s="15"/>
      <c r="AB666" s="15" t="s">
        <v>328</v>
      </c>
      <c r="AC666" s="15"/>
      <c r="AD666" s="15" t="s">
        <v>332</v>
      </c>
      <c r="AE666" s="15"/>
      <c r="AF666" s="15"/>
      <c r="AG666" s="15"/>
      <c r="AH666" s="15"/>
      <c r="AI666" s="15"/>
      <c r="AJ666" s="15"/>
      <c r="AK666" s="15"/>
      <c r="AL666" s="15"/>
      <c r="AM666" s="15"/>
      <c r="AN666" s="16">
        <v>15000</v>
      </c>
      <c r="AO666" s="16">
        <v>30000</v>
      </c>
      <c r="AP666" s="16">
        <v>30000</v>
      </c>
      <c r="AQ666" s="16">
        <v>110000</v>
      </c>
      <c r="AR666" s="16">
        <v>30000</v>
      </c>
      <c r="AS666" s="22">
        <v>84000</v>
      </c>
      <c r="AT666" s="22">
        <v>0</v>
      </c>
      <c r="AU666" s="22">
        <v>30000</v>
      </c>
      <c r="AV666" s="22">
        <v>12000</v>
      </c>
      <c r="AW666" s="22">
        <v>9000</v>
      </c>
      <c r="AX666" s="66">
        <v>0</v>
      </c>
      <c r="AZ666" s="15" t="s">
        <v>351</v>
      </c>
      <c r="BA666" s="249">
        <f t="shared" si="21"/>
        <v>3</v>
      </c>
      <c r="BB666" s="249">
        <v>0</v>
      </c>
      <c r="BC666" s="249">
        <f t="shared" si="20"/>
        <v>2006</v>
      </c>
    </row>
    <row r="667" spans="1:55" x14ac:dyDescent="0.25">
      <c r="A667" s="51" t="s">
        <v>1378</v>
      </c>
      <c r="B667" s="63" t="s">
        <v>1369</v>
      </c>
      <c r="C667" s="15" t="s">
        <v>348</v>
      </c>
      <c r="D667" s="15">
        <v>2007</v>
      </c>
      <c r="E667" s="15" t="s">
        <v>477</v>
      </c>
      <c r="F667" s="15"/>
      <c r="G667" s="15"/>
      <c r="H667" s="15"/>
      <c r="I667" s="15"/>
      <c r="J667" s="16">
        <v>134400</v>
      </c>
      <c r="K667" s="15" t="s">
        <v>328</v>
      </c>
      <c r="L667" s="15"/>
      <c r="M667" s="15"/>
      <c r="N667" s="16">
        <v>1600</v>
      </c>
      <c r="O667" s="21">
        <v>0.6</v>
      </c>
      <c r="P667" s="15">
        <v>2</v>
      </c>
      <c r="Q667" s="15">
        <v>400</v>
      </c>
      <c r="R667" s="16">
        <v>800</v>
      </c>
      <c r="S667" s="15" t="s">
        <v>340</v>
      </c>
      <c r="T667" s="15">
        <v>1.5</v>
      </c>
      <c r="U667" s="15">
        <v>2.5</v>
      </c>
      <c r="V667" s="27">
        <v>800</v>
      </c>
      <c r="W667" s="22">
        <v>11500</v>
      </c>
      <c r="X667" s="15"/>
      <c r="Y667" s="15" t="s">
        <v>328</v>
      </c>
      <c r="Z667" s="15"/>
      <c r="AA667" s="15"/>
      <c r="AB667" s="15"/>
      <c r="AC667" s="15"/>
      <c r="AD667" s="15" t="s">
        <v>328</v>
      </c>
      <c r="AE667" s="15" t="s">
        <v>328</v>
      </c>
      <c r="AF667" s="15"/>
      <c r="AG667" s="15" t="s">
        <v>328</v>
      </c>
      <c r="AH667" s="15" t="s">
        <v>328</v>
      </c>
      <c r="AI667" s="15"/>
      <c r="AJ667" s="15"/>
      <c r="AK667" s="15"/>
      <c r="AL667" s="15"/>
      <c r="AM667" s="15"/>
      <c r="AN667" s="16">
        <v>19200</v>
      </c>
      <c r="AO667" s="16">
        <v>19200</v>
      </c>
      <c r="AP667" s="16">
        <v>19200</v>
      </c>
      <c r="AQ667" s="16">
        <v>80000</v>
      </c>
      <c r="AR667" s="16">
        <v>19200</v>
      </c>
      <c r="AS667" s="22">
        <v>84000</v>
      </c>
      <c r="AT667" s="22">
        <v>0</v>
      </c>
      <c r="AU667" s="22">
        <v>40000</v>
      </c>
      <c r="AV667" s="22">
        <v>60000</v>
      </c>
      <c r="AW667" s="22">
        <v>0</v>
      </c>
      <c r="AX667" s="66">
        <v>0</v>
      </c>
      <c r="AZ667" s="15" t="s">
        <v>348</v>
      </c>
      <c r="BA667" s="249">
        <f t="shared" si="21"/>
        <v>3</v>
      </c>
      <c r="BB667" s="249">
        <v>0</v>
      </c>
      <c r="BC667" s="249">
        <f t="shared" si="20"/>
        <v>2007</v>
      </c>
    </row>
    <row r="668" spans="1:55" x14ac:dyDescent="0.25">
      <c r="A668" s="51" t="s">
        <v>1378</v>
      </c>
      <c r="B668" s="63" t="s">
        <v>1369</v>
      </c>
      <c r="C668" s="15" t="s">
        <v>348</v>
      </c>
      <c r="D668" s="15">
        <v>2007</v>
      </c>
      <c r="E668" s="15" t="s">
        <v>477</v>
      </c>
      <c r="F668" s="15"/>
      <c r="G668" s="15"/>
      <c r="H668" s="15"/>
      <c r="I668" s="15"/>
      <c r="J668" s="16">
        <v>134400</v>
      </c>
      <c r="K668" s="15" t="s">
        <v>328</v>
      </c>
      <c r="L668" s="15"/>
      <c r="M668" s="15"/>
      <c r="N668" s="16">
        <v>1600</v>
      </c>
      <c r="O668" s="21">
        <v>0.6</v>
      </c>
      <c r="P668" s="15">
        <v>2</v>
      </c>
      <c r="Q668" s="15">
        <v>400</v>
      </c>
      <c r="R668" s="16">
        <v>800</v>
      </c>
      <c r="S668" s="15" t="s">
        <v>340</v>
      </c>
      <c r="T668" s="15">
        <v>1.5</v>
      </c>
      <c r="U668" s="15">
        <v>2.5</v>
      </c>
      <c r="V668" s="27">
        <v>800</v>
      </c>
      <c r="W668" s="22">
        <v>11500</v>
      </c>
      <c r="X668" s="15"/>
      <c r="Y668" s="15" t="s">
        <v>328</v>
      </c>
      <c r="Z668" s="15"/>
      <c r="AA668" s="15"/>
      <c r="AB668" s="15"/>
      <c r="AC668" s="15"/>
      <c r="AD668" s="15" t="s">
        <v>328</v>
      </c>
      <c r="AE668" s="15" t="s">
        <v>328</v>
      </c>
      <c r="AF668" s="15"/>
      <c r="AG668" s="15" t="s">
        <v>328</v>
      </c>
      <c r="AH668" s="15" t="s">
        <v>328</v>
      </c>
      <c r="AI668" s="15"/>
      <c r="AJ668" s="15"/>
      <c r="AK668" s="15"/>
      <c r="AL668" s="15"/>
      <c r="AM668" s="15"/>
      <c r="AN668" s="16">
        <v>19200</v>
      </c>
      <c r="AO668" s="16">
        <v>19200</v>
      </c>
      <c r="AP668" s="16">
        <v>19200</v>
      </c>
      <c r="AQ668" s="16">
        <v>80000</v>
      </c>
      <c r="AR668" s="16">
        <v>19200</v>
      </c>
      <c r="AS668" s="22">
        <v>84000</v>
      </c>
      <c r="AT668" s="22">
        <v>0</v>
      </c>
      <c r="AU668" s="22">
        <v>40000</v>
      </c>
      <c r="AV668" s="22">
        <v>60000</v>
      </c>
      <c r="AW668" s="22">
        <v>0</v>
      </c>
      <c r="AX668" s="66">
        <v>0</v>
      </c>
      <c r="AZ668" s="15" t="s">
        <v>348</v>
      </c>
      <c r="BA668" s="249">
        <f t="shared" si="21"/>
        <v>3</v>
      </c>
      <c r="BB668" s="249">
        <v>0</v>
      </c>
      <c r="BC668" s="249">
        <f t="shared" si="20"/>
        <v>2007</v>
      </c>
    </row>
    <row r="669" spans="1:55" x14ac:dyDescent="0.25">
      <c r="A669" s="51" t="s">
        <v>1378</v>
      </c>
      <c r="B669" s="63" t="s">
        <v>1369</v>
      </c>
      <c r="C669" s="15" t="s">
        <v>348</v>
      </c>
      <c r="D669" s="15">
        <v>1978</v>
      </c>
      <c r="E669" s="15"/>
      <c r="F669" s="15"/>
      <c r="G669" s="15"/>
      <c r="H669" s="15">
        <v>2001</v>
      </c>
      <c r="I669" s="15" t="s">
        <v>381</v>
      </c>
      <c r="J669" s="16">
        <v>691200</v>
      </c>
      <c r="K669" s="15"/>
      <c r="L669" s="15"/>
      <c r="M669" s="15" t="s">
        <v>328</v>
      </c>
      <c r="N669" s="16">
        <v>1600</v>
      </c>
      <c r="O669" s="21">
        <v>0.6</v>
      </c>
      <c r="P669" s="15">
        <v>2</v>
      </c>
      <c r="Q669" s="15">
        <v>500</v>
      </c>
      <c r="R669" s="16">
        <v>900</v>
      </c>
      <c r="S669" s="15" t="s">
        <v>340</v>
      </c>
      <c r="T669" s="15">
        <v>1.7</v>
      </c>
      <c r="U669" s="15">
        <v>2.2999999999999998</v>
      </c>
      <c r="V669" s="27">
        <v>800</v>
      </c>
      <c r="W669" s="22">
        <v>11500</v>
      </c>
      <c r="X669" s="15"/>
      <c r="Y669" s="15" t="s">
        <v>328</v>
      </c>
      <c r="Z669" s="15"/>
      <c r="AA669" s="15"/>
      <c r="AB669" s="15"/>
      <c r="AC669" s="15"/>
      <c r="AD669" s="15"/>
      <c r="AE669" s="15" t="s">
        <v>328</v>
      </c>
      <c r="AF669" s="15"/>
      <c r="AG669" s="15" t="s">
        <v>328</v>
      </c>
      <c r="AH669" s="15" t="s">
        <v>328</v>
      </c>
      <c r="AI669" s="15"/>
      <c r="AJ669" s="15"/>
      <c r="AK669" s="15"/>
      <c r="AL669" s="15"/>
      <c r="AM669" s="15"/>
      <c r="AN669" s="16">
        <v>19200</v>
      </c>
      <c r="AO669" s="16">
        <v>19200</v>
      </c>
      <c r="AP669" s="16">
        <v>19200</v>
      </c>
      <c r="AQ669" s="16">
        <v>80000</v>
      </c>
      <c r="AR669" s="16">
        <v>19200</v>
      </c>
      <c r="AS669" s="22">
        <v>84000</v>
      </c>
      <c r="AT669" s="22">
        <v>0</v>
      </c>
      <c r="AU669" s="22">
        <v>40000</v>
      </c>
      <c r="AV669" s="22">
        <v>60000</v>
      </c>
      <c r="AW669" s="22">
        <v>0</v>
      </c>
      <c r="AX669" s="66">
        <v>0</v>
      </c>
      <c r="AZ669" s="15" t="s">
        <v>348</v>
      </c>
      <c r="BA669" s="249">
        <f t="shared" si="21"/>
        <v>3</v>
      </c>
      <c r="BB669" s="249">
        <v>0</v>
      </c>
      <c r="BC669" s="249">
        <f t="shared" si="20"/>
        <v>2001</v>
      </c>
    </row>
    <row r="670" spans="1:55" x14ac:dyDescent="0.25">
      <c r="A670" s="51" t="s">
        <v>1378</v>
      </c>
      <c r="B670" s="63" t="s">
        <v>1370</v>
      </c>
      <c r="C670" s="15" t="s">
        <v>348</v>
      </c>
      <c r="D670" s="15">
        <v>1976</v>
      </c>
      <c r="E670" s="15"/>
      <c r="F670" s="15"/>
      <c r="G670" s="15"/>
      <c r="H670" s="15">
        <v>2002</v>
      </c>
      <c r="I670" s="15" t="s">
        <v>407</v>
      </c>
      <c r="J670" s="16">
        <v>800000</v>
      </c>
      <c r="K670" s="15"/>
      <c r="L670" s="15" t="s">
        <v>328</v>
      </c>
      <c r="M670" s="15"/>
      <c r="N670" s="16">
        <v>2000</v>
      </c>
      <c r="O670" s="21">
        <v>0.5</v>
      </c>
      <c r="P670" s="15">
        <v>2</v>
      </c>
      <c r="Q670" s="15">
        <v>185</v>
      </c>
      <c r="R670" s="16">
        <v>1200</v>
      </c>
      <c r="S670" s="15" t="s">
        <v>340</v>
      </c>
      <c r="T670" s="15">
        <v>3</v>
      </c>
      <c r="U670" s="15">
        <v>3.5</v>
      </c>
      <c r="V670" s="27">
        <v>700</v>
      </c>
      <c r="W670" s="22">
        <v>9500</v>
      </c>
      <c r="X670" s="15"/>
      <c r="Y670" s="15"/>
      <c r="Z670" s="15"/>
      <c r="AA670" s="15"/>
      <c r="AB670" s="15" t="s">
        <v>328</v>
      </c>
      <c r="AC670" s="15"/>
      <c r="AD670" s="15"/>
      <c r="AE670" s="15" t="s">
        <v>328</v>
      </c>
      <c r="AF670" s="15"/>
      <c r="AG670" s="15"/>
      <c r="AH670" s="15" t="s">
        <v>328</v>
      </c>
      <c r="AI670" s="15"/>
      <c r="AJ670" s="15"/>
      <c r="AK670" s="15"/>
      <c r="AL670" s="15"/>
      <c r="AM670" s="15"/>
      <c r="AN670" s="16">
        <v>8000</v>
      </c>
      <c r="AO670" s="16">
        <v>12000</v>
      </c>
      <c r="AP670" s="16">
        <v>8000</v>
      </c>
      <c r="AQ670" s="16">
        <v>100000</v>
      </c>
      <c r="AR670" s="16">
        <v>8000</v>
      </c>
      <c r="AS670" s="22">
        <v>60000</v>
      </c>
      <c r="AT670" s="22">
        <v>0</v>
      </c>
      <c r="AU670" s="22">
        <v>35000</v>
      </c>
      <c r="AV670" s="22">
        <v>10000</v>
      </c>
      <c r="AW670" s="22">
        <v>0</v>
      </c>
      <c r="AX670" s="66">
        <v>0</v>
      </c>
      <c r="AZ670" s="15" t="s">
        <v>348</v>
      </c>
      <c r="BA670" s="249">
        <f t="shared" si="21"/>
        <v>1</v>
      </c>
      <c r="BB670" s="249">
        <v>0</v>
      </c>
      <c r="BC670" s="249">
        <f t="shared" si="20"/>
        <v>2002</v>
      </c>
    </row>
    <row r="671" spans="1:55" x14ac:dyDescent="0.25">
      <c r="A671" s="51" t="s">
        <v>1378</v>
      </c>
      <c r="B671" s="63" t="s">
        <v>1371</v>
      </c>
      <c r="C671" s="15" t="s">
        <v>337</v>
      </c>
      <c r="D671" s="15">
        <v>1990</v>
      </c>
      <c r="E671" s="15" t="s">
        <v>581</v>
      </c>
      <c r="F671" s="15"/>
      <c r="G671" s="15"/>
      <c r="H671" s="15"/>
      <c r="I671" s="15"/>
      <c r="J671" s="16">
        <v>2500000</v>
      </c>
      <c r="K671" s="15"/>
      <c r="L671" s="15"/>
      <c r="M671" s="15" t="s">
        <v>328</v>
      </c>
      <c r="N671" s="16">
        <v>4000</v>
      </c>
      <c r="O671" s="21">
        <v>0.5</v>
      </c>
      <c r="P671" s="15">
        <v>2</v>
      </c>
      <c r="Q671" s="15">
        <v>500</v>
      </c>
      <c r="R671" s="16">
        <v>2200</v>
      </c>
      <c r="S671" s="15" t="s">
        <v>340</v>
      </c>
      <c r="T671" s="15">
        <v>2.2000000000000002</v>
      </c>
      <c r="U671" s="15">
        <v>2.4</v>
      </c>
      <c r="V671" s="27">
        <v>1800</v>
      </c>
      <c r="W671" s="22">
        <v>25000</v>
      </c>
      <c r="X671" s="15"/>
      <c r="Y671" s="15"/>
      <c r="Z671" s="15"/>
      <c r="AA671" s="15"/>
      <c r="AB671" s="15" t="s">
        <v>328</v>
      </c>
      <c r="AC671" s="15"/>
      <c r="AD671" s="15"/>
      <c r="AE671" s="15"/>
      <c r="AF671" s="15"/>
      <c r="AG671" s="15" t="s">
        <v>328</v>
      </c>
      <c r="AH671" s="15"/>
      <c r="AI671" s="15" t="s">
        <v>328</v>
      </c>
      <c r="AJ671" s="15"/>
      <c r="AK671" s="15"/>
      <c r="AL671" s="15" t="s">
        <v>328</v>
      </c>
      <c r="AM671" s="15"/>
      <c r="AN671" s="16">
        <v>16000</v>
      </c>
      <c r="AO671" s="16">
        <v>20000</v>
      </c>
      <c r="AP671" s="16">
        <v>30000</v>
      </c>
      <c r="AQ671" s="16">
        <v>120000</v>
      </c>
      <c r="AR671" s="16">
        <v>20000</v>
      </c>
      <c r="AS671" s="22">
        <v>0</v>
      </c>
      <c r="AT671" s="22">
        <v>0</v>
      </c>
      <c r="AU671" s="22">
        <v>20000</v>
      </c>
      <c r="AV671" s="22">
        <v>12000</v>
      </c>
      <c r="AW671" s="22">
        <v>0</v>
      </c>
      <c r="AX671" s="66">
        <v>0</v>
      </c>
      <c r="AZ671" s="15" t="s">
        <v>337</v>
      </c>
      <c r="BA671" s="249">
        <f t="shared" si="21"/>
        <v>1</v>
      </c>
      <c r="BB671" s="249">
        <v>0</v>
      </c>
      <c r="BC671" s="249">
        <f t="shared" si="20"/>
        <v>1990</v>
      </c>
    </row>
    <row r="672" spans="1:55" x14ac:dyDescent="0.25">
      <c r="A672" s="51" t="s">
        <v>1378</v>
      </c>
      <c r="B672" s="63" t="s">
        <v>1372</v>
      </c>
      <c r="C672" s="14" t="s">
        <v>351</v>
      </c>
      <c r="D672" s="15">
        <v>1977</v>
      </c>
      <c r="E672" s="15" t="s">
        <v>407</v>
      </c>
      <c r="F672" s="15"/>
      <c r="G672" s="15"/>
      <c r="H672" s="15"/>
      <c r="I672" s="15"/>
      <c r="J672" s="16">
        <v>1000000</v>
      </c>
      <c r="K672" s="15"/>
      <c r="L672" s="15"/>
      <c r="M672" s="15" t="s">
        <v>328</v>
      </c>
      <c r="N672" s="16">
        <v>3000</v>
      </c>
      <c r="O672" s="21">
        <v>0.5</v>
      </c>
      <c r="P672" s="15">
        <v>2</v>
      </c>
      <c r="Q672" s="15">
        <v>300</v>
      </c>
      <c r="R672" s="16">
        <v>1500</v>
      </c>
      <c r="S672" s="15" t="s">
        <v>340</v>
      </c>
      <c r="T672" s="15">
        <v>2.5</v>
      </c>
      <c r="U672" s="15">
        <v>2.7</v>
      </c>
      <c r="V672" s="27">
        <v>1400</v>
      </c>
      <c r="W672" s="22">
        <v>19000</v>
      </c>
      <c r="X672" s="15"/>
      <c r="Y672" s="15" t="s">
        <v>328</v>
      </c>
      <c r="Z672" s="15"/>
      <c r="AA672" s="15"/>
      <c r="AB672" s="15"/>
      <c r="AC672" s="15"/>
      <c r="AD672" s="15"/>
      <c r="AE672" s="15" t="s">
        <v>328</v>
      </c>
      <c r="AF672" s="15"/>
      <c r="AG672" s="15"/>
      <c r="AH672" s="15"/>
      <c r="AI672" s="15"/>
      <c r="AJ672" s="15"/>
      <c r="AK672" s="15"/>
      <c r="AL672" s="15"/>
      <c r="AM672" s="15"/>
      <c r="AN672" s="16">
        <v>20000</v>
      </c>
      <c r="AO672" s="16">
        <v>10000</v>
      </c>
      <c r="AP672" s="16">
        <v>20000</v>
      </c>
      <c r="AQ672" s="16">
        <v>85000</v>
      </c>
      <c r="AR672" s="16">
        <v>10000</v>
      </c>
      <c r="AS672" s="22">
        <v>72000</v>
      </c>
      <c r="AT672" s="22">
        <v>72000</v>
      </c>
      <c r="AU672" s="22">
        <v>35000</v>
      </c>
      <c r="AV672" s="22">
        <v>10000</v>
      </c>
      <c r="AW672" s="22">
        <v>0</v>
      </c>
      <c r="AX672" s="66">
        <v>0</v>
      </c>
      <c r="AZ672" s="15" t="s">
        <v>351</v>
      </c>
      <c r="BA672" s="249">
        <f t="shared" si="21"/>
        <v>5</v>
      </c>
      <c r="BB672" s="249">
        <v>0</v>
      </c>
      <c r="BC672" s="249">
        <f t="shared" si="20"/>
        <v>1977</v>
      </c>
    </row>
    <row r="673" spans="1:55" x14ac:dyDescent="0.25">
      <c r="A673" s="51" t="s">
        <v>1378</v>
      </c>
      <c r="B673" s="63" t="s">
        <v>1372</v>
      </c>
      <c r="C673" s="15" t="s">
        <v>348</v>
      </c>
      <c r="D673" s="15">
        <v>1993</v>
      </c>
      <c r="E673" s="15" t="s">
        <v>407</v>
      </c>
      <c r="F673" s="15"/>
      <c r="G673" s="15"/>
      <c r="H673" s="15"/>
      <c r="I673" s="15"/>
      <c r="J673" s="16">
        <v>800000</v>
      </c>
      <c r="K673" s="15"/>
      <c r="L673" s="15"/>
      <c r="M673" s="15" t="s">
        <v>328</v>
      </c>
      <c r="N673" s="16">
        <v>3000</v>
      </c>
      <c r="O673" s="21">
        <v>0.5</v>
      </c>
      <c r="P673" s="15">
        <v>2</v>
      </c>
      <c r="Q673" s="15">
        <v>180</v>
      </c>
      <c r="R673" s="16">
        <v>1116</v>
      </c>
      <c r="S673" s="15" t="s">
        <v>340</v>
      </c>
      <c r="T673" s="15">
        <v>3.1</v>
      </c>
      <c r="U673" s="15">
        <v>3.3</v>
      </c>
      <c r="V673" s="27">
        <v>1400</v>
      </c>
      <c r="W673" s="22">
        <v>19000</v>
      </c>
      <c r="X673" s="15"/>
      <c r="Y673" s="15" t="s">
        <v>328</v>
      </c>
      <c r="Z673" s="15"/>
      <c r="AA673" s="15"/>
      <c r="AB673" s="15"/>
      <c r="AC673" s="15"/>
      <c r="AD673" s="15" t="s">
        <v>328</v>
      </c>
      <c r="AE673" s="15" t="s">
        <v>328</v>
      </c>
      <c r="AF673" s="15"/>
      <c r="AG673" s="15"/>
      <c r="AH673" s="15"/>
      <c r="AI673" s="15"/>
      <c r="AJ673" s="15"/>
      <c r="AK673" s="15"/>
      <c r="AL673" s="15"/>
      <c r="AM673" s="15"/>
      <c r="AN673" s="16">
        <v>20000</v>
      </c>
      <c r="AO673" s="16">
        <v>12000</v>
      </c>
      <c r="AP673" s="16">
        <v>20000</v>
      </c>
      <c r="AQ673" s="16">
        <v>85000</v>
      </c>
      <c r="AR673" s="16">
        <v>12000</v>
      </c>
      <c r="AS673" s="22">
        <v>72000</v>
      </c>
      <c r="AT673" s="22">
        <v>72000</v>
      </c>
      <c r="AU673" s="22">
        <v>35000</v>
      </c>
      <c r="AV673" s="22">
        <v>10000</v>
      </c>
      <c r="AW673" s="22">
        <v>0</v>
      </c>
      <c r="AX673" s="66">
        <v>0</v>
      </c>
      <c r="AZ673" s="15" t="s">
        <v>348</v>
      </c>
      <c r="BA673" s="249">
        <f t="shared" si="21"/>
        <v>5</v>
      </c>
      <c r="BB673" s="249">
        <v>0</v>
      </c>
      <c r="BC673" s="249">
        <f t="shared" si="20"/>
        <v>1993</v>
      </c>
    </row>
    <row r="674" spans="1:55" x14ac:dyDescent="0.25">
      <c r="A674" s="51" t="s">
        <v>1378</v>
      </c>
      <c r="B674" s="63" t="s">
        <v>1372</v>
      </c>
      <c r="C674" s="15" t="s">
        <v>348</v>
      </c>
      <c r="D674" s="15">
        <v>1993</v>
      </c>
      <c r="E674" s="15" t="s">
        <v>407</v>
      </c>
      <c r="F674" s="15"/>
      <c r="G674" s="15"/>
      <c r="H674" s="15"/>
      <c r="I674" s="15"/>
      <c r="J674" s="16">
        <v>800000</v>
      </c>
      <c r="K674" s="15"/>
      <c r="L674" s="15"/>
      <c r="M674" s="15" t="s">
        <v>328</v>
      </c>
      <c r="N674" s="16">
        <v>3000</v>
      </c>
      <c r="O674" s="21">
        <v>0.5</v>
      </c>
      <c r="P674" s="15">
        <v>2</v>
      </c>
      <c r="Q674" s="15">
        <v>180</v>
      </c>
      <c r="R674" s="16">
        <v>1116</v>
      </c>
      <c r="S674" s="15" t="s">
        <v>340</v>
      </c>
      <c r="T674" s="15">
        <v>3.1</v>
      </c>
      <c r="U674" s="15">
        <v>3.3</v>
      </c>
      <c r="V674" s="27">
        <v>1400</v>
      </c>
      <c r="W674" s="22">
        <v>19000</v>
      </c>
      <c r="X674" s="15"/>
      <c r="Y674" s="15" t="s">
        <v>328</v>
      </c>
      <c r="Z674" s="15"/>
      <c r="AA674" s="15"/>
      <c r="AB674" s="15"/>
      <c r="AC674" s="15"/>
      <c r="AD674" s="15"/>
      <c r="AE674" s="15" t="s">
        <v>328</v>
      </c>
      <c r="AF674" s="15"/>
      <c r="AG674" s="15"/>
      <c r="AH674" s="15"/>
      <c r="AI674" s="15"/>
      <c r="AJ674" s="15"/>
      <c r="AK674" s="15"/>
      <c r="AL674" s="15"/>
      <c r="AM674" s="15"/>
      <c r="AN674" s="16">
        <v>20000</v>
      </c>
      <c r="AO674" s="16">
        <v>12000</v>
      </c>
      <c r="AP674" s="16">
        <v>20000</v>
      </c>
      <c r="AQ674" s="16">
        <v>85000</v>
      </c>
      <c r="AR674" s="16">
        <v>12000</v>
      </c>
      <c r="AS674" s="22">
        <v>72000</v>
      </c>
      <c r="AT674" s="22">
        <v>72000</v>
      </c>
      <c r="AU674" s="22">
        <v>35000</v>
      </c>
      <c r="AV674" s="22">
        <v>10000</v>
      </c>
      <c r="AW674" s="22">
        <v>0</v>
      </c>
      <c r="AX674" s="66">
        <v>0</v>
      </c>
      <c r="AZ674" s="15" t="s">
        <v>348</v>
      </c>
      <c r="BA674" s="249">
        <f t="shared" si="21"/>
        <v>5</v>
      </c>
      <c r="BB674" s="249">
        <v>0</v>
      </c>
      <c r="BC674" s="249">
        <f t="shared" si="20"/>
        <v>1993</v>
      </c>
    </row>
    <row r="675" spans="1:55" x14ac:dyDescent="0.25">
      <c r="A675" s="51" t="s">
        <v>1378</v>
      </c>
      <c r="B675" s="63" t="s">
        <v>1372</v>
      </c>
      <c r="C675" s="15" t="s">
        <v>337</v>
      </c>
      <c r="D675" s="15">
        <v>1991</v>
      </c>
      <c r="E675" s="15"/>
      <c r="F675" s="15">
        <v>2000</v>
      </c>
      <c r="G675" s="15" t="s">
        <v>407</v>
      </c>
      <c r="H675" s="15"/>
      <c r="I675" s="15"/>
      <c r="J675" s="16">
        <v>1500000</v>
      </c>
      <c r="K675" s="15"/>
      <c r="L675" s="15"/>
      <c r="M675" s="15" t="s">
        <v>328</v>
      </c>
      <c r="N675" s="16">
        <v>7000</v>
      </c>
      <c r="O675" s="21">
        <v>0.5</v>
      </c>
      <c r="P675" s="15">
        <v>3</v>
      </c>
      <c r="Q675" s="15">
        <v>1000</v>
      </c>
      <c r="R675" s="16">
        <v>5100</v>
      </c>
      <c r="S675" s="15" t="s">
        <v>340</v>
      </c>
      <c r="T675" s="15">
        <v>1.7</v>
      </c>
      <c r="U675" s="15">
        <v>1.9</v>
      </c>
      <c r="V675" s="27">
        <v>3000</v>
      </c>
      <c r="W675" s="22">
        <v>44000</v>
      </c>
      <c r="X675" s="15"/>
      <c r="Y675" s="15"/>
      <c r="Z675" s="15"/>
      <c r="AA675" s="15"/>
      <c r="AB675" s="15" t="s">
        <v>328</v>
      </c>
      <c r="AC675" s="15"/>
      <c r="AD675" s="15"/>
      <c r="AE675" s="15" t="s">
        <v>328</v>
      </c>
      <c r="AF675" s="15"/>
      <c r="AG675" s="15"/>
      <c r="AH675" s="15"/>
      <c r="AI675" s="15"/>
      <c r="AJ675" s="15"/>
      <c r="AK675" s="15"/>
      <c r="AL675" s="15"/>
      <c r="AM675" s="15"/>
      <c r="AN675" s="16">
        <v>20000</v>
      </c>
      <c r="AO675" s="16">
        <v>15000</v>
      </c>
      <c r="AP675" s="16">
        <v>25000</v>
      </c>
      <c r="AQ675" s="16">
        <v>120000</v>
      </c>
      <c r="AR675" s="16">
        <v>15000</v>
      </c>
      <c r="AS675" s="22">
        <v>96000</v>
      </c>
      <c r="AT675" s="22">
        <v>72000</v>
      </c>
      <c r="AU675" s="22">
        <v>48000</v>
      </c>
      <c r="AV675" s="22">
        <v>20000</v>
      </c>
      <c r="AW675" s="22">
        <v>0</v>
      </c>
      <c r="AX675" s="66">
        <v>0</v>
      </c>
      <c r="AZ675" s="15" t="s">
        <v>337</v>
      </c>
      <c r="BA675" s="249">
        <f t="shared" si="21"/>
        <v>5</v>
      </c>
      <c r="BB675" s="249">
        <v>0</v>
      </c>
      <c r="BC675" s="249">
        <f t="shared" si="20"/>
        <v>2000</v>
      </c>
    </row>
    <row r="676" spans="1:55" x14ac:dyDescent="0.25">
      <c r="A676" s="51" t="s">
        <v>1378</v>
      </c>
      <c r="B676" s="63" t="s">
        <v>1372</v>
      </c>
      <c r="C676" s="15" t="s">
        <v>337</v>
      </c>
      <c r="D676" s="15">
        <v>1993</v>
      </c>
      <c r="E676" s="15" t="s">
        <v>407</v>
      </c>
      <c r="F676" s="15"/>
      <c r="G676" s="15"/>
      <c r="H676" s="15"/>
      <c r="I676" s="15"/>
      <c r="J676" s="16">
        <v>900000</v>
      </c>
      <c r="K676" s="15"/>
      <c r="L676" s="15"/>
      <c r="M676" s="15" t="s">
        <v>328</v>
      </c>
      <c r="N676" s="16">
        <v>7000</v>
      </c>
      <c r="O676" s="21">
        <v>0.5</v>
      </c>
      <c r="P676" s="15">
        <v>2</v>
      </c>
      <c r="Q676" s="15">
        <v>600</v>
      </c>
      <c r="R676" s="16">
        <v>2040</v>
      </c>
      <c r="S676" s="15" t="s">
        <v>340</v>
      </c>
      <c r="T676" s="15">
        <v>1.7</v>
      </c>
      <c r="U676" s="15">
        <v>1.9</v>
      </c>
      <c r="V676" s="27">
        <v>3000</v>
      </c>
      <c r="W676" s="22">
        <v>44000</v>
      </c>
      <c r="X676" s="15"/>
      <c r="Y676" s="15"/>
      <c r="Z676" s="15"/>
      <c r="AA676" s="15"/>
      <c r="AB676" s="15" t="s">
        <v>328</v>
      </c>
      <c r="AC676" s="15"/>
      <c r="AD676" s="15" t="s">
        <v>328</v>
      </c>
      <c r="AE676" s="15" t="s">
        <v>328</v>
      </c>
      <c r="AF676" s="15"/>
      <c r="AG676" s="15"/>
      <c r="AH676" s="15"/>
      <c r="AI676" s="15"/>
      <c r="AJ676" s="15"/>
      <c r="AK676" s="15"/>
      <c r="AL676" s="15"/>
      <c r="AM676" s="15"/>
      <c r="AN676" s="16">
        <v>20000</v>
      </c>
      <c r="AO676" s="16">
        <v>15000</v>
      </c>
      <c r="AP676" s="16">
        <v>25000</v>
      </c>
      <c r="AQ676" s="16">
        <v>120000</v>
      </c>
      <c r="AR676" s="16">
        <v>15000</v>
      </c>
      <c r="AS676" s="22">
        <v>96000</v>
      </c>
      <c r="AT676" s="22">
        <v>72000</v>
      </c>
      <c r="AU676" s="22">
        <v>48000</v>
      </c>
      <c r="AV676" s="22">
        <v>20000</v>
      </c>
      <c r="AW676" s="22">
        <v>0</v>
      </c>
      <c r="AX676" s="66">
        <v>0</v>
      </c>
      <c r="AZ676" s="15" t="s">
        <v>337</v>
      </c>
      <c r="BA676" s="249">
        <f t="shared" si="21"/>
        <v>5</v>
      </c>
      <c r="BB676" s="249">
        <v>0</v>
      </c>
      <c r="BC676" s="249">
        <f t="shared" si="20"/>
        <v>1993</v>
      </c>
    </row>
    <row r="677" spans="1:55" x14ac:dyDescent="0.25">
      <c r="A677" s="51" t="s">
        <v>1378</v>
      </c>
      <c r="B677" s="65" t="s">
        <v>1373</v>
      </c>
      <c r="C677" s="15" t="s">
        <v>348</v>
      </c>
      <c r="D677" s="15">
        <v>1980</v>
      </c>
      <c r="E677" s="15"/>
      <c r="F677" s="15">
        <v>1993</v>
      </c>
      <c r="G677" s="15" t="s">
        <v>407</v>
      </c>
      <c r="H677" s="15"/>
      <c r="I677" s="15"/>
      <c r="J677" s="16">
        <v>2500000</v>
      </c>
      <c r="K677" s="15"/>
      <c r="L677" s="15"/>
      <c r="M677" s="15" t="s">
        <v>328</v>
      </c>
      <c r="N677" s="16">
        <v>4000</v>
      </c>
      <c r="O677" s="21">
        <v>0.5</v>
      </c>
      <c r="P677" s="15">
        <v>1</v>
      </c>
      <c r="Q677" s="15">
        <v>700</v>
      </c>
      <c r="R677" s="16">
        <v>2100</v>
      </c>
      <c r="S677" s="15" t="s">
        <v>340</v>
      </c>
      <c r="T677" s="15">
        <v>3</v>
      </c>
      <c r="U677" s="15">
        <v>3.1</v>
      </c>
      <c r="V677" s="27">
        <v>1400</v>
      </c>
      <c r="W677" s="22">
        <v>19000</v>
      </c>
      <c r="X677" s="15"/>
      <c r="Y677" s="15"/>
      <c r="Z677" s="15"/>
      <c r="AA677" s="15" t="s">
        <v>328</v>
      </c>
      <c r="AB677" s="15"/>
      <c r="AC677" s="15"/>
      <c r="AD677" s="15"/>
      <c r="AE677" s="15" t="s">
        <v>328</v>
      </c>
      <c r="AF677" s="15"/>
      <c r="AG677" s="15"/>
      <c r="AH677" s="15"/>
      <c r="AI677" s="15"/>
      <c r="AJ677" s="15"/>
      <c r="AK677" s="15"/>
      <c r="AL677" s="15"/>
      <c r="AM677" s="15"/>
      <c r="AN677" s="16">
        <v>10000</v>
      </c>
      <c r="AO677" s="16">
        <v>12000</v>
      </c>
      <c r="AP677" s="16">
        <v>40000</v>
      </c>
      <c r="AQ677" s="16">
        <v>120000</v>
      </c>
      <c r="AR677" s="16">
        <v>12000</v>
      </c>
      <c r="AS677" s="22">
        <v>60000</v>
      </c>
      <c r="AT677" s="22">
        <v>0</v>
      </c>
      <c r="AU677" s="22">
        <v>24000</v>
      </c>
      <c r="AV677" s="22">
        <v>24000</v>
      </c>
      <c r="AW677" s="22">
        <v>5000</v>
      </c>
      <c r="AX677" s="66">
        <v>0</v>
      </c>
      <c r="AZ677" s="15" t="s">
        <v>348</v>
      </c>
      <c r="BA677" s="249">
        <f t="shared" si="21"/>
        <v>3</v>
      </c>
      <c r="BB677" s="249">
        <v>0</v>
      </c>
      <c r="BC677" s="249">
        <f t="shared" si="20"/>
        <v>1993</v>
      </c>
    </row>
    <row r="678" spans="1:55" x14ac:dyDescent="0.25">
      <c r="A678" s="51" t="s">
        <v>1378</v>
      </c>
      <c r="B678" s="65" t="s">
        <v>1373</v>
      </c>
      <c r="C678" s="15" t="s">
        <v>348</v>
      </c>
      <c r="D678" s="15">
        <v>1980</v>
      </c>
      <c r="E678" s="15"/>
      <c r="F678" s="15">
        <v>1993</v>
      </c>
      <c r="G678" s="15" t="s">
        <v>407</v>
      </c>
      <c r="H678" s="15"/>
      <c r="I678" s="15"/>
      <c r="J678" s="16">
        <v>3200000</v>
      </c>
      <c r="K678" s="15"/>
      <c r="L678" s="15"/>
      <c r="M678" s="15" t="s">
        <v>328</v>
      </c>
      <c r="N678" s="16">
        <v>4000</v>
      </c>
      <c r="O678" s="21">
        <v>0.5</v>
      </c>
      <c r="P678" s="15">
        <v>1</v>
      </c>
      <c r="Q678" s="15">
        <v>650</v>
      </c>
      <c r="R678" s="16">
        <v>1950</v>
      </c>
      <c r="S678" s="15" t="s">
        <v>340</v>
      </c>
      <c r="T678" s="15">
        <v>3</v>
      </c>
      <c r="U678" s="15">
        <v>3.1</v>
      </c>
      <c r="V678" s="27">
        <v>1400</v>
      </c>
      <c r="W678" s="22">
        <v>19000</v>
      </c>
      <c r="X678" s="15"/>
      <c r="Y678" s="15"/>
      <c r="Z678" s="15"/>
      <c r="AA678" s="15" t="s">
        <v>328</v>
      </c>
      <c r="AB678" s="15"/>
      <c r="AC678" s="15"/>
      <c r="AD678" s="15"/>
      <c r="AE678" s="15" t="s">
        <v>328</v>
      </c>
      <c r="AF678" s="15"/>
      <c r="AG678" s="15"/>
      <c r="AH678" s="15"/>
      <c r="AI678" s="15"/>
      <c r="AJ678" s="15"/>
      <c r="AK678" s="15"/>
      <c r="AL678" s="15"/>
      <c r="AM678" s="15"/>
      <c r="AN678" s="16">
        <v>10000</v>
      </c>
      <c r="AO678" s="16">
        <v>12000</v>
      </c>
      <c r="AP678" s="16">
        <v>40000</v>
      </c>
      <c r="AQ678" s="16">
        <v>120000</v>
      </c>
      <c r="AR678" s="16">
        <v>12000</v>
      </c>
      <c r="AS678" s="22">
        <v>60000</v>
      </c>
      <c r="AT678" s="22">
        <v>0</v>
      </c>
      <c r="AU678" s="22">
        <v>24000</v>
      </c>
      <c r="AV678" s="22">
        <v>24000</v>
      </c>
      <c r="AW678" s="22">
        <v>5000</v>
      </c>
      <c r="AX678" s="66">
        <v>0</v>
      </c>
      <c r="AZ678" s="15" t="s">
        <v>348</v>
      </c>
      <c r="BA678" s="249">
        <f t="shared" si="21"/>
        <v>3</v>
      </c>
      <c r="BB678" s="249">
        <v>0</v>
      </c>
      <c r="BC678" s="249">
        <f t="shared" si="20"/>
        <v>1993</v>
      </c>
    </row>
    <row r="679" spans="1:55" x14ac:dyDescent="0.25">
      <c r="A679" s="51" t="s">
        <v>1378</v>
      </c>
      <c r="B679" s="65" t="s">
        <v>1373</v>
      </c>
      <c r="C679" s="15" t="s">
        <v>348</v>
      </c>
      <c r="D679" s="15">
        <v>1990</v>
      </c>
      <c r="E679" s="15"/>
      <c r="F679" s="15"/>
      <c r="G679" s="15"/>
      <c r="H679" s="15">
        <v>1994</v>
      </c>
      <c r="I679" s="15" t="s">
        <v>381</v>
      </c>
      <c r="J679" s="16">
        <v>1104000</v>
      </c>
      <c r="K679" s="15"/>
      <c r="L679" s="15"/>
      <c r="M679" s="15" t="s">
        <v>328</v>
      </c>
      <c r="N679" s="16">
        <v>4000</v>
      </c>
      <c r="O679" s="21">
        <v>0.5</v>
      </c>
      <c r="P679" s="15">
        <v>2</v>
      </c>
      <c r="Q679" s="15">
        <v>200</v>
      </c>
      <c r="R679" s="16">
        <v>1200</v>
      </c>
      <c r="S679" s="15" t="s">
        <v>340</v>
      </c>
      <c r="T679" s="15">
        <v>3</v>
      </c>
      <c r="U679" s="15">
        <v>3.2</v>
      </c>
      <c r="V679" s="27">
        <v>1700</v>
      </c>
      <c r="W679" s="22">
        <v>25000</v>
      </c>
      <c r="X679" s="15" t="s">
        <v>328</v>
      </c>
      <c r="Y679" s="15"/>
      <c r="Z679" s="15"/>
      <c r="AA679" s="15"/>
      <c r="AB679" s="15"/>
      <c r="AC679" s="15"/>
      <c r="AD679" s="15" t="s">
        <v>328</v>
      </c>
      <c r="AE679" s="15" t="s">
        <v>328</v>
      </c>
      <c r="AF679" s="15"/>
      <c r="AG679" s="15"/>
      <c r="AH679" s="15" t="s">
        <v>328</v>
      </c>
      <c r="AI679" s="15"/>
      <c r="AJ679" s="15"/>
      <c r="AK679" s="15"/>
      <c r="AL679" s="15"/>
      <c r="AM679" s="15"/>
      <c r="AN679" s="16">
        <v>20000</v>
      </c>
      <c r="AO679" s="16">
        <v>40000</v>
      </c>
      <c r="AP679" s="16">
        <v>40000</v>
      </c>
      <c r="AQ679" s="16">
        <v>110000</v>
      </c>
      <c r="AR679" s="16">
        <v>20000</v>
      </c>
      <c r="AS679" s="22">
        <v>72000</v>
      </c>
      <c r="AT679" s="22">
        <v>0</v>
      </c>
      <c r="AU679" s="22">
        <v>25600</v>
      </c>
      <c r="AV679" s="22">
        <v>10000</v>
      </c>
      <c r="AW679" s="22">
        <v>0</v>
      </c>
      <c r="AX679" s="66">
        <v>0</v>
      </c>
      <c r="AZ679" s="15" t="s">
        <v>1400</v>
      </c>
      <c r="BA679" s="249">
        <f t="shared" si="21"/>
        <v>3</v>
      </c>
      <c r="BB679" s="249">
        <v>0</v>
      </c>
      <c r="BC679" s="249">
        <f t="shared" si="20"/>
        <v>1994</v>
      </c>
    </row>
    <row r="680" spans="1:55" x14ac:dyDescent="0.25">
      <c r="A680" s="51" t="s">
        <v>1378</v>
      </c>
      <c r="B680" s="63" t="s">
        <v>1374</v>
      </c>
      <c r="C680" s="14" t="s">
        <v>351</v>
      </c>
      <c r="D680" s="15">
        <v>1980</v>
      </c>
      <c r="E680" s="15"/>
      <c r="F680" s="15"/>
      <c r="G680" s="15"/>
      <c r="H680" s="15">
        <v>1995</v>
      </c>
      <c r="I680" s="15" t="s">
        <v>381</v>
      </c>
      <c r="J680" s="16">
        <v>1200000</v>
      </c>
      <c r="K680" s="15"/>
      <c r="L680" s="15"/>
      <c r="M680" s="15" t="s">
        <v>328</v>
      </c>
      <c r="N680" s="16">
        <v>4000</v>
      </c>
      <c r="O680" s="21">
        <v>0.5</v>
      </c>
      <c r="P680" s="15">
        <v>2</v>
      </c>
      <c r="Q680" s="15">
        <v>200</v>
      </c>
      <c r="R680" s="16">
        <v>1200</v>
      </c>
      <c r="S680" s="15" t="s">
        <v>340</v>
      </c>
      <c r="T680" s="15">
        <v>3</v>
      </c>
      <c r="U680" s="15">
        <v>3.2</v>
      </c>
      <c r="V680" s="27">
        <v>1700</v>
      </c>
      <c r="W680" s="22">
        <v>25000</v>
      </c>
      <c r="X680" s="15" t="s">
        <v>328</v>
      </c>
      <c r="Y680" s="15"/>
      <c r="Z680" s="15"/>
      <c r="AA680" s="15"/>
      <c r="AB680" s="15"/>
      <c r="AC680" s="15"/>
      <c r="AD680" s="15" t="s">
        <v>328</v>
      </c>
      <c r="AE680" s="15" t="s">
        <v>328</v>
      </c>
      <c r="AF680" s="15"/>
      <c r="AG680" s="15"/>
      <c r="AH680" s="15" t="s">
        <v>328</v>
      </c>
      <c r="AI680" s="15"/>
      <c r="AJ680" s="15"/>
      <c r="AK680" s="15"/>
      <c r="AL680" s="15"/>
      <c r="AM680" s="15"/>
      <c r="AN680" s="16">
        <v>20000</v>
      </c>
      <c r="AO680" s="16">
        <v>40000</v>
      </c>
      <c r="AP680" s="16">
        <v>40000</v>
      </c>
      <c r="AQ680" s="16">
        <v>110000</v>
      </c>
      <c r="AR680" s="16">
        <v>20000</v>
      </c>
      <c r="AS680" s="22">
        <v>72000</v>
      </c>
      <c r="AT680" s="22">
        <v>0</v>
      </c>
      <c r="AU680" s="22">
        <v>25600</v>
      </c>
      <c r="AV680" s="22">
        <v>10000</v>
      </c>
      <c r="AW680" s="22">
        <v>0</v>
      </c>
      <c r="AX680" s="66">
        <v>0</v>
      </c>
      <c r="AZ680" s="15" t="s">
        <v>1401</v>
      </c>
      <c r="BA680" s="249">
        <f t="shared" si="21"/>
        <v>1</v>
      </c>
      <c r="BB680" s="249">
        <v>0</v>
      </c>
      <c r="BC680" s="249">
        <f t="shared" si="20"/>
        <v>1995</v>
      </c>
    </row>
    <row r="681" spans="1:55" x14ac:dyDescent="0.25">
      <c r="A681" s="51" t="s">
        <v>1378</v>
      </c>
      <c r="B681" s="65" t="s">
        <v>1375</v>
      </c>
      <c r="C681" s="15" t="s">
        <v>337</v>
      </c>
      <c r="D681" s="15">
        <v>1978</v>
      </c>
      <c r="E681" s="15"/>
      <c r="F681" s="15">
        <v>1996</v>
      </c>
      <c r="G681" s="15" t="s">
        <v>349</v>
      </c>
      <c r="H681" s="15"/>
      <c r="I681" s="15"/>
      <c r="J681" s="16">
        <v>1260000</v>
      </c>
      <c r="K681" s="15"/>
      <c r="L681" s="15"/>
      <c r="M681" s="15" t="s">
        <v>328</v>
      </c>
      <c r="N681" s="16">
        <v>3000</v>
      </c>
      <c r="O681" s="21">
        <v>0.5</v>
      </c>
      <c r="P681" s="15">
        <v>2</v>
      </c>
      <c r="Q681" s="15">
        <v>600</v>
      </c>
      <c r="R681" s="16">
        <v>2160</v>
      </c>
      <c r="S681" s="15" t="s">
        <v>340</v>
      </c>
      <c r="T681" s="15">
        <v>1.8</v>
      </c>
      <c r="U681" s="15">
        <v>2.1</v>
      </c>
      <c r="V681" s="27">
        <v>1350</v>
      </c>
      <c r="W681" s="22">
        <v>19000</v>
      </c>
      <c r="X681" s="15" t="s">
        <v>328</v>
      </c>
      <c r="Y681" s="15"/>
      <c r="Z681" s="15"/>
      <c r="AA681" s="15"/>
      <c r="AB681" s="15"/>
      <c r="AC681" s="15"/>
      <c r="AD681" s="15"/>
      <c r="AE681" s="15" t="s">
        <v>328</v>
      </c>
      <c r="AF681" s="15"/>
      <c r="AG681" s="15" t="s">
        <v>328</v>
      </c>
      <c r="AH681" s="15"/>
      <c r="AI681" s="15"/>
      <c r="AJ681" s="15"/>
      <c r="AK681" s="15"/>
      <c r="AL681" s="15" t="s">
        <v>328</v>
      </c>
      <c r="AM681" s="15"/>
      <c r="AN681" s="16">
        <v>16000</v>
      </c>
      <c r="AO681" s="16">
        <v>20000</v>
      </c>
      <c r="AP681" s="16">
        <v>20000</v>
      </c>
      <c r="AQ681" s="16">
        <v>130000</v>
      </c>
      <c r="AR681" s="16">
        <v>20000</v>
      </c>
      <c r="AS681" s="22">
        <v>80000</v>
      </c>
      <c r="AT681" s="22">
        <v>0</v>
      </c>
      <c r="AU681" s="22">
        <v>35000</v>
      </c>
      <c r="AV681" s="22">
        <v>17000</v>
      </c>
      <c r="AW681" s="22">
        <v>15000</v>
      </c>
      <c r="AX681" s="66">
        <v>0</v>
      </c>
      <c r="AZ681" s="15" t="s">
        <v>337</v>
      </c>
      <c r="BA681" s="249">
        <f t="shared" si="21"/>
        <v>3</v>
      </c>
      <c r="BB681" s="249">
        <v>0</v>
      </c>
      <c r="BC681" s="249">
        <f t="shared" si="20"/>
        <v>1996</v>
      </c>
    </row>
    <row r="682" spans="1:55" x14ac:dyDescent="0.25">
      <c r="A682" s="51" t="s">
        <v>1378</v>
      </c>
      <c r="B682" s="65" t="s">
        <v>1375</v>
      </c>
      <c r="C682" s="15" t="s">
        <v>337</v>
      </c>
      <c r="D682" s="15">
        <v>1978</v>
      </c>
      <c r="E682" s="15"/>
      <c r="F682" s="15">
        <v>1996</v>
      </c>
      <c r="G682" s="15" t="s">
        <v>349</v>
      </c>
      <c r="H682" s="15"/>
      <c r="I682" s="15"/>
      <c r="J682" s="16">
        <v>1260000</v>
      </c>
      <c r="K682" s="15"/>
      <c r="L682" s="15"/>
      <c r="M682" s="15" t="s">
        <v>328</v>
      </c>
      <c r="N682" s="16">
        <v>3000</v>
      </c>
      <c r="O682" s="21">
        <v>0.5</v>
      </c>
      <c r="P682" s="15">
        <v>2</v>
      </c>
      <c r="Q682" s="15">
        <v>600</v>
      </c>
      <c r="R682" s="16">
        <v>2160</v>
      </c>
      <c r="S682" s="15" t="s">
        <v>340</v>
      </c>
      <c r="T682" s="15">
        <v>1.8</v>
      </c>
      <c r="U682" s="15">
        <v>2.1</v>
      </c>
      <c r="V682" s="27">
        <v>1350</v>
      </c>
      <c r="W682" s="22">
        <v>19000</v>
      </c>
      <c r="X682" s="15"/>
      <c r="Y682" s="15" t="s">
        <v>328</v>
      </c>
      <c r="Z682" s="15"/>
      <c r="AA682" s="15"/>
      <c r="AB682" s="15"/>
      <c r="AC682" s="15"/>
      <c r="AD682" s="15"/>
      <c r="AE682" s="15" t="s">
        <v>328</v>
      </c>
      <c r="AF682" s="15"/>
      <c r="AG682" s="15" t="s">
        <v>328</v>
      </c>
      <c r="AH682" s="15"/>
      <c r="AI682" s="15"/>
      <c r="AJ682" s="15"/>
      <c r="AK682" s="15"/>
      <c r="AL682" s="15" t="s">
        <v>328</v>
      </c>
      <c r="AM682" s="15"/>
      <c r="AN682" s="16">
        <v>16000</v>
      </c>
      <c r="AO682" s="16">
        <v>20000</v>
      </c>
      <c r="AP682" s="16">
        <v>20000</v>
      </c>
      <c r="AQ682" s="16">
        <v>130000</v>
      </c>
      <c r="AR682" s="16">
        <v>20000</v>
      </c>
      <c r="AS682" s="22">
        <v>80000</v>
      </c>
      <c r="AT682" s="22">
        <v>0</v>
      </c>
      <c r="AU682" s="22">
        <v>35000</v>
      </c>
      <c r="AV682" s="22">
        <v>17000</v>
      </c>
      <c r="AW682" s="22">
        <v>15000</v>
      </c>
      <c r="AX682" s="66">
        <v>0</v>
      </c>
      <c r="AZ682" s="15" t="s">
        <v>337</v>
      </c>
      <c r="BA682" s="249">
        <f t="shared" si="21"/>
        <v>3</v>
      </c>
      <c r="BB682" s="249">
        <v>0</v>
      </c>
      <c r="BC682" s="249">
        <f t="shared" si="20"/>
        <v>1996</v>
      </c>
    </row>
    <row r="683" spans="1:55" x14ac:dyDescent="0.25">
      <c r="A683" s="51" t="s">
        <v>1378</v>
      </c>
      <c r="B683" s="65" t="s">
        <v>1375</v>
      </c>
      <c r="C683" s="15" t="s">
        <v>337</v>
      </c>
      <c r="D683" s="15">
        <v>1981</v>
      </c>
      <c r="E683" s="15"/>
      <c r="F683" s="15">
        <v>2007</v>
      </c>
      <c r="G683" s="15" t="s">
        <v>349</v>
      </c>
      <c r="H683" s="15"/>
      <c r="I683" s="15"/>
      <c r="J683" s="16">
        <v>1152000</v>
      </c>
      <c r="K683" s="15"/>
      <c r="L683" s="15"/>
      <c r="M683" s="15" t="s">
        <v>328</v>
      </c>
      <c r="N683" s="16">
        <v>3000</v>
      </c>
      <c r="O683" s="21">
        <v>0.5</v>
      </c>
      <c r="P683" s="15">
        <v>2</v>
      </c>
      <c r="Q683" s="15">
        <v>600</v>
      </c>
      <c r="R683" s="16">
        <v>2160</v>
      </c>
      <c r="S683" s="15" t="s">
        <v>340</v>
      </c>
      <c r="T683" s="15">
        <v>1.8</v>
      </c>
      <c r="U683" s="15">
        <v>2.1</v>
      </c>
      <c r="V683" s="27">
        <v>1350</v>
      </c>
      <c r="W683" s="22">
        <v>19000</v>
      </c>
      <c r="X683" s="15"/>
      <c r="Y683" s="15" t="s">
        <v>328</v>
      </c>
      <c r="Z683" s="15"/>
      <c r="AA683" s="15"/>
      <c r="AB683" s="15"/>
      <c r="AC683" s="15"/>
      <c r="AD683" s="15"/>
      <c r="AE683" s="15" t="s">
        <v>328</v>
      </c>
      <c r="AF683" s="15"/>
      <c r="AG683" s="15" t="s">
        <v>328</v>
      </c>
      <c r="AH683" s="15"/>
      <c r="AI683" s="15"/>
      <c r="AJ683" s="15"/>
      <c r="AK683" s="15"/>
      <c r="AL683" s="15" t="s">
        <v>328</v>
      </c>
      <c r="AM683" s="15"/>
      <c r="AN683" s="16">
        <v>16000</v>
      </c>
      <c r="AO683" s="16">
        <v>20000</v>
      </c>
      <c r="AP683" s="16">
        <v>20000</v>
      </c>
      <c r="AQ683" s="16">
        <v>130000</v>
      </c>
      <c r="AR683" s="16">
        <v>20000</v>
      </c>
      <c r="AS683" s="22">
        <v>80000</v>
      </c>
      <c r="AT683" s="22">
        <v>0</v>
      </c>
      <c r="AU683" s="22">
        <v>35000</v>
      </c>
      <c r="AV683" s="22">
        <v>17000</v>
      </c>
      <c r="AW683" s="22">
        <v>15000</v>
      </c>
      <c r="AX683" s="66">
        <v>0</v>
      </c>
      <c r="AZ683" s="15" t="s">
        <v>337</v>
      </c>
      <c r="BA683" s="249">
        <f t="shared" si="21"/>
        <v>3</v>
      </c>
      <c r="BB683" s="249">
        <v>0</v>
      </c>
      <c r="BC683" s="249">
        <f t="shared" si="20"/>
        <v>2007</v>
      </c>
    </row>
    <row r="684" spans="1:55" x14ac:dyDescent="0.25">
      <c r="A684" s="51" t="s">
        <v>1378</v>
      </c>
      <c r="B684" s="63" t="s">
        <v>1376</v>
      </c>
      <c r="C684" s="15" t="s">
        <v>348</v>
      </c>
      <c r="D684" s="15">
        <v>2004</v>
      </c>
      <c r="E684" s="15" t="s">
        <v>360</v>
      </c>
      <c r="F684" s="15"/>
      <c r="G684" s="15"/>
      <c r="H684" s="15"/>
      <c r="I684" s="15"/>
      <c r="J684" s="16">
        <v>324000</v>
      </c>
      <c r="K684" s="15" t="s">
        <v>328</v>
      </c>
      <c r="L684" s="15"/>
      <c r="M684" s="15"/>
      <c r="N684" s="16">
        <v>3000</v>
      </c>
      <c r="O684" s="21">
        <v>0.5</v>
      </c>
      <c r="P684" s="15">
        <v>1</v>
      </c>
      <c r="Q684" s="15">
        <v>200</v>
      </c>
      <c r="R684" s="16">
        <v>800</v>
      </c>
      <c r="S684" s="15" t="s">
        <v>371</v>
      </c>
      <c r="T684" s="15">
        <v>4</v>
      </c>
      <c r="U684" s="15">
        <v>4.9000000000000004</v>
      </c>
      <c r="V684" s="27">
        <v>875</v>
      </c>
      <c r="W684" s="22">
        <v>10500</v>
      </c>
      <c r="X684" s="15"/>
      <c r="Y684" s="15"/>
      <c r="Z684" s="15"/>
      <c r="AA684" s="15"/>
      <c r="AB684" s="15" t="s">
        <v>328</v>
      </c>
      <c r="AC684" s="15"/>
      <c r="AD684" s="15" t="s">
        <v>328</v>
      </c>
      <c r="AE684" s="15"/>
      <c r="AF684" s="15"/>
      <c r="AG684" s="15"/>
      <c r="AH684" s="15" t="s">
        <v>328</v>
      </c>
      <c r="AI684" s="15"/>
      <c r="AJ684" s="15"/>
      <c r="AK684" s="15"/>
      <c r="AL684" s="15" t="s">
        <v>328</v>
      </c>
      <c r="AM684" s="15"/>
      <c r="AN684" s="16">
        <v>15000</v>
      </c>
      <c r="AO684" s="16">
        <v>20000</v>
      </c>
      <c r="AP684" s="16">
        <v>50000</v>
      </c>
      <c r="AQ684" s="16">
        <v>120000</v>
      </c>
      <c r="AR684" s="16" t="s">
        <v>385</v>
      </c>
      <c r="AS684" s="22">
        <v>96000</v>
      </c>
      <c r="AT684" s="22">
        <v>54000</v>
      </c>
      <c r="AU684" s="22">
        <v>24000</v>
      </c>
      <c r="AV684" s="22">
        <v>12000</v>
      </c>
      <c r="AW684" s="22">
        <v>12000</v>
      </c>
      <c r="AX684" s="66">
        <v>0</v>
      </c>
      <c r="AY684" s="17" t="s">
        <v>1133</v>
      </c>
      <c r="AZ684" s="15" t="s">
        <v>348</v>
      </c>
      <c r="BA684" s="249">
        <f t="shared" si="21"/>
        <v>7</v>
      </c>
      <c r="BB684" s="249">
        <v>0</v>
      </c>
      <c r="BC684" s="249">
        <f t="shared" si="20"/>
        <v>2004</v>
      </c>
    </row>
    <row r="685" spans="1:55" x14ac:dyDescent="0.25">
      <c r="A685" s="51" t="s">
        <v>1378</v>
      </c>
      <c r="B685" s="63" t="s">
        <v>1376</v>
      </c>
      <c r="C685" s="15" t="s">
        <v>348</v>
      </c>
      <c r="D685" s="15">
        <v>2007</v>
      </c>
      <c r="E685" s="15" t="s">
        <v>360</v>
      </c>
      <c r="F685" s="15"/>
      <c r="G685" s="15"/>
      <c r="H685" s="15"/>
      <c r="I685" s="15"/>
      <c r="J685" s="16">
        <v>216000</v>
      </c>
      <c r="K685" s="15" t="s">
        <v>328</v>
      </c>
      <c r="L685" s="15"/>
      <c r="M685" s="15"/>
      <c r="N685" s="16">
        <v>3000</v>
      </c>
      <c r="O685" s="21">
        <v>0.5</v>
      </c>
      <c r="P685" s="15">
        <v>1</v>
      </c>
      <c r="Q685" s="15">
        <v>200</v>
      </c>
      <c r="R685" s="16">
        <v>800</v>
      </c>
      <c r="S685" s="15" t="s">
        <v>371</v>
      </c>
      <c r="T685" s="15">
        <v>4</v>
      </c>
      <c r="U685" s="15">
        <v>4.9000000000000004</v>
      </c>
      <c r="V685" s="27">
        <v>875</v>
      </c>
      <c r="W685" s="22">
        <v>10500</v>
      </c>
      <c r="X685" s="15"/>
      <c r="Y685" s="15"/>
      <c r="Z685" s="15"/>
      <c r="AA685" s="15"/>
      <c r="AB685" s="15" t="s">
        <v>328</v>
      </c>
      <c r="AC685" s="15"/>
      <c r="AD685" s="15" t="s">
        <v>328</v>
      </c>
      <c r="AE685" s="15"/>
      <c r="AF685" s="15"/>
      <c r="AG685" s="15"/>
      <c r="AH685" s="15" t="s">
        <v>328</v>
      </c>
      <c r="AI685" s="15"/>
      <c r="AJ685" s="15"/>
      <c r="AK685" s="15"/>
      <c r="AL685" s="15" t="s">
        <v>328</v>
      </c>
      <c r="AM685" s="15"/>
      <c r="AN685" s="16">
        <v>15000</v>
      </c>
      <c r="AO685" s="16">
        <v>20000</v>
      </c>
      <c r="AP685" s="16">
        <v>50000</v>
      </c>
      <c r="AQ685" s="16">
        <v>120000</v>
      </c>
      <c r="AR685" s="16" t="s">
        <v>385</v>
      </c>
      <c r="AS685" s="22">
        <v>96000</v>
      </c>
      <c r="AT685" s="22">
        <v>54000</v>
      </c>
      <c r="AU685" s="22">
        <v>24000</v>
      </c>
      <c r="AV685" s="22">
        <v>12000</v>
      </c>
      <c r="AW685" s="22">
        <v>12000</v>
      </c>
      <c r="AX685" s="66">
        <v>0</v>
      </c>
      <c r="AY685" s="17" t="s">
        <v>1133</v>
      </c>
      <c r="AZ685" s="15" t="s">
        <v>348</v>
      </c>
      <c r="BA685" s="249">
        <f t="shared" si="21"/>
        <v>7</v>
      </c>
      <c r="BB685" s="249">
        <v>0</v>
      </c>
      <c r="BC685" s="249">
        <f t="shared" si="20"/>
        <v>2007</v>
      </c>
    </row>
    <row r="686" spans="1:55" x14ac:dyDescent="0.25">
      <c r="A686" s="51" t="s">
        <v>1378</v>
      </c>
      <c r="B686" s="63" t="s">
        <v>1376</v>
      </c>
      <c r="C686" s="15" t="s">
        <v>348</v>
      </c>
      <c r="D686" s="15">
        <v>1980</v>
      </c>
      <c r="E686" s="15" t="s">
        <v>360</v>
      </c>
      <c r="F686" s="15"/>
      <c r="G686" s="15"/>
      <c r="H686" s="15"/>
      <c r="I686" s="15"/>
      <c r="J686" s="16">
        <v>1188000</v>
      </c>
      <c r="K686" s="15" t="s">
        <v>328</v>
      </c>
      <c r="L686" s="15"/>
      <c r="M686" s="15"/>
      <c r="N686" s="16">
        <v>3000</v>
      </c>
      <c r="O686" s="21">
        <v>0.5</v>
      </c>
      <c r="P686" s="15">
        <v>2</v>
      </c>
      <c r="Q686" s="15">
        <v>350</v>
      </c>
      <c r="R686" s="16">
        <v>2940</v>
      </c>
      <c r="S686" s="15" t="s">
        <v>371</v>
      </c>
      <c r="T686" s="15">
        <v>4.2</v>
      </c>
      <c r="U686" s="15">
        <v>4.8</v>
      </c>
      <c r="V686" s="27">
        <v>875</v>
      </c>
      <c r="W686" s="22">
        <v>10500</v>
      </c>
      <c r="X686" s="15"/>
      <c r="Y686" s="15"/>
      <c r="Z686" s="15"/>
      <c r="AA686" s="15"/>
      <c r="AB686" s="15" t="s">
        <v>328</v>
      </c>
      <c r="AC686" s="15"/>
      <c r="AD686" s="15" t="s">
        <v>328</v>
      </c>
      <c r="AE686" s="15"/>
      <c r="AF686" s="15"/>
      <c r="AG686" s="15"/>
      <c r="AH686" s="15" t="s">
        <v>328</v>
      </c>
      <c r="AI686" s="15"/>
      <c r="AJ686" s="15"/>
      <c r="AK686" s="15"/>
      <c r="AL686" s="15" t="s">
        <v>328</v>
      </c>
      <c r="AM686" s="15"/>
      <c r="AN686" s="16">
        <v>15000</v>
      </c>
      <c r="AO686" s="16">
        <v>20000</v>
      </c>
      <c r="AP686" s="16">
        <v>50000</v>
      </c>
      <c r="AQ686" s="16">
        <v>120000</v>
      </c>
      <c r="AR686" s="16" t="s">
        <v>385</v>
      </c>
      <c r="AS686" s="22">
        <v>96000</v>
      </c>
      <c r="AT686" s="22">
        <v>54000</v>
      </c>
      <c r="AU686" s="22">
        <v>24000</v>
      </c>
      <c r="AV686" s="22">
        <v>12000</v>
      </c>
      <c r="AW686" s="22">
        <v>12000</v>
      </c>
      <c r="AX686" s="66">
        <v>0</v>
      </c>
      <c r="AY686" s="17" t="s">
        <v>1135</v>
      </c>
      <c r="AZ686" s="15" t="s">
        <v>348</v>
      </c>
      <c r="BA686" s="249">
        <f t="shared" si="21"/>
        <v>7</v>
      </c>
      <c r="BB686" s="249">
        <v>0</v>
      </c>
      <c r="BC686" s="249">
        <f t="shared" si="20"/>
        <v>1980</v>
      </c>
    </row>
    <row r="687" spans="1:55" x14ac:dyDescent="0.25">
      <c r="A687" s="51" t="s">
        <v>1378</v>
      </c>
      <c r="B687" s="63" t="s">
        <v>1376</v>
      </c>
      <c r="C687" s="14" t="s">
        <v>351</v>
      </c>
      <c r="D687" s="15">
        <v>2001</v>
      </c>
      <c r="E687" s="15" t="s">
        <v>407</v>
      </c>
      <c r="F687" s="15"/>
      <c r="G687" s="15"/>
      <c r="H687" s="15"/>
      <c r="I687" s="15"/>
      <c r="J687" s="16">
        <v>432000</v>
      </c>
      <c r="K687" s="15" t="s">
        <v>328</v>
      </c>
      <c r="L687" s="15"/>
      <c r="M687" s="15"/>
      <c r="N687" s="16">
        <v>3000</v>
      </c>
      <c r="O687" s="21">
        <v>0.5</v>
      </c>
      <c r="P687" s="15">
        <v>2</v>
      </c>
      <c r="Q687" s="15">
        <v>908</v>
      </c>
      <c r="R687" s="16">
        <v>5629.6</v>
      </c>
      <c r="S687" s="15" t="s">
        <v>340</v>
      </c>
      <c r="T687" s="15">
        <v>3.1</v>
      </c>
      <c r="U687" s="15">
        <v>3.7</v>
      </c>
      <c r="V687" s="27">
        <v>850</v>
      </c>
      <c r="W687" s="22">
        <v>12000</v>
      </c>
      <c r="X687" s="15"/>
      <c r="Y687" s="15"/>
      <c r="Z687" s="15"/>
      <c r="AA687" s="15"/>
      <c r="AB687" s="15" t="s">
        <v>328</v>
      </c>
      <c r="AC687" s="15"/>
      <c r="AD687" s="15" t="s">
        <v>328</v>
      </c>
      <c r="AE687" s="15" t="s">
        <v>328</v>
      </c>
      <c r="AF687" s="15"/>
      <c r="AG687" s="15"/>
      <c r="AH687" s="15" t="s">
        <v>328</v>
      </c>
      <c r="AI687" s="15"/>
      <c r="AJ687" s="15"/>
      <c r="AK687" s="15"/>
      <c r="AL687" s="15" t="s">
        <v>328</v>
      </c>
      <c r="AM687" s="15"/>
      <c r="AN687" s="16">
        <v>15000</v>
      </c>
      <c r="AO687" s="16">
        <v>20000</v>
      </c>
      <c r="AP687" s="16">
        <v>50000</v>
      </c>
      <c r="AQ687" s="16">
        <v>120000</v>
      </c>
      <c r="AR687" s="16">
        <v>20000</v>
      </c>
      <c r="AS687" s="22">
        <v>96000</v>
      </c>
      <c r="AT687" s="22">
        <v>54000</v>
      </c>
      <c r="AU687" s="22">
        <v>24000</v>
      </c>
      <c r="AV687" s="22">
        <v>12000</v>
      </c>
      <c r="AW687" s="22">
        <v>12000</v>
      </c>
      <c r="AX687" s="66">
        <v>0</v>
      </c>
      <c r="AY687" s="17" t="s">
        <v>583</v>
      </c>
      <c r="AZ687" s="15" t="s">
        <v>351</v>
      </c>
      <c r="BA687" s="249">
        <f t="shared" si="21"/>
        <v>7</v>
      </c>
      <c r="BB687" s="249">
        <v>0</v>
      </c>
      <c r="BC687" s="249">
        <f t="shared" si="20"/>
        <v>2001</v>
      </c>
    </row>
    <row r="688" spans="1:55" x14ac:dyDescent="0.25">
      <c r="A688" s="51" t="s">
        <v>1378</v>
      </c>
      <c r="B688" s="63" t="s">
        <v>1376</v>
      </c>
      <c r="C688" s="15" t="s">
        <v>337</v>
      </c>
      <c r="D688" s="15">
        <v>1998</v>
      </c>
      <c r="E688" s="15" t="s">
        <v>338</v>
      </c>
      <c r="F688" s="15"/>
      <c r="G688" s="15"/>
      <c r="H688" s="15"/>
      <c r="I688" s="15"/>
      <c r="J688" s="16">
        <v>540000</v>
      </c>
      <c r="K688" s="15" t="s">
        <v>328</v>
      </c>
      <c r="L688" s="15"/>
      <c r="M688" s="15"/>
      <c r="N688" s="16">
        <v>3000</v>
      </c>
      <c r="O688" s="21">
        <v>0.5</v>
      </c>
      <c r="P688" s="15">
        <v>2</v>
      </c>
      <c r="Q688" s="15">
        <v>480</v>
      </c>
      <c r="R688" s="16">
        <v>1728</v>
      </c>
      <c r="S688" s="15" t="s">
        <v>340</v>
      </c>
      <c r="T688" s="15">
        <v>1.8</v>
      </c>
      <c r="U688" s="15">
        <v>2.2999999999999998</v>
      </c>
      <c r="V688" s="27">
        <v>850</v>
      </c>
      <c r="W688" s="22">
        <v>12000</v>
      </c>
      <c r="X688" s="15"/>
      <c r="Y688" s="15" t="s">
        <v>328</v>
      </c>
      <c r="Z688" s="15"/>
      <c r="AA688" s="15"/>
      <c r="AB688" s="15"/>
      <c r="AC688" s="15"/>
      <c r="AD688" s="15" t="s">
        <v>328</v>
      </c>
      <c r="AE688" s="15" t="s">
        <v>328</v>
      </c>
      <c r="AF688" s="15"/>
      <c r="AG688" s="15"/>
      <c r="AH688" s="15" t="s">
        <v>328</v>
      </c>
      <c r="AI688" s="15"/>
      <c r="AJ688" s="15"/>
      <c r="AK688" s="15"/>
      <c r="AL688" s="15" t="s">
        <v>328</v>
      </c>
      <c r="AM688" s="15"/>
      <c r="AN688" s="16">
        <v>15000</v>
      </c>
      <c r="AO688" s="16">
        <v>20000</v>
      </c>
      <c r="AP688" s="16">
        <v>50000</v>
      </c>
      <c r="AQ688" s="16">
        <v>120000</v>
      </c>
      <c r="AR688" s="16">
        <v>20000</v>
      </c>
      <c r="AS688" s="22">
        <v>96000</v>
      </c>
      <c r="AT688" s="22">
        <v>54000</v>
      </c>
      <c r="AU688" s="22">
        <v>24000</v>
      </c>
      <c r="AV688" s="22">
        <v>12000</v>
      </c>
      <c r="AW688" s="22">
        <v>12000</v>
      </c>
      <c r="AX688" s="66">
        <v>0</v>
      </c>
      <c r="AZ688" s="15"/>
      <c r="BA688" s="249">
        <f t="shared" si="21"/>
        <v>7</v>
      </c>
      <c r="BB688" s="249">
        <v>0</v>
      </c>
      <c r="BC688" s="249">
        <f t="shared" si="20"/>
        <v>1998</v>
      </c>
    </row>
    <row r="689" spans="1:55" x14ac:dyDescent="0.25">
      <c r="A689" s="51" t="s">
        <v>1378</v>
      </c>
      <c r="B689" s="63" t="s">
        <v>1376</v>
      </c>
      <c r="C689" s="15" t="s">
        <v>337</v>
      </c>
      <c r="D689" s="15">
        <v>1990</v>
      </c>
      <c r="E689" s="15" t="s">
        <v>384</v>
      </c>
      <c r="F689" s="15"/>
      <c r="G689" s="15"/>
      <c r="H689" s="15"/>
      <c r="I689" s="15"/>
      <c r="J689" s="16">
        <v>828000</v>
      </c>
      <c r="K689" s="15" t="s">
        <v>328</v>
      </c>
      <c r="L689" s="15"/>
      <c r="M689" s="15"/>
      <c r="N689" s="16">
        <v>3000</v>
      </c>
      <c r="O689" s="21">
        <v>0.5</v>
      </c>
      <c r="P689" s="15">
        <v>2</v>
      </c>
      <c r="Q689" s="15">
        <v>550</v>
      </c>
      <c r="R689" s="16">
        <v>3080</v>
      </c>
      <c r="S689" s="15" t="s">
        <v>340</v>
      </c>
      <c r="T689" s="15">
        <v>2.8</v>
      </c>
      <c r="U689" s="15">
        <v>3</v>
      </c>
      <c r="V689" s="27">
        <v>1000</v>
      </c>
      <c r="W689" s="22">
        <v>15000</v>
      </c>
      <c r="X689" s="15"/>
      <c r="Y689" s="15" t="s">
        <v>328</v>
      </c>
      <c r="Z689" s="15"/>
      <c r="AA689" s="15"/>
      <c r="AB689" s="15"/>
      <c r="AC689" s="15"/>
      <c r="AD689" s="15" t="s">
        <v>328</v>
      </c>
      <c r="AE689" s="15" t="s">
        <v>328</v>
      </c>
      <c r="AF689" s="15"/>
      <c r="AG689" s="15"/>
      <c r="AH689" s="15" t="s">
        <v>328</v>
      </c>
      <c r="AI689" s="15"/>
      <c r="AJ689" s="15"/>
      <c r="AK689" s="15"/>
      <c r="AL689" s="15" t="s">
        <v>328</v>
      </c>
      <c r="AM689" s="15"/>
      <c r="AN689" s="16">
        <v>15000</v>
      </c>
      <c r="AO689" s="16">
        <v>20000</v>
      </c>
      <c r="AP689" s="16">
        <v>50000</v>
      </c>
      <c r="AQ689" s="16">
        <v>120000</v>
      </c>
      <c r="AR689" s="16">
        <v>20000</v>
      </c>
      <c r="AS689" s="22">
        <v>96000</v>
      </c>
      <c r="AT689" s="22">
        <v>54000</v>
      </c>
      <c r="AU689" s="22">
        <v>24000</v>
      </c>
      <c r="AV689" s="22">
        <v>12000</v>
      </c>
      <c r="AW689" s="22">
        <v>12000</v>
      </c>
      <c r="AX689" s="66">
        <v>0</v>
      </c>
      <c r="AZ689" s="15"/>
      <c r="BA689" s="249">
        <f t="shared" si="21"/>
        <v>7</v>
      </c>
      <c r="BB689" s="249">
        <v>0</v>
      </c>
      <c r="BC689" s="249">
        <f t="shared" si="20"/>
        <v>1990</v>
      </c>
    </row>
    <row r="690" spans="1:55" x14ac:dyDescent="0.25">
      <c r="A690" s="51" t="s">
        <v>1378</v>
      </c>
      <c r="B690" s="63" t="s">
        <v>1376</v>
      </c>
      <c r="C690" s="15" t="s">
        <v>337</v>
      </c>
      <c r="D690" s="15">
        <v>2004</v>
      </c>
      <c r="E690" s="15" t="s">
        <v>338</v>
      </c>
      <c r="F690" s="15"/>
      <c r="G690" s="15"/>
      <c r="H690" s="15"/>
      <c r="I690" s="15"/>
      <c r="J690" s="16">
        <v>324000</v>
      </c>
      <c r="K690" s="15" t="s">
        <v>328</v>
      </c>
      <c r="L690" s="15"/>
      <c r="M690" s="15"/>
      <c r="N690" s="16">
        <v>3000</v>
      </c>
      <c r="O690" s="21">
        <v>0.5</v>
      </c>
      <c r="P690" s="15">
        <v>2</v>
      </c>
      <c r="Q690" s="15">
        <v>420</v>
      </c>
      <c r="R690" s="16">
        <v>1848.0000000000002</v>
      </c>
      <c r="S690" s="15" t="s">
        <v>340</v>
      </c>
      <c r="T690" s="15">
        <v>2.2000000000000002</v>
      </c>
      <c r="U690" s="15">
        <v>2.5</v>
      </c>
      <c r="V690" s="27">
        <v>1300</v>
      </c>
      <c r="W690" s="22">
        <v>18000</v>
      </c>
      <c r="X690" s="15"/>
      <c r="Y690" s="15" t="s">
        <v>328</v>
      </c>
      <c r="Z690" s="15"/>
      <c r="AA690" s="15"/>
      <c r="AB690" s="15"/>
      <c r="AC690" s="15"/>
      <c r="AD690" s="15" t="s">
        <v>328</v>
      </c>
      <c r="AE690" s="15" t="s">
        <v>328</v>
      </c>
      <c r="AF690" s="15"/>
      <c r="AG690" s="15"/>
      <c r="AH690" s="15" t="s">
        <v>328</v>
      </c>
      <c r="AI690" s="15"/>
      <c r="AJ690" s="15"/>
      <c r="AK690" s="15"/>
      <c r="AL690" s="15" t="s">
        <v>328</v>
      </c>
      <c r="AM690" s="15"/>
      <c r="AN690" s="16">
        <v>15000</v>
      </c>
      <c r="AO690" s="16">
        <v>20000</v>
      </c>
      <c r="AP690" s="16">
        <v>50000</v>
      </c>
      <c r="AQ690" s="16">
        <v>120000</v>
      </c>
      <c r="AR690" s="16">
        <v>20000</v>
      </c>
      <c r="AS690" s="22">
        <v>96000</v>
      </c>
      <c r="AT690" s="22">
        <v>54000</v>
      </c>
      <c r="AU690" s="22">
        <v>24000</v>
      </c>
      <c r="AV690" s="22">
        <v>12000</v>
      </c>
      <c r="AW690" s="22">
        <v>12000</v>
      </c>
      <c r="AX690" s="66">
        <v>0</v>
      </c>
      <c r="AZ690" s="15"/>
      <c r="BA690" s="249">
        <f t="shared" si="21"/>
        <v>7</v>
      </c>
      <c r="BB690" s="249">
        <v>0</v>
      </c>
      <c r="BC690" s="249">
        <f t="shared" si="20"/>
        <v>2004</v>
      </c>
    </row>
    <row r="691" spans="1:55" x14ac:dyDescent="0.25">
      <c r="A691" s="51" t="s">
        <v>1378</v>
      </c>
      <c r="B691" s="63" t="s">
        <v>1377</v>
      </c>
      <c r="C691" s="14" t="s">
        <v>351</v>
      </c>
      <c r="D691" s="15">
        <v>1992</v>
      </c>
      <c r="E691" s="15" t="s">
        <v>407</v>
      </c>
      <c r="F691" s="15"/>
      <c r="G691" s="15"/>
      <c r="H691" s="15"/>
      <c r="I691" s="15"/>
      <c r="J691" s="16">
        <v>400000</v>
      </c>
      <c r="K691" s="15"/>
      <c r="L691" s="15"/>
      <c r="M691" s="15" t="s">
        <v>328</v>
      </c>
      <c r="N691" s="16">
        <v>4500</v>
      </c>
      <c r="O691" s="21">
        <v>0.5</v>
      </c>
      <c r="P691" s="15">
        <v>1</v>
      </c>
      <c r="Q691" s="15">
        <v>400</v>
      </c>
      <c r="R691" s="16">
        <v>880.00000000000011</v>
      </c>
      <c r="S691" s="15" t="s">
        <v>340</v>
      </c>
      <c r="T691" s="15">
        <v>2.2000000000000002</v>
      </c>
      <c r="U691" s="15">
        <v>3</v>
      </c>
      <c r="V691" s="27">
        <v>1800</v>
      </c>
      <c r="W691" s="22">
        <v>25500</v>
      </c>
      <c r="X691" s="15"/>
      <c r="Y691" s="15"/>
      <c r="Z691" s="15"/>
      <c r="AA691" s="15"/>
      <c r="AB691" s="15" t="s">
        <v>328</v>
      </c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6">
        <v>20000</v>
      </c>
      <c r="AO691" s="16">
        <v>20000</v>
      </c>
      <c r="AP691" s="16">
        <v>20000</v>
      </c>
      <c r="AQ691" s="16">
        <v>130000</v>
      </c>
      <c r="AR691" s="16">
        <v>20000</v>
      </c>
      <c r="AS691" s="22">
        <v>91200</v>
      </c>
      <c r="AT691" s="22">
        <v>0</v>
      </c>
      <c r="AU691" s="22">
        <v>25000</v>
      </c>
      <c r="AV691" s="22">
        <v>15000</v>
      </c>
      <c r="AW691" s="22">
        <v>8000</v>
      </c>
      <c r="AX691" s="66">
        <v>0</v>
      </c>
      <c r="AZ691" s="15" t="s">
        <v>351</v>
      </c>
      <c r="BA691" s="249">
        <f t="shared" si="21"/>
        <v>6</v>
      </c>
      <c r="BB691" s="249">
        <v>0</v>
      </c>
      <c r="BC691" s="249">
        <f t="shared" si="20"/>
        <v>1992</v>
      </c>
    </row>
    <row r="692" spans="1:55" x14ac:dyDescent="0.25">
      <c r="A692" s="51" t="s">
        <v>1378</v>
      </c>
      <c r="B692" s="63" t="s">
        <v>1377</v>
      </c>
      <c r="C692" s="14" t="s">
        <v>351</v>
      </c>
      <c r="D692" s="15">
        <v>1994</v>
      </c>
      <c r="E692" s="15" t="s">
        <v>407</v>
      </c>
      <c r="F692" s="15"/>
      <c r="G692" s="15"/>
      <c r="H692" s="15"/>
      <c r="I692" s="15"/>
      <c r="J692" s="16">
        <v>350000</v>
      </c>
      <c r="K692" s="15"/>
      <c r="L692" s="15"/>
      <c r="M692" s="15" t="s">
        <v>328</v>
      </c>
      <c r="N692" s="16">
        <v>4500</v>
      </c>
      <c r="O692" s="21">
        <v>0.5</v>
      </c>
      <c r="P692" s="15">
        <v>1</v>
      </c>
      <c r="Q692" s="15">
        <v>460</v>
      </c>
      <c r="R692" s="16">
        <v>1058</v>
      </c>
      <c r="S692" s="15" t="s">
        <v>340</v>
      </c>
      <c r="T692" s="15">
        <v>2.2999999999999998</v>
      </c>
      <c r="U692" s="15">
        <v>3.5</v>
      </c>
      <c r="V692" s="27">
        <v>1600</v>
      </c>
      <c r="W692" s="22">
        <v>22500</v>
      </c>
      <c r="X692" s="15"/>
      <c r="Y692" s="15"/>
      <c r="Z692" s="15"/>
      <c r="AA692" s="15"/>
      <c r="AB692" s="15" t="s">
        <v>328</v>
      </c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6">
        <v>20000</v>
      </c>
      <c r="AO692" s="16">
        <v>20000</v>
      </c>
      <c r="AP692" s="16">
        <v>20000</v>
      </c>
      <c r="AQ692" s="16">
        <v>130000</v>
      </c>
      <c r="AR692" s="16">
        <v>20000</v>
      </c>
      <c r="AS692" s="22">
        <v>91200</v>
      </c>
      <c r="AT692" s="22">
        <v>0</v>
      </c>
      <c r="AU692" s="22">
        <v>25000</v>
      </c>
      <c r="AV692" s="22">
        <v>15000</v>
      </c>
      <c r="AW692" s="22">
        <v>8000</v>
      </c>
      <c r="AX692" s="66">
        <v>0</v>
      </c>
      <c r="AZ692" s="15" t="s">
        <v>351</v>
      </c>
      <c r="BA692" s="249">
        <f t="shared" si="21"/>
        <v>6</v>
      </c>
      <c r="BB692" s="249">
        <v>0</v>
      </c>
      <c r="BC692" s="249">
        <f t="shared" si="20"/>
        <v>1994</v>
      </c>
    </row>
    <row r="693" spans="1:55" x14ac:dyDescent="0.25">
      <c r="A693" s="51" t="s">
        <v>1378</v>
      </c>
      <c r="B693" s="63" t="s">
        <v>1377</v>
      </c>
      <c r="C693" s="14" t="s">
        <v>351</v>
      </c>
      <c r="D693" s="15">
        <v>1995</v>
      </c>
      <c r="E693" s="15" t="s">
        <v>407</v>
      </c>
      <c r="F693" s="15"/>
      <c r="G693" s="15"/>
      <c r="H693" s="15"/>
      <c r="I693" s="15"/>
      <c r="J693" s="16">
        <v>600000</v>
      </c>
      <c r="K693" s="15"/>
      <c r="L693" s="15"/>
      <c r="M693" s="15" t="s">
        <v>328</v>
      </c>
      <c r="N693" s="16">
        <v>4500</v>
      </c>
      <c r="O693" s="21">
        <v>0.5</v>
      </c>
      <c r="P693" s="15">
        <v>1</v>
      </c>
      <c r="Q693" s="15">
        <v>460</v>
      </c>
      <c r="R693" s="16">
        <v>1058</v>
      </c>
      <c r="S693" s="15" t="s">
        <v>340</v>
      </c>
      <c r="T693" s="15">
        <v>2.2999999999999998</v>
      </c>
      <c r="U693" s="15">
        <v>3.5</v>
      </c>
      <c r="V693" s="27">
        <v>1600</v>
      </c>
      <c r="W693" s="22">
        <v>22500</v>
      </c>
      <c r="X693" s="15"/>
      <c r="Y693" s="15"/>
      <c r="Z693" s="15"/>
      <c r="AA693" s="15"/>
      <c r="AB693" s="15" t="s">
        <v>328</v>
      </c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6">
        <v>20000</v>
      </c>
      <c r="AO693" s="16">
        <v>20000</v>
      </c>
      <c r="AP693" s="16">
        <v>20000</v>
      </c>
      <c r="AQ693" s="16">
        <v>130000</v>
      </c>
      <c r="AR693" s="16">
        <v>20000</v>
      </c>
      <c r="AS693" s="22">
        <v>91200</v>
      </c>
      <c r="AT693" s="22">
        <v>0</v>
      </c>
      <c r="AU693" s="22">
        <v>25000</v>
      </c>
      <c r="AV693" s="22">
        <v>15000</v>
      </c>
      <c r="AW693" s="22">
        <v>8000</v>
      </c>
      <c r="AX693" s="66">
        <v>0</v>
      </c>
      <c r="AZ693" s="15" t="s">
        <v>351</v>
      </c>
      <c r="BA693" s="249">
        <f t="shared" si="21"/>
        <v>6</v>
      </c>
      <c r="BB693" s="249">
        <v>0</v>
      </c>
      <c r="BC693" s="249">
        <f t="shared" si="20"/>
        <v>1995</v>
      </c>
    </row>
    <row r="694" spans="1:55" x14ac:dyDescent="0.25">
      <c r="A694" s="51" t="s">
        <v>1378</v>
      </c>
      <c r="B694" s="63" t="s">
        <v>1377</v>
      </c>
      <c r="C694" s="15" t="s">
        <v>337</v>
      </c>
      <c r="D694" s="15">
        <v>2000</v>
      </c>
      <c r="E694" s="15" t="s">
        <v>456</v>
      </c>
      <c r="F694" s="15"/>
      <c r="G694" s="15"/>
      <c r="H694" s="15"/>
      <c r="I694" s="15"/>
      <c r="J694" s="16">
        <v>750000</v>
      </c>
      <c r="K694" s="15"/>
      <c r="L694" s="15"/>
      <c r="M694" s="15" t="s">
        <v>328</v>
      </c>
      <c r="N694" s="16">
        <v>4500</v>
      </c>
      <c r="O694" s="21">
        <v>0.5</v>
      </c>
      <c r="P694" s="15">
        <v>2</v>
      </c>
      <c r="Q694" s="15">
        <v>900</v>
      </c>
      <c r="R694" s="16">
        <v>3960.0000000000005</v>
      </c>
      <c r="S694" s="15" t="s">
        <v>340</v>
      </c>
      <c r="T694" s="15">
        <v>2.2000000000000002</v>
      </c>
      <c r="U694" s="15">
        <v>3</v>
      </c>
      <c r="V694" s="27">
        <v>1800</v>
      </c>
      <c r="W694" s="22">
        <v>25452</v>
      </c>
      <c r="X694" s="15"/>
      <c r="Y694" s="15"/>
      <c r="Z694" s="15"/>
      <c r="AA694" s="15"/>
      <c r="AB694" s="15" t="s">
        <v>328</v>
      </c>
      <c r="AC694" s="15"/>
      <c r="AD694" s="15"/>
      <c r="AE694" s="15" t="s">
        <v>328</v>
      </c>
      <c r="AF694" s="15"/>
      <c r="AG694" s="15"/>
      <c r="AH694" s="15"/>
      <c r="AI694" s="15"/>
      <c r="AJ694" s="15"/>
      <c r="AK694" s="15"/>
      <c r="AL694" s="15"/>
      <c r="AM694" s="15"/>
      <c r="AN694" s="16">
        <v>45000</v>
      </c>
      <c r="AO694" s="16">
        <v>45000</v>
      </c>
      <c r="AP694" s="16">
        <v>45000</v>
      </c>
      <c r="AQ694" s="16">
        <v>130000</v>
      </c>
      <c r="AR694" s="16">
        <v>45000</v>
      </c>
      <c r="AS694" s="22">
        <v>91200</v>
      </c>
      <c r="AT694" s="22">
        <v>0</v>
      </c>
      <c r="AU694" s="22">
        <v>25000</v>
      </c>
      <c r="AV694" s="22">
        <v>15000</v>
      </c>
      <c r="AW694" s="22">
        <v>8000</v>
      </c>
      <c r="AX694" s="66">
        <v>0</v>
      </c>
      <c r="AZ694" s="15" t="s">
        <v>337</v>
      </c>
      <c r="BA694" s="249">
        <f t="shared" si="21"/>
        <v>6</v>
      </c>
      <c r="BB694" s="249">
        <v>0</v>
      </c>
      <c r="BC694" s="249">
        <f t="shared" si="20"/>
        <v>2000</v>
      </c>
    </row>
    <row r="695" spans="1:55" x14ac:dyDescent="0.25">
      <c r="A695" s="51" t="s">
        <v>1378</v>
      </c>
      <c r="B695" s="63" t="s">
        <v>1377</v>
      </c>
      <c r="C695" s="15" t="s">
        <v>337</v>
      </c>
      <c r="D695" s="15">
        <v>2002</v>
      </c>
      <c r="E695" s="15" t="s">
        <v>456</v>
      </c>
      <c r="F695" s="15"/>
      <c r="G695" s="15"/>
      <c r="H695" s="15"/>
      <c r="I695" s="15"/>
      <c r="J695" s="16">
        <v>800000</v>
      </c>
      <c r="K695" s="15"/>
      <c r="L695" s="15"/>
      <c r="M695" s="15" t="s">
        <v>328</v>
      </c>
      <c r="N695" s="16">
        <v>4500</v>
      </c>
      <c r="O695" s="21">
        <v>0.5</v>
      </c>
      <c r="P695" s="15">
        <v>2</v>
      </c>
      <c r="Q695" s="15">
        <v>900</v>
      </c>
      <c r="R695" s="16">
        <v>3960.0000000000005</v>
      </c>
      <c r="S695" s="15" t="s">
        <v>340</v>
      </c>
      <c r="T695" s="15">
        <v>2.2000000000000002</v>
      </c>
      <c r="U695" s="15">
        <v>3</v>
      </c>
      <c r="V695" s="27">
        <v>1800</v>
      </c>
      <c r="W695" s="22">
        <v>25452</v>
      </c>
      <c r="X695" s="15"/>
      <c r="Y695" s="15"/>
      <c r="Z695" s="15"/>
      <c r="AA695" s="15"/>
      <c r="AB695" s="15" t="s">
        <v>328</v>
      </c>
      <c r="AC695" s="15"/>
      <c r="AD695" s="15"/>
      <c r="AE695" s="15" t="s">
        <v>328</v>
      </c>
      <c r="AF695" s="15"/>
      <c r="AG695" s="15"/>
      <c r="AH695" s="15"/>
      <c r="AI695" s="15"/>
      <c r="AJ695" s="15"/>
      <c r="AK695" s="15"/>
      <c r="AL695" s="15"/>
      <c r="AM695" s="15"/>
      <c r="AN695" s="16">
        <v>45000</v>
      </c>
      <c r="AO695" s="16">
        <v>45000</v>
      </c>
      <c r="AP695" s="16">
        <v>45000</v>
      </c>
      <c r="AQ695" s="16">
        <v>130000</v>
      </c>
      <c r="AR695" s="16">
        <v>45000</v>
      </c>
      <c r="AS695" s="22">
        <v>91200</v>
      </c>
      <c r="AT695" s="22">
        <v>0</v>
      </c>
      <c r="AU695" s="22">
        <v>25000</v>
      </c>
      <c r="AV695" s="22">
        <v>15000</v>
      </c>
      <c r="AW695" s="22">
        <v>8000</v>
      </c>
      <c r="AX695" s="66">
        <v>0</v>
      </c>
      <c r="AZ695" s="15" t="s">
        <v>337</v>
      </c>
      <c r="BA695" s="249">
        <f t="shared" si="21"/>
        <v>6</v>
      </c>
      <c r="BB695" s="249">
        <v>0</v>
      </c>
      <c r="BC695" s="249">
        <f t="shared" si="20"/>
        <v>2002</v>
      </c>
    </row>
    <row r="696" spans="1:55" x14ac:dyDescent="0.25">
      <c r="A696" s="51" t="s">
        <v>1378</v>
      </c>
      <c r="B696" s="63" t="s">
        <v>1377</v>
      </c>
      <c r="C696" s="15" t="s">
        <v>337</v>
      </c>
      <c r="D696" s="15">
        <v>2003</v>
      </c>
      <c r="E696" s="15" t="s">
        <v>456</v>
      </c>
      <c r="F696" s="15"/>
      <c r="G696" s="15"/>
      <c r="H696" s="15"/>
      <c r="I696" s="15"/>
      <c r="J696" s="16">
        <v>1000000</v>
      </c>
      <c r="K696" s="15"/>
      <c r="L696" s="15"/>
      <c r="M696" s="15" t="s">
        <v>328</v>
      </c>
      <c r="N696" s="16">
        <v>4500</v>
      </c>
      <c r="O696" s="21">
        <v>0.5</v>
      </c>
      <c r="P696" s="15">
        <v>2</v>
      </c>
      <c r="Q696" s="15">
        <v>900</v>
      </c>
      <c r="R696" s="16">
        <v>4140</v>
      </c>
      <c r="S696" s="15" t="s">
        <v>340</v>
      </c>
      <c r="T696" s="15">
        <v>2.2999999999999998</v>
      </c>
      <c r="U696" s="15">
        <v>3.5</v>
      </c>
      <c r="V696" s="27">
        <v>1600</v>
      </c>
      <c r="W696" s="22">
        <v>22500</v>
      </c>
      <c r="X696" s="15"/>
      <c r="Y696" s="15"/>
      <c r="Z696" s="15"/>
      <c r="AA696" s="15"/>
      <c r="AB696" s="15" t="s">
        <v>328</v>
      </c>
      <c r="AC696" s="15"/>
      <c r="AD696" s="15" t="s">
        <v>328</v>
      </c>
      <c r="AE696" s="15" t="s">
        <v>328</v>
      </c>
      <c r="AF696" s="15"/>
      <c r="AG696" s="15"/>
      <c r="AH696" s="15"/>
      <c r="AI696" s="15"/>
      <c r="AJ696" s="15"/>
      <c r="AK696" s="15"/>
      <c r="AL696" s="15"/>
      <c r="AM696" s="15"/>
      <c r="AN696" s="16">
        <v>45000</v>
      </c>
      <c r="AO696" s="16">
        <v>45000</v>
      </c>
      <c r="AP696" s="16">
        <v>45000</v>
      </c>
      <c r="AQ696" s="16">
        <v>130000</v>
      </c>
      <c r="AR696" s="16">
        <v>45000</v>
      </c>
      <c r="AS696" s="22">
        <v>91200</v>
      </c>
      <c r="AT696" s="22">
        <v>0</v>
      </c>
      <c r="AU696" s="22">
        <v>25000</v>
      </c>
      <c r="AV696" s="22">
        <v>15000</v>
      </c>
      <c r="AW696" s="22">
        <v>8000</v>
      </c>
      <c r="AX696" s="66">
        <v>0</v>
      </c>
      <c r="AZ696" s="15" t="s">
        <v>337</v>
      </c>
      <c r="BA696" s="249">
        <f t="shared" si="21"/>
        <v>6</v>
      </c>
      <c r="BB696" s="249">
        <v>0</v>
      </c>
      <c r="BC696" s="249">
        <f t="shared" si="20"/>
        <v>2003</v>
      </c>
    </row>
    <row r="697" spans="1:55" x14ac:dyDescent="0.25">
      <c r="A697" s="51" t="s">
        <v>1378</v>
      </c>
      <c r="B697" s="65" t="s">
        <v>1425</v>
      </c>
      <c r="C697" s="15" t="s">
        <v>337</v>
      </c>
      <c r="D697" s="15">
        <v>1998</v>
      </c>
      <c r="E697" s="15"/>
      <c r="F697" s="15">
        <v>2010</v>
      </c>
      <c r="G697" s="15" t="s">
        <v>407</v>
      </c>
      <c r="H697" s="15"/>
      <c r="I697" s="15"/>
      <c r="J697" s="16">
        <v>1273618</v>
      </c>
      <c r="K697" s="15"/>
      <c r="L697" s="15"/>
      <c r="M697" s="15" t="s">
        <v>328</v>
      </c>
      <c r="N697" s="16">
        <v>8000</v>
      </c>
      <c r="O697" s="21">
        <v>0</v>
      </c>
      <c r="P697" s="15">
        <v>2</v>
      </c>
      <c r="Q697" s="15">
        <v>950</v>
      </c>
      <c r="R697" s="16">
        <v>4560</v>
      </c>
      <c r="S697" s="15" t="s">
        <v>340</v>
      </c>
      <c r="T697" s="15">
        <v>2.4</v>
      </c>
      <c r="U697" s="15">
        <v>2.7</v>
      </c>
      <c r="V697" s="27">
        <v>3500</v>
      </c>
      <c r="W697" s="22">
        <v>50000</v>
      </c>
      <c r="X697" s="15"/>
      <c r="Y697" s="15"/>
      <c r="Z697" s="15"/>
      <c r="AA697" s="15"/>
      <c r="AB697" s="15" t="s">
        <v>328</v>
      </c>
      <c r="AC697" s="15"/>
      <c r="AD697" s="15" t="s">
        <v>328</v>
      </c>
      <c r="AE697" s="15" t="s">
        <v>328</v>
      </c>
      <c r="AF697" s="15"/>
      <c r="AG697" s="15" t="s">
        <v>328</v>
      </c>
      <c r="AH697" s="15" t="s">
        <v>328</v>
      </c>
      <c r="AI697" s="15"/>
      <c r="AJ697" s="15"/>
      <c r="AK697" s="15" t="s">
        <v>328</v>
      </c>
      <c r="AL697" s="15"/>
      <c r="AM697" s="15"/>
      <c r="AN697" s="16">
        <v>24000</v>
      </c>
      <c r="AO697" s="16">
        <v>40000</v>
      </c>
      <c r="AP697" s="16">
        <v>20000</v>
      </c>
      <c r="AQ697" s="16">
        <v>120000</v>
      </c>
      <c r="AR697" s="16">
        <v>24000</v>
      </c>
      <c r="AS697" s="22">
        <v>0</v>
      </c>
      <c r="AT697" s="22">
        <v>0</v>
      </c>
      <c r="AU697" s="22">
        <v>60000</v>
      </c>
      <c r="AV697" s="22">
        <v>30000</v>
      </c>
      <c r="AW697" s="22">
        <v>20000</v>
      </c>
      <c r="AX697" s="66">
        <v>0</v>
      </c>
      <c r="AY697" s="17" t="s">
        <v>708</v>
      </c>
      <c r="AZ697" s="15"/>
      <c r="BA697" s="249">
        <f t="shared" si="21"/>
        <v>1</v>
      </c>
      <c r="BB697" s="249">
        <v>0</v>
      </c>
      <c r="BC697" s="249">
        <f t="shared" si="20"/>
        <v>2010</v>
      </c>
    </row>
    <row r="698" spans="1:55" x14ac:dyDescent="0.25">
      <c r="A698" s="51" t="s">
        <v>1378</v>
      </c>
      <c r="B698" s="65" t="s">
        <v>1426</v>
      </c>
      <c r="C698" s="15" t="s">
        <v>337</v>
      </c>
      <c r="D698" s="15">
        <v>2012</v>
      </c>
      <c r="E698" s="14" t="s">
        <v>338</v>
      </c>
      <c r="F698" s="15"/>
      <c r="G698" s="15"/>
      <c r="H698" s="15"/>
      <c r="I698" s="15"/>
      <c r="J698" s="16">
        <v>145000</v>
      </c>
      <c r="K698" s="15" t="s">
        <v>328</v>
      </c>
      <c r="L698" s="15"/>
      <c r="M698" s="15"/>
      <c r="N698" s="16">
        <v>6000</v>
      </c>
      <c r="O698" s="21">
        <v>0.5</v>
      </c>
      <c r="P698" s="15">
        <v>3</v>
      </c>
      <c r="Q698" s="15">
        <v>500</v>
      </c>
      <c r="R698" s="13">
        <v>3300.0000000000005</v>
      </c>
      <c r="S698" s="14" t="s">
        <v>340</v>
      </c>
      <c r="T698" s="15">
        <v>2.2000000000000002</v>
      </c>
      <c r="U698" s="15">
        <v>2.8</v>
      </c>
      <c r="V698" s="25">
        <v>1077.1992818671454</v>
      </c>
      <c r="W698" s="22">
        <v>12000</v>
      </c>
      <c r="X698" s="15"/>
      <c r="Y698" s="15" t="s">
        <v>328</v>
      </c>
      <c r="Z698" s="15"/>
      <c r="AA698" s="15"/>
      <c r="AB698" s="15"/>
      <c r="AC698" s="15"/>
      <c r="AD698" s="15" t="s">
        <v>328</v>
      </c>
      <c r="AE698" s="15" t="s">
        <v>328</v>
      </c>
      <c r="AF698" s="15"/>
      <c r="AG698" s="15" t="s">
        <v>328</v>
      </c>
      <c r="AH698" s="15" t="s">
        <v>328</v>
      </c>
      <c r="AI698" s="15" t="s">
        <v>328</v>
      </c>
      <c r="AJ698" s="15"/>
      <c r="AK698" s="15" t="s">
        <v>328</v>
      </c>
      <c r="AL698" s="15" t="s">
        <v>328</v>
      </c>
      <c r="AM698" s="15" t="s">
        <v>328</v>
      </c>
      <c r="AN698" s="16">
        <v>12000</v>
      </c>
      <c r="AO698" s="16">
        <v>12000</v>
      </c>
      <c r="AP698" s="16">
        <v>100000</v>
      </c>
      <c r="AQ698" s="16">
        <v>130000</v>
      </c>
      <c r="AR698" s="16">
        <v>12000</v>
      </c>
      <c r="AS698" s="22">
        <v>120000</v>
      </c>
      <c r="AT698" s="22">
        <v>0</v>
      </c>
      <c r="AU698" s="22">
        <v>90000</v>
      </c>
      <c r="AV698" s="22">
        <v>18000</v>
      </c>
      <c r="AW698" s="22">
        <v>7000</v>
      </c>
      <c r="AX698" s="66">
        <v>0</v>
      </c>
      <c r="AZ698" s="15"/>
      <c r="BA698" s="249">
        <f t="shared" si="21"/>
        <v>3</v>
      </c>
      <c r="BB698" s="249">
        <v>0</v>
      </c>
      <c r="BC698" s="249">
        <f t="shared" si="20"/>
        <v>2012</v>
      </c>
    </row>
    <row r="699" spans="1:55" x14ac:dyDescent="0.25">
      <c r="A699" s="51" t="s">
        <v>1378</v>
      </c>
      <c r="B699" s="65" t="s">
        <v>1426</v>
      </c>
      <c r="C699" s="15" t="s">
        <v>337</v>
      </c>
      <c r="D699" s="15">
        <v>2012</v>
      </c>
      <c r="E699" s="14" t="s">
        <v>338</v>
      </c>
      <c r="F699" s="15"/>
      <c r="G699" s="15"/>
      <c r="H699" s="15"/>
      <c r="I699" s="15"/>
      <c r="J699" s="16">
        <v>145000</v>
      </c>
      <c r="K699" s="15" t="s">
        <v>328</v>
      </c>
      <c r="L699" s="15"/>
      <c r="M699" s="15"/>
      <c r="N699" s="16">
        <v>6000</v>
      </c>
      <c r="O699" s="21">
        <v>0.5</v>
      </c>
      <c r="P699" s="15">
        <v>3</v>
      </c>
      <c r="Q699" s="15">
        <v>500</v>
      </c>
      <c r="R699" s="13">
        <v>3300.0000000000005</v>
      </c>
      <c r="S699" s="14" t="s">
        <v>340</v>
      </c>
      <c r="T699" s="15">
        <v>2.2000000000000002</v>
      </c>
      <c r="U699" s="15">
        <v>2.8</v>
      </c>
      <c r="V699" s="25">
        <v>1077.1992818671454</v>
      </c>
      <c r="W699" s="22">
        <v>12000</v>
      </c>
      <c r="X699" s="15"/>
      <c r="Y699" s="15" t="s">
        <v>328</v>
      </c>
      <c r="Z699" s="15"/>
      <c r="AA699" s="15"/>
      <c r="AB699" s="15"/>
      <c r="AC699" s="15"/>
      <c r="AD699" s="15" t="s">
        <v>328</v>
      </c>
      <c r="AE699" s="15" t="s">
        <v>328</v>
      </c>
      <c r="AF699" s="15"/>
      <c r="AG699" s="15" t="s">
        <v>328</v>
      </c>
      <c r="AH699" s="15" t="s">
        <v>328</v>
      </c>
      <c r="AI699" s="15" t="s">
        <v>328</v>
      </c>
      <c r="AJ699" s="15"/>
      <c r="AK699" s="15" t="s">
        <v>328</v>
      </c>
      <c r="AL699" s="15" t="s">
        <v>328</v>
      </c>
      <c r="AM699" s="15" t="s">
        <v>328</v>
      </c>
      <c r="AN699" s="16">
        <v>12000</v>
      </c>
      <c r="AO699" s="16">
        <v>12000</v>
      </c>
      <c r="AP699" s="16">
        <v>100000</v>
      </c>
      <c r="AQ699" s="16">
        <v>130000</v>
      </c>
      <c r="AR699" s="16">
        <v>12000</v>
      </c>
      <c r="AS699" s="22">
        <v>120000</v>
      </c>
      <c r="AT699" s="22">
        <v>0</v>
      </c>
      <c r="AU699" s="22">
        <v>90000</v>
      </c>
      <c r="AV699" s="22">
        <v>18000</v>
      </c>
      <c r="AW699" s="22">
        <v>7000</v>
      </c>
      <c r="AX699" s="66">
        <v>0</v>
      </c>
      <c r="AZ699" s="15"/>
      <c r="BA699" s="249">
        <f t="shared" si="21"/>
        <v>3</v>
      </c>
      <c r="BB699" s="249">
        <v>0</v>
      </c>
      <c r="BC699" s="249">
        <f t="shared" si="20"/>
        <v>2012</v>
      </c>
    </row>
    <row r="700" spans="1:55" x14ac:dyDescent="0.25">
      <c r="A700" s="51" t="s">
        <v>1378</v>
      </c>
      <c r="B700" s="65" t="s">
        <v>1426</v>
      </c>
      <c r="C700" s="15" t="s">
        <v>337</v>
      </c>
      <c r="D700" s="15">
        <v>2012</v>
      </c>
      <c r="E700" s="14" t="s">
        <v>338</v>
      </c>
      <c r="F700" s="15"/>
      <c r="G700" s="15"/>
      <c r="H700" s="15"/>
      <c r="I700" s="15"/>
      <c r="J700" s="16">
        <v>145000</v>
      </c>
      <c r="K700" s="15" t="s">
        <v>328</v>
      </c>
      <c r="L700" s="15"/>
      <c r="M700" s="15"/>
      <c r="N700" s="16">
        <v>6000</v>
      </c>
      <c r="O700" s="21">
        <v>0.5</v>
      </c>
      <c r="P700" s="15">
        <v>3</v>
      </c>
      <c r="Q700" s="15">
        <v>500</v>
      </c>
      <c r="R700" s="13">
        <v>3300.0000000000005</v>
      </c>
      <c r="S700" s="14" t="s">
        <v>340</v>
      </c>
      <c r="T700" s="15">
        <v>2.2000000000000002</v>
      </c>
      <c r="U700" s="15">
        <v>2.8</v>
      </c>
      <c r="V700" s="25">
        <v>1077.1992818671454</v>
      </c>
      <c r="W700" s="22">
        <v>12000</v>
      </c>
      <c r="X700" s="15"/>
      <c r="Y700" s="15" t="s">
        <v>328</v>
      </c>
      <c r="Z700" s="15"/>
      <c r="AA700" s="15"/>
      <c r="AB700" s="15"/>
      <c r="AC700" s="15"/>
      <c r="AD700" s="15" t="s">
        <v>328</v>
      </c>
      <c r="AE700" s="15" t="s">
        <v>328</v>
      </c>
      <c r="AF700" s="15"/>
      <c r="AG700" s="15" t="s">
        <v>328</v>
      </c>
      <c r="AH700" s="15" t="s">
        <v>328</v>
      </c>
      <c r="AI700" s="15" t="s">
        <v>328</v>
      </c>
      <c r="AJ700" s="15"/>
      <c r="AK700" s="15" t="s">
        <v>328</v>
      </c>
      <c r="AL700" s="15" t="s">
        <v>328</v>
      </c>
      <c r="AM700" s="15" t="s">
        <v>328</v>
      </c>
      <c r="AN700" s="16">
        <v>12000</v>
      </c>
      <c r="AO700" s="16">
        <v>12000</v>
      </c>
      <c r="AP700" s="16">
        <v>100000</v>
      </c>
      <c r="AQ700" s="16">
        <v>130000</v>
      </c>
      <c r="AR700" s="16">
        <v>12000</v>
      </c>
      <c r="AS700" s="22">
        <v>120000</v>
      </c>
      <c r="AT700" s="22">
        <v>0</v>
      </c>
      <c r="AU700" s="22">
        <v>90000</v>
      </c>
      <c r="AV700" s="22">
        <v>18000</v>
      </c>
      <c r="AW700" s="22">
        <v>7000</v>
      </c>
      <c r="AX700" s="66">
        <v>0</v>
      </c>
      <c r="AZ700" s="15"/>
      <c r="BA700" s="249">
        <f t="shared" si="21"/>
        <v>3</v>
      </c>
      <c r="BB700" s="249">
        <v>0</v>
      </c>
      <c r="BC700" s="249">
        <f t="shared" si="20"/>
        <v>2012</v>
      </c>
    </row>
    <row r="701" spans="1:55" x14ac:dyDescent="0.25">
      <c r="A701" s="51" t="s">
        <v>1378</v>
      </c>
      <c r="B701" s="65" t="s">
        <v>1427</v>
      </c>
      <c r="C701" s="15" t="s">
        <v>337</v>
      </c>
      <c r="D701" s="15">
        <v>1997</v>
      </c>
      <c r="E701" s="14" t="s">
        <v>338</v>
      </c>
      <c r="F701" s="15"/>
      <c r="G701" s="15"/>
      <c r="H701" s="15"/>
      <c r="I701" s="15"/>
      <c r="J701" s="16">
        <v>768000</v>
      </c>
      <c r="K701" s="15"/>
      <c r="L701" s="15" t="s">
        <v>328</v>
      </c>
      <c r="M701" s="15"/>
      <c r="N701" s="16">
        <v>4000</v>
      </c>
      <c r="O701" s="21">
        <v>0.5</v>
      </c>
      <c r="P701" s="15">
        <v>3</v>
      </c>
      <c r="Q701" s="15">
        <v>450</v>
      </c>
      <c r="R701" s="16">
        <v>2970.0000000000005</v>
      </c>
      <c r="S701" s="15" t="s">
        <v>340</v>
      </c>
      <c r="T701" s="15">
        <v>2.2000000000000002</v>
      </c>
      <c r="U701" s="15">
        <v>2.8</v>
      </c>
      <c r="V701" s="27">
        <v>2000</v>
      </c>
      <c r="W701" s="22">
        <v>22500</v>
      </c>
      <c r="X701" s="15"/>
      <c r="Y701" s="15" t="s">
        <v>328</v>
      </c>
      <c r="Z701" s="15"/>
      <c r="AA701" s="15"/>
      <c r="AB701" s="15"/>
      <c r="AC701" s="15"/>
      <c r="AD701" s="15" t="s">
        <v>328</v>
      </c>
      <c r="AE701" s="15" t="s">
        <v>328</v>
      </c>
      <c r="AF701" s="15"/>
      <c r="AG701" s="15" t="s">
        <v>328</v>
      </c>
      <c r="AH701" s="15"/>
      <c r="AI701" s="15"/>
      <c r="AJ701" s="15"/>
      <c r="AK701" s="15"/>
      <c r="AL701" s="15" t="s">
        <v>328</v>
      </c>
      <c r="AM701" s="15"/>
      <c r="AN701" s="16">
        <v>20000</v>
      </c>
      <c r="AO701" s="16">
        <v>20000</v>
      </c>
      <c r="AP701" s="16">
        <v>20000</v>
      </c>
      <c r="AQ701" s="16">
        <v>130000</v>
      </c>
      <c r="AR701" s="16">
        <v>20000</v>
      </c>
      <c r="AS701" s="22">
        <v>90000</v>
      </c>
      <c r="AT701" s="22">
        <v>0</v>
      </c>
      <c r="AU701" s="22">
        <v>54000</v>
      </c>
      <c r="AV701" s="22">
        <v>15000</v>
      </c>
      <c r="AW701" s="22">
        <v>15000</v>
      </c>
      <c r="AX701" s="66">
        <v>0</v>
      </c>
      <c r="AZ701" s="15"/>
      <c r="BA701" s="249">
        <f t="shared" si="21"/>
        <v>2</v>
      </c>
      <c r="BB701" s="249">
        <v>0</v>
      </c>
      <c r="BC701" s="249">
        <f t="shared" si="20"/>
        <v>1997</v>
      </c>
    </row>
    <row r="702" spans="1:55" x14ac:dyDescent="0.25">
      <c r="A702" s="51" t="s">
        <v>1378</v>
      </c>
      <c r="B702" s="65" t="s">
        <v>1427</v>
      </c>
      <c r="C702" s="15" t="s">
        <v>337</v>
      </c>
      <c r="D702" s="15">
        <v>1999</v>
      </c>
      <c r="E702" s="15" t="s">
        <v>407</v>
      </c>
      <c r="F702" s="15"/>
      <c r="G702" s="15"/>
      <c r="H702" s="15"/>
      <c r="I702" s="15"/>
      <c r="J702" s="16">
        <v>537600</v>
      </c>
      <c r="K702" s="15"/>
      <c r="L702" s="15"/>
      <c r="M702" s="15" t="s">
        <v>328</v>
      </c>
      <c r="N702" s="16">
        <v>3200</v>
      </c>
      <c r="O702" s="21">
        <v>0.5</v>
      </c>
      <c r="P702" s="15">
        <v>2</v>
      </c>
      <c r="Q702" s="15">
        <v>900</v>
      </c>
      <c r="R702" s="16">
        <v>3600</v>
      </c>
      <c r="S702" s="15" t="s">
        <v>340</v>
      </c>
      <c r="T702" s="15">
        <v>2</v>
      </c>
      <c r="U702" s="15">
        <v>2.2999999999999998</v>
      </c>
      <c r="V702" s="27">
        <v>2000</v>
      </c>
      <c r="W702" s="22">
        <v>22500</v>
      </c>
      <c r="X702" s="15"/>
      <c r="Y702" s="15"/>
      <c r="Z702" s="15"/>
      <c r="AA702" s="15"/>
      <c r="AB702" s="15" t="s">
        <v>328</v>
      </c>
      <c r="AC702" s="15"/>
      <c r="AD702" s="15" t="s">
        <v>328</v>
      </c>
      <c r="AE702" s="15" t="s">
        <v>328</v>
      </c>
      <c r="AF702" s="15"/>
      <c r="AG702" s="15" t="s">
        <v>328</v>
      </c>
      <c r="AH702" s="15"/>
      <c r="AI702" s="15"/>
      <c r="AJ702" s="15"/>
      <c r="AK702" s="15"/>
      <c r="AL702" s="15" t="s">
        <v>328</v>
      </c>
      <c r="AM702" s="15"/>
      <c r="AN702" s="16">
        <v>20000</v>
      </c>
      <c r="AO702" s="16">
        <v>20000</v>
      </c>
      <c r="AP702" s="16">
        <v>20000</v>
      </c>
      <c r="AQ702" s="16">
        <v>130000</v>
      </c>
      <c r="AR702" s="16">
        <v>20000</v>
      </c>
      <c r="AS702" s="22">
        <v>0</v>
      </c>
      <c r="AT702" s="22">
        <v>0</v>
      </c>
      <c r="AU702" s="22">
        <v>54000</v>
      </c>
      <c r="AV702" s="22">
        <v>15000</v>
      </c>
      <c r="AW702" s="22">
        <v>15000</v>
      </c>
      <c r="AX702" s="66">
        <v>0</v>
      </c>
      <c r="AY702" s="17" t="s">
        <v>576</v>
      </c>
      <c r="AZ702" s="15"/>
      <c r="BA702" s="249">
        <f t="shared" si="21"/>
        <v>2</v>
      </c>
      <c r="BB702" s="249">
        <v>0</v>
      </c>
      <c r="BC702" s="249">
        <f t="shared" si="20"/>
        <v>1999</v>
      </c>
    </row>
    <row r="703" spans="1:55" x14ac:dyDescent="0.25">
      <c r="A703" s="51" t="s">
        <v>1378</v>
      </c>
      <c r="B703" s="65" t="s">
        <v>1428</v>
      </c>
      <c r="C703" s="14" t="s">
        <v>337</v>
      </c>
      <c r="D703" s="14">
        <v>2007</v>
      </c>
      <c r="E703" s="14" t="s">
        <v>338</v>
      </c>
      <c r="F703" s="14"/>
      <c r="G703" s="14"/>
      <c r="H703" s="14"/>
      <c r="I703" s="14"/>
      <c r="J703" s="13">
        <v>720000</v>
      </c>
      <c r="K703" s="14" t="s">
        <v>328</v>
      </c>
      <c r="L703" s="14"/>
      <c r="M703" s="14"/>
      <c r="N703" s="13">
        <v>10000</v>
      </c>
      <c r="O703" s="24">
        <v>0.1</v>
      </c>
      <c r="P703" s="14">
        <v>3</v>
      </c>
      <c r="Q703" s="14">
        <v>500</v>
      </c>
      <c r="R703" s="13">
        <v>3300.0000000000005</v>
      </c>
      <c r="S703" s="14" t="s">
        <v>340</v>
      </c>
      <c r="T703" s="14">
        <v>2.2000000000000002</v>
      </c>
      <c r="U703" s="14">
        <v>2.5</v>
      </c>
      <c r="V703" s="25">
        <v>800</v>
      </c>
      <c r="W703" s="26">
        <v>9000</v>
      </c>
      <c r="X703" s="14"/>
      <c r="Y703" s="14" t="s">
        <v>328</v>
      </c>
      <c r="Z703" s="14"/>
      <c r="AA703" s="14"/>
      <c r="AB703" s="14"/>
      <c r="AC703" s="14"/>
      <c r="AD703" s="14"/>
      <c r="AE703" s="14" t="s">
        <v>328</v>
      </c>
      <c r="AF703" s="14"/>
      <c r="AG703" s="14" t="s">
        <v>328</v>
      </c>
      <c r="AH703" s="14" t="s">
        <v>328</v>
      </c>
      <c r="AI703" s="14" t="s">
        <v>328</v>
      </c>
      <c r="AJ703" s="14" t="s">
        <v>328</v>
      </c>
      <c r="AK703" s="14" t="s">
        <v>328</v>
      </c>
      <c r="AL703" s="14" t="s">
        <v>328</v>
      </c>
      <c r="AM703" s="14" t="s">
        <v>328</v>
      </c>
      <c r="AN703" s="13">
        <v>10000</v>
      </c>
      <c r="AO703" s="13">
        <v>20000</v>
      </c>
      <c r="AP703" s="13">
        <v>10000</v>
      </c>
      <c r="AQ703" s="13">
        <v>120000</v>
      </c>
      <c r="AR703" s="13">
        <v>20000</v>
      </c>
      <c r="AS703" s="26">
        <v>144000</v>
      </c>
      <c r="AT703" s="26">
        <v>0</v>
      </c>
      <c r="AU703" s="26">
        <v>180000</v>
      </c>
      <c r="AV703" s="26">
        <v>5000</v>
      </c>
      <c r="AW703" s="26">
        <v>8000</v>
      </c>
      <c r="AX703" s="66">
        <v>0</v>
      </c>
      <c r="AZ703" s="15"/>
      <c r="BA703" s="249">
        <f t="shared" si="21"/>
        <v>5</v>
      </c>
      <c r="BB703" s="249">
        <v>0</v>
      </c>
      <c r="BC703" s="249">
        <f t="shared" si="20"/>
        <v>2007</v>
      </c>
    </row>
    <row r="704" spans="1:55" x14ac:dyDescent="0.25">
      <c r="A704" s="51" t="s">
        <v>1378</v>
      </c>
      <c r="B704" s="65" t="s">
        <v>1428</v>
      </c>
      <c r="C704" s="14" t="s">
        <v>337</v>
      </c>
      <c r="D704" s="14">
        <v>2007</v>
      </c>
      <c r="E704" s="14" t="s">
        <v>338</v>
      </c>
      <c r="F704" s="14"/>
      <c r="G704" s="14"/>
      <c r="H704" s="14"/>
      <c r="I704" s="14"/>
      <c r="J704" s="13">
        <v>720000</v>
      </c>
      <c r="K704" s="14" t="s">
        <v>328</v>
      </c>
      <c r="L704" s="14"/>
      <c r="M704" s="14"/>
      <c r="N704" s="13">
        <v>10000</v>
      </c>
      <c r="O704" s="24">
        <v>0.1</v>
      </c>
      <c r="P704" s="14">
        <v>3</v>
      </c>
      <c r="Q704" s="14">
        <v>500</v>
      </c>
      <c r="R704" s="13">
        <v>3300.0000000000005</v>
      </c>
      <c r="S704" s="14" t="s">
        <v>340</v>
      </c>
      <c r="T704" s="14">
        <v>2.2000000000000002</v>
      </c>
      <c r="U704" s="14">
        <v>2.5</v>
      </c>
      <c r="V704" s="25">
        <v>800</v>
      </c>
      <c r="W704" s="26">
        <v>9000</v>
      </c>
      <c r="X704" s="14"/>
      <c r="Y704" s="14" t="s">
        <v>328</v>
      </c>
      <c r="Z704" s="14"/>
      <c r="AA704" s="14"/>
      <c r="AB704" s="14"/>
      <c r="AC704" s="14"/>
      <c r="AD704" s="14"/>
      <c r="AE704" s="14" t="s">
        <v>328</v>
      </c>
      <c r="AF704" s="14"/>
      <c r="AG704" s="14" t="s">
        <v>328</v>
      </c>
      <c r="AH704" s="14" t="s">
        <v>328</v>
      </c>
      <c r="AI704" s="14" t="s">
        <v>328</v>
      </c>
      <c r="AJ704" s="14" t="s">
        <v>328</v>
      </c>
      <c r="AK704" s="14" t="s">
        <v>328</v>
      </c>
      <c r="AL704" s="14" t="s">
        <v>328</v>
      </c>
      <c r="AM704" s="14" t="s">
        <v>328</v>
      </c>
      <c r="AN704" s="13">
        <v>10000</v>
      </c>
      <c r="AO704" s="13">
        <v>20000</v>
      </c>
      <c r="AP704" s="13">
        <v>10000</v>
      </c>
      <c r="AQ704" s="13">
        <v>120000</v>
      </c>
      <c r="AR704" s="13">
        <v>20000</v>
      </c>
      <c r="AS704" s="26">
        <v>144000</v>
      </c>
      <c r="AT704" s="26">
        <v>0</v>
      </c>
      <c r="AU704" s="26">
        <v>180000</v>
      </c>
      <c r="AV704" s="26">
        <v>5000</v>
      </c>
      <c r="AW704" s="26">
        <v>8000</v>
      </c>
      <c r="AX704" s="66">
        <v>0</v>
      </c>
      <c r="AZ704" s="15"/>
      <c r="BA704" s="249">
        <f t="shared" si="21"/>
        <v>5</v>
      </c>
      <c r="BB704" s="249">
        <v>0</v>
      </c>
      <c r="BC704" s="249">
        <f t="shared" si="20"/>
        <v>2007</v>
      </c>
    </row>
    <row r="705" spans="1:55" x14ac:dyDescent="0.25">
      <c r="A705" s="51" t="s">
        <v>1378</v>
      </c>
      <c r="B705" s="65" t="s">
        <v>1428</v>
      </c>
      <c r="C705" s="14" t="s">
        <v>337</v>
      </c>
      <c r="D705" s="14">
        <v>2007</v>
      </c>
      <c r="E705" s="14" t="s">
        <v>338</v>
      </c>
      <c r="F705" s="14"/>
      <c r="G705" s="14"/>
      <c r="H705" s="14"/>
      <c r="I705" s="14"/>
      <c r="J705" s="13">
        <v>720000</v>
      </c>
      <c r="K705" s="14" t="s">
        <v>328</v>
      </c>
      <c r="L705" s="14"/>
      <c r="M705" s="14"/>
      <c r="N705" s="13">
        <v>10000</v>
      </c>
      <c r="O705" s="24">
        <v>0.1</v>
      </c>
      <c r="P705" s="14">
        <v>3</v>
      </c>
      <c r="Q705" s="14">
        <v>500</v>
      </c>
      <c r="R705" s="13">
        <v>3300.0000000000005</v>
      </c>
      <c r="S705" s="14" t="s">
        <v>340</v>
      </c>
      <c r="T705" s="14">
        <v>2.2000000000000002</v>
      </c>
      <c r="U705" s="14">
        <v>2.5</v>
      </c>
      <c r="V705" s="25">
        <v>800</v>
      </c>
      <c r="W705" s="26">
        <v>9000</v>
      </c>
      <c r="X705" s="14"/>
      <c r="Y705" s="14" t="s">
        <v>328</v>
      </c>
      <c r="Z705" s="14"/>
      <c r="AA705" s="14"/>
      <c r="AB705" s="14"/>
      <c r="AC705" s="14"/>
      <c r="AD705" s="14"/>
      <c r="AE705" s="14" t="s">
        <v>328</v>
      </c>
      <c r="AF705" s="14"/>
      <c r="AG705" s="14" t="s">
        <v>328</v>
      </c>
      <c r="AH705" s="14" t="s">
        <v>328</v>
      </c>
      <c r="AI705" s="14" t="s">
        <v>328</v>
      </c>
      <c r="AJ705" s="14" t="s">
        <v>328</v>
      </c>
      <c r="AK705" s="14" t="s">
        <v>328</v>
      </c>
      <c r="AL705" s="14" t="s">
        <v>328</v>
      </c>
      <c r="AM705" s="14" t="s">
        <v>328</v>
      </c>
      <c r="AN705" s="13">
        <v>10000</v>
      </c>
      <c r="AO705" s="13">
        <v>20000</v>
      </c>
      <c r="AP705" s="13">
        <v>10000</v>
      </c>
      <c r="AQ705" s="13">
        <v>120000</v>
      </c>
      <c r="AR705" s="13">
        <v>20000</v>
      </c>
      <c r="AS705" s="26">
        <v>144000</v>
      </c>
      <c r="AT705" s="26">
        <v>0</v>
      </c>
      <c r="AU705" s="26">
        <v>180000</v>
      </c>
      <c r="AV705" s="26">
        <v>5000</v>
      </c>
      <c r="AW705" s="26">
        <v>8000</v>
      </c>
      <c r="AX705" s="66">
        <v>0</v>
      </c>
      <c r="AZ705" s="15"/>
      <c r="BA705" s="249">
        <f t="shared" si="21"/>
        <v>5</v>
      </c>
      <c r="BB705" s="249">
        <v>0</v>
      </c>
      <c r="BC705" s="249">
        <f t="shared" si="20"/>
        <v>2007</v>
      </c>
    </row>
    <row r="706" spans="1:55" x14ac:dyDescent="0.25">
      <c r="A706" s="51" t="s">
        <v>1378</v>
      </c>
      <c r="B706" s="65" t="s">
        <v>1428</v>
      </c>
      <c r="C706" s="14" t="s">
        <v>337</v>
      </c>
      <c r="D706" s="14">
        <v>2012</v>
      </c>
      <c r="E706" s="14" t="s">
        <v>477</v>
      </c>
      <c r="F706" s="14"/>
      <c r="G706" s="14"/>
      <c r="H706" s="14"/>
      <c r="I706" s="14"/>
      <c r="J706" s="13">
        <v>120000</v>
      </c>
      <c r="K706" s="14" t="s">
        <v>328</v>
      </c>
      <c r="L706" s="14"/>
      <c r="M706" s="14"/>
      <c r="N706" s="13">
        <v>5000</v>
      </c>
      <c r="O706" s="24">
        <v>0.5</v>
      </c>
      <c r="P706" s="14">
        <v>3</v>
      </c>
      <c r="Q706" s="14">
        <v>550</v>
      </c>
      <c r="R706" s="13">
        <v>3465</v>
      </c>
      <c r="S706" s="14" t="s">
        <v>340</v>
      </c>
      <c r="T706" s="14">
        <v>2.1</v>
      </c>
      <c r="U706" s="14">
        <v>3</v>
      </c>
      <c r="V706" s="25">
        <v>900</v>
      </c>
      <c r="W706" s="26">
        <v>9900</v>
      </c>
      <c r="X706" s="14"/>
      <c r="Y706" s="14"/>
      <c r="Z706" s="14"/>
      <c r="AA706" s="14"/>
      <c r="AB706" s="14"/>
      <c r="AC706" s="14" t="s">
        <v>328</v>
      </c>
      <c r="AD706" s="14" t="s">
        <v>328</v>
      </c>
      <c r="AE706" s="14" t="s">
        <v>328</v>
      </c>
      <c r="AF706" s="14" t="s">
        <v>328</v>
      </c>
      <c r="AG706" s="14" t="s">
        <v>328</v>
      </c>
      <c r="AH706" s="14" t="s">
        <v>328</v>
      </c>
      <c r="AI706" s="14" t="s">
        <v>328</v>
      </c>
      <c r="AJ706" s="14"/>
      <c r="AK706" s="14" t="s">
        <v>328</v>
      </c>
      <c r="AL706" s="14" t="s">
        <v>328</v>
      </c>
      <c r="AM706" s="14" t="s">
        <v>328</v>
      </c>
      <c r="AN706" s="13">
        <v>7000</v>
      </c>
      <c r="AO706" s="13">
        <v>16000</v>
      </c>
      <c r="AP706" s="13">
        <v>10000</v>
      </c>
      <c r="AQ706" s="13">
        <v>120000</v>
      </c>
      <c r="AR706" s="13">
        <v>16000</v>
      </c>
      <c r="AS706" s="26">
        <v>144000</v>
      </c>
      <c r="AT706" s="26">
        <v>0</v>
      </c>
      <c r="AU706" s="26">
        <v>180000</v>
      </c>
      <c r="AV706" s="26">
        <v>5000</v>
      </c>
      <c r="AW706" s="26">
        <v>8000</v>
      </c>
      <c r="AX706" s="66">
        <v>0</v>
      </c>
      <c r="AZ706" s="15"/>
      <c r="BA706" s="249">
        <f t="shared" si="21"/>
        <v>5</v>
      </c>
      <c r="BB706" s="249">
        <v>0</v>
      </c>
      <c r="BC706" s="249">
        <f t="shared" si="20"/>
        <v>2012</v>
      </c>
    </row>
    <row r="707" spans="1:55" x14ac:dyDescent="0.25">
      <c r="A707" s="51" t="s">
        <v>1378</v>
      </c>
      <c r="B707" s="65" t="s">
        <v>1428</v>
      </c>
      <c r="C707" s="14" t="s">
        <v>337</v>
      </c>
      <c r="D707" s="14">
        <v>2012</v>
      </c>
      <c r="E707" s="14" t="s">
        <v>477</v>
      </c>
      <c r="F707" s="14"/>
      <c r="G707" s="14"/>
      <c r="H707" s="14"/>
      <c r="I707" s="14"/>
      <c r="J707" s="13">
        <v>120000</v>
      </c>
      <c r="K707" s="14" t="s">
        <v>328</v>
      </c>
      <c r="L707" s="14"/>
      <c r="M707" s="14"/>
      <c r="N707" s="13">
        <v>5000</v>
      </c>
      <c r="O707" s="24">
        <v>0.5</v>
      </c>
      <c r="P707" s="14">
        <v>3</v>
      </c>
      <c r="Q707" s="14">
        <v>550</v>
      </c>
      <c r="R707" s="13">
        <v>3465</v>
      </c>
      <c r="S707" s="14" t="s">
        <v>340</v>
      </c>
      <c r="T707" s="14">
        <v>2.1</v>
      </c>
      <c r="U707" s="14">
        <v>3</v>
      </c>
      <c r="V707" s="25">
        <v>900</v>
      </c>
      <c r="W707" s="26">
        <v>9900</v>
      </c>
      <c r="X707" s="14"/>
      <c r="Y707" s="14"/>
      <c r="Z707" s="14"/>
      <c r="AA707" s="14"/>
      <c r="AB707" s="14"/>
      <c r="AC707" s="14" t="s">
        <v>328</v>
      </c>
      <c r="AD707" s="14" t="s">
        <v>328</v>
      </c>
      <c r="AE707" s="14" t="s">
        <v>328</v>
      </c>
      <c r="AF707" s="14" t="s">
        <v>328</v>
      </c>
      <c r="AG707" s="14" t="s">
        <v>328</v>
      </c>
      <c r="AH707" s="14" t="s">
        <v>328</v>
      </c>
      <c r="AI707" s="14" t="s">
        <v>328</v>
      </c>
      <c r="AJ707" s="14"/>
      <c r="AK707" s="14" t="s">
        <v>328</v>
      </c>
      <c r="AL707" s="14" t="s">
        <v>328</v>
      </c>
      <c r="AM707" s="14" t="s">
        <v>328</v>
      </c>
      <c r="AN707" s="13">
        <v>7000</v>
      </c>
      <c r="AO707" s="13">
        <v>16000</v>
      </c>
      <c r="AP707" s="13">
        <v>10000</v>
      </c>
      <c r="AQ707" s="13">
        <v>120000</v>
      </c>
      <c r="AR707" s="13">
        <v>16000</v>
      </c>
      <c r="AS707" s="26">
        <v>144000</v>
      </c>
      <c r="AT707" s="26">
        <v>0</v>
      </c>
      <c r="AU707" s="26">
        <v>180000</v>
      </c>
      <c r="AV707" s="26">
        <v>5000</v>
      </c>
      <c r="AW707" s="26">
        <v>8000</v>
      </c>
      <c r="AX707" s="66">
        <v>0</v>
      </c>
      <c r="AZ707" s="15"/>
      <c r="BA707" s="249">
        <f t="shared" si="21"/>
        <v>5</v>
      </c>
      <c r="BB707" s="249">
        <v>0</v>
      </c>
      <c r="BC707" s="249">
        <f t="shared" si="20"/>
        <v>2012</v>
      </c>
    </row>
    <row r="708" spans="1:55" x14ac:dyDescent="0.25">
      <c r="A708" s="51" t="s">
        <v>1378</v>
      </c>
      <c r="B708" s="65" t="s">
        <v>1429</v>
      </c>
      <c r="C708" s="15" t="s">
        <v>348</v>
      </c>
      <c r="D708" s="15">
        <v>1993</v>
      </c>
      <c r="E708" s="15" t="s">
        <v>370</v>
      </c>
      <c r="F708" s="15"/>
      <c r="G708" s="15"/>
      <c r="H708" s="15"/>
      <c r="I708" s="15"/>
      <c r="J708" s="16">
        <v>840000</v>
      </c>
      <c r="K708" s="15"/>
      <c r="L708" s="15" t="s">
        <v>328</v>
      </c>
      <c r="M708" s="15"/>
      <c r="N708" s="16">
        <v>3500</v>
      </c>
      <c r="O708" s="21">
        <v>0.3</v>
      </c>
      <c r="P708" s="15">
        <v>2</v>
      </c>
      <c r="Q708" s="15">
        <v>350</v>
      </c>
      <c r="R708" s="16">
        <v>1959.9999999999998</v>
      </c>
      <c r="S708" s="15" t="s">
        <v>340</v>
      </c>
      <c r="T708" s="15">
        <v>2.8</v>
      </c>
      <c r="U708" s="15">
        <v>3</v>
      </c>
      <c r="V708" s="27">
        <v>1600</v>
      </c>
      <c r="W708" s="22">
        <v>22000</v>
      </c>
      <c r="X708" s="15"/>
      <c r="Y708" s="15" t="s">
        <v>328</v>
      </c>
      <c r="Z708" s="15"/>
      <c r="AA708" s="15"/>
      <c r="AB708" s="15"/>
      <c r="AC708" s="15"/>
      <c r="AD708" s="15"/>
      <c r="AE708" s="15"/>
      <c r="AF708" s="15"/>
      <c r="AG708" s="15" t="s">
        <v>328</v>
      </c>
      <c r="AH708" s="15"/>
      <c r="AI708" s="15"/>
      <c r="AJ708" s="15"/>
      <c r="AK708" s="15" t="s">
        <v>328</v>
      </c>
      <c r="AL708" s="15" t="s">
        <v>328</v>
      </c>
      <c r="AM708" s="15"/>
      <c r="AN708" s="16">
        <v>8000</v>
      </c>
      <c r="AO708" s="16">
        <v>6000</v>
      </c>
      <c r="AP708" s="16">
        <v>20000</v>
      </c>
      <c r="AQ708" s="16">
        <v>42000</v>
      </c>
      <c r="AR708" s="16">
        <v>8000</v>
      </c>
      <c r="AS708" s="22">
        <v>0</v>
      </c>
      <c r="AT708" s="22">
        <v>36000</v>
      </c>
      <c r="AU708" s="22">
        <v>60000</v>
      </c>
      <c r="AV708" s="22">
        <v>10000</v>
      </c>
      <c r="AW708" s="22">
        <v>7000</v>
      </c>
      <c r="AX708" s="66">
        <v>0</v>
      </c>
      <c r="AZ708" s="15" t="s">
        <v>348</v>
      </c>
      <c r="BA708" s="249">
        <f t="shared" si="21"/>
        <v>1</v>
      </c>
      <c r="BB708" s="249">
        <v>0</v>
      </c>
      <c r="BC708" s="249">
        <f t="shared" si="20"/>
        <v>1993</v>
      </c>
    </row>
    <row r="709" spans="1:55" x14ac:dyDescent="0.25">
      <c r="A709" s="51" t="s">
        <v>1378</v>
      </c>
      <c r="B709" s="65" t="s">
        <v>1430</v>
      </c>
      <c r="C709" s="14" t="s">
        <v>337</v>
      </c>
      <c r="D709" s="14">
        <v>2000</v>
      </c>
      <c r="E709" s="14" t="s">
        <v>407</v>
      </c>
      <c r="F709" s="14"/>
      <c r="G709" s="14"/>
      <c r="H709" s="14"/>
      <c r="I709" s="14"/>
      <c r="J709" s="13">
        <v>746988</v>
      </c>
      <c r="K709" s="14"/>
      <c r="L709" s="14" t="s">
        <v>328</v>
      </c>
      <c r="M709" s="14"/>
      <c r="N709" s="13">
        <v>8000</v>
      </c>
      <c r="O709" s="24">
        <v>0.3</v>
      </c>
      <c r="P709" s="14">
        <v>3</v>
      </c>
      <c r="Q709" s="14">
        <v>1150</v>
      </c>
      <c r="R709" s="13">
        <v>8625</v>
      </c>
      <c r="S709" s="14" t="s">
        <v>340</v>
      </c>
      <c r="T709" s="14">
        <v>2.5</v>
      </c>
      <c r="U709" s="14">
        <v>3.1</v>
      </c>
      <c r="V709" s="27">
        <v>3500</v>
      </c>
      <c r="W709" s="22">
        <v>50000</v>
      </c>
      <c r="X709" s="14"/>
      <c r="Y709" s="14" t="s">
        <v>328</v>
      </c>
      <c r="Z709" s="14"/>
      <c r="AA709" s="14"/>
      <c r="AB709" s="14"/>
      <c r="AC709" s="14"/>
      <c r="AD709" s="14" t="s">
        <v>328</v>
      </c>
      <c r="AE709" s="14"/>
      <c r="AF709" s="14"/>
      <c r="AG709" s="14"/>
      <c r="AH709" s="14"/>
      <c r="AI709" s="14"/>
      <c r="AJ709" s="14"/>
      <c r="AK709" s="14"/>
      <c r="AL709" s="14"/>
      <c r="AM709" s="14"/>
      <c r="AN709" s="13">
        <v>18000</v>
      </c>
      <c r="AO709" s="13">
        <v>18000</v>
      </c>
      <c r="AP709" s="13">
        <v>50000</v>
      </c>
      <c r="AQ709" s="13">
        <v>180000</v>
      </c>
      <c r="AR709" s="13">
        <v>18000</v>
      </c>
      <c r="AS709" s="26">
        <v>108000</v>
      </c>
      <c r="AT709" s="26">
        <v>0</v>
      </c>
      <c r="AU709" s="26">
        <v>24000</v>
      </c>
      <c r="AV709" s="26">
        <v>24000</v>
      </c>
      <c r="AW709" s="26">
        <v>25000</v>
      </c>
      <c r="AX709" s="62">
        <v>0</v>
      </c>
      <c r="AZ709" s="15"/>
      <c r="BA709" s="249">
        <f t="shared" si="21"/>
        <v>4</v>
      </c>
      <c r="BB709" s="249">
        <v>0</v>
      </c>
      <c r="BC709" s="249">
        <f t="shared" si="20"/>
        <v>2000</v>
      </c>
    </row>
    <row r="710" spans="1:55" x14ac:dyDescent="0.25">
      <c r="A710" s="51" t="s">
        <v>1378</v>
      </c>
      <c r="B710" s="65" t="s">
        <v>1430</v>
      </c>
      <c r="C710" s="14" t="s">
        <v>337</v>
      </c>
      <c r="D710" s="14">
        <v>2002</v>
      </c>
      <c r="E710" s="14" t="s">
        <v>407</v>
      </c>
      <c r="F710" s="14"/>
      <c r="G710" s="14"/>
      <c r="H710" s="14"/>
      <c r="I710" s="14"/>
      <c r="J710" s="13">
        <v>691123</v>
      </c>
      <c r="K710" s="14" t="s">
        <v>328</v>
      </c>
      <c r="L710" s="14"/>
      <c r="M710" s="14"/>
      <c r="N710" s="13">
        <v>8000</v>
      </c>
      <c r="O710" s="24">
        <v>0.3</v>
      </c>
      <c r="P710" s="14">
        <v>3</v>
      </c>
      <c r="Q710" s="14">
        <v>1150</v>
      </c>
      <c r="R710" s="13">
        <v>8625</v>
      </c>
      <c r="S710" s="14" t="s">
        <v>340</v>
      </c>
      <c r="T710" s="14">
        <v>2.5</v>
      </c>
      <c r="U710" s="14">
        <v>3.1</v>
      </c>
      <c r="V710" s="27">
        <v>3500</v>
      </c>
      <c r="W710" s="22">
        <v>50000</v>
      </c>
      <c r="X710" s="14"/>
      <c r="Y710" s="14"/>
      <c r="Z710" s="14"/>
      <c r="AA710" s="14"/>
      <c r="AB710" s="14" t="s">
        <v>328</v>
      </c>
      <c r="AC710" s="14"/>
      <c r="AD710" s="14" t="s">
        <v>328</v>
      </c>
      <c r="AE710" s="14"/>
      <c r="AF710" s="14"/>
      <c r="AG710" s="14"/>
      <c r="AH710" s="14"/>
      <c r="AI710" s="14"/>
      <c r="AJ710" s="14"/>
      <c r="AK710" s="14"/>
      <c r="AL710" s="14"/>
      <c r="AM710" s="14"/>
      <c r="AN710" s="13">
        <v>18000</v>
      </c>
      <c r="AO710" s="13">
        <v>18000</v>
      </c>
      <c r="AP710" s="13">
        <v>50000</v>
      </c>
      <c r="AQ710" s="13">
        <v>180000</v>
      </c>
      <c r="AR710" s="13">
        <v>18000</v>
      </c>
      <c r="AS710" s="26">
        <v>108000</v>
      </c>
      <c r="AT710" s="26">
        <v>0</v>
      </c>
      <c r="AU710" s="26">
        <v>24000</v>
      </c>
      <c r="AV710" s="26">
        <v>24000</v>
      </c>
      <c r="AW710" s="26">
        <v>25000</v>
      </c>
      <c r="AX710" s="62">
        <v>0</v>
      </c>
      <c r="AZ710" s="15"/>
      <c r="BA710" s="249">
        <f t="shared" si="21"/>
        <v>4</v>
      </c>
      <c r="BB710" s="249">
        <v>0</v>
      </c>
      <c r="BC710" s="249">
        <f t="shared" si="20"/>
        <v>2002</v>
      </c>
    </row>
    <row r="711" spans="1:55" x14ac:dyDescent="0.25">
      <c r="A711" s="51" t="s">
        <v>1378</v>
      </c>
      <c r="B711" s="65" t="s">
        <v>1430</v>
      </c>
      <c r="C711" s="14" t="s">
        <v>337</v>
      </c>
      <c r="D711" s="14">
        <v>2002</v>
      </c>
      <c r="E711" s="14" t="s">
        <v>407</v>
      </c>
      <c r="F711" s="14"/>
      <c r="G711" s="14"/>
      <c r="H711" s="14"/>
      <c r="I711" s="14"/>
      <c r="J711" s="13">
        <v>657813</v>
      </c>
      <c r="K711" s="14" t="s">
        <v>328</v>
      </c>
      <c r="L711" s="14"/>
      <c r="M711" s="14"/>
      <c r="N711" s="13">
        <v>8000</v>
      </c>
      <c r="O711" s="24">
        <v>0.3</v>
      </c>
      <c r="P711" s="14">
        <v>3</v>
      </c>
      <c r="Q711" s="14">
        <v>1150</v>
      </c>
      <c r="R711" s="13">
        <v>8625</v>
      </c>
      <c r="S711" s="14" t="s">
        <v>340</v>
      </c>
      <c r="T711" s="14">
        <v>2.5</v>
      </c>
      <c r="U711" s="14">
        <v>3.1</v>
      </c>
      <c r="V711" s="27">
        <v>3500</v>
      </c>
      <c r="W711" s="22">
        <v>50000</v>
      </c>
      <c r="X711" s="14"/>
      <c r="Y711" s="14"/>
      <c r="Z711" s="14"/>
      <c r="AA711" s="14"/>
      <c r="AB711" s="14" t="s">
        <v>328</v>
      </c>
      <c r="AC711" s="14"/>
      <c r="AD711" s="14" t="s">
        <v>328</v>
      </c>
      <c r="AE711" s="14"/>
      <c r="AF711" s="14"/>
      <c r="AG711" s="14"/>
      <c r="AH711" s="14"/>
      <c r="AI711" s="14"/>
      <c r="AJ711" s="14"/>
      <c r="AK711" s="14"/>
      <c r="AL711" s="14"/>
      <c r="AM711" s="14"/>
      <c r="AN711" s="13">
        <v>18000</v>
      </c>
      <c r="AO711" s="13">
        <v>18000</v>
      </c>
      <c r="AP711" s="13">
        <v>50000</v>
      </c>
      <c r="AQ711" s="13">
        <v>180000</v>
      </c>
      <c r="AR711" s="13">
        <v>18000</v>
      </c>
      <c r="AS711" s="26">
        <v>108000</v>
      </c>
      <c r="AT711" s="26">
        <v>0</v>
      </c>
      <c r="AU711" s="26">
        <v>24000</v>
      </c>
      <c r="AV711" s="26">
        <v>24000</v>
      </c>
      <c r="AW711" s="26">
        <v>25000</v>
      </c>
      <c r="AX711" s="62">
        <v>0</v>
      </c>
      <c r="AZ711" s="15"/>
      <c r="BA711" s="249">
        <f t="shared" si="21"/>
        <v>4</v>
      </c>
      <c r="BB711" s="249">
        <v>0</v>
      </c>
      <c r="BC711" s="249">
        <f t="shared" si="20"/>
        <v>2002</v>
      </c>
    </row>
    <row r="712" spans="1:55" x14ac:dyDescent="0.25">
      <c r="A712" s="51" t="s">
        <v>1378</v>
      </c>
      <c r="B712" s="65" t="s">
        <v>1430</v>
      </c>
      <c r="C712" s="14" t="s">
        <v>337</v>
      </c>
      <c r="D712" s="14">
        <v>2009</v>
      </c>
      <c r="E712" s="14" t="s">
        <v>407</v>
      </c>
      <c r="F712" s="14"/>
      <c r="G712" s="14"/>
      <c r="H712" s="14"/>
      <c r="I712" s="14"/>
      <c r="J712" s="13">
        <v>391215</v>
      </c>
      <c r="K712" s="14"/>
      <c r="L712" s="14" t="s">
        <v>328</v>
      </c>
      <c r="M712" s="14"/>
      <c r="N712" s="13">
        <v>8000</v>
      </c>
      <c r="O712" s="24">
        <v>0.3</v>
      </c>
      <c r="P712" s="14">
        <v>3</v>
      </c>
      <c r="Q712" s="14">
        <v>1150</v>
      </c>
      <c r="R712" s="13">
        <v>8625</v>
      </c>
      <c r="S712" s="14" t="s">
        <v>340</v>
      </c>
      <c r="T712" s="14">
        <v>2.5</v>
      </c>
      <c r="U712" s="14">
        <v>3.1</v>
      </c>
      <c r="V712" s="27">
        <v>3500</v>
      </c>
      <c r="W712" s="22">
        <v>50000</v>
      </c>
      <c r="X712" s="14"/>
      <c r="Y712" s="14"/>
      <c r="Z712" s="14"/>
      <c r="AA712" s="14"/>
      <c r="AB712" s="14"/>
      <c r="AC712" s="14" t="s">
        <v>328</v>
      </c>
      <c r="AD712" s="14" t="s">
        <v>328</v>
      </c>
      <c r="AE712" s="14"/>
      <c r="AF712" s="14"/>
      <c r="AG712" s="14"/>
      <c r="AH712" s="14"/>
      <c r="AI712" s="14"/>
      <c r="AJ712" s="14"/>
      <c r="AK712" s="14"/>
      <c r="AL712" s="14"/>
      <c r="AM712" s="14"/>
      <c r="AN712" s="13">
        <v>18000</v>
      </c>
      <c r="AO712" s="13">
        <v>18000</v>
      </c>
      <c r="AP712" s="13">
        <v>50000</v>
      </c>
      <c r="AQ712" s="13">
        <v>180000</v>
      </c>
      <c r="AR712" s="13">
        <v>18000</v>
      </c>
      <c r="AS712" s="26">
        <v>108000</v>
      </c>
      <c r="AT712" s="26">
        <v>0</v>
      </c>
      <c r="AU712" s="26">
        <v>24000</v>
      </c>
      <c r="AV712" s="26">
        <v>24000</v>
      </c>
      <c r="AW712" s="26">
        <v>25000</v>
      </c>
      <c r="AX712" s="62">
        <v>0</v>
      </c>
      <c r="AZ712" s="15"/>
      <c r="BA712" s="249">
        <f t="shared" si="21"/>
        <v>4</v>
      </c>
      <c r="BB712" s="249">
        <v>0</v>
      </c>
      <c r="BC712" s="249">
        <f t="shared" ref="BC712:BC775" si="22">IF(H712&gt;D712,(IF(H712&gt;F712,H712,(IF(F712&gt;D712,F712,D712)))),(IF(F712&gt;D712,F712,D712)))</f>
        <v>2009</v>
      </c>
    </row>
    <row r="713" spans="1:55" x14ac:dyDescent="0.25">
      <c r="A713" s="51" t="s">
        <v>1378</v>
      </c>
      <c r="B713" s="65" t="s">
        <v>1431</v>
      </c>
      <c r="C713" s="15" t="s">
        <v>337</v>
      </c>
      <c r="D713" s="15">
        <v>1988</v>
      </c>
      <c r="E713" s="15" t="s">
        <v>349</v>
      </c>
      <c r="F713" s="15"/>
      <c r="G713" s="15"/>
      <c r="H713" s="15"/>
      <c r="I713" s="15"/>
      <c r="J713" s="16">
        <v>1500000</v>
      </c>
      <c r="K713" s="15" t="s">
        <v>328</v>
      </c>
      <c r="L713" s="15"/>
      <c r="M713" s="15"/>
      <c r="N713" s="16">
        <v>5000</v>
      </c>
      <c r="O713" s="21">
        <v>0.1</v>
      </c>
      <c r="P713" s="15">
        <v>2</v>
      </c>
      <c r="Q713" s="15">
        <v>550</v>
      </c>
      <c r="R713" s="16">
        <v>2750</v>
      </c>
      <c r="S713" s="15" t="s">
        <v>340</v>
      </c>
      <c r="T713" s="15">
        <v>2.5</v>
      </c>
      <c r="U713" s="15">
        <v>2.8</v>
      </c>
      <c r="V713" s="27">
        <v>2200</v>
      </c>
      <c r="W713" s="22">
        <v>30000</v>
      </c>
      <c r="X713" s="15"/>
      <c r="Y713" s="15" t="s">
        <v>328</v>
      </c>
      <c r="Z713" s="15"/>
      <c r="AA713" s="15"/>
      <c r="AB713" s="15"/>
      <c r="AC713" s="15"/>
      <c r="AD713" s="15" t="s">
        <v>328</v>
      </c>
      <c r="AE713" s="15"/>
      <c r="AF713" s="15"/>
      <c r="AG713" s="15" t="s">
        <v>328</v>
      </c>
      <c r="AH713" s="15" t="s">
        <v>328</v>
      </c>
      <c r="AI713" s="15"/>
      <c r="AJ713" s="15"/>
      <c r="AK713" s="15" t="s">
        <v>328</v>
      </c>
      <c r="AL713" s="15" t="s">
        <v>328</v>
      </c>
      <c r="AM713" s="15"/>
      <c r="AN713" s="16">
        <v>15000</v>
      </c>
      <c r="AO713" s="16">
        <v>15000</v>
      </c>
      <c r="AP713" s="16">
        <v>30000</v>
      </c>
      <c r="AQ713" s="16">
        <v>120000</v>
      </c>
      <c r="AR713" s="16">
        <v>15000</v>
      </c>
      <c r="AS713" s="22">
        <v>96000</v>
      </c>
      <c r="AT713" s="22">
        <v>48000</v>
      </c>
      <c r="AU713" s="22">
        <v>90000</v>
      </c>
      <c r="AV713" s="22">
        <v>24000</v>
      </c>
      <c r="AW713" s="22">
        <v>10000</v>
      </c>
      <c r="AX713" s="66">
        <v>0</v>
      </c>
      <c r="AZ713" s="15"/>
      <c r="BA713" s="249">
        <f t="shared" ref="BA713:BA776" si="23">COUNTIF($B$8:$B$987,B713)</f>
        <v>2</v>
      </c>
      <c r="BB713" s="249"/>
      <c r="BC713" s="249">
        <f t="shared" si="22"/>
        <v>1988</v>
      </c>
    </row>
    <row r="714" spans="1:55" x14ac:dyDescent="0.25">
      <c r="A714" s="51" t="s">
        <v>1378</v>
      </c>
      <c r="B714" s="65" t="s">
        <v>1431</v>
      </c>
      <c r="C714" s="15" t="s">
        <v>337</v>
      </c>
      <c r="D714" s="15">
        <v>1988</v>
      </c>
      <c r="E714" s="15" t="s">
        <v>349</v>
      </c>
      <c r="F714" s="15"/>
      <c r="G714" s="15"/>
      <c r="H714" s="15"/>
      <c r="I714" s="15"/>
      <c r="J714" s="16">
        <v>1500000</v>
      </c>
      <c r="K714" s="15" t="s">
        <v>328</v>
      </c>
      <c r="L714" s="15"/>
      <c r="M714" s="15"/>
      <c r="N714" s="16">
        <v>5000</v>
      </c>
      <c r="O714" s="21">
        <v>0.1</v>
      </c>
      <c r="P714" s="15">
        <v>2</v>
      </c>
      <c r="Q714" s="15">
        <v>550</v>
      </c>
      <c r="R714" s="16">
        <v>2750</v>
      </c>
      <c r="S714" s="15" t="s">
        <v>340</v>
      </c>
      <c r="T714" s="15">
        <v>2.5</v>
      </c>
      <c r="U714" s="15">
        <v>2.8</v>
      </c>
      <c r="V714" s="27">
        <v>2200</v>
      </c>
      <c r="W714" s="22">
        <v>30000</v>
      </c>
      <c r="X714" s="15"/>
      <c r="Y714" s="15" t="s">
        <v>328</v>
      </c>
      <c r="Z714" s="15"/>
      <c r="AA714" s="15"/>
      <c r="AB714" s="15"/>
      <c r="AC714" s="15"/>
      <c r="AD714" s="15" t="s">
        <v>328</v>
      </c>
      <c r="AE714" s="15"/>
      <c r="AF714" s="15"/>
      <c r="AG714" s="15" t="s">
        <v>328</v>
      </c>
      <c r="AH714" s="15" t="s">
        <v>328</v>
      </c>
      <c r="AI714" s="15"/>
      <c r="AJ714" s="15"/>
      <c r="AK714" s="15" t="s">
        <v>328</v>
      </c>
      <c r="AL714" s="15" t="s">
        <v>328</v>
      </c>
      <c r="AM714" s="15"/>
      <c r="AN714" s="16">
        <v>15000</v>
      </c>
      <c r="AO714" s="16">
        <v>15000</v>
      </c>
      <c r="AP714" s="16">
        <v>30000</v>
      </c>
      <c r="AQ714" s="16">
        <v>120000</v>
      </c>
      <c r="AR714" s="16">
        <v>15000</v>
      </c>
      <c r="AS714" s="22">
        <v>96000</v>
      </c>
      <c r="AT714" s="22">
        <v>48000</v>
      </c>
      <c r="AU714" s="22">
        <v>90000</v>
      </c>
      <c r="AV714" s="22">
        <v>24000</v>
      </c>
      <c r="AW714" s="22">
        <v>10000</v>
      </c>
      <c r="AX714" s="66">
        <v>0</v>
      </c>
      <c r="AZ714" s="15"/>
      <c r="BA714" s="249">
        <f t="shared" si="23"/>
        <v>2</v>
      </c>
      <c r="BB714" s="249"/>
      <c r="BC714" s="249">
        <f t="shared" si="22"/>
        <v>1988</v>
      </c>
    </row>
    <row r="715" spans="1:55" x14ac:dyDescent="0.25">
      <c r="A715" s="51" t="s">
        <v>1378</v>
      </c>
      <c r="B715" s="65" t="s">
        <v>1432</v>
      </c>
      <c r="C715" s="15" t="s">
        <v>337</v>
      </c>
      <c r="D715" s="15">
        <v>2003</v>
      </c>
      <c r="E715" s="15" t="s">
        <v>407</v>
      </c>
      <c r="F715" s="15"/>
      <c r="G715" s="15"/>
      <c r="H715" s="15"/>
      <c r="I715" s="15"/>
      <c r="J715" s="16">
        <v>899123</v>
      </c>
      <c r="K715" s="15"/>
      <c r="L715" s="15" t="s">
        <v>328</v>
      </c>
      <c r="M715" s="15"/>
      <c r="N715" s="16">
        <v>8000</v>
      </c>
      <c r="O715" s="21">
        <v>0.5</v>
      </c>
      <c r="P715" s="15">
        <v>2</v>
      </c>
      <c r="Q715" s="15">
        <v>950</v>
      </c>
      <c r="R715" s="16">
        <v>2850</v>
      </c>
      <c r="S715" s="15" t="s">
        <v>340</v>
      </c>
      <c r="T715" s="15">
        <v>1.5</v>
      </c>
      <c r="U715" s="15">
        <v>1.9</v>
      </c>
      <c r="V715" s="27">
        <v>4000</v>
      </c>
      <c r="W715" s="22">
        <v>55000</v>
      </c>
      <c r="X715" s="15"/>
      <c r="Y715" s="15"/>
      <c r="Z715" s="15"/>
      <c r="AA715" s="15"/>
      <c r="AB715" s="15" t="s">
        <v>328</v>
      </c>
      <c r="AC715" s="15"/>
      <c r="AD715" s="15" t="s">
        <v>328</v>
      </c>
      <c r="AE715" s="15"/>
      <c r="AF715" s="15"/>
      <c r="AG715" s="15"/>
      <c r="AH715" s="15"/>
      <c r="AI715" s="15"/>
      <c r="AJ715" s="15"/>
      <c r="AK715" s="15"/>
      <c r="AL715" s="15" t="s">
        <v>328</v>
      </c>
      <c r="AM715" s="15"/>
      <c r="AN715" s="16">
        <v>24000</v>
      </c>
      <c r="AO715" s="16">
        <v>24000</v>
      </c>
      <c r="AP715" s="16">
        <v>240000</v>
      </c>
      <c r="AQ715" s="16">
        <v>100000</v>
      </c>
      <c r="AR715" s="16">
        <v>24000</v>
      </c>
      <c r="AS715" s="22">
        <v>144000</v>
      </c>
      <c r="AT715" s="22">
        <v>0</v>
      </c>
      <c r="AU715" s="22">
        <v>186000</v>
      </c>
      <c r="AV715" s="22">
        <v>40000</v>
      </c>
      <c r="AW715" s="22">
        <v>30000</v>
      </c>
      <c r="AX715" s="66">
        <v>0</v>
      </c>
      <c r="AZ715" s="15"/>
      <c r="BA715" s="249">
        <f t="shared" si="23"/>
        <v>3</v>
      </c>
      <c r="BB715" s="249"/>
      <c r="BC715" s="249">
        <f t="shared" si="22"/>
        <v>2003</v>
      </c>
    </row>
    <row r="716" spans="1:55" x14ac:dyDescent="0.25">
      <c r="A716" s="51" t="s">
        <v>1378</v>
      </c>
      <c r="B716" s="65" t="s">
        <v>1432</v>
      </c>
      <c r="C716" s="15" t="s">
        <v>337</v>
      </c>
      <c r="D716" s="15">
        <v>2003</v>
      </c>
      <c r="E716" s="15" t="s">
        <v>407</v>
      </c>
      <c r="F716" s="15"/>
      <c r="G716" s="15"/>
      <c r="H716" s="15"/>
      <c r="I716" s="15"/>
      <c r="J716" s="16">
        <v>876785</v>
      </c>
      <c r="K716" s="15"/>
      <c r="L716" s="15" t="s">
        <v>328</v>
      </c>
      <c r="M716" s="15"/>
      <c r="N716" s="16">
        <v>8000</v>
      </c>
      <c r="O716" s="21">
        <v>0.5</v>
      </c>
      <c r="P716" s="15">
        <v>2</v>
      </c>
      <c r="Q716" s="15">
        <v>950</v>
      </c>
      <c r="R716" s="16">
        <v>2850</v>
      </c>
      <c r="S716" s="15" t="s">
        <v>340</v>
      </c>
      <c r="T716" s="15">
        <v>1.5</v>
      </c>
      <c r="U716" s="15">
        <v>1.9</v>
      </c>
      <c r="V716" s="27">
        <v>4000</v>
      </c>
      <c r="W716" s="22">
        <v>55000</v>
      </c>
      <c r="X716" s="15"/>
      <c r="Y716" s="15"/>
      <c r="Z716" s="15"/>
      <c r="AA716" s="15"/>
      <c r="AB716" s="15" t="s">
        <v>328</v>
      </c>
      <c r="AC716" s="15"/>
      <c r="AD716" s="15" t="s">
        <v>328</v>
      </c>
      <c r="AE716" s="15"/>
      <c r="AF716" s="15"/>
      <c r="AG716" s="15"/>
      <c r="AH716" s="15"/>
      <c r="AI716" s="15"/>
      <c r="AJ716" s="15"/>
      <c r="AK716" s="15"/>
      <c r="AL716" s="15" t="s">
        <v>328</v>
      </c>
      <c r="AM716" s="15"/>
      <c r="AN716" s="16">
        <v>24000</v>
      </c>
      <c r="AO716" s="16">
        <v>24000</v>
      </c>
      <c r="AP716" s="16">
        <v>240000</v>
      </c>
      <c r="AQ716" s="16">
        <v>100000</v>
      </c>
      <c r="AR716" s="16">
        <v>24000</v>
      </c>
      <c r="AS716" s="22">
        <v>144000</v>
      </c>
      <c r="AT716" s="22">
        <v>0</v>
      </c>
      <c r="AU716" s="22">
        <v>186000</v>
      </c>
      <c r="AV716" s="22">
        <v>40000</v>
      </c>
      <c r="AW716" s="22">
        <v>30000</v>
      </c>
      <c r="AX716" s="66">
        <v>0</v>
      </c>
      <c r="AZ716" s="15"/>
      <c r="BA716" s="249">
        <f t="shared" si="23"/>
        <v>3</v>
      </c>
      <c r="BB716" s="249"/>
      <c r="BC716" s="249">
        <f t="shared" si="22"/>
        <v>2003</v>
      </c>
    </row>
    <row r="717" spans="1:55" x14ac:dyDescent="0.25">
      <c r="A717" s="51" t="s">
        <v>1378</v>
      </c>
      <c r="B717" s="65" t="s">
        <v>1432</v>
      </c>
      <c r="C717" s="15" t="s">
        <v>337</v>
      </c>
      <c r="D717" s="15">
        <v>2009</v>
      </c>
      <c r="E717" s="15" t="s">
        <v>475</v>
      </c>
      <c r="F717" s="15"/>
      <c r="G717" s="15"/>
      <c r="H717" s="15"/>
      <c r="I717" s="15"/>
      <c r="J717" s="16">
        <v>395201</v>
      </c>
      <c r="K717" s="15"/>
      <c r="L717" s="15" t="s">
        <v>328</v>
      </c>
      <c r="M717" s="15"/>
      <c r="N717" s="16">
        <v>8000</v>
      </c>
      <c r="O717" s="21">
        <v>0.5</v>
      </c>
      <c r="P717" s="15">
        <v>2</v>
      </c>
      <c r="Q717" s="15">
        <v>1000</v>
      </c>
      <c r="R717" s="16">
        <v>3200</v>
      </c>
      <c r="S717" s="15" t="s">
        <v>340</v>
      </c>
      <c r="T717" s="15">
        <v>1.6</v>
      </c>
      <c r="U717" s="15">
        <v>1.9</v>
      </c>
      <c r="V717" s="27">
        <v>4000</v>
      </c>
      <c r="W717" s="22">
        <v>55000</v>
      </c>
      <c r="X717" s="15"/>
      <c r="Y717" s="15"/>
      <c r="Z717" s="15"/>
      <c r="AA717" s="15"/>
      <c r="AB717" s="15"/>
      <c r="AC717" s="15" t="s">
        <v>328</v>
      </c>
      <c r="AD717" s="15" t="s">
        <v>328</v>
      </c>
      <c r="AE717" s="15"/>
      <c r="AF717" s="15"/>
      <c r="AG717" s="15"/>
      <c r="AH717" s="15"/>
      <c r="AI717" s="15"/>
      <c r="AJ717" s="15"/>
      <c r="AK717" s="15"/>
      <c r="AL717" s="15" t="s">
        <v>328</v>
      </c>
      <c r="AM717" s="15"/>
      <c r="AN717" s="16">
        <v>24000</v>
      </c>
      <c r="AO717" s="16">
        <v>24000</v>
      </c>
      <c r="AP717" s="16">
        <v>240000</v>
      </c>
      <c r="AQ717" s="16">
        <v>100000</v>
      </c>
      <c r="AR717" s="16">
        <v>24000</v>
      </c>
      <c r="AS717" s="22">
        <v>144000</v>
      </c>
      <c r="AT717" s="22">
        <v>0</v>
      </c>
      <c r="AU717" s="22">
        <v>186000</v>
      </c>
      <c r="AV717" s="22">
        <v>40000</v>
      </c>
      <c r="AW717" s="22">
        <v>30000</v>
      </c>
      <c r="AX717" s="66">
        <v>0</v>
      </c>
      <c r="AZ717" s="15"/>
      <c r="BA717" s="249">
        <f t="shared" si="23"/>
        <v>3</v>
      </c>
      <c r="BB717" s="249">
        <v>0</v>
      </c>
      <c r="BC717" s="249">
        <f t="shared" si="22"/>
        <v>2009</v>
      </c>
    </row>
    <row r="718" spans="1:55" x14ac:dyDescent="0.25">
      <c r="A718" s="51" t="s">
        <v>1378</v>
      </c>
      <c r="B718" s="65" t="s">
        <v>1433</v>
      </c>
      <c r="C718" s="15" t="s">
        <v>348</v>
      </c>
      <c r="D718" s="15">
        <v>1995</v>
      </c>
      <c r="E718" s="14" t="s">
        <v>349</v>
      </c>
      <c r="F718" s="15"/>
      <c r="G718" s="15"/>
      <c r="H718" s="15"/>
      <c r="I718" s="15"/>
      <c r="J718" s="16">
        <v>350217</v>
      </c>
      <c r="K718" s="15"/>
      <c r="L718" s="15"/>
      <c r="M718" s="15" t="s">
        <v>328</v>
      </c>
      <c r="N718" s="16">
        <v>3500</v>
      </c>
      <c r="O718" s="21">
        <v>0.1</v>
      </c>
      <c r="P718" s="15">
        <v>2</v>
      </c>
      <c r="Q718" s="15">
        <v>350</v>
      </c>
      <c r="R718" s="16">
        <v>3360</v>
      </c>
      <c r="S718" s="15" t="s">
        <v>340</v>
      </c>
      <c r="T718" s="15">
        <v>4.8</v>
      </c>
      <c r="U718" s="15">
        <v>5</v>
      </c>
      <c r="V718" s="27">
        <v>1400</v>
      </c>
      <c r="W718" s="22">
        <v>20000</v>
      </c>
      <c r="X718" s="15" t="s">
        <v>328</v>
      </c>
      <c r="Y718" s="15"/>
      <c r="Z718" s="15"/>
      <c r="AA718" s="15"/>
      <c r="AB718" s="15"/>
      <c r="AC718" s="15"/>
      <c r="AD718" s="15" t="s">
        <v>328</v>
      </c>
      <c r="AE718" s="15"/>
      <c r="AF718" s="15"/>
      <c r="AG718" s="15"/>
      <c r="AH718" s="15"/>
      <c r="AI718" s="15"/>
      <c r="AJ718" s="15"/>
      <c r="AK718" s="15"/>
      <c r="AL718" s="15"/>
      <c r="AM718" s="15"/>
      <c r="AN718" s="16">
        <v>20000</v>
      </c>
      <c r="AO718" s="16">
        <v>20000</v>
      </c>
      <c r="AP718" s="16">
        <v>80000</v>
      </c>
      <c r="AQ718" s="16">
        <v>100000</v>
      </c>
      <c r="AR718" s="16">
        <v>20000</v>
      </c>
      <c r="AS718" s="22">
        <v>90000</v>
      </c>
      <c r="AT718" s="22">
        <v>0</v>
      </c>
      <c r="AU718" s="22">
        <v>42000</v>
      </c>
      <c r="AV718" s="22">
        <v>18000</v>
      </c>
      <c r="AW718" s="22">
        <v>20000</v>
      </c>
      <c r="AX718" s="66">
        <v>0</v>
      </c>
      <c r="AZ718" s="15"/>
      <c r="BA718" s="249">
        <f t="shared" si="23"/>
        <v>5</v>
      </c>
      <c r="BB718" s="249"/>
      <c r="BC718" s="249">
        <f t="shared" si="22"/>
        <v>1995</v>
      </c>
    </row>
    <row r="719" spans="1:55" x14ac:dyDescent="0.25">
      <c r="A719" s="51" t="s">
        <v>1378</v>
      </c>
      <c r="B719" s="65" t="s">
        <v>1433</v>
      </c>
      <c r="C719" s="15" t="s">
        <v>348</v>
      </c>
      <c r="D719" s="15">
        <v>1995</v>
      </c>
      <c r="E719" s="14" t="s">
        <v>349</v>
      </c>
      <c r="F719" s="15"/>
      <c r="G719" s="15"/>
      <c r="H719" s="15"/>
      <c r="I719" s="15"/>
      <c r="J719" s="16">
        <v>367880</v>
      </c>
      <c r="K719" s="15"/>
      <c r="L719" s="15"/>
      <c r="M719" s="15" t="s">
        <v>328</v>
      </c>
      <c r="N719" s="16">
        <v>3500</v>
      </c>
      <c r="O719" s="21">
        <v>0.1</v>
      </c>
      <c r="P719" s="15">
        <v>2</v>
      </c>
      <c r="Q719" s="15">
        <v>350</v>
      </c>
      <c r="R719" s="16">
        <v>3360</v>
      </c>
      <c r="S719" s="15" t="s">
        <v>340</v>
      </c>
      <c r="T719" s="15">
        <v>4.8</v>
      </c>
      <c r="U719" s="15">
        <v>5</v>
      </c>
      <c r="V719" s="27">
        <v>1600</v>
      </c>
      <c r="W719" s="22">
        <v>22000</v>
      </c>
      <c r="X719" s="15" t="s">
        <v>328</v>
      </c>
      <c r="Y719" s="15"/>
      <c r="Z719" s="15"/>
      <c r="AA719" s="15"/>
      <c r="AB719" s="15"/>
      <c r="AC719" s="15"/>
      <c r="AD719" s="15" t="s">
        <v>328</v>
      </c>
      <c r="AE719" s="15"/>
      <c r="AF719" s="15"/>
      <c r="AG719" s="15"/>
      <c r="AH719" s="15"/>
      <c r="AI719" s="15"/>
      <c r="AJ719" s="15"/>
      <c r="AK719" s="15"/>
      <c r="AL719" s="15"/>
      <c r="AM719" s="15"/>
      <c r="AN719" s="16">
        <v>20000</v>
      </c>
      <c r="AO719" s="16">
        <v>20000</v>
      </c>
      <c r="AP719" s="16">
        <v>80000</v>
      </c>
      <c r="AQ719" s="16">
        <v>100000</v>
      </c>
      <c r="AR719" s="16">
        <v>20000</v>
      </c>
      <c r="AS719" s="22">
        <v>90000</v>
      </c>
      <c r="AT719" s="22">
        <v>0</v>
      </c>
      <c r="AU719" s="22">
        <v>42000</v>
      </c>
      <c r="AV719" s="22">
        <v>18000</v>
      </c>
      <c r="AW719" s="22">
        <v>20000</v>
      </c>
      <c r="AX719" s="66">
        <v>0</v>
      </c>
      <c r="AZ719" s="15"/>
      <c r="BA719" s="249">
        <f t="shared" si="23"/>
        <v>5</v>
      </c>
      <c r="BB719" s="249"/>
      <c r="BC719" s="249">
        <f t="shared" si="22"/>
        <v>1995</v>
      </c>
    </row>
    <row r="720" spans="1:55" x14ac:dyDescent="0.25">
      <c r="A720" s="51" t="s">
        <v>1378</v>
      </c>
      <c r="B720" s="65" t="s">
        <v>1433</v>
      </c>
      <c r="C720" s="15" t="s">
        <v>348</v>
      </c>
      <c r="D720" s="15">
        <v>2005</v>
      </c>
      <c r="E720" s="14" t="s">
        <v>349</v>
      </c>
      <c r="F720" s="15"/>
      <c r="G720" s="15"/>
      <c r="H720" s="15"/>
      <c r="I720" s="15"/>
      <c r="J720" s="16">
        <v>185322</v>
      </c>
      <c r="K720" s="15" t="s">
        <v>328</v>
      </c>
      <c r="L720" s="15"/>
      <c r="M720" s="15"/>
      <c r="N720" s="16">
        <v>3500</v>
      </c>
      <c r="O720" s="21">
        <v>0.1</v>
      </c>
      <c r="P720" s="15">
        <v>2</v>
      </c>
      <c r="Q720" s="15">
        <v>400</v>
      </c>
      <c r="R720" s="16">
        <v>4000</v>
      </c>
      <c r="S720" s="15" t="s">
        <v>340</v>
      </c>
      <c r="T720" s="15">
        <v>5</v>
      </c>
      <c r="U720" s="15">
        <v>5.5</v>
      </c>
      <c r="V720" s="27">
        <v>1600</v>
      </c>
      <c r="W720" s="22">
        <v>22000</v>
      </c>
      <c r="X720" s="15" t="s">
        <v>328</v>
      </c>
      <c r="Y720" s="15"/>
      <c r="Z720" s="15"/>
      <c r="AA720" s="15"/>
      <c r="AB720" s="15"/>
      <c r="AC720" s="15"/>
      <c r="AD720" s="15" t="s">
        <v>328</v>
      </c>
      <c r="AE720" s="15"/>
      <c r="AF720" s="15"/>
      <c r="AG720" s="15"/>
      <c r="AH720" s="15"/>
      <c r="AI720" s="15"/>
      <c r="AJ720" s="15"/>
      <c r="AK720" s="15"/>
      <c r="AL720" s="15"/>
      <c r="AM720" s="15"/>
      <c r="AN720" s="16">
        <v>20000</v>
      </c>
      <c r="AO720" s="16">
        <v>20000</v>
      </c>
      <c r="AP720" s="16">
        <v>80000</v>
      </c>
      <c r="AQ720" s="16">
        <v>100000</v>
      </c>
      <c r="AR720" s="16">
        <v>20000</v>
      </c>
      <c r="AS720" s="22">
        <v>90000</v>
      </c>
      <c r="AT720" s="22">
        <v>0</v>
      </c>
      <c r="AU720" s="22">
        <v>42000</v>
      </c>
      <c r="AV720" s="22">
        <v>18000</v>
      </c>
      <c r="AW720" s="22">
        <v>20000</v>
      </c>
      <c r="AX720" s="66">
        <v>0</v>
      </c>
      <c r="AZ720" s="15"/>
      <c r="BA720" s="249">
        <f t="shared" si="23"/>
        <v>5</v>
      </c>
      <c r="BB720" s="249"/>
      <c r="BC720" s="249">
        <f t="shared" si="22"/>
        <v>2005</v>
      </c>
    </row>
    <row r="721" spans="1:55" x14ac:dyDescent="0.25">
      <c r="A721" s="51" t="s">
        <v>1378</v>
      </c>
      <c r="B721" s="65" t="s">
        <v>1433</v>
      </c>
      <c r="C721" s="15" t="s">
        <v>348</v>
      </c>
      <c r="D721" s="15">
        <v>2005</v>
      </c>
      <c r="E721" s="14" t="s">
        <v>349</v>
      </c>
      <c r="F721" s="15"/>
      <c r="G721" s="15"/>
      <c r="H721" s="15"/>
      <c r="I721" s="15"/>
      <c r="J721" s="16">
        <v>203647</v>
      </c>
      <c r="K721" s="15" t="s">
        <v>328</v>
      </c>
      <c r="L721" s="15"/>
      <c r="M721" s="15"/>
      <c r="N721" s="16">
        <v>3500</v>
      </c>
      <c r="O721" s="21">
        <v>0.1</v>
      </c>
      <c r="P721" s="15">
        <v>2</v>
      </c>
      <c r="Q721" s="15">
        <v>400</v>
      </c>
      <c r="R721" s="16">
        <v>4000</v>
      </c>
      <c r="S721" s="15" t="s">
        <v>340</v>
      </c>
      <c r="T721" s="15">
        <v>5</v>
      </c>
      <c r="U721" s="15">
        <v>5.5</v>
      </c>
      <c r="V721" s="27">
        <v>1600</v>
      </c>
      <c r="W721" s="22">
        <v>22000</v>
      </c>
      <c r="X721" s="15" t="s">
        <v>328</v>
      </c>
      <c r="Y721" s="15"/>
      <c r="Z721" s="15"/>
      <c r="AA721" s="15"/>
      <c r="AB721" s="15"/>
      <c r="AC721" s="15"/>
      <c r="AD721" s="15" t="s">
        <v>328</v>
      </c>
      <c r="AE721" s="15"/>
      <c r="AF721" s="15"/>
      <c r="AG721" s="15"/>
      <c r="AH721" s="15"/>
      <c r="AI721" s="15"/>
      <c r="AJ721" s="15"/>
      <c r="AK721" s="15"/>
      <c r="AL721" s="15"/>
      <c r="AM721" s="15"/>
      <c r="AN721" s="16">
        <v>20000</v>
      </c>
      <c r="AO721" s="16">
        <v>20000</v>
      </c>
      <c r="AP721" s="16">
        <v>80000</v>
      </c>
      <c r="AQ721" s="16">
        <v>100000</v>
      </c>
      <c r="AR721" s="16">
        <v>20000</v>
      </c>
      <c r="AS721" s="22">
        <v>108000</v>
      </c>
      <c r="AT721" s="22">
        <v>0</v>
      </c>
      <c r="AU721" s="22">
        <v>42000</v>
      </c>
      <c r="AV721" s="22">
        <v>18000</v>
      </c>
      <c r="AW721" s="22">
        <v>20000</v>
      </c>
      <c r="AX721" s="66">
        <v>0</v>
      </c>
      <c r="AZ721" s="15"/>
      <c r="BA721" s="249">
        <f t="shared" si="23"/>
        <v>5</v>
      </c>
      <c r="BB721" s="249"/>
      <c r="BC721" s="249">
        <f t="shared" si="22"/>
        <v>2005</v>
      </c>
    </row>
    <row r="722" spans="1:55" x14ac:dyDescent="0.25">
      <c r="A722" s="51" t="s">
        <v>1378</v>
      </c>
      <c r="B722" s="65" t="s">
        <v>1433</v>
      </c>
      <c r="C722" s="15" t="s">
        <v>348</v>
      </c>
      <c r="D722" s="15">
        <v>2005</v>
      </c>
      <c r="E722" s="14" t="s">
        <v>349</v>
      </c>
      <c r="F722" s="15"/>
      <c r="G722" s="15"/>
      <c r="H722" s="15"/>
      <c r="I722" s="15"/>
      <c r="J722" s="16">
        <v>210815</v>
      </c>
      <c r="K722" s="15" t="s">
        <v>328</v>
      </c>
      <c r="L722" s="15"/>
      <c r="M722" s="15"/>
      <c r="N722" s="16">
        <v>3500</v>
      </c>
      <c r="O722" s="21">
        <v>0.1</v>
      </c>
      <c r="P722" s="15">
        <v>2</v>
      </c>
      <c r="Q722" s="15">
        <v>400</v>
      </c>
      <c r="R722" s="16">
        <v>4000</v>
      </c>
      <c r="S722" s="15" t="s">
        <v>340</v>
      </c>
      <c r="T722" s="15">
        <v>5</v>
      </c>
      <c r="U722" s="15">
        <v>5.5</v>
      </c>
      <c r="V722" s="27">
        <v>1600</v>
      </c>
      <c r="W722" s="22">
        <v>22000</v>
      </c>
      <c r="X722" s="15" t="s">
        <v>328</v>
      </c>
      <c r="Y722" s="15"/>
      <c r="Z722" s="15"/>
      <c r="AA722" s="15"/>
      <c r="AB722" s="15"/>
      <c r="AC722" s="15"/>
      <c r="AD722" s="15" t="s">
        <v>328</v>
      </c>
      <c r="AE722" s="15"/>
      <c r="AF722" s="15"/>
      <c r="AG722" s="15"/>
      <c r="AH722" s="15"/>
      <c r="AI722" s="15"/>
      <c r="AJ722" s="15"/>
      <c r="AK722" s="15"/>
      <c r="AL722" s="15"/>
      <c r="AM722" s="15"/>
      <c r="AN722" s="16">
        <v>20000</v>
      </c>
      <c r="AO722" s="16">
        <v>20000</v>
      </c>
      <c r="AP722" s="16">
        <v>80000</v>
      </c>
      <c r="AQ722" s="16">
        <v>100000</v>
      </c>
      <c r="AR722" s="16">
        <v>20000</v>
      </c>
      <c r="AS722" s="22">
        <v>108000</v>
      </c>
      <c r="AT722" s="22">
        <v>0</v>
      </c>
      <c r="AU722" s="22">
        <v>42000</v>
      </c>
      <c r="AV722" s="22">
        <v>18000</v>
      </c>
      <c r="AW722" s="22">
        <v>20000</v>
      </c>
      <c r="AX722" s="66">
        <v>0</v>
      </c>
      <c r="AZ722" s="15"/>
      <c r="BA722" s="249">
        <f t="shared" si="23"/>
        <v>5</v>
      </c>
      <c r="BB722" s="249"/>
      <c r="BC722" s="249">
        <f t="shared" si="22"/>
        <v>2005</v>
      </c>
    </row>
    <row r="723" spans="1:55" x14ac:dyDescent="0.25">
      <c r="A723" s="51" t="s">
        <v>1378</v>
      </c>
      <c r="B723" s="65" t="s">
        <v>1434</v>
      </c>
      <c r="C723" s="15" t="s">
        <v>351</v>
      </c>
      <c r="D723" s="15">
        <v>2000</v>
      </c>
      <c r="E723" s="15" t="s">
        <v>477</v>
      </c>
      <c r="F723" s="15"/>
      <c r="G723" s="15"/>
      <c r="H723" s="15"/>
      <c r="I723" s="15"/>
      <c r="J723" s="16">
        <v>1368215</v>
      </c>
      <c r="K723" s="15"/>
      <c r="L723" s="15" t="s">
        <v>328</v>
      </c>
      <c r="M723" s="15"/>
      <c r="N723" s="16">
        <v>7200</v>
      </c>
      <c r="O723" s="21">
        <v>0.1</v>
      </c>
      <c r="P723" s="15">
        <v>2</v>
      </c>
      <c r="Q723" s="15">
        <v>900</v>
      </c>
      <c r="R723" s="16">
        <v>5760</v>
      </c>
      <c r="S723" s="15" t="s">
        <v>340</v>
      </c>
      <c r="T723" s="15">
        <v>3.2</v>
      </c>
      <c r="U723" s="15">
        <v>3.7</v>
      </c>
      <c r="V723" s="27">
        <v>3100</v>
      </c>
      <c r="W723" s="22">
        <v>45000</v>
      </c>
      <c r="X723" s="15"/>
      <c r="Y723" s="15"/>
      <c r="Z723" s="15"/>
      <c r="AA723" s="15"/>
      <c r="AB723" s="15" t="s">
        <v>328</v>
      </c>
      <c r="AC723" s="15"/>
      <c r="AD723" s="15" t="s">
        <v>328</v>
      </c>
      <c r="AE723" s="15"/>
      <c r="AF723" s="15"/>
      <c r="AG723" s="15"/>
      <c r="AH723" s="15"/>
      <c r="AI723" s="15"/>
      <c r="AJ723" s="15"/>
      <c r="AK723" s="15"/>
      <c r="AL723" s="15"/>
      <c r="AM723" s="15"/>
      <c r="AN723" s="16">
        <v>28000</v>
      </c>
      <c r="AO723" s="16">
        <v>28000</v>
      </c>
      <c r="AP723" s="16">
        <v>90000</v>
      </c>
      <c r="AQ723" s="16">
        <v>130000</v>
      </c>
      <c r="AR723" s="16">
        <v>28000</v>
      </c>
      <c r="AS723" s="22">
        <v>0</v>
      </c>
      <c r="AT723" s="22">
        <v>0</v>
      </c>
      <c r="AU723" s="22">
        <v>30000</v>
      </c>
      <c r="AV723" s="22">
        <v>30000</v>
      </c>
      <c r="AW723" s="22">
        <v>0</v>
      </c>
      <c r="AX723" s="66">
        <v>0</v>
      </c>
      <c r="AZ723" s="15"/>
      <c r="BA723" s="249">
        <f t="shared" si="23"/>
        <v>1</v>
      </c>
      <c r="BB723" s="249"/>
      <c r="BC723" s="249">
        <f t="shared" si="22"/>
        <v>2000</v>
      </c>
    </row>
    <row r="724" spans="1:55" x14ac:dyDescent="0.25">
      <c r="A724" s="51" t="s">
        <v>1378</v>
      </c>
      <c r="B724" s="65" t="s">
        <v>1435</v>
      </c>
      <c r="C724" s="15" t="s">
        <v>348</v>
      </c>
      <c r="D724" s="15">
        <v>2005</v>
      </c>
      <c r="E724" s="15" t="s">
        <v>429</v>
      </c>
      <c r="F724" s="15"/>
      <c r="G724" s="15"/>
      <c r="H724" s="15"/>
      <c r="I724" s="15"/>
      <c r="J724" s="16">
        <v>350000</v>
      </c>
      <c r="K724" s="15" t="s">
        <v>328</v>
      </c>
      <c r="L724" s="15"/>
      <c r="M724" s="15"/>
      <c r="N724" s="16">
        <v>8000</v>
      </c>
      <c r="O724" s="21">
        <v>0.5</v>
      </c>
      <c r="P724" s="15">
        <v>1</v>
      </c>
      <c r="Q724" s="15">
        <v>175</v>
      </c>
      <c r="R724" s="16">
        <v>700</v>
      </c>
      <c r="S724" s="15" t="s">
        <v>340</v>
      </c>
      <c r="T724" s="15">
        <v>4</v>
      </c>
      <c r="U724" s="15">
        <v>4.5</v>
      </c>
      <c r="V724" s="27">
        <v>1850</v>
      </c>
      <c r="W724" s="22">
        <v>26000</v>
      </c>
      <c r="X724" s="15"/>
      <c r="Y724" s="15"/>
      <c r="Z724" s="15"/>
      <c r="AA724" s="15"/>
      <c r="AB724" s="15" t="s">
        <v>328</v>
      </c>
      <c r="AC724" s="15"/>
      <c r="AD724" s="15" t="s">
        <v>328</v>
      </c>
      <c r="AE724" s="15"/>
      <c r="AF724" s="15"/>
      <c r="AG724" s="15"/>
      <c r="AH724" s="15"/>
      <c r="AI724" s="15"/>
      <c r="AJ724" s="15"/>
      <c r="AK724" s="15"/>
      <c r="AL724" s="15"/>
      <c r="AM724" s="15"/>
      <c r="AN724" s="16">
        <v>24000</v>
      </c>
      <c r="AO724" s="16">
        <v>32000</v>
      </c>
      <c r="AP724" s="16">
        <v>50000</v>
      </c>
      <c r="AQ724" s="16">
        <v>125000</v>
      </c>
      <c r="AR724" s="16">
        <v>24000</v>
      </c>
      <c r="AS724" s="22">
        <v>96000</v>
      </c>
      <c r="AT724" s="22">
        <v>0</v>
      </c>
      <c r="AU724" s="22">
        <v>20000</v>
      </c>
      <c r="AV724" s="22">
        <v>10000</v>
      </c>
      <c r="AW724" s="22">
        <v>12000</v>
      </c>
      <c r="AX724" s="66">
        <v>0</v>
      </c>
      <c r="AZ724" s="15"/>
      <c r="BA724" s="249">
        <f t="shared" si="23"/>
        <v>3</v>
      </c>
      <c r="BB724" s="249"/>
      <c r="BC724" s="249">
        <f t="shared" si="22"/>
        <v>2005</v>
      </c>
    </row>
    <row r="725" spans="1:55" x14ac:dyDescent="0.25">
      <c r="A725" s="51" t="s">
        <v>1378</v>
      </c>
      <c r="B725" s="65" t="s">
        <v>1435</v>
      </c>
      <c r="C725" s="15" t="s">
        <v>348</v>
      </c>
      <c r="D725" s="15">
        <v>2005</v>
      </c>
      <c r="E725" s="15" t="s">
        <v>429</v>
      </c>
      <c r="F725" s="15"/>
      <c r="G725" s="15"/>
      <c r="H725" s="15"/>
      <c r="I725" s="15"/>
      <c r="J725" s="16">
        <v>380000</v>
      </c>
      <c r="K725" s="15" t="s">
        <v>328</v>
      </c>
      <c r="L725" s="15"/>
      <c r="M725" s="15"/>
      <c r="N725" s="16">
        <v>8000</v>
      </c>
      <c r="O725" s="21">
        <v>0.5</v>
      </c>
      <c r="P725" s="15">
        <v>1</v>
      </c>
      <c r="Q725" s="15">
        <v>175</v>
      </c>
      <c r="R725" s="16">
        <v>700</v>
      </c>
      <c r="S725" s="15" t="s">
        <v>340</v>
      </c>
      <c r="T725" s="15">
        <v>4</v>
      </c>
      <c r="U725" s="15">
        <v>4.5</v>
      </c>
      <c r="V725" s="27">
        <v>1850</v>
      </c>
      <c r="W725" s="22">
        <v>26000</v>
      </c>
      <c r="X725" s="15"/>
      <c r="Y725" s="15"/>
      <c r="Z725" s="15"/>
      <c r="AA725" s="15"/>
      <c r="AB725" s="15" t="s">
        <v>328</v>
      </c>
      <c r="AC725" s="15"/>
      <c r="AD725" s="15" t="s">
        <v>328</v>
      </c>
      <c r="AE725" s="15"/>
      <c r="AF725" s="15"/>
      <c r="AG725" s="15"/>
      <c r="AH725" s="15"/>
      <c r="AI725" s="15"/>
      <c r="AJ725" s="15"/>
      <c r="AK725" s="15"/>
      <c r="AL725" s="15"/>
      <c r="AM725" s="15"/>
      <c r="AN725" s="16">
        <v>24000</v>
      </c>
      <c r="AO725" s="16">
        <v>32000</v>
      </c>
      <c r="AP725" s="16">
        <v>50000</v>
      </c>
      <c r="AQ725" s="16">
        <v>125000</v>
      </c>
      <c r="AR725" s="16">
        <v>24000</v>
      </c>
      <c r="AS725" s="22">
        <v>96000</v>
      </c>
      <c r="AT725" s="22">
        <v>0</v>
      </c>
      <c r="AU725" s="22">
        <v>20000</v>
      </c>
      <c r="AV725" s="22">
        <v>10000</v>
      </c>
      <c r="AW725" s="22">
        <v>12000</v>
      </c>
      <c r="AX725" s="66">
        <v>0</v>
      </c>
      <c r="AZ725" s="15"/>
      <c r="BA725" s="249">
        <f t="shared" si="23"/>
        <v>3</v>
      </c>
      <c r="BB725" s="249"/>
      <c r="BC725" s="249">
        <f t="shared" si="22"/>
        <v>2005</v>
      </c>
    </row>
    <row r="726" spans="1:55" x14ac:dyDescent="0.25">
      <c r="A726" s="51" t="s">
        <v>1378</v>
      </c>
      <c r="B726" s="65" t="s">
        <v>1435</v>
      </c>
      <c r="C726" s="15" t="s">
        <v>348</v>
      </c>
      <c r="D726" s="15">
        <v>2009</v>
      </c>
      <c r="E726" s="15" t="s">
        <v>367</v>
      </c>
      <c r="F726" s="15"/>
      <c r="G726" s="15"/>
      <c r="H726" s="15"/>
      <c r="I726" s="15"/>
      <c r="J726" s="16">
        <v>190000</v>
      </c>
      <c r="K726" s="15" t="s">
        <v>328</v>
      </c>
      <c r="L726" s="15"/>
      <c r="M726" s="15"/>
      <c r="N726" s="16">
        <v>8000</v>
      </c>
      <c r="O726" s="21">
        <v>0.5</v>
      </c>
      <c r="P726" s="15">
        <v>1</v>
      </c>
      <c r="Q726" s="15">
        <v>200</v>
      </c>
      <c r="R726" s="16">
        <v>780</v>
      </c>
      <c r="S726" s="15" t="s">
        <v>340</v>
      </c>
      <c r="T726" s="15">
        <v>3.9</v>
      </c>
      <c r="U726" s="15">
        <v>4.2</v>
      </c>
      <c r="V726" s="27">
        <v>2100</v>
      </c>
      <c r="W726" s="22">
        <v>30000</v>
      </c>
      <c r="X726" s="15"/>
      <c r="Y726" s="15"/>
      <c r="Z726" s="15"/>
      <c r="AA726" s="15"/>
      <c r="AB726" s="15" t="s">
        <v>328</v>
      </c>
      <c r="AC726" s="15"/>
      <c r="AD726" s="15" t="s">
        <v>328</v>
      </c>
      <c r="AE726" s="15"/>
      <c r="AF726" s="15"/>
      <c r="AG726" s="15"/>
      <c r="AH726" s="15"/>
      <c r="AI726" s="15"/>
      <c r="AJ726" s="15"/>
      <c r="AK726" s="15"/>
      <c r="AL726" s="15"/>
      <c r="AM726" s="15"/>
      <c r="AN726" s="16">
        <v>24000</v>
      </c>
      <c r="AO726" s="16">
        <v>32000</v>
      </c>
      <c r="AP726" s="16">
        <v>50000</v>
      </c>
      <c r="AQ726" s="16">
        <v>125000</v>
      </c>
      <c r="AR726" s="16">
        <v>24000</v>
      </c>
      <c r="AS726" s="22">
        <v>0</v>
      </c>
      <c r="AT726" s="22">
        <v>0</v>
      </c>
      <c r="AU726" s="22">
        <v>20000</v>
      </c>
      <c r="AV726" s="22">
        <v>10000</v>
      </c>
      <c r="AW726" s="22">
        <v>14000</v>
      </c>
      <c r="AX726" s="66">
        <v>0</v>
      </c>
      <c r="AZ726" s="15"/>
      <c r="BA726" s="249">
        <f t="shared" si="23"/>
        <v>3</v>
      </c>
      <c r="BB726" s="249"/>
      <c r="BC726" s="249">
        <f t="shared" si="22"/>
        <v>2009</v>
      </c>
    </row>
    <row r="727" spans="1:55" x14ac:dyDescent="0.25">
      <c r="A727" s="51" t="s">
        <v>1378</v>
      </c>
      <c r="B727" s="65" t="s">
        <v>1436</v>
      </c>
      <c r="C727" s="14" t="s">
        <v>348</v>
      </c>
      <c r="D727" s="14">
        <v>2010</v>
      </c>
      <c r="E727" s="14" t="s">
        <v>360</v>
      </c>
      <c r="F727" s="14"/>
      <c r="G727" s="14"/>
      <c r="H727" s="14"/>
      <c r="I727" s="14"/>
      <c r="J727" s="13">
        <v>75000</v>
      </c>
      <c r="K727" s="14" t="s">
        <v>328</v>
      </c>
      <c r="L727" s="14"/>
      <c r="M727" s="14"/>
      <c r="N727" s="13">
        <v>4000</v>
      </c>
      <c r="O727" s="24">
        <v>0.5</v>
      </c>
      <c r="P727" s="14">
        <v>1</v>
      </c>
      <c r="Q727" s="14">
        <v>400</v>
      </c>
      <c r="R727" s="13">
        <v>3000</v>
      </c>
      <c r="S727" s="14" t="s">
        <v>371</v>
      </c>
      <c r="T727" s="14">
        <v>6</v>
      </c>
      <c r="U727" s="14">
        <v>7.5</v>
      </c>
      <c r="V727" s="25">
        <v>630</v>
      </c>
      <c r="W727" s="26">
        <v>7000</v>
      </c>
      <c r="X727" s="14"/>
      <c r="Y727" s="14" t="s">
        <v>328</v>
      </c>
      <c r="Z727" s="14"/>
      <c r="AA727" s="14"/>
      <c r="AB727" s="14"/>
      <c r="AC727" s="14"/>
      <c r="AD727" s="14"/>
      <c r="AE727" s="14"/>
      <c r="AF727" s="14"/>
      <c r="AG727" s="14" t="s">
        <v>328</v>
      </c>
      <c r="AH727" s="14" t="s">
        <v>328</v>
      </c>
      <c r="AI727" s="14"/>
      <c r="AJ727" s="14"/>
      <c r="AK727" s="14" t="s">
        <v>328</v>
      </c>
      <c r="AL727" s="14" t="s">
        <v>328</v>
      </c>
      <c r="AM727" s="14"/>
      <c r="AN727" s="13">
        <v>5000</v>
      </c>
      <c r="AO727" s="13">
        <v>7000</v>
      </c>
      <c r="AP727" s="13">
        <v>7000</v>
      </c>
      <c r="AQ727" s="13">
        <v>90000</v>
      </c>
      <c r="AR727" s="13" t="s">
        <v>385</v>
      </c>
      <c r="AS727" s="26">
        <v>90000</v>
      </c>
      <c r="AT727" s="26">
        <v>45600</v>
      </c>
      <c r="AU727" s="26">
        <v>25000</v>
      </c>
      <c r="AV727" s="26">
        <v>3000</v>
      </c>
      <c r="AW727" s="26">
        <v>7000</v>
      </c>
      <c r="AX727" s="62">
        <v>0</v>
      </c>
      <c r="AZ727" s="15"/>
      <c r="BA727" s="249">
        <f t="shared" si="23"/>
        <v>2</v>
      </c>
      <c r="BB727" s="249">
        <v>1</v>
      </c>
      <c r="BC727" s="249">
        <f t="shared" si="22"/>
        <v>2010</v>
      </c>
    </row>
    <row r="728" spans="1:55" x14ac:dyDescent="0.25">
      <c r="A728" s="51" t="s">
        <v>1378</v>
      </c>
      <c r="B728" s="65" t="s">
        <v>1436</v>
      </c>
      <c r="C728" s="14" t="s">
        <v>351</v>
      </c>
      <c r="D728" s="14">
        <v>2011</v>
      </c>
      <c r="E728" s="14" t="s">
        <v>360</v>
      </c>
      <c r="F728" s="14"/>
      <c r="G728" s="14"/>
      <c r="H728" s="14"/>
      <c r="I728" s="14"/>
      <c r="J728" s="13">
        <v>45000</v>
      </c>
      <c r="K728" s="14" t="s">
        <v>328</v>
      </c>
      <c r="L728" s="14"/>
      <c r="M728" s="14"/>
      <c r="N728" s="13">
        <v>4000</v>
      </c>
      <c r="O728" s="24">
        <v>0.5</v>
      </c>
      <c r="P728" s="14">
        <v>1</v>
      </c>
      <c r="Q728" s="14">
        <v>450</v>
      </c>
      <c r="R728" s="13">
        <v>3375</v>
      </c>
      <c r="S728" s="14" t="s">
        <v>371</v>
      </c>
      <c r="T728" s="14">
        <v>6</v>
      </c>
      <c r="U728" s="14">
        <v>7.5</v>
      </c>
      <c r="V728" s="25">
        <v>630</v>
      </c>
      <c r="W728" s="26">
        <v>7000</v>
      </c>
      <c r="X728" s="14"/>
      <c r="Y728" s="14" t="s">
        <v>328</v>
      </c>
      <c r="Z728" s="14"/>
      <c r="AA728" s="14"/>
      <c r="AB728" s="14"/>
      <c r="AC728" s="14"/>
      <c r="AD728" s="14"/>
      <c r="AE728" s="14"/>
      <c r="AF728" s="14"/>
      <c r="AG728" s="14" t="s">
        <v>328</v>
      </c>
      <c r="AH728" s="14" t="s">
        <v>328</v>
      </c>
      <c r="AI728" s="14"/>
      <c r="AJ728" s="14"/>
      <c r="AK728" s="14" t="s">
        <v>328</v>
      </c>
      <c r="AL728" s="14" t="s">
        <v>328</v>
      </c>
      <c r="AM728" s="14"/>
      <c r="AN728" s="13">
        <v>5000</v>
      </c>
      <c r="AO728" s="13">
        <v>7000</v>
      </c>
      <c r="AP728" s="13">
        <v>7000</v>
      </c>
      <c r="AQ728" s="13">
        <v>90000</v>
      </c>
      <c r="AR728" s="13" t="s">
        <v>385</v>
      </c>
      <c r="AS728" s="26">
        <v>90000</v>
      </c>
      <c r="AT728" s="26">
        <v>45600</v>
      </c>
      <c r="AU728" s="26">
        <v>25000</v>
      </c>
      <c r="AV728" s="26">
        <v>3000</v>
      </c>
      <c r="AW728" s="26">
        <v>7000</v>
      </c>
      <c r="AX728" s="62">
        <v>0</v>
      </c>
      <c r="AZ728" s="15"/>
      <c r="BA728" s="249">
        <f t="shared" si="23"/>
        <v>2</v>
      </c>
      <c r="BB728" s="249"/>
      <c r="BC728" s="249">
        <f t="shared" si="22"/>
        <v>2011</v>
      </c>
    </row>
    <row r="729" spans="1:55" x14ac:dyDescent="0.25">
      <c r="A729" s="51" t="s">
        <v>1378</v>
      </c>
      <c r="B729" s="65" t="s">
        <v>1437</v>
      </c>
      <c r="C729" s="15" t="s">
        <v>348</v>
      </c>
      <c r="D729" s="15">
        <v>2003</v>
      </c>
      <c r="E729" s="15" t="s">
        <v>360</v>
      </c>
      <c r="F729" s="15"/>
      <c r="G729" s="15"/>
      <c r="H729" s="15"/>
      <c r="I729" s="15"/>
      <c r="J729" s="16">
        <v>600374</v>
      </c>
      <c r="K729" s="15"/>
      <c r="L729" s="15" t="s">
        <v>328</v>
      </c>
      <c r="M729" s="15"/>
      <c r="N729" s="16">
        <v>4000</v>
      </c>
      <c r="O729" s="21">
        <v>0.5</v>
      </c>
      <c r="P729" s="15">
        <v>1</v>
      </c>
      <c r="Q729" s="15">
        <v>200</v>
      </c>
      <c r="R729" s="13">
        <v>800</v>
      </c>
      <c r="S729" s="15" t="s">
        <v>371</v>
      </c>
      <c r="T729" s="15">
        <v>4</v>
      </c>
      <c r="U729" s="15">
        <v>4.9000000000000004</v>
      </c>
      <c r="V729" s="27">
        <v>9000</v>
      </c>
      <c r="W729" s="22">
        <v>9000</v>
      </c>
      <c r="X729" s="15"/>
      <c r="Y729" s="15"/>
      <c r="Z729" s="15"/>
      <c r="AA729" s="15"/>
      <c r="AB729" s="15" t="s">
        <v>328</v>
      </c>
      <c r="AC729" s="15"/>
      <c r="AD729" s="15" t="s">
        <v>328</v>
      </c>
      <c r="AE729" s="15"/>
      <c r="AF729" s="15"/>
      <c r="AG729" s="15" t="s">
        <v>328</v>
      </c>
      <c r="AH729" s="15"/>
      <c r="AI729" s="15"/>
      <c r="AJ729" s="15"/>
      <c r="AK729" s="15"/>
      <c r="AL729" s="15"/>
      <c r="AM729" s="15"/>
      <c r="AN729" s="16">
        <v>15000</v>
      </c>
      <c r="AO729" s="16">
        <v>15000</v>
      </c>
      <c r="AP729" s="16">
        <v>15000</v>
      </c>
      <c r="AQ729" s="13">
        <v>90000</v>
      </c>
      <c r="AR729" s="16" t="s">
        <v>385</v>
      </c>
      <c r="AS729" s="22">
        <v>90000</v>
      </c>
      <c r="AT729" s="22">
        <v>48000</v>
      </c>
      <c r="AU729" s="22">
        <v>24000</v>
      </c>
      <c r="AV729" s="22">
        <v>24000</v>
      </c>
      <c r="AW729" s="22">
        <v>12000</v>
      </c>
      <c r="AX729" s="66">
        <v>0</v>
      </c>
      <c r="AZ729" s="15"/>
      <c r="BA729" s="249">
        <f t="shared" si="23"/>
        <v>3</v>
      </c>
      <c r="BB729" s="249">
        <v>0</v>
      </c>
      <c r="BC729" s="249">
        <f t="shared" si="22"/>
        <v>2003</v>
      </c>
    </row>
    <row r="730" spans="1:55" x14ac:dyDescent="0.25">
      <c r="A730" s="51" t="s">
        <v>1378</v>
      </c>
      <c r="B730" s="65" t="s">
        <v>1437</v>
      </c>
      <c r="C730" s="15" t="s">
        <v>348</v>
      </c>
      <c r="D730" s="15">
        <v>2004</v>
      </c>
      <c r="E730" s="15" t="s">
        <v>360</v>
      </c>
      <c r="F730" s="15"/>
      <c r="G730" s="15"/>
      <c r="H730" s="15"/>
      <c r="I730" s="15"/>
      <c r="J730" s="16">
        <v>478650</v>
      </c>
      <c r="K730" s="15" t="s">
        <v>328</v>
      </c>
      <c r="L730" s="15"/>
      <c r="M730" s="15"/>
      <c r="N730" s="16">
        <v>4000</v>
      </c>
      <c r="O730" s="21">
        <v>0.5</v>
      </c>
      <c r="P730" s="15">
        <v>1</v>
      </c>
      <c r="Q730" s="15">
        <v>200</v>
      </c>
      <c r="R730" s="16">
        <v>800</v>
      </c>
      <c r="S730" s="15" t="s">
        <v>371</v>
      </c>
      <c r="T730" s="15">
        <v>4</v>
      </c>
      <c r="U730" s="15">
        <v>4.9000000000000004</v>
      </c>
      <c r="V730" s="27">
        <v>9000</v>
      </c>
      <c r="W730" s="22">
        <v>9000</v>
      </c>
      <c r="X730" s="15"/>
      <c r="Y730" s="15"/>
      <c r="Z730" s="15"/>
      <c r="AA730" s="15"/>
      <c r="AB730" s="15" t="s">
        <v>328</v>
      </c>
      <c r="AC730" s="15"/>
      <c r="AD730" s="15" t="s">
        <v>328</v>
      </c>
      <c r="AE730" s="15"/>
      <c r="AF730" s="15"/>
      <c r="AG730" s="15" t="s">
        <v>328</v>
      </c>
      <c r="AH730" s="15"/>
      <c r="AI730" s="15"/>
      <c r="AJ730" s="15"/>
      <c r="AK730" s="15"/>
      <c r="AL730" s="15"/>
      <c r="AM730" s="15"/>
      <c r="AN730" s="16">
        <v>15000</v>
      </c>
      <c r="AO730" s="16">
        <v>15000</v>
      </c>
      <c r="AP730" s="16">
        <v>15000</v>
      </c>
      <c r="AQ730" s="13">
        <v>90000</v>
      </c>
      <c r="AR730" s="16" t="s">
        <v>385</v>
      </c>
      <c r="AS730" s="22">
        <v>90000</v>
      </c>
      <c r="AT730" s="22">
        <v>48000</v>
      </c>
      <c r="AU730" s="22">
        <v>24000</v>
      </c>
      <c r="AV730" s="22">
        <v>24000</v>
      </c>
      <c r="AW730" s="22">
        <v>12000</v>
      </c>
      <c r="AX730" s="66">
        <v>0</v>
      </c>
      <c r="AZ730" s="15"/>
      <c r="BA730" s="249">
        <f t="shared" si="23"/>
        <v>3</v>
      </c>
      <c r="BB730" s="249">
        <v>0</v>
      </c>
      <c r="BC730" s="249">
        <f t="shared" si="22"/>
        <v>2004</v>
      </c>
    </row>
    <row r="731" spans="1:55" x14ac:dyDescent="0.25">
      <c r="A731" s="51" t="s">
        <v>1378</v>
      </c>
      <c r="B731" s="65" t="s">
        <v>1437</v>
      </c>
      <c r="C731" s="15" t="s">
        <v>348</v>
      </c>
      <c r="D731" s="15">
        <v>2007</v>
      </c>
      <c r="E731" s="15" t="s">
        <v>360</v>
      </c>
      <c r="F731" s="15"/>
      <c r="G731" s="15"/>
      <c r="H731" s="15"/>
      <c r="I731" s="15"/>
      <c r="J731" s="16">
        <v>337402</v>
      </c>
      <c r="K731" s="15" t="s">
        <v>328</v>
      </c>
      <c r="L731" s="15"/>
      <c r="M731" s="15"/>
      <c r="N731" s="16">
        <v>4000</v>
      </c>
      <c r="O731" s="21">
        <v>0.5</v>
      </c>
      <c r="P731" s="15">
        <v>1</v>
      </c>
      <c r="Q731" s="15">
        <v>200</v>
      </c>
      <c r="R731" s="16">
        <v>800</v>
      </c>
      <c r="S731" s="15" t="s">
        <v>371</v>
      </c>
      <c r="T731" s="15">
        <v>4</v>
      </c>
      <c r="U731" s="15">
        <v>4.9000000000000004</v>
      </c>
      <c r="V731" s="27">
        <v>9000</v>
      </c>
      <c r="W731" s="22">
        <v>9000</v>
      </c>
      <c r="X731" s="15"/>
      <c r="Y731" s="15"/>
      <c r="Z731" s="15"/>
      <c r="AA731" s="15"/>
      <c r="AB731" s="15" t="s">
        <v>328</v>
      </c>
      <c r="AC731" s="15"/>
      <c r="AD731" s="15" t="s">
        <v>328</v>
      </c>
      <c r="AE731" s="15"/>
      <c r="AF731" s="15"/>
      <c r="AG731" s="15" t="s">
        <v>328</v>
      </c>
      <c r="AH731" s="15"/>
      <c r="AI731" s="15"/>
      <c r="AJ731" s="15"/>
      <c r="AK731" s="15"/>
      <c r="AL731" s="15"/>
      <c r="AM731" s="15"/>
      <c r="AN731" s="16">
        <v>15000</v>
      </c>
      <c r="AO731" s="16">
        <v>15000</v>
      </c>
      <c r="AP731" s="16">
        <v>15000</v>
      </c>
      <c r="AQ731" s="13">
        <v>90000</v>
      </c>
      <c r="AR731" s="16" t="s">
        <v>385</v>
      </c>
      <c r="AS731" s="22">
        <v>90000</v>
      </c>
      <c r="AT731" s="22">
        <v>48000</v>
      </c>
      <c r="AU731" s="22">
        <v>24000</v>
      </c>
      <c r="AV731" s="22">
        <v>24000</v>
      </c>
      <c r="AW731" s="22">
        <v>12000</v>
      </c>
      <c r="AX731" s="66">
        <v>0</v>
      </c>
      <c r="AZ731" s="15"/>
      <c r="BA731" s="249">
        <f t="shared" si="23"/>
        <v>3</v>
      </c>
      <c r="BB731" s="249">
        <v>0</v>
      </c>
      <c r="BC731" s="249">
        <f t="shared" si="22"/>
        <v>2007</v>
      </c>
    </row>
    <row r="732" spans="1:55" x14ac:dyDescent="0.25">
      <c r="A732" s="51" t="s">
        <v>1378</v>
      </c>
      <c r="B732" s="65" t="s">
        <v>1438</v>
      </c>
      <c r="C732" s="14" t="s">
        <v>351</v>
      </c>
      <c r="D732" s="15">
        <v>2005</v>
      </c>
      <c r="E732" s="15" t="s">
        <v>349</v>
      </c>
      <c r="F732" s="15"/>
      <c r="G732" s="15"/>
      <c r="H732" s="15"/>
      <c r="I732" s="15"/>
      <c r="J732" s="16">
        <v>588000</v>
      </c>
      <c r="K732" s="15"/>
      <c r="L732" s="15" t="s">
        <v>328</v>
      </c>
      <c r="M732" s="15"/>
      <c r="N732" s="16">
        <v>7000</v>
      </c>
      <c r="O732" s="21">
        <v>0.3</v>
      </c>
      <c r="P732" s="15">
        <v>2</v>
      </c>
      <c r="Q732" s="15">
        <v>600</v>
      </c>
      <c r="R732" s="16">
        <v>1200</v>
      </c>
      <c r="S732" s="15" t="s">
        <v>340</v>
      </c>
      <c r="T732" s="15">
        <v>3.9</v>
      </c>
      <c r="U732" s="15">
        <v>4.2</v>
      </c>
      <c r="V732" s="27">
        <v>2300</v>
      </c>
      <c r="W732" s="22">
        <v>25000</v>
      </c>
      <c r="X732" s="15"/>
      <c r="Y732" s="15" t="s">
        <v>328</v>
      </c>
      <c r="Z732" s="15"/>
      <c r="AA732" s="15"/>
      <c r="AB732" s="15"/>
      <c r="AC732" s="15"/>
      <c r="AD732" s="15" t="s">
        <v>328</v>
      </c>
      <c r="AE732" s="15" t="s">
        <v>328</v>
      </c>
      <c r="AF732" s="15"/>
      <c r="AG732" s="15"/>
      <c r="AH732" s="15" t="s">
        <v>328</v>
      </c>
      <c r="AI732" s="15" t="s">
        <v>328</v>
      </c>
      <c r="AJ732" s="15"/>
      <c r="AK732" s="15"/>
      <c r="AL732" s="15" t="s">
        <v>328</v>
      </c>
      <c r="AM732" s="15"/>
      <c r="AN732" s="16">
        <v>30000</v>
      </c>
      <c r="AO732" s="16">
        <v>40000</v>
      </c>
      <c r="AP732" s="16">
        <v>40000</v>
      </c>
      <c r="AQ732" s="16">
        <v>120000</v>
      </c>
      <c r="AR732" s="16">
        <v>40000</v>
      </c>
      <c r="AS732" s="22">
        <v>0</v>
      </c>
      <c r="AT732" s="22">
        <v>0</v>
      </c>
      <c r="AU732" s="22">
        <v>36000</v>
      </c>
      <c r="AV732" s="22">
        <v>30000</v>
      </c>
      <c r="AW732" s="22">
        <v>20000</v>
      </c>
      <c r="AX732" s="66">
        <v>0</v>
      </c>
      <c r="AZ732" s="15"/>
      <c r="BA732" s="249">
        <f t="shared" si="23"/>
        <v>1</v>
      </c>
      <c r="BB732" s="249">
        <v>0</v>
      </c>
      <c r="BC732" s="249">
        <f t="shared" si="22"/>
        <v>2005</v>
      </c>
    </row>
    <row r="733" spans="1:55" x14ac:dyDescent="0.25">
      <c r="A733" s="51" t="s">
        <v>1442</v>
      </c>
      <c r="B733" s="63" t="s">
        <v>1443</v>
      </c>
      <c r="C733" s="15" t="s">
        <v>337</v>
      </c>
      <c r="D733" s="15">
        <v>1980</v>
      </c>
      <c r="E733" s="15" t="s">
        <v>407</v>
      </c>
      <c r="F733" s="15"/>
      <c r="G733" s="15"/>
      <c r="H733" s="15"/>
      <c r="I733" s="15"/>
      <c r="J733" s="16">
        <v>2937600</v>
      </c>
      <c r="K733" s="15"/>
      <c r="L733" s="15"/>
      <c r="M733" s="15" t="s">
        <v>328</v>
      </c>
      <c r="N733" s="16">
        <v>7200</v>
      </c>
      <c r="O733" s="21">
        <v>0.5</v>
      </c>
      <c r="P733" s="15">
        <v>2</v>
      </c>
      <c r="Q733" s="15">
        <v>950</v>
      </c>
      <c r="R733" s="16">
        <v>1800</v>
      </c>
      <c r="S733" s="15" t="s">
        <v>340</v>
      </c>
      <c r="T733" s="15">
        <v>1.9</v>
      </c>
      <c r="U733" s="15">
        <v>2.6</v>
      </c>
      <c r="V733" s="25">
        <v>3400</v>
      </c>
      <c r="W733" s="22">
        <v>48000</v>
      </c>
      <c r="X733" s="15"/>
      <c r="Y733" s="15" t="s">
        <v>328</v>
      </c>
      <c r="Z733" s="15"/>
      <c r="AA733" s="15"/>
      <c r="AB733" s="15"/>
      <c r="AC733" s="15"/>
      <c r="AD733" s="15" t="s">
        <v>332</v>
      </c>
      <c r="AE733" s="15"/>
      <c r="AF733" s="15"/>
      <c r="AG733" s="15"/>
      <c r="AH733" s="15"/>
      <c r="AI733" s="15"/>
      <c r="AJ733" s="15"/>
      <c r="AK733" s="15"/>
      <c r="AL733" s="15"/>
      <c r="AM733" s="15"/>
      <c r="AN733" s="16">
        <v>25000</v>
      </c>
      <c r="AO733" s="16">
        <v>50000</v>
      </c>
      <c r="AP733" s="16">
        <v>200000</v>
      </c>
      <c r="AQ733" s="16">
        <v>130000</v>
      </c>
      <c r="AR733" s="16">
        <v>25000</v>
      </c>
      <c r="AS733" s="22">
        <v>0</v>
      </c>
      <c r="AT733" s="22">
        <v>0</v>
      </c>
      <c r="AU733" s="22">
        <v>48000</v>
      </c>
      <c r="AV733" s="22">
        <v>24000</v>
      </c>
      <c r="AW733" s="22">
        <v>15000</v>
      </c>
      <c r="AX733" s="66">
        <v>0</v>
      </c>
      <c r="AY733" s="17" t="s">
        <v>708</v>
      </c>
      <c r="AZ733" s="15" t="s">
        <v>561</v>
      </c>
      <c r="BA733" s="249">
        <f t="shared" si="23"/>
        <v>1</v>
      </c>
      <c r="BB733" s="249">
        <v>0</v>
      </c>
      <c r="BC733" s="249">
        <f t="shared" si="22"/>
        <v>1980</v>
      </c>
    </row>
    <row r="734" spans="1:55" x14ac:dyDescent="0.25">
      <c r="A734" s="51" t="s">
        <v>1442</v>
      </c>
      <c r="B734" s="63" t="s">
        <v>1447</v>
      </c>
      <c r="C734" s="14" t="s">
        <v>351</v>
      </c>
      <c r="D734" s="15">
        <v>1973</v>
      </c>
      <c r="E734" s="15" t="s">
        <v>690</v>
      </c>
      <c r="F734" s="15"/>
      <c r="G734" s="15"/>
      <c r="H734" s="15"/>
      <c r="I734" s="15"/>
      <c r="J734" s="16">
        <v>3264000</v>
      </c>
      <c r="K734" s="15"/>
      <c r="L734" s="15"/>
      <c r="M734" s="15" t="s">
        <v>328</v>
      </c>
      <c r="N734" s="16">
        <v>8000</v>
      </c>
      <c r="O734" s="21">
        <v>0.5</v>
      </c>
      <c r="P734" s="15">
        <v>2</v>
      </c>
      <c r="Q734" s="15">
        <v>550</v>
      </c>
      <c r="R734" s="16">
        <v>1500</v>
      </c>
      <c r="S734" s="15" t="s">
        <v>340</v>
      </c>
      <c r="T734" s="15">
        <v>2.8</v>
      </c>
      <c r="U734" s="15">
        <v>3.3</v>
      </c>
      <c r="V734" s="25">
        <v>2500</v>
      </c>
      <c r="W734" s="22">
        <v>35000</v>
      </c>
      <c r="X734" s="15"/>
      <c r="Y734" s="15"/>
      <c r="Z734" s="15"/>
      <c r="AA734" s="15" t="s">
        <v>328</v>
      </c>
      <c r="AB734" s="15"/>
      <c r="AC734" s="15"/>
      <c r="AD734" s="15" t="s">
        <v>332</v>
      </c>
      <c r="AE734" s="15"/>
      <c r="AF734" s="15"/>
      <c r="AG734" s="15"/>
      <c r="AH734" s="15"/>
      <c r="AI734" s="15"/>
      <c r="AJ734" s="15"/>
      <c r="AK734" s="15"/>
      <c r="AL734" s="15"/>
      <c r="AM734" s="15"/>
      <c r="AN734" s="16">
        <v>30000</v>
      </c>
      <c r="AO734" s="16">
        <v>60000</v>
      </c>
      <c r="AP734" s="16">
        <v>80000</v>
      </c>
      <c r="AQ734" s="16">
        <v>125000</v>
      </c>
      <c r="AR734" s="16">
        <v>30000</v>
      </c>
      <c r="AS734" s="22">
        <v>0</v>
      </c>
      <c r="AT734" s="22">
        <v>0</v>
      </c>
      <c r="AU734" s="22">
        <v>36000</v>
      </c>
      <c r="AV734" s="22">
        <v>36000</v>
      </c>
      <c r="AW734" s="22">
        <v>0</v>
      </c>
      <c r="AX734" s="66">
        <v>0</v>
      </c>
      <c r="AY734" s="17" t="s">
        <v>694</v>
      </c>
      <c r="AZ734" s="15" t="s">
        <v>351</v>
      </c>
      <c r="BA734" s="249">
        <f t="shared" si="23"/>
        <v>1</v>
      </c>
      <c r="BB734" s="249">
        <v>0</v>
      </c>
      <c r="BC734" s="249">
        <f t="shared" si="22"/>
        <v>1973</v>
      </c>
    </row>
    <row r="735" spans="1:55" x14ac:dyDescent="0.25">
      <c r="A735" s="51" t="s">
        <v>1442</v>
      </c>
      <c r="B735" s="63" t="s">
        <v>1449</v>
      </c>
      <c r="C735" s="15" t="s">
        <v>337</v>
      </c>
      <c r="D735" s="15">
        <v>1993</v>
      </c>
      <c r="E735" s="15" t="s">
        <v>407</v>
      </c>
      <c r="F735" s="15"/>
      <c r="G735" s="15"/>
      <c r="H735" s="15"/>
      <c r="I735" s="15"/>
      <c r="J735" s="16">
        <v>3936000</v>
      </c>
      <c r="K735" s="15"/>
      <c r="L735" s="15"/>
      <c r="M735" s="15" t="s">
        <v>328</v>
      </c>
      <c r="N735" s="16">
        <v>8000</v>
      </c>
      <c r="O735" s="21">
        <v>0.5</v>
      </c>
      <c r="P735" s="15">
        <v>2</v>
      </c>
      <c r="Q735" s="15">
        <v>950</v>
      </c>
      <c r="R735" s="16">
        <v>1800</v>
      </c>
      <c r="S735" s="15" t="s">
        <v>340</v>
      </c>
      <c r="T735" s="15">
        <v>1.9</v>
      </c>
      <c r="U735" s="15">
        <v>2.7</v>
      </c>
      <c r="V735" s="25">
        <v>3600</v>
      </c>
      <c r="W735" s="22">
        <v>50000</v>
      </c>
      <c r="X735" s="15"/>
      <c r="Y735" s="15" t="s">
        <v>328</v>
      </c>
      <c r="Z735" s="15"/>
      <c r="AA735" s="15"/>
      <c r="AB735" s="15"/>
      <c r="AC735" s="15"/>
      <c r="AD735" s="15" t="s">
        <v>332</v>
      </c>
      <c r="AE735" s="15"/>
      <c r="AF735" s="15"/>
      <c r="AG735" s="15"/>
      <c r="AH735" s="15"/>
      <c r="AI735" s="15"/>
      <c r="AJ735" s="15"/>
      <c r="AK735" s="15"/>
      <c r="AL735" s="15"/>
      <c r="AM735" s="15"/>
      <c r="AN735" s="16">
        <v>25000</v>
      </c>
      <c r="AO735" s="16">
        <v>50000</v>
      </c>
      <c r="AP735" s="16" t="s">
        <v>480</v>
      </c>
      <c r="AQ735" s="16" t="s">
        <v>480</v>
      </c>
      <c r="AR735" s="16">
        <v>25000</v>
      </c>
      <c r="AS735" s="22">
        <v>0</v>
      </c>
      <c r="AT735" s="22">
        <v>0</v>
      </c>
      <c r="AU735" s="22">
        <v>54000</v>
      </c>
      <c r="AV735" s="22">
        <v>36000</v>
      </c>
      <c r="AW735" s="22">
        <v>0</v>
      </c>
      <c r="AX735" s="66">
        <v>0</v>
      </c>
      <c r="AY735" s="17" t="s">
        <v>708</v>
      </c>
      <c r="AZ735" s="15" t="s">
        <v>561</v>
      </c>
      <c r="BA735" s="249">
        <f t="shared" si="23"/>
        <v>2</v>
      </c>
      <c r="BB735" s="249">
        <v>0</v>
      </c>
      <c r="BC735" s="249">
        <f t="shared" si="22"/>
        <v>1993</v>
      </c>
    </row>
    <row r="736" spans="1:55" x14ac:dyDescent="0.25">
      <c r="A736" s="51" t="s">
        <v>1442</v>
      </c>
      <c r="B736" s="63" t="s">
        <v>1449</v>
      </c>
      <c r="C736" s="15" t="s">
        <v>337</v>
      </c>
      <c r="D736" s="15">
        <v>1995</v>
      </c>
      <c r="E736" s="15" t="s">
        <v>407</v>
      </c>
      <c r="F736" s="15"/>
      <c r="G736" s="15"/>
      <c r="H736" s="15"/>
      <c r="I736" s="15"/>
      <c r="J736" s="16">
        <v>1824000</v>
      </c>
      <c r="K736" s="15"/>
      <c r="L736" s="15"/>
      <c r="M736" s="15" t="s">
        <v>328</v>
      </c>
      <c r="N736" s="16">
        <v>8000</v>
      </c>
      <c r="O736" s="21">
        <v>0.5</v>
      </c>
      <c r="P736" s="15">
        <v>2</v>
      </c>
      <c r="Q736" s="15">
        <v>966</v>
      </c>
      <c r="R736" s="16">
        <v>1800</v>
      </c>
      <c r="S736" s="15" t="s">
        <v>340</v>
      </c>
      <c r="T736" s="15">
        <v>1.9</v>
      </c>
      <c r="U736" s="15">
        <v>2.7</v>
      </c>
      <c r="V736" s="25">
        <v>3600</v>
      </c>
      <c r="W736" s="22">
        <v>50000</v>
      </c>
      <c r="X736" s="15"/>
      <c r="Y736" s="15" t="s">
        <v>328</v>
      </c>
      <c r="Z736" s="15"/>
      <c r="AA736" s="15"/>
      <c r="AB736" s="15"/>
      <c r="AC736" s="15"/>
      <c r="AD736" s="15" t="s">
        <v>332</v>
      </c>
      <c r="AE736" s="15"/>
      <c r="AF736" s="15"/>
      <c r="AG736" s="15"/>
      <c r="AH736" s="15"/>
      <c r="AI736" s="15"/>
      <c r="AJ736" s="15"/>
      <c r="AK736" s="15"/>
      <c r="AL736" s="15"/>
      <c r="AM736" s="15"/>
      <c r="AN736" s="16">
        <v>25000</v>
      </c>
      <c r="AO736" s="16">
        <v>50000</v>
      </c>
      <c r="AP736" s="16" t="s">
        <v>480</v>
      </c>
      <c r="AQ736" s="16" t="s">
        <v>480</v>
      </c>
      <c r="AR736" s="16">
        <v>25000</v>
      </c>
      <c r="AS736" s="22">
        <v>0</v>
      </c>
      <c r="AT736" s="22">
        <v>0</v>
      </c>
      <c r="AU736" s="22">
        <v>54000</v>
      </c>
      <c r="AV736" s="22">
        <v>36000</v>
      </c>
      <c r="AW736" s="22">
        <v>0</v>
      </c>
      <c r="AX736" s="66">
        <v>0</v>
      </c>
      <c r="AY736" s="17" t="s">
        <v>708</v>
      </c>
      <c r="AZ736" s="15" t="s">
        <v>561</v>
      </c>
      <c r="BA736" s="249">
        <f t="shared" si="23"/>
        <v>2</v>
      </c>
      <c r="BB736" s="249">
        <v>0</v>
      </c>
      <c r="BC736" s="249">
        <f t="shared" si="22"/>
        <v>1995</v>
      </c>
    </row>
    <row r="737" spans="1:55" x14ac:dyDescent="0.25">
      <c r="A737" s="51" t="s">
        <v>1442</v>
      </c>
      <c r="B737" s="63" t="s">
        <v>1452</v>
      </c>
      <c r="C737" s="15" t="s">
        <v>337</v>
      </c>
      <c r="D737" s="15">
        <v>1994</v>
      </c>
      <c r="E737" s="15" t="s">
        <v>407</v>
      </c>
      <c r="F737" s="15"/>
      <c r="G737" s="15"/>
      <c r="H737" s="15"/>
      <c r="I737" s="15"/>
      <c r="J737" s="16">
        <v>1728000</v>
      </c>
      <c r="K737" s="15"/>
      <c r="L737" s="15"/>
      <c r="M737" s="15" t="s">
        <v>328</v>
      </c>
      <c r="N737" s="16">
        <v>7200</v>
      </c>
      <c r="O737" s="21">
        <v>0.5</v>
      </c>
      <c r="P737" s="15">
        <v>2</v>
      </c>
      <c r="Q737" s="15">
        <v>880</v>
      </c>
      <c r="R737" s="16">
        <v>1800</v>
      </c>
      <c r="S737" s="15" t="s">
        <v>340</v>
      </c>
      <c r="T737" s="15">
        <v>1.9</v>
      </c>
      <c r="U737" s="15">
        <v>2.6</v>
      </c>
      <c r="V737" s="25">
        <v>3600</v>
      </c>
      <c r="W737" s="22">
        <v>50000</v>
      </c>
      <c r="X737" s="15"/>
      <c r="Y737" s="15"/>
      <c r="Z737" s="15"/>
      <c r="AA737" s="15"/>
      <c r="AB737" s="15" t="s">
        <v>328</v>
      </c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6">
        <v>20000</v>
      </c>
      <c r="AO737" s="16">
        <v>40000</v>
      </c>
      <c r="AP737" s="16">
        <v>160000</v>
      </c>
      <c r="AQ737" s="16">
        <v>160000</v>
      </c>
      <c r="AR737" s="16">
        <v>40000</v>
      </c>
      <c r="AS737" s="22">
        <v>120000</v>
      </c>
      <c r="AT737" s="22">
        <v>0</v>
      </c>
      <c r="AU737" s="22">
        <v>40000</v>
      </c>
      <c r="AV737" s="22">
        <v>10000</v>
      </c>
      <c r="AW737" s="22">
        <v>18000</v>
      </c>
      <c r="AX737" s="66">
        <v>0</v>
      </c>
      <c r="AY737" s="17" t="s">
        <v>708</v>
      </c>
      <c r="AZ737" s="15" t="s">
        <v>562</v>
      </c>
      <c r="BA737" s="249">
        <f t="shared" si="23"/>
        <v>4</v>
      </c>
      <c r="BB737" s="249">
        <v>0</v>
      </c>
      <c r="BC737" s="249">
        <f t="shared" si="22"/>
        <v>1994</v>
      </c>
    </row>
    <row r="738" spans="1:55" x14ac:dyDescent="0.25">
      <c r="A738" s="51" t="s">
        <v>1442</v>
      </c>
      <c r="B738" s="63" t="s">
        <v>1452</v>
      </c>
      <c r="C738" s="15" t="s">
        <v>337</v>
      </c>
      <c r="D738" s="15">
        <v>1994</v>
      </c>
      <c r="E738" s="15" t="s">
        <v>407</v>
      </c>
      <c r="F738" s="15"/>
      <c r="G738" s="15"/>
      <c r="H738" s="15"/>
      <c r="I738" s="15"/>
      <c r="J738" s="16">
        <v>1728000</v>
      </c>
      <c r="K738" s="15"/>
      <c r="L738" s="15"/>
      <c r="M738" s="15" t="s">
        <v>328</v>
      </c>
      <c r="N738" s="16">
        <v>7200</v>
      </c>
      <c r="O738" s="21">
        <v>0.5</v>
      </c>
      <c r="P738" s="15">
        <v>2</v>
      </c>
      <c r="Q738" s="15">
        <v>880</v>
      </c>
      <c r="R738" s="16">
        <v>1800</v>
      </c>
      <c r="S738" s="15" t="s">
        <v>340</v>
      </c>
      <c r="T738" s="15">
        <v>1.9</v>
      </c>
      <c r="U738" s="15">
        <v>2.6</v>
      </c>
      <c r="V738" s="25">
        <v>3600</v>
      </c>
      <c r="W738" s="22">
        <v>50000</v>
      </c>
      <c r="X738" s="15"/>
      <c r="Y738" s="15"/>
      <c r="Z738" s="15"/>
      <c r="AA738" s="15"/>
      <c r="AB738" s="15" t="s">
        <v>328</v>
      </c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6">
        <v>20000</v>
      </c>
      <c r="AO738" s="16">
        <v>40000</v>
      </c>
      <c r="AP738" s="16">
        <v>160000</v>
      </c>
      <c r="AQ738" s="16">
        <v>160000</v>
      </c>
      <c r="AR738" s="16">
        <v>40000</v>
      </c>
      <c r="AS738" s="22">
        <v>120000</v>
      </c>
      <c r="AT738" s="22">
        <v>0</v>
      </c>
      <c r="AU738" s="22">
        <v>40000</v>
      </c>
      <c r="AV738" s="22">
        <v>10000</v>
      </c>
      <c r="AW738" s="22">
        <v>18000</v>
      </c>
      <c r="AX738" s="66">
        <v>0</v>
      </c>
      <c r="AY738" s="17" t="s">
        <v>708</v>
      </c>
      <c r="AZ738" s="15" t="s">
        <v>562</v>
      </c>
      <c r="BA738" s="249">
        <f t="shared" si="23"/>
        <v>4</v>
      </c>
      <c r="BB738" s="249">
        <v>0</v>
      </c>
      <c r="BC738" s="249">
        <f t="shared" si="22"/>
        <v>1994</v>
      </c>
    </row>
    <row r="739" spans="1:55" x14ac:dyDescent="0.25">
      <c r="A739" s="51" t="s">
        <v>1442</v>
      </c>
      <c r="B739" s="63" t="s">
        <v>1452</v>
      </c>
      <c r="C739" s="15" t="s">
        <v>337</v>
      </c>
      <c r="D739" s="15">
        <v>2000</v>
      </c>
      <c r="E739" s="15" t="s">
        <v>407</v>
      </c>
      <c r="F739" s="15"/>
      <c r="G739" s="15"/>
      <c r="H739" s="15"/>
      <c r="I739" s="15"/>
      <c r="J739" s="16">
        <v>917713</v>
      </c>
      <c r="K739" s="15"/>
      <c r="L739" s="15"/>
      <c r="M739" s="15" t="s">
        <v>328</v>
      </c>
      <c r="N739" s="16">
        <v>8000</v>
      </c>
      <c r="O739" s="21">
        <v>0.5</v>
      </c>
      <c r="P739" s="15">
        <v>2</v>
      </c>
      <c r="Q739" s="15">
        <v>908</v>
      </c>
      <c r="R739" s="16">
        <v>1800</v>
      </c>
      <c r="S739" s="15" t="s">
        <v>340</v>
      </c>
      <c r="T739" s="15">
        <v>2</v>
      </c>
      <c r="U739" s="15">
        <v>2.6</v>
      </c>
      <c r="V739" s="25">
        <v>3600</v>
      </c>
      <c r="W739" s="22">
        <v>50000</v>
      </c>
      <c r="X739" s="15"/>
      <c r="Y739" s="15"/>
      <c r="Z739" s="15"/>
      <c r="AA739" s="15"/>
      <c r="AB739" s="15" t="s">
        <v>328</v>
      </c>
      <c r="AC739" s="15"/>
      <c r="AD739" s="15" t="s">
        <v>328</v>
      </c>
      <c r="AE739" s="15"/>
      <c r="AF739" s="15"/>
      <c r="AG739" s="15"/>
      <c r="AH739" s="15"/>
      <c r="AI739" s="15"/>
      <c r="AJ739" s="15"/>
      <c r="AK739" s="15"/>
      <c r="AL739" s="15"/>
      <c r="AM739" s="15"/>
      <c r="AN739" s="16">
        <v>20000</v>
      </c>
      <c r="AO739" s="16">
        <v>40000</v>
      </c>
      <c r="AP739" s="16">
        <v>160000</v>
      </c>
      <c r="AQ739" s="16">
        <v>160000</v>
      </c>
      <c r="AR739" s="16">
        <v>40000</v>
      </c>
      <c r="AS739" s="22">
        <v>120000</v>
      </c>
      <c r="AT739" s="22">
        <v>0</v>
      </c>
      <c r="AU739" s="22">
        <v>40000</v>
      </c>
      <c r="AV739" s="22">
        <v>10000</v>
      </c>
      <c r="AW739" s="22">
        <v>23000</v>
      </c>
      <c r="AX739" s="66">
        <v>0</v>
      </c>
      <c r="AY739" s="17" t="s">
        <v>708</v>
      </c>
      <c r="AZ739" s="15" t="s">
        <v>562</v>
      </c>
      <c r="BA739" s="249">
        <f t="shared" si="23"/>
        <v>4</v>
      </c>
      <c r="BB739" s="249">
        <v>0</v>
      </c>
      <c r="BC739" s="249">
        <f t="shared" si="22"/>
        <v>2000</v>
      </c>
    </row>
    <row r="740" spans="1:55" x14ac:dyDescent="0.25">
      <c r="A740" s="51" t="s">
        <v>1442</v>
      </c>
      <c r="B740" s="63" t="s">
        <v>1452</v>
      </c>
      <c r="C740" s="15" t="s">
        <v>337</v>
      </c>
      <c r="D740" s="15">
        <v>2001</v>
      </c>
      <c r="E740" s="15" t="s">
        <v>407</v>
      </c>
      <c r="F740" s="15"/>
      <c r="G740" s="15"/>
      <c r="H740" s="15"/>
      <c r="I740" s="15"/>
      <c r="J740" s="16">
        <v>873651</v>
      </c>
      <c r="K740" s="15"/>
      <c r="L740" s="15"/>
      <c r="M740" s="15" t="s">
        <v>328</v>
      </c>
      <c r="N740" s="16">
        <v>8000</v>
      </c>
      <c r="O740" s="21">
        <v>0.5</v>
      </c>
      <c r="P740" s="15">
        <v>2</v>
      </c>
      <c r="Q740" s="15">
        <v>912</v>
      </c>
      <c r="R740" s="16">
        <v>1800</v>
      </c>
      <c r="S740" s="15" t="s">
        <v>340</v>
      </c>
      <c r="T740" s="15">
        <v>2</v>
      </c>
      <c r="U740" s="15">
        <v>2.6</v>
      </c>
      <c r="V740" s="25">
        <v>3600</v>
      </c>
      <c r="W740" s="22">
        <v>50000</v>
      </c>
      <c r="X740" s="15"/>
      <c r="Y740" s="15"/>
      <c r="Z740" s="15"/>
      <c r="AA740" s="15"/>
      <c r="AB740" s="15" t="s">
        <v>328</v>
      </c>
      <c r="AC740" s="15"/>
      <c r="AD740" s="15" t="s">
        <v>328</v>
      </c>
      <c r="AE740" s="15"/>
      <c r="AF740" s="15"/>
      <c r="AG740" s="15"/>
      <c r="AH740" s="15"/>
      <c r="AI740" s="15"/>
      <c r="AJ740" s="15"/>
      <c r="AK740" s="15"/>
      <c r="AL740" s="15"/>
      <c r="AM740" s="15"/>
      <c r="AN740" s="16">
        <v>20000</v>
      </c>
      <c r="AO740" s="16">
        <v>40000</v>
      </c>
      <c r="AP740" s="16">
        <v>160000</v>
      </c>
      <c r="AQ740" s="16">
        <v>160000</v>
      </c>
      <c r="AR740" s="16">
        <v>40000</v>
      </c>
      <c r="AS740" s="22">
        <v>0</v>
      </c>
      <c r="AT740" s="22">
        <v>0</v>
      </c>
      <c r="AU740" s="22">
        <v>40000</v>
      </c>
      <c r="AV740" s="22">
        <v>10000</v>
      </c>
      <c r="AW740" s="22">
        <v>24000</v>
      </c>
      <c r="AX740" s="66">
        <v>0</v>
      </c>
      <c r="AY740" s="17" t="s">
        <v>708</v>
      </c>
      <c r="AZ740" s="15" t="s">
        <v>562</v>
      </c>
      <c r="BA740" s="249">
        <f t="shared" si="23"/>
        <v>4</v>
      </c>
      <c r="BB740" s="249">
        <v>0</v>
      </c>
      <c r="BC740" s="249">
        <f t="shared" si="22"/>
        <v>2001</v>
      </c>
    </row>
    <row r="741" spans="1:55" x14ac:dyDescent="0.25">
      <c r="A741" s="51" t="s">
        <v>1442</v>
      </c>
      <c r="B741" s="63" t="s">
        <v>1453</v>
      </c>
      <c r="C741" s="15" t="s">
        <v>348</v>
      </c>
      <c r="D741" s="15">
        <v>2004</v>
      </c>
      <c r="E741" s="15" t="s">
        <v>349</v>
      </c>
      <c r="F741" s="15"/>
      <c r="G741" s="15"/>
      <c r="H741" s="15"/>
      <c r="I741" s="15"/>
      <c r="J741" s="16">
        <v>683451</v>
      </c>
      <c r="K741" s="15" t="s">
        <v>328</v>
      </c>
      <c r="L741" s="15"/>
      <c r="M741" s="15"/>
      <c r="N741" s="16">
        <v>6400</v>
      </c>
      <c r="O741" s="21">
        <v>0.5</v>
      </c>
      <c r="P741" s="15">
        <v>2</v>
      </c>
      <c r="Q741" s="15">
        <v>400</v>
      </c>
      <c r="R741" s="16">
        <v>1600</v>
      </c>
      <c r="S741" s="15" t="s">
        <v>340</v>
      </c>
      <c r="T741" s="15">
        <v>3.9</v>
      </c>
      <c r="U741" s="15">
        <v>4.2</v>
      </c>
      <c r="V741" s="25">
        <v>1300</v>
      </c>
      <c r="W741" s="22">
        <v>18000</v>
      </c>
      <c r="X741" s="15"/>
      <c r="Y741" s="15"/>
      <c r="Z741" s="15"/>
      <c r="AA741" s="15"/>
      <c r="AB741" s="15" t="s">
        <v>328</v>
      </c>
      <c r="AC741" s="15"/>
      <c r="AD741" s="15" t="s">
        <v>328</v>
      </c>
      <c r="AE741" s="15"/>
      <c r="AF741" s="15"/>
      <c r="AG741" s="15"/>
      <c r="AH741" s="15"/>
      <c r="AI741" s="15"/>
      <c r="AJ741" s="15"/>
      <c r="AK741" s="15"/>
      <c r="AL741" s="15"/>
      <c r="AM741" s="15"/>
      <c r="AN741" s="16">
        <v>24000</v>
      </c>
      <c r="AO741" s="16">
        <v>48000</v>
      </c>
      <c r="AP741" s="16">
        <v>100000</v>
      </c>
      <c r="AQ741" s="16">
        <v>140000</v>
      </c>
      <c r="AR741" s="16">
        <v>24000</v>
      </c>
      <c r="AS741" s="22">
        <v>144000</v>
      </c>
      <c r="AT741" s="22">
        <v>0</v>
      </c>
      <c r="AU741" s="22">
        <v>48000</v>
      </c>
      <c r="AV741" s="22">
        <v>36000</v>
      </c>
      <c r="AW741" s="22">
        <v>24000</v>
      </c>
      <c r="AX741" s="66">
        <v>0</v>
      </c>
      <c r="AY741" s="17" t="s">
        <v>701</v>
      </c>
      <c r="AZ741" s="15" t="s">
        <v>348</v>
      </c>
      <c r="BA741" s="249">
        <f t="shared" si="23"/>
        <v>2</v>
      </c>
      <c r="BB741" s="249">
        <v>0</v>
      </c>
      <c r="BC741" s="249">
        <f t="shared" si="22"/>
        <v>2004</v>
      </c>
    </row>
    <row r="742" spans="1:55" x14ac:dyDescent="0.25">
      <c r="A742" s="51" t="s">
        <v>1442</v>
      </c>
      <c r="B742" s="63" t="s">
        <v>1453</v>
      </c>
      <c r="C742" s="15" t="s">
        <v>348</v>
      </c>
      <c r="D742" s="15">
        <v>2004</v>
      </c>
      <c r="E742" s="15" t="s">
        <v>349</v>
      </c>
      <c r="F742" s="15"/>
      <c r="G742" s="15"/>
      <c r="H742" s="15"/>
      <c r="I742" s="15"/>
      <c r="J742" s="16">
        <v>690708</v>
      </c>
      <c r="K742" s="15" t="s">
        <v>328</v>
      </c>
      <c r="L742" s="15"/>
      <c r="M742" s="15"/>
      <c r="N742" s="16">
        <v>6400</v>
      </c>
      <c r="O742" s="21">
        <v>0.5</v>
      </c>
      <c r="P742" s="15">
        <v>2</v>
      </c>
      <c r="Q742" s="15">
        <v>400</v>
      </c>
      <c r="R742" s="16">
        <v>1600</v>
      </c>
      <c r="S742" s="15" t="s">
        <v>340</v>
      </c>
      <c r="T742" s="15">
        <v>3.9</v>
      </c>
      <c r="U742" s="15">
        <v>4.2</v>
      </c>
      <c r="V742" s="25">
        <v>1300</v>
      </c>
      <c r="W742" s="22">
        <v>18000</v>
      </c>
      <c r="X742" s="15"/>
      <c r="Y742" s="15"/>
      <c r="Z742" s="15"/>
      <c r="AA742" s="15"/>
      <c r="AB742" s="15" t="s">
        <v>328</v>
      </c>
      <c r="AC742" s="15"/>
      <c r="AD742" s="15" t="s">
        <v>328</v>
      </c>
      <c r="AE742" s="15"/>
      <c r="AF742" s="15"/>
      <c r="AG742" s="15"/>
      <c r="AH742" s="15"/>
      <c r="AI742" s="15"/>
      <c r="AJ742" s="15"/>
      <c r="AK742" s="15"/>
      <c r="AL742" s="15"/>
      <c r="AM742" s="15"/>
      <c r="AN742" s="16">
        <v>24000</v>
      </c>
      <c r="AO742" s="16">
        <v>48000</v>
      </c>
      <c r="AP742" s="16">
        <v>100000</v>
      </c>
      <c r="AQ742" s="16">
        <v>140000</v>
      </c>
      <c r="AR742" s="16">
        <v>24000</v>
      </c>
      <c r="AS742" s="22">
        <v>0</v>
      </c>
      <c r="AT742" s="22">
        <v>0</v>
      </c>
      <c r="AU742" s="22">
        <v>48000</v>
      </c>
      <c r="AV742" s="22">
        <v>36000</v>
      </c>
      <c r="AW742" s="22">
        <v>24000</v>
      </c>
      <c r="AX742" s="66">
        <v>0</v>
      </c>
      <c r="AY742" s="17" t="s">
        <v>701</v>
      </c>
      <c r="AZ742" s="15" t="s">
        <v>348</v>
      </c>
      <c r="BA742" s="249">
        <f t="shared" si="23"/>
        <v>2</v>
      </c>
      <c r="BB742" s="249">
        <v>0</v>
      </c>
      <c r="BC742" s="249">
        <f t="shared" si="22"/>
        <v>2004</v>
      </c>
    </row>
    <row r="743" spans="1:55" x14ac:dyDescent="0.25">
      <c r="A743" s="51" t="s">
        <v>1442</v>
      </c>
      <c r="B743" s="63" t="s">
        <v>1457</v>
      </c>
      <c r="C743" s="15" t="s">
        <v>337</v>
      </c>
      <c r="D743" s="15">
        <v>1992</v>
      </c>
      <c r="E743" s="15" t="s">
        <v>407</v>
      </c>
      <c r="F743" s="15"/>
      <c r="G743" s="15"/>
      <c r="H743" s="15"/>
      <c r="I743" s="15"/>
      <c r="J743" s="16">
        <v>2640000</v>
      </c>
      <c r="K743" s="15"/>
      <c r="L743" s="15"/>
      <c r="M743" s="15" t="s">
        <v>328</v>
      </c>
      <c r="N743" s="16">
        <v>10000</v>
      </c>
      <c r="O743" s="21">
        <v>0.5</v>
      </c>
      <c r="P743" s="15">
        <v>2</v>
      </c>
      <c r="Q743" s="15">
        <v>908</v>
      </c>
      <c r="R743" s="16">
        <v>1700</v>
      </c>
      <c r="S743" s="15" t="s">
        <v>340</v>
      </c>
      <c r="T743" s="15">
        <v>1.9</v>
      </c>
      <c r="U743" s="15">
        <v>2.6</v>
      </c>
      <c r="V743" s="25">
        <v>4300</v>
      </c>
      <c r="W743" s="22">
        <v>60000</v>
      </c>
      <c r="X743" s="15"/>
      <c r="Y743" s="15"/>
      <c r="Z743" s="15"/>
      <c r="AA743" s="15"/>
      <c r="AB743" s="15" t="s">
        <v>328</v>
      </c>
      <c r="AC743" s="15"/>
      <c r="AD743" s="15" t="s">
        <v>328</v>
      </c>
      <c r="AE743" s="15"/>
      <c r="AF743" s="15"/>
      <c r="AG743" s="15"/>
      <c r="AH743" s="15"/>
      <c r="AI743" s="15"/>
      <c r="AJ743" s="15"/>
      <c r="AK743" s="15"/>
      <c r="AL743" s="15"/>
      <c r="AM743" s="15"/>
      <c r="AN743" s="16">
        <v>36000</v>
      </c>
      <c r="AO743" s="16">
        <v>36000</v>
      </c>
      <c r="AP743" s="16">
        <v>90000</v>
      </c>
      <c r="AQ743" s="16">
        <v>150000</v>
      </c>
      <c r="AR743" s="16">
        <v>36000</v>
      </c>
      <c r="AS743" s="22">
        <v>168000</v>
      </c>
      <c r="AT743" s="22">
        <v>0</v>
      </c>
      <c r="AU743" s="22">
        <v>60000</v>
      </c>
      <c r="AV743" s="22">
        <v>48000</v>
      </c>
      <c r="AW743" s="22">
        <v>0</v>
      </c>
      <c r="AX743" s="66">
        <v>0</v>
      </c>
      <c r="AY743" s="17" t="s">
        <v>708</v>
      </c>
      <c r="AZ743" s="15" t="s">
        <v>561</v>
      </c>
      <c r="BA743" s="249">
        <f t="shared" si="23"/>
        <v>2</v>
      </c>
      <c r="BB743" s="249">
        <v>0</v>
      </c>
      <c r="BC743" s="249">
        <f t="shared" si="22"/>
        <v>1992</v>
      </c>
    </row>
    <row r="744" spans="1:55" x14ac:dyDescent="0.25">
      <c r="A744" s="51" t="s">
        <v>1442</v>
      </c>
      <c r="B744" s="63" t="s">
        <v>1457</v>
      </c>
      <c r="C744" s="15" t="s">
        <v>337</v>
      </c>
      <c r="D744" s="15">
        <v>1997</v>
      </c>
      <c r="E744" s="15" t="s">
        <v>407</v>
      </c>
      <c r="F744" s="15"/>
      <c r="G744" s="15"/>
      <c r="H744" s="15"/>
      <c r="I744" s="15"/>
      <c r="J744" s="16">
        <v>2040000</v>
      </c>
      <c r="K744" s="15"/>
      <c r="L744" s="15"/>
      <c r="M744" s="15" t="s">
        <v>328</v>
      </c>
      <c r="N744" s="16">
        <v>10000</v>
      </c>
      <c r="O744" s="21">
        <v>0.5</v>
      </c>
      <c r="P744" s="15">
        <v>2</v>
      </c>
      <c r="Q744" s="15">
        <v>906</v>
      </c>
      <c r="R744" s="16">
        <v>1700</v>
      </c>
      <c r="S744" s="15" t="s">
        <v>340</v>
      </c>
      <c r="T744" s="15">
        <v>1.9</v>
      </c>
      <c r="U744" s="15">
        <v>2.6</v>
      </c>
      <c r="V744" s="25">
        <v>4300</v>
      </c>
      <c r="W744" s="22">
        <v>60000</v>
      </c>
      <c r="X744" s="15"/>
      <c r="Y744" s="15"/>
      <c r="Z744" s="15"/>
      <c r="AA744" s="15"/>
      <c r="AB744" s="15" t="s">
        <v>328</v>
      </c>
      <c r="AC744" s="15"/>
      <c r="AD744" s="15" t="s">
        <v>328</v>
      </c>
      <c r="AE744" s="15"/>
      <c r="AF744" s="15"/>
      <c r="AG744" s="15"/>
      <c r="AH744" s="15"/>
      <c r="AI744" s="15"/>
      <c r="AJ744" s="15"/>
      <c r="AK744" s="15"/>
      <c r="AL744" s="15"/>
      <c r="AM744" s="15"/>
      <c r="AN744" s="16">
        <v>36000</v>
      </c>
      <c r="AO744" s="16">
        <v>36000</v>
      </c>
      <c r="AP744" s="16">
        <v>90000</v>
      </c>
      <c r="AQ744" s="16">
        <v>150000</v>
      </c>
      <c r="AR744" s="16">
        <v>36000</v>
      </c>
      <c r="AS744" s="22">
        <v>0</v>
      </c>
      <c r="AT744" s="22">
        <v>0</v>
      </c>
      <c r="AU744" s="22">
        <v>60000</v>
      </c>
      <c r="AV744" s="22">
        <v>48000</v>
      </c>
      <c r="AW744" s="22">
        <v>0</v>
      </c>
      <c r="AX744" s="66">
        <v>0</v>
      </c>
      <c r="AY744" s="17" t="s">
        <v>708</v>
      </c>
      <c r="AZ744" s="15" t="s">
        <v>561</v>
      </c>
      <c r="BA744" s="249">
        <f t="shared" si="23"/>
        <v>2</v>
      </c>
      <c r="BB744" s="249">
        <v>0</v>
      </c>
      <c r="BC744" s="249">
        <f t="shared" si="22"/>
        <v>1997</v>
      </c>
    </row>
    <row r="745" spans="1:55" x14ac:dyDescent="0.25">
      <c r="A745" s="51" t="s">
        <v>1442</v>
      </c>
      <c r="B745" s="63" t="s">
        <v>1460</v>
      </c>
      <c r="C745" s="14" t="s">
        <v>351</v>
      </c>
      <c r="D745" s="15">
        <v>1990</v>
      </c>
      <c r="E745" s="15" t="s">
        <v>477</v>
      </c>
      <c r="F745" s="15"/>
      <c r="G745" s="15"/>
      <c r="H745" s="15"/>
      <c r="I745" s="15"/>
      <c r="J745" s="16">
        <v>2592000</v>
      </c>
      <c r="K745" s="15"/>
      <c r="L745" s="15"/>
      <c r="M745" s="15" t="s">
        <v>328</v>
      </c>
      <c r="N745" s="16">
        <v>9000</v>
      </c>
      <c r="O745" s="21">
        <v>0.5</v>
      </c>
      <c r="P745" s="15">
        <v>2</v>
      </c>
      <c r="Q745" s="15">
        <v>450</v>
      </c>
      <c r="R745" s="16">
        <v>1400</v>
      </c>
      <c r="S745" s="15" t="s">
        <v>340</v>
      </c>
      <c r="T745" s="15">
        <v>3.1</v>
      </c>
      <c r="U745" s="15">
        <v>3.4</v>
      </c>
      <c r="V745" s="25">
        <v>2500</v>
      </c>
      <c r="W745" s="22">
        <v>35500</v>
      </c>
      <c r="X745" s="15"/>
      <c r="Y745" s="15"/>
      <c r="Z745" s="15"/>
      <c r="AA745" s="15"/>
      <c r="AB745" s="15" t="s">
        <v>328</v>
      </c>
      <c r="AC745" s="15"/>
      <c r="AD745" s="15" t="s">
        <v>332</v>
      </c>
      <c r="AE745" s="15"/>
      <c r="AF745" s="15"/>
      <c r="AG745" s="15"/>
      <c r="AH745" s="15"/>
      <c r="AI745" s="15"/>
      <c r="AJ745" s="15"/>
      <c r="AK745" s="15"/>
      <c r="AL745" s="15"/>
      <c r="AM745" s="15"/>
      <c r="AN745" s="16">
        <v>24000</v>
      </c>
      <c r="AO745" s="16">
        <v>60000</v>
      </c>
      <c r="AP745" s="16">
        <v>60000</v>
      </c>
      <c r="AQ745" s="16">
        <v>120000</v>
      </c>
      <c r="AR745" s="16">
        <v>24000</v>
      </c>
      <c r="AS745" s="22">
        <v>0</v>
      </c>
      <c r="AT745" s="22">
        <v>0</v>
      </c>
      <c r="AU745" s="22">
        <v>50000</v>
      </c>
      <c r="AV745" s="22">
        <v>20000</v>
      </c>
      <c r="AW745" s="22">
        <v>0</v>
      </c>
      <c r="AX745" s="66">
        <v>0</v>
      </c>
      <c r="AY745" s="17" t="s">
        <v>706</v>
      </c>
      <c r="AZ745" s="15" t="s">
        <v>351</v>
      </c>
      <c r="BA745" s="249">
        <f t="shared" si="23"/>
        <v>1</v>
      </c>
      <c r="BB745" s="249">
        <v>0</v>
      </c>
      <c r="BC745" s="249">
        <f t="shared" si="22"/>
        <v>1990</v>
      </c>
    </row>
    <row r="746" spans="1:55" x14ac:dyDescent="0.25">
      <c r="A746" s="51" t="s">
        <v>1442</v>
      </c>
      <c r="B746" s="63" t="s">
        <v>1461</v>
      </c>
      <c r="C746" s="14" t="s">
        <v>351</v>
      </c>
      <c r="D746" s="15">
        <v>2000</v>
      </c>
      <c r="E746" s="15" t="s">
        <v>407</v>
      </c>
      <c r="F746" s="15"/>
      <c r="G746" s="15"/>
      <c r="H746" s="15"/>
      <c r="I746" s="15"/>
      <c r="J746" s="16">
        <v>978613</v>
      </c>
      <c r="K746" s="15"/>
      <c r="L746" s="15" t="s">
        <v>328</v>
      </c>
      <c r="M746" s="15"/>
      <c r="N746" s="16">
        <v>7000</v>
      </c>
      <c r="O746" s="21">
        <v>0.1</v>
      </c>
      <c r="P746" s="15">
        <v>2</v>
      </c>
      <c r="Q746" s="15">
        <v>800</v>
      </c>
      <c r="R746" s="16">
        <v>2400</v>
      </c>
      <c r="S746" s="15" t="s">
        <v>340</v>
      </c>
      <c r="T746" s="15">
        <v>3.1</v>
      </c>
      <c r="U746" s="15">
        <v>3.4</v>
      </c>
      <c r="V746" s="25">
        <v>2000</v>
      </c>
      <c r="W746" s="22">
        <v>27500</v>
      </c>
      <c r="X746" s="15"/>
      <c r="Y746" s="15"/>
      <c r="Z746" s="15"/>
      <c r="AA746" s="15"/>
      <c r="AB746" s="15" t="s">
        <v>328</v>
      </c>
      <c r="AC746" s="15"/>
      <c r="AD746" s="15" t="s">
        <v>328</v>
      </c>
      <c r="AE746" s="15"/>
      <c r="AF746" s="15"/>
      <c r="AG746" s="15"/>
      <c r="AH746" s="15"/>
      <c r="AI746" s="15"/>
      <c r="AJ746" s="15"/>
      <c r="AK746" s="15"/>
      <c r="AL746" s="15"/>
      <c r="AM746" s="15"/>
      <c r="AN746" s="16">
        <v>20000</v>
      </c>
      <c r="AO746" s="16">
        <v>60000</v>
      </c>
      <c r="AP746" s="16">
        <v>160000</v>
      </c>
      <c r="AQ746" s="16">
        <v>120000</v>
      </c>
      <c r="AR746" s="16">
        <v>60000</v>
      </c>
      <c r="AS746" s="22">
        <v>0</v>
      </c>
      <c r="AT746" s="22">
        <v>0</v>
      </c>
      <c r="AU746" s="22">
        <v>50000</v>
      </c>
      <c r="AV746" s="22">
        <v>20000</v>
      </c>
      <c r="AW746" s="22">
        <v>0</v>
      </c>
      <c r="AX746" s="66">
        <v>0</v>
      </c>
      <c r="AY746" s="17" t="s">
        <v>1147</v>
      </c>
      <c r="AZ746" s="15" t="s">
        <v>351</v>
      </c>
      <c r="BA746" s="249">
        <f t="shared" si="23"/>
        <v>1</v>
      </c>
      <c r="BB746" s="249">
        <v>0</v>
      </c>
      <c r="BC746" s="249">
        <f t="shared" si="22"/>
        <v>2000</v>
      </c>
    </row>
    <row r="747" spans="1:55" x14ac:dyDescent="0.25">
      <c r="A747" s="51" t="s">
        <v>1442</v>
      </c>
      <c r="B747" s="63" t="s">
        <v>1462</v>
      </c>
      <c r="C747" s="15" t="s">
        <v>337</v>
      </c>
      <c r="D747" s="15">
        <v>1998</v>
      </c>
      <c r="E747" s="15" t="s">
        <v>475</v>
      </c>
      <c r="F747" s="15"/>
      <c r="G747" s="15"/>
      <c r="H747" s="15"/>
      <c r="I747" s="15"/>
      <c r="J747" s="16">
        <v>1436501</v>
      </c>
      <c r="K747" s="15"/>
      <c r="L747" s="15"/>
      <c r="M747" s="15" t="s">
        <v>328</v>
      </c>
      <c r="N747" s="16">
        <v>9000</v>
      </c>
      <c r="O747" s="21">
        <v>0.1</v>
      </c>
      <c r="P747" s="15">
        <v>2</v>
      </c>
      <c r="Q747" s="15">
        <v>900</v>
      </c>
      <c r="R747" s="16">
        <v>2200</v>
      </c>
      <c r="S747" s="15" t="s">
        <v>340</v>
      </c>
      <c r="T747" s="15">
        <v>2.5</v>
      </c>
      <c r="U747" s="15">
        <v>2.7</v>
      </c>
      <c r="V747" s="25">
        <v>3200</v>
      </c>
      <c r="W747" s="22">
        <v>45000</v>
      </c>
      <c r="X747" s="15"/>
      <c r="Y747" s="15"/>
      <c r="Z747" s="15"/>
      <c r="AA747" s="15"/>
      <c r="AB747" s="15" t="s">
        <v>328</v>
      </c>
      <c r="AC747" s="15"/>
      <c r="AD747" s="15" t="s">
        <v>328</v>
      </c>
      <c r="AE747" s="15"/>
      <c r="AF747" s="15"/>
      <c r="AG747" s="15"/>
      <c r="AH747" s="15"/>
      <c r="AI747" s="15"/>
      <c r="AJ747" s="15"/>
      <c r="AK747" s="15"/>
      <c r="AL747" s="15"/>
      <c r="AM747" s="15"/>
      <c r="AN747" s="16">
        <v>18000</v>
      </c>
      <c r="AO747" s="16">
        <v>36000</v>
      </c>
      <c r="AP747" s="16">
        <v>120000</v>
      </c>
      <c r="AQ747" s="16">
        <v>120000</v>
      </c>
      <c r="AR747" s="16">
        <v>36000</v>
      </c>
      <c r="AS747" s="22">
        <v>162000</v>
      </c>
      <c r="AT747" s="22">
        <v>0</v>
      </c>
      <c r="AU747" s="22">
        <v>78000</v>
      </c>
      <c r="AV747" s="22">
        <v>66000</v>
      </c>
      <c r="AW747" s="22">
        <v>21600</v>
      </c>
      <c r="AX747" s="66">
        <v>0</v>
      </c>
      <c r="AY747" s="17" t="s">
        <v>1531</v>
      </c>
      <c r="AZ747" s="15" t="s">
        <v>562</v>
      </c>
      <c r="BA747" s="249">
        <f t="shared" si="23"/>
        <v>2</v>
      </c>
      <c r="BB747" s="249">
        <v>0</v>
      </c>
      <c r="BC747" s="249">
        <f t="shared" si="22"/>
        <v>1998</v>
      </c>
    </row>
    <row r="748" spans="1:55" x14ac:dyDescent="0.25">
      <c r="A748" s="51" t="s">
        <v>1442</v>
      </c>
      <c r="B748" s="63" t="s">
        <v>1462</v>
      </c>
      <c r="C748" s="15" t="s">
        <v>337</v>
      </c>
      <c r="D748" s="15">
        <v>2001</v>
      </c>
      <c r="E748" s="15" t="s">
        <v>475</v>
      </c>
      <c r="F748" s="15"/>
      <c r="G748" s="15"/>
      <c r="H748" s="15"/>
      <c r="I748" s="15"/>
      <c r="J748" s="16">
        <v>971800</v>
      </c>
      <c r="K748" s="15"/>
      <c r="L748" s="15"/>
      <c r="M748" s="15" t="s">
        <v>328</v>
      </c>
      <c r="N748" s="16">
        <v>9000</v>
      </c>
      <c r="O748" s="21">
        <v>0.1</v>
      </c>
      <c r="P748" s="15">
        <v>2</v>
      </c>
      <c r="Q748" s="15">
        <v>900</v>
      </c>
      <c r="R748" s="16">
        <v>2200</v>
      </c>
      <c r="S748" s="15" t="s">
        <v>340</v>
      </c>
      <c r="T748" s="15">
        <v>2.5</v>
      </c>
      <c r="U748" s="15">
        <v>2.7</v>
      </c>
      <c r="V748" s="25">
        <v>3200</v>
      </c>
      <c r="W748" s="22">
        <v>45000</v>
      </c>
      <c r="X748" s="15"/>
      <c r="Y748" s="15"/>
      <c r="Z748" s="15"/>
      <c r="AA748" s="15"/>
      <c r="AB748" s="15" t="s">
        <v>328</v>
      </c>
      <c r="AC748" s="15"/>
      <c r="AD748" s="15" t="s">
        <v>328</v>
      </c>
      <c r="AE748" s="15"/>
      <c r="AF748" s="15"/>
      <c r="AG748" s="15"/>
      <c r="AH748" s="15"/>
      <c r="AI748" s="15"/>
      <c r="AJ748" s="15"/>
      <c r="AK748" s="15"/>
      <c r="AL748" s="15"/>
      <c r="AM748" s="15"/>
      <c r="AN748" s="16">
        <v>18000</v>
      </c>
      <c r="AO748" s="16">
        <v>36000</v>
      </c>
      <c r="AP748" s="16">
        <v>120000</v>
      </c>
      <c r="AQ748" s="16">
        <v>120000</v>
      </c>
      <c r="AR748" s="16">
        <v>36000</v>
      </c>
      <c r="AS748" s="22">
        <v>0</v>
      </c>
      <c r="AT748" s="22">
        <v>0</v>
      </c>
      <c r="AU748" s="22">
        <v>78000</v>
      </c>
      <c r="AV748" s="22">
        <v>48000</v>
      </c>
      <c r="AW748" s="22">
        <v>24000</v>
      </c>
      <c r="AX748" s="66">
        <v>0</v>
      </c>
      <c r="AY748" s="17" t="s">
        <v>1531</v>
      </c>
      <c r="AZ748" s="15" t="s">
        <v>562</v>
      </c>
      <c r="BA748" s="249">
        <f t="shared" si="23"/>
        <v>2</v>
      </c>
      <c r="BB748" s="249">
        <v>0</v>
      </c>
      <c r="BC748" s="249">
        <f t="shared" si="22"/>
        <v>2001</v>
      </c>
    </row>
    <row r="749" spans="1:55" x14ac:dyDescent="0.25">
      <c r="A749" s="51" t="s">
        <v>1442</v>
      </c>
      <c r="B749" s="63" t="s">
        <v>1465</v>
      </c>
      <c r="C749" s="15" t="s">
        <v>348</v>
      </c>
      <c r="D749" s="15">
        <v>2001</v>
      </c>
      <c r="E749" s="15" t="s">
        <v>349</v>
      </c>
      <c r="F749" s="15"/>
      <c r="G749" s="15"/>
      <c r="H749" s="15"/>
      <c r="I749" s="15"/>
      <c r="J749" s="16">
        <v>1248000</v>
      </c>
      <c r="K749" s="15"/>
      <c r="L749" s="15" t="s">
        <v>328</v>
      </c>
      <c r="M749" s="15"/>
      <c r="N749" s="16">
        <v>8000</v>
      </c>
      <c r="O749" s="21">
        <v>0.2</v>
      </c>
      <c r="P749" s="15">
        <v>2</v>
      </c>
      <c r="Q749" s="15">
        <v>500</v>
      </c>
      <c r="R749" s="16">
        <v>2000</v>
      </c>
      <c r="S749" s="15" t="s">
        <v>340</v>
      </c>
      <c r="T749" s="15">
        <v>3.9</v>
      </c>
      <c r="U749" s="15">
        <v>4.2</v>
      </c>
      <c r="V749" s="25">
        <v>1800</v>
      </c>
      <c r="W749" s="22">
        <v>25000</v>
      </c>
      <c r="X749" s="15"/>
      <c r="Y749" s="15"/>
      <c r="Z749" s="15"/>
      <c r="AA749" s="15"/>
      <c r="AB749" s="15" t="s">
        <v>328</v>
      </c>
      <c r="AC749" s="15"/>
      <c r="AD749" s="15" t="s">
        <v>328</v>
      </c>
      <c r="AE749" s="15"/>
      <c r="AF749" s="15"/>
      <c r="AG749" s="15"/>
      <c r="AH749" s="15"/>
      <c r="AI749" s="15"/>
      <c r="AJ749" s="15"/>
      <c r="AK749" s="15"/>
      <c r="AL749" s="15" t="s">
        <v>328</v>
      </c>
      <c r="AM749" s="15"/>
      <c r="AN749" s="16">
        <v>25000</v>
      </c>
      <c r="AO749" s="16">
        <v>50000</v>
      </c>
      <c r="AP749" s="16">
        <v>150000</v>
      </c>
      <c r="AQ749" s="16">
        <v>150000</v>
      </c>
      <c r="AR749" s="16">
        <v>50000</v>
      </c>
      <c r="AS749" s="22">
        <v>144000</v>
      </c>
      <c r="AT749" s="22">
        <v>0</v>
      </c>
      <c r="AU749" s="22">
        <v>20000</v>
      </c>
      <c r="AV749" s="22">
        <v>10000</v>
      </c>
      <c r="AW749" s="22">
        <v>17000</v>
      </c>
      <c r="AX749" s="66">
        <v>0</v>
      </c>
      <c r="AY749" s="17" t="s">
        <v>701</v>
      </c>
      <c r="AZ749" s="15" t="s">
        <v>348</v>
      </c>
      <c r="BA749" s="249">
        <f t="shared" si="23"/>
        <v>3</v>
      </c>
      <c r="BB749" s="249">
        <v>0</v>
      </c>
      <c r="BC749" s="249">
        <f t="shared" si="22"/>
        <v>2001</v>
      </c>
    </row>
    <row r="750" spans="1:55" x14ac:dyDescent="0.25">
      <c r="A750" s="51" t="s">
        <v>1442</v>
      </c>
      <c r="B750" s="63" t="s">
        <v>1465</v>
      </c>
      <c r="C750" s="15" t="s">
        <v>348</v>
      </c>
      <c r="D750" s="15">
        <v>2003</v>
      </c>
      <c r="E750" s="15" t="s">
        <v>349</v>
      </c>
      <c r="F750" s="15"/>
      <c r="G750" s="15"/>
      <c r="H750" s="15"/>
      <c r="I750" s="15"/>
      <c r="J750" s="16">
        <v>1056000</v>
      </c>
      <c r="K750" s="15"/>
      <c r="L750" s="15" t="s">
        <v>328</v>
      </c>
      <c r="M750" s="15"/>
      <c r="N750" s="16">
        <v>8000</v>
      </c>
      <c r="O750" s="21">
        <v>0.2</v>
      </c>
      <c r="P750" s="15">
        <v>2</v>
      </c>
      <c r="Q750" s="15">
        <v>500</v>
      </c>
      <c r="R750" s="16">
        <v>2000</v>
      </c>
      <c r="S750" s="15" t="s">
        <v>340</v>
      </c>
      <c r="T750" s="15">
        <v>3.9</v>
      </c>
      <c r="U750" s="15">
        <v>4.2</v>
      </c>
      <c r="V750" s="25">
        <v>1800</v>
      </c>
      <c r="W750" s="22">
        <v>25000</v>
      </c>
      <c r="X750" s="15"/>
      <c r="Y750" s="15"/>
      <c r="Z750" s="15"/>
      <c r="AA750" s="15"/>
      <c r="AB750" s="15" t="s">
        <v>328</v>
      </c>
      <c r="AC750" s="15"/>
      <c r="AD750" s="15" t="s">
        <v>328</v>
      </c>
      <c r="AE750" s="15"/>
      <c r="AF750" s="15"/>
      <c r="AG750" s="15"/>
      <c r="AH750" s="15"/>
      <c r="AI750" s="15"/>
      <c r="AJ750" s="15"/>
      <c r="AK750" s="15"/>
      <c r="AL750" s="15" t="s">
        <v>328</v>
      </c>
      <c r="AM750" s="15"/>
      <c r="AN750" s="16">
        <v>25000</v>
      </c>
      <c r="AO750" s="16">
        <v>50000</v>
      </c>
      <c r="AP750" s="16">
        <v>150000</v>
      </c>
      <c r="AQ750" s="16">
        <v>150000</v>
      </c>
      <c r="AR750" s="16">
        <v>50000</v>
      </c>
      <c r="AS750" s="22">
        <v>144000</v>
      </c>
      <c r="AT750" s="22">
        <v>0</v>
      </c>
      <c r="AU750" s="22">
        <v>20000</v>
      </c>
      <c r="AV750" s="22">
        <v>10000</v>
      </c>
      <c r="AW750" s="22">
        <v>17000</v>
      </c>
      <c r="AX750" s="66">
        <v>0</v>
      </c>
      <c r="AY750" s="17" t="s">
        <v>701</v>
      </c>
      <c r="AZ750" s="15" t="s">
        <v>348</v>
      </c>
      <c r="BA750" s="249">
        <f t="shared" si="23"/>
        <v>3</v>
      </c>
      <c r="BB750" s="249">
        <v>0</v>
      </c>
      <c r="BC750" s="249">
        <f t="shared" si="22"/>
        <v>2003</v>
      </c>
    </row>
    <row r="751" spans="1:55" x14ac:dyDescent="0.25">
      <c r="A751" s="51" t="s">
        <v>1442</v>
      </c>
      <c r="B751" s="63" t="s">
        <v>1465</v>
      </c>
      <c r="C751" s="15" t="s">
        <v>348</v>
      </c>
      <c r="D751" s="15">
        <v>2003</v>
      </c>
      <c r="E751" s="15" t="s">
        <v>349</v>
      </c>
      <c r="F751" s="15"/>
      <c r="G751" s="15"/>
      <c r="H751" s="15"/>
      <c r="I751" s="15"/>
      <c r="J751" s="16">
        <v>1056000</v>
      </c>
      <c r="K751" s="15"/>
      <c r="L751" s="15" t="s">
        <v>328</v>
      </c>
      <c r="M751" s="15"/>
      <c r="N751" s="16">
        <v>8000</v>
      </c>
      <c r="O751" s="21">
        <v>0.2</v>
      </c>
      <c r="P751" s="15">
        <v>2</v>
      </c>
      <c r="Q751" s="15">
        <v>500</v>
      </c>
      <c r="R751" s="16">
        <v>2000</v>
      </c>
      <c r="S751" s="15" t="s">
        <v>340</v>
      </c>
      <c r="T751" s="15">
        <v>3.9</v>
      </c>
      <c r="U751" s="15">
        <v>4.2</v>
      </c>
      <c r="V751" s="25">
        <v>1800</v>
      </c>
      <c r="W751" s="22">
        <v>25000</v>
      </c>
      <c r="X751" s="15"/>
      <c r="Y751" s="15"/>
      <c r="Z751" s="15"/>
      <c r="AA751" s="15"/>
      <c r="AB751" s="15"/>
      <c r="AC751" s="15" t="s">
        <v>328</v>
      </c>
      <c r="AD751" s="15" t="s">
        <v>328</v>
      </c>
      <c r="AE751" s="15"/>
      <c r="AF751" s="15"/>
      <c r="AG751" s="15"/>
      <c r="AH751" s="15"/>
      <c r="AI751" s="15"/>
      <c r="AJ751" s="15"/>
      <c r="AK751" s="15"/>
      <c r="AL751" s="15" t="s">
        <v>328</v>
      </c>
      <c r="AM751" s="15"/>
      <c r="AN751" s="16">
        <v>25000</v>
      </c>
      <c r="AO751" s="16">
        <v>50000</v>
      </c>
      <c r="AP751" s="16">
        <v>150000</v>
      </c>
      <c r="AQ751" s="16">
        <v>150000</v>
      </c>
      <c r="AR751" s="16">
        <v>50000</v>
      </c>
      <c r="AS751" s="22">
        <v>144000</v>
      </c>
      <c r="AT751" s="22">
        <v>0</v>
      </c>
      <c r="AU751" s="22">
        <v>20000</v>
      </c>
      <c r="AV751" s="22">
        <v>10000</v>
      </c>
      <c r="AW751" s="22">
        <v>17000</v>
      </c>
      <c r="AX751" s="66">
        <v>0</v>
      </c>
      <c r="AY751" s="17" t="s">
        <v>701</v>
      </c>
      <c r="AZ751" s="15" t="s">
        <v>348</v>
      </c>
      <c r="BA751" s="249">
        <f t="shared" si="23"/>
        <v>3</v>
      </c>
      <c r="BB751" s="249">
        <v>0</v>
      </c>
      <c r="BC751" s="249">
        <f t="shared" si="22"/>
        <v>2003</v>
      </c>
    </row>
    <row r="752" spans="1:55" x14ac:dyDescent="0.25">
      <c r="A752" s="51" t="s">
        <v>1442</v>
      </c>
      <c r="B752" s="63" t="s">
        <v>1466</v>
      </c>
      <c r="C752" s="15" t="s">
        <v>337</v>
      </c>
      <c r="D752" s="15">
        <v>2004</v>
      </c>
      <c r="E752" s="15" t="s">
        <v>475</v>
      </c>
      <c r="F752" s="15"/>
      <c r="G752" s="15"/>
      <c r="H752" s="15"/>
      <c r="I752" s="15"/>
      <c r="J752" s="16">
        <v>465922</v>
      </c>
      <c r="K752" s="15" t="s">
        <v>328</v>
      </c>
      <c r="L752" s="15"/>
      <c r="M752" s="15"/>
      <c r="N752" s="16">
        <v>4166.666666666667</v>
      </c>
      <c r="O752" s="21">
        <v>0.5</v>
      </c>
      <c r="P752" s="15">
        <v>2</v>
      </c>
      <c r="Q752" s="15">
        <v>480</v>
      </c>
      <c r="R752" s="16">
        <v>2000</v>
      </c>
      <c r="S752" s="15" t="s">
        <v>340</v>
      </c>
      <c r="T752" s="15">
        <v>2.2000000000000002</v>
      </c>
      <c r="U752" s="15">
        <v>2.7</v>
      </c>
      <c r="V752" s="25">
        <v>1400</v>
      </c>
      <c r="W752" s="22">
        <v>20000</v>
      </c>
      <c r="X752" s="15"/>
      <c r="Y752" s="15"/>
      <c r="Z752" s="15"/>
      <c r="AA752" s="15"/>
      <c r="AB752" s="15" t="s">
        <v>328</v>
      </c>
      <c r="AC752" s="15"/>
      <c r="AD752" s="15" t="s">
        <v>328</v>
      </c>
      <c r="AE752" s="15"/>
      <c r="AF752" s="15"/>
      <c r="AG752" s="15"/>
      <c r="AH752" s="15"/>
      <c r="AI752" s="15"/>
      <c r="AJ752" s="15"/>
      <c r="AK752" s="15"/>
      <c r="AL752" s="15" t="s">
        <v>328</v>
      </c>
      <c r="AM752" s="15"/>
      <c r="AN752" s="16">
        <v>18000</v>
      </c>
      <c r="AO752" s="16">
        <v>50000</v>
      </c>
      <c r="AP752" s="16">
        <v>200000</v>
      </c>
      <c r="AQ752" s="16">
        <v>100000</v>
      </c>
      <c r="AR752" s="16">
        <v>50000</v>
      </c>
      <c r="AS752" s="22">
        <v>150000</v>
      </c>
      <c r="AT752" s="22">
        <v>72000</v>
      </c>
      <c r="AU752" s="22">
        <v>50000</v>
      </c>
      <c r="AV752" s="22">
        <v>20000</v>
      </c>
      <c r="AW752" s="22">
        <v>40000</v>
      </c>
      <c r="AX752" s="66">
        <v>0</v>
      </c>
      <c r="AY752" s="17" t="s">
        <v>1531</v>
      </c>
      <c r="AZ752" s="15" t="s">
        <v>562</v>
      </c>
      <c r="BA752" s="249">
        <f t="shared" si="23"/>
        <v>3</v>
      </c>
      <c r="BB752" s="249">
        <v>0</v>
      </c>
      <c r="BC752" s="249">
        <f t="shared" si="22"/>
        <v>2004</v>
      </c>
    </row>
    <row r="753" spans="1:55" x14ac:dyDescent="0.25">
      <c r="A753" s="51" t="s">
        <v>1442</v>
      </c>
      <c r="B753" s="63" t="s">
        <v>1466</v>
      </c>
      <c r="C753" s="15" t="s">
        <v>337</v>
      </c>
      <c r="D753" s="15">
        <v>2004</v>
      </c>
      <c r="E753" s="15" t="s">
        <v>475</v>
      </c>
      <c r="F753" s="15"/>
      <c r="G753" s="15"/>
      <c r="H753" s="15"/>
      <c r="I753" s="15"/>
      <c r="J753" s="16">
        <v>396710</v>
      </c>
      <c r="K753" s="15" t="s">
        <v>328</v>
      </c>
      <c r="L753" s="15"/>
      <c r="M753" s="15"/>
      <c r="N753" s="16">
        <v>4166.666666666667</v>
      </c>
      <c r="O753" s="21">
        <v>0.5</v>
      </c>
      <c r="P753" s="15">
        <v>2</v>
      </c>
      <c r="Q753" s="15">
        <v>454</v>
      </c>
      <c r="R753" s="16">
        <v>2000</v>
      </c>
      <c r="S753" s="15" t="s">
        <v>340</v>
      </c>
      <c r="T753" s="15">
        <v>2.2000000000000002</v>
      </c>
      <c r="U753" s="15">
        <v>2.7</v>
      </c>
      <c r="V753" s="25">
        <v>1400</v>
      </c>
      <c r="W753" s="22">
        <v>20000</v>
      </c>
      <c r="X753" s="15"/>
      <c r="Y753" s="15"/>
      <c r="Z753" s="15"/>
      <c r="AA753" s="15"/>
      <c r="AB753" s="15" t="s">
        <v>328</v>
      </c>
      <c r="AC753" s="15"/>
      <c r="AD753" s="15" t="s">
        <v>328</v>
      </c>
      <c r="AE753" s="15"/>
      <c r="AF753" s="15"/>
      <c r="AG753" s="15"/>
      <c r="AH753" s="15"/>
      <c r="AI753" s="15"/>
      <c r="AJ753" s="15"/>
      <c r="AK753" s="15"/>
      <c r="AL753" s="15" t="s">
        <v>328</v>
      </c>
      <c r="AM753" s="15"/>
      <c r="AN753" s="16">
        <v>18000</v>
      </c>
      <c r="AO753" s="16">
        <v>50000</v>
      </c>
      <c r="AP753" s="16">
        <v>200000</v>
      </c>
      <c r="AQ753" s="16">
        <v>100000</v>
      </c>
      <c r="AR753" s="16">
        <v>50000</v>
      </c>
      <c r="AS753" s="22">
        <v>150000</v>
      </c>
      <c r="AT753" s="22">
        <v>72000</v>
      </c>
      <c r="AU753" s="22">
        <v>50000</v>
      </c>
      <c r="AV753" s="22">
        <v>20000</v>
      </c>
      <c r="AW753" s="22">
        <v>40000</v>
      </c>
      <c r="AX753" s="66">
        <v>0</v>
      </c>
      <c r="AY753" s="17" t="s">
        <v>1531</v>
      </c>
      <c r="AZ753" s="15" t="s">
        <v>562</v>
      </c>
      <c r="BA753" s="249">
        <f t="shared" si="23"/>
        <v>3</v>
      </c>
      <c r="BB753" s="249">
        <v>0</v>
      </c>
      <c r="BC753" s="249">
        <f t="shared" si="22"/>
        <v>2004</v>
      </c>
    </row>
    <row r="754" spans="1:55" x14ac:dyDescent="0.25">
      <c r="A754" s="51" t="s">
        <v>1442</v>
      </c>
      <c r="B754" s="63" t="s">
        <v>1466</v>
      </c>
      <c r="C754" s="15" t="s">
        <v>337</v>
      </c>
      <c r="D754" s="15">
        <v>2007</v>
      </c>
      <c r="E754" s="15" t="s">
        <v>475</v>
      </c>
      <c r="F754" s="15"/>
      <c r="G754" s="15"/>
      <c r="H754" s="15"/>
      <c r="I754" s="15"/>
      <c r="J754" s="16">
        <v>317829</v>
      </c>
      <c r="K754" s="15" t="s">
        <v>328</v>
      </c>
      <c r="L754" s="15"/>
      <c r="M754" s="15"/>
      <c r="N754" s="16">
        <v>4166.666666666667</v>
      </c>
      <c r="O754" s="21">
        <v>0.5</v>
      </c>
      <c r="P754" s="15">
        <v>2</v>
      </c>
      <c r="Q754" s="15">
        <v>470</v>
      </c>
      <c r="R754" s="16">
        <v>2000</v>
      </c>
      <c r="S754" s="15" t="s">
        <v>340</v>
      </c>
      <c r="T754" s="15">
        <v>2.2000000000000002</v>
      </c>
      <c r="U754" s="15">
        <v>2.7</v>
      </c>
      <c r="V754" s="25">
        <v>1400</v>
      </c>
      <c r="W754" s="22">
        <v>20000</v>
      </c>
      <c r="X754" s="15"/>
      <c r="Y754" s="15"/>
      <c r="Z754" s="15"/>
      <c r="AA754" s="15"/>
      <c r="AB754" s="15" t="s">
        <v>328</v>
      </c>
      <c r="AC754" s="15"/>
      <c r="AD754" s="15" t="s">
        <v>328</v>
      </c>
      <c r="AE754" s="15"/>
      <c r="AF754" s="15" t="s">
        <v>328</v>
      </c>
      <c r="AG754" s="15"/>
      <c r="AH754" s="15"/>
      <c r="AI754" s="15"/>
      <c r="AJ754" s="15"/>
      <c r="AK754" s="15"/>
      <c r="AL754" s="15" t="s">
        <v>328</v>
      </c>
      <c r="AM754" s="15"/>
      <c r="AN754" s="16">
        <v>18000</v>
      </c>
      <c r="AO754" s="16">
        <v>50000</v>
      </c>
      <c r="AP754" s="16">
        <v>200000</v>
      </c>
      <c r="AQ754" s="16">
        <v>100000</v>
      </c>
      <c r="AR754" s="16">
        <v>50000</v>
      </c>
      <c r="AS754" s="22">
        <v>150000</v>
      </c>
      <c r="AT754" s="22">
        <v>72000</v>
      </c>
      <c r="AU754" s="22">
        <v>50000</v>
      </c>
      <c r="AV754" s="22">
        <v>20000</v>
      </c>
      <c r="AW754" s="22">
        <v>40000</v>
      </c>
      <c r="AX754" s="66">
        <v>0</v>
      </c>
      <c r="AY754" s="17" t="s">
        <v>1531</v>
      </c>
      <c r="AZ754" s="15" t="s">
        <v>561</v>
      </c>
      <c r="BA754" s="249">
        <f t="shared" si="23"/>
        <v>3</v>
      </c>
      <c r="BB754" s="249">
        <v>0</v>
      </c>
      <c r="BC754" s="249">
        <f t="shared" si="22"/>
        <v>2007</v>
      </c>
    </row>
    <row r="755" spans="1:55" x14ac:dyDescent="0.25">
      <c r="A755" s="51" t="s">
        <v>1442</v>
      </c>
      <c r="B755" s="63" t="s">
        <v>1470</v>
      </c>
      <c r="C755" s="15" t="s">
        <v>348</v>
      </c>
      <c r="D755" s="15">
        <v>1995</v>
      </c>
      <c r="E755" s="15" t="s">
        <v>477</v>
      </c>
      <c r="F755" s="15"/>
      <c r="G755" s="15"/>
      <c r="H755" s="15"/>
      <c r="I755" s="15"/>
      <c r="J755" s="16">
        <v>1094400</v>
      </c>
      <c r="K755" s="15"/>
      <c r="L755" s="15"/>
      <c r="M755" s="15" t="s">
        <v>328</v>
      </c>
      <c r="N755" s="16">
        <v>4800</v>
      </c>
      <c r="O755" s="21">
        <v>0.5</v>
      </c>
      <c r="P755" s="15">
        <v>1</v>
      </c>
      <c r="Q755" s="15">
        <v>400</v>
      </c>
      <c r="R755" s="16">
        <v>1600</v>
      </c>
      <c r="S755" s="15" t="s">
        <v>340</v>
      </c>
      <c r="T755" s="15">
        <v>3.9</v>
      </c>
      <c r="U755" s="15">
        <v>4.5</v>
      </c>
      <c r="V755" s="25">
        <v>1000</v>
      </c>
      <c r="W755" s="22">
        <v>15000</v>
      </c>
      <c r="X755" s="15"/>
      <c r="Y755" s="15" t="s">
        <v>328</v>
      </c>
      <c r="Z755" s="15"/>
      <c r="AA755" s="15"/>
      <c r="AB755" s="15"/>
      <c r="AC755" s="15"/>
      <c r="AD755" s="15" t="s">
        <v>332</v>
      </c>
      <c r="AE755" s="15"/>
      <c r="AF755" s="15"/>
      <c r="AG755" s="15"/>
      <c r="AH755" s="15"/>
      <c r="AI755" s="15"/>
      <c r="AJ755" s="15"/>
      <c r="AK755" s="15"/>
      <c r="AL755" s="15"/>
      <c r="AM755" s="15"/>
      <c r="AN755" s="16">
        <v>30000</v>
      </c>
      <c r="AO755" s="16">
        <v>60000</v>
      </c>
      <c r="AP755" s="16" t="s">
        <v>480</v>
      </c>
      <c r="AQ755" s="16" t="s">
        <v>480</v>
      </c>
      <c r="AR755" s="16" t="s">
        <v>480</v>
      </c>
      <c r="AS755" s="22">
        <v>57600</v>
      </c>
      <c r="AT755" s="22">
        <v>0</v>
      </c>
      <c r="AU755" s="22">
        <v>32400</v>
      </c>
      <c r="AV755" s="22">
        <v>18000</v>
      </c>
      <c r="AW755" s="22">
        <v>0</v>
      </c>
      <c r="AX755" s="66">
        <v>0</v>
      </c>
      <c r="AY755" s="17" t="s">
        <v>706</v>
      </c>
      <c r="AZ755" s="15" t="s">
        <v>348</v>
      </c>
      <c r="BA755" s="249">
        <f t="shared" si="23"/>
        <v>2</v>
      </c>
      <c r="BB755" s="249">
        <v>0</v>
      </c>
      <c r="BC755" s="249">
        <f t="shared" si="22"/>
        <v>1995</v>
      </c>
    </row>
    <row r="756" spans="1:55" x14ac:dyDescent="0.25">
      <c r="A756" s="51" t="s">
        <v>1442</v>
      </c>
      <c r="B756" s="63" t="s">
        <v>1470</v>
      </c>
      <c r="C756" s="15" t="s">
        <v>348</v>
      </c>
      <c r="D756" s="15">
        <v>2001</v>
      </c>
      <c r="E756" s="15" t="s">
        <v>349</v>
      </c>
      <c r="F756" s="15"/>
      <c r="G756" s="15"/>
      <c r="H756" s="15"/>
      <c r="I756" s="15"/>
      <c r="J756" s="16">
        <v>715934</v>
      </c>
      <c r="K756" s="15"/>
      <c r="L756" s="15"/>
      <c r="M756" s="15" t="s">
        <v>328</v>
      </c>
      <c r="N756" s="16">
        <v>4800</v>
      </c>
      <c r="O756" s="21">
        <v>0.5</v>
      </c>
      <c r="P756" s="15">
        <v>1</v>
      </c>
      <c r="Q756" s="15">
        <v>450</v>
      </c>
      <c r="R756" s="16">
        <v>1800</v>
      </c>
      <c r="S756" s="15" t="s">
        <v>340</v>
      </c>
      <c r="T756" s="15">
        <v>3.9</v>
      </c>
      <c r="U756" s="15">
        <v>4.5</v>
      </c>
      <c r="V756" s="25">
        <v>10000</v>
      </c>
      <c r="W756" s="22">
        <v>15000</v>
      </c>
      <c r="X756" s="15"/>
      <c r="Y756" s="15" t="s">
        <v>328</v>
      </c>
      <c r="Z756" s="15"/>
      <c r="AA756" s="15"/>
      <c r="AB756" s="15"/>
      <c r="AC756" s="15"/>
      <c r="AD756" s="15" t="s">
        <v>332</v>
      </c>
      <c r="AE756" s="15"/>
      <c r="AF756" s="15"/>
      <c r="AG756" s="15"/>
      <c r="AH756" s="15"/>
      <c r="AI756" s="15"/>
      <c r="AJ756" s="15"/>
      <c r="AK756" s="15"/>
      <c r="AL756" s="15"/>
      <c r="AM756" s="15"/>
      <c r="AN756" s="16">
        <v>30000</v>
      </c>
      <c r="AO756" s="16">
        <v>60000</v>
      </c>
      <c r="AP756" s="16" t="s">
        <v>480</v>
      </c>
      <c r="AQ756" s="16" t="s">
        <v>480</v>
      </c>
      <c r="AR756" s="16" t="s">
        <v>480</v>
      </c>
      <c r="AS756" s="22">
        <v>0</v>
      </c>
      <c r="AT756" s="22">
        <v>0</v>
      </c>
      <c r="AU756" s="22">
        <v>32400</v>
      </c>
      <c r="AV756" s="22">
        <v>18000</v>
      </c>
      <c r="AW756" s="22">
        <v>0</v>
      </c>
      <c r="AX756" s="66">
        <v>0</v>
      </c>
      <c r="AY756" s="17" t="s">
        <v>701</v>
      </c>
      <c r="AZ756" s="15" t="s">
        <v>348</v>
      </c>
      <c r="BA756" s="249">
        <f t="shared" si="23"/>
        <v>2</v>
      </c>
      <c r="BB756" s="249">
        <v>0</v>
      </c>
      <c r="BC756" s="249">
        <f t="shared" si="22"/>
        <v>2001</v>
      </c>
    </row>
    <row r="757" spans="1:55" x14ac:dyDescent="0.25">
      <c r="A757" s="51" t="s">
        <v>1442</v>
      </c>
      <c r="B757" s="63" t="s">
        <v>1471</v>
      </c>
      <c r="C757" s="15" t="s">
        <v>348</v>
      </c>
      <c r="D757" s="15">
        <v>1984</v>
      </c>
      <c r="E757" s="15" t="s">
        <v>360</v>
      </c>
      <c r="F757" s="15"/>
      <c r="G757" s="15"/>
      <c r="H757" s="15"/>
      <c r="I757" s="15"/>
      <c r="J757" s="16">
        <v>468000</v>
      </c>
      <c r="K757" s="15"/>
      <c r="L757" s="15"/>
      <c r="M757" s="15" t="s">
        <v>328</v>
      </c>
      <c r="N757" s="16">
        <v>3000</v>
      </c>
      <c r="O757" s="21">
        <v>0.5</v>
      </c>
      <c r="P757" s="15">
        <v>1</v>
      </c>
      <c r="Q757" s="15">
        <v>350</v>
      </c>
      <c r="R757" s="16">
        <v>1700</v>
      </c>
      <c r="S757" s="15" t="s">
        <v>371</v>
      </c>
      <c r="T757" s="15">
        <v>4.5</v>
      </c>
      <c r="U757" s="15">
        <v>5</v>
      </c>
      <c r="V757" s="25">
        <v>700</v>
      </c>
      <c r="W757" s="22">
        <v>7500</v>
      </c>
      <c r="X757" s="15"/>
      <c r="Y757" s="15" t="s">
        <v>328</v>
      </c>
      <c r="Z757" s="15"/>
      <c r="AA757" s="15"/>
      <c r="AB757" s="15"/>
      <c r="AC757" s="15"/>
      <c r="AD757" s="15" t="s">
        <v>332</v>
      </c>
      <c r="AE757" s="15"/>
      <c r="AF757" s="15"/>
      <c r="AG757" s="15"/>
      <c r="AH757" s="15"/>
      <c r="AI757" s="15"/>
      <c r="AJ757" s="15"/>
      <c r="AK757" s="15"/>
      <c r="AL757" s="15"/>
      <c r="AM757" s="15"/>
      <c r="AN757" s="16">
        <v>20000</v>
      </c>
      <c r="AO757" s="16">
        <v>40000</v>
      </c>
      <c r="AP757" s="16">
        <v>85000</v>
      </c>
      <c r="AQ757" s="16">
        <v>135000</v>
      </c>
      <c r="AR757" s="16" t="s">
        <v>385</v>
      </c>
      <c r="AS757" s="22">
        <v>90000</v>
      </c>
      <c r="AT757" s="22">
        <v>48000</v>
      </c>
      <c r="AU757" s="22">
        <v>25200</v>
      </c>
      <c r="AV757" s="22">
        <v>24000</v>
      </c>
      <c r="AW757" s="22">
        <v>0</v>
      </c>
      <c r="AX757" s="66">
        <v>0</v>
      </c>
      <c r="AY757" s="17" t="s">
        <v>1133</v>
      </c>
      <c r="AZ757" s="15" t="s">
        <v>348</v>
      </c>
      <c r="BA757" s="249">
        <f t="shared" si="23"/>
        <v>2</v>
      </c>
      <c r="BB757" s="249">
        <v>0</v>
      </c>
      <c r="BC757" s="249">
        <f t="shared" si="22"/>
        <v>1984</v>
      </c>
    </row>
    <row r="758" spans="1:55" x14ac:dyDescent="0.25">
      <c r="A758" s="51" t="s">
        <v>1442</v>
      </c>
      <c r="B758" s="63" t="s">
        <v>1471</v>
      </c>
      <c r="C758" s="15" t="s">
        <v>348</v>
      </c>
      <c r="D758" s="15">
        <v>1993</v>
      </c>
      <c r="E758" s="15" t="s">
        <v>367</v>
      </c>
      <c r="F758" s="15"/>
      <c r="G758" s="15"/>
      <c r="H758" s="15"/>
      <c r="I758" s="15"/>
      <c r="J758" s="16">
        <v>756000</v>
      </c>
      <c r="K758" s="15"/>
      <c r="L758" s="15"/>
      <c r="M758" s="15" t="s">
        <v>328</v>
      </c>
      <c r="N758" s="16">
        <v>3000</v>
      </c>
      <c r="O758" s="21">
        <v>0.5</v>
      </c>
      <c r="P758" s="15">
        <v>1</v>
      </c>
      <c r="Q758" s="15">
        <v>400</v>
      </c>
      <c r="R758" s="16">
        <v>1800</v>
      </c>
      <c r="S758" s="15" t="s">
        <v>371</v>
      </c>
      <c r="T758" s="15">
        <v>4.5</v>
      </c>
      <c r="U758" s="15">
        <v>5</v>
      </c>
      <c r="V758" s="25">
        <v>700</v>
      </c>
      <c r="W758" s="22">
        <v>7500</v>
      </c>
      <c r="X758" s="15"/>
      <c r="Y758" s="15" t="s">
        <v>328</v>
      </c>
      <c r="Z758" s="15"/>
      <c r="AA758" s="15"/>
      <c r="AB758" s="15"/>
      <c r="AC758" s="15"/>
      <c r="AD758" s="15" t="s">
        <v>332</v>
      </c>
      <c r="AE758" s="15"/>
      <c r="AF758" s="15"/>
      <c r="AG758" s="15"/>
      <c r="AH758" s="15"/>
      <c r="AI758" s="15"/>
      <c r="AJ758" s="15"/>
      <c r="AK758" s="15"/>
      <c r="AL758" s="15"/>
      <c r="AM758" s="15"/>
      <c r="AN758" s="16">
        <v>20000</v>
      </c>
      <c r="AO758" s="16">
        <v>40000</v>
      </c>
      <c r="AP758" s="16">
        <v>85000</v>
      </c>
      <c r="AQ758" s="16">
        <v>135000</v>
      </c>
      <c r="AR758" s="47" t="s">
        <v>385</v>
      </c>
      <c r="AS758" s="22">
        <v>0</v>
      </c>
      <c r="AT758" s="22">
        <v>48000</v>
      </c>
      <c r="AU758" s="22">
        <v>25200</v>
      </c>
      <c r="AV758" s="22">
        <v>24000</v>
      </c>
      <c r="AW758" s="22">
        <v>0</v>
      </c>
      <c r="AX758" s="66">
        <v>0</v>
      </c>
      <c r="AY758" s="17" t="s">
        <v>687</v>
      </c>
      <c r="AZ758" s="15" t="s">
        <v>348</v>
      </c>
      <c r="BA758" s="249">
        <f t="shared" si="23"/>
        <v>2</v>
      </c>
      <c r="BB758" s="249">
        <v>0</v>
      </c>
      <c r="BC758" s="249">
        <f t="shared" si="22"/>
        <v>1993</v>
      </c>
    </row>
    <row r="759" spans="1:55" x14ac:dyDescent="0.25">
      <c r="A759" s="51" t="s">
        <v>1442</v>
      </c>
      <c r="B759" s="63" t="s">
        <v>1472</v>
      </c>
      <c r="C759" s="15" t="s">
        <v>337</v>
      </c>
      <c r="D759" s="15">
        <v>2001</v>
      </c>
      <c r="E759" s="15" t="s">
        <v>407</v>
      </c>
      <c r="F759" s="15"/>
      <c r="G759" s="15"/>
      <c r="H759" s="15"/>
      <c r="I759" s="15"/>
      <c r="J759" s="16">
        <v>851934</v>
      </c>
      <c r="K759" s="15"/>
      <c r="L759" s="15" t="s">
        <v>328</v>
      </c>
      <c r="M759" s="15"/>
      <c r="N759" s="16">
        <v>6000</v>
      </c>
      <c r="O759" s="21">
        <v>0.5</v>
      </c>
      <c r="P759" s="15">
        <v>2</v>
      </c>
      <c r="Q759" s="15">
        <v>950</v>
      </c>
      <c r="R759" s="16">
        <v>2300</v>
      </c>
      <c r="S759" s="15" t="s">
        <v>340</v>
      </c>
      <c r="T759" s="15">
        <v>2.5</v>
      </c>
      <c r="U759" s="15">
        <v>2.7</v>
      </c>
      <c r="V759" s="25">
        <v>2100</v>
      </c>
      <c r="W759" s="22">
        <v>30000</v>
      </c>
      <c r="X759" s="15"/>
      <c r="Y759" s="15"/>
      <c r="Z759" s="15"/>
      <c r="AA759" s="15"/>
      <c r="AB759" s="15" t="s">
        <v>328</v>
      </c>
      <c r="AC759" s="15"/>
      <c r="AD759" s="15" t="s">
        <v>328</v>
      </c>
      <c r="AE759" s="15"/>
      <c r="AF759" s="15"/>
      <c r="AG759" s="15"/>
      <c r="AH759" s="15"/>
      <c r="AI759" s="15"/>
      <c r="AJ759" s="15"/>
      <c r="AK759" s="15"/>
      <c r="AL759" s="15"/>
      <c r="AM759" s="15"/>
      <c r="AN759" s="16">
        <v>22000</v>
      </c>
      <c r="AO759" s="16">
        <v>45000</v>
      </c>
      <c r="AP759" s="16">
        <v>80000</v>
      </c>
      <c r="AQ759" s="16">
        <v>125000</v>
      </c>
      <c r="AR759" s="16">
        <v>30000</v>
      </c>
      <c r="AS759" s="22">
        <v>0</v>
      </c>
      <c r="AT759" s="22">
        <v>0</v>
      </c>
      <c r="AU759" s="22">
        <v>60000</v>
      </c>
      <c r="AV759" s="22">
        <v>24000</v>
      </c>
      <c r="AW759" s="22">
        <v>0</v>
      </c>
      <c r="AX759" s="66">
        <v>0</v>
      </c>
      <c r="AY759" s="17" t="s">
        <v>708</v>
      </c>
      <c r="AZ759" s="15" t="s">
        <v>561</v>
      </c>
      <c r="BA759" s="249">
        <f t="shared" si="23"/>
        <v>1</v>
      </c>
      <c r="BB759" s="249">
        <v>0</v>
      </c>
      <c r="BC759" s="249">
        <f t="shared" si="22"/>
        <v>2001</v>
      </c>
    </row>
    <row r="760" spans="1:55" x14ac:dyDescent="0.25">
      <c r="A760" s="51" t="s">
        <v>1442</v>
      </c>
      <c r="B760" s="63" t="s">
        <v>1476</v>
      </c>
      <c r="C760" s="14" t="s">
        <v>351</v>
      </c>
      <c r="D760" s="15">
        <v>1987</v>
      </c>
      <c r="E760" s="15"/>
      <c r="F760" s="15"/>
      <c r="G760" s="15"/>
      <c r="H760" s="15">
        <v>1998</v>
      </c>
      <c r="I760" s="15" t="s">
        <v>407</v>
      </c>
      <c r="J760" s="16">
        <v>1248000</v>
      </c>
      <c r="K760" s="15"/>
      <c r="L760" s="15"/>
      <c r="M760" s="15" t="s">
        <v>328</v>
      </c>
      <c r="N760" s="16">
        <v>8000</v>
      </c>
      <c r="O760" s="21">
        <v>0.5</v>
      </c>
      <c r="P760" s="15">
        <v>2</v>
      </c>
      <c r="Q760" s="15">
        <v>800</v>
      </c>
      <c r="R760" s="16">
        <v>2160</v>
      </c>
      <c r="S760" s="15" t="s">
        <v>340</v>
      </c>
      <c r="T760" s="15">
        <v>2.7</v>
      </c>
      <c r="U760" s="15">
        <v>3.4</v>
      </c>
      <c r="V760" s="25">
        <v>2500</v>
      </c>
      <c r="W760" s="22">
        <v>35000</v>
      </c>
      <c r="X760" s="15"/>
      <c r="Y760" s="15" t="s">
        <v>328</v>
      </c>
      <c r="Z760" s="15"/>
      <c r="AA760" s="15"/>
      <c r="AB760" s="15"/>
      <c r="AC760" s="15"/>
      <c r="AD760" s="15" t="s">
        <v>332</v>
      </c>
      <c r="AE760" s="15"/>
      <c r="AF760" s="15"/>
      <c r="AG760" s="15"/>
      <c r="AH760" s="15"/>
      <c r="AI760" s="15"/>
      <c r="AJ760" s="15"/>
      <c r="AK760" s="15"/>
      <c r="AL760" s="15"/>
      <c r="AM760" s="15"/>
      <c r="AN760" s="16">
        <v>25000</v>
      </c>
      <c r="AO760" s="16">
        <v>50000</v>
      </c>
      <c r="AP760" s="16">
        <v>160000</v>
      </c>
      <c r="AQ760" s="16">
        <v>160000</v>
      </c>
      <c r="AR760" s="16">
        <v>40000</v>
      </c>
      <c r="AS760" s="22">
        <v>0</v>
      </c>
      <c r="AT760" s="22">
        <v>0</v>
      </c>
      <c r="AU760" s="22">
        <v>44400</v>
      </c>
      <c r="AV760" s="22">
        <v>18000</v>
      </c>
      <c r="AW760" s="22">
        <v>0</v>
      </c>
      <c r="AX760" s="66">
        <v>0</v>
      </c>
      <c r="AY760" s="17" t="s">
        <v>1147</v>
      </c>
      <c r="AZ760" s="15" t="s">
        <v>351</v>
      </c>
      <c r="BA760" s="249">
        <f t="shared" si="23"/>
        <v>1</v>
      </c>
      <c r="BB760" s="249">
        <v>0</v>
      </c>
      <c r="BC760" s="249">
        <f t="shared" si="22"/>
        <v>1998</v>
      </c>
    </row>
    <row r="761" spans="1:55" x14ac:dyDescent="0.25">
      <c r="A761" s="51" t="s">
        <v>1442</v>
      </c>
      <c r="B761" s="63" t="s">
        <v>1477</v>
      </c>
      <c r="C761" s="14" t="s">
        <v>351</v>
      </c>
      <c r="D761" s="15">
        <v>1973</v>
      </c>
      <c r="E761" s="15" t="s">
        <v>407</v>
      </c>
      <c r="F761" s="15"/>
      <c r="G761" s="15"/>
      <c r="H761" s="15"/>
      <c r="I761" s="15"/>
      <c r="J761" s="16">
        <v>3936000</v>
      </c>
      <c r="K761" s="15"/>
      <c r="L761" s="15"/>
      <c r="M761" s="15" t="s">
        <v>328</v>
      </c>
      <c r="N761" s="16">
        <v>8000</v>
      </c>
      <c r="O761" s="21">
        <v>0.5</v>
      </c>
      <c r="P761" s="15">
        <v>2</v>
      </c>
      <c r="Q761" s="15">
        <v>850</v>
      </c>
      <c r="R761" s="16">
        <v>2400</v>
      </c>
      <c r="S761" s="15" t="s">
        <v>340</v>
      </c>
      <c r="T761" s="15">
        <v>2.8</v>
      </c>
      <c r="U761" s="15">
        <v>3.2</v>
      </c>
      <c r="V761" s="25">
        <v>2100</v>
      </c>
      <c r="W761" s="22">
        <v>30000</v>
      </c>
      <c r="X761" s="15"/>
      <c r="Y761" s="15"/>
      <c r="Z761" s="15"/>
      <c r="AA761" s="15" t="s">
        <v>328</v>
      </c>
      <c r="AB761" s="15"/>
      <c r="AC761" s="15"/>
      <c r="AD761" s="15" t="s">
        <v>332</v>
      </c>
      <c r="AE761" s="15"/>
      <c r="AF761" s="15"/>
      <c r="AG761" s="15"/>
      <c r="AH761" s="15"/>
      <c r="AI761" s="15"/>
      <c r="AJ761" s="15"/>
      <c r="AK761" s="15"/>
      <c r="AL761" s="15"/>
      <c r="AM761" s="15"/>
      <c r="AN761" s="16">
        <v>30000</v>
      </c>
      <c r="AO761" s="16">
        <v>70000</v>
      </c>
      <c r="AP761" s="16">
        <v>150000</v>
      </c>
      <c r="AQ761" s="16">
        <v>180000</v>
      </c>
      <c r="AR761" s="16">
        <v>70000</v>
      </c>
      <c r="AS761" s="22">
        <v>0</v>
      </c>
      <c r="AT761" s="22">
        <v>0</v>
      </c>
      <c r="AU761" s="22">
        <v>30000</v>
      </c>
      <c r="AV761" s="22">
        <v>18000</v>
      </c>
      <c r="AW761" s="22">
        <v>0</v>
      </c>
      <c r="AX761" s="66">
        <v>0</v>
      </c>
      <c r="AZ761" s="15" t="s">
        <v>351</v>
      </c>
      <c r="BA761" s="249">
        <f t="shared" si="23"/>
        <v>1</v>
      </c>
      <c r="BB761" s="249">
        <v>0</v>
      </c>
      <c r="BC761" s="249">
        <f t="shared" si="22"/>
        <v>1973</v>
      </c>
    </row>
    <row r="762" spans="1:55" x14ac:dyDescent="0.25">
      <c r="A762" s="51" t="s">
        <v>1442</v>
      </c>
      <c r="B762" s="63" t="s">
        <v>1480</v>
      </c>
      <c r="C762" s="14" t="s">
        <v>351</v>
      </c>
      <c r="D762" s="15">
        <v>1998</v>
      </c>
      <c r="E762" s="15" t="s">
        <v>690</v>
      </c>
      <c r="F762" s="15"/>
      <c r="G762" s="15"/>
      <c r="H762" s="15"/>
      <c r="I762" s="15"/>
      <c r="J762" s="16">
        <v>1536000</v>
      </c>
      <c r="K762" s="15"/>
      <c r="L762" s="15"/>
      <c r="M762" s="15" t="s">
        <v>328</v>
      </c>
      <c r="N762" s="16">
        <v>8000</v>
      </c>
      <c r="O762" s="21">
        <v>0.5</v>
      </c>
      <c r="P762" s="15">
        <v>2</v>
      </c>
      <c r="Q762" s="15">
        <v>750</v>
      </c>
      <c r="R762" s="16">
        <v>2200</v>
      </c>
      <c r="S762" s="15" t="s">
        <v>340</v>
      </c>
      <c r="T762" s="15">
        <v>2.9</v>
      </c>
      <c r="U762" s="15">
        <v>3.4</v>
      </c>
      <c r="V762" s="25">
        <v>2500</v>
      </c>
      <c r="W762" s="22">
        <v>35000</v>
      </c>
      <c r="X762" s="15"/>
      <c r="Y762" s="15" t="s">
        <v>328</v>
      </c>
      <c r="Z762" s="15"/>
      <c r="AA762" s="15"/>
      <c r="AB762" s="15"/>
      <c r="AC762" s="15"/>
      <c r="AD762" s="15" t="s">
        <v>332</v>
      </c>
      <c r="AE762" s="15"/>
      <c r="AF762" s="15"/>
      <c r="AG762" s="15"/>
      <c r="AH762" s="15"/>
      <c r="AI762" s="15"/>
      <c r="AJ762" s="15"/>
      <c r="AK762" s="15"/>
      <c r="AL762" s="15"/>
      <c r="AM762" s="15"/>
      <c r="AN762" s="16">
        <v>30000</v>
      </c>
      <c r="AO762" s="16">
        <v>90000</v>
      </c>
      <c r="AP762" s="16">
        <v>120000</v>
      </c>
      <c r="AQ762" s="16">
        <v>190000</v>
      </c>
      <c r="AR762" s="16">
        <v>90000</v>
      </c>
      <c r="AS762" s="22">
        <v>0</v>
      </c>
      <c r="AT762" s="22">
        <v>0</v>
      </c>
      <c r="AU762" s="22">
        <v>50400</v>
      </c>
      <c r="AV762" s="22">
        <v>48000</v>
      </c>
      <c r="AW762" s="22">
        <v>0</v>
      </c>
      <c r="AX762" s="66">
        <v>0</v>
      </c>
      <c r="AY762" s="17" t="s">
        <v>694</v>
      </c>
      <c r="AZ762" s="15" t="s">
        <v>351</v>
      </c>
      <c r="BA762" s="249">
        <f t="shared" si="23"/>
        <v>1</v>
      </c>
      <c r="BB762" s="249">
        <v>0</v>
      </c>
      <c r="BC762" s="249">
        <f t="shared" si="22"/>
        <v>1998</v>
      </c>
    </row>
    <row r="763" spans="1:55" x14ac:dyDescent="0.25">
      <c r="A763" s="51" t="s">
        <v>1442</v>
      </c>
      <c r="B763" s="63" t="s">
        <v>1483</v>
      </c>
      <c r="C763" s="15" t="s">
        <v>337</v>
      </c>
      <c r="D763" s="15">
        <v>2002</v>
      </c>
      <c r="E763" s="15" t="s">
        <v>407</v>
      </c>
      <c r="F763" s="15"/>
      <c r="G763" s="15"/>
      <c r="H763" s="15"/>
      <c r="I763" s="15"/>
      <c r="J763" s="16">
        <v>923842</v>
      </c>
      <c r="K763" s="15"/>
      <c r="L763" s="15" t="s">
        <v>328</v>
      </c>
      <c r="M763" s="15"/>
      <c r="N763" s="16">
        <v>10000</v>
      </c>
      <c r="O763" s="21">
        <v>0.2</v>
      </c>
      <c r="P763" s="15">
        <v>2</v>
      </c>
      <c r="Q763" s="15">
        <v>950</v>
      </c>
      <c r="R763" s="16">
        <v>2300</v>
      </c>
      <c r="S763" s="15" t="s">
        <v>340</v>
      </c>
      <c r="T763" s="15">
        <v>2.5</v>
      </c>
      <c r="U763" s="15">
        <v>2.7</v>
      </c>
      <c r="V763" s="25">
        <v>3500</v>
      </c>
      <c r="W763" s="22">
        <v>50000</v>
      </c>
      <c r="X763" s="15"/>
      <c r="Y763" s="15"/>
      <c r="Z763" s="15"/>
      <c r="AA763" s="15"/>
      <c r="AB763" s="15" t="s">
        <v>328</v>
      </c>
      <c r="AC763" s="15"/>
      <c r="AD763" s="15" t="s">
        <v>328</v>
      </c>
      <c r="AE763" s="15"/>
      <c r="AF763" s="15"/>
      <c r="AG763" s="15"/>
      <c r="AH763" s="15"/>
      <c r="AI763" s="15"/>
      <c r="AJ763" s="15"/>
      <c r="AK763" s="15"/>
      <c r="AL763" s="15"/>
      <c r="AM763" s="15"/>
      <c r="AN763" s="16">
        <v>30000</v>
      </c>
      <c r="AO763" s="16">
        <v>60000</v>
      </c>
      <c r="AP763" s="16">
        <v>240000</v>
      </c>
      <c r="AQ763" s="16">
        <v>120000</v>
      </c>
      <c r="AR763" s="16">
        <v>30000</v>
      </c>
      <c r="AS763" s="22">
        <v>186000</v>
      </c>
      <c r="AT763" s="22">
        <v>0</v>
      </c>
      <c r="AU763" s="22">
        <v>66000</v>
      </c>
      <c r="AV763" s="22">
        <v>42000</v>
      </c>
      <c r="AW763" s="22">
        <v>32400</v>
      </c>
      <c r="AX763" s="66">
        <v>0</v>
      </c>
      <c r="AY763" s="17" t="s">
        <v>574</v>
      </c>
      <c r="AZ763" s="15" t="s">
        <v>562</v>
      </c>
      <c r="BA763" s="249">
        <f t="shared" si="23"/>
        <v>1</v>
      </c>
      <c r="BB763" s="249">
        <v>0</v>
      </c>
      <c r="BC763" s="249">
        <f t="shared" si="22"/>
        <v>2002</v>
      </c>
    </row>
    <row r="764" spans="1:55" x14ac:dyDescent="0.25">
      <c r="A764" s="51" t="s">
        <v>1442</v>
      </c>
      <c r="B764" s="63" t="s">
        <v>1486</v>
      </c>
      <c r="C764" s="15" t="s">
        <v>348</v>
      </c>
      <c r="D764" s="15">
        <v>2005</v>
      </c>
      <c r="E764" s="15" t="s">
        <v>349</v>
      </c>
      <c r="F764" s="15"/>
      <c r="G764" s="15"/>
      <c r="H764" s="15"/>
      <c r="I764" s="15"/>
      <c r="J764" s="16">
        <v>759217</v>
      </c>
      <c r="K764" s="15"/>
      <c r="L764" s="15" t="s">
        <v>328</v>
      </c>
      <c r="M764" s="15"/>
      <c r="N764" s="16">
        <v>8000</v>
      </c>
      <c r="O764" s="21">
        <v>0.1</v>
      </c>
      <c r="P764" s="15">
        <v>2</v>
      </c>
      <c r="Q764" s="15">
        <v>700</v>
      </c>
      <c r="R764" s="16">
        <v>2800</v>
      </c>
      <c r="S764" s="15" t="s">
        <v>340</v>
      </c>
      <c r="T764" s="15">
        <v>3.9</v>
      </c>
      <c r="U764" s="15">
        <v>4.5</v>
      </c>
      <c r="V764" s="25">
        <v>1800</v>
      </c>
      <c r="W764" s="22">
        <v>25000</v>
      </c>
      <c r="X764" s="15"/>
      <c r="Y764" s="15"/>
      <c r="Z764" s="15"/>
      <c r="AA764" s="15"/>
      <c r="AB764" s="15" t="s">
        <v>328</v>
      </c>
      <c r="AC764" s="15"/>
      <c r="AD764" s="15" t="s">
        <v>328</v>
      </c>
      <c r="AE764" s="15"/>
      <c r="AF764" s="15"/>
      <c r="AG764" s="15"/>
      <c r="AH764" s="15"/>
      <c r="AI764" s="15"/>
      <c r="AJ764" s="15"/>
      <c r="AK764" s="15"/>
      <c r="AL764" s="15"/>
      <c r="AM764" s="15"/>
      <c r="AN764" s="16">
        <v>24000</v>
      </c>
      <c r="AO764" s="16">
        <v>48000</v>
      </c>
      <c r="AP764" s="16">
        <v>200000</v>
      </c>
      <c r="AQ764" s="16">
        <v>120000</v>
      </c>
      <c r="AR764" s="16">
        <v>48000</v>
      </c>
      <c r="AS764" s="22">
        <v>144000</v>
      </c>
      <c r="AT764" s="22">
        <v>72000</v>
      </c>
      <c r="AU764" s="22">
        <v>64800</v>
      </c>
      <c r="AV764" s="22">
        <v>38400</v>
      </c>
      <c r="AW764" s="22">
        <v>20400</v>
      </c>
      <c r="AX764" s="66">
        <v>0</v>
      </c>
      <c r="AY764" s="17" t="s">
        <v>701</v>
      </c>
      <c r="AZ764" s="15" t="s">
        <v>348</v>
      </c>
      <c r="BA764" s="249">
        <f t="shared" si="23"/>
        <v>2</v>
      </c>
      <c r="BB764" s="249">
        <v>0</v>
      </c>
      <c r="BC764" s="249">
        <f t="shared" si="22"/>
        <v>2005</v>
      </c>
    </row>
    <row r="765" spans="1:55" x14ac:dyDescent="0.25">
      <c r="A765" s="51" t="s">
        <v>1442</v>
      </c>
      <c r="B765" s="63" t="s">
        <v>1486</v>
      </c>
      <c r="C765" s="15" t="s">
        <v>348</v>
      </c>
      <c r="D765" s="15">
        <v>2005</v>
      </c>
      <c r="E765" s="15" t="s">
        <v>349</v>
      </c>
      <c r="F765" s="15"/>
      <c r="G765" s="15"/>
      <c r="H765" s="15"/>
      <c r="I765" s="15"/>
      <c r="J765" s="16">
        <v>801592</v>
      </c>
      <c r="K765" s="15"/>
      <c r="L765" s="15" t="s">
        <v>328</v>
      </c>
      <c r="M765" s="15"/>
      <c r="N765" s="16">
        <v>8000</v>
      </c>
      <c r="O765" s="21">
        <v>0.1</v>
      </c>
      <c r="P765" s="15">
        <v>2</v>
      </c>
      <c r="Q765" s="15">
        <v>700</v>
      </c>
      <c r="R765" s="16">
        <v>2800</v>
      </c>
      <c r="S765" s="15" t="s">
        <v>340</v>
      </c>
      <c r="T765" s="15">
        <v>3.9</v>
      </c>
      <c r="U765" s="15">
        <v>4.5</v>
      </c>
      <c r="V765" s="25">
        <v>1800</v>
      </c>
      <c r="W765" s="22">
        <v>25000</v>
      </c>
      <c r="X765" s="15"/>
      <c r="Y765" s="15"/>
      <c r="Z765" s="15"/>
      <c r="AA765" s="15"/>
      <c r="AB765" s="15" t="s">
        <v>328</v>
      </c>
      <c r="AC765" s="15"/>
      <c r="AD765" s="15" t="s">
        <v>328</v>
      </c>
      <c r="AE765" s="15"/>
      <c r="AF765" s="15"/>
      <c r="AG765" s="15"/>
      <c r="AH765" s="15"/>
      <c r="AI765" s="15"/>
      <c r="AJ765" s="15"/>
      <c r="AK765" s="15"/>
      <c r="AL765" s="15"/>
      <c r="AM765" s="15"/>
      <c r="AN765" s="16">
        <v>24000</v>
      </c>
      <c r="AO765" s="16">
        <v>48000</v>
      </c>
      <c r="AP765" s="16">
        <v>200000</v>
      </c>
      <c r="AQ765" s="16">
        <v>120000</v>
      </c>
      <c r="AR765" s="16">
        <v>48000</v>
      </c>
      <c r="AS765" s="22">
        <v>0</v>
      </c>
      <c r="AT765" s="22">
        <v>72000</v>
      </c>
      <c r="AU765" s="22">
        <v>64800</v>
      </c>
      <c r="AV765" s="22">
        <v>38400</v>
      </c>
      <c r="AW765" s="22">
        <v>20400</v>
      </c>
      <c r="AX765" s="66">
        <v>0</v>
      </c>
      <c r="AY765" s="17" t="s">
        <v>701</v>
      </c>
      <c r="AZ765" s="15" t="s">
        <v>348</v>
      </c>
      <c r="BA765" s="249">
        <f t="shared" si="23"/>
        <v>2</v>
      </c>
      <c r="BB765" s="249">
        <v>0</v>
      </c>
      <c r="BC765" s="249">
        <f t="shared" si="22"/>
        <v>2005</v>
      </c>
    </row>
    <row r="766" spans="1:55" x14ac:dyDescent="0.25">
      <c r="A766" s="51" t="s">
        <v>1442</v>
      </c>
      <c r="B766" s="63" t="s">
        <v>1487</v>
      </c>
      <c r="C766" s="14" t="s">
        <v>351</v>
      </c>
      <c r="D766" s="15">
        <v>1982</v>
      </c>
      <c r="E766" s="15" t="s">
        <v>690</v>
      </c>
      <c r="F766" s="15"/>
      <c r="G766" s="15"/>
      <c r="H766" s="15"/>
      <c r="I766" s="15"/>
      <c r="J766" s="16">
        <v>3456000</v>
      </c>
      <c r="K766" s="15"/>
      <c r="L766" s="15"/>
      <c r="M766" s="15" t="s">
        <v>328</v>
      </c>
      <c r="N766" s="16">
        <v>9000</v>
      </c>
      <c r="O766" s="21">
        <v>0.1</v>
      </c>
      <c r="P766" s="15">
        <v>2</v>
      </c>
      <c r="Q766" s="15">
        <v>800</v>
      </c>
      <c r="R766" s="16">
        <v>2400</v>
      </c>
      <c r="S766" s="15" t="s">
        <v>340</v>
      </c>
      <c r="T766" s="15">
        <v>2.8</v>
      </c>
      <c r="U766" s="15">
        <v>3.2</v>
      </c>
      <c r="V766" s="25">
        <v>1500</v>
      </c>
      <c r="W766" s="22">
        <v>36000</v>
      </c>
      <c r="X766" s="15"/>
      <c r="Y766" s="15"/>
      <c r="Z766" s="15" t="s">
        <v>328</v>
      </c>
      <c r="AA766" s="15"/>
      <c r="AB766" s="15"/>
      <c r="AC766" s="15"/>
      <c r="AD766" s="15" t="s">
        <v>332</v>
      </c>
      <c r="AE766" s="15"/>
      <c r="AF766" s="15"/>
      <c r="AG766" s="15"/>
      <c r="AH766" s="15"/>
      <c r="AI766" s="15"/>
      <c r="AJ766" s="15"/>
      <c r="AK766" s="15"/>
      <c r="AL766" s="15"/>
      <c r="AM766" s="15"/>
      <c r="AN766" s="16">
        <v>27000</v>
      </c>
      <c r="AO766" s="16">
        <v>54000</v>
      </c>
      <c r="AP766" s="16">
        <v>120000</v>
      </c>
      <c r="AQ766" s="16">
        <v>190000</v>
      </c>
      <c r="AR766" s="16">
        <v>54000</v>
      </c>
      <c r="AS766" s="22">
        <v>0</v>
      </c>
      <c r="AT766" s="22">
        <v>0</v>
      </c>
      <c r="AU766" s="22">
        <v>30000</v>
      </c>
      <c r="AV766" s="22">
        <v>20000</v>
      </c>
      <c r="AW766" s="22">
        <v>0</v>
      </c>
      <c r="AX766" s="66">
        <v>0</v>
      </c>
      <c r="AY766" s="17" t="s">
        <v>694</v>
      </c>
      <c r="AZ766" s="15" t="s">
        <v>351</v>
      </c>
      <c r="BA766" s="249">
        <f t="shared" si="23"/>
        <v>1</v>
      </c>
      <c r="BB766" s="249">
        <v>0</v>
      </c>
      <c r="BC766" s="249">
        <f t="shared" si="22"/>
        <v>1982</v>
      </c>
    </row>
    <row r="767" spans="1:55" x14ac:dyDescent="0.25">
      <c r="A767" s="51" t="s">
        <v>1442</v>
      </c>
      <c r="B767" s="63" t="s">
        <v>1490</v>
      </c>
      <c r="C767" s="15" t="s">
        <v>337</v>
      </c>
      <c r="D767" s="15">
        <v>2001</v>
      </c>
      <c r="E767" s="15" t="s">
        <v>407</v>
      </c>
      <c r="F767" s="15"/>
      <c r="G767" s="15"/>
      <c r="H767" s="15"/>
      <c r="I767" s="15"/>
      <c r="J767" s="16">
        <v>3072000</v>
      </c>
      <c r="K767" s="15"/>
      <c r="L767" s="15"/>
      <c r="M767" s="15" t="s">
        <v>328</v>
      </c>
      <c r="N767" s="16">
        <v>8000</v>
      </c>
      <c r="O767" s="21">
        <v>0.5</v>
      </c>
      <c r="P767" s="15">
        <v>2</v>
      </c>
      <c r="Q767" s="15">
        <v>950</v>
      </c>
      <c r="R767" s="16">
        <v>1900</v>
      </c>
      <c r="S767" s="15" t="s">
        <v>340</v>
      </c>
      <c r="T767" s="15">
        <v>2.1</v>
      </c>
      <c r="U767" s="15">
        <v>2.5</v>
      </c>
      <c r="V767" s="25">
        <v>3600</v>
      </c>
      <c r="W767" s="22">
        <v>50000</v>
      </c>
      <c r="X767" s="15"/>
      <c r="Y767" s="15" t="s">
        <v>328</v>
      </c>
      <c r="Z767" s="15"/>
      <c r="AA767" s="15"/>
      <c r="AB767" s="15"/>
      <c r="AC767" s="15"/>
      <c r="AD767" s="15" t="s">
        <v>332</v>
      </c>
      <c r="AE767" s="15"/>
      <c r="AF767" s="15"/>
      <c r="AG767" s="15"/>
      <c r="AH767" s="15"/>
      <c r="AI767" s="15"/>
      <c r="AJ767" s="15"/>
      <c r="AK767" s="15"/>
      <c r="AL767" s="15"/>
      <c r="AM767" s="15"/>
      <c r="AN767" s="16">
        <v>32000</v>
      </c>
      <c r="AO767" s="16">
        <v>64000</v>
      </c>
      <c r="AP767" s="16">
        <v>95000</v>
      </c>
      <c r="AQ767" s="16">
        <v>140000</v>
      </c>
      <c r="AR767" s="16">
        <v>64000</v>
      </c>
      <c r="AS767" s="22">
        <v>0</v>
      </c>
      <c r="AT767" s="22">
        <v>0</v>
      </c>
      <c r="AU767" s="22">
        <v>60000</v>
      </c>
      <c r="AV767" s="22">
        <v>36000</v>
      </c>
      <c r="AW767" s="22">
        <v>0</v>
      </c>
      <c r="AX767" s="66">
        <v>0</v>
      </c>
      <c r="AY767" s="17" t="s">
        <v>708</v>
      </c>
      <c r="AZ767" s="15" t="s">
        <v>562</v>
      </c>
      <c r="BA767" s="249">
        <f t="shared" si="23"/>
        <v>1</v>
      </c>
      <c r="BB767" s="249">
        <v>0</v>
      </c>
      <c r="BC767" s="249">
        <f t="shared" si="22"/>
        <v>2001</v>
      </c>
    </row>
    <row r="768" spans="1:55" x14ac:dyDescent="0.25">
      <c r="A768" s="51" t="s">
        <v>1442</v>
      </c>
      <c r="B768" s="63" t="s">
        <v>1491</v>
      </c>
      <c r="C768" s="15" t="s">
        <v>348</v>
      </c>
      <c r="D768" s="15">
        <v>2003</v>
      </c>
      <c r="E768" s="15" t="s">
        <v>360</v>
      </c>
      <c r="F768" s="15"/>
      <c r="G768" s="15"/>
      <c r="H768" s="15"/>
      <c r="I768" s="15"/>
      <c r="J768" s="16">
        <v>823110</v>
      </c>
      <c r="K768" s="15"/>
      <c r="L768" s="15"/>
      <c r="M768" s="15" t="s">
        <v>328</v>
      </c>
      <c r="N768" s="16">
        <v>5833.333333333333</v>
      </c>
      <c r="O768" s="21">
        <v>0.5</v>
      </c>
      <c r="P768" s="15">
        <v>1</v>
      </c>
      <c r="Q768" s="15">
        <v>375</v>
      </c>
      <c r="R768" s="16">
        <v>1500</v>
      </c>
      <c r="S768" s="15" t="s">
        <v>371</v>
      </c>
      <c r="T768" s="15">
        <v>4.0999999999999996</v>
      </c>
      <c r="U768" s="15">
        <v>4.5</v>
      </c>
      <c r="V768" s="25">
        <v>1600</v>
      </c>
      <c r="W768" s="22">
        <v>17500</v>
      </c>
      <c r="X768" s="15"/>
      <c r="Y768" s="15"/>
      <c r="Z768" s="15"/>
      <c r="AA768" s="15"/>
      <c r="AB768" s="15" t="s">
        <v>328</v>
      </c>
      <c r="AC768" s="15"/>
      <c r="AD768" s="15" t="s">
        <v>328</v>
      </c>
      <c r="AE768" s="15"/>
      <c r="AF768" s="15"/>
      <c r="AG768" s="15" t="s">
        <v>328</v>
      </c>
      <c r="AH768" s="15"/>
      <c r="AI768" s="15"/>
      <c r="AJ768" s="15"/>
      <c r="AK768" s="15"/>
      <c r="AL768" s="15"/>
      <c r="AM768" s="15"/>
      <c r="AN768" s="16">
        <v>17500</v>
      </c>
      <c r="AO768" s="16">
        <v>35000</v>
      </c>
      <c r="AP768" s="16">
        <v>40000</v>
      </c>
      <c r="AQ768" s="16">
        <v>120000</v>
      </c>
      <c r="AR768" s="47" t="s">
        <v>385</v>
      </c>
      <c r="AS768" s="22">
        <v>144000</v>
      </c>
      <c r="AT768" s="22">
        <v>0</v>
      </c>
      <c r="AU768" s="22">
        <v>30000</v>
      </c>
      <c r="AV768" s="22">
        <v>30000</v>
      </c>
      <c r="AW768" s="22">
        <v>12000</v>
      </c>
      <c r="AX768" s="66">
        <v>0</v>
      </c>
      <c r="AY768" s="17" t="s">
        <v>1133</v>
      </c>
      <c r="AZ768" s="15" t="s">
        <v>348</v>
      </c>
      <c r="BA768" s="249">
        <f t="shared" si="23"/>
        <v>3</v>
      </c>
      <c r="BB768" s="249">
        <v>0</v>
      </c>
      <c r="BC768" s="249">
        <f t="shared" si="22"/>
        <v>2003</v>
      </c>
    </row>
    <row r="769" spans="1:55" x14ac:dyDescent="0.25">
      <c r="A769" s="51" t="s">
        <v>1442</v>
      </c>
      <c r="B769" s="63" t="s">
        <v>1491</v>
      </c>
      <c r="C769" s="15" t="s">
        <v>348</v>
      </c>
      <c r="D769" s="15">
        <v>2003</v>
      </c>
      <c r="E769" s="15" t="s">
        <v>360</v>
      </c>
      <c r="F769" s="15"/>
      <c r="G769" s="15"/>
      <c r="H769" s="15"/>
      <c r="I769" s="15"/>
      <c r="J769" s="16">
        <v>768705</v>
      </c>
      <c r="K769" s="15"/>
      <c r="L769" s="15"/>
      <c r="M769" s="15" t="s">
        <v>328</v>
      </c>
      <c r="N769" s="16">
        <v>5833.333333333333</v>
      </c>
      <c r="O769" s="21">
        <v>0.5</v>
      </c>
      <c r="P769" s="15">
        <v>1</v>
      </c>
      <c r="Q769" s="15">
        <v>375</v>
      </c>
      <c r="R769" s="16">
        <v>1500</v>
      </c>
      <c r="S769" s="15" t="s">
        <v>371</v>
      </c>
      <c r="T769" s="15">
        <v>4.0999999999999996</v>
      </c>
      <c r="U769" s="15">
        <v>4.5</v>
      </c>
      <c r="V769" s="25">
        <v>1600</v>
      </c>
      <c r="W769" s="22">
        <v>17500</v>
      </c>
      <c r="X769" s="15"/>
      <c r="Y769" s="15"/>
      <c r="Z769" s="15"/>
      <c r="AA769" s="15"/>
      <c r="AB769" s="15" t="s">
        <v>328</v>
      </c>
      <c r="AC769" s="15"/>
      <c r="AD769" s="15" t="s">
        <v>328</v>
      </c>
      <c r="AE769" s="15"/>
      <c r="AF769" s="15"/>
      <c r="AG769" s="15" t="s">
        <v>328</v>
      </c>
      <c r="AH769" s="15"/>
      <c r="AI769" s="15"/>
      <c r="AJ769" s="15"/>
      <c r="AK769" s="15"/>
      <c r="AL769" s="15"/>
      <c r="AM769" s="15"/>
      <c r="AN769" s="16">
        <v>17500</v>
      </c>
      <c r="AO769" s="16">
        <v>35000</v>
      </c>
      <c r="AP769" s="16">
        <v>40000</v>
      </c>
      <c r="AQ769" s="16">
        <v>120000</v>
      </c>
      <c r="AR769" s="16" t="s">
        <v>385</v>
      </c>
      <c r="AS769" s="22">
        <v>144000</v>
      </c>
      <c r="AT769" s="22">
        <v>0</v>
      </c>
      <c r="AU769" s="22">
        <v>30000</v>
      </c>
      <c r="AV769" s="22">
        <v>30000</v>
      </c>
      <c r="AW769" s="22">
        <v>12000</v>
      </c>
      <c r="AX769" s="66">
        <v>0</v>
      </c>
      <c r="AY769" s="17" t="s">
        <v>1133</v>
      </c>
      <c r="AZ769" s="15" t="s">
        <v>348</v>
      </c>
      <c r="BA769" s="249">
        <f t="shared" si="23"/>
        <v>3</v>
      </c>
      <c r="BB769" s="249">
        <v>0</v>
      </c>
      <c r="BC769" s="249">
        <f t="shared" si="22"/>
        <v>2003</v>
      </c>
    </row>
    <row r="770" spans="1:55" x14ac:dyDescent="0.25">
      <c r="A770" s="51" t="s">
        <v>1442</v>
      </c>
      <c r="B770" s="63" t="s">
        <v>1491</v>
      </c>
      <c r="C770" s="15" t="s">
        <v>348</v>
      </c>
      <c r="D770" s="15">
        <v>2010</v>
      </c>
      <c r="E770" s="15" t="s">
        <v>360</v>
      </c>
      <c r="F770" s="15"/>
      <c r="G770" s="15"/>
      <c r="H770" s="15"/>
      <c r="I770" s="15"/>
      <c r="J770" s="16">
        <v>199372</v>
      </c>
      <c r="K770" s="15" t="s">
        <v>328</v>
      </c>
      <c r="L770" s="15"/>
      <c r="M770" s="15"/>
      <c r="N770" s="16">
        <v>5833.333333333333</v>
      </c>
      <c r="O770" s="21">
        <v>0.5</v>
      </c>
      <c r="P770" s="15">
        <v>1</v>
      </c>
      <c r="Q770" s="15">
        <v>400</v>
      </c>
      <c r="R770" s="16">
        <v>1800</v>
      </c>
      <c r="S770" s="15" t="s">
        <v>371</v>
      </c>
      <c r="T770" s="15">
        <v>4.2</v>
      </c>
      <c r="U770" s="15">
        <v>4.5</v>
      </c>
      <c r="V770" s="25">
        <v>1600</v>
      </c>
      <c r="W770" s="22">
        <v>17500</v>
      </c>
      <c r="X770" s="15"/>
      <c r="Y770" s="15"/>
      <c r="Z770" s="15"/>
      <c r="AA770" s="15"/>
      <c r="AB770" s="15"/>
      <c r="AC770" s="15" t="s">
        <v>328</v>
      </c>
      <c r="AD770" s="15" t="s">
        <v>328</v>
      </c>
      <c r="AE770" s="15"/>
      <c r="AF770" s="15"/>
      <c r="AG770" s="15" t="s">
        <v>328</v>
      </c>
      <c r="AH770" s="15"/>
      <c r="AI770" s="15"/>
      <c r="AJ770" s="15"/>
      <c r="AK770" s="15"/>
      <c r="AL770" s="15"/>
      <c r="AM770" s="15"/>
      <c r="AN770" s="16">
        <v>17500</v>
      </c>
      <c r="AO770" s="16">
        <v>35000</v>
      </c>
      <c r="AP770" s="16">
        <v>40000</v>
      </c>
      <c r="AQ770" s="16">
        <v>120000</v>
      </c>
      <c r="AR770" s="16" t="s">
        <v>385</v>
      </c>
      <c r="AS770" s="22">
        <v>144000</v>
      </c>
      <c r="AT770" s="22">
        <v>0</v>
      </c>
      <c r="AU770" s="22">
        <v>30000</v>
      </c>
      <c r="AV770" s="22">
        <v>30000</v>
      </c>
      <c r="AW770" s="22">
        <v>14400</v>
      </c>
      <c r="AX770" s="66">
        <v>0</v>
      </c>
      <c r="AY770" s="17" t="s">
        <v>1133</v>
      </c>
      <c r="AZ770" s="15" t="s">
        <v>348</v>
      </c>
      <c r="BA770" s="249">
        <f t="shared" si="23"/>
        <v>3</v>
      </c>
      <c r="BB770" s="249">
        <v>0</v>
      </c>
      <c r="BC770" s="249">
        <f t="shared" si="22"/>
        <v>2010</v>
      </c>
    </row>
    <row r="771" spans="1:55" x14ac:dyDescent="0.25">
      <c r="A771" s="51" t="s">
        <v>1442</v>
      </c>
      <c r="B771" s="63" t="s">
        <v>1494</v>
      </c>
      <c r="C771" s="15" t="s">
        <v>348</v>
      </c>
      <c r="D771" s="15">
        <v>2004</v>
      </c>
      <c r="E771" s="15" t="s">
        <v>690</v>
      </c>
      <c r="F771" s="15"/>
      <c r="G771" s="15"/>
      <c r="H771" s="15"/>
      <c r="I771" s="15"/>
      <c r="J771" s="16">
        <v>671884</v>
      </c>
      <c r="K771" s="15"/>
      <c r="L771" s="15" t="s">
        <v>328</v>
      </c>
      <c r="M771" s="15"/>
      <c r="N771" s="16">
        <v>8000</v>
      </c>
      <c r="O771" s="21">
        <v>0.3</v>
      </c>
      <c r="P771" s="15">
        <v>2</v>
      </c>
      <c r="Q771" s="15">
        <v>500</v>
      </c>
      <c r="R771" s="16">
        <v>1800</v>
      </c>
      <c r="S771" s="15" t="s">
        <v>340</v>
      </c>
      <c r="T771" s="15">
        <v>4.0999999999999996</v>
      </c>
      <c r="U771" s="15">
        <v>4.5</v>
      </c>
      <c r="V771" s="25">
        <v>2100</v>
      </c>
      <c r="W771" s="22">
        <v>30000</v>
      </c>
      <c r="X771" s="15"/>
      <c r="Y771" s="15"/>
      <c r="Z771" s="15"/>
      <c r="AA771" s="15"/>
      <c r="AB771" s="15" t="s">
        <v>328</v>
      </c>
      <c r="AC771" s="15"/>
      <c r="AD771" s="15" t="s">
        <v>328</v>
      </c>
      <c r="AE771" s="15"/>
      <c r="AF771" s="15"/>
      <c r="AG771" s="15"/>
      <c r="AH771" s="15"/>
      <c r="AI771" s="15"/>
      <c r="AJ771" s="15"/>
      <c r="AK771" s="15"/>
      <c r="AL771" s="15"/>
      <c r="AM771" s="15"/>
      <c r="AN771" s="16">
        <v>24000</v>
      </c>
      <c r="AO771" s="16">
        <v>24000</v>
      </c>
      <c r="AP771" s="16">
        <v>100000</v>
      </c>
      <c r="AQ771" s="16">
        <v>100000</v>
      </c>
      <c r="AR771" s="16">
        <v>24000</v>
      </c>
      <c r="AS771" s="22">
        <v>0</v>
      </c>
      <c r="AT771" s="22">
        <v>48000</v>
      </c>
      <c r="AU771" s="22">
        <v>30000</v>
      </c>
      <c r="AV771" s="22">
        <v>12000</v>
      </c>
      <c r="AW771" s="22">
        <v>17000</v>
      </c>
      <c r="AX771" s="66">
        <v>0</v>
      </c>
      <c r="AY771" s="17" t="s">
        <v>1532</v>
      </c>
      <c r="AZ771" s="15" t="s">
        <v>348</v>
      </c>
      <c r="BA771" s="249">
        <f t="shared" si="23"/>
        <v>1</v>
      </c>
      <c r="BB771" s="249">
        <v>0</v>
      </c>
      <c r="BC771" s="249">
        <f t="shared" si="22"/>
        <v>2004</v>
      </c>
    </row>
    <row r="772" spans="1:55" x14ac:dyDescent="0.25">
      <c r="A772" s="51" t="s">
        <v>1442</v>
      </c>
      <c r="B772" s="63" t="s">
        <v>1495</v>
      </c>
      <c r="C772" s="14" t="s">
        <v>351</v>
      </c>
      <c r="D772" s="15">
        <v>1999</v>
      </c>
      <c r="E772" s="15" t="s">
        <v>407</v>
      </c>
      <c r="F772" s="15"/>
      <c r="G772" s="15"/>
      <c r="H772" s="15"/>
      <c r="I772" s="15"/>
      <c r="J772" s="16">
        <v>1800000</v>
      </c>
      <c r="K772" s="15"/>
      <c r="L772" s="15"/>
      <c r="M772" s="15" t="s">
        <v>328</v>
      </c>
      <c r="N772" s="16">
        <v>10000</v>
      </c>
      <c r="O772" s="21">
        <v>0.5</v>
      </c>
      <c r="P772" s="15">
        <v>2</v>
      </c>
      <c r="Q772" s="15">
        <v>960</v>
      </c>
      <c r="R772" s="16">
        <v>2700</v>
      </c>
      <c r="S772" s="15" t="s">
        <v>340</v>
      </c>
      <c r="T772" s="15">
        <v>2.7</v>
      </c>
      <c r="U772" s="15">
        <v>3</v>
      </c>
      <c r="V772" s="25">
        <v>2900</v>
      </c>
      <c r="W772" s="22">
        <v>40000</v>
      </c>
      <c r="X772" s="15"/>
      <c r="Y772" s="15" t="s">
        <v>328</v>
      </c>
      <c r="Z772" s="15"/>
      <c r="AA772" s="15"/>
      <c r="AB772" s="15"/>
      <c r="AC772" s="15"/>
      <c r="AD772" s="15" t="s">
        <v>332</v>
      </c>
      <c r="AE772" s="15"/>
      <c r="AF772" s="15"/>
      <c r="AG772" s="15"/>
      <c r="AH772" s="15"/>
      <c r="AI772" s="15"/>
      <c r="AJ772" s="15"/>
      <c r="AK772" s="15"/>
      <c r="AL772" s="15"/>
      <c r="AM772" s="15"/>
      <c r="AN772" s="16">
        <v>30000</v>
      </c>
      <c r="AO772" s="16">
        <v>60000</v>
      </c>
      <c r="AP772" s="16">
        <v>65000</v>
      </c>
      <c r="AQ772" s="16">
        <v>120000</v>
      </c>
      <c r="AR772" s="16">
        <v>30000</v>
      </c>
      <c r="AS772" s="22">
        <v>0</v>
      </c>
      <c r="AT772" s="22">
        <v>60000</v>
      </c>
      <c r="AU772" s="22">
        <v>64800</v>
      </c>
      <c r="AV772" s="22">
        <v>37200</v>
      </c>
      <c r="AW772" s="22">
        <v>0</v>
      </c>
      <c r="AX772" s="66">
        <v>0</v>
      </c>
      <c r="AY772" s="17" t="s">
        <v>708</v>
      </c>
      <c r="AZ772" s="15" t="s">
        <v>351</v>
      </c>
      <c r="BA772" s="249">
        <f t="shared" si="23"/>
        <v>1</v>
      </c>
      <c r="BB772" s="249">
        <v>0</v>
      </c>
      <c r="BC772" s="249">
        <f t="shared" si="22"/>
        <v>1999</v>
      </c>
    </row>
    <row r="773" spans="1:55" x14ac:dyDescent="0.25">
      <c r="A773" s="51" t="s">
        <v>1442</v>
      </c>
      <c r="B773" s="63" t="s">
        <v>1498</v>
      </c>
      <c r="C773" s="14" t="s">
        <v>351</v>
      </c>
      <c r="D773" s="15">
        <v>2000</v>
      </c>
      <c r="E773" s="15" t="s">
        <v>477</v>
      </c>
      <c r="F773" s="15"/>
      <c r="G773" s="15"/>
      <c r="H773" s="15"/>
      <c r="I773" s="15"/>
      <c r="J773" s="16">
        <v>883571</v>
      </c>
      <c r="K773" s="15"/>
      <c r="L773" s="15"/>
      <c r="M773" s="15" t="s">
        <v>328</v>
      </c>
      <c r="N773" s="16">
        <v>5000</v>
      </c>
      <c r="O773" s="21">
        <v>0.2</v>
      </c>
      <c r="P773" s="15">
        <v>2</v>
      </c>
      <c r="Q773" s="15">
        <v>600</v>
      </c>
      <c r="R773" s="16">
        <v>1800</v>
      </c>
      <c r="S773" s="15" t="s">
        <v>340</v>
      </c>
      <c r="T773" s="15">
        <v>2.9</v>
      </c>
      <c r="U773" s="15">
        <v>3.4</v>
      </c>
      <c r="V773" s="25">
        <v>1500</v>
      </c>
      <c r="W773" s="22">
        <v>20000</v>
      </c>
      <c r="X773" s="15"/>
      <c r="Y773" s="15" t="s">
        <v>328</v>
      </c>
      <c r="Z773" s="15"/>
      <c r="AA773" s="15"/>
      <c r="AB773" s="15"/>
      <c r="AC773" s="15"/>
      <c r="AD773" s="15" t="s">
        <v>332</v>
      </c>
      <c r="AE773" s="15"/>
      <c r="AF773" s="15"/>
      <c r="AG773" s="15"/>
      <c r="AH773" s="15"/>
      <c r="AI773" s="15"/>
      <c r="AJ773" s="15"/>
      <c r="AK773" s="15"/>
      <c r="AL773" s="15"/>
      <c r="AM773" s="15"/>
      <c r="AN773" s="16">
        <v>30000</v>
      </c>
      <c r="AO773" s="16">
        <v>60000</v>
      </c>
      <c r="AP773" s="16">
        <v>120000</v>
      </c>
      <c r="AQ773" s="16">
        <v>120000</v>
      </c>
      <c r="AR773" s="16">
        <v>30000</v>
      </c>
      <c r="AS773" s="22">
        <v>0</v>
      </c>
      <c r="AT773" s="22">
        <v>0</v>
      </c>
      <c r="AU773" s="22">
        <v>25000</v>
      </c>
      <c r="AV773" s="22">
        <v>15000</v>
      </c>
      <c r="AW773" s="22">
        <v>0</v>
      </c>
      <c r="AX773" s="66">
        <v>0</v>
      </c>
      <c r="AY773" s="17" t="s">
        <v>1533</v>
      </c>
      <c r="AZ773" s="15" t="s">
        <v>351</v>
      </c>
      <c r="BA773" s="249">
        <f t="shared" si="23"/>
        <v>1</v>
      </c>
      <c r="BB773" s="249">
        <v>0</v>
      </c>
      <c r="BC773" s="249">
        <f t="shared" si="22"/>
        <v>2000</v>
      </c>
    </row>
    <row r="774" spans="1:55" x14ac:dyDescent="0.25">
      <c r="A774" s="51" t="s">
        <v>1442</v>
      </c>
      <c r="B774" s="63" t="s">
        <v>1501</v>
      </c>
      <c r="C774" s="14" t="s">
        <v>351</v>
      </c>
      <c r="D774" s="15">
        <v>1976</v>
      </c>
      <c r="E774" s="15" t="s">
        <v>407</v>
      </c>
      <c r="F774" s="15"/>
      <c r="G774" s="15"/>
      <c r="H774" s="15"/>
      <c r="I774" s="15"/>
      <c r="J774" s="16">
        <v>3648000</v>
      </c>
      <c r="K774" s="15"/>
      <c r="L774" s="15"/>
      <c r="M774" s="15" t="s">
        <v>328</v>
      </c>
      <c r="N774" s="16">
        <v>8000</v>
      </c>
      <c r="O774" s="21">
        <v>0.2</v>
      </c>
      <c r="P774" s="15">
        <v>2</v>
      </c>
      <c r="Q774" s="15">
        <v>800</v>
      </c>
      <c r="R774" s="16">
        <v>2200</v>
      </c>
      <c r="S774" s="15" t="s">
        <v>340</v>
      </c>
      <c r="T774" s="15">
        <v>2.8</v>
      </c>
      <c r="U774" s="15">
        <v>3.2</v>
      </c>
      <c r="V774" s="25">
        <v>2500</v>
      </c>
      <c r="W774" s="22">
        <v>35000</v>
      </c>
      <c r="X774" s="15"/>
      <c r="Y774" s="15" t="s">
        <v>328</v>
      </c>
      <c r="Z774" s="15"/>
      <c r="AA774" s="15"/>
      <c r="AB774" s="15"/>
      <c r="AC774" s="15"/>
      <c r="AD774" s="15" t="s">
        <v>332</v>
      </c>
      <c r="AE774" s="15"/>
      <c r="AF774" s="15"/>
      <c r="AG774" s="15"/>
      <c r="AH774" s="15"/>
      <c r="AI774" s="15"/>
      <c r="AJ774" s="15"/>
      <c r="AK774" s="15"/>
      <c r="AL774" s="15"/>
      <c r="AM774" s="15"/>
      <c r="AN774" s="16">
        <v>25000</v>
      </c>
      <c r="AO774" s="16">
        <v>50000</v>
      </c>
      <c r="AP774" s="16">
        <v>150000</v>
      </c>
      <c r="AQ774" s="16">
        <v>180000</v>
      </c>
      <c r="AR774" s="16">
        <v>25000</v>
      </c>
      <c r="AS774" s="22">
        <v>0</v>
      </c>
      <c r="AT774" s="22">
        <v>0</v>
      </c>
      <c r="AU774" s="22">
        <v>50000</v>
      </c>
      <c r="AV774" s="22">
        <v>15000</v>
      </c>
      <c r="AW774" s="22">
        <v>0</v>
      </c>
      <c r="AX774" s="66">
        <v>0</v>
      </c>
      <c r="AZ774" s="15" t="s">
        <v>351</v>
      </c>
      <c r="BA774" s="249">
        <f t="shared" si="23"/>
        <v>1</v>
      </c>
      <c r="BB774" s="249">
        <v>0</v>
      </c>
      <c r="BC774" s="249">
        <f t="shared" si="22"/>
        <v>1976</v>
      </c>
    </row>
    <row r="775" spans="1:55" x14ac:dyDescent="0.25">
      <c r="A775" s="51" t="s">
        <v>1442</v>
      </c>
      <c r="B775" s="63" t="s">
        <v>1504</v>
      </c>
      <c r="C775" s="15" t="s">
        <v>337</v>
      </c>
      <c r="D775" s="15">
        <v>2005</v>
      </c>
      <c r="E775" s="15" t="s">
        <v>475</v>
      </c>
      <c r="F775" s="15"/>
      <c r="G775" s="15"/>
      <c r="H775" s="15"/>
      <c r="I775" s="15"/>
      <c r="J775" s="16">
        <v>720692</v>
      </c>
      <c r="K775" s="15"/>
      <c r="L775" s="15" t="s">
        <v>328</v>
      </c>
      <c r="M775" s="15"/>
      <c r="N775" s="16">
        <v>10000</v>
      </c>
      <c r="O775" s="21">
        <v>0.5</v>
      </c>
      <c r="P775" s="15">
        <v>2</v>
      </c>
      <c r="Q775" s="15">
        <v>960</v>
      </c>
      <c r="R775" s="16">
        <v>2400</v>
      </c>
      <c r="S775" s="15" t="s">
        <v>340</v>
      </c>
      <c r="T775" s="15">
        <v>2.5</v>
      </c>
      <c r="U775" s="15">
        <v>2.7</v>
      </c>
      <c r="V775" s="25">
        <v>3600</v>
      </c>
      <c r="W775" s="22">
        <v>50000</v>
      </c>
      <c r="X775" s="15"/>
      <c r="Y775" s="15"/>
      <c r="Z775" s="15"/>
      <c r="AA775" s="15"/>
      <c r="AB775" s="15" t="s">
        <v>328</v>
      </c>
      <c r="AC775" s="15"/>
      <c r="AD775" s="15" t="s">
        <v>328</v>
      </c>
      <c r="AE775" s="15"/>
      <c r="AF775" s="15"/>
      <c r="AG775" s="15"/>
      <c r="AH775" s="15"/>
      <c r="AI775" s="15"/>
      <c r="AJ775" s="15"/>
      <c r="AK775" s="15"/>
      <c r="AL775" s="15"/>
      <c r="AM775" s="15"/>
      <c r="AN775" s="16">
        <v>20000</v>
      </c>
      <c r="AO775" s="16">
        <v>60000</v>
      </c>
      <c r="AP775" s="16">
        <v>100000</v>
      </c>
      <c r="AQ775" s="16">
        <v>120000</v>
      </c>
      <c r="AR775" s="16">
        <v>20000</v>
      </c>
      <c r="AS775" s="22">
        <v>0</v>
      </c>
      <c r="AT775" s="22">
        <v>0</v>
      </c>
      <c r="AU775" s="22">
        <v>90000</v>
      </c>
      <c r="AV775" s="22">
        <v>20000</v>
      </c>
      <c r="AW775" s="22">
        <v>24000</v>
      </c>
      <c r="AX775" s="66">
        <v>0</v>
      </c>
      <c r="AY775" s="17" t="s">
        <v>1531</v>
      </c>
      <c r="AZ775" s="15" t="s">
        <v>562</v>
      </c>
      <c r="BA775" s="249">
        <f t="shared" si="23"/>
        <v>1</v>
      </c>
      <c r="BB775" s="249">
        <v>0</v>
      </c>
      <c r="BC775" s="249">
        <f t="shared" si="22"/>
        <v>2005</v>
      </c>
    </row>
    <row r="776" spans="1:55" x14ac:dyDescent="0.25">
      <c r="A776" s="51" t="s">
        <v>1442</v>
      </c>
      <c r="B776" s="63" t="s">
        <v>1505</v>
      </c>
      <c r="C776" s="15" t="s">
        <v>337</v>
      </c>
      <c r="D776" s="15">
        <v>2006</v>
      </c>
      <c r="E776" s="15" t="s">
        <v>407</v>
      </c>
      <c r="F776" s="15"/>
      <c r="G776" s="15"/>
      <c r="H776" s="15"/>
      <c r="I776" s="15"/>
      <c r="J776" s="16">
        <v>680701</v>
      </c>
      <c r="K776" s="15"/>
      <c r="L776" s="15" t="s">
        <v>328</v>
      </c>
      <c r="M776" s="15"/>
      <c r="N776" s="16">
        <v>10000</v>
      </c>
      <c r="O776" s="21">
        <v>0.05</v>
      </c>
      <c r="P776" s="15">
        <v>2</v>
      </c>
      <c r="Q776" s="15">
        <v>960</v>
      </c>
      <c r="R776" s="16">
        <v>2400</v>
      </c>
      <c r="S776" s="15" t="s">
        <v>340</v>
      </c>
      <c r="T776" s="15">
        <v>2.5</v>
      </c>
      <c r="U776" s="15">
        <v>2.8</v>
      </c>
      <c r="V776" s="25">
        <v>3600</v>
      </c>
      <c r="W776" s="22">
        <v>50000</v>
      </c>
      <c r="X776" s="15"/>
      <c r="Y776" s="15"/>
      <c r="Z776" s="15"/>
      <c r="AA776" s="15"/>
      <c r="AB776" s="15"/>
      <c r="AC776" s="15" t="s">
        <v>328</v>
      </c>
      <c r="AD776" s="15" t="s">
        <v>328</v>
      </c>
      <c r="AE776" s="15"/>
      <c r="AF776" s="15"/>
      <c r="AG776" s="15"/>
      <c r="AH776" s="15"/>
      <c r="AI776" s="15" t="s">
        <v>328</v>
      </c>
      <c r="AJ776" s="15"/>
      <c r="AK776" s="15"/>
      <c r="AL776" s="15"/>
      <c r="AM776" s="15"/>
      <c r="AN776" s="16">
        <v>20000</v>
      </c>
      <c r="AO776" s="16">
        <v>60000</v>
      </c>
      <c r="AP776" s="16">
        <v>200000</v>
      </c>
      <c r="AQ776" s="16">
        <v>120000</v>
      </c>
      <c r="AR776" s="16">
        <v>20000</v>
      </c>
      <c r="AS776" s="22">
        <v>0</v>
      </c>
      <c r="AT776" s="22">
        <v>0</v>
      </c>
      <c r="AU776" s="22">
        <v>80000</v>
      </c>
      <c r="AV776" s="22">
        <v>20000</v>
      </c>
      <c r="AW776" s="22">
        <v>30000</v>
      </c>
      <c r="AX776" s="66">
        <v>0</v>
      </c>
      <c r="AY776" s="17" t="s">
        <v>574</v>
      </c>
      <c r="AZ776" s="15" t="s">
        <v>562</v>
      </c>
      <c r="BA776" s="249">
        <f t="shared" si="23"/>
        <v>1</v>
      </c>
      <c r="BB776" s="249">
        <v>0</v>
      </c>
      <c r="BC776" s="249">
        <f t="shared" ref="BC776:BC839" si="24">IF(H776&gt;D776,(IF(H776&gt;F776,H776,(IF(F776&gt;D776,F776,D776)))),(IF(F776&gt;D776,F776,D776)))</f>
        <v>2006</v>
      </c>
    </row>
    <row r="777" spans="1:55" x14ac:dyDescent="0.25">
      <c r="A777" s="51" t="s">
        <v>1508</v>
      </c>
      <c r="B777" s="63" t="s">
        <v>1509</v>
      </c>
      <c r="C777" s="15" t="s">
        <v>337</v>
      </c>
      <c r="D777" s="15">
        <v>2007</v>
      </c>
      <c r="E777" s="15" t="s">
        <v>407</v>
      </c>
      <c r="F777" s="15"/>
      <c r="G777" s="15"/>
      <c r="H777" s="15"/>
      <c r="I777" s="15"/>
      <c r="J777" s="16">
        <v>700923</v>
      </c>
      <c r="K777" s="15"/>
      <c r="L777" s="15" t="s">
        <v>328</v>
      </c>
      <c r="M777" s="15"/>
      <c r="N777" s="16">
        <v>10000</v>
      </c>
      <c r="O777" s="21">
        <v>0.5</v>
      </c>
      <c r="P777" s="15">
        <v>2</v>
      </c>
      <c r="Q777" s="15">
        <v>900</v>
      </c>
      <c r="R777" s="16">
        <v>2000</v>
      </c>
      <c r="S777" s="15" t="s">
        <v>340</v>
      </c>
      <c r="T777" s="15">
        <v>2.5</v>
      </c>
      <c r="U777" s="15">
        <v>2.7</v>
      </c>
      <c r="V777" s="25">
        <v>3600</v>
      </c>
      <c r="W777" s="22">
        <v>50000</v>
      </c>
      <c r="X777" s="15"/>
      <c r="Y777" s="15"/>
      <c r="Z777" s="15"/>
      <c r="AA777" s="15"/>
      <c r="AB777" s="15" t="s">
        <v>328</v>
      </c>
      <c r="AC777" s="15"/>
      <c r="AD777" s="15" t="s">
        <v>328</v>
      </c>
      <c r="AE777" s="15"/>
      <c r="AF777" s="15"/>
      <c r="AG777" s="15"/>
      <c r="AH777" s="15"/>
      <c r="AI777" s="15" t="s">
        <v>328</v>
      </c>
      <c r="AJ777" s="15"/>
      <c r="AK777" s="15"/>
      <c r="AL777" s="15" t="s">
        <v>328</v>
      </c>
      <c r="AM777" s="15"/>
      <c r="AN777" s="16">
        <v>20000</v>
      </c>
      <c r="AO777" s="16">
        <v>40000</v>
      </c>
      <c r="AP777" s="16">
        <v>80000</v>
      </c>
      <c r="AQ777" s="16">
        <v>120000</v>
      </c>
      <c r="AR777" s="16">
        <v>20000</v>
      </c>
      <c r="AS777" s="22">
        <v>200000</v>
      </c>
      <c r="AT777" s="22">
        <v>0</v>
      </c>
      <c r="AU777" s="22">
        <v>90000</v>
      </c>
      <c r="AV777" s="22">
        <v>25000</v>
      </c>
      <c r="AW777" s="22">
        <v>36000</v>
      </c>
      <c r="AX777" s="66">
        <v>0</v>
      </c>
      <c r="AY777" s="17" t="s">
        <v>574</v>
      </c>
      <c r="AZ777" s="15" t="s">
        <v>562</v>
      </c>
      <c r="BA777" s="249">
        <f t="shared" ref="BA777:BA840" si="25">COUNTIF($B$8:$B$987,B777)</f>
        <v>3</v>
      </c>
      <c r="BB777" s="249">
        <v>0</v>
      </c>
      <c r="BC777" s="249">
        <f t="shared" si="24"/>
        <v>2007</v>
      </c>
    </row>
    <row r="778" spans="1:55" x14ac:dyDescent="0.25">
      <c r="A778" s="51" t="s">
        <v>1508</v>
      </c>
      <c r="B778" s="63" t="s">
        <v>1509</v>
      </c>
      <c r="C778" s="15" t="s">
        <v>337</v>
      </c>
      <c r="D778" s="15">
        <v>2008</v>
      </c>
      <c r="E778" s="15" t="s">
        <v>407</v>
      </c>
      <c r="F778" s="15"/>
      <c r="G778" s="15"/>
      <c r="H778" s="15"/>
      <c r="I778" s="15"/>
      <c r="J778" s="16">
        <v>618431</v>
      </c>
      <c r="K778" s="15"/>
      <c r="L778" s="15" t="s">
        <v>328</v>
      </c>
      <c r="M778" s="15"/>
      <c r="N778" s="16">
        <v>10000</v>
      </c>
      <c r="O778" s="21">
        <v>0.5</v>
      </c>
      <c r="P778" s="15">
        <v>2</v>
      </c>
      <c r="Q778" s="15">
        <v>950</v>
      </c>
      <c r="R778" s="16">
        <v>2000</v>
      </c>
      <c r="S778" s="15" t="s">
        <v>340</v>
      </c>
      <c r="T778" s="15">
        <v>2.5</v>
      </c>
      <c r="U778" s="15">
        <v>2.7</v>
      </c>
      <c r="V778" s="25">
        <v>3600</v>
      </c>
      <c r="W778" s="22">
        <v>50000</v>
      </c>
      <c r="X778" s="15"/>
      <c r="Y778" s="15"/>
      <c r="Z778" s="15"/>
      <c r="AA778" s="15"/>
      <c r="AB778" s="15"/>
      <c r="AC778" s="15" t="s">
        <v>328</v>
      </c>
      <c r="AD778" s="15" t="s">
        <v>328</v>
      </c>
      <c r="AE778" s="15"/>
      <c r="AF778" s="15"/>
      <c r="AG778" s="15"/>
      <c r="AH778" s="15"/>
      <c r="AI778" s="15" t="s">
        <v>328</v>
      </c>
      <c r="AJ778" s="15"/>
      <c r="AK778" s="15"/>
      <c r="AL778" s="15" t="s">
        <v>328</v>
      </c>
      <c r="AM778" s="15"/>
      <c r="AN778" s="16">
        <v>20000</v>
      </c>
      <c r="AO778" s="16">
        <v>40000</v>
      </c>
      <c r="AP778" s="16">
        <v>80000</v>
      </c>
      <c r="AQ778" s="16">
        <v>120000</v>
      </c>
      <c r="AR778" s="16">
        <v>20000</v>
      </c>
      <c r="AS778" s="22">
        <v>200000</v>
      </c>
      <c r="AT778" s="22">
        <v>0</v>
      </c>
      <c r="AU778" s="22">
        <v>90000</v>
      </c>
      <c r="AV778" s="22">
        <v>25000</v>
      </c>
      <c r="AW778" s="22">
        <v>36000</v>
      </c>
      <c r="AX778" s="66">
        <v>0</v>
      </c>
      <c r="AY778" s="17" t="s">
        <v>574</v>
      </c>
      <c r="AZ778" s="15" t="s">
        <v>562</v>
      </c>
      <c r="BA778" s="249">
        <f t="shared" si="25"/>
        <v>3</v>
      </c>
      <c r="BB778" s="249">
        <v>0</v>
      </c>
      <c r="BC778" s="249">
        <f t="shared" si="24"/>
        <v>2008</v>
      </c>
    </row>
    <row r="779" spans="1:55" x14ac:dyDescent="0.25">
      <c r="A779" s="51" t="s">
        <v>1508</v>
      </c>
      <c r="B779" s="63" t="s">
        <v>1509</v>
      </c>
      <c r="C779" s="15" t="s">
        <v>337</v>
      </c>
      <c r="D779" s="15">
        <v>2008</v>
      </c>
      <c r="E779" s="15" t="s">
        <v>407</v>
      </c>
      <c r="F779" s="15"/>
      <c r="G779" s="15"/>
      <c r="H779" s="15"/>
      <c r="I779" s="15"/>
      <c r="J779" s="16">
        <v>623702</v>
      </c>
      <c r="K779" s="15"/>
      <c r="L779" s="15" t="s">
        <v>328</v>
      </c>
      <c r="M779" s="15"/>
      <c r="N779" s="16">
        <v>10000</v>
      </c>
      <c r="O779" s="21">
        <v>0.5</v>
      </c>
      <c r="P779" s="15">
        <v>2</v>
      </c>
      <c r="Q779" s="15">
        <v>950</v>
      </c>
      <c r="R779" s="16">
        <v>2000</v>
      </c>
      <c r="S779" s="15" t="s">
        <v>340</v>
      </c>
      <c r="T779" s="15">
        <v>2.5</v>
      </c>
      <c r="U779" s="15">
        <v>2.7</v>
      </c>
      <c r="V779" s="25">
        <v>3600</v>
      </c>
      <c r="W779" s="22">
        <v>50000</v>
      </c>
      <c r="X779" s="15"/>
      <c r="Y779" s="15"/>
      <c r="Z779" s="15"/>
      <c r="AA779" s="15"/>
      <c r="AB779" s="15"/>
      <c r="AC779" s="15" t="s">
        <v>328</v>
      </c>
      <c r="AD779" s="15" t="s">
        <v>328</v>
      </c>
      <c r="AE779" s="15"/>
      <c r="AF779" s="15"/>
      <c r="AG779" s="15"/>
      <c r="AH779" s="15"/>
      <c r="AI779" s="15" t="s">
        <v>328</v>
      </c>
      <c r="AJ779" s="15"/>
      <c r="AK779" s="15"/>
      <c r="AL779" s="15" t="s">
        <v>328</v>
      </c>
      <c r="AM779" s="15"/>
      <c r="AN779" s="16">
        <v>20000</v>
      </c>
      <c r="AO779" s="16">
        <v>40000</v>
      </c>
      <c r="AP779" s="16">
        <v>80000</v>
      </c>
      <c r="AQ779" s="16">
        <v>120000</v>
      </c>
      <c r="AR779" s="16">
        <v>20000</v>
      </c>
      <c r="AS779" s="22">
        <v>200000</v>
      </c>
      <c r="AT779" s="22">
        <v>0</v>
      </c>
      <c r="AU779" s="22">
        <v>90000</v>
      </c>
      <c r="AV779" s="22">
        <v>25000</v>
      </c>
      <c r="AW779" s="22">
        <v>36000</v>
      </c>
      <c r="AX779" s="66">
        <v>0</v>
      </c>
      <c r="AY779" s="17" t="s">
        <v>574</v>
      </c>
      <c r="AZ779" s="15" t="s">
        <v>562</v>
      </c>
      <c r="BA779" s="249">
        <f t="shared" si="25"/>
        <v>3</v>
      </c>
      <c r="BB779" s="249">
        <v>0</v>
      </c>
      <c r="BC779" s="249">
        <f t="shared" si="24"/>
        <v>2008</v>
      </c>
    </row>
    <row r="780" spans="1:55" x14ac:dyDescent="0.25">
      <c r="A780" s="51" t="s">
        <v>1508</v>
      </c>
      <c r="B780" s="63" t="s">
        <v>1512</v>
      </c>
      <c r="C780" s="15" t="s">
        <v>337</v>
      </c>
      <c r="D780" s="15">
        <v>2009</v>
      </c>
      <c r="E780" s="15" t="s">
        <v>475</v>
      </c>
      <c r="F780" s="15"/>
      <c r="G780" s="15"/>
      <c r="H780" s="15"/>
      <c r="I780" s="15"/>
      <c r="J780" s="16">
        <v>297517</v>
      </c>
      <c r="K780" s="15" t="s">
        <v>328</v>
      </c>
      <c r="L780" s="15"/>
      <c r="M780" s="15"/>
      <c r="N780" s="16">
        <v>10000</v>
      </c>
      <c r="O780" s="21">
        <v>0.5</v>
      </c>
      <c r="P780" s="15">
        <v>2</v>
      </c>
      <c r="Q780" s="15">
        <v>980</v>
      </c>
      <c r="R780" s="16">
        <v>2000</v>
      </c>
      <c r="S780" s="15" t="s">
        <v>340</v>
      </c>
      <c r="T780" s="15">
        <v>2.5</v>
      </c>
      <c r="U780" s="15">
        <v>2.7</v>
      </c>
      <c r="V780" s="25">
        <v>3600</v>
      </c>
      <c r="W780" s="22">
        <v>50000</v>
      </c>
      <c r="X780" s="15"/>
      <c r="Y780" s="15"/>
      <c r="Z780" s="15"/>
      <c r="AA780" s="15"/>
      <c r="AB780" s="15"/>
      <c r="AC780" s="15" t="s">
        <v>328</v>
      </c>
      <c r="AD780" s="15" t="s">
        <v>328</v>
      </c>
      <c r="AE780" s="15"/>
      <c r="AF780" s="15"/>
      <c r="AG780" s="15"/>
      <c r="AH780" s="15"/>
      <c r="AI780" s="15"/>
      <c r="AJ780" s="15"/>
      <c r="AK780" s="15"/>
      <c r="AL780" s="15" t="s">
        <v>328</v>
      </c>
      <c r="AM780" s="15"/>
      <c r="AN780" s="16">
        <v>20000</v>
      </c>
      <c r="AO780" s="16">
        <v>40000</v>
      </c>
      <c r="AP780" s="16">
        <v>120000</v>
      </c>
      <c r="AQ780" s="16">
        <v>120000</v>
      </c>
      <c r="AR780" s="16">
        <v>20000</v>
      </c>
      <c r="AS780" s="22">
        <v>180000</v>
      </c>
      <c r="AT780" s="22">
        <v>0</v>
      </c>
      <c r="AU780" s="22">
        <v>80000</v>
      </c>
      <c r="AV780" s="22">
        <v>20000</v>
      </c>
      <c r="AW780" s="22">
        <v>30000</v>
      </c>
      <c r="AX780" s="66">
        <v>0</v>
      </c>
      <c r="AY780" s="17" t="s">
        <v>1531</v>
      </c>
      <c r="AZ780" s="15" t="s">
        <v>562</v>
      </c>
      <c r="BA780" s="249">
        <f t="shared" si="25"/>
        <v>2</v>
      </c>
      <c r="BB780" s="249">
        <v>0</v>
      </c>
      <c r="BC780" s="249">
        <f t="shared" si="24"/>
        <v>2009</v>
      </c>
    </row>
    <row r="781" spans="1:55" x14ac:dyDescent="0.25">
      <c r="A781" s="51" t="s">
        <v>1508</v>
      </c>
      <c r="B781" s="63" t="s">
        <v>1512</v>
      </c>
      <c r="C781" s="15" t="s">
        <v>348</v>
      </c>
      <c r="D781" s="15">
        <v>2008</v>
      </c>
      <c r="E781" s="15" t="s">
        <v>349</v>
      </c>
      <c r="F781" s="15"/>
      <c r="G781" s="15"/>
      <c r="H781" s="15"/>
      <c r="I781" s="15"/>
      <c r="J781" s="16">
        <v>310822</v>
      </c>
      <c r="K781" s="15" t="s">
        <v>328</v>
      </c>
      <c r="L781" s="15"/>
      <c r="M781" s="15"/>
      <c r="N781" s="16">
        <v>10000</v>
      </c>
      <c r="O781" s="21">
        <v>0.5</v>
      </c>
      <c r="P781" s="15">
        <v>2</v>
      </c>
      <c r="Q781" s="15">
        <v>580</v>
      </c>
      <c r="R781" s="16">
        <v>2000</v>
      </c>
      <c r="S781" s="15" t="s">
        <v>340</v>
      </c>
      <c r="T781" s="15">
        <v>3.1</v>
      </c>
      <c r="U781" s="15">
        <v>4.2</v>
      </c>
      <c r="V781" s="25">
        <v>2100</v>
      </c>
      <c r="W781" s="22">
        <v>30000</v>
      </c>
      <c r="X781" s="15"/>
      <c r="Y781" s="15"/>
      <c r="Z781" s="15"/>
      <c r="AA781" s="15"/>
      <c r="AB781" s="15"/>
      <c r="AC781" s="15" t="s">
        <v>328</v>
      </c>
      <c r="AD781" s="15" t="s">
        <v>328</v>
      </c>
      <c r="AE781" s="15"/>
      <c r="AF781" s="15"/>
      <c r="AG781" s="15"/>
      <c r="AH781" s="15"/>
      <c r="AI781" s="15"/>
      <c r="AJ781" s="15"/>
      <c r="AK781" s="15"/>
      <c r="AL781" s="15" t="s">
        <v>328</v>
      </c>
      <c r="AM781" s="15"/>
      <c r="AN781" s="16">
        <v>20000</v>
      </c>
      <c r="AO781" s="16">
        <v>40000</v>
      </c>
      <c r="AP781" s="16">
        <v>120000</v>
      </c>
      <c r="AQ781" s="16">
        <v>120000</v>
      </c>
      <c r="AR781" s="16">
        <v>20000</v>
      </c>
      <c r="AS781" s="22">
        <v>144000</v>
      </c>
      <c r="AT781" s="22">
        <v>0</v>
      </c>
      <c r="AU781" s="22">
        <v>30000</v>
      </c>
      <c r="AV781" s="22">
        <v>20000</v>
      </c>
      <c r="AW781" s="22">
        <v>17000</v>
      </c>
      <c r="AX781" s="66">
        <v>0</v>
      </c>
      <c r="AY781" s="17" t="s">
        <v>701</v>
      </c>
      <c r="AZ781" s="15" t="s">
        <v>348</v>
      </c>
      <c r="BA781" s="249">
        <f t="shared" si="25"/>
        <v>2</v>
      </c>
      <c r="BB781" s="249">
        <v>0</v>
      </c>
      <c r="BC781" s="249">
        <f t="shared" si="24"/>
        <v>2008</v>
      </c>
    </row>
    <row r="782" spans="1:55" x14ac:dyDescent="0.25">
      <c r="A782" s="51" t="s">
        <v>1508</v>
      </c>
      <c r="B782" s="63" t="s">
        <v>1513</v>
      </c>
      <c r="C782" s="15" t="s">
        <v>337</v>
      </c>
      <c r="D782" s="15">
        <v>2007</v>
      </c>
      <c r="E782" s="15" t="s">
        <v>407</v>
      </c>
      <c r="F782" s="15"/>
      <c r="G782" s="15"/>
      <c r="H782" s="15"/>
      <c r="I782" s="15"/>
      <c r="J782" s="16">
        <v>730132</v>
      </c>
      <c r="K782" s="15" t="s">
        <v>328</v>
      </c>
      <c r="L782" s="15"/>
      <c r="M782" s="15"/>
      <c r="N782" s="16">
        <v>10000</v>
      </c>
      <c r="O782" s="21">
        <v>0.5</v>
      </c>
      <c r="P782" s="15">
        <v>2</v>
      </c>
      <c r="Q782" s="15">
        <v>960</v>
      </c>
      <c r="R782" s="16">
        <v>2300</v>
      </c>
      <c r="S782" s="15" t="s">
        <v>340</v>
      </c>
      <c r="T782" s="15">
        <v>2.5</v>
      </c>
      <c r="U782" s="15">
        <v>2.7</v>
      </c>
      <c r="V782" s="25">
        <v>4300</v>
      </c>
      <c r="W782" s="22">
        <v>60000</v>
      </c>
      <c r="X782" s="15"/>
      <c r="Y782" s="15"/>
      <c r="Z782" s="15"/>
      <c r="AA782" s="15"/>
      <c r="AB782" s="15" t="s">
        <v>328</v>
      </c>
      <c r="AC782" s="15"/>
      <c r="AD782" s="15" t="s">
        <v>328</v>
      </c>
      <c r="AE782" s="15"/>
      <c r="AF782" s="15"/>
      <c r="AG782" s="15"/>
      <c r="AH782" s="15"/>
      <c r="AI782" s="15" t="s">
        <v>328</v>
      </c>
      <c r="AJ782" s="15"/>
      <c r="AK782" s="15"/>
      <c r="AL782" s="15" t="s">
        <v>328</v>
      </c>
      <c r="AM782" s="15"/>
      <c r="AN782" s="16">
        <v>18000</v>
      </c>
      <c r="AO782" s="16">
        <v>36000</v>
      </c>
      <c r="AP782" s="16">
        <v>150000</v>
      </c>
      <c r="AQ782" s="16">
        <v>180000</v>
      </c>
      <c r="AR782" s="16">
        <v>36000</v>
      </c>
      <c r="AS782" s="22">
        <v>210000</v>
      </c>
      <c r="AT782" s="22">
        <v>0</v>
      </c>
      <c r="AU782" s="22">
        <v>90000</v>
      </c>
      <c r="AV782" s="22">
        <v>30000</v>
      </c>
      <c r="AW782" s="22">
        <v>37200</v>
      </c>
      <c r="AX782" s="66">
        <v>0</v>
      </c>
      <c r="AY782" s="17" t="s">
        <v>574</v>
      </c>
      <c r="AZ782" s="15" t="s">
        <v>562</v>
      </c>
      <c r="BA782" s="249">
        <f t="shared" si="25"/>
        <v>4</v>
      </c>
      <c r="BB782" s="249">
        <v>0</v>
      </c>
      <c r="BC782" s="249">
        <f t="shared" si="24"/>
        <v>2007</v>
      </c>
    </row>
    <row r="783" spans="1:55" x14ac:dyDescent="0.25">
      <c r="A783" s="51" t="s">
        <v>1508</v>
      </c>
      <c r="B783" s="63" t="s">
        <v>1513</v>
      </c>
      <c r="C783" s="15" t="s">
        <v>337</v>
      </c>
      <c r="D783" s="15">
        <v>2007</v>
      </c>
      <c r="E783" s="15" t="s">
        <v>407</v>
      </c>
      <c r="F783" s="15"/>
      <c r="G783" s="15"/>
      <c r="H783" s="15"/>
      <c r="I783" s="15"/>
      <c r="J783" s="16">
        <v>712651</v>
      </c>
      <c r="K783" s="15" t="s">
        <v>328</v>
      </c>
      <c r="L783" s="15"/>
      <c r="M783" s="15"/>
      <c r="N783" s="16">
        <v>10000</v>
      </c>
      <c r="O783" s="21">
        <v>0.5</v>
      </c>
      <c r="P783" s="15">
        <v>2</v>
      </c>
      <c r="Q783" s="15">
        <v>960</v>
      </c>
      <c r="R783" s="16">
        <v>2300</v>
      </c>
      <c r="S783" s="15" t="s">
        <v>340</v>
      </c>
      <c r="T783" s="15">
        <v>2.5</v>
      </c>
      <c r="U783" s="15">
        <v>2.7</v>
      </c>
      <c r="V783" s="25">
        <v>4300</v>
      </c>
      <c r="W783" s="22">
        <v>60000</v>
      </c>
      <c r="X783" s="15"/>
      <c r="Y783" s="15"/>
      <c r="Z783" s="15"/>
      <c r="AA783" s="15"/>
      <c r="AB783" s="15" t="s">
        <v>328</v>
      </c>
      <c r="AC783" s="15"/>
      <c r="AD783" s="15" t="s">
        <v>328</v>
      </c>
      <c r="AE783" s="15"/>
      <c r="AF783" s="15"/>
      <c r="AG783" s="15"/>
      <c r="AH783" s="15"/>
      <c r="AI783" s="15" t="s">
        <v>328</v>
      </c>
      <c r="AJ783" s="15"/>
      <c r="AK783" s="15"/>
      <c r="AL783" s="15" t="s">
        <v>328</v>
      </c>
      <c r="AM783" s="15"/>
      <c r="AN783" s="16">
        <v>18000</v>
      </c>
      <c r="AO783" s="16">
        <v>36000</v>
      </c>
      <c r="AP783" s="16">
        <v>150000</v>
      </c>
      <c r="AQ783" s="16">
        <v>180000</v>
      </c>
      <c r="AR783" s="16">
        <v>36000</v>
      </c>
      <c r="AS783" s="22">
        <v>210000</v>
      </c>
      <c r="AT783" s="22">
        <v>0</v>
      </c>
      <c r="AU783" s="22">
        <v>90000</v>
      </c>
      <c r="AV783" s="22">
        <v>30000</v>
      </c>
      <c r="AW783" s="22">
        <v>37200</v>
      </c>
      <c r="AX783" s="66">
        <v>0</v>
      </c>
      <c r="AY783" s="17" t="s">
        <v>574</v>
      </c>
      <c r="AZ783" s="15" t="s">
        <v>562</v>
      </c>
      <c r="BA783" s="249">
        <f t="shared" si="25"/>
        <v>4</v>
      </c>
      <c r="BB783" s="249">
        <v>0</v>
      </c>
      <c r="BC783" s="249">
        <f t="shared" si="24"/>
        <v>2007</v>
      </c>
    </row>
    <row r="784" spans="1:55" x14ac:dyDescent="0.25">
      <c r="A784" s="51" t="s">
        <v>1508</v>
      </c>
      <c r="B784" s="63" t="s">
        <v>1513</v>
      </c>
      <c r="C784" s="15" t="s">
        <v>337</v>
      </c>
      <c r="D784" s="15">
        <v>2007</v>
      </c>
      <c r="E784" s="15" t="s">
        <v>407</v>
      </c>
      <c r="F784" s="15"/>
      <c r="G784" s="15"/>
      <c r="H784" s="15"/>
      <c r="I784" s="15"/>
      <c r="J784" s="16">
        <v>693824</v>
      </c>
      <c r="K784" s="15" t="s">
        <v>328</v>
      </c>
      <c r="L784" s="15"/>
      <c r="M784" s="15"/>
      <c r="N784" s="16">
        <v>10000</v>
      </c>
      <c r="O784" s="21">
        <v>0.5</v>
      </c>
      <c r="P784" s="15">
        <v>2</v>
      </c>
      <c r="Q784" s="15">
        <v>960</v>
      </c>
      <c r="R784" s="16">
        <v>2300</v>
      </c>
      <c r="S784" s="15" t="s">
        <v>340</v>
      </c>
      <c r="T784" s="15">
        <v>2.5</v>
      </c>
      <c r="U784" s="15">
        <v>2.7</v>
      </c>
      <c r="V784" s="25">
        <v>4300</v>
      </c>
      <c r="W784" s="22">
        <v>60000</v>
      </c>
      <c r="X784" s="15"/>
      <c r="Y784" s="15"/>
      <c r="Z784" s="15"/>
      <c r="AA784" s="15"/>
      <c r="AB784" s="15" t="s">
        <v>328</v>
      </c>
      <c r="AC784" s="15"/>
      <c r="AD784" s="15" t="s">
        <v>328</v>
      </c>
      <c r="AE784" s="15"/>
      <c r="AF784" s="15"/>
      <c r="AG784" s="15"/>
      <c r="AH784" s="15"/>
      <c r="AI784" s="15" t="s">
        <v>328</v>
      </c>
      <c r="AJ784" s="15"/>
      <c r="AK784" s="15"/>
      <c r="AL784" s="15" t="s">
        <v>328</v>
      </c>
      <c r="AM784" s="15"/>
      <c r="AN784" s="16">
        <v>18000</v>
      </c>
      <c r="AO784" s="16">
        <v>36000</v>
      </c>
      <c r="AP784" s="16">
        <v>150000</v>
      </c>
      <c r="AQ784" s="16">
        <v>180000</v>
      </c>
      <c r="AR784" s="16">
        <v>36000</v>
      </c>
      <c r="AS784" s="22">
        <v>210000</v>
      </c>
      <c r="AT784" s="22">
        <v>0</v>
      </c>
      <c r="AU784" s="22">
        <v>90000</v>
      </c>
      <c r="AV784" s="22">
        <v>30000</v>
      </c>
      <c r="AW784" s="22">
        <v>37200</v>
      </c>
      <c r="AX784" s="66">
        <v>0</v>
      </c>
      <c r="AY784" s="17" t="s">
        <v>574</v>
      </c>
      <c r="AZ784" s="15" t="s">
        <v>562</v>
      </c>
      <c r="BA784" s="249">
        <f t="shared" si="25"/>
        <v>4</v>
      </c>
      <c r="BB784" s="249">
        <v>0</v>
      </c>
      <c r="BC784" s="249">
        <f t="shared" si="24"/>
        <v>2007</v>
      </c>
    </row>
    <row r="785" spans="1:55" x14ac:dyDescent="0.25">
      <c r="A785" s="51" t="s">
        <v>1508</v>
      </c>
      <c r="B785" s="63" t="s">
        <v>1513</v>
      </c>
      <c r="C785" s="15" t="s">
        <v>348</v>
      </c>
      <c r="D785" s="15">
        <v>2008</v>
      </c>
      <c r="E785" s="15" t="s">
        <v>407</v>
      </c>
      <c r="F785" s="15"/>
      <c r="G785" s="15"/>
      <c r="H785" s="15"/>
      <c r="I785" s="15"/>
      <c r="J785" s="16">
        <v>801692</v>
      </c>
      <c r="K785" s="15" t="s">
        <v>328</v>
      </c>
      <c r="L785" s="15"/>
      <c r="M785" s="15"/>
      <c r="N785" s="16">
        <v>10000</v>
      </c>
      <c r="O785" s="21">
        <v>0.2</v>
      </c>
      <c r="P785" s="15">
        <v>2</v>
      </c>
      <c r="Q785" s="15">
        <v>580</v>
      </c>
      <c r="R785" s="16">
        <v>2300</v>
      </c>
      <c r="S785" s="15" t="s">
        <v>340</v>
      </c>
      <c r="T785" s="15">
        <v>3.9</v>
      </c>
      <c r="U785" s="15">
        <v>4.3</v>
      </c>
      <c r="V785" s="25">
        <v>2600</v>
      </c>
      <c r="W785" s="22">
        <v>36000</v>
      </c>
      <c r="X785" s="15"/>
      <c r="Y785" s="15"/>
      <c r="Z785" s="15"/>
      <c r="AA785" s="15"/>
      <c r="AB785" s="15" t="s">
        <v>328</v>
      </c>
      <c r="AC785" s="15"/>
      <c r="AD785" s="15" t="s">
        <v>328</v>
      </c>
      <c r="AE785" s="15"/>
      <c r="AF785" s="15"/>
      <c r="AG785" s="15"/>
      <c r="AH785" s="15"/>
      <c r="AI785" s="15"/>
      <c r="AJ785" s="15"/>
      <c r="AK785" s="15"/>
      <c r="AL785" s="15" t="s">
        <v>328</v>
      </c>
      <c r="AM785" s="15"/>
      <c r="AN785" s="16">
        <v>18000</v>
      </c>
      <c r="AO785" s="16">
        <v>36000</v>
      </c>
      <c r="AP785" s="16">
        <v>150000</v>
      </c>
      <c r="AQ785" s="16">
        <v>180000</v>
      </c>
      <c r="AR785" s="16">
        <v>36000</v>
      </c>
      <c r="AS785" s="22">
        <v>144000</v>
      </c>
      <c r="AT785" s="22">
        <v>0</v>
      </c>
      <c r="AU785" s="22">
        <v>30000</v>
      </c>
      <c r="AV785" s="22">
        <v>30000</v>
      </c>
      <c r="AW785" s="22">
        <v>21600</v>
      </c>
      <c r="AX785" s="66">
        <v>0</v>
      </c>
      <c r="AY785" s="17" t="s">
        <v>703</v>
      </c>
      <c r="AZ785" s="15" t="s">
        <v>348</v>
      </c>
      <c r="BA785" s="249">
        <f t="shared" si="25"/>
        <v>4</v>
      </c>
      <c r="BB785" s="249">
        <v>0</v>
      </c>
      <c r="BC785" s="249">
        <f t="shared" si="24"/>
        <v>2008</v>
      </c>
    </row>
    <row r="786" spans="1:55" x14ac:dyDescent="0.25">
      <c r="A786" s="51" t="s">
        <v>1508</v>
      </c>
      <c r="B786" s="63" t="s">
        <v>1514</v>
      </c>
      <c r="C786" s="15" t="s">
        <v>337</v>
      </c>
      <c r="D786" s="15">
        <v>2007</v>
      </c>
      <c r="E786" s="15" t="s">
        <v>475</v>
      </c>
      <c r="F786" s="15"/>
      <c r="G786" s="15"/>
      <c r="H786" s="15"/>
      <c r="I786" s="15"/>
      <c r="J786" s="16">
        <v>708615</v>
      </c>
      <c r="K786" s="15" t="s">
        <v>328</v>
      </c>
      <c r="L786" s="15"/>
      <c r="M786" s="15"/>
      <c r="N786" s="16">
        <v>10000</v>
      </c>
      <c r="O786" s="21">
        <v>0.5</v>
      </c>
      <c r="P786" s="15">
        <v>3</v>
      </c>
      <c r="Q786" s="15">
        <v>1180</v>
      </c>
      <c r="R786" s="16">
        <v>1500</v>
      </c>
      <c r="S786" s="15" t="s">
        <v>340</v>
      </c>
      <c r="T786" s="15">
        <v>1.3</v>
      </c>
      <c r="U786" s="15">
        <v>1.6</v>
      </c>
      <c r="V786" s="25">
        <v>6000</v>
      </c>
      <c r="W786" s="22">
        <v>85000</v>
      </c>
      <c r="X786" s="15"/>
      <c r="Y786" s="15"/>
      <c r="Z786" s="15"/>
      <c r="AA786" s="15"/>
      <c r="AB786" s="15" t="s">
        <v>328</v>
      </c>
      <c r="AC786" s="15"/>
      <c r="AD786" s="15" t="s">
        <v>328</v>
      </c>
      <c r="AE786" s="15"/>
      <c r="AF786" s="15"/>
      <c r="AG786" s="15"/>
      <c r="AH786" s="15"/>
      <c r="AI786" s="15"/>
      <c r="AJ786" s="15"/>
      <c r="AK786" s="15"/>
      <c r="AL786" s="15" t="s">
        <v>328</v>
      </c>
      <c r="AM786" s="15"/>
      <c r="AN786" s="16">
        <v>30000</v>
      </c>
      <c r="AO786" s="16">
        <v>60000</v>
      </c>
      <c r="AP786" s="16">
        <v>180000</v>
      </c>
      <c r="AQ786" s="16">
        <v>120000</v>
      </c>
      <c r="AR786" s="16">
        <v>60000</v>
      </c>
      <c r="AS786" s="22">
        <v>240000</v>
      </c>
      <c r="AT786" s="22">
        <v>0</v>
      </c>
      <c r="AU786" s="22">
        <v>150000</v>
      </c>
      <c r="AV786" s="22">
        <v>30000</v>
      </c>
      <c r="AW786" s="22">
        <v>40000</v>
      </c>
      <c r="AX786" s="66">
        <v>0</v>
      </c>
      <c r="AY786" s="17" t="s">
        <v>1531</v>
      </c>
      <c r="AZ786" s="15" t="s">
        <v>693</v>
      </c>
      <c r="BA786" s="249">
        <f t="shared" si="25"/>
        <v>3</v>
      </c>
      <c r="BB786" s="249">
        <v>0</v>
      </c>
      <c r="BC786" s="249">
        <f t="shared" si="24"/>
        <v>2007</v>
      </c>
    </row>
    <row r="787" spans="1:55" x14ac:dyDescent="0.25">
      <c r="A787" s="51" t="s">
        <v>1508</v>
      </c>
      <c r="B787" s="63" t="s">
        <v>1514</v>
      </c>
      <c r="C787" s="15" t="s">
        <v>337</v>
      </c>
      <c r="D787" s="15">
        <v>2007</v>
      </c>
      <c r="E787" s="15" t="s">
        <v>475</v>
      </c>
      <c r="F787" s="15"/>
      <c r="G787" s="15"/>
      <c r="H787" s="15"/>
      <c r="I787" s="15"/>
      <c r="J787" s="16">
        <v>721933</v>
      </c>
      <c r="K787" s="15" t="s">
        <v>328</v>
      </c>
      <c r="L787" s="15"/>
      <c r="M787" s="15"/>
      <c r="N787" s="16">
        <v>10000</v>
      </c>
      <c r="O787" s="21">
        <v>0.5</v>
      </c>
      <c r="P787" s="15">
        <v>3</v>
      </c>
      <c r="Q787" s="15">
        <v>1180</v>
      </c>
      <c r="R787" s="16">
        <v>1500</v>
      </c>
      <c r="S787" s="15" t="s">
        <v>340</v>
      </c>
      <c r="T787" s="15">
        <v>1.3</v>
      </c>
      <c r="U787" s="15">
        <v>1.6</v>
      </c>
      <c r="V787" s="25">
        <v>6000</v>
      </c>
      <c r="W787" s="22">
        <v>85000</v>
      </c>
      <c r="X787" s="15"/>
      <c r="Y787" s="15"/>
      <c r="Z787" s="15"/>
      <c r="AA787" s="15"/>
      <c r="AB787" s="15" t="s">
        <v>328</v>
      </c>
      <c r="AC787" s="15"/>
      <c r="AD787" s="15" t="s">
        <v>328</v>
      </c>
      <c r="AE787" s="15"/>
      <c r="AF787" s="15"/>
      <c r="AG787" s="15"/>
      <c r="AH787" s="15"/>
      <c r="AI787" s="15"/>
      <c r="AJ787" s="15"/>
      <c r="AK787" s="15"/>
      <c r="AL787" s="15" t="s">
        <v>328</v>
      </c>
      <c r="AM787" s="15"/>
      <c r="AN787" s="16">
        <v>30000</v>
      </c>
      <c r="AO787" s="16">
        <v>60000</v>
      </c>
      <c r="AP787" s="16">
        <v>180000</v>
      </c>
      <c r="AQ787" s="16">
        <v>120000</v>
      </c>
      <c r="AR787" s="16">
        <v>60000</v>
      </c>
      <c r="AS787" s="22">
        <v>240000</v>
      </c>
      <c r="AT787" s="22">
        <v>0</v>
      </c>
      <c r="AU787" s="22">
        <v>150000</v>
      </c>
      <c r="AV787" s="22">
        <v>30000</v>
      </c>
      <c r="AW787" s="22">
        <v>40000</v>
      </c>
      <c r="AX787" s="66">
        <v>0</v>
      </c>
      <c r="AY787" s="17" t="s">
        <v>1531</v>
      </c>
      <c r="AZ787" s="15" t="s">
        <v>693</v>
      </c>
      <c r="BA787" s="249">
        <f t="shared" si="25"/>
        <v>3</v>
      </c>
      <c r="BB787" s="249">
        <v>0</v>
      </c>
      <c r="BC787" s="249">
        <f t="shared" si="24"/>
        <v>2007</v>
      </c>
    </row>
    <row r="788" spans="1:55" x14ac:dyDescent="0.25">
      <c r="A788" s="51" t="s">
        <v>1508</v>
      </c>
      <c r="B788" s="63" t="s">
        <v>1514</v>
      </c>
      <c r="C788" s="15" t="s">
        <v>337</v>
      </c>
      <c r="D788" s="15">
        <v>2007</v>
      </c>
      <c r="E788" s="15" t="s">
        <v>475</v>
      </c>
      <c r="F788" s="15"/>
      <c r="G788" s="15"/>
      <c r="H788" s="15"/>
      <c r="I788" s="15"/>
      <c r="J788" s="16">
        <v>699501</v>
      </c>
      <c r="K788" s="15" t="s">
        <v>328</v>
      </c>
      <c r="L788" s="15"/>
      <c r="M788" s="15"/>
      <c r="N788" s="16">
        <v>10000</v>
      </c>
      <c r="O788" s="21">
        <v>0.5</v>
      </c>
      <c r="P788" s="15">
        <v>3</v>
      </c>
      <c r="Q788" s="15">
        <v>1180</v>
      </c>
      <c r="R788" s="16">
        <v>1500</v>
      </c>
      <c r="S788" s="15" t="s">
        <v>340</v>
      </c>
      <c r="T788" s="15">
        <v>1.3</v>
      </c>
      <c r="U788" s="15">
        <v>1.6</v>
      </c>
      <c r="V788" s="25">
        <v>6000</v>
      </c>
      <c r="W788" s="22">
        <v>85000</v>
      </c>
      <c r="X788" s="15"/>
      <c r="Y788" s="15"/>
      <c r="Z788" s="15"/>
      <c r="AA788" s="15"/>
      <c r="AB788" s="15" t="s">
        <v>328</v>
      </c>
      <c r="AC788" s="15"/>
      <c r="AD788" s="15" t="s">
        <v>328</v>
      </c>
      <c r="AE788" s="15"/>
      <c r="AF788" s="15"/>
      <c r="AG788" s="15"/>
      <c r="AH788" s="15"/>
      <c r="AI788" s="15"/>
      <c r="AJ788" s="15"/>
      <c r="AK788" s="15"/>
      <c r="AL788" s="15" t="s">
        <v>328</v>
      </c>
      <c r="AM788" s="15"/>
      <c r="AN788" s="16">
        <v>30000</v>
      </c>
      <c r="AO788" s="16">
        <v>60000</v>
      </c>
      <c r="AP788" s="16">
        <v>180000</v>
      </c>
      <c r="AQ788" s="16">
        <v>120000</v>
      </c>
      <c r="AR788" s="16">
        <v>60000</v>
      </c>
      <c r="AS788" s="22">
        <v>240000</v>
      </c>
      <c r="AT788" s="22">
        <v>0</v>
      </c>
      <c r="AU788" s="22">
        <v>150000</v>
      </c>
      <c r="AV788" s="22">
        <v>30000</v>
      </c>
      <c r="AW788" s="22">
        <v>40000</v>
      </c>
      <c r="AX788" s="66">
        <v>0</v>
      </c>
      <c r="AY788" s="17" t="s">
        <v>1531</v>
      </c>
      <c r="AZ788" s="15" t="s">
        <v>693</v>
      </c>
      <c r="BA788" s="249">
        <f t="shared" si="25"/>
        <v>3</v>
      </c>
      <c r="BB788" s="249">
        <v>0</v>
      </c>
      <c r="BC788" s="249">
        <f t="shared" si="24"/>
        <v>2007</v>
      </c>
    </row>
    <row r="789" spans="1:55" x14ac:dyDescent="0.25">
      <c r="A789" s="51" t="s">
        <v>1508</v>
      </c>
      <c r="B789" s="63" t="s">
        <v>1517</v>
      </c>
      <c r="C789" s="15" t="s">
        <v>337</v>
      </c>
      <c r="D789" s="15">
        <v>2005</v>
      </c>
      <c r="E789" s="15" t="s">
        <v>407</v>
      </c>
      <c r="F789" s="15"/>
      <c r="G789" s="15"/>
      <c r="H789" s="15"/>
      <c r="I789" s="15"/>
      <c r="J789" s="16">
        <v>864115</v>
      </c>
      <c r="K789" s="15"/>
      <c r="L789" s="15" t="s">
        <v>328</v>
      </c>
      <c r="M789" s="15"/>
      <c r="N789" s="16">
        <v>8000</v>
      </c>
      <c r="O789" s="21">
        <v>0.5</v>
      </c>
      <c r="P789" s="15">
        <v>2</v>
      </c>
      <c r="Q789" s="15">
        <v>950</v>
      </c>
      <c r="R789" s="16">
        <v>2300</v>
      </c>
      <c r="S789" s="15" t="s">
        <v>340</v>
      </c>
      <c r="T789" s="15">
        <v>2.5</v>
      </c>
      <c r="U789" s="15">
        <v>2.7</v>
      </c>
      <c r="V789" s="25">
        <v>2900</v>
      </c>
      <c r="W789" s="22">
        <v>40000</v>
      </c>
      <c r="X789" s="15"/>
      <c r="Y789" s="15"/>
      <c r="Z789" s="15"/>
      <c r="AA789" s="15"/>
      <c r="AB789" s="15" t="s">
        <v>328</v>
      </c>
      <c r="AC789" s="15"/>
      <c r="AD789" s="15" t="s">
        <v>328</v>
      </c>
      <c r="AE789" s="15"/>
      <c r="AF789" s="15"/>
      <c r="AG789" s="15"/>
      <c r="AH789" s="15"/>
      <c r="AI789" s="15"/>
      <c r="AJ789" s="15"/>
      <c r="AK789" s="15"/>
      <c r="AL789" s="15"/>
      <c r="AM789" s="15"/>
      <c r="AN789" s="16">
        <v>25000</v>
      </c>
      <c r="AO789" s="16">
        <v>50000</v>
      </c>
      <c r="AP789" s="16">
        <v>120000</v>
      </c>
      <c r="AQ789" s="16">
        <v>190000</v>
      </c>
      <c r="AR789" s="16">
        <v>50000</v>
      </c>
      <c r="AS789" s="22">
        <v>144000</v>
      </c>
      <c r="AT789" s="22">
        <v>0</v>
      </c>
      <c r="AU789" s="22">
        <v>66000</v>
      </c>
      <c r="AV789" s="22">
        <v>30000</v>
      </c>
      <c r="AW789" s="22">
        <v>26400</v>
      </c>
      <c r="AX789" s="66">
        <v>0</v>
      </c>
      <c r="AY789" s="17" t="s">
        <v>574</v>
      </c>
      <c r="AZ789" s="15" t="s">
        <v>562</v>
      </c>
      <c r="BA789" s="249">
        <f t="shared" si="25"/>
        <v>2</v>
      </c>
      <c r="BB789" s="249">
        <v>0</v>
      </c>
      <c r="BC789" s="249">
        <f t="shared" si="24"/>
        <v>2005</v>
      </c>
    </row>
    <row r="790" spans="1:55" x14ac:dyDescent="0.25">
      <c r="A790" s="51" t="s">
        <v>1508</v>
      </c>
      <c r="B790" s="63" t="s">
        <v>1517</v>
      </c>
      <c r="C790" s="15" t="s">
        <v>337</v>
      </c>
      <c r="D790" s="15">
        <v>2005</v>
      </c>
      <c r="E790" s="15" t="s">
        <v>407</v>
      </c>
      <c r="F790" s="15"/>
      <c r="G790" s="15"/>
      <c r="H790" s="15"/>
      <c r="I790" s="15"/>
      <c r="J790" s="16">
        <v>823237</v>
      </c>
      <c r="K790" s="15"/>
      <c r="L790" s="15" t="s">
        <v>328</v>
      </c>
      <c r="M790" s="15"/>
      <c r="N790" s="16">
        <v>8000</v>
      </c>
      <c r="O790" s="21">
        <v>0.5</v>
      </c>
      <c r="P790" s="15">
        <v>2</v>
      </c>
      <c r="Q790" s="15">
        <v>950</v>
      </c>
      <c r="R790" s="16">
        <v>2300</v>
      </c>
      <c r="S790" s="15" t="s">
        <v>340</v>
      </c>
      <c r="T790" s="15">
        <v>2.5</v>
      </c>
      <c r="U790" s="15">
        <v>2.7</v>
      </c>
      <c r="V790" s="25">
        <v>2900</v>
      </c>
      <c r="W790" s="22">
        <v>40000</v>
      </c>
      <c r="X790" s="15"/>
      <c r="Y790" s="15"/>
      <c r="Z790" s="15"/>
      <c r="AA790" s="15"/>
      <c r="AB790" s="15" t="s">
        <v>328</v>
      </c>
      <c r="AC790" s="15"/>
      <c r="AD790" s="15" t="s">
        <v>328</v>
      </c>
      <c r="AE790" s="15"/>
      <c r="AF790" s="15"/>
      <c r="AG790" s="15"/>
      <c r="AH790" s="15"/>
      <c r="AI790" s="15"/>
      <c r="AJ790" s="15"/>
      <c r="AK790" s="15"/>
      <c r="AL790" s="15"/>
      <c r="AM790" s="15"/>
      <c r="AN790" s="16">
        <v>25000</v>
      </c>
      <c r="AO790" s="16">
        <v>50000</v>
      </c>
      <c r="AP790" s="16">
        <v>120000</v>
      </c>
      <c r="AQ790" s="16">
        <v>190000</v>
      </c>
      <c r="AR790" s="16">
        <v>50000</v>
      </c>
      <c r="AS790" s="22">
        <v>144000</v>
      </c>
      <c r="AT790" s="22">
        <v>0</v>
      </c>
      <c r="AU790" s="22">
        <v>66000</v>
      </c>
      <c r="AV790" s="22">
        <v>30000</v>
      </c>
      <c r="AW790" s="22">
        <v>26400</v>
      </c>
      <c r="AX790" s="66">
        <v>0</v>
      </c>
      <c r="AY790" s="17" t="s">
        <v>574</v>
      </c>
      <c r="AZ790" s="15" t="s">
        <v>562</v>
      </c>
      <c r="BA790" s="249">
        <f t="shared" si="25"/>
        <v>2</v>
      </c>
      <c r="BB790" s="249">
        <v>0</v>
      </c>
      <c r="BC790" s="249">
        <f t="shared" si="24"/>
        <v>2005</v>
      </c>
    </row>
    <row r="791" spans="1:55" x14ac:dyDescent="0.25">
      <c r="A791" s="51" t="s">
        <v>1508</v>
      </c>
      <c r="B791" s="63" t="s">
        <v>1518</v>
      </c>
      <c r="C791" s="15" t="s">
        <v>348</v>
      </c>
      <c r="D791" s="15">
        <v>2005</v>
      </c>
      <c r="E791" s="15" t="s">
        <v>349</v>
      </c>
      <c r="F791" s="15"/>
      <c r="G791" s="15"/>
      <c r="H791" s="15"/>
      <c r="I791" s="15"/>
      <c r="J791" s="16">
        <v>593610</v>
      </c>
      <c r="K791" s="15"/>
      <c r="L791" s="15" t="s">
        <v>328</v>
      </c>
      <c r="M791" s="15"/>
      <c r="N791" s="16">
        <v>6666.666666666667</v>
      </c>
      <c r="O791" s="21">
        <v>0.5</v>
      </c>
      <c r="P791" s="15">
        <v>1</v>
      </c>
      <c r="Q791" s="15">
        <v>400</v>
      </c>
      <c r="R791" s="16">
        <v>1600</v>
      </c>
      <c r="S791" s="15" t="s">
        <v>340</v>
      </c>
      <c r="T791" s="15">
        <v>3.9</v>
      </c>
      <c r="U791" s="15">
        <v>4.3</v>
      </c>
      <c r="V791" s="25">
        <v>1500</v>
      </c>
      <c r="W791" s="22">
        <v>20000</v>
      </c>
      <c r="X791" s="15"/>
      <c r="Y791" s="15" t="s">
        <v>328</v>
      </c>
      <c r="Z791" s="15"/>
      <c r="AA791" s="15"/>
      <c r="AB791" s="15"/>
      <c r="AC791" s="15"/>
      <c r="AD791" s="15" t="s">
        <v>328</v>
      </c>
      <c r="AE791" s="15"/>
      <c r="AF791" s="15"/>
      <c r="AG791" s="15"/>
      <c r="AH791" s="15"/>
      <c r="AI791" s="15"/>
      <c r="AJ791" s="15"/>
      <c r="AK791" s="15"/>
      <c r="AL791" s="15"/>
      <c r="AM791" s="15"/>
      <c r="AN791" s="16">
        <v>18000</v>
      </c>
      <c r="AO791" s="16">
        <v>36000</v>
      </c>
      <c r="AP791" s="16" t="s">
        <v>480</v>
      </c>
      <c r="AQ791" s="16" t="s">
        <v>480</v>
      </c>
      <c r="AR791" s="16" t="s">
        <v>480</v>
      </c>
      <c r="AS791" s="22">
        <v>120000</v>
      </c>
      <c r="AT791" s="22">
        <v>0</v>
      </c>
      <c r="AU791" s="22">
        <v>30000</v>
      </c>
      <c r="AV791" s="22">
        <v>24000</v>
      </c>
      <c r="AW791" s="22">
        <v>16800</v>
      </c>
      <c r="AX791" s="66">
        <v>0</v>
      </c>
      <c r="AY791" s="17" t="s">
        <v>701</v>
      </c>
      <c r="AZ791" s="15" t="s">
        <v>348</v>
      </c>
      <c r="BA791" s="249">
        <f t="shared" si="25"/>
        <v>2</v>
      </c>
      <c r="BB791" s="249">
        <v>0</v>
      </c>
      <c r="BC791" s="249">
        <f t="shared" si="24"/>
        <v>2005</v>
      </c>
    </row>
    <row r="792" spans="1:55" x14ac:dyDescent="0.25">
      <c r="A792" s="51" t="s">
        <v>1508</v>
      </c>
      <c r="B792" s="63" t="s">
        <v>1518</v>
      </c>
      <c r="C792" s="15" t="s">
        <v>348</v>
      </c>
      <c r="D792" s="15">
        <v>2005</v>
      </c>
      <c r="E792" s="15" t="s">
        <v>349</v>
      </c>
      <c r="F792" s="15"/>
      <c r="G792" s="15"/>
      <c r="H792" s="15"/>
      <c r="I792" s="15"/>
      <c r="J792" s="16">
        <v>602875</v>
      </c>
      <c r="K792" s="15"/>
      <c r="L792" s="15" t="s">
        <v>328</v>
      </c>
      <c r="M792" s="15"/>
      <c r="N792" s="16">
        <v>6667</v>
      </c>
      <c r="O792" s="21">
        <v>0.5</v>
      </c>
      <c r="P792" s="15">
        <v>1</v>
      </c>
      <c r="Q792" s="15">
        <v>400</v>
      </c>
      <c r="R792" s="16">
        <v>1600</v>
      </c>
      <c r="S792" s="15" t="s">
        <v>340</v>
      </c>
      <c r="T792" s="15">
        <v>3.9</v>
      </c>
      <c r="U792" s="15">
        <v>4.3</v>
      </c>
      <c r="V792" s="25">
        <v>1500</v>
      </c>
      <c r="W792" s="22">
        <v>20000</v>
      </c>
      <c r="X792" s="15"/>
      <c r="Y792" s="15" t="s">
        <v>328</v>
      </c>
      <c r="Z792" s="15"/>
      <c r="AA792" s="15"/>
      <c r="AB792" s="15"/>
      <c r="AC792" s="15"/>
      <c r="AD792" s="15" t="s">
        <v>328</v>
      </c>
      <c r="AE792" s="15"/>
      <c r="AF792" s="15"/>
      <c r="AG792" s="15"/>
      <c r="AH792" s="15"/>
      <c r="AI792" s="15"/>
      <c r="AJ792" s="15"/>
      <c r="AK792" s="15"/>
      <c r="AL792" s="15"/>
      <c r="AM792" s="15"/>
      <c r="AN792" s="16">
        <v>18000</v>
      </c>
      <c r="AO792" s="16">
        <v>36000</v>
      </c>
      <c r="AP792" s="16" t="s">
        <v>480</v>
      </c>
      <c r="AQ792" s="16" t="s">
        <v>480</v>
      </c>
      <c r="AR792" s="16" t="s">
        <v>480</v>
      </c>
      <c r="AS792" s="22">
        <v>120000</v>
      </c>
      <c r="AT792" s="22">
        <v>0</v>
      </c>
      <c r="AU792" s="22">
        <v>30000</v>
      </c>
      <c r="AV792" s="22">
        <v>24000</v>
      </c>
      <c r="AW792" s="22">
        <v>16800</v>
      </c>
      <c r="AX792" s="66">
        <v>0</v>
      </c>
      <c r="AY792" s="17" t="s">
        <v>701</v>
      </c>
      <c r="AZ792" s="15" t="s">
        <v>348</v>
      </c>
      <c r="BA792" s="249">
        <f t="shared" si="25"/>
        <v>2</v>
      </c>
      <c r="BB792" s="249">
        <v>0</v>
      </c>
      <c r="BC792" s="249">
        <f t="shared" si="24"/>
        <v>2005</v>
      </c>
    </row>
    <row r="793" spans="1:55" x14ac:dyDescent="0.25">
      <c r="A793" s="51" t="s">
        <v>1508</v>
      </c>
      <c r="B793" s="63" t="s">
        <v>1521</v>
      </c>
      <c r="C793" s="15" t="s">
        <v>337</v>
      </c>
      <c r="D793" s="15">
        <v>2005</v>
      </c>
      <c r="E793" s="15" t="s">
        <v>407</v>
      </c>
      <c r="F793" s="15"/>
      <c r="G793" s="15"/>
      <c r="H793" s="15"/>
      <c r="I793" s="15"/>
      <c r="J793" s="16">
        <v>700459</v>
      </c>
      <c r="K793" s="15"/>
      <c r="L793" s="15" t="s">
        <v>328</v>
      </c>
      <c r="M793" s="15"/>
      <c r="N793" s="16">
        <v>8000</v>
      </c>
      <c r="O793" s="21">
        <v>0.5</v>
      </c>
      <c r="P793" s="15">
        <v>2</v>
      </c>
      <c r="Q793" s="15">
        <v>960</v>
      </c>
      <c r="R793" s="16">
        <v>1500</v>
      </c>
      <c r="S793" s="15" t="s">
        <v>340</v>
      </c>
      <c r="T793" s="15">
        <v>1.6</v>
      </c>
      <c r="U793" s="15">
        <v>1.9</v>
      </c>
      <c r="V793" s="25">
        <v>4300</v>
      </c>
      <c r="W793" s="22">
        <v>60000</v>
      </c>
      <c r="X793" s="15"/>
      <c r="Y793" s="15" t="s">
        <v>328</v>
      </c>
      <c r="Z793" s="15"/>
      <c r="AA793" s="15"/>
      <c r="AB793" s="15"/>
      <c r="AC793" s="15"/>
      <c r="AD793" s="15" t="s">
        <v>328</v>
      </c>
      <c r="AE793" s="15"/>
      <c r="AF793" s="15"/>
      <c r="AG793" s="15"/>
      <c r="AH793" s="15"/>
      <c r="AI793" s="15"/>
      <c r="AJ793" s="15"/>
      <c r="AK793" s="15"/>
      <c r="AL793" s="15" t="s">
        <v>328</v>
      </c>
      <c r="AM793" s="15"/>
      <c r="AN793" s="16">
        <v>24000</v>
      </c>
      <c r="AO793" s="16">
        <v>50000</v>
      </c>
      <c r="AP793" s="16">
        <v>200000</v>
      </c>
      <c r="AQ793" s="16">
        <v>150000</v>
      </c>
      <c r="AR793" s="16">
        <v>50000</v>
      </c>
      <c r="AS793" s="22">
        <v>200000</v>
      </c>
      <c r="AT793" s="22">
        <v>0</v>
      </c>
      <c r="AU793" s="22">
        <v>100000</v>
      </c>
      <c r="AV793" s="22">
        <v>20000</v>
      </c>
      <c r="AW793" s="22">
        <v>40000</v>
      </c>
      <c r="AX793" s="66">
        <v>0</v>
      </c>
      <c r="AY793" s="17" t="s">
        <v>574</v>
      </c>
      <c r="AZ793" s="15" t="s">
        <v>693</v>
      </c>
      <c r="BA793" s="249">
        <f t="shared" si="25"/>
        <v>2</v>
      </c>
      <c r="BB793" s="249">
        <v>0</v>
      </c>
      <c r="BC793" s="249">
        <f t="shared" si="24"/>
        <v>2005</v>
      </c>
    </row>
    <row r="794" spans="1:55" x14ac:dyDescent="0.25">
      <c r="A794" s="51" t="s">
        <v>1508</v>
      </c>
      <c r="B794" s="63" t="s">
        <v>1521</v>
      </c>
      <c r="C794" s="15" t="s">
        <v>337</v>
      </c>
      <c r="D794" s="15">
        <v>2008</v>
      </c>
      <c r="E794" s="15" t="s">
        <v>407</v>
      </c>
      <c r="F794" s="15"/>
      <c r="G794" s="15"/>
      <c r="H794" s="15"/>
      <c r="I794" s="15"/>
      <c r="J794" s="16">
        <v>436720</v>
      </c>
      <c r="K794" s="15" t="s">
        <v>328</v>
      </c>
      <c r="L794" s="15"/>
      <c r="M794" s="15"/>
      <c r="N794" s="16">
        <v>8000</v>
      </c>
      <c r="O794" s="21">
        <v>0.5</v>
      </c>
      <c r="P794" s="15">
        <v>2</v>
      </c>
      <c r="Q794" s="15">
        <v>960</v>
      </c>
      <c r="R794" s="16">
        <v>1500</v>
      </c>
      <c r="S794" s="15" t="s">
        <v>340</v>
      </c>
      <c r="T794" s="15">
        <v>1.6</v>
      </c>
      <c r="U794" s="15">
        <v>1.9</v>
      </c>
      <c r="V794" s="25">
        <v>4300</v>
      </c>
      <c r="W794" s="22">
        <v>60000</v>
      </c>
      <c r="X794" s="15"/>
      <c r="Y794" s="15"/>
      <c r="Z794" s="15"/>
      <c r="AA794" s="15"/>
      <c r="AB794" s="15" t="s">
        <v>328</v>
      </c>
      <c r="AC794" s="15"/>
      <c r="AD794" s="15" t="s">
        <v>328</v>
      </c>
      <c r="AE794" s="15"/>
      <c r="AF794" s="15"/>
      <c r="AG794" s="15"/>
      <c r="AH794" s="15"/>
      <c r="AI794" s="15"/>
      <c r="AJ794" s="15"/>
      <c r="AK794" s="15"/>
      <c r="AL794" s="15" t="s">
        <v>328</v>
      </c>
      <c r="AM794" s="15"/>
      <c r="AN794" s="16">
        <v>24000</v>
      </c>
      <c r="AO794" s="16">
        <v>50000</v>
      </c>
      <c r="AP794" s="16">
        <v>200000</v>
      </c>
      <c r="AQ794" s="16">
        <v>150000</v>
      </c>
      <c r="AR794" s="16">
        <v>50000</v>
      </c>
      <c r="AS794" s="22">
        <v>200000</v>
      </c>
      <c r="AT794" s="22">
        <v>0</v>
      </c>
      <c r="AU794" s="22">
        <v>100000</v>
      </c>
      <c r="AV794" s="22">
        <v>20000</v>
      </c>
      <c r="AW794" s="22">
        <v>40000</v>
      </c>
      <c r="AX794" s="66">
        <v>0</v>
      </c>
      <c r="AY794" s="17" t="s">
        <v>574</v>
      </c>
      <c r="AZ794" s="15" t="s">
        <v>693</v>
      </c>
      <c r="BA794" s="249">
        <f t="shared" si="25"/>
        <v>2</v>
      </c>
      <c r="BB794" s="249">
        <v>0</v>
      </c>
      <c r="BC794" s="249">
        <f t="shared" si="24"/>
        <v>2008</v>
      </c>
    </row>
    <row r="795" spans="1:55" x14ac:dyDescent="0.25">
      <c r="A795" s="51" t="s">
        <v>1508</v>
      </c>
      <c r="B795" s="63" t="s">
        <v>1524</v>
      </c>
      <c r="C795" s="15" t="s">
        <v>337</v>
      </c>
      <c r="D795" s="15">
        <v>2001</v>
      </c>
      <c r="E795" s="15" t="s">
        <v>407</v>
      </c>
      <c r="F795" s="15"/>
      <c r="G795" s="15"/>
      <c r="H795" s="15"/>
      <c r="I795" s="15"/>
      <c r="J795" s="16">
        <v>3060000</v>
      </c>
      <c r="K795" s="15"/>
      <c r="L795" s="15"/>
      <c r="M795" s="15" t="s">
        <v>328</v>
      </c>
      <c r="N795" s="16">
        <v>7500</v>
      </c>
      <c r="O795" s="21">
        <v>0.5</v>
      </c>
      <c r="P795" s="15">
        <v>2</v>
      </c>
      <c r="Q795" s="15">
        <v>908</v>
      </c>
      <c r="R795" s="16">
        <v>2200</v>
      </c>
      <c r="S795" s="15" t="s">
        <v>340</v>
      </c>
      <c r="T795" s="15">
        <v>2.5</v>
      </c>
      <c r="U795" s="15">
        <v>2.8</v>
      </c>
      <c r="V795" s="25">
        <v>2600</v>
      </c>
      <c r="W795" s="22">
        <v>36000</v>
      </c>
      <c r="X795" s="15"/>
      <c r="Y795" s="15"/>
      <c r="Z795" s="15"/>
      <c r="AA795" s="15"/>
      <c r="AB795" s="15" t="s">
        <v>328</v>
      </c>
      <c r="AC795" s="15"/>
      <c r="AD795" s="15" t="s">
        <v>328</v>
      </c>
      <c r="AE795" s="15"/>
      <c r="AF795" s="15"/>
      <c r="AG795" s="15"/>
      <c r="AH795" s="15"/>
      <c r="AI795" s="15"/>
      <c r="AJ795" s="15"/>
      <c r="AK795" s="15"/>
      <c r="AL795" s="15"/>
      <c r="AM795" s="15"/>
      <c r="AN795" s="16">
        <v>30000</v>
      </c>
      <c r="AO795" s="16">
        <v>60000</v>
      </c>
      <c r="AP795" s="16">
        <v>180000</v>
      </c>
      <c r="AQ795" s="16">
        <v>120000</v>
      </c>
      <c r="AR795" s="16">
        <v>60000</v>
      </c>
      <c r="AS795" s="22">
        <v>144000</v>
      </c>
      <c r="AT795" s="22">
        <v>0</v>
      </c>
      <c r="AU795" s="22">
        <v>42000</v>
      </c>
      <c r="AV795" s="22">
        <v>24000</v>
      </c>
      <c r="AW795" s="22">
        <v>28800</v>
      </c>
      <c r="AX795" s="66">
        <v>0</v>
      </c>
      <c r="AY795" s="17" t="s">
        <v>708</v>
      </c>
      <c r="AZ795" s="15" t="s">
        <v>562</v>
      </c>
      <c r="BA795" s="249">
        <f t="shared" si="25"/>
        <v>1</v>
      </c>
      <c r="BB795" s="249">
        <v>0</v>
      </c>
      <c r="BC795" s="249">
        <f t="shared" si="24"/>
        <v>2001</v>
      </c>
    </row>
    <row r="796" spans="1:55" x14ac:dyDescent="0.25">
      <c r="A796" s="51" t="s">
        <v>1508</v>
      </c>
      <c r="B796" s="63" t="s">
        <v>1525</v>
      </c>
      <c r="C796" s="15" t="s">
        <v>337</v>
      </c>
      <c r="D796" s="15">
        <v>2001</v>
      </c>
      <c r="E796" s="15" t="s">
        <v>407</v>
      </c>
      <c r="F796" s="15"/>
      <c r="G796" s="15"/>
      <c r="H796" s="15"/>
      <c r="I796" s="15"/>
      <c r="J796" s="16">
        <v>1248000</v>
      </c>
      <c r="K796" s="15"/>
      <c r="L796" s="15"/>
      <c r="M796" s="15" t="s">
        <v>328</v>
      </c>
      <c r="N796" s="16">
        <v>8000</v>
      </c>
      <c r="O796" s="21">
        <v>0.5</v>
      </c>
      <c r="P796" s="15">
        <v>2</v>
      </c>
      <c r="Q796" s="15">
        <v>900</v>
      </c>
      <c r="R796" s="16">
        <v>2200</v>
      </c>
      <c r="S796" s="15" t="s">
        <v>340</v>
      </c>
      <c r="T796" s="15">
        <v>2.5</v>
      </c>
      <c r="U796" s="15">
        <v>2.8</v>
      </c>
      <c r="V796" s="25">
        <v>2500</v>
      </c>
      <c r="W796" s="22">
        <v>35000</v>
      </c>
      <c r="X796" s="15"/>
      <c r="Y796" s="15"/>
      <c r="Z796" s="15"/>
      <c r="AA796" s="15"/>
      <c r="AB796" s="15" t="s">
        <v>328</v>
      </c>
      <c r="AC796" s="15"/>
      <c r="AD796" s="15" t="s">
        <v>328</v>
      </c>
      <c r="AE796" s="15"/>
      <c r="AF796" s="15"/>
      <c r="AG796" s="15"/>
      <c r="AH796" s="15"/>
      <c r="AI796" s="15"/>
      <c r="AJ796" s="15"/>
      <c r="AK796" s="15"/>
      <c r="AL796" s="15" t="s">
        <v>328</v>
      </c>
      <c r="AM796" s="15"/>
      <c r="AN796" s="16">
        <v>24000</v>
      </c>
      <c r="AO796" s="16">
        <v>72000</v>
      </c>
      <c r="AP796" s="16">
        <v>60000</v>
      </c>
      <c r="AQ796" s="16">
        <v>120000</v>
      </c>
      <c r="AR796" s="16">
        <v>24000</v>
      </c>
      <c r="AS796" s="22">
        <v>144000</v>
      </c>
      <c r="AT796" s="22">
        <v>0</v>
      </c>
      <c r="AU796" s="22">
        <v>51600</v>
      </c>
      <c r="AV796" s="22">
        <v>0</v>
      </c>
      <c r="AW796" s="22">
        <v>26400</v>
      </c>
      <c r="AX796" s="66">
        <v>0</v>
      </c>
      <c r="AY796" s="17" t="s">
        <v>708</v>
      </c>
      <c r="AZ796" s="15" t="s">
        <v>337</v>
      </c>
      <c r="BA796" s="249">
        <f t="shared" si="25"/>
        <v>2</v>
      </c>
      <c r="BB796" s="249">
        <v>0</v>
      </c>
      <c r="BC796" s="249">
        <f t="shared" si="24"/>
        <v>2001</v>
      </c>
    </row>
    <row r="797" spans="1:55" x14ac:dyDescent="0.25">
      <c r="A797" s="51" t="s">
        <v>1508</v>
      </c>
      <c r="B797" s="63" t="s">
        <v>1525</v>
      </c>
      <c r="C797" s="15" t="s">
        <v>337</v>
      </c>
      <c r="D797" s="15">
        <v>2001</v>
      </c>
      <c r="E797" s="15" t="s">
        <v>407</v>
      </c>
      <c r="F797" s="15"/>
      <c r="G797" s="15"/>
      <c r="H797" s="15"/>
      <c r="I797" s="15"/>
      <c r="J797" s="16">
        <v>1248000</v>
      </c>
      <c r="K797" s="15"/>
      <c r="L797" s="15"/>
      <c r="M797" s="15" t="s">
        <v>328</v>
      </c>
      <c r="N797" s="16">
        <v>8000</v>
      </c>
      <c r="O797" s="21">
        <v>0.5</v>
      </c>
      <c r="P797" s="15">
        <v>2</v>
      </c>
      <c r="Q797" s="15">
        <v>900</v>
      </c>
      <c r="R797" s="16">
        <v>2200</v>
      </c>
      <c r="S797" s="15" t="s">
        <v>340</v>
      </c>
      <c r="T797" s="15">
        <v>2.5</v>
      </c>
      <c r="U797" s="15">
        <v>2.8</v>
      </c>
      <c r="V797" s="25">
        <v>2500</v>
      </c>
      <c r="W797" s="22">
        <v>35000</v>
      </c>
      <c r="X797" s="15"/>
      <c r="Y797" s="15"/>
      <c r="Z797" s="15"/>
      <c r="AA797" s="15"/>
      <c r="AB797" s="15" t="s">
        <v>328</v>
      </c>
      <c r="AC797" s="15"/>
      <c r="AD797" s="15" t="s">
        <v>328</v>
      </c>
      <c r="AE797" s="15"/>
      <c r="AF797" s="15"/>
      <c r="AG797" s="15"/>
      <c r="AH797" s="15"/>
      <c r="AI797" s="15"/>
      <c r="AJ797" s="15"/>
      <c r="AK797" s="15"/>
      <c r="AL797" s="15" t="s">
        <v>328</v>
      </c>
      <c r="AM797" s="15"/>
      <c r="AN797" s="16">
        <v>24000</v>
      </c>
      <c r="AO797" s="16">
        <v>72000</v>
      </c>
      <c r="AP797" s="16">
        <v>60000</v>
      </c>
      <c r="AQ797" s="16">
        <v>120000</v>
      </c>
      <c r="AR797" s="16">
        <v>24000</v>
      </c>
      <c r="AS797" s="22">
        <v>144000</v>
      </c>
      <c r="AT797" s="22">
        <v>0</v>
      </c>
      <c r="AU797" s="22">
        <v>51600</v>
      </c>
      <c r="AV797" s="22">
        <v>0</v>
      </c>
      <c r="AW797" s="22">
        <v>26400</v>
      </c>
      <c r="AX797" s="66">
        <v>0</v>
      </c>
      <c r="AY797" s="17" t="s">
        <v>708</v>
      </c>
      <c r="AZ797" s="15" t="s">
        <v>337</v>
      </c>
      <c r="BA797" s="249">
        <f t="shared" si="25"/>
        <v>2</v>
      </c>
      <c r="BB797" s="249">
        <v>0</v>
      </c>
      <c r="BC797" s="249">
        <f t="shared" si="24"/>
        <v>2001</v>
      </c>
    </row>
    <row r="798" spans="1:55" x14ac:dyDescent="0.25">
      <c r="A798" s="51" t="s">
        <v>1508</v>
      </c>
      <c r="B798" s="63" t="s">
        <v>1528</v>
      </c>
      <c r="C798" s="14" t="s">
        <v>351</v>
      </c>
      <c r="D798" s="15">
        <v>1980</v>
      </c>
      <c r="E798" s="15" t="s">
        <v>690</v>
      </c>
      <c r="F798" s="15"/>
      <c r="G798" s="15"/>
      <c r="H798" s="15"/>
      <c r="I798" s="15"/>
      <c r="J798" s="16">
        <v>3264000</v>
      </c>
      <c r="K798" s="15"/>
      <c r="L798" s="15"/>
      <c r="M798" s="15" t="s">
        <v>328</v>
      </c>
      <c r="N798" s="16">
        <v>8000</v>
      </c>
      <c r="O798" s="21">
        <v>0.1</v>
      </c>
      <c r="P798" s="15">
        <v>2</v>
      </c>
      <c r="Q798" s="15">
        <v>880</v>
      </c>
      <c r="R798" s="16">
        <v>2500</v>
      </c>
      <c r="S798" s="15" t="s">
        <v>340</v>
      </c>
      <c r="T798" s="15">
        <v>2.6</v>
      </c>
      <c r="U798" s="15">
        <v>3.2</v>
      </c>
      <c r="V798" s="25">
        <v>2500</v>
      </c>
      <c r="W798" s="22">
        <v>34000</v>
      </c>
      <c r="X798" s="15"/>
      <c r="Y798" s="15"/>
      <c r="Z798" s="15"/>
      <c r="AA798" s="15" t="s">
        <v>328</v>
      </c>
      <c r="AB798" s="15"/>
      <c r="AC798" s="15"/>
      <c r="AD798" s="15" t="s">
        <v>332</v>
      </c>
      <c r="AE798" s="15"/>
      <c r="AF798" s="15"/>
      <c r="AG798" s="15"/>
      <c r="AH798" s="15"/>
      <c r="AI798" s="15"/>
      <c r="AJ798" s="15"/>
      <c r="AK798" s="15"/>
      <c r="AL798" s="15"/>
      <c r="AM798" s="15"/>
      <c r="AN798" s="16">
        <v>24000</v>
      </c>
      <c r="AO798" s="16">
        <v>50000</v>
      </c>
      <c r="AP798" s="16">
        <v>90000</v>
      </c>
      <c r="AQ798" s="16">
        <v>125000</v>
      </c>
      <c r="AR798" s="16">
        <v>50000</v>
      </c>
      <c r="AS798" s="22">
        <v>0</v>
      </c>
      <c r="AT798" s="22">
        <v>0</v>
      </c>
      <c r="AU798" s="22">
        <v>16000</v>
      </c>
      <c r="AV798" s="22">
        <v>14000</v>
      </c>
      <c r="AW798" s="22">
        <v>17000</v>
      </c>
      <c r="AX798" s="66">
        <v>0</v>
      </c>
      <c r="AY798" s="17" t="s">
        <v>694</v>
      </c>
      <c r="AZ798" s="15" t="s">
        <v>351</v>
      </c>
      <c r="BA798" s="249">
        <f t="shared" si="25"/>
        <v>1</v>
      </c>
      <c r="BB798" s="249">
        <v>0</v>
      </c>
      <c r="BC798" s="249">
        <f t="shared" si="24"/>
        <v>1980</v>
      </c>
    </row>
    <row r="799" spans="1:55" x14ac:dyDescent="0.25">
      <c r="A799" s="51" t="s">
        <v>1508</v>
      </c>
      <c r="B799" s="63" t="s">
        <v>1529</v>
      </c>
      <c r="C799" s="15" t="s">
        <v>337</v>
      </c>
      <c r="D799" s="15">
        <v>2000</v>
      </c>
      <c r="E799" s="15" t="s">
        <v>407</v>
      </c>
      <c r="F799" s="15"/>
      <c r="G799" s="15"/>
      <c r="H799" s="15"/>
      <c r="I799" s="15"/>
      <c r="J799" s="16">
        <v>1289303</v>
      </c>
      <c r="K799" s="15"/>
      <c r="L799" s="15"/>
      <c r="M799" s="15" t="s">
        <v>328</v>
      </c>
      <c r="N799" s="16">
        <v>9000</v>
      </c>
      <c r="O799" s="21">
        <v>0.5</v>
      </c>
      <c r="P799" s="15">
        <v>3</v>
      </c>
      <c r="Q799" s="15">
        <v>1150</v>
      </c>
      <c r="R799" s="16">
        <v>2800</v>
      </c>
      <c r="S799" s="15" t="s">
        <v>340</v>
      </c>
      <c r="T799" s="15">
        <v>2.5</v>
      </c>
      <c r="U799" s="15">
        <v>2.8</v>
      </c>
      <c r="V799" s="25">
        <v>3100</v>
      </c>
      <c r="W799" s="22">
        <v>44000</v>
      </c>
      <c r="X799" s="15"/>
      <c r="Y799" s="15"/>
      <c r="Z799" s="15"/>
      <c r="AA799" s="15"/>
      <c r="AB799" s="15" t="s">
        <v>328</v>
      </c>
      <c r="AC799" s="15"/>
      <c r="AD799" s="15" t="s">
        <v>332</v>
      </c>
      <c r="AE799" s="15"/>
      <c r="AF799" s="15"/>
      <c r="AG799" s="15"/>
      <c r="AH799" s="15"/>
      <c r="AI799" s="15"/>
      <c r="AJ799" s="15"/>
      <c r="AK799" s="15"/>
      <c r="AL799" s="15"/>
      <c r="AM799" s="15"/>
      <c r="AN799" s="16">
        <v>30000</v>
      </c>
      <c r="AO799" s="16">
        <v>60000</v>
      </c>
      <c r="AP799" s="16">
        <v>90000</v>
      </c>
      <c r="AQ799" s="16">
        <v>150000</v>
      </c>
      <c r="AR799" s="16">
        <v>30000</v>
      </c>
      <c r="AS799" s="22">
        <v>162000</v>
      </c>
      <c r="AT799" s="22">
        <v>0</v>
      </c>
      <c r="AU799" s="22">
        <v>68400</v>
      </c>
      <c r="AV799" s="22">
        <v>36000</v>
      </c>
      <c r="AW799" s="22">
        <v>0</v>
      </c>
      <c r="AX799" s="66">
        <v>0</v>
      </c>
      <c r="AY799" s="17" t="s">
        <v>708</v>
      </c>
      <c r="AZ799" s="15" t="s">
        <v>562</v>
      </c>
      <c r="BA799" s="249">
        <f t="shared" si="25"/>
        <v>1</v>
      </c>
      <c r="BB799" s="249">
        <v>0</v>
      </c>
      <c r="BC799" s="249">
        <f t="shared" si="24"/>
        <v>2000</v>
      </c>
    </row>
    <row r="800" spans="1:55" x14ac:dyDescent="0.25">
      <c r="A800" s="51" t="s">
        <v>1508</v>
      </c>
      <c r="B800" s="63" t="s">
        <v>1530</v>
      </c>
      <c r="C800" s="15" t="s">
        <v>337</v>
      </c>
      <c r="D800" s="15">
        <v>2001</v>
      </c>
      <c r="E800" s="15" t="s">
        <v>407</v>
      </c>
      <c r="F800" s="15"/>
      <c r="G800" s="15"/>
      <c r="H800" s="15"/>
      <c r="I800" s="15"/>
      <c r="J800" s="16">
        <v>1560000</v>
      </c>
      <c r="K800" s="15"/>
      <c r="L800" s="15"/>
      <c r="M800" s="15" t="s">
        <v>328</v>
      </c>
      <c r="N800" s="16">
        <v>10000</v>
      </c>
      <c r="O800" s="21">
        <v>0.5</v>
      </c>
      <c r="P800" s="15">
        <v>3</v>
      </c>
      <c r="Q800" s="15">
        <v>1180</v>
      </c>
      <c r="R800" s="16">
        <v>1800</v>
      </c>
      <c r="S800" s="15" t="s">
        <v>340</v>
      </c>
      <c r="T800" s="15">
        <v>1.5</v>
      </c>
      <c r="U800" s="15">
        <v>1.7</v>
      </c>
      <c r="V800" s="25">
        <v>5300</v>
      </c>
      <c r="W800" s="22">
        <v>75000</v>
      </c>
      <c r="X800" s="15"/>
      <c r="Y800" s="15"/>
      <c r="Z800" s="15"/>
      <c r="AA800" s="15"/>
      <c r="AB800" s="15" t="s">
        <v>328</v>
      </c>
      <c r="AC800" s="15"/>
      <c r="AD800" s="15" t="s">
        <v>328</v>
      </c>
      <c r="AE800" s="15"/>
      <c r="AF800" s="15"/>
      <c r="AG800" s="15"/>
      <c r="AH800" s="15"/>
      <c r="AI800" s="15"/>
      <c r="AJ800" s="15"/>
      <c r="AK800" s="15"/>
      <c r="AL800" s="15" t="s">
        <v>328</v>
      </c>
      <c r="AM800" s="15"/>
      <c r="AN800" s="16">
        <v>30000</v>
      </c>
      <c r="AO800" s="16">
        <v>30000</v>
      </c>
      <c r="AP800" s="16">
        <v>120000</v>
      </c>
      <c r="AQ800" s="16">
        <v>150000</v>
      </c>
      <c r="AR800" s="16">
        <v>30000</v>
      </c>
      <c r="AS800" s="22">
        <v>216000</v>
      </c>
      <c r="AT800" s="22">
        <v>0</v>
      </c>
      <c r="AU800" s="22">
        <v>68400</v>
      </c>
      <c r="AV800" s="22">
        <v>30000</v>
      </c>
      <c r="AW800" s="22">
        <v>26400</v>
      </c>
      <c r="AX800" s="66">
        <v>0</v>
      </c>
      <c r="AY800" s="17" t="s">
        <v>708</v>
      </c>
      <c r="AZ800" s="15" t="s">
        <v>693</v>
      </c>
      <c r="BA800" s="249">
        <f t="shared" si="25"/>
        <v>2</v>
      </c>
      <c r="BB800" s="249">
        <v>0</v>
      </c>
      <c r="BC800" s="249">
        <f t="shared" si="24"/>
        <v>2001</v>
      </c>
    </row>
    <row r="801" spans="1:55" x14ac:dyDescent="0.25">
      <c r="A801" s="51" t="s">
        <v>1508</v>
      </c>
      <c r="B801" s="63" t="s">
        <v>1530</v>
      </c>
      <c r="C801" s="15" t="s">
        <v>337</v>
      </c>
      <c r="D801" s="15">
        <v>2001</v>
      </c>
      <c r="E801" s="15" t="s">
        <v>407</v>
      </c>
      <c r="F801" s="15"/>
      <c r="G801" s="15"/>
      <c r="H801" s="15"/>
      <c r="I801" s="15"/>
      <c r="J801" s="16">
        <v>1560000</v>
      </c>
      <c r="K801" s="15"/>
      <c r="L801" s="15"/>
      <c r="M801" s="15" t="s">
        <v>328</v>
      </c>
      <c r="N801" s="16">
        <v>10000</v>
      </c>
      <c r="O801" s="21">
        <v>0.5</v>
      </c>
      <c r="P801" s="15">
        <v>3</v>
      </c>
      <c r="Q801" s="15">
        <v>1180</v>
      </c>
      <c r="R801" s="16">
        <v>1800</v>
      </c>
      <c r="S801" s="15" t="s">
        <v>340</v>
      </c>
      <c r="T801" s="15">
        <v>1.5</v>
      </c>
      <c r="U801" s="15">
        <v>1.7</v>
      </c>
      <c r="V801" s="25">
        <v>5300</v>
      </c>
      <c r="W801" s="22">
        <v>75000</v>
      </c>
      <c r="X801" s="15"/>
      <c r="Y801" s="15"/>
      <c r="Z801" s="15"/>
      <c r="AA801" s="15"/>
      <c r="AB801" s="15" t="s">
        <v>328</v>
      </c>
      <c r="AC801" s="15"/>
      <c r="AD801" s="15" t="s">
        <v>328</v>
      </c>
      <c r="AE801" s="15"/>
      <c r="AF801" s="15"/>
      <c r="AG801" s="15"/>
      <c r="AH801" s="15"/>
      <c r="AI801" s="15"/>
      <c r="AJ801" s="15"/>
      <c r="AK801" s="15"/>
      <c r="AL801" s="15" t="s">
        <v>328</v>
      </c>
      <c r="AM801" s="15"/>
      <c r="AN801" s="16">
        <v>30000</v>
      </c>
      <c r="AO801" s="16">
        <v>30000</v>
      </c>
      <c r="AP801" s="16">
        <v>120000</v>
      </c>
      <c r="AQ801" s="16">
        <v>150000</v>
      </c>
      <c r="AR801" s="16">
        <v>30000</v>
      </c>
      <c r="AS801" s="22">
        <v>216000</v>
      </c>
      <c r="AT801" s="22">
        <v>0</v>
      </c>
      <c r="AU801" s="22">
        <v>68400</v>
      </c>
      <c r="AV801" s="22">
        <v>30000</v>
      </c>
      <c r="AW801" s="22">
        <v>26400</v>
      </c>
      <c r="AX801" s="66">
        <v>0</v>
      </c>
      <c r="AY801" s="17" t="s">
        <v>708</v>
      </c>
      <c r="AZ801" s="15" t="s">
        <v>693</v>
      </c>
      <c r="BA801" s="249">
        <f t="shared" si="25"/>
        <v>2</v>
      </c>
      <c r="BB801" s="249">
        <v>0</v>
      </c>
      <c r="BC801" s="249">
        <f t="shared" si="24"/>
        <v>2001</v>
      </c>
    </row>
    <row r="802" spans="1:55" x14ac:dyDescent="0.25">
      <c r="A802" s="51" t="s">
        <v>1572</v>
      </c>
      <c r="B802" s="65" t="s">
        <v>1573</v>
      </c>
      <c r="C802" s="15" t="s">
        <v>337</v>
      </c>
      <c r="D802" s="15">
        <v>1991</v>
      </c>
      <c r="E802" s="15" t="s">
        <v>407</v>
      </c>
      <c r="F802" s="15"/>
      <c r="G802" s="15"/>
      <c r="H802" s="15"/>
      <c r="I802" s="15"/>
      <c r="J802" s="16">
        <v>200000</v>
      </c>
      <c r="K802" s="15"/>
      <c r="L802" s="15"/>
      <c r="M802" s="15" t="s">
        <v>328</v>
      </c>
      <c r="N802" s="16">
        <v>25000</v>
      </c>
      <c r="O802" s="21">
        <v>0.5</v>
      </c>
      <c r="P802" s="15">
        <v>2</v>
      </c>
      <c r="Q802" s="15">
        <v>800</v>
      </c>
      <c r="R802" s="16">
        <v>1700</v>
      </c>
      <c r="S802" s="15" t="s">
        <v>340</v>
      </c>
      <c r="T802" s="15">
        <v>2.2000000000000002</v>
      </c>
      <c r="U802" s="15">
        <v>2.2999999999999998</v>
      </c>
      <c r="V802" s="27">
        <v>11363.636363636362</v>
      </c>
      <c r="W802" s="22">
        <v>160681.81818181818</v>
      </c>
      <c r="X802" s="15"/>
      <c r="Y802" s="15"/>
      <c r="Z802" s="15"/>
      <c r="AA802" s="15"/>
      <c r="AB802" s="15" t="s">
        <v>328</v>
      </c>
      <c r="AC802" s="15"/>
      <c r="AD802" s="15" t="s">
        <v>328</v>
      </c>
      <c r="AE802" s="15" t="s">
        <v>328</v>
      </c>
      <c r="AF802" s="15"/>
      <c r="AG802" s="15" t="s">
        <v>328</v>
      </c>
      <c r="AH802" s="15"/>
      <c r="AI802" s="15"/>
      <c r="AJ802" s="15"/>
      <c r="AK802" s="15"/>
      <c r="AL802" s="15" t="s">
        <v>328</v>
      </c>
      <c r="AM802" s="15"/>
      <c r="AN802" s="16">
        <v>25000</v>
      </c>
      <c r="AO802" s="16">
        <v>60000</v>
      </c>
      <c r="AP802" s="16">
        <v>50000</v>
      </c>
      <c r="AQ802" s="16">
        <v>125000</v>
      </c>
      <c r="AR802" s="16">
        <v>25000</v>
      </c>
      <c r="AS802" s="22">
        <v>90000</v>
      </c>
      <c r="AT802" s="22">
        <v>48000</v>
      </c>
      <c r="AU802" s="22">
        <v>25200</v>
      </c>
      <c r="AV802" s="22">
        <v>24000</v>
      </c>
      <c r="AW802" s="22">
        <v>0</v>
      </c>
      <c r="AX802" s="66">
        <v>0</v>
      </c>
      <c r="AZ802" s="15"/>
      <c r="BA802" s="249">
        <f t="shared" si="25"/>
        <v>12</v>
      </c>
      <c r="BB802" s="249">
        <v>0</v>
      </c>
      <c r="BC802" s="249">
        <f t="shared" si="24"/>
        <v>1991</v>
      </c>
    </row>
    <row r="803" spans="1:55" x14ac:dyDescent="0.25">
      <c r="A803" s="51" t="s">
        <v>1572</v>
      </c>
      <c r="B803" s="63" t="s">
        <v>1573</v>
      </c>
      <c r="C803" s="15" t="s">
        <v>337</v>
      </c>
      <c r="D803" s="15">
        <v>1992</v>
      </c>
      <c r="E803" s="15" t="s">
        <v>407</v>
      </c>
      <c r="F803" s="15"/>
      <c r="G803" s="15"/>
      <c r="H803" s="15"/>
      <c r="I803" s="15"/>
      <c r="J803" s="16">
        <v>2900000</v>
      </c>
      <c r="K803" s="15"/>
      <c r="L803" s="15"/>
      <c r="M803" s="15" t="s">
        <v>328</v>
      </c>
      <c r="N803" s="16">
        <v>25000</v>
      </c>
      <c r="O803" s="21">
        <v>0.5</v>
      </c>
      <c r="P803" s="15">
        <v>2</v>
      </c>
      <c r="Q803" s="15">
        <v>1200</v>
      </c>
      <c r="R803" s="16">
        <v>2600</v>
      </c>
      <c r="S803" s="15" t="s">
        <v>340</v>
      </c>
      <c r="T803" s="15">
        <v>2.2000000000000002</v>
      </c>
      <c r="U803" s="15">
        <v>2.2999999999999998</v>
      </c>
      <c r="V803" s="27">
        <v>11363.636363636362</v>
      </c>
      <c r="W803" s="22">
        <v>160681.81818181818</v>
      </c>
      <c r="X803" s="15"/>
      <c r="Y803" s="15"/>
      <c r="Z803" s="15"/>
      <c r="AA803" s="15"/>
      <c r="AB803" s="15" t="s">
        <v>328</v>
      </c>
      <c r="AC803" s="15"/>
      <c r="AD803" s="15"/>
      <c r="AE803" s="15" t="s">
        <v>328</v>
      </c>
      <c r="AF803" s="15"/>
      <c r="AG803" s="15" t="s">
        <v>328</v>
      </c>
      <c r="AH803" s="15"/>
      <c r="AI803" s="15"/>
      <c r="AJ803" s="15"/>
      <c r="AK803" s="15"/>
      <c r="AL803" s="15" t="s">
        <v>328</v>
      </c>
      <c r="AM803" s="15"/>
      <c r="AN803" s="16">
        <v>25000</v>
      </c>
      <c r="AO803" s="16">
        <v>60000</v>
      </c>
      <c r="AP803" s="16">
        <v>50000</v>
      </c>
      <c r="AQ803" s="16">
        <v>125000</v>
      </c>
      <c r="AR803" s="16">
        <v>25000</v>
      </c>
      <c r="AS803" s="22">
        <v>90000</v>
      </c>
      <c r="AT803" s="22">
        <v>48000</v>
      </c>
      <c r="AU803" s="22">
        <v>25200</v>
      </c>
      <c r="AV803" s="22">
        <v>24000</v>
      </c>
      <c r="AW803" s="22">
        <v>0</v>
      </c>
      <c r="AX803" s="66">
        <v>0</v>
      </c>
      <c r="AZ803" s="15"/>
      <c r="BA803" s="249">
        <f t="shared" si="25"/>
        <v>12</v>
      </c>
      <c r="BB803" s="249">
        <v>0</v>
      </c>
      <c r="BC803" s="249">
        <f t="shared" si="24"/>
        <v>1992</v>
      </c>
    </row>
    <row r="804" spans="1:55" x14ac:dyDescent="0.25">
      <c r="A804" s="51" t="s">
        <v>1572</v>
      </c>
      <c r="B804" s="63" t="s">
        <v>1573</v>
      </c>
      <c r="C804" s="15" t="s">
        <v>337</v>
      </c>
      <c r="D804" s="15">
        <v>1998</v>
      </c>
      <c r="E804" s="15" t="s">
        <v>475</v>
      </c>
      <c r="F804" s="15"/>
      <c r="G804" s="15"/>
      <c r="H804" s="15"/>
      <c r="I804" s="15"/>
      <c r="J804" s="16">
        <v>2800000</v>
      </c>
      <c r="K804" s="15"/>
      <c r="L804" s="15"/>
      <c r="M804" s="15" t="s">
        <v>328</v>
      </c>
      <c r="N804" s="16">
        <v>28000</v>
      </c>
      <c r="O804" s="21">
        <v>0.5</v>
      </c>
      <c r="P804" s="15">
        <v>2</v>
      </c>
      <c r="Q804" s="15">
        <v>900</v>
      </c>
      <c r="R804" s="16">
        <v>2160</v>
      </c>
      <c r="S804" s="15" t="s">
        <v>340</v>
      </c>
      <c r="T804" s="15">
        <v>2.4</v>
      </c>
      <c r="U804" s="15">
        <v>2.6</v>
      </c>
      <c r="V804" s="27">
        <v>11200</v>
      </c>
      <c r="W804" s="22">
        <v>160000</v>
      </c>
      <c r="X804" s="15"/>
      <c r="Y804" s="15"/>
      <c r="Z804" s="15"/>
      <c r="AA804" s="15"/>
      <c r="AB804" s="15" t="s">
        <v>328</v>
      </c>
      <c r="AC804" s="15"/>
      <c r="AD804" s="15"/>
      <c r="AE804" s="15" t="s">
        <v>328</v>
      </c>
      <c r="AF804" s="15"/>
      <c r="AG804" s="15" t="s">
        <v>328</v>
      </c>
      <c r="AH804" s="15"/>
      <c r="AI804" s="15"/>
      <c r="AJ804" s="15"/>
      <c r="AK804" s="15"/>
      <c r="AL804" s="15" t="s">
        <v>328</v>
      </c>
      <c r="AM804" s="15"/>
      <c r="AN804" s="16">
        <v>25000</v>
      </c>
      <c r="AO804" s="16">
        <v>60000</v>
      </c>
      <c r="AP804" s="16">
        <v>50000</v>
      </c>
      <c r="AQ804" s="16">
        <v>125000</v>
      </c>
      <c r="AR804" s="16">
        <v>25000</v>
      </c>
      <c r="AS804" s="22">
        <v>90000</v>
      </c>
      <c r="AT804" s="22">
        <v>48000</v>
      </c>
      <c r="AU804" s="22">
        <v>25200</v>
      </c>
      <c r="AV804" s="22">
        <v>24000</v>
      </c>
      <c r="AW804" s="22">
        <v>0</v>
      </c>
      <c r="AX804" s="66">
        <v>0</v>
      </c>
      <c r="AZ804" s="15"/>
      <c r="BA804" s="249">
        <f t="shared" si="25"/>
        <v>12</v>
      </c>
      <c r="BB804" s="249">
        <v>0</v>
      </c>
      <c r="BC804" s="249">
        <f t="shared" si="24"/>
        <v>1998</v>
      </c>
    </row>
    <row r="805" spans="1:55" x14ac:dyDescent="0.25">
      <c r="A805" s="51" t="s">
        <v>1572</v>
      </c>
      <c r="B805" s="63" t="s">
        <v>1573</v>
      </c>
      <c r="C805" s="15" t="s">
        <v>337</v>
      </c>
      <c r="D805" s="15">
        <v>2005</v>
      </c>
      <c r="E805" s="15" t="s">
        <v>407</v>
      </c>
      <c r="F805" s="15"/>
      <c r="G805" s="15"/>
      <c r="H805" s="15"/>
      <c r="I805" s="15"/>
      <c r="J805" s="16">
        <v>1100000</v>
      </c>
      <c r="K805" s="15"/>
      <c r="L805" s="15"/>
      <c r="M805" s="15" t="s">
        <v>328</v>
      </c>
      <c r="N805" s="16">
        <v>28000</v>
      </c>
      <c r="O805" s="21">
        <v>0.5</v>
      </c>
      <c r="P805" s="15">
        <v>2</v>
      </c>
      <c r="Q805" s="15">
        <v>900</v>
      </c>
      <c r="R805" s="16">
        <v>2160</v>
      </c>
      <c r="S805" s="15" t="s">
        <v>340</v>
      </c>
      <c r="T805" s="15">
        <v>2.4</v>
      </c>
      <c r="U805" s="15">
        <v>2.6</v>
      </c>
      <c r="V805" s="27">
        <v>11200</v>
      </c>
      <c r="W805" s="22">
        <v>160000</v>
      </c>
      <c r="X805" s="15"/>
      <c r="Y805" s="15"/>
      <c r="Z805" s="15"/>
      <c r="AA805" s="15"/>
      <c r="AB805" s="15" t="s">
        <v>328</v>
      </c>
      <c r="AC805" s="15"/>
      <c r="AD805" s="15" t="s">
        <v>328</v>
      </c>
      <c r="AE805" s="15" t="s">
        <v>328</v>
      </c>
      <c r="AF805" s="15"/>
      <c r="AG805" s="15" t="s">
        <v>328</v>
      </c>
      <c r="AH805" s="15"/>
      <c r="AI805" s="15"/>
      <c r="AJ805" s="15"/>
      <c r="AK805" s="15"/>
      <c r="AL805" s="15" t="s">
        <v>328</v>
      </c>
      <c r="AM805" s="15"/>
      <c r="AN805" s="16">
        <v>25000</v>
      </c>
      <c r="AO805" s="16">
        <v>60000</v>
      </c>
      <c r="AP805" s="16">
        <v>50000</v>
      </c>
      <c r="AQ805" s="16">
        <v>125000</v>
      </c>
      <c r="AR805" s="16">
        <v>25000</v>
      </c>
      <c r="AS805" s="22">
        <v>90000</v>
      </c>
      <c r="AT805" s="22">
        <v>48000</v>
      </c>
      <c r="AU805" s="22">
        <v>25200</v>
      </c>
      <c r="AV805" s="22">
        <v>24000</v>
      </c>
      <c r="AW805" s="22">
        <v>0</v>
      </c>
      <c r="AX805" s="66">
        <v>0</v>
      </c>
      <c r="AZ805" s="15"/>
      <c r="BA805" s="249">
        <f t="shared" si="25"/>
        <v>12</v>
      </c>
      <c r="BB805" s="249">
        <v>0</v>
      </c>
      <c r="BC805" s="249">
        <f t="shared" si="24"/>
        <v>2005</v>
      </c>
    </row>
    <row r="806" spans="1:55" x14ac:dyDescent="0.25">
      <c r="A806" s="51" t="s">
        <v>1572</v>
      </c>
      <c r="B806" s="63" t="s">
        <v>1573</v>
      </c>
      <c r="C806" s="15" t="s">
        <v>337</v>
      </c>
      <c r="D806" s="15">
        <v>1999</v>
      </c>
      <c r="E806" s="15" t="s">
        <v>475</v>
      </c>
      <c r="F806" s="15"/>
      <c r="G806" s="15"/>
      <c r="H806" s="15"/>
      <c r="I806" s="15"/>
      <c r="J806" s="16">
        <v>900000</v>
      </c>
      <c r="K806" s="15"/>
      <c r="L806" s="15"/>
      <c r="M806" s="15" t="s">
        <v>328</v>
      </c>
      <c r="N806" s="16">
        <v>700</v>
      </c>
      <c r="O806" s="21">
        <v>0.5</v>
      </c>
      <c r="P806" s="15">
        <v>2</v>
      </c>
      <c r="Q806" s="15">
        <v>1200</v>
      </c>
      <c r="R806" s="16">
        <v>2700</v>
      </c>
      <c r="S806" s="15" t="s">
        <v>340</v>
      </c>
      <c r="T806" s="15">
        <v>2.2999999999999998</v>
      </c>
      <c r="U806" s="15">
        <v>2.5</v>
      </c>
      <c r="V806" s="27">
        <v>290</v>
      </c>
      <c r="W806" s="22">
        <v>4200</v>
      </c>
      <c r="X806" s="15"/>
      <c r="Y806" s="15"/>
      <c r="Z806" s="15"/>
      <c r="AA806" s="15"/>
      <c r="AB806" s="15" t="s">
        <v>328</v>
      </c>
      <c r="AC806" s="15"/>
      <c r="AD806" s="15" t="s">
        <v>328</v>
      </c>
      <c r="AE806" s="15" t="s">
        <v>328</v>
      </c>
      <c r="AF806" s="15"/>
      <c r="AG806" s="15" t="s">
        <v>328</v>
      </c>
      <c r="AH806" s="15"/>
      <c r="AI806" s="15"/>
      <c r="AJ806" s="15"/>
      <c r="AK806" s="15"/>
      <c r="AL806" s="15" t="s">
        <v>328</v>
      </c>
      <c r="AM806" s="15"/>
      <c r="AN806" s="16">
        <v>25000</v>
      </c>
      <c r="AO806" s="16">
        <v>60000</v>
      </c>
      <c r="AP806" s="16">
        <v>50000</v>
      </c>
      <c r="AQ806" s="16">
        <v>125000</v>
      </c>
      <c r="AR806" s="16">
        <v>25000</v>
      </c>
      <c r="AS806" s="22">
        <v>90000</v>
      </c>
      <c r="AT806" s="22">
        <v>48000</v>
      </c>
      <c r="AU806" s="22">
        <v>25200</v>
      </c>
      <c r="AV806" s="22">
        <v>24000</v>
      </c>
      <c r="AW806" s="22">
        <v>0</v>
      </c>
      <c r="AX806" s="66">
        <v>0</v>
      </c>
      <c r="AZ806" s="15"/>
      <c r="BA806" s="249">
        <f t="shared" si="25"/>
        <v>12</v>
      </c>
      <c r="BB806" s="249">
        <v>0</v>
      </c>
      <c r="BC806" s="249">
        <f t="shared" si="24"/>
        <v>1999</v>
      </c>
    </row>
    <row r="807" spans="1:55" x14ac:dyDescent="0.25">
      <c r="A807" s="51" t="s">
        <v>1572</v>
      </c>
      <c r="B807" s="63" t="s">
        <v>1573</v>
      </c>
      <c r="C807" s="15" t="s">
        <v>337</v>
      </c>
      <c r="D807" s="15">
        <v>1998</v>
      </c>
      <c r="E807" s="15" t="s">
        <v>475</v>
      </c>
      <c r="F807" s="15"/>
      <c r="G807" s="15"/>
      <c r="H807" s="15"/>
      <c r="I807" s="15"/>
      <c r="J807" s="16">
        <v>950000</v>
      </c>
      <c r="K807" s="15"/>
      <c r="L807" s="15"/>
      <c r="M807" s="15" t="s">
        <v>328</v>
      </c>
      <c r="N807" s="16">
        <v>700</v>
      </c>
      <c r="O807" s="21">
        <v>0.5</v>
      </c>
      <c r="P807" s="15">
        <v>2</v>
      </c>
      <c r="Q807" s="15">
        <v>800</v>
      </c>
      <c r="R807" s="16">
        <v>1800</v>
      </c>
      <c r="S807" s="15" t="s">
        <v>340</v>
      </c>
      <c r="T807" s="15">
        <v>2.2999999999999998</v>
      </c>
      <c r="U807" s="15">
        <v>2.5</v>
      </c>
      <c r="V807" s="27">
        <v>300</v>
      </c>
      <c r="W807" s="22">
        <v>4200</v>
      </c>
      <c r="X807" s="15"/>
      <c r="Y807" s="15"/>
      <c r="Z807" s="15"/>
      <c r="AA807" s="15"/>
      <c r="AB807" s="15" t="s">
        <v>328</v>
      </c>
      <c r="AC807" s="15"/>
      <c r="AD807" s="15"/>
      <c r="AE807" s="15" t="s">
        <v>328</v>
      </c>
      <c r="AF807" s="15"/>
      <c r="AG807" s="15" t="s">
        <v>328</v>
      </c>
      <c r="AH807" s="15"/>
      <c r="AI807" s="15"/>
      <c r="AJ807" s="15"/>
      <c r="AK807" s="15"/>
      <c r="AL807" s="15"/>
      <c r="AM807" s="15"/>
      <c r="AN807" s="16">
        <v>25000</v>
      </c>
      <c r="AO807" s="16">
        <v>60000</v>
      </c>
      <c r="AP807" s="16">
        <v>50000</v>
      </c>
      <c r="AQ807" s="16">
        <v>125000</v>
      </c>
      <c r="AR807" s="16">
        <v>25000</v>
      </c>
      <c r="AS807" s="22">
        <v>90000</v>
      </c>
      <c r="AT807" s="22">
        <v>48000</v>
      </c>
      <c r="AU807" s="22">
        <v>25200</v>
      </c>
      <c r="AV807" s="22">
        <v>24000</v>
      </c>
      <c r="AW807" s="22">
        <v>0</v>
      </c>
      <c r="AX807" s="66">
        <v>0</v>
      </c>
      <c r="AZ807" s="15"/>
      <c r="BA807" s="249">
        <f t="shared" si="25"/>
        <v>12</v>
      </c>
      <c r="BB807" s="249">
        <v>0</v>
      </c>
      <c r="BC807" s="249">
        <f t="shared" si="24"/>
        <v>1998</v>
      </c>
    </row>
    <row r="808" spans="1:55" x14ac:dyDescent="0.25">
      <c r="A808" s="51" t="s">
        <v>1572</v>
      </c>
      <c r="B808" s="63" t="s">
        <v>1573</v>
      </c>
      <c r="C808" s="15" t="s">
        <v>337</v>
      </c>
      <c r="D808" s="15">
        <v>1998</v>
      </c>
      <c r="E808" s="15" t="s">
        <v>477</v>
      </c>
      <c r="F808" s="15"/>
      <c r="G808" s="15"/>
      <c r="H808" s="15"/>
      <c r="I808" s="15"/>
      <c r="J808" s="16">
        <v>980000</v>
      </c>
      <c r="K808" s="15"/>
      <c r="L808" s="15"/>
      <c r="M808" s="15" t="s">
        <v>328</v>
      </c>
      <c r="N808" s="16">
        <v>700</v>
      </c>
      <c r="O808" s="21">
        <v>0.5</v>
      </c>
      <c r="P808" s="15">
        <v>1</v>
      </c>
      <c r="Q808" s="15">
        <v>400</v>
      </c>
      <c r="R808" s="16">
        <v>900</v>
      </c>
      <c r="S808" s="15" t="s">
        <v>340</v>
      </c>
      <c r="T808" s="15">
        <v>2.2999999999999998</v>
      </c>
      <c r="U808" s="15">
        <v>2.5</v>
      </c>
      <c r="V808" s="27">
        <v>300</v>
      </c>
      <c r="W808" s="22">
        <v>4200</v>
      </c>
      <c r="X808" s="15"/>
      <c r="Y808" s="15"/>
      <c r="Z808" s="15"/>
      <c r="AA808" s="15"/>
      <c r="AB808" s="15" t="s">
        <v>328</v>
      </c>
      <c r="AC808" s="15"/>
      <c r="AD808" s="15" t="s">
        <v>328</v>
      </c>
      <c r="AE808" s="15" t="s">
        <v>328</v>
      </c>
      <c r="AF808" s="15"/>
      <c r="AG808" s="15" t="s">
        <v>328</v>
      </c>
      <c r="AH808" s="15"/>
      <c r="AI808" s="15"/>
      <c r="AJ808" s="15"/>
      <c r="AK808" s="15"/>
      <c r="AL808" s="15"/>
      <c r="AM808" s="15"/>
      <c r="AN808" s="16">
        <v>25000</v>
      </c>
      <c r="AO808" s="16">
        <v>60000</v>
      </c>
      <c r="AP808" s="16">
        <v>50000</v>
      </c>
      <c r="AQ808" s="16">
        <v>125000</v>
      </c>
      <c r="AR808" s="16">
        <v>25000</v>
      </c>
      <c r="AS808" s="22">
        <v>90000</v>
      </c>
      <c r="AT808" s="22">
        <v>48000</v>
      </c>
      <c r="AU808" s="22">
        <v>25200</v>
      </c>
      <c r="AV808" s="22">
        <v>24000</v>
      </c>
      <c r="AW808" s="22">
        <v>0</v>
      </c>
      <c r="AX808" s="66">
        <v>0</v>
      </c>
      <c r="AZ808" s="15"/>
      <c r="BA808" s="249">
        <f t="shared" si="25"/>
        <v>12</v>
      </c>
      <c r="BB808" s="249">
        <v>0</v>
      </c>
      <c r="BC808" s="249">
        <f t="shared" si="24"/>
        <v>1998</v>
      </c>
    </row>
    <row r="809" spans="1:55" x14ac:dyDescent="0.25">
      <c r="A809" s="51" t="s">
        <v>1572</v>
      </c>
      <c r="B809" s="63" t="s">
        <v>1573</v>
      </c>
      <c r="C809" s="15" t="s">
        <v>337</v>
      </c>
      <c r="D809" s="15">
        <v>1995</v>
      </c>
      <c r="E809" s="15" t="s">
        <v>407</v>
      </c>
      <c r="F809" s="15"/>
      <c r="G809" s="15"/>
      <c r="H809" s="15"/>
      <c r="I809" s="15"/>
      <c r="J809" s="16">
        <v>1500000</v>
      </c>
      <c r="K809" s="15"/>
      <c r="L809" s="15"/>
      <c r="M809" s="15" t="s">
        <v>328</v>
      </c>
      <c r="N809" s="16">
        <v>700</v>
      </c>
      <c r="O809" s="21">
        <v>0.5</v>
      </c>
      <c r="P809" s="15">
        <v>2</v>
      </c>
      <c r="Q809" s="15">
        <v>800</v>
      </c>
      <c r="R809" s="16">
        <v>1700</v>
      </c>
      <c r="S809" s="15" t="s">
        <v>340</v>
      </c>
      <c r="T809" s="15">
        <v>2.2999999999999998</v>
      </c>
      <c r="U809" s="15">
        <v>2.5</v>
      </c>
      <c r="V809" s="27">
        <v>300</v>
      </c>
      <c r="W809" s="22">
        <v>4200</v>
      </c>
      <c r="X809" s="15"/>
      <c r="Y809" s="15"/>
      <c r="Z809" s="15"/>
      <c r="AA809" s="15"/>
      <c r="AB809" s="15" t="s">
        <v>328</v>
      </c>
      <c r="AC809" s="15"/>
      <c r="AD809" s="15" t="s">
        <v>328</v>
      </c>
      <c r="AE809" s="15" t="s">
        <v>328</v>
      </c>
      <c r="AF809" s="15"/>
      <c r="AG809" s="15" t="s">
        <v>328</v>
      </c>
      <c r="AH809" s="15"/>
      <c r="AI809" s="15"/>
      <c r="AJ809" s="15"/>
      <c r="AK809" s="15"/>
      <c r="AL809" s="15"/>
      <c r="AM809" s="15"/>
      <c r="AN809" s="16">
        <v>25000</v>
      </c>
      <c r="AO809" s="16">
        <v>60000</v>
      </c>
      <c r="AP809" s="16">
        <v>50000</v>
      </c>
      <c r="AQ809" s="16">
        <v>125000</v>
      </c>
      <c r="AR809" s="16">
        <v>25000</v>
      </c>
      <c r="AS809" s="22">
        <v>90000</v>
      </c>
      <c r="AT809" s="22">
        <v>48000</v>
      </c>
      <c r="AU809" s="22">
        <v>25200</v>
      </c>
      <c r="AV809" s="22">
        <v>24000</v>
      </c>
      <c r="AW809" s="22">
        <v>0</v>
      </c>
      <c r="AX809" s="66">
        <v>0</v>
      </c>
      <c r="AZ809" s="15"/>
      <c r="BA809" s="249">
        <f t="shared" si="25"/>
        <v>12</v>
      </c>
      <c r="BB809" s="249">
        <v>0</v>
      </c>
      <c r="BC809" s="249">
        <f t="shared" si="24"/>
        <v>1995</v>
      </c>
    </row>
    <row r="810" spans="1:55" x14ac:dyDescent="0.25">
      <c r="A810" s="51" t="s">
        <v>1572</v>
      </c>
      <c r="B810" s="63" t="s">
        <v>1573</v>
      </c>
      <c r="C810" s="15" t="s">
        <v>337</v>
      </c>
      <c r="D810" s="15">
        <v>1995</v>
      </c>
      <c r="E810" s="15" t="s">
        <v>475</v>
      </c>
      <c r="F810" s="15"/>
      <c r="G810" s="15"/>
      <c r="H810" s="15"/>
      <c r="I810" s="15"/>
      <c r="J810" s="16">
        <v>1500000</v>
      </c>
      <c r="K810" s="15"/>
      <c r="L810" s="15"/>
      <c r="M810" s="15" t="s">
        <v>328</v>
      </c>
      <c r="N810" s="16">
        <v>700</v>
      </c>
      <c r="O810" s="21">
        <v>0.5</v>
      </c>
      <c r="P810" s="15">
        <v>1</v>
      </c>
      <c r="Q810" s="15">
        <v>400</v>
      </c>
      <c r="R810" s="16">
        <v>900</v>
      </c>
      <c r="S810" s="15" t="s">
        <v>340</v>
      </c>
      <c r="T810" s="15">
        <v>2.2000000000000002</v>
      </c>
      <c r="U810" s="15">
        <v>2.2999999999999998</v>
      </c>
      <c r="V810" s="27">
        <v>300</v>
      </c>
      <c r="W810" s="22">
        <v>4200</v>
      </c>
      <c r="X810" s="15"/>
      <c r="Y810" s="15"/>
      <c r="Z810" s="15"/>
      <c r="AA810" s="15"/>
      <c r="AB810" s="15" t="s">
        <v>328</v>
      </c>
      <c r="AC810" s="15"/>
      <c r="AD810" s="15"/>
      <c r="AE810" s="15" t="s">
        <v>328</v>
      </c>
      <c r="AF810" s="15"/>
      <c r="AG810" s="15" t="s">
        <v>328</v>
      </c>
      <c r="AH810" s="15"/>
      <c r="AI810" s="15"/>
      <c r="AJ810" s="15"/>
      <c r="AK810" s="15"/>
      <c r="AL810" s="15"/>
      <c r="AM810" s="15"/>
      <c r="AN810" s="16">
        <v>25000</v>
      </c>
      <c r="AO810" s="16">
        <v>60000</v>
      </c>
      <c r="AP810" s="16">
        <v>50000</v>
      </c>
      <c r="AQ810" s="16">
        <v>125000</v>
      </c>
      <c r="AR810" s="16">
        <v>25000</v>
      </c>
      <c r="AS810" s="22">
        <v>90000</v>
      </c>
      <c r="AT810" s="22">
        <v>48000</v>
      </c>
      <c r="AU810" s="22">
        <v>25200</v>
      </c>
      <c r="AV810" s="22">
        <v>24000</v>
      </c>
      <c r="AW810" s="22">
        <v>0</v>
      </c>
      <c r="AX810" s="66">
        <v>0</v>
      </c>
      <c r="AZ810" s="15"/>
      <c r="BA810" s="249">
        <f t="shared" si="25"/>
        <v>12</v>
      </c>
      <c r="BB810" s="249">
        <v>0</v>
      </c>
      <c r="BC810" s="249">
        <f t="shared" si="24"/>
        <v>1995</v>
      </c>
    </row>
    <row r="811" spans="1:55" x14ac:dyDescent="0.25">
      <c r="A811" s="51" t="s">
        <v>1572</v>
      </c>
      <c r="B811" s="63" t="s">
        <v>1573</v>
      </c>
      <c r="C811" s="15" t="s">
        <v>337</v>
      </c>
      <c r="D811" s="15">
        <v>1995</v>
      </c>
      <c r="E811" s="15" t="s">
        <v>475</v>
      </c>
      <c r="F811" s="15"/>
      <c r="G811" s="15"/>
      <c r="H811" s="15"/>
      <c r="I811" s="15"/>
      <c r="J811" s="16">
        <v>1500000</v>
      </c>
      <c r="K811" s="15"/>
      <c r="L811" s="15"/>
      <c r="M811" s="15" t="s">
        <v>328</v>
      </c>
      <c r="N811" s="16">
        <v>700</v>
      </c>
      <c r="O811" s="21">
        <v>0.5</v>
      </c>
      <c r="P811" s="15">
        <v>2</v>
      </c>
      <c r="Q811" s="15">
        <v>800</v>
      </c>
      <c r="R811" s="16">
        <v>1800</v>
      </c>
      <c r="S811" s="15" t="s">
        <v>340</v>
      </c>
      <c r="T811" s="15">
        <v>2.2999999999999998</v>
      </c>
      <c r="U811" s="15">
        <v>2.5</v>
      </c>
      <c r="V811" s="27">
        <v>300</v>
      </c>
      <c r="W811" s="22">
        <v>4200</v>
      </c>
      <c r="X811" s="15"/>
      <c r="Y811" s="15"/>
      <c r="Z811" s="15"/>
      <c r="AA811" s="15"/>
      <c r="AB811" s="15"/>
      <c r="AC811" s="15" t="s">
        <v>328</v>
      </c>
      <c r="AD811" s="15" t="s">
        <v>328</v>
      </c>
      <c r="AE811" s="15" t="s">
        <v>328</v>
      </c>
      <c r="AF811" s="15"/>
      <c r="AG811" s="15" t="s">
        <v>328</v>
      </c>
      <c r="AH811" s="15"/>
      <c r="AI811" s="15"/>
      <c r="AJ811" s="15"/>
      <c r="AK811" s="15"/>
      <c r="AL811" s="15" t="s">
        <v>328</v>
      </c>
      <c r="AM811" s="15"/>
      <c r="AN811" s="16">
        <v>25000</v>
      </c>
      <c r="AO811" s="16">
        <v>60000</v>
      </c>
      <c r="AP811" s="16">
        <v>50000</v>
      </c>
      <c r="AQ811" s="16">
        <v>125000</v>
      </c>
      <c r="AR811" s="16">
        <v>25000</v>
      </c>
      <c r="AS811" s="22">
        <v>90000</v>
      </c>
      <c r="AT811" s="22">
        <v>48000</v>
      </c>
      <c r="AU811" s="22">
        <v>25200</v>
      </c>
      <c r="AV811" s="22">
        <v>24000</v>
      </c>
      <c r="AW811" s="22">
        <v>0</v>
      </c>
      <c r="AX811" s="66">
        <v>0</v>
      </c>
      <c r="AZ811" s="15"/>
      <c r="BA811" s="249">
        <f t="shared" si="25"/>
        <v>12</v>
      </c>
      <c r="BB811" s="249">
        <v>0</v>
      </c>
      <c r="BC811" s="249">
        <f t="shared" si="24"/>
        <v>1995</v>
      </c>
    </row>
    <row r="812" spans="1:55" x14ac:dyDescent="0.25">
      <c r="A812" s="51" t="s">
        <v>1572</v>
      </c>
      <c r="B812" s="63" t="s">
        <v>1573</v>
      </c>
      <c r="C812" s="15" t="s">
        <v>348</v>
      </c>
      <c r="D812" s="15">
        <v>2008</v>
      </c>
      <c r="E812" s="15" t="s">
        <v>381</v>
      </c>
      <c r="F812" s="15"/>
      <c r="G812" s="15"/>
      <c r="H812" s="15"/>
      <c r="I812" s="15"/>
      <c r="J812" s="16">
        <v>200000</v>
      </c>
      <c r="K812" s="15"/>
      <c r="L812" s="15" t="s">
        <v>328</v>
      </c>
      <c r="M812" s="15"/>
      <c r="N812" s="16">
        <v>700</v>
      </c>
      <c r="O812" s="21">
        <v>0.5</v>
      </c>
      <c r="P812" s="15">
        <v>2</v>
      </c>
      <c r="Q812" s="15">
        <v>360</v>
      </c>
      <c r="R812" s="16">
        <v>1900</v>
      </c>
      <c r="S812" s="15" t="s">
        <v>340</v>
      </c>
      <c r="T812" s="15">
        <v>3.9</v>
      </c>
      <c r="U812" s="15">
        <v>4.0999999999999996</v>
      </c>
      <c r="V812" s="27">
        <v>300</v>
      </c>
      <c r="W812" s="22">
        <v>4200</v>
      </c>
      <c r="X812" s="15"/>
      <c r="Y812" s="15"/>
      <c r="Z812" s="15"/>
      <c r="AA812" s="15"/>
      <c r="AB812" s="15"/>
      <c r="AC812" s="15" t="s">
        <v>328</v>
      </c>
      <c r="AD812" s="15"/>
      <c r="AE812" s="15" t="s">
        <v>328</v>
      </c>
      <c r="AF812" s="15"/>
      <c r="AG812" s="15" t="s">
        <v>328</v>
      </c>
      <c r="AH812" s="15"/>
      <c r="AI812" s="15"/>
      <c r="AJ812" s="15"/>
      <c r="AK812" s="15"/>
      <c r="AL812" s="15" t="s">
        <v>328</v>
      </c>
      <c r="AM812" s="15"/>
      <c r="AN812" s="16">
        <v>25000</v>
      </c>
      <c r="AO812" s="16">
        <v>60000</v>
      </c>
      <c r="AP812" s="16">
        <v>50000</v>
      </c>
      <c r="AQ812" s="16">
        <v>125000</v>
      </c>
      <c r="AR812" s="16">
        <v>25000</v>
      </c>
      <c r="AS812" s="22">
        <v>90000</v>
      </c>
      <c r="AT812" s="22">
        <v>48000</v>
      </c>
      <c r="AU812" s="22">
        <v>25200</v>
      </c>
      <c r="AV812" s="22">
        <v>24000</v>
      </c>
      <c r="AW812" s="22">
        <v>0</v>
      </c>
      <c r="AX812" s="66">
        <v>0</v>
      </c>
      <c r="AZ812" s="15"/>
      <c r="BA812" s="249">
        <f t="shared" si="25"/>
        <v>12</v>
      </c>
      <c r="BB812" s="249">
        <v>0</v>
      </c>
      <c r="BC812" s="249">
        <f t="shared" si="24"/>
        <v>2008</v>
      </c>
    </row>
    <row r="813" spans="1:55" x14ac:dyDescent="0.25">
      <c r="A813" s="51" t="s">
        <v>1572</v>
      </c>
      <c r="B813" s="63" t="s">
        <v>1573</v>
      </c>
      <c r="C813" s="15" t="s">
        <v>337</v>
      </c>
      <c r="D813" s="15">
        <v>2000</v>
      </c>
      <c r="E813" s="15" t="s">
        <v>475</v>
      </c>
      <c r="F813" s="15"/>
      <c r="G813" s="15"/>
      <c r="H813" s="15"/>
      <c r="I813" s="15"/>
      <c r="J813" s="16">
        <v>1500000</v>
      </c>
      <c r="K813" s="15"/>
      <c r="L813" s="15" t="s">
        <v>328</v>
      </c>
      <c r="M813" s="15"/>
      <c r="N813" s="16">
        <v>1200</v>
      </c>
      <c r="O813" s="21">
        <v>0.5</v>
      </c>
      <c r="P813" s="15">
        <v>2</v>
      </c>
      <c r="Q813" s="15">
        <v>1200</v>
      </c>
      <c r="R813" s="16">
        <v>2700</v>
      </c>
      <c r="S813" s="15" t="s">
        <v>340</v>
      </c>
      <c r="T813" s="15">
        <v>2.2999999999999998</v>
      </c>
      <c r="U813" s="15">
        <v>2.5</v>
      </c>
      <c r="V813" s="27">
        <v>500</v>
      </c>
      <c r="W813" s="22">
        <v>7000</v>
      </c>
      <c r="X813" s="15"/>
      <c r="Y813" s="15"/>
      <c r="Z813" s="15"/>
      <c r="AA813" s="15"/>
      <c r="AB813" s="15"/>
      <c r="AC813" s="15" t="s">
        <v>328</v>
      </c>
      <c r="AD813" s="15"/>
      <c r="AE813" s="15" t="s">
        <v>328</v>
      </c>
      <c r="AF813" s="15"/>
      <c r="AG813" s="15" t="s">
        <v>328</v>
      </c>
      <c r="AH813" s="15"/>
      <c r="AI813" s="15"/>
      <c r="AJ813" s="15"/>
      <c r="AK813" s="15"/>
      <c r="AL813" s="15"/>
      <c r="AM813" s="15"/>
      <c r="AN813" s="16">
        <v>25000</v>
      </c>
      <c r="AO813" s="16">
        <v>60000</v>
      </c>
      <c r="AP813" s="16">
        <v>50000</v>
      </c>
      <c r="AQ813" s="16">
        <v>125000</v>
      </c>
      <c r="AR813" s="16">
        <v>25000</v>
      </c>
      <c r="AS813" s="22">
        <v>90000</v>
      </c>
      <c r="AT813" s="22">
        <v>48000</v>
      </c>
      <c r="AU813" s="22">
        <v>25200</v>
      </c>
      <c r="AV813" s="22">
        <v>24000</v>
      </c>
      <c r="AW813" s="22">
        <v>0</v>
      </c>
      <c r="AX813" s="66">
        <v>0</v>
      </c>
      <c r="AZ813" s="15"/>
      <c r="BA813" s="249">
        <f t="shared" si="25"/>
        <v>12</v>
      </c>
      <c r="BB813" s="249">
        <v>0</v>
      </c>
      <c r="BC813" s="249">
        <f t="shared" si="24"/>
        <v>2000</v>
      </c>
    </row>
    <row r="814" spans="1:55" x14ac:dyDescent="0.25">
      <c r="A814" s="51" t="s">
        <v>1572</v>
      </c>
      <c r="B814" s="63" t="s">
        <v>1576</v>
      </c>
      <c r="C814" s="15" t="s">
        <v>337</v>
      </c>
      <c r="D814" s="15">
        <v>1996</v>
      </c>
      <c r="E814" s="15" t="s">
        <v>407</v>
      </c>
      <c r="F814" s="15"/>
      <c r="G814" s="15"/>
      <c r="H814" s="15"/>
      <c r="I814" s="15"/>
      <c r="J814" s="16">
        <v>1000000</v>
      </c>
      <c r="K814" s="15"/>
      <c r="L814" s="15"/>
      <c r="M814" s="15" t="s">
        <v>328</v>
      </c>
      <c r="N814" s="16">
        <v>3000</v>
      </c>
      <c r="O814" s="21">
        <v>0.3</v>
      </c>
      <c r="P814" s="15">
        <v>2</v>
      </c>
      <c r="Q814" s="15">
        <v>530</v>
      </c>
      <c r="R814" s="16">
        <v>1404</v>
      </c>
      <c r="S814" s="15" t="s">
        <v>340</v>
      </c>
      <c r="T814" s="15">
        <v>2.8</v>
      </c>
      <c r="U814" s="15">
        <v>3</v>
      </c>
      <c r="V814" s="27">
        <v>1100</v>
      </c>
      <c r="W814" s="22">
        <v>15000</v>
      </c>
      <c r="X814" s="15"/>
      <c r="Y814" s="15"/>
      <c r="Z814" s="15"/>
      <c r="AA814" s="15"/>
      <c r="AB814" s="15" t="s">
        <v>328</v>
      </c>
      <c r="AC814" s="15"/>
      <c r="AD814" s="15"/>
      <c r="AE814" s="15" t="s">
        <v>328</v>
      </c>
      <c r="AF814" s="15"/>
      <c r="AG814" s="15"/>
      <c r="AH814" s="15" t="s">
        <v>328</v>
      </c>
      <c r="AI814" s="15" t="s">
        <v>328</v>
      </c>
      <c r="AJ814" s="15"/>
      <c r="AK814" s="15" t="s">
        <v>328</v>
      </c>
      <c r="AL814" s="15" t="s">
        <v>328</v>
      </c>
      <c r="AM814" s="15"/>
      <c r="AN814" s="16">
        <v>25000</v>
      </c>
      <c r="AO814" s="16">
        <v>60000</v>
      </c>
      <c r="AP814" s="16">
        <v>50000</v>
      </c>
      <c r="AQ814" s="16">
        <v>100000</v>
      </c>
      <c r="AR814" s="16">
        <v>25000</v>
      </c>
      <c r="AS814" s="22">
        <v>120000</v>
      </c>
      <c r="AT814" s="22">
        <v>72000</v>
      </c>
      <c r="AU814" s="22">
        <v>36000</v>
      </c>
      <c r="AV814" s="22">
        <v>48000</v>
      </c>
      <c r="AW814" s="22">
        <v>42000</v>
      </c>
      <c r="AX814" s="66">
        <v>72000</v>
      </c>
      <c r="AZ814" s="15"/>
      <c r="BA814" s="249">
        <f t="shared" si="25"/>
        <v>4</v>
      </c>
      <c r="BB814" s="249">
        <v>0</v>
      </c>
      <c r="BC814" s="249">
        <f t="shared" si="24"/>
        <v>1996</v>
      </c>
    </row>
    <row r="815" spans="1:55" x14ac:dyDescent="0.25">
      <c r="A815" s="51" t="s">
        <v>1572</v>
      </c>
      <c r="B815" s="63" t="s">
        <v>1576</v>
      </c>
      <c r="C815" s="15" t="s">
        <v>337</v>
      </c>
      <c r="D815" s="15">
        <v>1994</v>
      </c>
      <c r="E815" s="15" t="s">
        <v>407</v>
      </c>
      <c r="F815" s="15"/>
      <c r="G815" s="15"/>
      <c r="H815" s="15"/>
      <c r="I815" s="15"/>
      <c r="J815" s="16">
        <v>890000</v>
      </c>
      <c r="K815" s="15"/>
      <c r="L815" s="15" t="s">
        <v>328</v>
      </c>
      <c r="M815" s="15"/>
      <c r="N815" s="16">
        <v>3000</v>
      </c>
      <c r="O815" s="21">
        <v>0.3</v>
      </c>
      <c r="P815" s="15">
        <v>2</v>
      </c>
      <c r="Q815" s="15">
        <v>500</v>
      </c>
      <c r="R815" s="16">
        <v>1500</v>
      </c>
      <c r="S815" s="15" t="s">
        <v>340</v>
      </c>
      <c r="T815" s="15">
        <v>2.9</v>
      </c>
      <c r="U815" s="15">
        <v>3.1</v>
      </c>
      <c r="V815" s="27">
        <v>1000</v>
      </c>
      <c r="W815" s="22">
        <v>14000</v>
      </c>
      <c r="X815" s="15"/>
      <c r="Y815" s="15"/>
      <c r="Z815" s="15"/>
      <c r="AA815" s="15"/>
      <c r="AB815" s="15" t="s">
        <v>328</v>
      </c>
      <c r="AC815" s="15"/>
      <c r="AD815" s="15"/>
      <c r="AE815" s="15"/>
      <c r="AF815" s="15"/>
      <c r="AG815" s="15"/>
      <c r="AH815" s="15"/>
      <c r="AI815" s="15" t="s">
        <v>328</v>
      </c>
      <c r="AJ815" s="15"/>
      <c r="AK815" s="15" t="s">
        <v>328</v>
      </c>
      <c r="AL815" s="15" t="s">
        <v>328</v>
      </c>
      <c r="AM815" s="15"/>
      <c r="AN815" s="16">
        <v>25000</v>
      </c>
      <c r="AO815" s="16">
        <v>60000</v>
      </c>
      <c r="AP815" s="16">
        <v>50000</v>
      </c>
      <c r="AQ815" s="16">
        <v>100000</v>
      </c>
      <c r="AR815" s="16">
        <v>25000</v>
      </c>
      <c r="AS815" s="22">
        <v>120000</v>
      </c>
      <c r="AT815" s="22">
        <v>72000</v>
      </c>
      <c r="AU815" s="22">
        <v>24000</v>
      </c>
      <c r="AV815" s="22">
        <v>48000</v>
      </c>
      <c r="AW815" s="22">
        <v>42000</v>
      </c>
      <c r="AX815" s="66">
        <v>0</v>
      </c>
      <c r="AZ815" s="15"/>
      <c r="BA815" s="249">
        <f t="shared" si="25"/>
        <v>4</v>
      </c>
      <c r="BB815" s="249">
        <v>0</v>
      </c>
      <c r="BC815" s="249">
        <f t="shared" si="24"/>
        <v>1994</v>
      </c>
    </row>
    <row r="816" spans="1:55" x14ac:dyDescent="0.25">
      <c r="A816" s="51" t="s">
        <v>1572</v>
      </c>
      <c r="B816" s="63" t="s">
        <v>1576</v>
      </c>
      <c r="C816" s="15" t="s">
        <v>337</v>
      </c>
      <c r="D816" s="15">
        <v>1990</v>
      </c>
      <c r="E816" s="15" t="s">
        <v>360</v>
      </c>
      <c r="F816" s="15"/>
      <c r="G816" s="15"/>
      <c r="H816" s="15"/>
      <c r="I816" s="15"/>
      <c r="J816" s="16">
        <v>12000000</v>
      </c>
      <c r="K816" s="15"/>
      <c r="L816" s="15" t="s">
        <v>328</v>
      </c>
      <c r="M816" s="15"/>
      <c r="N816" s="16">
        <v>3000</v>
      </c>
      <c r="O816" s="21">
        <v>0.3</v>
      </c>
      <c r="P816" s="15">
        <v>2</v>
      </c>
      <c r="Q816" s="15">
        <v>530</v>
      </c>
      <c r="R816" s="16">
        <v>1300</v>
      </c>
      <c r="S816" s="15" t="s">
        <v>340</v>
      </c>
      <c r="T816" s="15">
        <v>2.5</v>
      </c>
      <c r="U816" s="15">
        <v>2.7</v>
      </c>
      <c r="V816" s="27">
        <v>1700</v>
      </c>
      <c r="W816" s="22">
        <v>16500</v>
      </c>
      <c r="X816" s="15"/>
      <c r="Y816" s="15"/>
      <c r="Z816" s="15"/>
      <c r="AA816" s="15"/>
      <c r="AB816" s="15" t="s">
        <v>328</v>
      </c>
      <c r="AC816" s="15"/>
      <c r="AD816" s="15"/>
      <c r="AE816" s="15"/>
      <c r="AF816" s="15"/>
      <c r="AG816" s="15"/>
      <c r="AH816" s="15"/>
      <c r="AI816" s="15"/>
      <c r="AJ816" s="15"/>
      <c r="AK816" s="15" t="s">
        <v>328</v>
      </c>
      <c r="AL816" s="15" t="s">
        <v>328</v>
      </c>
      <c r="AM816" s="15"/>
      <c r="AN816" s="16">
        <v>25000</v>
      </c>
      <c r="AO816" s="16">
        <v>60000</v>
      </c>
      <c r="AP816" s="16">
        <v>50000</v>
      </c>
      <c r="AQ816" s="16">
        <v>100000</v>
      </c>
      <c r="AR816" s="16">
        <v>25000</v>
      </c>
      <c r="AS816" s="22">
        <v>120000</v>
      </c>
      <c r="AT816" s="22">
        <v>72000</v>
      </c>
      <c r="AU816" s="22">
        <v>24000</v>
      </c>
      <c r="AV816" s="22">
        <v>48000</v>
      </c>
      <c r="AW816" s="22">
        <v>42000</v>
      </c>
      <c r="AX816" s="66">
        <v>0</v>
      </c>
      <c r="AZ816" s="15"/>
      <c r="BA816" s="249">
        <f t="shared" si="25"/>
        <v>4</v>
      </c>
      <c r="BB816" s="249">
        <v>0</v>
      </c>
      <c r="BC816" s="249">
        <f t="shared" si="24"/>
        <v>1990</v>
      </c>
    </row>
    <row r="817" spans="1:55" x14ac:dyDescent="0.25">
      <c r="A817" s="51" t="s">
        <v>1572</v>
      </c>
      <c r="B817" s="63" t="s">
        <v>1576</v>
      </c>
      <c r="C817" s="15" t="s">
        <v>337</v>
      </c>
      <c r="D817" s="15">
        <v>2005</v>
      </c>
      <c r="E817" s="15" t="s">
        <v>407</v>
      </c>
      <c r="F817" s="15"/>
      <c r="G817" s="15"/>
      <c r="H817" s="15"/>
      <c r="I817" s="15"/>
      <c r="J817" s="16">
        <v>350000</v>
      </c>
      <c r="K817" s="15" t="s">
        <v>328</v>
      </c>
      <c r="L817" s="15"/>
      <c r="M817" s="15"/>
      <c r="N817" s="16">
        <v>10000</v>
      </c>
      <c r="O817" s="21">
        <v>0.2</v>
      </c>
      <c r="P817" s="15">
        <v>2</v>
      </c>
      <c r="Q817" s="15">
        <v>500</v>
      </c>
      <c r="R817" s="16">
        <v>1600</v>
      </c>
      <c r="S817" s="15" t="s">
        <v>340</v>
      </c>
      <c r="T817" s="15">
        <v>3</v>
      </c>
      <c r="U817" s="15">
        <v>3.3</v>
      </c>
      <c r="V817" s="27">
        <v>3300</v>
      </c>
      <c r="W817" s="22">
        <v>44000</v>
      </c>
      <c r="X817" s="15"/>
      <c r="Y817" s="15"/>
      <c r="Z817" s="15"/>
      <c r="AA817" s="15"/>
      <c r="AB817" s="15"/>
      <c r="AC817" s="15" t="s">
        <v>328</v>
      </c>
      <c r="AD817" s="15" t="s">
        <v>328</v>
      </c>
      <c r="AE817" s="15" t="s">
        <v>328</v>
      </c>
      <c r="AF817" s="15"/>
      <c r="AG817" s="15"/>
      <c r="AH817" s="15"/>
      <c r="AI817" s="15"/>
      <c r="AJ817" s="15"/>
      <c r="AK817" s="15" t="s">
        <v>328</v>
      </c>
      <c r="AL817" s="15" t="s">
        <v>328</v>
      </c>
      <c r="AM817" s="15"/>
      <c r="AN817" s="16">
        <v>25000</v>
      </c>
      <c r="AO817" s="16">
        <v>60000</v>
      </c>
      <c r="AP817" s="16">
        <v>50000</v>
      </c>
      <c r="AQ817" s="16">
        <v>100000</v>
      </c>
      <c r="AR817" s="16">
        <v>25000</v>
      </c>
      <c r="AS817" s="22">
        <v>150000</v>
      </c>
      <c r="AT817" s="22">
        <v>36000</v>
      </c>
      <c r="AU817" s="22">
        <v>24000</v>
      </c>
      <c r="AV817" s="22">
        <v>96000</v>
      </c>
      <c r="AW817" s="22">
        <v>42000</v>
      </c>
      <c r="AX817" s="66">
        <v>0</v>
      </c>
      <c r="AZ817" s="15"/>
      <c r="BA817" s="249">
        <f t="shared" si="25"/>
        <v>4</v>
      </c>
      <c r="BB817" s="249">
        <v>0</v>
      </c>
      <c r="BC817" s="249">
        <f t="shared" si="24"/>
        <v>2005</v>
      </c>
    </row>
    <row r="818" spans="1:55" x14ac:dyDescent="0.25">
      <c r="A818" s="51" t="s">
        <v>1572</v>
      </c>
      <c r="B818" s="63" t="s">
        <v>1578</v>
      </c>
      <c r="C818" s="15" t="s">
        <v>337</v>
      </c>
      <c r="D818" s="15">
        <v>2003</v>
      </c>
      <c r="E818" s="15" t="s">
        <v>407</v>
      </c>
      <c r="F818" s="15"/>
      <c r="G818" s="15"/>
      <c r="H818" s="15"/>
      <c r="I818" s="15"/>
      <c r="J818" s="16">
        <v>796980</v>
      </c>
      <c r="K818" s="15"/>
      <c r="L818" s="15"/>
      <c r="M818" s="15" t="s">
        <v>328</v>
      </c>
      <c r="N818" s="16">
        <v>2800</v>
      </c>
      <c r="O818" s="21">
        <v>0.35</v>
      </c>
      <c r="P818" s="15">
        <v>1</v>
      </c>
      <c r="Q818" s="15">
        <v>400</v>
      </c>
      <c r="R818" s="16">
        <v>800</v>
      </c>
      <c r="S818" s="15" t="s">
        <v>340</v>
      </c>
      <c r="T818" s="15">
        <v>2</v>
      </c>
      <c r="U818" s="15">
        <v>2.1</v>
      </c>
      <c r="V818" s="27">
        <v>900</v>
      </c>
      <c r="W818" s="22">
        <v>12400</v>
      </c>
      <c r="X818" s="15"/>
      <c r="Y818" s="15"/>
      <c r="Z818" s="15"/>
      <c r="AA818" s="15"/>
      <c r="AB818" s="15" t="s">
        <v>328</v>
      </c>
      <c r="AC818" s="15"/>
      <c r="AD818" s="15"/>
      <c r="AE818" s="15"/>
      <c r="AF818" s="15"/>
      <c r="AG818" s="15"/>
      <c r="AH818" s="15"/>
      <c r="AI818" s="15"/>
      <c r="AJ818" s="15"/>
      <c r="AK818" s="15" t="s">
        <v>328</v>
      </c>
      <c r="AL818" s="15"/>
      <c r="AM818" s="15"/>
      <c r="AN818" s="16">
        <v>12000</v>
      </c>
      <c r="AO818" s="16">
        <v>35000</v>
      </c>
      <c r="AP818" s="16">
        <v>60000</v>
      </c>
      <c r="AQ818" s="16">
        <v>120000</v>
      </c>
      <c r="AR818" s="16">
        <v>35000</v>
      </c>
      <c r="AS818" s="22">
        <v>120000</v>
      </c>
      <c r="AT818" s="22">
        <v>0</v>
      </c>
      <c r="AU818" s="22">
        <v>48000</v>
      </c>
      <c r="AV818" s="22">
        <v>60000</v>
      </c>
      <c r="AW818" s="22">
        <v>16000</v>
      </c>
      <c r="AX818" s="66">
        <v>0</v>
      </c>
      <c r="AZ818" s="15"/>
      <c r="BA818" s="249">
        <f t="shared" si="25"/>
        <v>6</v>
      </c>
      <c r="BB818" s="249">
        <v>0</v>
      </c>
      <c r="BC818" s="249">
        <f t="shared" si="24"/>
        <v>2003</v>
      </c>
    </row>
    <row r="819" spans="1:55" x14ac:dyDescent="0.25">
      <c r="A819" s="51" t="s">
        <v>1572</v>
      </c>
      <c r="B819" s="63" t="s">
        <v>1578</v>
      </c>
      <c r="C819" s="15" t="s">
        <v>337</v>
      </c>
      <c r="D819" s="15">
        <v>1985</v>
      </c>
      <c r="E819" s="15" t="s">
        <v>407</v>
      </c>
      <c r="F819" s="15"/>
      <c r="G819" s="15"/>
      <c r="H819" s="15"/>
      <c r="I819" s="15"/>
      <c r="J819" s="16">
        <v>127437</v>
      </c>
      <c r="K819" s="15"/>
      <c r="L819" s="15"/>
      <c r="M819" s="15" t="s">
        <v>328</v>
      </c>
      <c r="N819" s="16">
        <v>3200</v>
      </c>
      <c r="O819" s="21">
        <v>0.2</v>
      </c>
      <c r="P819" s="15">
        <v>2</v>
      </c>
      <c r="Q819" s="15">
        <v>450</v>
      </c>
      <c r="R819" s="16">
        <v>1800</v>
      </c>
      <c r="S819" s="15" t="s">
        <v>340</v>
      </c>
      <c r="T819" s="15">
        <v>2</v>
      </c>
      <c r="U819" s="15">
        <v>2.1</v>
      </c>
      <c r="V819" s="27">
        <v>1000</v>
      </c>
      <c r="W819" s="22">
        <v>14100</v>
      </c>
      <c r="X819" s="15"/>
      <c r="Y819" s="15"/>
      <c r="Z819" s="15"/>
      <c r="AA819" s="15"/>
      <c r="AB819" s="15" t="s">
        <v>328</v>
      </c>
      <c r="AC819" s="15"/>
      <c r="AD819" s="15"/>
      <c r="AE819" s="15"/>
      <c r="AF819" s="15"/>
      <c r="AG819" s="15"/>
      <c r="AH819" s="15"/>
      <c r="AI819" s="15"/>
      <c r="AJ819" s="15"/>
      <c r="AK819" s="15" t="s">
        <v>328</v>
      </c>
      <c r="AL819" s="15"/>
      <c r="AM819" s="15"/>
      <c r="AN819" s="16">
        <v>12000</v>
      </c>
      <c r="AO819" s="16">
        <v>35000</v>
      </c>
      <c r="AP819" s="16">
        <v>60000</v>
      </c>
      <c r="AQ819" s="16">
        <v>120000</v>
      </c>
      <c r="AR819" s="16">
        <v>35000</v>
      </c>
      <c r="AS819" s="22">
        <v>96000</v>
      </c>
      <c r="AT819" s="22">
        <v>0</v>
      </c>
      <c r="AU819" s="22">
        <v>36000</v>
      </c>
      <c r="AV819" s="22">
        <v>60000</v>
      </c>
      <c r="AW819" s="22">
        <v>16000</v>
      </c>
      <c r="AX819" s="66">
        <v>0</v>
      </c>
      <c r="AZ819" s="15"/>
      <c r="BA819" s="249">
        <f t="shared" si="25"/>
        <v>6</v>
      </c>
      <c r="BB819" s="249">
        <v>0</v>
      </c>
      <c r="BC819" s="249">
        <f t="shared" si="24"/>
        <v>1985</v>
      </c>
    </row>
    <row r="820" spans="1:55" x14ac:dyDescent="0.25">
      <c r="A820" s="51" t="s">
        <v>1572</v>
      </c>
      <c r="B820" s="63" t="s">
        <v>1578</v>
      </c>
      <c r="C820" s="15" t="s">
        <v>337</v>
      </c>
      <c r="D820" s="15">
        <v>1994</v>
      </c>
      <c r="E820" s="15" t="s">
        <v>407</v>
      </c>
      <c r="F820" s="15"/>
      <c r="G820" s="15"/>
      <c r="H820" s="15"/>
      <c r="I820" s="15"/>
      <c r="J820" s="16">
        <v>23063</v>
      </c>
      <c r="K820" s="15"/>
      <c r="L820" s="15"/>
      <c r="M820" s="15" t="s">
        <v>328</v>
      </c>
      <c r="N820" s="16">
        <v>2600</v>
      </c>
      <c r="O820" s="21">
        <v>0.35</v>
      </c>
      <c r="P820" s="15">
        <v>2</v>
      </c>
      <c r="Q820" s="15">
        <v>500</v>
      </c>
      <c r="R820" s="16">
        <v>2000</v>
      </c>
      <c r="S820" s="15" t="s">
        <v>340</v>
      </c>
      <c r="T820" s="15">
        <v>2</v>
      </c>
      <c r="U820" s="15">
        <v>2.1</v>
      </c>
      <c r="V820" s="27">
        <v>820</v>
      </c>
      <c r="W820" s="22">
        <v>11500</v>
      </c>
      <c r="X820" s="15"/>
      <c r="Y820" s="15"/>
      <c r="Z820" s="15"/>
      <c r="AA820" s="15"/>
      <c r="AB820" s="15" t="s">
        <v>328</v>
      </c>
      <c r="AC820" s="15"/>
      <c r="AD820" s="15"/>
      <c r="AE820" s="15"/>
      <c r="AF820" s="15"/>
      <c r="AG820" s="15"/>
      <c r="AH820" s="15"/>
      <c r="AI820" s="15"/>
      <c r="AJ820" s="15"/>
      <c r="AK820" s="15" t="s">
        <v>328</v>
      </c>
      <c r="AL820" s="15"/>
      <c r="AM820" s="15"/>
      <c r="AN820" s="16">
        <v>12000</v>
      </c>
      <c r="AO820" s="16">
        <v>35000</v>
      </c>
      <c r="AP820" s="16">
        <v>60000</v>
      </c>
      <c r="AQ820" s="16">
        <v>120000</v>
      </c>
      <c r="AR820" s="16">
        <v>35000</v>
      </c>
      <c r="AS820" s="22">
        <v>120000</v>
      </c>
      <c r="AT820" s="22">
        <v>0</v>
      </c>
      <c r="AU820" s="22">
        <v>48000</v>
      </c>
      <c r="AV820" s="22">
        <v>60000</v>
      </c>
      <c r="AW820" s="22">
        <v>16000</v>
      </c>
      <c r="AX820" s="66">
        <v>0</v>
      </c>
      <c r="AZ820" s="15"/>
      <c r="BA820" s="249">
        <f t="shared" si="25"/>
        <v>6</v>
      </c>
      <c r="BB820" s="249">
        <v>0</v>
      </c>
      <c r="BC820" s="249">
        <f t="shared" si="24"/>
        <v>1994</v>
      </c>
    </row>
    <row r="821" spans="1:55" x14ac:dyDescent="0.25">
      <c r="A821" s="51" t="s">
        <v>1572</v>
      </c>
      <c r="B821" s="63" t="s">
        <v>1578</v>
      </c>
      <c r="C821" s="15" t="s">
        <v>337</v>
      </c>
      <c r="D821" s="15">
        <v>1995</v>
      </c>
      <c r="E821" s="15" t="s">
        <v>475</v>
      </c>
      <c r="F821" s="15"/>
      <c r="G821" s="15"/>
      <c r="H821" s="15"/>
      <c r="I821" s="15"/>
      <c r="J821" s="16">
        <v>1402046</v>
      </c>
      <c r="K821" s="15"/>
      <c r="L821" s="15"/>
      <c r="M821" s="15" t="s">
        <v>328</v>
      </c>
      <c r="N821" s="16">
        <v>3076</v>
      </c>
      <c r="O821" s="21">
        <v>0.35</v>
      </c>
      <c r="P821" s="15">
        <v>2</v>
      </c>
      <c r="Q821" s="15">
        <v>550</v>
      </c>
      <c r="R821" s="16">
        <v>2200</v>
      </c>
      <c r="S821" s="15" t="s">
        <v>340</v>
      </c>
      <c r="T821" s="15">
        <v>2</v>
      </c>
      <c r="U821" s="15">
        <v>2.1</v>
      </c>
      <c r="V821" s="27">
        <v>950</v>
      </c>
      <c r="W821" s="22">
        <v>13600</v>
      </c>
      <c r="X821" s="15"/>
      <c r="Y821" s="15"/>
      <c r="Z821" s="15"/>
      <c r="AA821" s="15"/>
      <c r="AB821" s="15" t="s">
        <v>328</v>
      </c>
      <c r="AC821" s="15"/>
      <c r="AD821" s="15"/>
      <c r="AE821" s="15"/>
      <c r="AF821" s="15"/>
      <c r="AG821" s="15"/>
      <c r="AH821" s="15"/>
      <c r="AI821" s="15"/>
      <c r="AJ821" s="15"/>
      <c r="AK821" s="15" t="s">
        <v>328</v>
      </c>
      <c r="AL821" s="15"/>
      <c r="AM821" s="15"/>
      <c r="AN821" s="16">
        <v>12000</v>
      </c>
      <c r="AO821" s="16">
        <v>35000</v>
      </c>
      <c r="AP821" s="16">
        <v>60000</v>
      </c>
      <c r="AQ821" s="16">
        <v>120000</v>
      </c>
      <c r="AR821" s="16">
        <v>35000</v>
      </c>
      <c r="AS821" s="22">
        <v>120000</v>
      </c>
      <c r="AT821" s="22">
        <v>0</v>
      </c>
      <c r="AU821" s="22">
        <v>48000</v>
      </c>
      <c r="AV821" s="22">
        <v>60000</v>
      </c>
      <c r="AW821" s="22">
        <v>16000</v>
      </c>
      <c r="AX821" s="66">
        <v>0</v>
      </c>
      <c r="AZ821" s="15"/>
      <c r="BA821" s="249">
        <f t="shared" si="25"/>
        <v>6</v>
      </c>
      <c r="BB821" s="249">
        <v>0</v>
      </c>
      <c r="BC821" s="249">
        <f t="shared" si="24"/>
        <v>1995</v>
      </c>
    </row>
    <row r="822" spans="1:55" x14ac:dyDescent="0.25">
      <c r="A822" s="51" t="s">
        <v>1572</v>
      </c>
      <c r="B822" s="63" t="s">
        <v>1578</v>
      </c>
      <c r="C822" s="15" t="s">
        <v>337</v>
      </c>
      <c r="D822" s="15">
        <v>1991</v>
      </c>
      <c r="E822" s="15" t="s">
        <v>475</v>
      </c>
      <c r="F822" s="15"/>
      <c r="G822" s="15"/>
      <c r="H822" s="15"/>
      <c r="I822" s="15"/>
      <c r="J822" s="16">
        <v>679130</v>
      </c>
      <c r="K822" s="15"/>
      <c r="L822" s="15"/>
      <c r="M822" s="15" t="s">
        <v>328</v>
      </c>
      <c r="N822" s="16">
        <v>2832</v>
      </c>
      <c r="O822" s="21">
        <v>0.35</v>
      </c>
      <c r="P822" s="15">
        <v>2</v>
      </c>
      <c r="Q822" s="15">
        <v>400</v>
      </c>
      <c r="R822" s="16">
        <v>1600</v>
      </c>
      <c r="S822" s="15" t="s">
        <v>340</v>
      </c>
      <c r="T822" s="15">
        <v>2</v>
      </c>
      <c r="U822" s="15">
        <v>2.1</v>
      </c>
      <c r="V822" s="27">
        <v>900</v>
      </c>
      <c r="W822" s="22">
        <v>12600</v>
      </c>
      <c r="X822" s="15"/>
      <c r="Y822" s="15"/>
      <c r="Z822" s="15"/>
      <c r="AA822" s="15"/>
      <c r="AB822" s="15" t="s">
        <v>328</v>
      </c>
      <c r="AC822" s="15"/>
      <c r="AD822" s="15"/>
      <c r="AE822" s="15"/>
      <c r="AF822" s="15"/>
      <c r="AG822" s="15"/>
      <c r="AH822" s="15"/>
      <c r="AI822" s="15"/>
      <c r="AJ822" s="15"/>
      <c r="AK822" s="15" t="s">
        <v>328</v>
      </c>
      <c r="AL822" s="15"/>
      <c r="AM822" s="15"/>
      <c r="AN822" s="16">
        <v>12000</v>
      </c>
      <c r="AO822" s="16">
        <v>35000</v>
      </c>
      <c r="AP822" s="16">
        <v>60000</v>
      </c>
      <c r="AQ822" s="16">
        <v>120000</v>
      </c>
      <c r="AR822" s="16">
        <v>35000</v>
      </c>
      <c r="AS822" s="22">
        <v>120000</v>
      </c>
      <c r="AT822" s="22">
        <v>0</v>
      </c>
      <c r="AU822" s="22">
        <v>48000</v>
      </c>
      <c r="AV822" s="22">
        <v>60000</v>
      </c>
      <c r="AW822" s="22">
        <v>16000</v>
      </c>
      <c r="AX822" s="66">
        <v>0</v>
      </c>
      <c r="AZ822" s="15"/>
      <c r="BA822" s="249">
        <f t="shared" si="25"/>
        <v>6</v>
      </c>
      <c r="BB822" s="249">
        <v>0</v>
      </c>
      <c r="BC822" s="249">
        <f t="shared" si="24"/>
        <v>1991</v>
      </c>
    </row>
    <row r="823" spans="1:55" x14ac:dyDescent="0.25">
      <c r="A823" s="51" t="s">
        <v>1572</v>
      </c>
      <c r="B823" s="63" t="s">
        <v>1578</v>
      </c>
      <c r="C823" s="15" t="s">
        <v>337</v>
      </c>
      <c r="D823" s="15">
        <v>1993</v>
      </c>
      <c r="E823" s="15" t="s">
        <v>477</v>
      </c>
      <c r="F823" s="15"/>
      <c r="G823" s="15"/>
      <c r="H823" s="15"/>
      <c r="I823" s="15"/>
      <c r="J823" s="16">
        <v>611785</v>
      </c>
      <c r="K823" s="15"/>
      <c r="L823" s="15"/>
      <c r="M823" s="15" t="s">
        <v>328</v>
      </c>
      <c r="N823" s="16">
        <v>2540</v>
      </c>
      <c r="O823" s="21">
        <v>0.35</v>
      </c>
      <c r="P823" s="15">
        <v>2</v>
      </c>
      <c r="Q823" s="15">
        <v>550</v>
      </c>
      <c r="R823" s="16">
        <v>2200</v>
      </c>
      <c r="S823" s="15" t="s">
        <v>340</v>
      </c>
      <c r="T823" s="15">
        <v>2</v>
      </c>
      <c r="U823" s="15">
        <v>2.1</v>
      </c>
      <c r="V823" s="27">
        <v>850</v>
      </c>
      <c r="W823" s="22">
        <v>12500</v>
      </c>
      <c r="X823" s="15"/>
      <c r="Y823" s="15"/>
      <c r="Z823" s="15"/>
      <c r="AA823" s="15"/>
      <c r="AB823" s="15" t="s">
        <v>328</v>
      </c>
      <c r="AC823" s="15"/>
      <c r="AD823" s="15"/>
      <c r="AE823" s="15"/>
      <c r="AF823" s="15"/>
      <c r="AG823" s="15"/>
      <c r="AH823" s="15"/>
      <c r="AI823" s="15"/>
      <c r="AJ823" s="15"/>
      <c r="AK823" s="15" t="s">
        <v>328</v>
      </c>
      <c r="AL823" s="15"/>
      <c r="AM823" s="15"/>
      <c r="AN823" s="16">
        <v>12000</v>
      </c>
      <c r="AO823" s="16">
        <v>35000</v>
      </c>
      <c r="AP823" s="16">
        <v>60000</v>
      </c>
      <c r="AQ823" s="16">
        <v>120000</v>
      </c>
      <c r="AR823" s="16">
        <v>35000</v>
      </c>
      <c r="AS823" s="22">
        <v>120000</v>
      </c>
      <c r="AT823" s="22">
        <v>0</v>
      </c>
      <c r="AU823" s="22">
        <v>48000</v>
      </c>
      <c r="AV823" s="22">
        <v>60000</v>
      </c>
      <c r="AW823" s="22">
        <v>16000</v>
      </c>
      <c r="AX823" s="66">
        <v>0</v>
      </c>
      <c r="AZ823" s="15"/>
      <c r="BA823" s="249">
        <f t="shared" si="25"/>
        <v>6</v>
      </c>
      <c r="BB823" s="249">
        <v>0</v>
      </c>
      <c r="BC823" s="249">
        <f t="shared" si="24"/>
        <v>1993</v>
      </c>
    </row>
    <row r="824" spans="1:55" x14ac:dyDescent="0.25">
      <c r="A824" s="51" t="s">
        <v>1572</v>
      </c>
      <c r="B824" s="63" t="s">
        <v>1579</v>
      </c>
      <c r="C824" s="15" t="s">
        <v>337</v>
      </c>
      <c r="D824" s="15">
        <v>1990</v>
      </c>
      <c r="E824" s="15" t="s">
        <v>349</v>
      </c>
      <c r="F824" s="15"/>
      <c r="G824" s="15"/>
      <c r="H824" s="15"/>
      <c r="I824" s="15"/>
      <c r="J824" s="16">
        <v>2070000</v>
      </c>
      <c r="K824" s="15"/>
      <c r="L824" s="15" t="s">
        <v>328</v>
      </c>
      <c r="M824" s="15"/>
      <c r="N824" s="16">
        <v>7500</v>
      </c>
      <c r="O824" s="21">
        <v>0.5</v>
      </c>
      <c r="P824" s="15">
        <v>2</v>
      </c>
      <c r="Q824" s="15">
        <v>300</v>
      </c>
      <c r="R824" s="16">
        <v>1140</v>
      </c>
      <c r="S824" s="15" t="s">
        <v>340</v>
      </c>
      <c r="T824" s="15">
        <v>1.9</v>
      </c>
      <c r="U824" s="15">
        <v>2.2999999999999998</v>
      </c>
      <c r="V824" s="27">
        <v>3300</v>
      </c>
      <c r="W824" s="22">
        <v>48000</v>
      </c>
      <c r="X824" s="15"/>
      <c r="Y824" s="15"/>
      <c r="Z824" s="15"/>
      <c r="AA824" s="15"/>
      <c r="AB824" s="15" t="s">
        <v>328</v>
      </c>
      <c r="AC824" s="15"/>
      <c r="AD824" s="15"/>
      <c r="AE824" s="15"/>
      <c r="AF824" s="15"/>
      <c r="AG824" s="15"/>
      <c r="AH824" s="15"/>
      <c r="AI824" s="15"/>
      <c r="AJ824" s="15"/>
      <c r="AK824" s="15" t="s">
        <v>328</v>
      </c>
      <c r="AL824" s="15"/>
      <c r="AM824" s="15"/>
      <c r="AN824" s="16">
        <v>40000</v>
      </c>
      <c r="AO824" s="16">
        <v>90000</v>
      </c>
      <c r="AP824" s="16">
        <v>80000</v>
      </c>
      <c r="AQ824" s="16">
        <v>13000</v>
      </c>
      <c r="AR824" s="16">
        <v>40000</v>
      </c>
      <c r="AS824" s="22">
        <v>94800</v>
      </c>
      <c r="AT824" s="22">
        <v>0</v>
      </c>
      <c r="AU824" s="22">
        <v>60000</v>
      </c>
      <c r="AV824" s="22">
        <v>12000</v>
      </c>
      <c r="AW824" s="22">
        <v>9800</v>
      </c>
      <c r="AX824" s="66">
        <v>0</v>
      </c>
      <c r="AZ824" s="15"/>
      <c r="BA824" s="249">
        <f t="shared" si="25"/>
        <v>5</v>
      </c>
      <c r="BB824" s="249">
        <v>0</v>
      </c>
      <c r="BC824" s="249">
        <f t="shared" si="24"/>
        <v>1990</v>
      </c>
    </row>
    <row r="825" spans="1:55" x14ac:dyDescent="0.25">
      <c r="A825" s="51" t="s">
        <v>1572</v>
      </c>
      <c r="B825" s="63" t="s">
        <v>1579</v>
      </c>
      <c r="C825" s="15" t="s">
        <v>337</v>
      </c>
      <c r="D825" s="15">
        <v>1997</v>
      </c>
      <c r="E825" s="15" t="s">
        <v>456</v>
      </c>
      <c r="F825" s="15"/>
      <c r="G825" s="15"/>
      <c r="H825" s="15"/>
      <c r="I825" s="15"/>
      <c r="J825" s="16">
        <v>1440000</v>
      </c>
      <c r="K825" s="15"/>
      <c r="L825" s="15"/>
      <c r="M825" s="15" t="s">
        <v>328</v>
      </c>
      <c r="N825" s="16">
        <v>7500</v>
      </c>
      <c r="O825" s="21">
        <v>0.5</v>
      </c>
      <c r="P825" s="15">
        <v>2</v>
      </c>
      <c r="Q825" s="15">
        <v>500</v>
      </c>
      <c r="R825" s="16">
        <v>2000</v>
      </c>
      <c r="S825" s="15" t="s">
        <v>340</v>
      </c>
      <c r="T825" s="15">
        <v>2</v>
      </c>
      <c r="U825" s="15">
        <v>2.2000000000000002</v>
      </c>
      <c r="V825" s="27">
        <v>3500</v>
      </c>
      <c r="W825" s="22">
        <v>50000</v>
      </c>
      <c r="X825" s="15"/>
      <c r="Y825" s="15"/>
      <c r="Z825" s="15"/>
      <c r="AA825" s="15"/>
      <c r="AB825" s="15" t="s">
        <v>328</v>
      </c>
      <c r="AC825" s="15"/>
      <c r="AD825" s="15"/>
      <c r="AE825" s="15"/>
      <c r="AF825" s="15"/>
      <c r="AG825" s="15"/>
      <c r="AH825" s="15"/>
      <c r="AI825" s="15"/>
      <c r="AJ825" s="15"/>
      <c r="AK825" s="15" t="s">
        <v>328</v>
      </c>
      <c r="AL825" s="15"/>
      <c r="AM825" s="15"/>
      <c r="AN825" s="16">
        <v>40000</v>
      </c>
      <c r="AO825" s="16">
        <v>90000</v>
      </c>
      <c r="AP825" s="16">
        <v>80000</v>
      </c>
      <c r="AQ825" s="16">
        <v>13000</v>
      </c>
      <c r="AR825" s="16">
        <v>40000</v>
      </c>
      <c r="AS825" s="22">
        <v>94800</v>
      </c>
      <c r="AT825" s="22">
        <v>0</v>
      </c>
      <c r="AU825" s="22">
        <v>60000</v>
      </c>
      <c r="AV825" s="22">
        <v>12000</v>
      </c>
      <c r="AW825" s="22">
        <v>9800</v>
      </c>
      <c r="AX825" s="66">
        <v>0</v>
      </c>
      <c r="AZ825" s="15"/>
      <c r="BA825" s="249">
        <f t="shared" si="25"/>
        <v>5</v>
      </c>
      <c r="BB825" s="249">
        <v>0</v>
      </c>
      <c r="BC825" s="249">
        <f t="shared" si="24"/>
        <v>1997</v>
      </c>
    </row>
    <row r="826" spans="1:55" x14ac:dyDescent="0.25">
      <c r="A826" s="51" t="s">
        <v>1572</v>
      </c>
      <c r="B826" s="63" t="s">
        <v>1579</v>
      </c>
      <c r="C826" s="15" t="s">
        <v>337</v>
      </c>
      <c r="D826" s="15">
        <v>1999</v>
      </c>
      <c r="E826" s="15" t="s">
        <v>349</v>
      </c>
      <c r="F826" s="15"/>
      <c r="G826" s="15"/>
      <c r="H826" s="15"/>
      <c r="I826" s="15"/>
      <c r="J826" s="16">
        <v>1260000</v>
      </c>
      <c r="K826" s="15"/>
      <c r="L826" s="15" t="s">
        <v>328</v>
      </c>
      <c r="M826" s="15"/>
      <c r="N826" s="16">
        <v>7500</v>
      </c>
      <c r="O826" s="21">
        <v>0.5</v>
      </c>
      <c r="P826" s="15">
        <v>2</v>
      </c>
      <c r="Q826" s="15">
        <v>400</v>
      </c>
      <c r="R826" s="16">
        <v>1520</v>
      </c>
      <c r="S826" s="15" t="s">
        <v>340</v>
      </c>
      <c r="T826" s="15">
        <v>1.9</v>
      </c>
      <c r="U826" s="15">
        <v>2.2999999999999998</v>
      </c>
      <c r="V826" s="27">
        <v>3700</v>
      </c>
      <c r="W826" s="22">
        <v>53000</v>
      </c>
      <c r="X826" s="15"/>
      <c r="Y826" s="15"/>
      <c r="Z826" s="15"/>
      <c r="AA826" s="15"/>
      <c r="AB826" s="15" t="s">
        <v>328</v>
      </c>
      <c r="AC826" s="15"/>
      <c r="AD826" s="15"/>
      <c r="AE826" s="15"/>
      <c r="AF826" s="15"/>
      <c r="AG826" s="15"/>
      <c r="AH826" s="15"/>
      <c r="AI826" s="15"/>
      <c r="AJ826" s="15"/>
      <c r="AK826" s="15" t="s">
        <v>328</v>
      </c>
      <c r="AL826" s="15"/>
      <c r="AM826" s="15"/>
      <c r="AN826" s="16">
        <v>40000</v>
      </c>
      <c r="AO826" s="16">
        <v>90000</v>
      </c>
      <c r="AP826" s="16">
        <v>80000</v>
      </c>
      <c r="AQ826" s="16">
        <v>13000</v>
      </c>
      <c r="AR826" s="16">
        <v>40000</v>
      </c>
      <c r="AS826" s="22">
        <v>94800</v>
      </c>
      <c r="AT826" s="22">
        <v>0</v>
      </c>
      <c r="AU826" s="22">
        <v>60000</v>
      </c>
      <c r="AV826" s="22">
        <v>12000</v>
      </c>
      <c r="AW826" s="22">
        <v>9800</v>
      </c>
      <c r="AX826" s="66">
        <v>0</v>
      </c>
      <c r="AZ826" s="15"/>
      <c r="BA826" s="249">
        <f t="shared" si="25"/>
        <v>5</v>
      </c>
      <c r="BB826" s="249">
        <v>0</v>
      </c>
      <c r="BC826" s="249">
        <f t="shared" si="24"/>
        <v>1999</v>
      </c>
    </row>
    <row r="827" spans="1:55" x14ac:dyDescent="0.25">
      <c r="A827" s="51" t="s">
        <v>1572</v>
      </c>
      <c r="B827" s="63" t="s">
        <v>1579</v>
      </c>
      <c r="C827" s="15" t="s">
        <v>337</v>
      </c>
      <c r="D827" s="15">
        <v>1985</v>
      </c>
      <c r="E827" s="15" t="s">
        <v>349</v>
      </c>
      <c r="F827" s="15"/>
      <c r="G827" s="15"/>
      <c r="H827" s="15"/>
      <c r="I827" s="15"/>
      <c r="J827" s="16">
        <v>2520000</v>
      </c>
      <c r="K827" s="15"/>
      <c r="L827" s="15"/>
      <c r="M827" s="15" t="s">
        <v>328</v>
      </c>
      <c r="N827" s="16">
        <v>7500</v>
      </c>
      <c r="O827" s="21">
        <v>0.5</v>
      </c>
      <c r="P827" s="15">
        <v>2</v>
      </c>
      <c r="Q827" s="15">
        <v>400</v>
      </c>
      <c r="R827" s="16">
        <v>1839.9999999999998</v>
      </c>
      <c r="S827" s="15" t="s">
        <v>340</v>
      </c>
      <c r="T827" s="15">
        <v>2.2999999999999998</v>
      </c>
      <c r="U827" s="15">
        <v>2.5</v>
      </c>
      <c r="V827" s="27">
        <v>3100</v>
      </c>
      <c r="W827" s="22">
        <v>45000</v>
      </c>
      <c r="X827" s="15" t="s">
        <v>328</v>
      </c>
      <c r="Y827" s="15"/>
      <c r="Z827" s="15"/>
      <c r="AA827" s="15"/>
      <c r="AB827" s="15"/>
      <c r="AC827" s="15"/>
      <c r="AD827" s="15" t="s">
        <v>328</v>
      </c>
      <c r="AE827" s="15"/>
      <c r="AF827" s="15"/>
      <c r="AG827" s="15"/>
      <c r="AH827" s="15"/>
      <c r="AI827" s="15"/>
      <c r="AJ827" s="15"/>
      <c r="AK827" s="15" t="s">
        <v>328</v>
      </c>
      <c r="AL827" s="15"/>
      <c r="AM827" s="15"/>
      <c r="AN827" s="16">
        <v>40000</v>
      </c>
      <c r="AO827" s="16">
        <v>90000</v>
      </c>
      <c r="AP827" s="16">
        <v>80000</v>
      </c>
      <c r="AQ827" s="16">
        <v>13000</v>
      </c>
      <c r="AR827" s="16">
        <v>40000</v>
      </c>
      <c r="AS827" s="22">
        <v>94800</v>
      </c>
      <c r="AT827" s="22">
        <v>0</v>
      </c>
      <c r="AU827" s="22">
        <v>60000</v>
      </c>
      <c r="AV827" s="22">
        <v>12000</v>
      </c>
      <c r="AW827" s="22">
        <v>9800</v>
      </c>
      <c r="AX827" s="66">
        <v>0</v>
      </c>
      <c r="AZ827" s="15"/>
      <c r="BA827" s="249">
        <f t="shared" si="25"/>
        <v>5</v>
      </c>
      <c r="BB827" s="249">
        <v>0</v>
      </c>
      <c r="BC827" s="249">
        <f t="shared" si="24"/>
        <v>1985</v>
      </c>
    </row>
    <row r="828" spans="1:55" x14ac:dyDescent="0.25">
      <c r="A828" s="51" t="s">
        <v>1572</v>
      </c>
      <c r="B828" s="63" t="s">
        <v>1579</v>
      </c>
      <c r="C828" s="15" t="s">
        <v>348</v>
      </c>
      <c r="D828" s="15">
        <v>1985</v>
      </c>
      <c r="E828" s="15" t="s">
        <v>360</v>
      </c>
      <c r="F828" s="15"/>
      <c r="G828" s="15"/>
      <c r="H828" s="15"/>
      <c r="I828" s="15"/>
      <c r="J828" s="16">
        <v>2520000</v>
      </c>
      <c r="K828" s="15"/>
      <c r="L828" s="15"/>
      <c r="M828" s="15" t="s">
        <v>328</v>
      </c>
      <c r="N828" s="16">
        <v>7500</v>
      </c>
      <c r="O828" s="21">
        <v>0.5</v>
      </c>
      <c r="P828" s="15">
        <v>1</v>
      </c>
      <c r="Q828" s="15">
        <v>300</v>
      </c>
      <c r="R828" s="16">
        <v>1800</v>
      </c>
      <c r="S828" s="15" t="s">
        <v>371</v>
      </c>
      <c r="T828" s="15">
        <v>6</v>
      </c>
      <c r="U828" s="15">
        <v>7.1</v>
      </c>
      <c r="V828" s="27">
        <v>1100</v>
      </c>
      <c r="W828" s="22">
        <v>15000</v>
      </c>
      <c r="X828" s="15"/>
      <c r="Y828" s="15" t="s">
        <v>328</v>
      </c>
      <c r="Z828" s="15"/>
      <c r="AA828" s="15"/>
      <c r="AB828" s="15"/>
      <c r="AC828" s="15"/>
      <c r="AD828" s="15" t="s">
        <v>328</v>
      </c>
      <c r="AE828" s="15"/>
      <c r="AF828" s="15"/>
      <c r="AG828" s="15"/>
      <c r="AH828" s="15"/>
      <c r="AI828" s="15"/>
      <c r="AJ828" s="15"/>
      <c r="AK828" s="15" t="s">
        <v>328</v>
      </c>
      <c r="AL828" s="15"/>
      <c r="AM828" s="15"/>
      <c r="AN828" s="16">
        <v>40000</v>
      </c>
      <c r="AO828" s="16">
        <v>90000</v>
      </c>
      <c r="AP828" s="16">
        <v>80000</v>
      </c>
      <c r="AQ828" s="16">
        <v>13000</v>
      </c>
      <c r="AR828" s="13" t="s">
        <v>385</v>
      </c>
      <c r="AS828" s="22">
        <v>94800</v>
      </c>
      <c r="AT828" s="22">
        <v>0</v>
      </c>
      <c r="AU828" s="22">
        <v>60000</v>
      </c>
      <c r="AV828" s="22">
        <v>12000</v>
      </c>
      <c r="AW828" s="22">
        <v>9800</v>
      </c>
      <c r="AX828" s="66">
        <v>0</v>
      </c>
      <c r="AZ828" s="15"/>
      <c r="BA828" s="249">
        <f t="shared" si="25"/>
        <v>5</v>
      </c>
      <c r="BB828" s="249">
        <v>0</v>
      </c>
      <c r="BC828" s="249">
        <f t="shared" si="24"/>
        <v>1985</v>
      </c>
    </row>
    <row r="829" spans="1:55" x14ac:dyDescent="0.25">
      <c r="A829" s="51" t="s">
        <v>1572</v>
      </c>
      <c r="B829" s="63" t="s">
        <v>1580</v>
      </c>
      <c r="C829" s="15" t="s">
        <v>337</v>
      </c>
      <c r="D829" s="15">
        <v>1992</v>
      </c>
      <c r="E829" s="15" t="s">
        <v>475</v>
      </c>
      <c r="F829" s="15"/>
      <c r="G829" s="15"/>
      <c r="H829" s="15"/>
      <c r="I829" s="15"/>
      <c r="J829" s="16">
        <v>1512000</v>
      </c>
      <c r="K829" s="15"/>
      <c r="L829" s="15" t="s">
        <v>328</v>
      </c>
      <c r="M829" s="15"/>
      <c r="N829" s="16">
        <v>6000</v>
      </c>
      <c r="O829" s="21">
        <v>0.5</v>
      </c>
      <c r="P829" s="15">
        <v>2</v>
      </c>
      <c r="Q829" s="15">
        <v>400</v>
      </c>
      <c r="R829" s="16">
        <v>1600</v>
      </c>
      <c r="S829" s="15" t="s">
        <v>340</v>
      </c>
      <c r="T829" s="15">
        <v>2</v>
      </c>
      <c r="U829" s="15">
        <v>2.2999999999999998</v>
      </c>
      <c r="V829" s="27">
        <v>850</v>
      </c>
      <c r="W829" s="22">
        <v>12000</v>
      </c>
      <c r="X829" s="15"/>
      <c r="Y829" s="15"/>
      <c r="Z829" s="15"/>
      <c r="AA829" s="15"/>
      <c r="AB829" s="15" t="s">
        <v>328</v>
      </c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6">
        <v>50000</v>
      </c>
      <c r="AO829" s="16">
        <v>65000</v>
      </c>
      <c r="AP829" s="16">
        <v>65000</v>
      </c>
      <c r="AQ829" s="16">
        <v>125000</v>
      </c>
      <c r="AR829" s="16">
        <v>12000</v>
      </c>
      <c r="AS829" s="22">
        <v>108000</v>
      </c>
      <c r="AT829" s="22">
        <v>0</v>
      </c>
      <c r="AU829" s="22">
        <v>55000</v>
      </c>
      <c r="AV829" s="22">
        <v>16000</v>
      </c>
      <c r="AW829" s="22">
        <v>16000</v>
      </c>
      <c r="AX829" s="66">
        <v>0</v>
      </c>
      <c r="AZ829" s="15"/>
      <c r="BA829" s="249">
        <f t="shared" si="25"/>
        <v>14</v>
      </c>
      <c r="BB829" s="249">
        <v>0</v>
      </c>
      <c r="BC829" s="249">
        <f t="shared" si="24"/>
        <v>1992</v>
      </c>
    </row>
    <row r="830" spans="1:55" x14ac:dyDescent="0.25">
      <c r="A830" s="51" t="s">
        <v>1572</v>
      </c>
      <c r="B830" s="63" t="s">
        <v>1580</v>
      </c>
      <c r="C830" s="15" t="s">
        <v>337</v>
      </c>
      <c r="D830" s="15">
        <v>1991</v>
      </c>
      <c r="E830" s="15" t="s">
        <v>475</v>
      </c>
      <c r="F830" s="15"/>
      <c r="G830" s="15"/>
      <c r="H830" s="15"/>
      <c r="I830" s="15"/>
      <c r="J830" s="16">
        <v>1584000</v>
      </c>
      <c r="K830" s="15"/>
      <c r="L830" s="15" t="s">
        <v>328</v>
      </c>
      <c r="M830" s="15"/>
      <c r="N830" s="16">
        <v>6000</v>
      </c>
      <c r="O830" s="21">
        <v>0.5</v>
      </c>
      <c r="P830" s="15">
        <v>2</v>
      </c>
      <c r="Q830" s="15">
        <v>300</v>
      </c>
      <c r="R830" s="16">
        <v>1200</v>
      </c>
      <c r="S830" s="15" t="s">
        <v>340</v>
      </c>
      <c r="T830" s="15">
        <v>2</v>
      </c>
      <c r="U830" s="15">
        <v>2.2999999999999998</v>
      </c>
      <c r="V830" s="27">
        <v>850</v>
      </c>
      <c r="W830" s="22">
        <v>12000</v>
      </c>
      <c r="X830" s="15"/>
      <c r="Y830" s="15"/>
      <c r="Z830" s="15"/>
      <c r="AA830" s="15"/>
      <c r="AB830" s="15" t="s">
        <v>328</v>
      </c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6">
        <v>50000</v>
      </c>
      <c r="AO830" s="16">
        <v>65000</v>
      </c>
      <c r="AP830" s="16">
        <v>65000</v>
      </c>
      <c r="AQ830" s="16">
        <v>125000</v>
      </c>
      <c r="AR830" s="16">
        <v>12000</v>
      </c>
      <c r="AS830" s="22">
        <v>108000</v>
      </c>
      <c r="AT830" s="22">
        <v>0</v>
      </c>
      <c r="AU830" s="22">
        <v>55000</v>
      </c>
      <c r="AV830" s="22">
        <v>16000</v>
      </c>
      <c r="AW830" s="22">
        <v>16000</v>
      </c>
      <c r="AX830" s="66">
        <v>0</v>
      </c>
      <c r="AZ830" s="15"/>
      <c r="BA830" s="249">
        <f t="shared" si="25"/>
        <v>14</v>
      </c>
      <c r="BB830" s="249">
        <v>0</v>
      </c>
      <c r="BC830" s="249">
        <f t="shared" si="24"/>
        <v>1991</v>
      </c>
    </row>
    <row r="831" spans="1:55" x14ac:dyDescent="0.25">
      <c r="A831" s="51" t="s">
        <v>1572</v>
      </c>
      <c r="B831" s="63" t="s">
        <v>1580</v>
      </c>
      <c r="C831" s="15" t="s">
        <v>337</v>
      </c>
      <c r="D831" s="15">
        <v>2000</v>
      </c>
      <c r="E831" s="15" t="s">
        <v>407</v>
      </c>
      <c r="F831" s="15"/>
      <c r="G831" s="15"/>
      <c r="H831" s="15"/>
      <c r="I831" s="15"/>
      <c r="J831" s="16">
        <v>936000</v>
      </c>
      <c r="K831" s="15"/>
      <c r="L831" s="15" t="s">
        <v>328</v>
      </c>
      <c r="M831" s="15"/>
      <c r="N831" s="16">
        <v>6000</v>
      </c>
      <c r="O831" s="21">
        <v>0.5</v>
      </c>
      <c r="P831" s="15">
        <v>2</v>
      </c>
      <c r="Q831" s="15">
        <v>300</v>
      </c>
      <c r="R831" s="16">
        <v>1200</v>
      </c>
      <c r="S831" s="15" t="s">
        <v>340</v>
      </c>
      <c r="T831" s="15">
        <v>2</v>
      </c>
      <c r="U831" s="15">
        <v>2.2999999999999998</v>
      </c>
      <c r="V831" s="27">
        <v>850</v>
      </c>
      <c r="W831" s="22">
        <v>12000</v>
      </c>
      <c r="X831" s="15"/>
      <c r="Y831" s="15"/>
      <c r="Z831" s="15"/>
      <c r="AA831" s="15"/>
      <c r="AB831" s="15" t="s">
        <v>328</v>
      </c>
      <c r="AC831" s="15"/>
      <c r="AD831" s="15" t="s">
        <v>328</v>
      </c>
      <c r="AE831" s="15"/>
      <c r="AF831" s="15"/>
      <c r="AG831" s="15"/>
      <c r="AH831" s="15"/>
      <c r="AI831" s="15"/>
      <c r="AJ831" s="15"/>
      <c r="AK831" s="15"/>
      <c r="AL831" s="15"/>
      <c r="AM831" s="15"/>
      <c r="AN831" s="16">
        <v>50000</v>
      </c>
      <c r="AO831" s="16">
        <v>65000</v>
      </c>
      <c r="AP831" s="16">
        <v>65000</v>
      </c>
      <c r="AQ831" s="16">
        <v>125000</v>
      </c>
      <c r="AR831" s="16">
        <v>12000</v>
      </c>
      <c r="AS831" s="22">
        <v>108000</v>
      </c>
      <c r="AT831" s="22">
        <v>0</v>
      </c>
      <c r="AU831" s="22">
        <v>55000</v>
      </c>
      <c r="AV831" s="22">
        <v>16000</v>
      </c>
      <c r="AW831" s="22">
        <v>16000</v>
      </c>
      <c r="AX831" s="66">
        <v>0</v>
      </c>
      <c r="AZ831" s="15"/>
      <c r="BA831" s="249">
        <f t="shared" si="25"/>
        <v>14</v>
      </c>
      <c r="BB831" s="249">
        <v>0</v>
      </c>
      <c r="BC831" s="249">
        <f t="shared" si="24"/>
        <v>2000</v>
      </c>
    </row>
    <row r="832" spans="1:55" x14ac:dyDescent="0.25">
      <c r="A832" s="51" t="s">
        <v>1572</v>
      </c>
      <c r="B832" s="63" t="s">
        <v>1580</v>
      </c>
      <c r="C832" s="15" t="s">
        <v>337</v>
      </c>
      <c r="D832" s="15">
        <v>1992</v>
      </c>
      <c r="E832" s="15" t="s">
        <v>475</v>
      </c>
      <c r="F832" s="15"/>
      <c r="G832" s="15"/>
      <c r="H832" s="15"/>
      <c r="I832" s="15"/>
      <c r="J832" s="16">
        <v>1512000</v>
      </c>
      <c r="K832" s="15"/>
      <c r="L832" s="15"/>
      <c r="M832" s="15" t="s">
        <v>328</v>
      </c>
      <c r="N832" s="16">
        <v>6000</v>
      </c>
      <c r="O832" s="21">
        <v>0.5</v>
      </c>
      <c r="P832" s="15">
        <v>2</v>
      </c>
      <c r="Q832" s="15">
        <v>400</v>
      </c>
      <c r="R832" s="16">
        <v>1600</v>
      </c>
      <c r="S832" s="15" t="s">
        <v>340</v>
      </c>
      <c r="T832" s="15">
        <v>2</v>
      </c>
      <c r="U832" s="15">
        <v>2.2999999999999998</v>
      </c>
      <c r="V832" s="27">
        <v>850</v>
      </c>
      <c r="W832" s="22">
        <v>12000</v>
      </c>
      <c r="X832" s="15"/>
      <c r="Y832" s="15"/>
      <c r="Z832" s="15"/>
      <c r="AA832" s="15"/>
      <c r="AB832" s="15" t="s">
        <v>328</v>
      </c>
      <c r="AC832" s="15"/>
      <c r="AD832" s="15"/>
      <c r="AE832" s="15"/>
      <c r="AF832" s="15"/>
      <c r="AG832" s="15"/>
      <c r="AH832" s="15" t="s">
        <v>328</v>
      </c>
      <c r="AI832" s="15"/>
      <c r="AJ832" s="15"/>
      <c r="AK832" s="15"/>
      <c r="AL832" s="15"/>
      <c r="AM832" s="15"/>
      <c r="AN832" s="16">
        <v>50000</v>
      </c>
      <c r="AO832" s="16">
        <v>65000</v>
      </c>
      <c r="AP832" s="16">
        <v>65000</v>
      </c>
      <c r="AQ832" s="16">
        <v>125000</v>
      </c>
      <c r="AR832" s="16">
        <v>12000</v>
      </c>
      <c r="AS832" s="22">
        <v>108000</v>
      </c>
      <c r="AT832" s="22">
        <v>0</v>
      </c>
      <c r="AU832" s="22">
        <v>55000</v>
      </c>
      <c r="AV832" s="22">
        <v>16000</v>
      </c>
      <c r="AW832" s="22">
        <v>16000</v>
      </c>
      <c r="AX832" s="66">
        <v>0</v>
      </c>
      <c r="AZ832" s="15"/>
      <c r="BA832" s="249">
        <f t="shared" si="25"/>
        <v>14</v>
      </c>
      <c r="BB832" s="249">
        <v>0</v>
      </c>
      <c r="BC832" s="249">
        <f t="shared" si="24"/>
        <v>1992</v>
      </c>
    </row>
    <row r="833" spans="1:55" x14ac:dyDescent="0.25">
      <c r="A833" s="51" t="s">
        <v>1572</v>
      </c>
      <c r="B833" s="63" t="s">
        <v>1580</v>
      </c>
      <c r="C833" s="15" t="s">
        <v>337</v>
      </c>
      <c r="D833" s="15">
        <v>1993</v>
      </c>
      <c r="E833" s="15" t="s">
        <v>475</v>
      </c>
      <c r="F833" s="15"/>
      <c r="G833" s="15"/>
      <c r="H833" s="15"/>
      <c r="I833" s="15"/>
      <c r="J833" s="16">
        <v>1440000</v>
      </c>
      <c r="K833" s="15"/>
      <c r="L833" s="15"/>
      <c r="M833" s="15" t="s">
        <v>328</v>
      </c>
      <c r="N833" s="16">
        <v>6000</v>
      </c>
      <c r="O833" s="21">
        <v>0.5</v>
      </c>
      <c r="P833" s="15">
        <v>2</v>
      </c>
      <c r="Q833" s="15">
        <v>400</v>
      </c>
      <c r="R833" s="16">
        <v>1600</v>
      </c>
      <c r="S833" s="15" t="s">
        <v>340</v>
      </c>
      <c r="T833" s="15">
        <v>2</v>
      </c>
      <c r="U833" s="15">
        <v>2.2999999999999998</v>
      </c>
      <c r="V833" s="27">
        <v>850</v>
      </c>
      <c r="W833" s="22">
        <v>12000</v>
      </c>
      <c r="X833" s="15"/>
      <c r="Y833" s="15" t="s">
        <v>328</v>
      </c>
      <c r="Z833" s="15"/>
      <c r="AA833" s="15"/>
      <c r="AB833" s="15"/>
      <c r="AC833" s="15"/>
      <c r="AD833" s="15"/>
      <c r="AE833" s="15"/>
      <c r="AF833" s="15"/>
      <c r="AG833" s="15"/>
      <c r="AH833" s="15" t="s">
        <v>328</v>
      </c>
      <c r="AI833" s="15"/>
      <c r="AJ833" s="15"/>
      <c r="AK833" s="15"/>
      <c r="AL833" s="15"/>
      <c r="AM833" s="15"/>
      <c r="AN833" s="16">
        <v>50000</v>
      </c>
      <c r="AO833" s="16">
        <v>65000</v>
      </c>
      <c r="AP833" s="16">
        <v>65000</v>
      </c>
      <c r="AQ833" s="16">
        <v>125000</v>
      </c>
      <c r="AR833" s="16">
        <v>12000</v>
      </c>
      <c r="AS833" s="22">
        <v>108000</v>
      </c>
      <c r="AT833" s="22">
        <v>0</v>
      </c>
      <c r="AU833" s="22">
        <v>55000</v>
      </c>
      <c r="AV833" s="22">
        <v>16000</v>
      </c>
      <c r="AW833" s="22">
        <v>16000</v>
      </c>
      <c r="AX833" s="66">
        <v>0</v>
      </c>
      <c r="AZ833" s="15"/>
      <c r="BA833" s="249">
        <f t="shared" si="25"/>
        <v>14</v>
      </c>
      <c r="BB833" s="249">
        <v>0</v>
      </c>
      <c r="BC833" s="249">
        <f t="shared" si="24"/>
        <v>1993</v>
      </c>
    </row>
    <row r="834" spans="1:55" x14ac:dyDescent="0.25">
      <c r="A834" s="51" t="s">
        <v>1572</v>
      </c>
      <c r="B834" s="63" t="s">
        <v>1580</v>
      </c>
      <c r="C834" s="15" t="s">
        <v>337</v>
      </c>
      <c r="D834" s="15">
        <v>1984</v>
      </c>
      <c r="E834" s="15" t="s">
        <v>407</v>
      </c>
      <c r="F834" s="15"/>
      <c r="G834" s="15"/>
      <c r="H834" s="15"/>
      <c r="I834" s="15"/>
      <c r="J834" s="16">
        <v>2088000</v>
      </c>
      <c r="K834" s="15"/>
      <c r="L834" s="15"/>
      <c r="M834" s="15" t="s">
        <v>328</v>
      </c>
      <c r="N834" s="16">
        <v>6000</v>
      </c>
      <c r="O834" s="21">
        <v>0.5</v>
      </c>
      <c r="P834" s="15">
        <v>2</v>
      </c>
      <c r="Q834" s="15">
        <v>400</v>
      </c>
      <c r="R834" s="16">
        <v>1440</v>
      </c>
      <c r="S834" s="15" t="s">
        <v>340</v>
      </c>
      <c r="T834" s="15">
        <v>1.8</v>
      </c>
      <c r="U834" s="15">
        <v>2</v>
      </c>
      <c r="V834" s="27">
        <v>850</v>
      </c>
      <c r="W834" s="22">
        <v>12000</v>
      </c>
      <c r="X834" s="15" t="s">
        <v>328</v>
      </c>
      <c r="Y834" s="15"/>
      <c r="Z834" s="15"/>
      <c r="AA834" s="15"/>
      <c r="AB834" s="15"/>
      <c r="AC834" s="15"/>
      <c r="AD834" s="15" t="s">
        <v>328</v>
      </c>
      <c r="AE834" s="15"/>
      <c r="AF834" s="15"/>
      <c r="AG834" s="15" t="s">
        <v>328</v>
      </c>
      <c r="AH834" s="15" t="s">
        <v>328</v>
      </c>
      <c r="AI834" s="15"/>
      <c r="AJ834" s="15"/>
      <c r="AK834" s="15"/>
      <c r="AL834" s="15"/>
      <c r="AM834" s="15"/>
      <c r="AN834" s="16">
        <v>50000</v>
      </c>
      <c r="AO834" s="16">
        <v>65000</v>
      </c>
      <c r="AP834" s="16">
        <v>65000</v>
      </c>
      <c r="AQ834" s="16">
        <v>125000</v>
      </c>
      <c r="AR834" s="16">
        <v>12000</v>
      </c>
      <c r="AS834" s="22">
        <v>108000</v>
      </c>
      <c r="AT834" s="22">
        <v>0</v>
      </c>
      <c r="AU834" s="22">
        <v>55000</v>
      </c>
      <c r="AV834" s="22">
        <v>16000</v>
      </c>
      <c r="AW834" s="22">
        <v>16000</v>
      </c>
      <c r="AX834" s="66">
        <v>0</v>
      </c>
      <c r="AZ834" s="15"/>
      <c r="BA834" s="249">
        <f t="shared" si="25"/>
        <v>14</v>
      </c>
      <c r="BB834" s="249">
        <v>0</v>
      </c>
      <c r="BC834" s="249">
        <f t="shared" si="24"/>
        <v>1984</v>
      </c>
    </row>
    <row r="835" spans="1:55" x14ac:dyDescent="0.25">
      <c r="A835" s="51" t="s">
        <v>1572</v>
      </c>
      <c r="B835" s="63" t="s">
        <v>1580</v>
      </c>
      <c r="C835" s="15" t="s">
        <v>337</v>
      </c>
      <c r="D835" s="15">
        <v>1993</v>
      </c>
      <c r="E835" s="15" t="s">
        <v>407</v>
      </c>
      <c r="F835" s="15"/>
      <c r="G835" s="15"/>
      <c r="H835" s="15"/>
      <c r="I835" s="15"/>
      <c r="J835" s="16">
        <v>1440000</v>
      </c>
      <c r="K835" s="15"/>
      <c r="L835" s="15"/>
      <c r="M835" s="15" t="s">
        <v>328</v>
      </c>
      <c r="N835" s="16">
        <v>6000</v>
      </c>
      <c r="O835" s="21">
        <v>0.5</v>
      </c>
      <c r="P835" s="15">
        <v>2</v>
      </c>
      <c r="Q835" s="15">
        <v>400</v>
      </c>
      <c r="R835" s="16">
        <v>1600</v>
      </c>
      <c r="S835" s="15" t="s">
        <v>340</v>
      </c>
      <c r="T835" s="15">
        <v>2</v>
      </c>
      <c r="U835" s="15">
        <v>2.2999999999999998</v>
      </c>
      <c r="V835" s="27">
        <v>850</v>
      </c>
      <c r="W835" s="22">
        <v>12000</v>
      </c>
      <c r="X835" s="15"/>
      <c r="Y835" s="15" t="s">
        <v>328</v>
      </c>
      <c r="Z835" s="15"/>
      <c r="AA835" s="15"/>
      <c r="AB835" s="15"/>
      <c r="AC835" s="15"/>
      <c r="AD835" s="15"/>
      <c r="AE835" s="15"/>
      <c r="AF835" s="15"/>
      <c r="AG835" s="15"/>
      <c r="AH835" s="15" t="s">
        <v>328</v>
      </c>
      <c r="AI835" s="15"/>
      <c r="AJ835" s="15"/>
      <c r="AK835" s="15"/>
      <c r="AL835" s="15"/>
      <c r="AM835" s="15"/>
      <c r="AN835" s="16">
        <v>50000</v>
      </c>
      <c r="AO835" s="16">
        <v>65000</v>
      </c>
      <c r="AP835" s="16">
        <v>65000</v>
      </c>
      <c r="AQ835" s="16">
        <v>125000</v>
      </c>
      <c r="AR835" s="16">
        <v>12000</v>
      </c>
      <c r="AS835" s="22">
        <v>108000</v>
      </c>
      <c r="AT835" s="22">
        <v>0</v>
      </c>
      <c r="AU835" s="22">
        <v>55000</v>
      </c>
      <c r="AV835" s="22">
        <v>16000</v>
      </c>
      <c r="AW835" s="22">
        <v>16000</v>
      </c>
      <c r="AX835" s="66">
        <v>0</v>
      </c>
      <c r="AZ835" s="15"/>
      <c r="BA835" s="249">
        <f t="shared" si="25"/>
        <v>14</v>
      </c>
      <c r="BB835" s="249">
        <v>0</v>
      </c>
      <c r="BC835" s="249">
        <f t="shared" si="24"/>
        <v>1993</v>
      </c>
    </row>
    <row r="836" spans="1:55" x14ac:dyDescent="0.25">
      <c r="A836" s="51" t="s">
        <v>1572</v>
      </c>
      <c r="B836" s="63" t="s">
        <v>1580</v>
      </c>
      <c r="C836" s="15" t="s">
        <v>337</v>
      </c>
      <c r="D836" s="15">
        <v>1992</v>
      </c>
      <c r="E836" s="15" t="s">
        <v>407</v>
      </c>
      <c r="F836" s="15"/>
      <c r="G836" s="15"/>
      <c r="H836" s="15"/>
      <c r="I836" s="15"/>
      <c r="J836" s="16">
        <v>1512000</v>
      </c>
      <c r="K836" s="15"/>
      <c r="L836" s="15"/>
      <c r="M836" s="15" t="s">
        <v>328</v>
      </c>
      <c r="N836" s="16">
        <v>6000</v>
      </c>
      <c r="O836" s="21">
        <v>0.5</v>
      </c>
      <c r="P836" s="15">
        <v>2</v>
      </c>
      <c r="Q836" s="15">
        <v>400</v>
      </c>
      <c r="R836" s="16">
        <v>1600</v>
      </c>
      <c r="S836" s="15" t="s">
        <v>340</v>
      </c>
      <c r="T836" s="15">
        <v>2</v>
      </c>
      <c r="U836" s="15">
        <v>2.2999999999999998</v>
      </c>
      <c r="V836" s="27">
        <v>850</v>
      </c>
      <c r="W836" s="22">
        <v>12000</v>
      </c>
      <c r="X836" s="15"/>
      <c r="Y836" s="15"/>
      <c r="Z836" s="15"/>
      <c r="AA836" s="15"/>
      <c r="AB836" s="15" t="s">
        <v>328</v>
      </c>
      <c r="AC836" s="15"/>
      <c r="AD836" s="15"/>
      <c r="AE836" s="15"/>
      <c r="AF836" s="15"/>
      <c r="AG836" s="15"/>
      <c r="AH836" s="15" t="s">
        <v>328</v>
      </c>
      <c r="AI836" s="15"/>
      <c r="AJ836" s="15"/>
      <c r="AK836" s="15"/>
      <c r="AL836" s="15"/>
      <c r="AM836" s="15"/>
      <c r="AN836" s="16">
        <v>50000</v>
      </c>
      <c r="AO836" s="16">
        <v>65000</v>
      </c>
      <c r="AP836" s="16">
        <v>65000</v>
      </c>
      <c r="AQ836" s="16">
        <v>125000</v>
      </c>
      <c r="AR836" s="16">
        <v>12000</v>
      </c>
      <c r="AS836" s="22">
        <v>108000</v>
      </c>
      <c r="AT836" s="22">
        <v>0</v>
      </c>
      <c r="AU836" s="22">
        <v>55000</v>
      </c>
      <c r="AV836" s="22">
        <v>16000</v>
      </c>
      <c r="AW836" s="22">
        <v>16000</v>
      </c>
      <c r="AX836" s="66">
        <v>0</v>
      </c>
      <c r="AZ836" s="15"/>
      <c r="BA836" s="249">
        <f t="shared" si="25"/>
        <v>14</v>
      </c>
      <c r="BB836" s="249">
        <v>0</v>
      </c>
      <c r="BC836" s="249">
        <f t="shared" si="24"/>
        <v>1992</v>
      </c>
    </row>
    <row r="837" spans="1:55" x14ac:dyDescent="0.25">
      <c r="A837" s="51" t="s">
        <v>1572</v>
      </c>
      <c r="B837" s="63" t="s">
        <v>1580</v>
      </c>
      <c r="C837" s="15" t="s">
        <v>337</v>
      </c>
      <c r="D837" s="15">
        <v>1992</v>
      </c>
      <c r="E837" s="15" t="s">
        <v>407</v>
      </c>
      <c r="F837" s="15"/>
      <c r="G837" s="15"/>
      <c r="H837" s="15"/>
      <c r="I837" s="15"/>
      <c r="J837" s="16">
        <v>1512000</v>
      </c>
      <c r="K837" s="15"/>
      <c r="L837" s="15"/>
      <c r="M837" s="15" t="s">
        <v>328</v>
      </c>
      <c r="N837" s="16">
        <v>6000</v>
      </c>
      <c r="O837" s="21">
        <v>0.5</v>
      </c>
      <c r="P837" s="15">
        <v>2</v>
      </c>
      <c r="Q837" s="15">
        <v>400</v>
      </c>
      <c r="R837" s="16">
        <v>1600</v>
      </c>
      <c r="S837" s="15" t="s">
        <v>340</v>
      </c>
      <c r="T837" s="15">
        <v>2</v>
      </c>
      <c r="U837" s="15">
        <v>2.2999999999999998</v>
      </c>
      <c r="V837" s="27">
        <v>850</v>
      </c>
      <c r="W837" s="22">
        <v>12000</v>
      </c>
      <c r="X837" s="15"/>
      <c r="Y837" s="15"/>
      <c r="Z837" s="15"/>
      <c r="AA837" s="15"/>
      <c r="AB837" s="15" t="s">
        <v>328</v>
      </c>
      <c r="AC837" s="15"/>
      <c r="AD837" s="15"/>
      <c r="AE837" s="15"/>
      <c r="AF837" s="15"/>
      <c r="AG837" s="15"/>
      <c r="AH837" s="15" t="s">
        <v>328</v>
      </c>
      <c r="AI837" s="15"/>
      <c r="AJ837" s="15"/>
      <c r="AK837" s="15"/>
      <c r="AL837" s="15"/>
      <c r="AM837" s="15"/>
      <c r="AN837" s="16">
        <v>50000</v>
      </c>
      <c r="AO837" s="16">
        <v>65000</v>
      </c>
      <c r="AP837" s="16">
        <v>65000</v>
      </c>
      <c r="AQ837" s="16">
        <v>125000</v>
      </c>
      <c r="AR837" s="16">
        <v>12000</v>
      </c>
      <c r="AS837" s="22">
        <v>108000</v>
      </c>
      <c r="AT837" s="22">
        <v>0</v>
      </c>
      <c r="AU837" s="22">
        <v>55000</v>
      </c>
      <c r="AV837" s="22">
        <v>16000</v>
      </c>
      <c r="AW837" s="22">
        <v>16000</v>
      </c>
      <c r="AX837" s="66">
        <v>0</v>
      </c>
      <c r="AZ837" s="15"/>
      <c r="BA837" s="249">
        <f t="shared" si="25"/>
        <v>14</v>
      </c>
      <c r="BB837" s="249">
        <v>0</v>
      </c>
      <c r="BC837" s="249">
        <f t="shared" si="24"/>
        <v>1992</v>
      </c>
    </row>
    <row r="838" spans="1:55" x14ac:dyDescent="0.25">
      <c r="A838" s="51" t="s">
        <v>1572</v>
      </c>
      <c r="B838" s="63" t="s">
        <v>1580</v>
      </c>
      <c r="C838" s="15" t="s">
        <v>337</v>
      </c>
      <c r="D838" s="15">
        <v>1992</v>
      </c>
      <c r="E838" s="15" t="s">
        <v>475</v>
      </c>
      <c r="F838" s="15"/>
      <c r="G838" s="15"/>
      <c r="H838" s="15"/>
      <c r="I838" s="15"/>
      <c r="J838" s="16">
        <v>1512000</v>
      </c>
      <c r="K838" s="15"/>
      <c r="L838" s="15"/>
      <c r="M838" s="15" t="s">
        <v>328</v>
      </c>
      <c r="N838" s="16">
        <v>6000</v>
      </c>
      <c r="O838" s="21">
        <v>0.5</v>
      </c>
      <c r="P838" s="15">
        <v>2</v>
      </c>
      <c r="Q838" s="15">
        <v>400</v>
      </c>
      <c r="R838" s="16">
        <v>1600</v>
      </c>
      <c r="S838" s="15" t="s">
        <v>340</v>
      </c>
      <c r="T838" s="15">
        <v>2</v>
      </c>
      <c r="U838" s="15">
        <v>2.2999999999999998</v>
      </c>
      <c r="V838" s="27">
        <v>850</v>
      </c>
      <c r="W838" s="22">
        <v>12000</v>
      </c>
      <c r="X838" s="15"/>
      <c r="Y838" s="15"/>
      <c r="Z838" s="15"/>
      <c r="AA838" s="15"/>
      <c r="AB838" s="15" t="s">
        <v>328</v>
      </c>
      <c r="AC838" s="15"/>
      <c r="AD838" s="15"/>
      <c r="AE838" s="15"/>
      <c r="AF838" s="15"/>
      <c r="AG838" s="15"/>
      <c r="AH838" s="15" t="s">
        <v>328</v>
      </c>
      <c r="AI838" s="15"/>
      <c r="AJ838" s="15"/>
      <c r="AK838" s="15"/>
      <c r="AL838" s="15"/>
      <c r="AM838" s="15"/>
      <c r="AN838" s="16">
        <v>50000</v>
      </c>
      <c r="AO838" s="16">
        <v>65000</v>
      </c>
      <c r="AP838" s="16">
        <v>65000</v>
      </c>
      <c r="AQ838" s="16">
        <v>125000</v>
      </c>
      <c r="AR838" s="16">
        <v>12000</v>
      </c>
      <c r="AS838" s="22">
        <v>108000</v>
      </c>
      <c r="AT838" s="22">
        <v>0</v>
      </c>
      <c r="AU838" s="22">
        <v>55000</v>
      </c>
      <c r="AV838" s="22">
        <v>16000</v>
      </c>
      <c r="AW838" s="22">
        <v>16000</v>
      </c>
      <c r="AX838" s="66">
        <v>0</v>
      </c>
      <c r="AZ838" s="15"/>
      <c r="BA838" s="249">
        <f t="shared" si="25"/>
        <v>14</v>
      </c>
      <c r="BB838" s="249">
        <v>0</v>
      </c>
      <c r="BC838" s="249">
        <f t="shared" si="24"/>
        <v>1992</v>
      </c>
    </row>
    <row r="839" spans="1:55" x14ac:dyDescent="0.25">
      <c r="A839" s="51" t="s">
        <v>1572</v>
      </c>
      <c r="B839" s="63" t="s">
        <v>1580</v>
      </c>
      <c r="C839" s="15" t="s">
        <v>337</v>
      </c>
      <c r="D839" s="15">
        <v>1993</v>
      </c>
      <c r="E839" s="15" t="s">
        <v>475</v>
      </c>
      <c r="F839" s="15"/>
      <c r="G839" s="15"/>
      <c r="H839" s="15"/>
      <c r="I839" s="15"/>
      <c r="J839" s="16">
        <v>1440000</v>
      </c>
      <c r="K839" s="15"/>
      <c r="L839" s="15"/>
      <c r="M839" s="15" t="s">
        <v>328</v>
      </c>
      <c r="N839" s="16">
        <v>6000</v>
      </c>
      <c r="O839" s="21">
        <v>0.5</v>
      </c>
      <c r="P839" s="15">
        <v>2</v>
      </c>
      <c r="Q839" s="15">
        <v>400</v>
      </c>
      <c r="R839" s="16">
        <v>1600</v>
      </c>
      <c r="S839" s="15" t="s">
        <v>340</v>
      </c>
      <c r="T839" s="15">
        <v>2</v>
      </c>
      <c r="U839" s="15">
        <v>2.2999999999999998</v>
      </c>
      <c r="V839" s="27">
        <v>850</v>
      </c>
      <c r="W839" s="22">
        <v>12000</v>
      </c>
      <c r="X839" s="15"/>
      <c r="Y839" s="15" t="s">
        <v>328</v>
      </c>
      <c r="Z839" s="15"/>
      <c r="AA839" s="15"/>
      <c r="AB839" s="15"/>
      <c r="AC839" s="15"/>
      <c r="AD839" s="15"/>
      <c r="AE839" s="15"/>
      <c r="AF839" s="15"/>
      <c r="AG839" s="15"/>
      <c r="AH839" s="15" t="s">
        <v>328</v>
      </c>
      <c r="AI839" s="15"/>
      <c r="AJ839" s="15"/>
      <c r="AK839" s="15"/>
      <c r="AL839" s="15"/>
      <c r="AM839" s="15"/>
      <c r="AN839" s="16">
        <v>50000</v>
      </c>
      <c r="AO839" s="16">
        <v>65000</v>
      </c>
      <c r="AP839" s="16">
        <v>65000</v>
      </c>
      <c r="AQ839" s="16">
        <v>125000</v>
      </c>
      <c r="AR839" s="16">
        <v>12000</v>
      </c>
      <c r="AS839" s="22">
        <v>108000</v>
      </c>
      <c r="AT839" s="22">
        <v>0</v>
      </c>
      <c r="AU839" s="22">
        <v>55000</v>
      </c>
      <c r="AV839" s="22">
        <v>16000</v>
      </c>
      <c r="AW839" s="22">
        <v>16000</v>
      </c>
      <c r="AX839" s="66">
        <v>0</v>
      </c>
      <c r="AZ839" s="15"/>
      <c r="BA839" s="249">
        <f t="shared" si="25"/>
        <v>14</v>
      </c>
      <c r="BB839" s="249">
        <v>0</v>
      </c>
      <c r="BC839" s="249">
        <f t="shared" si="24"/>
        <v>1993</v>
      </c>
    </row>
    <row r="840" spans="1:55" x14ac:dyDescent="0.25">
      <c r="A840" s="51" t="s">
        <v>1572</v>
      </c>
      <c r="B840" s="63" t="s">
        <v>1580</v>
      </c>
      <c r="C840" s="15" t="s">
        <v>337</v>
      </c>
      <c r="D840" s="15">
        <v>1995</v>
      </c>
      <c r="E840" s="15" t="s">
        <v>407</v>
      </c>
      <c r="F840" s="15"/>
      <c r="G840" s="15"/>
      <c r="H840" s="15"/>
      <c r="I840" s="15"/>
      <c r="J840" s="16">
        <v>1296000</v>
      </c>
      <c r="K840" s="15"/>
      <c r="L840" s="15"/>
      <c r="M840" s="15" t="s">
        <v>328</v>
      </c>
      <c r="N840" s="16">
        <v>6000</v>
      </c>
      <c r="O840" s="21">
        <v>0.5</v>
      </c>
      <c r="P840" s="15">
        <v>2</v>
      </c>
      <c r="Q840" s="15">
        <v>500</v>
      </c>
      <c r="R840" s="16">
        <v>2000</v>
      </c>
      <c r="S840" s="15" t="s">
        <v>340</v>
      </c>
      <c r="T840" s="15">
        <v>2</v>
      </c>
      <c r="U840" s="15">
        <v>2.2999999999999998</v>
      </c>
      <c r="V840" s="27">
        <v>850</v>
      </c>
      <c r="W840" s="22">
        <v>12000</v>
      </c>
      <c r="X840" s="15"/>
      <c r="Y840" s="15"/>
      <c r="Z840" s="15"/>
      <c r="AA840" s="15"/>
      <c r="AB840" s="15" t="s">
        <v>328</v>
      </c>
      <c r="AC840" s="15"/>
      <c r="AD840" s="15" t="s">
        <v>328</v>
      </c>
      <c r="AE840" s="15"/>
      <c r="AF840" s="15"/>
      <c r="AG840" s="15"/>
      <c r="AH840" s="15" t="s">
        <v>328</v>
      </c>
      <c r="AI840" s="15"/>
      <c r="AJ840" s="15"/>
      <c r="AK840" s="15"/>
      <c r="AL840" s="15"/>
      <c r="AM840" s="15"/>
      <c r="AN840" s="16">
        <v>50000</v>
      </c>
      <c r="AO840" s="16">
        <v>65000</v>
      </c>
      <c r="AP840" s="16">
        <v>65000</v>
      </c>
      <c r="AQ840" s="16">
        <v>125000</v>
      </c>
      <c r="AR840" s="16">
        <v>12000</v>
      </c>
      <c r="AS840" s="22">
        <v>108000</v>
      </c>
      <c r="AT840" s="22">
        <v>0</v>
      </c>
      <c r="AU840" s="22">
        <v>55000</v>
      </c>
      <c r="AV840" s="22">
        <v>16000</v>
      </c>
      <c r="AW840" s="22">
        <v>16000</v>
      </c>
      <c r="AX840" s="66">
        <v>0</v>
      </c>
      <c r="AZ840" s="15"/>
      <c r="BA840" s="249">
        <f t="shared" si="25"/>
        <v>14</v>
      </c>
      <c r="BB840" s="249">
        <v>0</v>
      </c>
      <c r="BC840" s="249">
        <f t="shared" ref="BC840:BC903" si="26">IF(H840&gt;D840,(IF(H840&gt;F840,H840,(IF(F840&gt;D840,F840,D840)))),(IF(F840&gt;D840,F840,D840)))</f>
        <v>1995</v>
      </c>
    </row>
    <row r="841" spans="1:55" x14ac:dyDescent="0.25">
      <c r="A841" s="51" t="s">
        <v>1572</v>
      </c>
      <c r="B841" s="63" t="s">
        <v>1580</v>
      </c>
      <c r="C841" s="15" t="s">
        <v>337</v>
      </c>
      <c r="D841" s="15">
        <v>1995</v>
      </c>
      <c r="E841" s="15" t="s">
        <v>407</v>
      </c>
      <c r="F841" s="15"/>
      <c r="G841" s="15"/>
      <c r="H841" s="15"/>
      <c r="I841" s="15"/>
      <c r="J841" s="16">
        <v>1296000</v>
      </c>
      <c r="K841" s="15"/>
      <c r="L841" s="15"/>
      <c r="M841" s="15" t="s">
        <v>328</v>
      </c>
      <c r="N841" s="16">
        <v>6000</v>
      </c>
      <c r="O841" s="21">
        <v>0.5</v>
      </c>
      <c r="P841" s="15">
        <v>2</v>
      </c>
      <c r="Q841" s="15">
        <v>500</v>
      </c>
      <c r="R841" s="16">
        <v>2000</v>
      </c>
      <c r="S841" s="15" t="s">
        <v>340</v>
      </c>
      <c r="T841" s="15">
        <v>2</v>
      </c>
      <c r="U841" s="15">
        <v>2.2999999999999998</v>
      </c>
      <c r="V841" s="27">
        <v>850</v>
      </c>
      <c r="W841" s="22">
        <v>12000</v>
      </c>
      <c r="X841" s="15"/>
      <c r="Y841" s="15"/>
      <c r="Z841" s="15"/>
      <c r="AA841" s="15"/>
      <c r="AB841" s="15" t="s">
        <v>328</v>
      </c>
      <c r="AC841" s="15"/>
      <c r="AD841" s="15" t="s">
        <v>328</v>
      </c>
      <c r="AE841" s="15"/>
      <c r="AF841" s="15"/>
      <c r="AG841" s="15"/>
      <c r="AH841" s="15" t="s">
        <v>328</v>
      </c>
      <c r="AI841" s="15"/>
      <c r="AJ841" s="15"/>
      <c r="AK841" s="15"/>
      <c r="AL841" s="15"/>
      <c r="AM841" s="15"/>
      <c r="AN841" s="16">
        <v>50000</v>
      </c>
      <c r="AO841" s="16">
        <v>65000</v>
      </c>
      <c r="AP841" s="16">
        <v>65000</v>
      </c>
      <c r="AQ841" s="16">
        <v>125000</v>
      </c>
      <c r="AR841" s="16">
        <v>12000</v>
      </c>
      <c r="AS841" s="22">
        <v>108000</v>
      </c>
      <c r="AT841" s="22">
        <v>0</v>
      </c>
      <c r="AU841" s="22">
        <v>55000</v>
      </c>
      <c r="AV841" s="22">
        <v>16000</v>
      </c>
      <c r="AW841" s="22">
        <v>16000</v>
      </c>
      <c r="AX841" s="66">
        <v>0</v>
      </c>
      <c r="AZ841" s="15"/>
      <c r="BA841" s="249">
        <f t="shared" ref="BA841:BA904" si="27">COUNTIF($B$8:$B$987,B841)</f>
        <v>14</v>
      </c>
      <c r="BB841" s="249">
        <v>0</v>
      </c>
      <c r="BC841" s="249">
        <f t="shared" si="26"/>
        <v>1995</v>
      </c>
    </row>
    <row r="842" spans="1:55" x14ac:dyDescent="0.25">
      <c r="A842" s="51" t="s">
        <v>1572</v>
      </c>
      <c r="B842" s="63" t="s">
        <v>1580</v>
      </c>
      <c r="C842" s="15" t="s">
        <v>337</v>
      </c>
      <c r="D842" s="15">
        <v>1991</v>
      </c>
      <c r="E842" s="15" t="s">
        <v>407</v>
      </c>
      <c r="F842" s="15"/>
      <c r="G842" s="15"/>
      <c r="H842" s="15"/>
      <c r="I842" s="15"/>
      <c r="J842" s="16">
        <v>1584000</v>
      </c>
      <c r="K842" s="15"/>
      <c r="L842" s="15"/>
      <c r="M842" s="15" t="s">
        <v>328</v>
      </c>
      <c r="N842" s="16">
        <v>6000</v>
      </c>
      <c r="O842" s="21">
        <v>0.5</v>
      </c>
      <c r="P842" s="15">
        <v>2</v>
      </c>
      <c r="Q842" s="15">
        <v>400</v>
      </c>
      <c r="R842" s="16">
        <v>1600</v>
      </c>
      <c r="S842" s="15" t="s">
        <v>340</v>
      </c>
      <c r="T842" s="15">
        <v>2</v>
      </c>
      <c r="U842" s="15">
        <v>2.2999999999999998</v>
      </c>
      <c r="V842" s="27">
        <v>850</v>
      </c>
      <c r="W842" s="22">
        <v>12000</v>
      </c>
      <c r="X842" s="15"/>
      <c r="Y842" s="15"/>
      <c r="Z842" s="15"/>
      <c r="AA842" s="15"/>
      <c r="AB842" s="15" t="s">
        <v>328</v>
      </c>
      <c r="AC842" s="15"/>
      <c r="AD842" s="15"/>
      <c r="AE842" s="15"/>
      <c r="AF842" s="15"/>
      <c r="AG842" s="15"/>
      <c r="AH842" s="15" t="s">
        <v>328</v>
      </c>
      <c r="AI842" s="15"/>
      <c r="AJ842" s="15"/>
      <c r="AK842" s="15"/>
      <c r="AL842" s="15"/>
      <c r="AM842" s="15"/>
      <c r="AN842" s="16">
        <v>50000</v>
      </c>
      <c r="AO842" s="16">
        <v>65000</v>
      </c>
      <c r="AP842" s="16">
        <v>65000</v>
      </c>
      <c r="AQ842" s="16">
        <v>125000</v>
      </c>
      <c r="AR842" s="16">
        <v>12000</v>
      </c>
      <c r="AS842" s="22">
        <v>108000</v>
      </c>
      <c r="AT842" s="22">
        <v>0</v>
      </c>
      <c r="AU842" s="22">
        <v>55000</v>
      </c>
      <c r="AV842" s="22">
        <v>16000</v>
      </c>
      <c r="AW842" s="22">
        <v>16000</v>
      </c>
      <c r="AX842" s="66">
        <v>0</v>
      </c>
      <c r="AZ842" s="15"/>
      <c r="BA842" s="249">
        <f t="shared" si="27"/>
        <v>14</v>
      </c>
      <c r="BB842" s="249">
        <v>0</v>
      </c>
      <c r="BC842" s="249">
        <f t="shared" si="26"/>
        <v>1991</v>
      </c>
    </row>
    <row r="843" spans="1:55" x14ac:dyDescent="0.25">
      <c r="A843" s="51" t="s">
        <v>1378</v>
      </c>
      <c r="B843" s="63" t="s">
        <v>1581</v>
      </c>
      <c r="C843" s="14" t="s">
        <v>351</v>
      </c>
      <c r="D843" s="15">
        <v>1980</v>
      </c>
      <c r="E843" s="15" t="s">
        <v>581</v>
      </c>
      <c r="F843" s="15"/>
      <c r="G843" s="15"/>
      <c r="H843" s="15"/>
      <c r="I843" s="15"/>
      <c r="J843" s="16">
        <v>1584000</v>
      </c>
      <c r="K843" s="15" t="s">
        <v>328</v>
      </c>
      <c r="L843" s="15"/>
      <c r="M843" s="15"/>
      <c r="N843" s="16">
        <v>4000</v>
      </c>
      <c r="O843" s="21">
        <v>0.5</v>
      </c>
      <c r="P843" s="15">
        <v>2</v>
      </c>
      <c r="Q843" s="15">
        <v>400</v>
      </c>
      <c r="R843" s="16">
        <v>1200</v>
      </c>
      <c r="S843" s="15" t="s">
        <v>340</v>
      </c>
      <c r="T843" s="15">
        <v>1.5</v>
      </c>
      <c r="U843" s="15">
        <v>2.5</v>
      </c>
      <c r="V843" s="27">
        <v>550</v>
      </c>
      <c r="W843" s="22">
        <v>8000</v>
      </c>
      <c r="X843" s="15" t="s">
        <v>328</v>
      </c>
      <c r="Y843" s="15"/>
      <c r="Z843" s="15"/>
      <c r="AA843" s="15"/>
      <c r="AB843" s="15"/>
      <c r="AC843" s="15"/>
      <c r="AD843" s="15"/>
      <c r="AE843" s="15" t="s">
        <v>328</v>
      </c>
      <c r="AF843" s="15"/>
      <c r="AG843" s="15"/>
      <c r="AH843" s="15"/>
      <c r="AI843" s="15"/>
      <c r="AJ843" s="15"/>
      <c r="AK843" s="15"/>
      <c r="AL843" s="15"/>
      <c r="AM843" s="15"/>
      <c r="AN843" s="16">
        <v>30000</v>
      </c>
      <c r="AO843" s="16">
        <v>70000</v>
      </c>
      <c r="AP843" s="16">
        <v>150000</v>
      </c>
      <c r="AQ843" s="16">
        <v>180000</v>
      </c>
      <c r="AR843" s="16">
        <v>70000</v>
      </c>
      <c r="AS843" s="22">
        <v>36000</v>
      </c>
      <c r="AT843" s="22">
        <v>0</v>
      </c>
      <c r="AU843" s="22">
        <v>24000</v>
      </c>
      <c r="AV843" s="22">
        <v>24000</v>
      </c>
      <c r="AW843" s="22">
        <v>7200</v>
      </c>
      <c r="AX843" s="66">
        <v>0</v>
      </c>
      <c r="AZ843" s="15"/>
      <c r="BA843" s="249">
        <f t="shared" si="27"/>
        <v>4</v>
      </c>
      <c r="BB843" s="249">
        <v>0</v>
      </c>
      <c r="BC843" s="249">
        <f t="shared" si="26"/>
        <v>1980</v>
      </c>
    </row>
    <row r="844" spans="1:55" x14ac:dyDescent="0.25">
      <c r="A844" s="51" t="s">
        <v>1378</v>
      </c>
      <c r="B844" s="63" t="s">
        <v>1581</v>
      </c>
      <c r="C844" s="14" t="s">
        <v>351</v>
      </c>
      <c r="D844" s="15">
        <v>1994</v>
      </c>
      <c r="E844" s="15" t="s">
        <v>407</v>
      </c>
      <c r="F844" s="15"/>
      <c r="G844" s="15"/>
      <c r="H844" s="15"/>
      <c r="I844" s="15"/>
      <c r="J844" s="16">
        <v>456000</v>
      </c>
      <c r="K844" s="15"/>
      <c r="L844" s="15"/>
      <c r="M844" s="15" t="s">
        <v>328</v>
      </c>
      <c r="N844" s="16">
        <v>2000</v>
      </c>
      <c r="O844" s="21">
        <v>0.5</v>
      </c>
      <c r="P844" s="15">
        <v>2</v>
      </c>
      <c r="Q844" s="15">
        <v>400</v>
      </c>
      <c r="R844" s="16">
        <v>1200</v>
      </c>
      <c r="S844" s="15" t="s">
        <v>340</v>
      </c>
      <c r="T844" s="15">
        <v>1.5</v>
      </c>
      <c r="U844" s="15">
        <v>2.5</v>
      </c>
      <c r="V844" s="27">
        <v>300</v>
      </c>
      <c r="W844" s="22">
        <v>4000</v>
      </c>
      <c r="X844" s="15"/>
      <c r="Y844" s="15"/>
      <c r="Z844" s="15"/>
      <c r="AA844" s="15"/>
      <c r="AB844" s="15" t="s">
        <v>328</v>
      </c>
      <c r="AC844" s="15"/>
      <c r="AD844" s="15" t="s">
        <v>328</v>
      </c>
      <c r="AE844" s="15" t="s">
        <v>328</v>
      </c>
      <c r="AF844" s="15"/>
      <c r="AG844" s="15"/>
      <c r="AH844" s="15"/>
      <c r="AI844" s="15"/>
      <c r="AJ844" s="15"/>
      <c r="AK844" s="15"/>
      <c r="AL844" s="15"/>
      <c r="AM844" s="15"/>
      <c r="AN844" s="16">
        <v>30000</v>
      </c>
      <c r="AO844" s="16">
        <v>70000</v>
      </c>
      <c r="AP844" s="16">
        <v>150000</v>
      </c>
      <c r="AQ844" s="16">
        <v>180000</v>
      </c>
      <c r="AR844" s="16">
        <v>70000</v>
      </c>
      <c r="AS844" s="22">
        <v>24000</v>
      </c>
      <c r="AT844" s="22">
        <v>0</v>
      </c>
      <c r="AU844" s="22">
        <v>12000</v>
      </c>
      <c r="AV844" s="22">
        <v>12000</v>
      </c>
      <c r="AW844" s="22">
        <v>7200</v>
      </c>
      <c r="AX844" s="66">
        <v>0</v>
      </c>
      <c r="AZ844" s="15"/>
      <c r="BA844" s="249">
        <f t="shared" si="27"/>
        <v>4</v>
      </c>
      <c r="BB844" s="249">
        <v>0</v>
      </c>
      <c r="BC844" s="249">
        <f t="shared" si="26"/>
        <v>1994</v>
      </c>
    </row>
    <row r="845" spans="1:55" x14ac:dyDescent="0.25">
      <c r="A845" s="51" t="s">
        <v>1378</v>
      </c>
      <c r="B845" s="63" t="s">
        <v>1581</v>
      </c>
      <c r="C845" s="14" t="s">
        <v>351</v>
      </c>
      <c r="D845" s="15">
        <v>1994</v>
      </c>
      <c r="E845" s="15" t="s">
        <v>475</v>
      </c>
      <c r="F845" s="15"/>
      <c r="G845" s="15"/>
      <c r="H845" s="15"/>
      <c r="I845" s="15"/>
      <c r="J845" s="16">
        <v>912000</v>
      </c>
      <c r="K845" s="15"/>
      <c r="L845" s="15"/>
      <c r="M845" s="15" t="s">
        <v>328</v>
      </c>
      <c r="N845" s="16">
        <v>4000</v>
      </c>
      <c r="O845" s="21">
        <v>0.5</v>
      </c>
      <c r="P845" s="15">
        <v>2</v>
      </c>
      <c r="Q845" s="15">
        <v>400</v>
      </c>
      <c r="R845" s="16">
        <v>1200</v>
      </c>
      <c r="S845" s="15" t="s">
        <v>340</v>
      </c>
      <c r="T845" s="15">
        <v>1.5</v>
      </c>
      <c r="U845" s="15">
        <v>2.5</v>
      </c>
      <c r="V845" s="27">
        <v>550</v>
      </c>
      <c r="W845" s="22">
        <v>8000</v>
      </c>
      <c r="X845" s="15"/>
      <c r="Y845" s="15"/>
      <c r="Z845" s="15"/>
      <c r="AA845" s="15"/>
      <c r="AB845" s="15" t="s">
        <v>328</v>
      </c>
      <c r="AC845" s="15"/>
      <c r="AD845" s="15" t="s">
        <v>328</v>
      </c>
      <c r="AE845" s="15" t="s">
        <v>328</v>
      </c>
      <c r="AF845" s="15"/>
      <c r="AG845" s="15"/>
      <c r="AH845" s="15"/>
      <c r="AI845" s="15"/>
      <c r="AJ845" s="15" t="s">
        <v>328</v>
      </c>
      <c r="AK845" s="15"/>
      <c r="AL845" s="15"/>
      <c r="AM845" s="15"/>
      <c r="AN845" s="16">
        <v>30000</v>
      </c>
      <c r="AO845" s="16">
        <v>70000</v>
      </c>
      <c r="AP845" s="16">
        <v>150000</v>
      </c>
      <c r="AQ845" s="16">
        <v>180000</v>
      </c>
      <c r="AR845" s="16">
        <v>70000</v>
      </c>
      <c r="AS845" s="22">
        <v>60000</v>
      </c>
      <c r="AT845" s="22">
        <v>0</v>
      </c>
      <c r="AU845" s="22">
        <v>48000</v>
      </c>
      <c r="AV845" s="22">
        <v>36000</v>
      </c>
      <c r="AW845" s="22">
        <v>9600</v>
      </c>
      <c r="AX845" s="66">
        <v>0</v>
      </c>
      <c r="AZ845" s="15"/>
      <c r="BA845" s="249">
        <f t="shared" si="27"/>
        <v>4</v>
      </c>
      <c r="BB845" s="249">
        <v>0</v>
      </c>
      <c r="BC845" s="249">
        <f t="shared" si="26"/>
        <v>1994</v>
      </c>
    </row>
    <row r="846" spans="1:55" x14ac:dyDescent="0.25">
      <c r="A846" s="51" t="s">
        <v>1378</v>
      </c>
      <c r="B846" s="63" t="s">
        <v>1581</v>
      </c>
      <c r="C846" s="14" t="s">
        <v>351</v>
      </c>
      <c r="D846" s="15">
        <v>1980</v>
      </c>
      <c r="E846" s="15" t="s">
        <v>407</v>
      </c>
      <c r="F846" s="15"/>
      <c r="G846" s="15"/>
      <c r="H846" s="15"/>
      <c r="I846" s="15"/>
      <c r="J846" s="16">
        <v>792000</v>
      </c>
      <c r="K846" s="15"/>
      <c r="L846" s="15"/>
      <c r="M846" s="15" t="s">
        <v>328</v>
      </c>
      <c r="N846" s="16">
        <v>2000</v>
      </c>
      <c r="O846" s="21">
        <v>0.5</v>
      </c>
      <c r="P846" s="15">
        <v>2</v>
      </c>
      <c r="Q846" s="15">
        <v>400</v>
      </c>
      <c r="R846" s="16">
        <v>1200</v>
      </c>
      <c r="S846" s="15" t="s">
        <v>340</v>
      </c>
      <c r="T846" s="15">
        <v>1.5</v>
      </c>
      <c r="U846" s="15">
        <v>2.5</v>
      </c>
      <c r="V846" s="27">
        <v>300</v>
      </c>
      <c r="W846" s="22">
        <v>4000</v>
      </c>
      <c r="X846" s="15"/>
      <c r="Y846" s="15"/>
      <c r="Z846" s="15"/>
      <c r="AA846" s="15"/>
      <c r="AB846" s="15"/>
      <c r="AC846" s="15" t="s">
        <v>328</v>
      </c>
      <c r="AD846" s="15" t="s">
        <v>328</v>
      </c>
      <c r="AE846" s="15" t="s">
        <v>328</v>
      </c>
      <c r="AF846" s="15"/>
      <c r="AG846" s="15"/>
      <c r="AH846" s="15"/>
      <c r="AI846" s="15"/>
      <c r="AJ846" s="15"/>
      <c r="AK846" s="15"/>
      <c r="AL846" s="15"/>
      <c r="AM846" s="15"/>
      <c r="AN846" s="16">
        <v>30000</v>
      </c>
      <c r="AO846" s="16">
        <v>70000</v>
      </c>
      <c r="AP846" s="16">
        <v>150000</v>
      </c>
      <c r="AQ846" s="16">
        <v>180000</v>
      </c>
      <c r="AR846" s="16">
        <v>70000</v>
      </c>
      <c r="AS846" s="22">
        <v>36000</v>
      </c>
      <c r="AT846" s="22">
        <v>0</v>
      </c>
      <c r="AU846" s="22">
        <v>36000</v>
      </c>
      <c r="AV846" s="22">
        <v>36000</v>
      </c>
      <c r="AW846" s="22">
        <v>7200</v>
      </c>
      <c r="AX846" s="66">
        <v>0</v>
      </c>
      <c r="AZ846" s="15"/>
      <c r="BA846" s="249">
        <f t="shared" si="27"/>
        <v>4</v>
      </c>
      <c r="BB846" s="249">
        <v>0</v>
      </c>
      <c r="BC846" s="249">
        <f t="shared" si="26"/>
        <v>1980</v>
      </c>
    </row>
    <row r="847" spans="1:55" x14ac:dyDescent="0.25">
      <c r="A847" s="51" t="s">
        <v>1378</v>
      </c>
      <c r="B847" s="65" t="s">
        <v>1582</v>
      </c>
      <c r="C847" s="14" t="s">
        <v>351</v>
      </c>
      <c r="D847" s="15">
        <v>1980</v>
      </c>
      <c r="E847" s="15" t="s">
        <v>581</v>
      </c>
      <c r="F847" s="15"/>
      <c r="G847" s="15"/>
      <c r="H847" s="15"/>
      <c r="I847" s="15"/>
      <c r="J847" s="16">
        <v>2772000</v>
      </c>
      <c r="K847" s="15"/>
      <c r="L847" s="15"/>
      <c r="M847" s="15" t="s">
        <v>328</v>
      </c>
      <c r="N847" s="16">
        <v>7000</v>
      </c>
      <c r="O847" s="21">
        <v>0.5</v>
      </c>
      <c r="P847" s="15">
        <v>2</v>
      </c>
      <c r="Q847" s="15">
        <v>400</v>
      </c>
      <c r="R847" s="16">
        <v>1200</v>
      </c>
      <c r="S847" s="15" t="s">
        <v>340</v>
      </c>
      <c r="T847" s="15">
        <v>1.5</v>
      </c>
      <c r="U847" s="15">
        <v>2.5</v>
      </c>
      <c r="V847" s="27">
        <v>1000</v>
      </c>
      <c r="W847" s="22">
        <v>14000</v>
      </c>
      <c r="X847" s="15"/>
      <c r="Y847" s="15"/>
      <c r="Z847" s="15"/>
      <c r="AA847" s="15"/>
      <c r="AB847" s="15"/>
      <c r="AC847" s="15" t="s">
        <v>328</v>
      </c>
      <c r="AD847" s="15"/>
      <c r="AE847" s="15"/>
      <c r="AF847" s="15"/>
      <c r="AG847" s="15"/>
      <c r="AH847" s="15"/>
      <c r="AI847" s="15"/>
      <c r="AJ847" s="15" t="s">
        <v>328</v>
      </c>
      <c r="AK847" s="15"/>
      <c r="AL847" s="15"/>
      <c r="AM847" s="15"/>
      <c r="AN847" s="16">
        <v>25000</v>
      </c>
      <c r="AO847" s="16">
        <v>60000</v>
      </c>
      <c r="AP847" s="16">
        <v>60000</v>
      </c>
      <c r="AQ847" s="16">
        <v>120000</v>
      </c>
      <c r="AR847" s="16">
        <v>25000</v>
      </c>
      <c r="AS847" s="22">
        <v>0</v>
      </c>
      <c r="AT847" s="22">
        <v>0</v>
      </c>
      <c r="AU847" s="22">
        <v>40000</v>
      </c>
      <c r="AV847" s="22">
        <v>15000</v>
      </c>
      <c r="AW847" s="22">
        <v>10000</v>
      </c>
      <c r="AX847" s="66">
        <v>0</v>
      </c>
      <c r="AZ847" s="15"/>
      <c r="BA847" s="249">
        <f t="shared" si="27"/>
        <v>1</v>
      </c>
      <c r="BB847" s="249">
        <v>0</v>
      </c>
      <c r="BC847" s="249">
        <f t="shared" si="26"/>
        <v>1980</v>
      </c>
    </row>
    <row r="848" spans="1:55" x14ac:dyDescent="0.25">
      <c r="A848" s="51" t="s">
        <v>1378</v>
      </c>
      <c r="B848" s="63" t="s">
        <v>1583</v>
      </c>
      <c r="C848" s="14" t="s">
        <v>351</v>
      </c>
      <c r="D848" s="15">
        <v>1994</v>
      </c>
      <c r="E848" s="15" t="s">
        <v>407</v>
      </c>
      <c r="F848" s="15"/>
      <c r="G848" s="15"/>
      <c r="H848" s="15"/>
      <c r="I848" s="15"/>
      <c r="J848" s="16">
        <v>1392000</v>
      </c>
      <c r="K848" s="15" t="s">
        <v>328</v>
      </c>
      <c r="L848" s="15"/>
      <c r="M848" s="15"/>
      <c r="N848" s="16">
        <v>4000</v>
      </c>
      <c r="O848" s="21">
        <v>0.5</v>
      </c>
      <c r="P848" s="15">
        <v>2</v>
      </c>
      <c r="Q848" s="15">
        <v>250</v>
      </c>
      <c r="R848" s="16">
        <v>750</v>
      </c>
      <c r="S848" s="15" t="s">
        <v>340</v>
      </c>
      <c r="T848" s="15">
        <v>1.5</v>
      </c>
      <c r="U848" s="15">
        <v>2.5</v>
      </c>
      <c r="V848" s="27">
        <v>570</v>
      </c>
      <c r="W848" s="22">
        <v>8000</v>
      </c>
      <c r="X848" s="15" t="s">
        <v>328</v>
      </c>
      <c r="Y848" s="15"/>
      <c r="Z848" s="15"/>
      <c r="AA848" s="15"/>
      <c r="AB848" s="15"/>
      <c r="AC848" s="15"/>
      <c r="AD848" s="15" t="s">
        <v>328</v>
      </c>
      <c r="AE848" s="15" t="s">
        <v>328</v>
      </c>
      <c r="AF848" s="15"/>
      <c r="AG848" s="15"/>
      <c r="AH848" s="15"/>
      <c r="AI848" s="15" t="s">
        <v>328</v>
      </c>
      <c r="AJ848" s="15" t="s">
        <v>328</v>
      </c>
      <c r="AK848" s="15"/>
      <c r="AL848" s="15"/>
      <c r="AM848" s="15"/>
      <c r="AN848" s="16">
        <v>12000</v>
      </c>
      <c r="AO848" s="16">
        <v>40000</v>
      </c>
      <c r="AP848" s="16">
        <v>60000</v>
      </c>
      <c r="AQ848" s="16">
        <v>125000</v>
      </c>
      <c r="AR848" s="16">
        <v>40000</v>
      </c>
      <c r="AS848" s="22">
        <v>114000</v>
      </c>
      <c r="AT848" s="22">
        <v>0</v>
      </c>
      <c r="AU848" s="22">
        <v>48000</v>
      </c>
      <c r="AV848" s="22">
        <v>30000</v>
      </c>
      <c r="AW848" s="22">
        <v>15000</v>
      </c>
      <c r="AX848" s="66">
        <v>0</v>
      </c>
      <c r="AZ848" s="15"/>
      <c r="BA848" s="249">
        <f t="shared" si="27"/>
        <v>3</v>
      </c>
      <c r="BB848" s="249">
        <v>0</v>
      </c>
      <c r="BC848" s="249">
        <f t="shared" si="26"/>
        <v>1994</v>
      </c>
    </row>
    <row r="849" spans="1:55" x14ac:dyDescent="0.25">
      <c r="A849" s="51" t="s">
        <v>1378</v>
      </c>
      <c r="B849" s="63" t="s">
        <v>1583</v>
      </c>
      <c r="C849" s="14" t="s">
        <v>351</v>
      </c>
      <c r="D849" s="15">
        <v>1980</v>
      </c>
      <c r="E849" s="15" t="s">
        <v>407</v>
      </c>
      <c r="F849" s="15"/>
      <c r="G849" s="15"/>
      <c r="H849" s="15"/>
      <c r="I849" s="15"/>
      <c r="J849" s="16">
        <v>1584000</v>
      </c>
      <c r="K849" s="15"/>
      <c r="L849" s="15"/>
      <c r="M849" s="15" t="s">
        <v>328</v>
      </c>
      <c r="N849" s="16">
        <v>4000</v>
      </c>
      <c r="O849" s="21">
        <v>0.5</v>
      </c>
      <c r="P849" s="15">
        <v>2</v>
      </c>
      <c r="Q849" s="15">
        <v>200</v>
      </c>
      <c r="R849" s="16">
        <v>600</v>
      </c>
      <c r="S849" s="15" t="s">
        <v>340</v>
      </c>
      <c r="T849" s="15">
        <v>1.5</v>
      </c>
      <c r="U849" s="15">
        <v>2.5</v>
      </c>
      <c r="V849" s="27">
        <v>570</v>
      </c>
      <c r="W849" s="22">
        <v>8000</v>
      </c>
      <c r="X849" s="15"/>
      <c r="Y849" s="15"/>
      <c r="Z849" s="15"/>
      <c r="AA849" s="15"/>
      <c r="AB849" s="15"/>
      <c r="AC849" s="15" t="s">
        <v>328</v>
      </c>
      <c r="AD849" s="15"/>
      <c r="AE849" s="15" t="s">
        <v>328</v>
      </c>
      <c r="AF849" s="15"/>
      <c r="AG849" s="15"/>
      <c r="AH849" s="15"/>
      <c r="AI849" s="15" t="s">
        <v>328</v>
      </c>
      <c r="AJ849" s="15"/>
      <c r="AK849" s="15"/>
      <c r="AL849" s="15"/>
      <c r="AM849" s="15"/>
      <c r="AN849" s="16">
        <v>12000</v>
      </c>
      <c r="AO849" s="16">
        <v>40000</v>
      </c>
      <c r="AP849" s="16">
        <v>60000</v>
      </c>
      <c r="AQ849" s="16">
        <v>125000</v>
      </c>
      <c r="AR849" s="16">
        <v>40000</v>
      </c>
      <c r="AS849" s="22">
        <v>114000</v>
      </c>
      <c r="AT849" s="22">
        <v>0</v>
      </c>
      <c r="AU849" s="22">
        <v>48000</v>
      </c>
      <c r="AV849" s="22">
        <v>30000</v>
      </c>
      <c r="AW849" s="22">
        <v>15000</v>
      </c>
      <c r="AX849" s="66">
        <v>0</v>
      </c>
      <c r="AZ849" s="15"/>
      <c r="BA849" s="249">
        <f t="shared" si="27"/>
        <v>3</v>
      </c>
      <c r="BB849" s="249">
        <v>0</v>
      </c>
      <c r="BC849" s="249">
        <f t="shared" si="26"/>
        <v>1980</v>
      </c>
    </row>
    <row r="850" spans="1:55" x14ac:dyDescent="0.25">
      <c r="A850" s="51" t="s">
        <v>1378</v>
      </c>
      <c r="B850" s="63" t="s">
        <v>1583</v>
      </c>
      <c r="C850" s="14" t="s">
        <v>351</v>
      </c>
      <c r="D850" s="15">
        <v>1991</v>
      </c>
      <c r="E850" s="15" t="s">
        <v>407</v>
      </c>
      <c r="F850" s="15"/>
      <c r="G850" s="15"/>
      <c r="H850" s="15"/>
      <c r="I850" s="15"/>
      <c r="J850" s="16">
        <v>1056000</v>
      </c>
      <c r="K850" s="15"/>
      <c r="L850" s="15"/>
      <c r="M850" s="15" t="s">
        <v>328</v>
      </c>
      <c r="N850" s="16">
        <v>4000</v>
      </c>
      <c r="O850" s="21">
        <v>0.5</v>
      </c>
      <c r="P850" s="15">
        <v>2</v>
      </c>
      <c r="Q850" s="15">
        <v>600</v>
      </c>
      <c r="R850" s="16">
        <v>1800</v>
      </c>
      <c r="S850" s="15" t="s">
        <v>340</v>
      </c>
      <c r="T850" s="15">
        <v>1.5</v>
      </c>
      <c r="U850" s="15">
        <v>2.5</v>
      </c>
      <c r="V850" s="27">
        <v>570</v>
      </c>
      <c r="W850" s="22">
        <v>8000</v>
      </c>
      <c r="X850" s="15"/>
      <c r="Y850" s="15"/>
      <c r="Z850" s="15"/>
      <c r="AA850" s="15"/>
      <c r="AB850" s="15" t="s">
        <v>328</v>
      </c>
      <c r="AC850" s="15"/>
      <c r="AD850" s="15"/>
      <c r="AE850" s="15" t="s">
        <v>328</v>
      </c>
      <c r="AF850" s="15"/>
      <c r="AG850" s="15"/>
      <c r="AH850" s="15"/>
      <c r="AI850" s="15" t="s">
        <v>328</v>
      </c>
      <c r="AJ850" s="15"/>
      <c r="AK850" s="15"/>
      <c r="AL850" s="15"/>
      <c r="AM850" s="15"/>
      <c r="AN850" s="16">
        <v>12000</v>
      </c>
      <c r="AO850" s="16">
        <v>40000</v>
      </c>
      <c r="AP850" s="16">
        <v>60000</v>
      </c>
      <c r="AQ850" s="16">
        <v>125000</v>
      </c>
      <c r="AR850" s="16">
        <v>40000</v>
      </c>
      <c r="AS850" s="22">
        <v>114000</v>
      </c>
      <c r="AT850" s="22">
        <v>0</v>
      </c>
      <c r="AU850" s="22">
        <v>48000</v>
      </c>
      <c r="AV850" s="22">
        <v>30000</v>
      </c>
      <c r="AW850" s="22">
        <v>15000</v>
      </c>
      <c r="AX850" s="66">
        <v>0</v>
      </c>
      <c r="AZ850" s="15"/>
      <c r="BA850" s="249">
        <f t="shared" si="27"/>
        <v>3</v>
      </c>
      <c r="BB850" s="249">
        <v>0</v>
      </c>
      <c r="BC850" s="249">
        <f t="shared" si="26"/>
        <v>1991</v>
      </c>
    </row>
    <row r="851" spans="1:55" x14ac:dyDescent="0.25">
      <c r="A851" s="51" t="s">
        <v>1378</v>
      </c>
      <c r="B851" s="63" t="s">
        <v>1584</v>
      </c>
      <c r="C851" s="14" t="s">
        <v>351</v>
      </c>
      <c r="D851" s="15">
        <v>1994</v>
      </c>
      <c r="E851" s="15" t="s">
        <v>581</v>
      </c>
      <c r="F851" s="15"/>
      <c r="G851" s="15"/>
      <c r="H851" s="15"/>
      <c r="I851" s="15"/>
      <c r="J851" s="16">
        <v>912000</v>
      </c>
      <c r="K851" s="15"/>
      <c r="L851" s="15"/>
      <c r="M851" s="15" t="s">
        <v>328</v>
      </c>
      <c r="N851" s="16">
        <v>4000</v>
      </c>
      <c r="O851" s="21">
        <v>0.5</v>
      </c>
      <c r="P851" s="15">
        <v>2</v>
      </c>
      <c r="Q851" s="15">
        <v>200</v>
      </c>
      <c r="R851" s="16">
        <v>600</v>
      </c>
      <c r="S851" s="15" t="s">
        <v>340</v>
      </c>
      <c r="T851" s="15">
        <v>1.5</v>
      </c>
      <c r="U851" s="15">
        <v>2.5</v>
      </c>
      <c r="V851" s="27">
        <v>570</v>
      </c>
      <c r="W851" s="22">
        <v>8000</v>
      </c>
      <c r="X851" s="15" t="s">
        <v>328</v>
      </c>
      <c r="Y851" s="15"/>
      <c r="Z851" s="15"/>
      <c r="AA851" s="15"/>
      <c r="AB851" s="15"/>
      <c r="AC851" s="15"/>
      <c r="AD851" s="15"/>
      <c r="AE851" s="15" t="s">
        <v>328</v>
      </c>
      <c r="AF851" s="15"/>
      <c r="AG851" s="15"/>
      <c r="AH851" s="15"/>
      <c r="AI851" s="15" t="s">
        <v>328</v>
      </c>
      <c r="AJ851" s="15" t="s">
        <v>328</v>
      </c>
      <c r="AK851" s="15"/>
      <c r="AL851" s="15"/>
      <c r="AM851" s="15"/>
      <c r="AN851" s="16">
        <v>15000</v>
      </c>
      <c r="AO851" s="16">
        <v>60000</v>
      </c>
      <c r="AP851" s="16">
        <v>80000</v>
      </c>
      <c r="AQ851" s="16">
        <v>100000</v>
      </c>
      <c r="AR851" s="16">
        <v>15000</v>
      </c>
      <c r="AS851" s="22">
        <v>102000</v>
      </c>
      <c r="AT851" s="22">
        <v>0</v>
      </c>
      <c r="AU851" s="22">
        <v>35000</v>
      </c>
      <c r="AV851" s="22">
        <v>18000</v>
      </c>
      <c r="AW851" s="22">
        <v>9500</v>
      </c>
      <c r="AX851" s="66">
        <v>0</v>
      </c>
      <c r="AZ851" s="15"/>
      <c r="BA851" s="249">
        <f t="shared" si="27"/>
        <v>3</v>
      </c>
      <c r="BB851" s="249">
        <v>0</v>
      </c>
      <c r="BC851" s="249">
        <f t="shared" si="26"/>
        <v>1994</v>
      </c>
    </row>
    <row r="852" spans="1:55" x14ac:dyDescent="0.25">
      <c r="A852" s="51" t="s">
        <v>1378</v>
      </c>
      <c r="B852" s="63" t="s">
        <v>1584</v>
      </c>
      <c r="C852" s="14" t="s">
        <v>351</v>
      </c>
      <c r="D852" s="15">
        <v>1996</v>
      </c>
      <c r="E852" s="15" t="s">
        <v>374</v>
      </c>
      <c r="F852" s="15"/>
      <c r="G852" s="15"/>
      <c r="H852" s="15"/>
      <c r="I852" s="15"/>
      <c r="J852" s="16">
        <v>816000</v>
      </c>
      <c r="K852" s="15"/>
      <c r="L852" s="15"/>
      <c r="M852" s="15" t="s">
        <v>328</v>
      </c>
      <c r="N852" s="16">
        <v>4000</v>
      </c>
      <c r="O852" s="21">
        <v>0.5</v>
      </c>
      <c r="P852" s="15">
        <v>2</v>
      </c>
      <c r="Q852" s="15">
        <v>200</v>
      </c>
      <c r="R852" s="16">
        <v>600</v>
      </c>
      <c r="S852" s="15" t="s">
        <v>340</v>
      </c>
      <c r="T852" s="15">
        <v>1.5</v>
      </c>
      <c r="U852" s="15">
        <v>2.5</v>
      </c>
      <c r="V852" s="27">
        <v>570</v>
      </c>
      <c r="W852" s="22">
        <v>8000</v>
      </c>
      <c r="X852" s="15"/>
      <c r="Y852" s="15"/>
      <c r="Z852" s="15"/>
      <c r="AA852" s="15"/>
      <c r="AB852" s="15"/>
      <c r="AC852" s="15" t="s">
        <v>328</v>
      </c>
      <c r="AD852" s="15"/>
      <c r="AE852" s="15" t="s">
        <v>328</v>
      </c>
      <c r="AF852" s="15"/>
      <c r="AG852" s="15"/>
      <c r="AH852" s="15"/>
      <c r="AI852" s="15" t="s">
        <v>328</v>
      </c>
      <c r="AJ852" s="15" t="s">
        <v>328</v>
      </c>
      <c r="AK852" s="15"/>
      <c r="AL852" s="15"/>
      <c r="AM852" s="15"/>
      <c r="AN852" s="16">
        <v>15000</v>
      </c>
      <c r="AO852" s="16">
        <v>60000</v>
      </c>
      <c r="AP852" s="16">
        <v>80000</v>
      </c>
      <c r="AQ852" s="16">
        <v>100000</v>
      </c>
      <c r="AR852" s="16">
        <v>15000</v>
      </c>
      <c r="AS852" s="22">
        <v>102000</v>
      </c>
      <c r="AT852" s="22">
        <v>0</v>
      </c>
      <c r="AU852" s="22">
        <v>35000</v>
      </c>
      <c r="AV852" s="22">
        <v>18000</v>
      </c>
      <c r="AW852" s="22">
        <v>9500</v>
      </c>
      <c r="AX852" s="66">
        <v>0</v>
      </c>
      <c r="AZ852" s="15"/>
      <c r="BA852" s="249">
        <f t="shared" si="27"/>
        <v>3</v>
      </c>
      <c r="BB852" s="249">
        <v>0</v>
      </c>
      <c r="BC852" s="249">
        <f t="shared" si="26"/>
        <v>1996</v>
      </c>
    </row>
    <row r="853" spans="1:55" x14ac:dyDescent="0.25">
      <c r="A853" s="51" t="s">
        <v>1378</v>
      </c>
      <c r="B853" s="63" t="s">
        <v>1584</v>
      </c>
      <c r="C853" s="14" t="s">
        <v>351</v>
      </c>
      <c r="D853" s="15">
        <v>1998</v>
      </c>
      <c r="E853" s="15" t="s">
        <v>407</v>
      </c>
      <c r="F853" s="15"/>
      <c r="G853" s="15"/>
      <c r="H853" s="15"/>
      <c r="I853" s="15"/>
      <c r="J853" s="16">
        <v>720000</v>
      </c>
      <c r="K853" s="15" t="s">
        <v>328</v>
      </c>
      <c r="L853" s="15"/>
      <c r="M853" s="15"/>
      <c r="N853" s="16">
        <v>2000</v>
      </c>
      <c r="O853" s="21">
        <v>0.5</v>
      </c>
      <c r="P853" s="15">
        <v>2</v>
      </c>
      <c r="Q853" s="15">
        <v>600</v>
      </c>
      <c r="R853" s="16">
        <v>1800</v>
      </c>
      <c r="S853" s="15" t="s">
        <v>340</v>
      </c>
      <c r="T853" s="15">
        <v>1.5</v>
      </c>
      <c r="U853" s="15">
        <v>2.5</v>
      </c>
      <c r="V853" s="27">
        <v>300</v>
      </c>
      <c r="W853" s="22">
        <v>4000</v>
      </c>
      <c r="X853" s="15"/>
      <c r="Y853" s="15"/>
      <c r="Z853" s="15"/>
      <c r="AA853" s="15"/>
      <c r="AB853" s="15"/>
      <c r="AC853" s="15" t="s">
        <v>328</v>
      </c>
      <c r="AD853" s="15" t="s">
        <v>328</v>
      </c>
      <c r="AE853" s="15" t="s">
        <v>328</v>
      </c>
      <c r="AF853" s="15"/>
      <c r="AG853" s="15"/>
      <c r="AH853" s="15"/>
      <c r="AI853" s="15" t="s">
        <v>328</v>
      </c>
      <c r="AJ853" s="15" t="s">
        <v>328</v>
      </c>
      <c r="AK853" s="15"/>
      <c r="AL853" s="15"/>
      <c r="AM853" s="15"/>
      <c r="AN853" s="16">
        <v>15000</v>
      </c>
      <c r="AO853" s="16">
        <v>60000</v>
      </c>
      <c r="AP853" s="16">
        <v>80000</v>
      </c>
      <c r="AQ853" s="16">
        <v>100000</v>
      </c>
      <c r="AR853" s="16">
        <v>15000</v>
      </c>
      <c r="AS853" s="22">
        <v>102000</v>
      </c>
      <c r="AT853" s="22">
        <v>0</v>
      </c>
      <c r="AU853" s="22">
        <v>35000</v>
      </c>
      <c r="AV853" s="22">
        <v>18000</v>
      </c>
      <c r="AW853" s="22">
        <v>9500</v>
      </c>
      <c r="AX853" s="66">
        <v>0</v>
      </c>
      <c r="AZ853" s="15"/>
      <c r="BA853" s="249">
        <f t="shared" si="27"/>
        <v>3</v>
      </c>
      <c r="BB853" s="249">
        <v>0</v>
      </c>
      <c r="BC853" s="249">
        <f t="shared" si="26"/>
        <v>1998</v>
      </c>
    </row>
    <row r="854" spans="1:55" x14ac:dyDescent="0.25">
      <c r="A854" s="51" t="s">
        <v>1378</v>
      </c>
      <c r="B854" s="63" t="s">
        <v>1585</v>
      </c>
      <c r="C854" s="14" t="s">
        <v>351</v>
      </c>
      <c r="D854" s="15">
        <v>1994</v>
      </c>
      <c r="E854" s="15" t="s">
        <v>407</v>
      </c>
      <c r="F854" s="15"/>
      <c r="G854" s="15"/>
      <c r="H854" s="15"/>
      <c r="I854" s="15"/>
      <c r="J854" s="16">
        <v>720000</v>
      </c>
      <c r="K854" s="15"/>
      <c r="L854" s="15"/>
      <c r="M854" s="15" t="s">
        <v>328</v>
      </c>
      <c r="N854" s="16">
        <v>4000</v>
      </c>
      <c r="O854" s="21">
        <v>0.3</v>
      </c>
      <c r="P854" s="15">
        <v>2</v>
      </c>
      <c r="Q854" s="15">
        <v>250</v>
      </c>
      <c r="R854" s="16">
        <v>1000</v>
      </c>
      <c r="S854" s="15" t="s">
        <v>340</v>
      </c>
      <c r="T854" s="15">
        <v>2</v>
      </c>
      <c r="U854" s="15">
        <v>2.5</v>
      </c>
      <c r="V854" s="27">
        <v>2000</v>
      </c>
      <c r="W854" s="22">
        <v>28000</v>
      </c>
      <c r="X854" s="15"/>
      <c r="Y854" s="15"/>
      <c r="Z854" s="15"/>
      <c r="AA854" s="15"/>
      <c r="AB854" s="15" t="s">
        <v>328</v>
      </c>
      <c r="AC854" s="15"/>
      <c r="AD854" s="15" t="s">
        <v>328</v>
      </c>
      <c r="AE854" s="15" t="s">
        <v>328</v>
      </c>
      <c r="AF854" s="15"/>
      <c r="AG854" s="15"/>
      <c r="AH854" s="15"/>
      <c r="AI854" s="15"/>
      <c r="AJ854" s="15"/>
      <c r="AK854" s="15"/>
      <c r="AL854" s="15"/>
      <c r="AM854" s="15"/>
      <c r="AN854" s="16">
        <v>25000</v>
      </c>
      <c r="AO854" s="16">
        <v>80000</v>
      </c>
      <c r="AP854" s="16">
        <v>50000</v>
      </c>
      <c r="AQ854" s="16">
        <v>130000</v>
      </c>
      <c r="AR854" s="16">
        <v>25000</v>
      </c>
      <c r="AS854" s="22">
        <v>90000</v>
      </c>
      <c r="AT854" s="22">
        <v>0</v>
      </c>
      <c r="AU854" s="22">
        <v>40000</v>
      </c>
      <c r="AV854" s="22">
        <v>12000</v>
      </c>
      <c r="AW854" s="22">
        <v>6500</v>
      </c>
      <c r="AX854" s="66">
        <v>0</v>
      </c>
      <c r="AZ854" s="15"/>
      <c r="BA854" s="249">
        <f t="shared" si="27"/>
        <v>3</v>
      </c>
      <c r="BB854" s="249">
        <v>0</v>
      </c>
      <c r="BC854" s="249">
        <f t="shared" si="26"/>
        <v>1994</v>
      </c>
    </row>
    <row r="855" spans="1:55" x14ac:dyDescent="0.25">
      <c r="A855" s="51" t="s">
        <v>1378</v>
      </c>
      <c r="B855" s="63" t="s">
        <v>1585</v>
      </c>
      <c r="C855" s="14" t="s">
        <v>351</v>
      </c>
      <c r="D855" s="15">
        <v>1994</v>
      </c>
      <c r="E855" s="15" t="s">
        <v>475</v>
      </c>
      <c r="F855" s="15"/>
      <c r="G855" s="15"/>
      <c r="H855" s="15"/>
      <c r="I855" s="15"/>
      <c r="J855" s="16">
        <v>720000</v>
      </c>
      <c r="K855" s="15"/>
      <c r="L855" s="15"/>
      <c r="M855" s="15" t="s">
        <v>328</v>
      </c>
      <c r="N855" s="16">
        <v>2000</v>
      </c>
      <c r="O855" s="21">
        <v>0.3</v>
      </c>
      <c r="P855" s="15">
        <v>2</v>
      </c>
      <c r="Q855" s="15">
        <v>600</v>
      </c>
      <c r="R855" s="16">
        <v>2400</v>
      </c>
      <c r="S855" s="15" t="s">
        <v>340</v>
      </c>
      <c r="T855" s="15">
        <v>2</v>
      </c>
      <c r="U855" s="15">
        <v>2.5</v>
      </c>
      <c r="V855" s="27">
        <v>1100</v>
      </c>
      <c r="W855" s="22">
        <v>15000</v>
      </c>
      <c r="X855" s="15"/>
      <c r="Y855" s="15"/>
      <c r="Z855" s="15"/>
      <c r="AA855" s="15"/>
      <c r="AB855" s="15" t="s">
        <v>328</v>
      </c>
      <c r="AC855" s="15"/>
      <c r="AD855" s="15" t="s">
        <v>328</v>
      </c>
      <c r="AE855" s="15" t="s">
        <v>328</v>
      </c>
      <c r="AF855" s="15"/>
      <c r="AG855" s="15"/>
      <c r="AH855" s="15"/>
      <c r="AI855" s="15"/>
      <c r="AJ855" s="15"/>
      <c r="AK855" s="15"/>
      <c r="AL855" s="15"/>
      <c r="AM855" s="15"/>
      <c r="AN855" s="16">
        <v>25000</v>
      </c>
      <c r="AO855" s="16">
        <v>80000</v>
      </c>
      <c r="AP855" s="16">
        <v>50000</v>
      </c>
      <c r="AQ855" s="16">
        <v>130000</v>
      </c>
      <c r="AR855" s="16">
        <v>25000</v>
      </c>
      <c r="AS855" s="22">
        <v>90000</v>
      </c>
      <c r="AT855" s="22">
        <v>0</v>
      </c>
      <c r="AU855" s="22">
        <v>40000</v>
      </c>
      <c r="AV855" s="22">
        <v>12000</v>
      </c>
      <c r="AW855" s="22">
        <v>6500</v>
      </c>
      <c r="AX855" s="66">
        <v>0</v>
      </c>
      <c r="AZ855" s="15"/>
      <c r="BA855" s="249">
        <f t="shared" si="27"/>
        <v>3</v>
      </c>
      <c r="BB855" s="249">
        <v>0</v>
      </c>
      <c r="BC855" s="249">
        <f t="shared" si="26"/>
        <v>1994</v>
      </c>
    </row>
    <row r="856" spans="1:55" x14ac:dyDescent="0.25">
      <c r="A856" s="51" t="s">
        <v>1378</v>
      </c>
      <c r="B856" s="63" t="s">
        <v>1585</v>
      </c>
      <c r="C856" s="14" t="s">
        <v>351</v>
      </c>
      <c r="D856" s="15">
        <v>1983</v>
      </c>
      <c r="E856" s="15" t="s">
        <v>407</v>
      </c>
      <c r="F856" s="15"/>
      <c r="G856" s="15"/>
      <c r="H856" s="15"/>
      <c r="I856" s="15"/>
      <c r="J856" s="16">
        <v>720000</v>
      </c>
      <c r="K856" s="15"/>
      <c r="L856" s="15"/>
      <c r="M856" s="15" t="s">
        <v>328</v>
      </c>
      <c r="N856" s="16">
        <v>4000</v>
      </c>
      <c r="O856" s="21">
        <v>0.3</v>
      </c>
      <c r="P856" s="15">
        <v>2</v>
      </c>
      <c r="Q856" s="15">
        <v>500</v>
      </c>
      <c r="R856" s="16">
        <v>2000</v>
      </c>
      <c r="S856" s="15" t="s">
        <v>340</v>
      </c>
      <c r="T856" s="15">
        <v>2</v>
      </c>
      <c r="U856" s="15">
        <v>2.5</v>
      </c>
      <c r="V856" s="27">
        <v>2000</v>
      </c>
      <c r="W856" s="22">
        <v>28000</v>
      </c>
      <c r="X856" s="15"/>
      <c r="Y856" s="15"/>
      <c r="Z856" s="15"/>
      <c r="AA856" s="15"/>
      <c r="AB856" s="15" t="s">
        <v>328</v>
      </c>
      <c r="AC856" s="15"/>
      <c r="AD856" s="15" t="s">
        <v>328</v>
      </c>
      <c r="AE856" s="15" t="s">
        <v>328</v>
      </c>
      <c r="AF856" s="15"/>
      <c r="AG856" s="15"/>
      <c r="AH856" s="15"/>
      <c r="AI856" s="15"/>
      <c r="AJ856" s="15" t="s">
        <v>328</v>
      </c>
      <c r="AK856" s="15"/>
      <c r="AL856" s="15"/>
      <c r="AM856" s="15"/>
      <c r="AN856" s="16">
        <v>25000</v>
      </c>
      <c r="AO856" s="16">
        <v>80000</v>
      </c>
      <c r="AP856" s="16">
        <v>50000</v>
      </c>
      <c r="AQ856" s="16">
        <v>130000</v>
      </c>
      <c r="AR856" s="16">
        <v>25000</v>
      </c>
      <c r="AS856" s="22">
        <v>90000</v>
      </c>
      <c r="AT856" s="22">
        <v>0</v>
      </c>
      <c r="AU856" s="22">
        <v>40000</v>
      </c>
      <c r="AV856" s="22">
        <v>12000</v>
      </c>
      <c r="AW856" s="22">
        <v>6500</v>
      </c>
      <c r="AX856" s="66">
        <v>0</v>
      </c>
      <c r="AZ856" s="15"/>
      <c r="BA856" s="249">
        <f t="shared" si="27"/>
        <v>3</v>
      </c>
      <c r="BB856" s="249">
        <v>0</v>
      </c>
      <c r="BC856" s="249">
        <f t="shared" si="26"/>
        <v>1983</v>
      </c>
    </row>
    <row r="857" spans="1:55" x14ac:dyDescent="0.25">
      <c r="A857" s="51" t="s">
        <v>1378</v>
      </c>
      <c r="B857" s="63" t="s">
        <v>1586</v>
      </c>
      <c r="C857" s="14" t="s">
        <v>351</v>
      </c>
      <c r="D857" s="15">
        <v>1994</v>
      </c>
      <c r="E857" s="15" t="s">
        <v>581</v>
      </c>
      <c r="F857" s="15"/>
      <c r="G857" s="15"/>
      <c r="H857" s="15"/>
      <c r="I857" s="15"/>
      <c r="J857" s="16">
        <v>342000</v>
      </c>
      <c r="K857" s="15"/>
      <c r="L857" s="15"/>
      <c r="M857" s="15" t="s">
        <v>328</v>
      </c>
      <c r="N857" s="16">
        <v>1500</v>
      </c>
      <c r="O857" s="21">
        <v>0.5</v>
      </c>
      <c r="P857" s="15">
        <v>2</v>
      </c>
      <c r="Q857" s="15">
        <v>200</v>
      </c>
      <c r="R857" s="16">
        <v>919.99999999999989</v>
      </c>
      <c r="S857" s="15" t="s">
        <v>340</v>
      </c>
      <c r="T857" s="15">
        <v>2.2999999999999998</v>
      </c>
      <c r="U857" s="15">
        <v>2.7</v>
      </c>
      <c r="V857" s="27">
        <v>600</v>
      </c>
      <c r="W857" s="22">
        <v>8500</v>
      </c>
      <c r="X857" s="15" t="s">
        <v>328</v>
      </c>
      <c r="Y857" s="15"/>
      <c r="Z857" s="15"/>
      <c r="AA857" s="15"/>
      <c r="AB857" s="15"/>
      <c r="AC857" s="15"/>
      <c r="AD857" s="15" t="s">
        <v>328</v>
      </c>
      <c r="AE857" s="15" t="s">
        <v>328</v>
      </c>
      <c r="AF857" s="15"/>
      <c r="AG857" s="15"/>
      <c r="AH857" s="15"/>
      <c r="AI857" s="15" t="s">
        <v>328</v>
      </c>
      <c r="AJ857" s="15"/>
      <c r="AK857" s="15"/>
      <c r="AL857" s="15" t="s">
        <v>328</v>
      </c>
      <c r="AM857" s="15"/>
      <c r="AN857" s="16">
        <v>40000</v>
      </c>
      <c r="AO857" s="16">
        <v>40000</v>
      </c>
      <c r="AP857" s="16">
        <v>65000</v>
      </c>
      <c r="AQ857" s="16">
        <v>90000</v>
      </c>
      <c r="AR857" s="16">
        <v>40000</v>
      </c>
      <c r="AS857" s="22">
        <v>0</v>
      </c>
      <c r="AT857" s="22">
        <v>0</v>
      </c>
      <c r="AU857" s="22">
        <v>55000</v>
      </c>
      <c r="AV857" s="22">
        <v>20000</v>
      </c>
      <c r="AW857" s="22">
        <v>10000</v>
      </c>
      <c r="AX857" s="66">
        <v>0</v>
      </c>
      <c r="AZ857" s="15"/>
      <c r="BA857" s="249">
        <f t="shared" si="27"/>
        <v>1</v>
      </c>
      <c r="BB857" s="249">
        <v>0</v>
      </c>
      <c r="BC857" s="249">
        <f t="shared" si="26"/>
        <v>1994</v>
      </c>
    </row>
    <row r="858" spans="1:55" x14ac:dyDescent="0.25">
      <c r="A858" s="51" t="s">
        <v>1378</v>
      </c>
      <c r="B858" s="63" t="s">
        <v>1587</v>
      </c>
      <c r="C858" s="15" t="s">
        <v>337</v>
      </c>
      <c r="D858" s="15">
        <v>1995</v>
      </c>
      <c r="E858" s="15" t="s">
        <v>407</v>
      </c>
      <c r="F858" s="15"/>
      <c r="G858" s="15"/>
      <c r="H858" s="15"/>
      <c r="I858" s="15"/>
      <c r="J858" s="16">
        <v>1080000</v>
      </c>
      <c r="K858" s="15"/>
      <c r="L858" s="15"/>
      <c r="M858" s="15" t="s">
        <v>328</v>
      </c>
      <c r="N858" s="16">
        <v>5000</v>
      </c>
      <c r="O858" s="21">
        <v>0.5</v>
      </c>
      <c r="P858" s="15">
        <v>2</v>
      </c>
      <c r="Q858" s="15">
        <v>250</v>
      </c>
      <c r="R858" s="16">
        <v>900</v>
      </c>
      <c r="S858" s="15" t="s">
        <v>340</v>
      </c>
      <c r="T858" s="15">
        <v>1.8</v>
      </c>
      <c r="U858" s="15">
        <v>2.1</v>
      </c>
      <c r="V858" s="27">
        <v>2500</v>
      </c>
      <c r="W858" s="22">
        <v>33000</v>
      </c>
      <c r="X858" s="15" t="s">
        <v>328</v>
      </c>
      <c r="Y858" s="15"/>
      <c r="Z858" s="15"/>
      <c r="AA858" s="15"/>
      <c r="AB858" s="15"/>
      <c r="AC858" s="15"/>
      <c r="AD858" s="15"/>
      <c r="AE858" s="15" t="s">
        <v>328</v>
      </c>
      <c r="AF858" s="15"/>
      <c r="AG858" s="15"/>
      <c r="AH858" s="15"/>
      <c r="AI858" s="15"/>
      <c r="AJ858" s="15"/>
      <c r="AK858" s="15"/>
      <c r="AL858" s="15"/>
      <c r="AM858" s="15"/>
      <c r="AN858" s="16">
        <v>20000</v>
      </c>
      <c r="AO858" s="16">
        <v>20000</v>
      </c>
      <c r="AP858" s="16">
        <v>200000</v>
      </c>
      <c r="AQ858" s="16">
        <v>120000</v>
      </c>
      <c r="AR858" s="16">
        <v>20000</v>
      </c>
      <c r="AS858" s="22">
        <v>108000</v>
      </c>
      <c r="AT858" s="22">
        <v>0</v>
      </c>
      <c r="AU858" s="22">
        <v>90000</v>
      </c>
      <c r="AV858" s="22">
        <v>20000</v>
      </c>
      <c r="AW858" s="22">
        <v>23000</v>
      </c>
      <c r="AX858" s="66">
        <v>0</v>
      </c>
      <c r="AZ858" s="15"/>
      <c r="BA858" s="249">
        <f t="shared" si="27"/>
        <v>2</v>
      </c>
      <c r="BB858" s="249">
        <v>0</v>
      </c>
      <c r="BC858" s="249">
        <f t="shared" si="26"/>
        <v>1995</v>
      </c>
    </row>
    <row r="859" spans="1:55" x14ac:dyDescent="0.25">
      <c r="A859" s="51" t="s">
        <v>1378</v>
      </c>
      <c r="B859" s="63" t="s">
        <v>1587</v>
      </c>
      <c r="C859" s="15" t="s">
        <v>337</v>
      </c>
      <c r="D859" s="15">
        <v>1983</v>
      </c>
      <c r="E859" s="15" t="s">
        <v>581</v>
      </c>
      <c r="F859" s="15"/>
      <c r="G859" s="15"/>
      <c r="H859" s="15"/>
      <c r="I859" s="15"/>
      <c r="J859" s="16">
        <v>1800000</v>
      </c>
      <c r="K859" s="15"/>
      <c r="L859" s="15" t="s">
        <v>328</v>
      </c>
      <c r="M859" s="15"/>
      <c r="N859" s="16">
        <v>5000</v>
      </c>
      <c r="O859" s="21">
        <v>0.5</v>
      </c>
      <c r="P859" s="15">
        <v>2</v>
      </c>
      <c r="Q859" s="15">
        <v>200</v>
      </c>
      <c r="R859" s="16">
        <v>720</v>
      </c>
      <c r="S859" s="15" t="s">
        <v>340</v>
      </c>
      <c r="T859" s="15">
        <v>1.8</v>
      </c>
      <c r="U859" s="15">
        <v>2.1</v>
      </c>
      <c r="V859" s="27">
        <v>2500</v>
      </c>
      <c r="W859" s="22">
        <v>33000</v>
      </c>
      <c r="X859" s="15"/>
      <c r="Y859" s="15"/>
      <c r="Z859" s="15"/>
      <c r="AA859" s="15"/>
      <c r="AB859" s="15" t="s">
        <v>328</v>
      </c>
      <c r="AC859" s="15"/>
      <c r="AD859" s="15" t="s">
        <v>328</v>
      </c>
      <c r="AE859" s="15" t="s">
        <v>328</v>
      </c>
      <c r="AF859" s="15"/>
      <c r="AG859" s="15"/>
      <c r="AH859" s="15"/>
      <c r="AI859" s="15"/>
      <c r="AJ859" s="15" t="s">
        <v>328</v>
      </c>
      <c r="AK859" s="15"/>
      <c r="AL859" s="15"/>
      <c r="AM859" s="15"/>
      <c r="AN859" s="16">
        <v>20000</v>
      </c>
      <c r="AO859" s="16">
        <v>20000</v>
      </c>
      <c r="AP859" s="16">
        <v>200000</v>
      </c>
      <c r="AQ859" s="16">
        <v>120000</v>
      </c>
      <c r="AR859" s="16">
        <v>20000</v>
      </c>
      <c r="AS859" s="22">
        <v>108000</v>
      </c>
      <c r="AT859" s="22">
        <v>0</v>
      </c>
      <c r="AU859" s="22">
        <v>90000</v>
      </c>
      <c r="AV859" s="22">
        <v>20000</v>
      </c>
      <c r="AW859" s="22">
        <v>23000</v>
      </c>
      <c r="AX859" s="66">
        <v>0</v>
      </c>
      <c r="AZ859" s="15"/>
      <c r="BA859" s="249">
        <f t="shared" si="27"/>
        <v>2</v>
      </c>
      <c r="BB859" s="249">
        <v>0</v>
      </c>
      <c r="BC859" s="249">
        <f t="shared" si="26"/>
        <v>1983</v>
      </c>
    </row>
    <row r="860" spans="1:55" x14ac:dyDescent="0.25">
      <c r="A860" s="51" t="s">
        <v>1378</v>
      </c>
      <c r="B860" s="63" t="s">
        <v>1588</v>
      </c>
      <c r="C860" s="15" t="s">
        <v>337</v>
      </c>
      <c r="D860" s="15">
        <v>1980</v>
      </c>
      <c r="E860" s="15" t="s">
        <v>581</v>
      </c>
      <c r="F860" s="15"/>
      <c r="G860" s="15"/>
      <c r="H860" s="15"/>
      <c r="I860" s="15"/>
      <c r="J860" s="16">
        <v>1584000</v>
      </c>
      <c r="K860" s="15" t="s">
        <v>328</v>
      </c>
      <c r="L860" s="15"/>
      <c r="M860" s="15"/>
      <c r="N860" s="16">
        <v>4000</v>
      </c>
      <c r="O860" s="21">
        <v>0.5</v>
      </c>
      <c r="P860" s="15">
        <v>2</v>
      </c>
      <c r="Q860" s="15">
        <v>250</v>
      </c>
      <c r="R860" s="16">
        <v>900</v>
      </c>
      <c r="S860" s="15" t="s">
        <v>340</v>
      </c>
      <c r="T860" s="15">
        <v>1.8</v>
      </c>
      <c r="U860" s="15">
        <v>2.5</v>
      </c>
      <c r="V860" s="27">
        <v>1800</v>
      </c>
      <c r="W860" s="22">
        <v>25000</v>
      </c>
      <c r="X860" s="15" t="s">
        <v>328</v>
      </c>
      <c r="Y860" s="15"/>
      <c r="Z860" s="15"/>
      <c r="AA860" s="15"/>
      <c r="AB860" s="15"/>
      <c r="AC860" s="15"/>
      <c r="AD860" s="15"/>
      <c r="AE860" s="15" t="s">
        <v>328</v>
      </c>
      <c r="AF860" s="15"/>
      <c r="AG860" s="15"/>
      <c r="AH860" s="15"/>
      <c r="AI860" s="15"/>
      <c r="AJ860" s="15"/>
      <c r="AK860" s="15"/>
      <c r="AL860" s="15" t="s">
        <v>328</v>
      </c>
      <c r="AM860" s="15"/>
      <c r="AN860" s="16">
        <v>30000</v>
      </c>
      <c r="AO860" s="16">
        <v>40000</v>
      </c>
      <c r="AP860" s="16">
        <v>80000</v>
      </c>
      <c r="AQ860" s="16">
        <v>130000</v>
      </c>
      <c r="AR860" s="16">
        <v>30000</v>
      </c>
      <c r="AS860" s="22">
        <v>72000</v>
      </c>
      <c r="AT860" s="22">
        <v>0</v>
      </c>
      <c r="AU860" s="22">
        <v>24000</v>
      </c>
      <c r="AV860" s="22">
        <v>24000</v>
      </c>
      <c r="AW860" s="22">
        <v>7200</v>
      </c>
      <c r="AX860" s="66">
        <v>0</v>
      </c>
      <c r="AZ860" s="15"/>
      <c r="BA860" s="249">
        <f t="shared" si="27"/>
        <v>1</v>
      </c>
      <c r="BB860" s="249">
        <v>0</v>
      </c>
      <c r="BC860" s="249">
        <f t="shared" si="26"/>
        <v>1980</v>
      </c>
    </row>
    <row r="861" spans="1:55" x14ac:dyDescent="0.25">
      <c r="A861" s="51" t="s">
        <v>1378</v>
      </c>
      <c r="B861" s="65" t="s">
        <v>1589</v>
      </c>
      <c r="C861" s="15" t="s">
        <v>337</v>
      </c>
      <c r="D861" s="15">
        <v>1980</v>
      </c>
      <c r="E861" s="15" t="s">
        <v>374</v>
      </c>
      <c r="F861" s="15"/>
      <c r="G861" s="15"/>
      <c r="H861" s="15"/>
      <c r="I861" s="15"/>
      <c r="J861" s="16">
        <v>1700000</v>
      </c>
      <c r="K861" s="15"/>
      <c r="L861" s="15"/>
      <c r="M861" s="15" t="s">
        <v>328</v>
      </c>
      <c r="N861" s="16">
        <v>4000</v>
      </c>
      <c r="O861" s="21">
        <v>0.5</v>
      </c>
      <c r="P861" s="15">
        <v>2</v>
      </c>
      <c r="Q861" s="15">
        <v>250</v>
      </c>
      <c r="R861" s="16">
        <v>950</v>
      </c>
      <c r="S861" s="15" t="s">
        <v>340</v>
      </c>
      <c r="T861" s="15">
        <v>1.9</v>
      </c>
      <c r="U861" s="15">
        <v>2.2999999999999998</v>
      </c>
      <c r="V861" s="27">
        <v>1950</v>
      </c>
      <c r="W861" s="22">
        <v>27000</v>
      </c>
      <c r="X861" s="15" t="s">
        <v>328</v>
      </c>
      <c r="Y861" s="15"/>
      <c r="Z861" s="15"/>
      <c r="AA861" s="15"/>
      <c r="AB861" s="15"/>
      <c r="AC861" s="15"/>
      <c r="AD861" s="15" t="s">
        <v>328</v>
      </c>
      <c r="AE861" s="15" t="s">
        <v>328</v>
      </c>
      <c r="AF861" s="15"/>
      <c r="AG861" s="15"/>
      <c r="AH861" s="15"/>
      <c r="AI861" s="15" t="s">
        <v>328</v>
      </c>
      <c r="AJ861" s="15" t="s">
        <v>328</v>
      </c>
      <c r="AK861" s="15"/>
      <c r="AL861" s="15"/>
      <c r="AM861" s="15"/>
      <c r="AN861" s="16">
        <v>10000</v>
      </c>
      <c r="AO861" s="16">
        <v>60000</v>
      </c>
      <c r="AP861" s="16">
        <v>60000</v>
      </c>
      <c r="AQ861" s="16">
        <v>140000</v>
      </c>
      <c r="AR861" s="16">
        <v>10000</v>
      </c>
      <c r="AS861" s="22">
        <v>90000</v>
      </c>
      <c r="AT861" s="22">
        <v>0</v>
      </c>
      <c r="AU861" s="22">
        <v>120000</v>
      </c>
      <c r="AV861" s="22">
        <v>24000</v>
      </c>
      <c r="AW861" s="22">
        <v>7200</v>
      </c>
      <c r="AX861" s="66">
        <v>0</v>
      </c>
      <c r="AZ861" s="15"/>
      <c r="BA861" s="249">
        <f t="shared" si="27"/>
        <v>2</v>
      </c>
      <c r="BB861" s="249">
        <v>0</v>
      </c>
      <c r="BC861" s="249">
        <f t="shared" si="26"/>
        <v>1980</v>
      </c>
    </row>
    <row r="862" spans="1:55" x14ac:dyDescent="0.25">
      <c r="A862" s="51" t="s">
        <v>1378</v>
      </c>
      <c r="B862" s="63" t="s">
        <v>1589</v>
      </c>
      <c r="C862" s="15" t="s">
        <v>337</v>
      </c>
      <c r="D862" s="15">
        <v>1996</v>
      </c>
      <c r="E862" s="15" t="s">
        <v>581</v>
      </c>
      <c r="F862" s="15"/>
      <c r="G862" s="15"/>
      <c r="H862" s="15"/>
      <c r="I862" s="15"/>
      <c r="J862" s="16">
        <v>408000</v>
      </c>
      <c r="K862" s="15"/>
      <c r="L862" s="15"/>
      <c r="M862" s="15" t="s">
        <v>328</v>
      </c>
      <c r="N862" s="16">
        <v>2000</v>
      </c>
      <c r="O862" s="21">
        <v>0.5</v>
      </c>
      <c r="P862" s="15">
        <v>2</v>
      </c>
      <c r="Q862" s="15">
        <v>200</v>
      </c>
      <c r="R862" s="16">
        <v>760</v>
      </c>
      <c r="S862" s="15" t="s">
        <v>340</v>
      </c>
      <c r="T862" s="15">
        <v>1.9</v>
      </c>
      <c r="U862" s="15">
        <v>2.2999999999999998</v>
      </c>
      <c r="V862" s="27">
        <v>1000</v>
      </c>
      <c r="W862" s="22">
        <v>14000</v>
      </c>
      <c r="X862" s="15"/>
      <c r="Y862" s="15"/>
      <c r="Z862" s="15"/>
      <c r="AA862" s="15"/>
      <c r="AB862" s="15"/>
      <c r="AC862" s="15" t="s">
        <v>328</v>
      </c>
      <c r="AD862" s="15"/>
      <c r="AE862" s="15" t="s">
        <v>328</v>
      </c>
      <c r="AF862" s="15"/>
      <c r="AG862" s="15"/>
      <c r="AH862" s="15"/>
      <c r="AI862" s="15" t="s">
        <v>328</v>
      </c>
      <c r="AJ862" s="15"/>
      <c r="AK862" s="15"/>
      <c r="AL862" s="15"/>
      <c r="AM862" s="15"/>
      <c r="AN862" s="16">
        <v>10000</v>
      </c>
      <c r="AO862" s="16">
        <v>60000</v>
      </c>
      <c r="AP862" s="16">
        <v>60000</v>
      </c>
      <c r="AQ862" s="16">
        <v>140000</v>
      </c>
      <c r="AR862" s="16">
        <v>10000</v>
      </c>
      <c r="AS862" s="22">
        <v>90000</v>
      </c>
      <c r="AT862" s="22">
        <v>0</v>
      </c>
      <c r="AU862" s="22">
        <v>60000</v>
      </c>
      <c r="AV862" s="22">
        <v>36000</v>
      </c>
      <c r="AW862" s="22">
        <v>9600</v>
      </c>
      <c r="AX862" s="66">
        <v>0</v>
      </c>
      <c r="AZ862" s="15"/>
      <c r="BA862" s="249">
        <f t="shared" si="27"/>
        <v>2</v>
      </c>
      <c r="BB862" s="249">
        <v>0</v>
      </c>
      <c r="BC862" s="249">
        <f t="shared" si="26"/>
        <v>1996</v>
      </c>
    </row>
    <row r="863" spans="1:55" x14ac:dyDescent="0.25">
      <c r="A863" s="51" t="s">
        <v>1378</v>
      </c>
      <c r="B863" s="63" t="s">
        <v>1590</v>
      </c>
      <c r="C863" s="14" t="s">
        <v>351</v>
      </c>
      <c r="D863" s="15">
        <v>1989</v>
      </c>
      <c r="E863" s="15" t="s">
        <v>374</v>
      </c>
      <c r="F863" s="15"/>
      <c r="G863" s="15"/>
      <c r="H863" s="15"/>
      <c r="I863" s="15"/>
      <c r="J863" s="16">
        <v>2880000</v>
      </c>
      <c r="K863" s="15"/>
      <c r="L863" s="15"/>
      <c r="M863" s="15" t="s">
        <v>328</v>
      </c>
      <c r="N863" s="16">
        <v>10000</v>
      </c>
      <c r="O863" s="21">
        <v>0.5</v>
      </c>
      <c r="P863" s="15">
        <v>2</v>
      </c>
      <c r="Q863" s="15">
        <v>200</v>
      </c>
      <c r="R863" s="16">
        <v>800</v>
      </c>
      <c r="S863" s="15" t="s">
        <v>340</v>
      </c>
      <c r="T863" s="15">
        <v>2</v>
      </c>
      <c r="U863" s="15">
        <v>2.5</v>
      </c>
      <c r="V863" s="27">
        <v>4300</v>
      </c>
      <c r="W863" s="22">
        <v>60000</v>
      </c>
      <c r="X863" s="15"/>
      <c r="Y863" s="15" t="s">
        <v>328</v>
      </c>
      <c r="Z863" s="15"/>
      <c r="AA863" s="15"/>
      <c r="AB863" s="15"/>
      <c r="AC863" s="15"/>
      <c r="AD863" s="15"/>
      <c r="AE863" s="15" t="s">
        <v>328</v>
      </c>
      <c r="AF863" s="15"/>
      <c r="AG863" s="15"/>
      <c r="AH863" s="15"/>
      <c r="AI863" s="15" t="s">
        <v>328</v>
      </c>
      <c r="AJ863" s="15"/>
      <c r="AK863" s="15"/>
      <c r="AL863" s="15"/>
      <c r="AM863" s="15"/>
      <c r="AN863" s="16">
        <v>10000</v>
      </c>
      <c r="AO863" s="16">
        <v>30000</v>
      </c>
      <c r="AP863" s="16">
        <v>40000</v>
      </c>
      <c r="AQ863" s="16">
        <v>40000</v>
      </c>
      <c r="AR863" s="16">
        <v>10000</v>
      </c>
      <c r="AS863" s="22">
        <v>0</v>
      </c>
      <c r="AT863" s="22">
        <v>0</v>
      </c>
      <c r="AU863" s="22">
        <v>48000</v>
      </c>
      <c r="AV863" s="22">
        <v>18000</v>
      </c>
      <c r="AW863" s="22">
        <v>0</v>
      </c>
      <c r="AX863" s="66">
        <v>0</v>
      </c>
      <c r="AZ863" s="15"/>
      <c r="BA863" s="249">
        <f t="shared" si="27"/>
        <v>1</v>
      </c>
      <c r="BB863" s="249">
        <v>0</v>
      </c>
      <c r="BC863" s="249">
        <f t="shared" si="26"/>
        <v>1989</v>
      </c>
    </row>
    <row r="864" spans="1:55" x14ac:dyDescent="0.25">
      <c r="A864" s="51" t="s">
        <v>1378</v>
      </c>
      <c r="B864" s="63" t="s">
        <v>1591</v>
      </c>
      <c r="C864" s="14" t="s">
        <v>351</v>
      </c>
      <c r="D864" s="15">
        <v>1984</v>
      </c>
      <c r="E864" s="15"/>
      <c r="F864" s="15"/>
      <c r="G864" s="15"/>
      <c r="H864" s="15">
        <v>2000</v>
      </c>
      <c r="I864" s="15" t="s">
        <v>374</v>
      </c>
      <c r="J864" s="16">
        <v>1800000</v>
      </c>
      <c r="K864" s="15"/>
      <c r="L864" s="15"/>
      <c r="M864" s="15" t="s">
        <v>328</v>
      </c>
      <c r="N864" s="16">
        <v>2000</v>
      </c>
      <c r="O864" s="21">
        <v>0.5</v>
      </c>
      <c r="P864" s="15">
        <v>2</v>
      </c>
      <c r="Q864" s="15">
        <v>200</v>
      </c>
      <c r="R864" s="16">
        <v>760</v>
      </c>
      <c r="S864" s="15" t="s">
        <v>340</v>
      </c>
      <c r="T864" s="15">
        <v>1.9</v>
      </c>
      <c r="U864" s="15">
        <v>2.4</v>
      </c>
      <c r="V864" s="27">
        <v>900</v>
      </c>
      <c r="W864" s="22">
        <v>12500</v>
      </c>
      <c r="X864" s="15"/>
      <c r="Y864" s="15" t="s">
        <v>328</v>
      </c>
      <c r="Z864" s="15"/>
      <c r="AA864" s="15"/>
      <c r="AB864" s="15"/>
      <c r="AC864" s="15"/>
      <c r="AD864" s="15"/>
      <c r="AE864" s="15" t="s">
        <v>328</v>
      </c>
      <c r="AF864" s="15"/>
      <c r="AG864" s="15"/>
      <c r="AH864" s="15" t="s">
        <v>328</v>
      </c>
      <c r="AI864" s="15"/>
      <c r="AJ864" s="15"/>
      <c r="AK864" s="15"/>
      <c r="AL864" s="15"/>
      <c r="AM864" s="15"/>
      <c r="AN864" s="16">
        <v>10000</v>
      </c>
      <c r="AO864" s="16">
        <v>40000</v>
      </c>
      <c r="AP864" s="16">
        <v>20000</v>
      </c>
      <c r="AQ864" s="16">
        <v>120000</v>
      </c>
      <c r="AR864" s="16">
        <v>20000</v>
      </c>
      <c r="AS864" s="22">
        <v>120000</v>
      </c>
      <c r="AT864" s="22">
        <v>0</v>
      </c>
      <c r="AU864" s="22">
        <v>25000</v>
      </c>
      <c r="AV864" s="22">
        <v>12000</v>
      </c>
      <c r="AW864" s="22">
        <v>0</v>
      </c>
      <c r="AX864" s="66">
        <v>0</v>
      </c>
      <c r="AZ864" s="15"/>
      <c r="BA864" s="249">
        <f t="shared" si="27"/>
        <v>1</v>
      </c>
      <c r="BB864" s="249">
        <v>0</v>
      </c>
      <c r="BC864" s="249">
        <f t="shared" si="26"/>
        <v>2000</v>
      </c>
    </row>
    <row r="865" spans="1:55" x14ac:dyDescent="0.25">
      <c r="A865" s="51" t="s">
        <v>1378</v>
      </c>
      <c r="B865" s="63" t="s">
        <v>1592</v>
      </c>
      <c r="C865" s="15" t="s">
        <v>337</v>
      </c>
      <c r="D865" s="15">
        <v>1970</v>
      </c>
      <c r="E865" s="15"/>
      <c r="F865" s="15"/>
      <c r="G865" s="15"/>
      <c r="H865" s="15">
        <v>1999</v>
      </c>
      <c r="I865" s="15" t="s">
        <v>581</v>
      </c>
      <c r="J865" s="16">
        <v>2100000</v>
      </c>
      <c r="K865" s="15"/>
      <c r="L865" s="15"/>
      <c r="M865" s="15" t="s">
        <v>328</v>
      </c>
      <c r="N865" s="16">
        <v>3500</v>
      </c>
      <c r="O865" s="21">
        <v>0.5</v>
      </c>
      <c r="P865" s="15">
        <v>2</v>
      </c>
      <c r="Q865" s="15">
        <v>200</v>
      </c>
      <c r="R865" s="16">
        <v>720</v>
      </c>
      <c r="S865" s="15" t="s">
        <v>340</v>
      </c>
      <c r="T865" s="15">
        <v>1.8</v>
      </c>
      <c r="U865" s="15">
        <v>2</v>
      </c>
      <c r="V865" s="27">
        <v>1600</v>
      </c>
      <c r="W865" s="22">
        <v>22000</v>
      </c>
      <c r="X865" s="15"/>
      <c r="Y865" s="15"/>
      <c r="Z865" s="15"/>
      <c r="AA865" s="15"/>
      <c r="AB865" s="15"/>
      <c r="AC865" s="15" t="s">
        <v>328</v>
      </c>
      <c r="AD865" s="15"/>
      <c r="AE865" s="15" t="s">
        <v>328</v>
      </c>
      <c r="AF865" s="15"/>
      <c r="AG865" s="15"/>
      <c r="AH865" s="15"/>
      <c r="AI865" s="15"/>
      <c r="AJ865" s="15"/>
      <c r="AK865" s="15"/>
      <c r="AL865" s="15"/>
      <c r="AM865" s="15"/>
      <c r="AN865" s="16">
        <v>10000</v>
      </c>
      <c r="AO865" s="16">
        <v>50000</v>
      </c>
      <c r="AP865" s="16">
        <v>30000</v>
      </c>
      <c r="AQ865" s="16">
        <v>90000</v>
      </c>
      <c r="AR865" s="16">
        <v>10000</v>
      </c>
      <c r="AS865" s="22">
        <v>0</v>
      </c>
      <c r="AT865" s="22">
        <v>0</v>
      </c>
      <c r="AU865" s="22">
        <v>48000</v>
      </c>
      <c r="AV865" s="22">
        <v>18000</v>
      </c>
      <c r="AW865" s="22">
        <v>0</v>
      </c>
      <c r="AX865" s="66">
        <v>0</v>
      </c>
      <c r="AZ865" s="15"/>
      <c r="BA865" s="249">
        <f t="shared" si="27"/>
        <v>1</v>
      </c>
      <c r="BB865" s="249">
        <v>0</v>
      </c>
      <c r="BC865" s="249">
        <f t="shared" si="26"/>
        <v>1999</v>
      </c>
    </row>
    <row r="866" spans="1:55" x14ac:dyDescent="0.25">
      <c r="A866" s="51" t="s">
        <v>1378</v>
      </c>
      <c r="B866" s="63" t="s">
        <v>1593</v>
      </c>
      <c r="C866" s="14" t="s">
        <v>351</v>
      </c>
      <c r="D866" s="15">
        <v>1983</v>
      </c>
      <c r="E866" s="15"/>
      <c r="F866" s="15">
        <v>2000</v>
      </c>
      <c r="G866" s="15" t="s">
        <v>349</v>
      </c>
      <c r="H866" s="15"/>
      <c r="I866" s="15"/>
      <c r="J866" s="16">
        <v>500000</v>
      </c>
      <c r="K866" s="15"/>
      <c r="L866" s="15"/>
      <c r="M866" s="15" t="s">
        <v>328</v>
      </c>
      <c r="N866" s="16">
        <v>2000</v>
      </c>
      <c r="O866" s="21">
        <v>0.5</v>
      </c>
      <c r="P866" s="15">
        <v>2</v>
      </c>
      <c r="Q866" s="15">
        <v>200</v>
      </c>
      <c r="R866" s="16">
        <v>800</v>
      </c>
      <c r="S866" s="15" t="s">
        <v>340</v>
      </c>
      <c r="T866" s="15">
        <v>2</v>
      </c>
      <c r="U866" s="15">
        <v>2.5</v>
      </c>
      <c r="V866" s="27">
        <v>900</v>
      </c>
      <c r="W866" s="22">
        <v>12500</v>
      </c>
      <c r="X866" s="15"/>
      <c r="Y866" s="15"/>
      <c r="Z866" s="15"/>
      <c r="AA866" s="15"/>
      <c r="AB866" s="15" t="s">
        <v>328</v>
      </c>
      <c r="AC866" s="15"/>
      <c r="AD866" s="15"/>
      <c r="AE866" s="15" t="s">
        <v>328</v>
      </c>
      <c r="AF866" s="15"/>
      <c r="AG866" s="15"/>
      <c r="AH866" s="15"/>
      <c r="AI866" s="15" t="s">
        <v>328</v>
      </c>
      <c r="AJ866" s="15"/>
      <c r="AK866" s="15"/>
      <c r="AL866" s="15"/>
      <c r="AM866" s="15"/>
      <c r="AN866" s="16">
        <v>15000</v>
      </c>
      <c r="AO866" s="16">
        <v>30000</v>
      </c>
      <c r="AP866" s="16">
        <v>60000</v>
      </c>
      <c r="AQ866" s="16">
        <v>95000</v>
      </c>
      <c r="AR866" s="16">
        <v>15000</v>
      </c>
      <c r="AS866" s="22">
        <v>0</v>
      </c>
      <c r="AT866" s="22">
        <v>0</v>
      </c>
      <c r="AU866" s="22">
        <v>48000</v>
      </c>
      <c r="AV866" s="22">
        <v>18000</v>
      </c>
      <c r="AW866" s="22">
        <v>0</v>
      </c>
      <c r="AX866" s="66">
        <v>0</v>
      </c>
      <c r="AZ866" s="15"/>
      <c r="BA866" s="249">
        <f t="shared" si="27"/>
        <v>1</v>
      </c>
      <c r="BB866" s="249">
        <v>0</v>
      </c>
      <c r="BC866" s="249">
        <f t="shared" si="26"/>
        <v>2000</v>
      </c>
    </row>
    <row r="867" spans="1:55" x14ac:dyDescent="0.25">
      <c r="A867" s="51" t="s">
        <v>1378</v>
      </c>
      <c r="B867" s="63" t="s">
        <v>1594</v>
      </c>
      <c r="C867" s="14" t="s">
        <v>351</v>
      </c>
      <c r="D867" s="15">
        <v>1983</v>
      </c>
      <c r="E867" s="15" t="s">
        <v>407</v>
      </c>
      <c r="F867" s="15"/>
      <c r="G867" s="15"/>
      <c r="H867" s="15"/>
      <c r="I867" s="15"/>
      <c r="J867" s="16">
        <v>1800000</v>
      </c>
      <c r="K867" s="15"/>
      <c r="L867" s="15"/>
      <c r="M867" s="15" t="s">
        <v>328</v>
      </c>
      <c r="N867" s="16">
        <v>5000</v>
      </c>
      <c r="O867" s="21">
        <v>0.5</v>
      </c>
      <c r="P867" s="15">
        <v>2</v>
      </c>
      <c r="Q867" s="15">
        <v>200</v>
      </c>
      <c r="R867" s="16">
        <v>840</v>
      </c>
      <c r="S867" s="15" t="s">
        <v>340</v>
      </c>
      <c r="T867" s="15">
        <v>2.1</v>
      </c>
      <c r="U867" s="15">
        <v>2.2999999999999998</v>
      </c>
      <c r="V867" s="27">
        <v>2200</v>
      </c>
      <c r="W867" s="22">
        <v>31000</v>
      </c>
      <c r="X867" s="15"/>
      <c r="Y867" s="15" t="s">
        <v>328</v>
      </c>
      <c r="Z867" s="15"/>
      <c r="AA867" s="15"/>
      <c r="AB867" s="15"/>
      <c r="AC867" s="15"/>
      <c r="AD867" s="15"/>
      <c r="AE867" s="15"/>
      <c r="AF867" s="15"/>
      <c r="AG867" s="15"/>
      <c r="AH867" s="15"/>
      <c r="AI867" s="15" t="s">
        <v>328</v>
      </c>
      <c r="AJ867" s="15"/>
      <c r="AK867" s="15"/>
      <c r="AL867" s="15"/>
      <c r="AM867" s="15"/>
      <c r="AN867" s="16">
        <v>20000</v>
      </c>
      <c r="AO867" s="16">
        <v>30000</v>
      </c>
      <c r="AP867" s="16">
        <v>40000</v>
      </c>
      <c r="AQ867" s="16">
        <v>90000</v>
      </c>
      <c r="AR867" s="16">
        <v>20000</v>
      </c>
      <c r="AS867" s="22">
        <v>114000</v>
      </c>
      <c r="AT867" s="22">
        <v>0</v>
      </c>
      <c r="AU867" s="22">
        <v>45000</v>
      </c>
      <c r="AV867" s="22">
        <v>18000</v>
      </c>
      <c r="AW867" s="22">
        <v>9000</v>
      </c>
      <c r="AX867" s="66">
        <v>0</v>
      </c>
      <c r="AZ867" s="15"/>
      <c r="BA867" s="249">
        <f t="shared" si="27"/>
        <v>3</v>
      </c>
      <c r="BB867" s="249">
        <v>0</v>
      </c>
      <c r="BC867" s="249">
        <f t="shared" si="26"/>
        <v>1983</v>
      </c>
    </row>
    <row r="868" spans="1:55" x14ac:dyDescent="0.25">
      <c r="A868" s="51" t="s">
        <v>1378</v>
      </c>
      <c r="B868" s="63" t="s">
        <v>1594</v>
      </c>
      <c r="C868" s="14" t="s">
        <v>351</v>
      </c>
      <c r="D868" s="15">
        <v>1990</v>
      </c>
      <c r="E868" s="15" t="s">
        <v>581</v>
      </c>
      <c r="F868" s="15"/>
      <c r="G868" s="15"/>
      <c r="H868" s="15"/>
      <c r="I868" s="15"/>
      <c r="J868" s="16">
        <v>2000000</v>
      </c>
      <c r="K868" s="15"/>
      <c r="L868" s="15"/>
      <c r="M868" s="15" t="s">
        <v>328</v>
      </c>
      <c r="N868" s="16">
        <v>5000</v>
      </c>
      <c r="O868" s="21">
        <v>0.5</v>
      </c>
      <c r="P868" s="15">
        <v>2</v>
      </c>
      <c r="Q868" s="15">
        <v>200</v>
      </c>
      <c r="R868" s="16">
        <v>840</v>
      </c>
      <c r="S868" s="15" t="s">
        <v>340</v>
      </c>
      <c r="T868" s="15">
        <v>2.1</v>
      </c>
      <c r="U868" s="15">
        <v>2.2999999999999998</v>
      </c>
      <c r="V868" s="27">
        <v>2200</v>
      </c>
      <c r="W868" s="22">
        <v>31000</v>
      </c>
      <c r="X868" s="15"/>
      <c r="Y868" s="15"/>
      <c r="Z868" s="15"/>
      <c r="AA868" s="15"/>
      <c r="AB868" s="15"/>
      <c r="AC868" s="15" t="s">
        <v>328</v>
      </c>
      <c r="AD868" s="15"/>
      <c r="AE868" s="15"/>
      <c r="AF868" s="15"/>
      <c r="AG868" s="15"/>
      <c r="AH868" s="15"/>
      <c r="AI868" s="15" t="s">
        <v>328</v>
      </c>
      <c r="AJ868" s="15"/>
      <c r="AK868" s="15"/>
      <c r="AL868" s="15"/>
      <c r="AM868" s="15"/>
      <c r="AN868" s="16">
        <v>20000</v>
      </c>
      <c r="AO868" s="16">
        <v>30000</v>
      </c>
      <c r="AP868" s="16">
        <v>40000</v>
      </c>
      <c r="AQ868" s="16">
        <v>90000</v>
      </c>
      <c r="AR868" s="16">
        <v>20000</v>
      </c>
      <c r="AS868" s="22">
        <v>114000</v>
      </c>
      <c r="AT868" s="22">
        <v>0</v>
      </c>
      <c r="AU868" s="22">
        <v>45000</v>
      </c>
      <c r="AV868" s="22">
        <v>18000</v>
      </c>
      <c r="AW868" s="22">
        <v>9000</v>
      </c>
      <c r="AX868" s="66">
        <v>0</v>
      </c>
      <c r="AZ868" s="15"/>
      <c r="BA868" s="249">
        <f t="shared" si="27"/>
        <v>3</v>
      </c>
      <c r="BB868" s="249">
        <v>0</v>
      </c>
      <c r="BC868" s="249">
        <f t="shared" si="26"/>
        <v>1990</v>
      </c>
    </row>
    <row r="869" spans="1:55" x14ac:dyDescent="0.25">
      <c r="A869" s="51" t="s">
        <v>1378</v>
      </c>
      <c r="B869" s="63" t="s">
        <v>1594</v>
      </c>
      <c r="C869" s="14" t="s">
        <v>351</v>
      </c>
      <c r="D869" s="15">
        <v>1991</v>
      </c>
      <c r="E869" s="15" t="s">
        <v>349</v>
      </c>
      <c r="F869" s="15"/>
      <c r="G869" s="15"/>
      <c r="H869" s="15"/>
      <c r="I869" s="15"/>
      <c r="J869" s="16">
        <v>160000</v>
      </c>
      <c r="K869" s="15"/>
      <c r="L869" s="15"/>
      <c r="M869" s="15" t="s">
        <v>328</v>
      </c>
      <c r="N869" s="16">
        <v>5000</v>
      </c>
      <c r="O869" s="21">
        <v>0.5</v>
      </c>
      <c r="P869" s="15">
        <v>2</v>
      </c>
      <c r="Q869" s="15">
        <v>200</v>
      </c>
      <c r="R869" s="16">
        <v>840</v>
      </c>
      <c r="S869" s="15" t="s">
        <v>340</v>
      </c>
      <c r="T869" s="15">
        <v>2.1</v>
      </c>
      <c r="U869" s="15">
        <v>2.2999999999999998</v>
      </c>
      <c r="V869" s="27">
        <v>2200</v>
      </c>
      <c r="W869" s="22">
        <v>31000</v>
      </c>
      <c r="X869" s="15"/>
      <c r="Y869" s="15"/>
      <c r="Z869" s="15"/>
      <c r="AA869" s="15"/>
      <c r="AB869" s="15"/>
      <c r="AC869" s="15" t="s">
        <v>328</v>
      </c>
      <c r="AD869" s="15"/>
      <c r="AE869" s="15"/>
      <c r="AF869" s="15"/>
      <c r="AG869" s="15"/>
      <c r="AH869" s="15"/>
      <c r="AI869" s="15" t="s">
        <v>328</v>
      </c>
      <c r="AJ869" s="15"/>
      <c r="AK869" s="15"/>
      <c r="AL869" s="15"/>
      <c r="AM869" s="15"/>
      <c r="AN869" s="16">
        <v>20000</v>
      </c>
      <c r="AO869" s="16">
        <v>30000</v>
      </c>
      <c r="AP869" s="16">
        <v>40000</v>
      </c>
      <c r="AQ869" s="16">
        <v>90000</v>
      </c>
      <c r="AR869" s="16">
        <v>20000</v>
      </c>
      <c r="AS869" s="22">
        <v>114000</v>
      </c>
      <c r="AT869" s="22">
        <v>0</v>
      </c>
      <c r="AU869" s="22">
        <v>45000</v>
      </c>
      <c r="AV869" s="22">
        <v>18000</v>
      </c>
      <c r="AW869" s="22">
        <v>9000</v>
      </c>
      <c r="AX869" s="66">
        <v>0</v>
      </c>
      <c r="AZ869" s="15"/>
      <c r="BA869" s="249">
        <f t="shared" si="27"/>
        <v>3</v>
      </c>
      <c r="BB869" s="249">
        <v>0</v>
      </c>
      <c r="BC869" s="249">
        <f t="shared" si="26"/>
        <v>1991</v>
      </c>
    </row>
    <row r="870" spans="1:55" x14ac:dyDescent="0.25">
      <c r="A870" s="51" t="s">
        <v>1378</v>
      </c>
      <c r="B870" s="63" t="s">
        <v>1595</v>
      </c>
      <c r="C870" s="14" t="s">
        <v>351</v>
      </c>
      <c r="D870" s="15">
        <v>1985</v>
      </c>
      <c r="E870" s="15"/>
      <c r="F870" s="15"/>
      <c r="G870" s="15"/>
      <c r="H870" s="15">
        <v>2005</v>
      </c>
      <c r="I870" s="15" t="s">
        <v>407</v>
      </c>
      <c r="J870" s="16">
        <v>1800000</v>
      </c>
      <c r="K870" s="15"/>
      <c r="L870" s="15"/>
      <c r="M870" s="15" t="s">
        <v>328</v>
      </c>
      <c r="N870" s="16">
        <v>4000</v>
      </c>
      <c r="O870" s="21">
        <v>0.5</v>
      </c>
      <c r="P870" s="15">
        <v>2</v>
      </c>
      <c r="Q870" s="15">
        <v>200</v>
      </c>
      <c r="R870" s="16">
        <v>800</v>
      </c>
      <c r="S870" s="15" t="s">
        <v>340</v>
      </c>
      <c r="T870" s="15">
        <v>2</v>
      </c>
      <c r="U870" s="15">
        <v>2.2999999999999998</v>
      </c>
      <c r="V870" s="27">
        <v>1900</v>
      </c>
      <c r="W870" s="22">
        <v>27000</v>
      </c>
      <c r="X870" s="15"/>
      <c r="Y870" s="15"/>
      <c r="Z870" s="15"/>
      <c r="AA870" s="15"/>
      <c r="AB870" s="15" t="s">
        <v>328</v>
      </c>
      <c r="AC870" s="15"/>
      <c r="AD870" s="15"/>
      <c r="AE870" s="15"/>
      <c r="AF870" s="15"/>
      <c r="AG870" s="15"/>
      <c r="AH870" s="15"/>
      <c r="AI870" s="15" t="s">
        <v>328</v>
      </c>
      <c r="AJ870" s="15"/>
      <c r="AK870" s="15"/>
      <c r="AL870" s="15"/>
      <c r="AM870" s="15"/>
      <c r="AN870" s="16">
        <v>10000</v>
      </c>
      <c r="AO870" s="16">
        <v>20000</v>
      </c>
      <c r="AP870" s="16">
        <v>40000</v>
      </c>
      <c r="AQ870" s="16">
        <v>140000</v>
      </c>
      <c r="AR870" s="16">
        <v>10000</v>
      </c>
      <c r="AS870" s="22">
        <v>102000</v>
      </c>
      <c r="AT870" s="22">
        <v>0</v>
      </c>
      <c r="AU870" s="22">
        <v>40000</v>
      </c>
      <c r="AV870" s="22">
        <v>20000</v>
      </c>
      <c r="AW870" s="22">
        <v>0</v>
      </c>
      <c r="AX870" s="66">
        <v>0</v>
      </c>
      <c r="AZ870" s="15"/>
      <c r="BA870" s="249">
        <f t="shared" si="27"/>
        <v>2</v>
      </c>
      <c r="BB870" s="249">
        <v>0</v>
      </c>
      <c r="BC870" s="249">
        <f t="shared" si="26"/>
        <v>2005</v>
      </c>
    </row>
    <row r="871" spans="1:55" x14ac:dyDescent="0.25">
      <c r="A871" s="51" t="s">
        <v>1378</v>
      </c>
      <c r="B871" s="63" t="s">
        <v>1595</v>
      </c>
      <c r="C871" s="14" t="s">
        <v>351</v>
      </c>
      <c r="D871" s="15">
        <v>1990</v>
      </c>
      <c r="E871" s="15"/>
      <c r="F871" s="15"/>
      <c r="G871" s="15"/>
      <c r="H871" s="15">
        <v>2010</v>
      </c>
      <c r="I871" s="15" t="s">
        <v>581</v>
      </c>
      <c r="J871" s="16">
        <v>980000</v>
      </c>
      <c r="K871" s="15"/>
      <c r="L871" s="15"/>
      <c r="M871" s="15" t="s">
        <v>328</v>
      </c>
      <c r="N871" s="16">
        <v>4000</v>
      </c>
      <c r="O871" s="21">
        <v>0.5</v>
      </c>
      <c r="P871" s="15">
        <v>2</v>
      </c>
      <c r="Q871" s="15">
        <v>200</v>
      </c>
      <c r="R871" s="16">
        <v>800</v>
      </c>
      <c r="S871" s="15" t="s">
        <v>340</v>
      </c>
      <c r="T871" s="15">
        <v>2</v>
      </c>
      <c r="U871" s="15">
        <v>2.2999999999999998</v>
      </c>
      <c r="V871" s="27">
        <v>1900</v>
      </c>
      <c r="W871" s="22">
        <v>27000</v>
      </c>
      <c r="X871" s="15"/>
      <c r="Y871" s="15"/>
      <c r="Z871" s="15"/>
      <c r="AA871" s="15"/>
      <c r="AB871" s="15"/>
      <c r="AC871" s="15" t="s">
        <v>328</v>
      </c>
      <c r="AD871" s="15"/>
      <c r="AE871" s="15"/>
      <c r="AF871" s="15"/>
      <c r="AG871" s="15"/>
      <c r="AH871" s="15"/>
      <c r="AI871" s="15" t="s">
        <v>328</v>
      </c>
      <c r="AJ871" s="15"/>
      <c r="AK871" s="15"/>
      <c r="AL871" s="15"/>
      <c r="AM871" s="15"/>
      <c r="AN871" s="16">
        <v>10000</v>
      </c>
      <c r="AO871" s="16">
        <v>20000</v>
      </c>
      <c r="AP871" s="16">
        <v>40000</v>
      </c>
      <c r="AQ871" s="16">
        <v>140000</v>
      </c>
      <c r="AR871" s="16">
        <v>10000</v>
      </c>
      <c r="AS871" s="22">
        <v>102000</v>
      </c>
      <c r="AT871" s="22">
        <v>0</v>
      </c>
      <c r="AU871" s="22">
        <v>25000</v>
      </c>
      <c r="AV871" s="22">
        <v>10000</v>
      </c>
      <c r="AW871" s="22">
        <v>0</v>
      </c>
      <c r="AX871" s="66">
        <v>0</v>
      </c>
      <c r="AZ871" s="15"/>
      <c r="BA871" s="249">
        <f t="shared" si="27"/>
        <v>2</v>
      </c>
      <c r="BB871" s="249">
        <v>0</v>
      </c>
      <c r="BC871" s="249">
        <f t="shared" si="26"/>
        <v>2010</v>
      </c>
    </row>
    <row r="872" spans="1:55" x14ac:dyDescent="0.25">
      <c r="A872" s="51" t="s">
        <v>1378</v>
      </c>
      <c r="B872" s="63" t="s">
        <v>1598</v>
      </c>
      <c r="C872" s="14" t="s">
        <v>351</v>
      </c>
      <c r="D872" s="15">
        <v>1982</v>
      </c>
      <c r="E872" s="15"/>
      <c r="F872" s="15"/>
      <c r="G872" s="15"/>
      <c r="H872" s="15">
        <v>2003</v>
      </c>
      <c r="I872" s="15" t="s">
        <v>407</v>
      </c>
      <c r="J872" s="16">
        <v>2000000</v>
      </c>
      <c r="K872" s="15"/>
      <c r="L872" s="15"/>
      <c r="M872" s="15" t="s">
        <v>328</v>
      </c>
      <c r="N872" s="16">
        <v>3500</v>
      </c>
      <c r="O872" s="21">
        <v>0.5</v>
      </c>
      <c r="P872" s="15">
        <v>2</v>
      </c>
      <c r="Q872" s="15">
        <v>200</v>
      </c>
      <c r="R872" s="16">
        <v>760</v>
      </c>
      <c r="S872" s="15" t="s">
        <v>340</v>
      </c>
      <c r="T872" s="15">
        <v>1.9</v>
      </c>
      <c r="U872" s="15">
        <v>2.1</v>
      </c>
      <c r="V872" s="27">
        <v>1800</v>
      </c>
      <c r="W872" s="22">
        <v>25000</v>
      </c>
      <c r="X872" s="15"/>
      <c r="Y872" s="15"/>
      <c r="Z872" s="15"/>
      <c r="AA872" s="15"/>
      <c r="AB872" s="15" t="s">
        <v>328</v>
      </c>
      <c r="AC872" s="15"/>
      <c r="AD872" s="15"/>
      <c r="AE872" s="15" t="s">
        <v>328</v>
      </c>
      <c r="AF872" s="15"/>
      <c r="AG872" s="15"/>
      <c r="AH872" s="15"/>
      <c r="AI872" s="15" t="s">
        <v>328</v>
      </c>
      <c r="AJ872" s="15"/>
      <c r="AK872" s="15"/>
      <c r="AL872" s="15"/>
      <c r="AM872" s="15"/>
      <c r="AN872" s="16">
        <v>15000</v>
      </c>
      <c r="AO872" s="16">
        <v>30000</v>
      </c>
      <c r="AP872" s="16">
        <v>40000</v>
      </c>
      <c r="AQ872" s="16">
        <v>110000</v>
      </c>
      <c r="AR872" s="16">
        <v>15000</v>
      </c>
      <c r="AS872" s="22">
        <v>90000</v>
      </c>
      <c r="AT872" s="22">
        <v>0</v>
      </c>
      <c r="AU872" s="22">
        <v>40000</v>
      </c>
      <c r="AV872" s="22">
        <v>20000</v>
      </c>
      <c r="AW872" s="22">
        <v>0</v>
      </c>
      <c r="AX872" s="66">
        <v>0</v>
      </c>
      <c r="AZ872" s="23"/>
      <c r="BA872" s="249">
        <f t="shared" si="27"/>
        <v>1</v>
      </c>
      <c r="BB872" s="249">
        <v>0</v>
      </c>
      <c r="BC872" s="249">
        <f t="shared" si="26"/>
        <v>2003</v>
      </c>
    </row>
    <row r="873" spans="1:55" x14ac:dyDescent="0.25">
      <c r="A873" s="51" t="s">
        <v>1378</v>
      </c>
      <c r="B873" s="63" t="s">
        <v>1599</v>
      </c>
      <c r="C873" s="14" t="s">
        <v>351</v>
      </c>
      <c r="D873" s="15">
        <v>1986</v>
      </c>
      <c r="E873" s="15"/>
      <c r="F873" s="15">
        <v>2004</v>
      </c>
      <c r="G873" s="15" t="s">
        <v>374</v>
      </c>
      <c r="H873" s="15"/>
      <c r="I873" s="15"/>
      <c r="J873" s="16">
        <v>1800000</v>
      </c>
      <c r="K873" s="15"/>
      <c r="L873" s="15"/>
      <c r="M873" s="15" t="s">
        <v>328</v>
      </c>
      <c r="N873" s="16">
        <v>4500</v>
      </c>
      <c r="O873" s="21">
        <v>0.5</v>
      </c>
      <c r="P873" s="15">
        <v>2</v>
      </c>
      <c r="Q873" s="15">
        <v>200</v>
      </c>
      <c r="R873" s="16">
        <v>720</v>
      </c>
      <c r="S873" s="15" t="s">
        <v>340</v>
      </c>
      <c r="T873" s="15">
        <v>1.8</v>
      </c>
      <c r="U873" s="15">
        <v>2</v>
      </c>
      <c r="V873" s="27">
        <v>2000</v>
      </c>
      <c r="W873" s="22">
        <v>27500</v>
      </c>
      <c r="X873" s="15"/>
      <c r="Y873" s="15"/>
      <c r="Z873" s="15"/>
      <c r="AA873" s="15"/>
      <c r="AB873" s="15" t="s">
        <v>328</v>
      </c>
      <c r="AC873" s="15"/>
      <c r="AD873" s="15"/>
      <c r="AE873" s="15" t="s">
        <v>328</v>
      </c>
      <c r="AF873" s="15"/>
      <c r="AG873" s="15"/>
      <c r="AH873" s="15"/>
      <c r="AI873" s="15" t="s">
        <v>328</v>
      </c>
      <c r="AJ873" s="15"/>
      <c r="AK873" s="15"/>
      <c r="AL873" s="15"/>
      <c r="AM873" s="15"/>
      <c r="AN873" s="16">
        <v>10000</v>
      </c>
      <c r="AO873" s="16">
        <v>30000</v>
      </c>
      <c r="AP873" s="16">
        <v>30000</v>
      </c>
      <c r="AQ873" s="16">
        <v>130000</v>
      </c>
      <c r="AR873" s="16">
        <v>10000</v>
      </c>
      <c r="AS873" s="22">
        <v>0</v>
      </c>
      <c r="AT873" s="22">
        <v>0</v>
      </c>
      <c r="AU873" s="22">
        <v>40000</v>
      </c>
      <c r="AV873" s="22">
        <v>30000</v>
      </c>
      <c r="AW873" s="22">
        <v>0</v>
      </c>
      <c r="AX873" s="66">
        <v>0</v>
      </c>
      <c r="AZ873" s="15"/>
      <c r="BA873" s="249">
        <f t="shared" si="27"/>
        <v>1</v>
      </c>
      <c r="BB873" s="249">
        <v>0</v>
      </c>
      <c r="BC873" s="249">
        <f t="shared" si="26"/>
        <v>2004</v>
      </c>
    </row>
    <row r="874" spans="1:55" x14ac:dyDescent="0.25">
      <c r="A874" s="51" t="s">
        <v>1378</v>
      </c>
      <c r="B874" s="63" t="s">
        <v>1600</v>
      </c>
      <c r="C874" s="15" t="s">
        <v>337</v>
      </c>
      <c r="D874" s="15">
        <v>1990</v>
      </c>
      <c r="E874" s="15"/>
      <c r="F874" s="15">
        <v>2010</v>
      </c>
      <c r="G874" s="15" t="s">
        <v>374</v>
      </c>
      <c r="H874" s="15"/>
      <c r="I874" s="15"/>
      <c r="J874" s="16">
        <v>1794000</v>
      </c>
      <c r="K874" s="15"/>
      <c r="L874" s="15"/>
      <c r="M874" s="15" t="s">
        <v>328</v>
      </c>
      <c r="N874" s="16">
        <v>6500</v>
      </c>
      <c r="O874" s="21">
        <v>0.5</v>
      </c>
      <c r="P874" s="15">
        <v>2</v>
      </c>
      <c r="Q874" s="15">
        <v>200</v>
      </c>
      <c r="R874" s="16">
        <v>760</v>
      </c>
      <c r="S874" s="15" t="s">
        <v>340</v>
      </c>
      <c r="T874" s="15">
        <v>1.9</v>
      </c>
      <c r="U874" s="15">
        <v>2.1</v>
      </c>
      <c r="V874" s="27">
        <v>3200</v>
      </c>
      <c r="W874" s="22">
        <v>45000</v>
      </c>
      <c r="X874" s="15"/>
      <c r="Y874" s="15" t="s">
        <v>328</v>
      </c>
      <c r="Z874" s="15"/>
      <c r="AA874" s="15"/>
      <c r="AB874" s="15"/>
      <c r="AC874" s="15"/>
      <c r="AD874" s="15" t="s">
        <v>328</v>
      </c>
      <c r="AE874" s="15" t="s">
        <v>328</v>
      </c>
      <c r="AF874" s="15"/>
      <c r="AG874" s="15"/>
      <c r="AH874" s="15"/>
      <c r="AI874" s="15"/>
      <c r="AJ874" s="15"/>
      <c r="AK874" s="15"/>
      <c r="AL874" s="15"/>
      <c r="AM874" s="15"/>
      <c r="AN874" s="16">
        <v>30000</v>
      </c>
      <c r="AO874" s="16">
        <v>50000</v>
      </c>
      <c r="AP874" s="16">
        <v>80000</v>
      </c>
      <c r="AQ874" s="16">
        <v>125000</v>
      </c>
      <c r="AR874" s="16">
        <v>30000</v>
      </c>
      <c r="AS874" s="22">
        <v>0</v>
      </c>
      <c r="AT874" s="22">
        <v>0</v>
      </c>
      <c r="AU874" s="22">
        <v>40000</v>
      </c>
      <c r="AV874" s="22">
        <v>25000</v>
      </c>
      <c r="AW874" s="22">
        <v>11000</v>
      </c>
      <c r="AX874" s="66">
        <v>0</v>
      </c>
      <c r="AZ874" s="15"/>
      <c r="BA874" s="249">
        <f t="shared" si="27"/>
        <v>1</v>
      </c>
      <c r="BC874" s="249">
        <f t="shared" si="26"/>
        <v>2010</v>
      </c>
    </row>
    <row r="875" spans="1:55" x14ac:dyDescent="0.25">
      <c r="A875" s="51" t="s">
        <v>1378</v>
      </c>
      <c r="B875" s="63" t="s">
        <v>1601</v>
      </c>
      <c r="C875" s="14" t="s">
        <v>351</v>
      </c>
      <c r="D875" s="15">
        <v>1979</v>
      </c>
      <c r="E875" s="15"/>
      <c r="F875" s="15">
        <v>2005</v>
      </c>
      <c r="G875" s="15" t="s">
        <v>349</v>
      </c>
      <c r="H875" s="15"/>
      <c r="I875" s="15"/>
      <c r="J875" s="16">
        <v>2200000</v>
      </c>
      <c r="K875" s="15"/>
      <c r="L875" s="15"/>
      <c r="M875" s="15" t="s">
        <v>328</v>
      </c>
      <c r="N875" s="16">
        <v>2000</v>
      </c>
      <c r="O875" s="21">
        <v>0.5</v>
      </c>
      <c r="P875" s="15">
        <v>2</v>
      </c>
      <c r="Q875" s="15">
        <v>200</v>
      </c>
      <c r="R875" s="16">
        <v>720</v>
      </c>
      <c r="S875" s="15" t="s">
        <v>340</v>
      </c>
      <c r="T875" s="15">
        <v>1.8</v>
      </c>
      <c r="U875" s="15">
        <v>2</v>
      </c>
      <c r="V875" s="27">
        <v>1100</v>
      </c>
      <c r="W875" s="22">
        <v>15000</v>
      </c>
      <c r="X875" s="15"/>
      <c r="Y875" s="15"/>
      <c r="Z875" s="15"/>
      <c r="AA875" s="15"/>
      <c r="AB875" s="15" t="s">
        <v>328</v>
      </c>
      <c r="AC875" s="15"/>
      <c r="AD875" s="15"/>
      <c r="AE875" s="15" t="s">
        <v>328</v>
      </c>
      <c r="AF875" s="15"/>
      <c r="AG875" s="15"/>
      <c r="AH875" s="15"/>
      <c r="AI875" s="15"/>
      <c r="AJ875" s="15"/>
      <c r="AK875" s="15"/>
      <c r="AL875" s="15"/>
      <c r="AM875" s="15"/>
      <c r="AN875" s="16">
        <v>10000</v>
      </c>
      <c r="AO875" s="16">
        <v>30000</v>
      </c>
      <c r="AP875" s="16">
        <v>40000</v>
      </c>
      <c r="AQ875" s="16">
        <v>140000</v>
      </c>
      <c r="AR875" s="16">
        <v>10000</v>
      </c>
      <c r="AS875" s="22">
        <v>90000</v>
      </c>
      <c r="AT875" s="22">
        <v>0</v>
      </c>
      <c r="AU875" s="22">
        <v>40000</v>
      </c>
      <c r="AV875" s="22">
        <v>25000</v>
      </c>
      <c r="AW875" s="22">
        <v>0</v>
      </c>
      <c r="AX875" s="66">
        <v>0</v>
      </c>
      <c r="AZ875" s="15"/>
      <c r="BA875" s="249">
        <f t="shared" si="27"/>
        <v>1</v>
      </c>
      <c r="BC875" s="249">
        <f t="shared" si="26"/>
        <v>2005</v>
      </c>
    </row>
    <row r="876" spans="1:55" x14ac:dyDescent="0.25">
      <c r="A876" s="51" t="s">
        <v>1378</v>
      </c>
      <c r="B876" s="63" t="s">
        <v>1602</v>
      </c>
      <c r="C876" s="14" t="s">
        <v>351</v>
      </c>
      <c r="D876" s="15">
        <v>1989</v>
      </c>
      <c r="E876" s="15"/>
      <c r="F876" s="15"/>
      <c r="G876" s="15"/>
      <c r="H876" s="15">
        <v>2010</v>
      </c>
      <c r="I876" s="15" t="s">
        <v>581</v>
      </c>
      <c r="J876" s="16">
        <v>1700000</v>
      </c>
      <c r="K876" s="15"/>
      <c r="L876" s="15"/>
      <c r="M876" s="15" t="s">
        <v>328</v>
      </c>
      <c r="N876" s="16">
        <v>2000</v>
      </c>
      <c r="O876" s="21">
        <v>0.5</v>
      </c>
      <c r="P876" s="15">
        <v>2</v>
      </c>
      <c r="Q876" s="15">
        <v>200</v>
      </c>
      <c r="R876" s="16">
        <v>680</v>
      </c>
      <c r="S876" s="15" t="s">
        <v>340</v>
      </c>
      <c r="T876" s="15">
        <v>1.7</v>
      </c>
      <c r="U876" s="15">
        <v>2</v>
      </c>
      <c r="V876" s="27">
        <v>10100</v>
      </c>
      <c r="W876" s="22">
        <v>15500</v>
      </c>
      <c r="X876" s="15"/>
      <c r="Y876" s="15" t="s">
        <v>328</v>
      </c>
      <c r="Z876" s="15"/>
      <c r="AA876" s="15"/>
      <c r="AB876" s="15"/>
      <c r="AC876" s="15"/>
      <c r="AD876" s="15"/>
      <c r="AE876" s="15"/>
      <c r="AF876" s="15"/>
      <c r="AG876" s="15"/>
      <c r="AH876" s="15"/>
      <c r="AI876" s="15" t="s">
        <v>328</v>
      </c>
      <c r="AJ876" s="15"/>
      <c r="AK876" s="15"/>
      <c r="AL876" s="15"/>
      <c r="AM876" s="15"/>
      <c r="AN876" s="16">
        <v>25000</v>
      </c>
      <c r="AO876" s="16">
        <v>40000</v>
      </c>
      <c r="AP876" s="16">
        <v>65000</v>
      </c>
      <c r="AQ876" s="16">
        <v>140000</v>
      </c>
      <c r="AR876" s="16">
        <v>25000</v>
      </c>
      <c r="AS876" s="22">
        <v>102000</v>
      </c>
      <c r="AT876" s="22">
        <v>0</v>
      </c>
      <c r="AU876" s="22">
        <v>35000</v>
      </c>
      <c r="AV876" s="22">
        <v>20000</v>
      </c>
      <c r="AW876" s="22">
        <v>7500</v>
      </c>
      <c r="AX876" s="66">
        <v>0</v>
      </c>
      <c r="AZ876" s="15"/>
      <c r="BA876" s="249">
        <f t="shared" si="27"/>
        <v>1</v>
      </c>
      <c r="BC876" s="249">
        <f t="shared" si="26"/>
        <v>2010</v>
      </c>
    </row>
    <row r="877" spans="1:55" x14ac:dyDescent="0.25">
      <c r="A877" s="51" t="s">
        <v>1378</v>
      </c>
      <c r="B877" s="63" t="s">
        <v>1603</v>
      </c>
      <c r="C877" s="15" t="s">
        <v>348</v>
      </c>
      <c r="D877" s="15">
        <v>1986</v>
      </c>
      <c r="E877" s="15"/>
      <c r="F877" s="15"/>
      <c r="G877" s="15"/>
      <c r="H877" s="15">
        <v>2011</v>
      </c>
      <c r="I877" s="15" t="s">
        <v>374</v>
      </c>
      <c r="J877" s="16">
        <v>2200000</v>
      </c>
      <c r="K877" s="15"/>
      <c r="L877" s="15"/>
      <c r="M877" s="15" t="s">
        <v>328</v>
      </c>
      <c r="N877" s="16">
        <v>3500</v>
      </c>
      <c r="O877" s="21">
        <v>0.5</v>
      </c>
      <c r="P877" s="15">
        <v>2</v>
      </c>
      <c r="Q877" s="15">
        <v>200</v>
      </c>
      <c r="R877" s="16">
        <v>760</v>
      </c>
      <c r="S877" s="15" t="s">
        <v>340</v>
      </c>
      <c r="T877" s="15">
        <v>1.9</v>
      </c>
      <c r="U877" s="15">
        <v>2.1</v>
      </c>
      <c r="V877" s="27">
        <v>1700</v>
      </c>
      <c r="W877" s="22">
        <v>24000</v>
      </c>
      <c r="X877" s="15"/>
      <c r="Y877" s="15" t="s">
        <v>328</v>
      </c>
      <c r="Z877" s="15"/>
      <c r="AA877" s="15"/>
      <c r="AB877" s="15"/>
      <c r="AC877" s="15"/>
      <c r="AD877" s="15"/>
      <c r="AE877" s="15" t="s">
        <v>328</v>
      </c>
      <c r="AF877" s="15"/>
      <c r="AG877" s="15"/>
      <c r="AH877" s="15"/>
      <c r="AI877" s="15"/>
      <c r="AJ877" s="15"/>
      <c r="AK877" s="15"/>
      <c r="AL877" s="15" t="s">
        <v>328</v>
      </c>
      <c r="AM877" s="15"/>
      <c r="AN877" s="16">
        <v>15000</v>
      </c>
      <c r="AO877" s="16">
        <v>25000</v>
      </c>
      <c r="AP877" s="16">
        <v>30000</v>
      </c>
      <c r="AQ877" s="16">
        <v>110000</v>
      </c>
      <c r="AR877" s="16">
        <v>15000</v>
      </c>
      <c r="AS877" s="22">
        <v>0</v>
      </c>
      <c r="AT877" s="22">
        <v>0</v>
      </c>
      <c r="AU877" s="22">
        <v>30000</v>
      </c>
      <c r="AV877" s="22">
        <v>15000</v>
      </c>
      <c r="AW877" s="22">
        <v>0</v>
      </c>
      <c r="AX877" s="66">
        <v>0</v>
      </c>
      <c r="AZ877" s="15"/>
      <c r="BA877" s="249">
        <f t="shared" si="27"/>
        <v>1</v>
      </c>
      <c r="BC877" s="249">
        <f t="shared" si="26"/>
        <v>2011</v>
      </c>
    </row>
    <row r="878" spans="1:55" x14ac:dyDescent="0.25">
      <c r="A878" s="51" t="s">
        <v>1378</v>
      </c>
      <c r="B878" s="63" t="s">
        <v>1604</v>
      </c>
      <c r="C878" s="15" t="s">
        <v>348</v>
      </c>
      <c r="D878" s="15">
        <v>1984</v>
      </c>
      <c r="E878" s="15"/>
      <c r="F878" s="15"/>
      <c r="G878" s="15"/>
      <c r="H878" s="15">
        <v>2000</v>
      </c>
      <c r="I878" s="15" t="s">
        <v>581</v>
      </c>
      <c r="J878" s="16">
        <v>2550000</v>
      </c>
      <c r="K878" s="15" t="s">
        <v>328</v>
      </c>
      <c r="L878" s="15"/>
      <c r="M878" s="15"/>
      <c r="N878" s="16">
        <v>2500</v>
      </c>
      <c r="O878" s="21">
        <v>0.5</v>
      </c>
      <c r="P878" s="15">
        <v>2</v>
      </c>
      <c r="Q878" s="15">
        <v>220</v>
      </c>
      <c r="R878" s="16">
        <v>748</v>
      </c>
      <c r="S878" s="15" t="s">
        <v>340</v>
      </c>
      <c r="T878" s="15">
        <v>1.7</v>
      </c>
      <c r="U878" s="15">
        <v>1.9</v>
      </c>
      <c r="V878" s="27">
        <v>1100</v>
      </c>
      <c r="W878" s="22">
        <v>15000</v>
      </c>
      <c r="X878" s="15"/>
      <c r="Y878" s="15" t="s">
        <v>328</v>
      </c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6">
        <v>12000</v>
      </c>
      <c r="AO878" s="16">
        <v>30000</v>
      </c>
      <c r="AP878" s="16">
        <v>40000</v>
      </c>
      <c r="AQ878" s="16">
        <v>110000</v>
      </c>
      <c r="AR878" s="16">
        <v>12000</v>
      </c>
      <c r="AS878" s="22">
        <v>0</v>
      </c>
      <c r="AT878" s="22">
        <v>0</v>
      </c>
      <c r="AU878" s="22">
        <v>40000</v>
      </c>
      <c r="AV878" s="22">
        <v>15000</v>
      </c>
      <c r="AW878" s="22">
        <v>0</v>
      </c>
      <c r="AX878" s="66">
        <v>0</v>
      </c>
      <c r="AZ878" s="15"/>
      <c r="BA878" s="249">
        <f t="shared" si="27"/>
        <v>1</v>
      </c>
      <c r="BC878" s="249">
        <f t="shared" si="26"/>
        <v>2000</v>
      </c>
    </row>
    <row r="879" spans="1:55" x14ac:dyDescent="0.25">
      <c r="A879" s="52" t="s">
        <v>1857</v>
      </c>
      <c r="B879" s="63" t="s">
        <v>1605</v>
      </c>
      <c r="C879" s="14" t="s">
        <v>337</v>
      </c>
      <c r="D879" s="14">
        <v>1996</v>
      </c>
      <c r="E879" s="14"/>
      <c r="F879" s="14"/>
      <c r="G879" s="14"/>
      <c r="H879" s="14">
        <v>2006</v>
      </c>
      <c r="I879" s="14" t="s">
        <v>360</v>
      </c>
      <c r="J879" s="13">
        <v>1300000</v>
      </c>
      <c r="K879" s="14"/>
      <c r="L879" s="14" t="s">
        <v>328</v>
      </c>
      <c r="M879" s="14"/>
      <c r="N879" s="13">
        <v>4000</v>
      </c>
      <c r="O879" s="24">
        <v>0.5</v>
      </c>
      <c r="P879" s="14">
        <v>1</v>
      </c>
      <c r="Q879" s="14">
        <v>250</v>
      </c>
      <c r="R879" s="16">
        <v>475</v>
      </c>
      <c r="S879" s="14" t="s">
        <v>340</v>
      </c>
      <c r="T879" s="14">
        <v>1.9</v>
      </c>
      <c r="U879" s="14">
        <v>2</v>
      </c>
      <c r="V879" s="25">
        <v>2000</v>
      </c>
      <c r="W879" s="22">
        <v>29000</v>
      </c>
      <c r="X879" s="14"/>
      <c r="Y879" s="14" t="s">
        <v>328</v>
      </c>
      <c r="Z879" s="14"/>
      <c r="AA879" s="14"/>
      <c r="AB879" s="14"/>
      <c r="AC879" s="14"/>
      <c r="AD879" s="14" t="s">
        <v>328</v>
      </c>
      <c r="AE879" s="14" t="s">
        <v>328</v>
      </c>
      <c r="AF879" s="14"/>
      <c r="AG879" s="14"/>
      <c r="AH879" s="14"/>
      <c r="AI879" s="14"/>
      <c r="AJ879" s="14"/>
      <c r="AK879" s="14"/>
      <c r="AL879" s="14" t="s">
        <v>328</v>
      </c>
      <c r="AM879" s="14"/>
      <c r="AN879" s="13">
        <v>7000</v>
      </c>
      <c r="AO879" s="13">
        <v>40000</v>
      </c>
      <c r="AP879" s="13">
        <v>30000</v>
      </c>
      <c r="AQ879" s="13">
        <v>100000</v>
      </c>
      <c r="AR879" s="13">
        <v>12000</v>
      </c>
      <c r="AS879" s="26">
        <v>114000</v>
      </c>
      <c r="AT879" s="22">
        <v>0</v>
      </c>
      <c r="AU879" s="26">
        <v>60000</v>
      </c>
      <c r="AV879" s="26">
        <v>35000</v>
      </c>
      <c r="AW879" s="26">
        <v>12000</v>
      </c>
      <c r="AX879" s="66">
        <v>0</v>
      </c>
      <c r="AZ879" s="14" t="s">
        <v>337</v>
      </c>
      <c r="BA879" s="249">
        <f t="shared" si="27"/>
        <v>3</v>
      </c>
      <c r="BB879" s="249">
        <v>0</v>
      </c>
      <c r="BC879" s="249">
        <f t="shared" si="26"/>
        <v>2006</v>
      </c>
    </row>
    <row r="880" spans="1:55" x14ac:dyDescent="0.25">
      <c r="A880" s="52" t="s">
        <v>1857</v>
      </c>
      <c r="B880" s="63" t="s">
        <v>1605</v>
      </c>
      <c r="C880" s="14" t="s">
        <v>337</v>
      </c>
      <c r="D880" s="14">
        <v>1996</v>
      </c>
      <c r="E880" s="14"/>
      <c r="F880" s="14">
        <v>2007</v>
      </c>
      <c r="G880" s="14" t="s">
        <v>349</v>
      </c>
      <c r="H880" s="14"/>
      <c r="I880" s="14"/>
      <c r="J880" s="13">
        <v>110000</v>
      </c>
      <c r="K880" s="14"/>
      <c r="L880" s="14" t="s">
        <v>328</v>
      </c>
      <c r="M880" s="14"/>
      <c r="N880" s="13">
        <v>4000</v>
      </c>
      <c r="O880" s="24">
        <v>0.5</v>
      </c>
      <c r="P880" s="14">
        <v>1</v>
      </c>
      <c r="Q880" s="14">
        <v>250</v>
      </c>
      <c r="R880" s="16">
        <v>475</v>
      </c>
      <c r="S880" s="14" t="s">
        <v>340</v>
      </c>
      <c r="T880" s="14">
        <v>1.9</v>
      </c>
      <c r="U880" s="14">
        <v>2</v>
      </c>
      <c r="V880" s="25">
        <v>2000</v>
      </c>
      <c r="W880" s="22">
        <v>29000</v>
      </c>
      <c r="X880" s="14"/>
      <c r="Y880" s="14"/>
      <c r="Z880" s="14"/>
      <c r="AA880" s="14"/>
      <c r="AB880" s="14" t="s">
        <v>328</v>
      </c>
      <c r="AC880" s="14"/>
      <c r="AD880" s="14" t="s">
        <v>328</v>
      </c>
      <c r="AE880" s="14" t="s">
        <v>328</v>
      </c>
      <c r="AF880" s="14"/>
      <c r="AG880" s="14"/>
      <c r="AH880" s="14"/>
      <c r="AI880" s="14"/>
      <c r="AJ880" s="14"/>
      <c r="AK880" s="14"/>
      <c r="AL880" s="14" t="s">
        <v>328</v>
      </c>
      <c r="AM880" s="14"/>
      <c r="AN880" s="13">
        <v>7000</v>
      </c>
      <c r="AO880" s="13">
        <v>40000</v>
      </c>
      <c r="AP880" s="13">
        <v>30000</v>
      </c>
      <c r="AQ880" s="13">
        <v>100000</v>
      </c>
      <c r="AR880" s="13">
        <v>12000</v>
      </c>
      <c r="AS880" s="26">
        <v>114000</v>
      </c>
      <c r="AT880" s="22">
        <v>0</v>
      </c>
      <c r="AU880" s="26">
        <v>60000</v>
      </c>
      <c r="AV880" s="26">
        <v>35000</v>
      </c>
      <c r="AW880" s="26">
        <v>12000</v>
      </c>
      <c r="AX880" s="66">
        <v>0</v>
      </c>
      <c r="AZ880" s="14" t="s">
        <v>337</v>
      </c>
      <c r="BA880" s="249">
        <f t="shared" si="27"/>
        <v>3</v>
      </c>
      <c r="BB880" s="249">
        <v>0</v>
      </c>
      <c r="BC880" s="249">
        <f t="shared" si="26"/>
        <v>2007</v>
      </c>
    </row>
    <row r="881" spans="1:55" x14ac:dyDescent="0.25">
      <c r="A881" s="52" t="s">
        <v>1857</v>
      </c>
      <c r="B881" s="63" t="s">
        <v>1605</v>
      </c>
      <c r="C881" s="14" t="s">
        <v>337</v>
      </c>
      <c r="D881" s="14">
        <v>2000</v>
      </c>
      <c r="E881" s="14" t="s">
        <v>349</v>
      </c>
      <c r="F881" s="14"/>
      <c r="G881" s="14"/>
      <c r="H881" s="14"/>
      <c r="I881" s="14"/>
      <c r="J881" s="13">
        <v>750000</v>
      </c>
      <c r="K881" s="14"/>
      <c r="L881" s="14" t="s">
        <v>328</v>
      </c>
      <c r="M881" s="14"/>
      <c r="N881" s="13">
        <v>5000</v>
      </c>
      <c r="O881" s="24">
        <v>0.5</v>
      </c>
      <c r="P881" s="14">
        <v>1</v>
      </c>
      <c r="Q881" s="14">
        <v>350</v>
      </c>
      <c r="R881" s="16">
        <v>700</v>
      </c>
      <c r="S881" s="14" t="s">
        <v>340</v>
      </c>
      <c r="T881" s="14">
        <v>2</v>
      </c>
      <c r="U881" s="14">
        <v>2.2000000000000002</v>
      </c>
      <c r="V881" s="25">
        <v>2500</v>
      </c>
      <c r="W881" s="22">
        <v>34000</v>
      </c>
      <c r="X881" s="14"/>
      <c r="Y881" s="14"/>
      <c r="Z881" s="14"/>
      <c r="AA881" s="14"/>
      <c r="AB881" s="14" t="s">
        <v>328</v>
      </c>
      <c r="AC881" s="14"/>
      <c r="AD881" s="14" t="s">
        <v>328</v>
      </c>
      <c r="AE881" s="14" t="s">
        <v>328</v>
      </c>
      <c r="AF881" s="14"/>
      <c r="AG881" s="14"/>
      <c r="AH881" s="14"/>
      <c r="AI881" s="14"/>
      <c r="AJ881" s="14"/>
      <c r="AK881" s="14"/>
      <c r="AL881" s="14" t="s">
        <v>328</v>
      </c>
      <c r="AM881" s="14"/>
      <c r="AN881" s="13">
        <v>7000</v>
      </c>
      <c r="AO881" s="13">
        <v>60000</v>
      </c>
      <c r="AP881" s="13">
        <v>30000</v>
      </c>
      <c r="AQ881" s="13">
        <v>100000</v>
      </c>
      <c r="AR881" s="13">
        <v>12000</v>
      </c>
      <c r="AS881" s="26">
        <v>114000</v>
      </c>
      <c r="AT881" s="22">
        <v>0</v>
      </c>
      <c r="AU881" s="26">
        <v>75000</v>
      </c>
      <c r="AV881" s="26">
        <v>30000</v>
      </c>
      <c r="AW881" s="26">
        <v>12000</v>
      </c>
      <c r="AX881" s="62">
        <v>0</v>
      </c>
      <c r="AZ881" s="14" t="s">
        <v>337</v>
      </c>
      <c r="BA881" s="249">
        <f t="shared" si="27"/>
        <v>3</v>
      </c>
      <c r="BB881" s="249">
        <v>0</v>
      </c>
      <c r="BC881" s="249">
        <f t="shared" si="26"/>
        <v>2000</v>
      </c>
    </row>
    <row r="882" spans="1:55" x14ac:dyDescent="0.25">
      <c r="A882" s="52" t="s">
        <v>1857</v>
      </c>
      <c r="B882" s="63" t="s">
        <v>1608</v>
      </c>
      <c r="C882" s="15" t="s">
        <v>348</v>
      </c>
      <c r="D882" s="15">
        <v>2001</v>
      </c>
      <c r="E882" s="15" t="s">
        <v>475</v>
      </c>
      <c r="F882" s="15"/>
      <c r="G882" s="15"/>
      <c r="H882" s="15"/>
      <c r="I882" s="15"/>
      <c r="J882" s="16">
        <v>600000</v>
      </c>
      <c r="K882" s="15"/>
      <c r="L882" s="15"/>
      <c r="M882" s="15" t="s">
        <v>328</v>
      </c>
      <c r="N882" s="16">
        <v>4000</v>
      </c>
      <c r="O882" s="21">
        <v>0.2</v>
      </c>
      <c r="P882" s="15">
        <v>2</v>
      </c>
      <c r="Q882" s="15">
        <v>300</v>
      </c>
      <c r="R882" s="16">
        <v>3060</v>
      </c>
      <c r="S882" s="15" t="s">
        <v>371</v>
      </c>
      <c r="T882" s="15">
        <v>5.0999999999999996</v>
      </c>
      <c r="U882" s="15">
        <v>5.7</v>
      </c>
      <c r="V882" s="25">
        <v>852.7827648114901</v>
      </c>
      <c r="W882" s="22">
        <v>9500</v>
      </c>
      <c r="X882" s="15"/>
      <c r="Y882" s="15"/>
      <c r="Z882" s="15"/>
      <c r="AA882" s="15"/>
      <c r="AB882" s="15" t="s">
        <v>328</v>
      </c>
      <c r="AC882" s="15"/>
      <c r="AD882" s="15"/>
      <c r="AE882" s="15"/>
      <c r="AF882" s="15"/>
      <c r="AG882" s="15" t="s">
        <v>328</v>
      </c>
      <c r="AH882" s="15"/>
      <c r="AI882" s="15"/>
      <c r="AJ882" s="15"/>
      <c r="AK882" s="15"/>
      <c r="AL882" s="15" t="s">
        <v>328</v>
      </c>
      <c r="AM882" s="15"/>
      <c r="AN882" s="16">
        <v>20000</v>
      </c>
      <c r="AO882" s="16">
        <v>30000</v>
      </c>
      <c r="AP882" s="16">
        <v>40000</v>
      </c>
      <c r="AQ882" s="16">
        <v>90000</v>
      </c>
      <c r="AR882" s="16" t="s">
        <v>385</v>
      </c>
      <c r="AS882" s="22">
        <v>102000</v>
      </c>
      <c r="AT882" s="22">
        <v>0</v>
      </c>
      <c r="AU882" s="22">
        <v>30000</v>
      </c>
      <c r="AV882" s="22">
        <v>18000</v>
      </c>
      <c r="AW882" s="22">
        <v>0</v>
      </c>
      <c r="AX882" s="66">
        <v>0</v>
      </c>
      <c r="AZ882" s="15" t="s">
        <v>348</v>
      </c>
      <c r="BA882" s="249">
        <f t="shared" si="27"/>
        <v>1</v>
      </c>
      <c r="BB882" s="249">
        <v>0</v>
      </c>
      <c r="BC882" s="249">
        <f t="shared" si="26"/>
        <v>2001</v>
      </c>
    </row>
    <row r="883" spans="1:55" x14ac:dyDescent="0.25">
      <c r="A883" s="52" t="s">
        <v>1857</v>
      </c>
      <c r="B883" s="63" t="s">
        <v>1611</v>
      </c>
      <c r="C883" s="14" t="s">
        <v>337</v>
      </c>
      <c r="D883" s="14">
        <v>2005</v>
      </c>
      <c r="E883" s="14" t="s">
        <v>338</v>
      </c>
      <c r="F883" s="14"/>
      <c r="G883" s="14"/>
      <c r="H883" s="14"/>
      <c r="I883" s="14"/>
      <c r="J883" s="13">
        <v>550000</v>
      </c>
      <c r="K883" s="14"/>
      <c r="L883" s="14" t="s">
        <v>328</v>
      </c>
      <c r="M883" s="14"/>
      <c r="N883" s="13">
        <v>6000</v>
      </c>
      <c r="O883" s="24">
        <v>0.3</v>
      </c>
      <c r="P883" s="14">
        <v>2</v>
      </c>
      <c r="Q883" s="14">
        <v>550</v>
      </c>
      <c r="R883" s="13">
        <v>2970</v>
      </c>
      <c r="S883" s="14" t="s">
        <v>340</v>
      </c>
      <c r="T883" s="14">
        <v>2.7</v>
      </c>
      <c r="U883" s="14">
        <v>3</v>
      </c>
      <c r="V883" s="25">
        <v>1346.4991023339317</v>
      </c>
      <c r="W883" s="26">
        <v>15000</v>
      </c>
      <c r="X883" s="14" t="s">
        <v>328</v>
      </c>
      <c r="Y883" s="14"/>
      <c r="Z883" s="14"/>
      <c r="AA883" s="14"/>
      <c r="AB883" s="14"/>
      <c r="AC883" s="14"/>
      <c r="AD883" s="14" t="s">
        <v>328</v>
      </c>
      <c r="AE883" s="14" t="s">
        <v>328</v>
      </c>
      <c r="AF883" s="14"/>
      <c r="AG883" s="14"/>
      <c r="AH883" s="14" t="s">
        <v>328</v>
      </c>
      <c r="AI883" s="14" t="s">
        <v>328</v>
      </c>
      <c r="AJ883" s="14"/>
      <c r="AK883" s="14" t="s">
        <v>328</v>
      </c>
      <c r="AL883" s="14" t="s">
        <v>328</v>
      </c>
      <c r="AM883" s="14" t="s">
        <v>328</v>
      </c>
      <c r="AN883" s="13">
        <v>9000</v>
      </c>
      <c r="AO883" s="13">
        <v>10000</v>
      </c>
      <c r="AP883" s="13">
        <v>6000</v>
      </c>
      <c r="AQ883" s="13">
        <v>100000</v>
      </c>
      <c r="AR883" s="13">
        <v>10000</v>
      </c>
      <c r="AS883" s="26">
        <v>140000</v>
      </c>
      <c r="AT883" s="26">
        <v>55000</v>
      </c>
      <c r="AU883" s="26">
        <v>50000</v>
      </c>
      <c r="AV883" s="26">
        <v>12000</v>
      </c>
      <c r="AW883" s="26">
        <v>8000</v>
      </c>
      <c r="AX883" s="62">
        <v>0</v>
      </c>
      <c r="AZ883" s="15" t="s">
        <v>337</v>
      </c>
      <c r="BA883" s="249">
        <f t="shared" si="27"/>
        <v>1</v>
      </c>
      <c r="BB883" s="249">
        <v>0</v>
      </c>
      <c r="BC883" s="249">
        <f t="shared" si="26"/>
        <v>2005</v>
      </c>
    </row>
    <row r="884" spans="1:55" x14ac:dyDescent="0.25">
      <c r="A884" s="52" t="s">
        <v>1857</v>
      </c>
      <c r="B884" s="63" t="s">
        <v>1613</v>
      </c>
      <c r="C884" s="14" t="s">
        <v>348</v>
      </c>
      <c r="D884" s="14">
        <v>2004</v>
      </c>
      <c r="E884" s="14" t="s">
        <v>360</v>
      </c>
      <c r="F884" s="14"/>
      <c r="G884" s="14"/>
      <c r="H884" s="14"/>
      <c r="I884" s="14"/>
      <c r="J884" s="13">
        <v>75000</v>
      </c>
      <c r="K884" s="14" t="s">
        <v>328</v>
      </c>
      <c r="L884" s="14"/>
      <c r="M884" s="14"/>
      <c r="N884" s="13">
        <v>1000</v>
      </c>
      <c r="O884" s="24">
        <v>0.3</v>
      </c>
      <c r="P884" s="14">
        <v>1</v>
      </c>
      <c r="Q884" s="14">
        <v>150</v>
      </c>
      <c r="R884" s="13">
        <v>375</v>
      </c>
      <c r="S884" s="14" t="s">
        <v>371</v>
      </c>
      <c r="T884" s="14">
        <v>4</v>
      </c>
      <c r="U884" s="14">
        <v>6</v>
      </c>
      <c r="V884" s="25">
        <v>200</v>
      </c>
      <c r="W884" s="22">
        <v>2200</v>
      </c>
      <c r="X884" s="14" t="s">
        <v>328</v>
      </c>
      <c r="Y884" s="14"/>
      <c r="Z884" s="14"/>
      <c r="AA884" s="14"/>
      <c r="AB884" s="14"/>
      <c r="AC884" s="14"/>
      <c r="AD884" s="14"/>
      <c r="AE884" s="14"/>
      <c r="AF884" s="14"/>
      <c r="AG884" s="14" t="s">
        <v>328</v>
      </c>
      <c r="AH884" s="14" t="s">
        <v>328</v>
      </c>
      <c r="AI884" s="14"/>
      <c r="AJ884" s="14"/>
      <c r="AK884" s="14"/>
      <c r="AL884" s="14" t="s">
        <v>328</v>
      </c>
      <c r="AM884" s="14"/>
      <c r="AN884" s="13">
        <v>12000</v>
      </c>
      <c r="AO884" s="13">
        <v>12000</v>
      </c>
      <c r="AP884" s="13">
        <v>15000</v>
      </c>
      <c r="AQ884" s="13">
        <v>60000</v>
      </c>
      <c r="AR884" s="13" t="s">
        <v>385</v>
      </c>
      <c r="AS884" s="26">
        <v>108000</v>
      </c>
      <c r="AT884" s="26">
        <v>78000</v>
      </c>
      <c r="AU884" s="26">
        <v>6000</v>
      </c>
      <c r="AV884" s="26">
        <v>18000</v>
      </c>
      <c r="AW884" s="26">
        <v>18000</v>
      </c>
      <c r="AX884" s="62">
        <v>0</v>
      </c>
      <c r="AZ884" s="14" t="s">
        <v>348</v>
      </c>
      <c r="BA884" s="249">
        <f t="shared" si="27"/>
        <v>5</v>
      </c>
      <c r="BB884" s="249">
        <v>0</v>
      </c>
      <c r="BC884" s="249">
        <f t="shared" si="26"/>
        <v>2004</v>
      </c>
    </row>
    <row r="885" spans="1:55" x14ac:dyDescent="0.25">
      <c r="A885" s="52" t="s">
        <v>1857</v>
      </c>
      <c r="B885" s="63" t="s">
        <v>1613</v>
      </c>
      <c r="C885" s="14" t="s">
        <v>348</v>
      </c>
      <c r="D885" s="14">
        <v>2004</v>
      </c>
      <c r="E885" s="14" t="s">
        <v>360</v>
      </c>
      <c r="F885" s="14"/>
      <c r="G885" s="14"/>
      <c r="H885" s="14"/>
      <c r="I885" s="14"/>
      <c r="J885" s="13">
        <v>70000</v>
      </c>
      <c r="K885" s="14" t="s">
        <v>328</v>
      </c>
      <c r="L885" s="14"/>
      <c r="M885" s="14"/>
      <c r="N885" s="13">
        <v>1000</v>
      </c>
      <c r="O885" s="24">
        <v>0.3</v>
      </c>
      <c r="P885" s="14">
        <v>1</v>
      </c>
      <c r="Q885" s="14">
        <v>150</v>
      </c>
      <c r="R885" s="13">
        <v>375</v>
      </c>
      <c r="S885" s="14" t="s">
        <v>371</v>
      </c>
      <c r="T885" s="14">
        <v>4</v>
      </c>
      <c r="U885" s="14">
        <v>6</v>
      </c>
      <c r="V885" s="25">
        <v>200</v>
      </c>
      <c r="W885" s="22">
        <v>2200</v>
      </c>
      <c r="X885" s="14" t="s">
        <v>328</v>
      </c>
      <c r="Y885" s="14"/>
      <c r="Z885" s="14"/>
      <c r="AA885" s="14"/>
      <c r="AB885" s="14"/>
      <c r="AC885" s="14"/>
      <c r="AD885" s="14"/>
      <c r="AE885" s="14"/>
      <c r="AF885" s="14"/>
      <c r="AG885" s="14" t="s">
        <v>328</v>
      </c>
      <c r="AH885" s="14" t="s">
        <v>328</v>
      </c>
      <c r="AI885" s="14"/>
      <c r="AJ885" s="14"/>
      <c r="AK885" s="14"/>
      <c r="AL885" s="14" t="s">
        <v>328</v>
      </c>
      <c r="AM885" s="14"/>
      <c r="AN885" s="13">
        <v>12000</v>
      </c>
      <c r="AO885" s="13">
        <v>12000</v>
      </c>
      <c r="AP885" s="13">
        <v>15000</v>
      </c>
      <c r="AQ885" s="13">
        <v>60000</v>
      </c>
      <c r="AR885" s="13" t="s">
        <v>385</v>
      </c>
      <c r="AS885" s="26">
        <v>108000</v>
      </c>
      <c r="AT885" s="26">
        <v>78000</v>
      </c>
      <c r="AU885" s="26">
        <v>6000</v>
      </c>
      <c r="AV885" s="26">
        <v>18000</v>
      </c>
      <c r="AW885" s="26">
        <v>18000</v>
      </c>
      <c r="AX885" s="62">
        <v>0</v>
      </c>
      <c r="AZ885" s="14" t="s">
        <v>348</v>
      </c>
      <c r="BA885" s="249">
        <f t="shared" si="27"/>
        <v>5</v>
      </c>
      <c r="BB885" s="249">
        <v>0</v>
      </c>
      <c r="BC885" s="249">
        <f t="shared" si="26"/>
        <v>2004</v>
      </c>
    </row>
    <row r="886" spans="1:55" x14ac:dyDescent="0.25">
      <c r="A886" s="52" t="s">
        <v>1857</v>
      </c>
      <c r="B886" s="63" t="s">
        <v>1613</v>
      </c>
      <c r="C886" s="14" t="s">
        <v>348</v>
      </c>
      <c r="D886" s="14">
        <v>2006</v>
      </c>
      <c r="E886" s="14" t="s">
        <v>360</v>
      </c>
      <c r="F886" s="14"/>
      <c r="G886" s="14"/>
      <c r="H886" s="14"/>
      <c r="I886" s="14"/>
      <c r="J886" s="13">
        <v>61000</v>
      </c>
      <c r="K886" s="14" t="s">
        <v>328</v>
      </c>
      <c r="L886" s="14"/>
      <c r="M886" s="14"/>
      <c r="N886" s="13">
        <v>1000</v>
      </c>
      <c r="O886" s="24">
        <v>0.3</v>
      </c>
      <c r="P886" s="14">
        <v>1</v>
      </c>
      <c r="Q886" s="14">
        <v>150</v>
      </c>
      <c r="R886" s="13">
        <v>375</v>
      </c>
      <c r="S886" s="14" t="s">
        <v>371</v>
      </c>
      <c r="T886" s="14">
        <v>4</v>
      </c>
      <c r="U886" s="14">
        <v>6</v>
      </c>
      <c r="V886" s="25">
        <v>200</v>
      </c>
      <c r="W886" s="22">
        <v>2200</v>
      </c>
      <c r="X886" s="14" t="s">
        <v>328</v>
      </c>
      <c r="Y886" s="14"/>
      <c r="Z886" s="14"/>
      <c r="AA886" s="14"/>
      <c r="AB886" s="14"/>
      <c r="AC886" s="14"/>
      <c r="AD886" s="14"/>
      <c r="AE886" s="14"/>
      <c r="AF886" s="14"/>
      <c r="AG886" s="14" t="s">
        <v>328</v>
      </c>
      <c r="AH886" s="14" t="s">
        <v>328</v>
      </c>
      <c r="AI886" s="14"/>
      <c r="AJ886" s="14"/>
      <c r="AK886" s="14"/>
      <c r="AL886" s="14" t="s">
        <v>328</v>
      </c>
      <c r="AM886" s="14"/>
      <c r="AN886" s="13">
        <v>12000</v>
      </c>
      <c r="AO886" s="13">
        <v>12000</v>
      </c>
      <c r="AP886" s="13">
        <v>15000</v>
      </c>
      <c r="AQ886" s="13">
        <v>60000</v>
      </c>
      <c r="AR886" s="13" t="s">
        <v>385</v>
      </c>
      <c r="AS886" s="26">
        <v>108000</v>
      </c>
      <c r="AT886" s="26">
        <v>78000</v>
      </c>
      <c r="AU886" s="26">
        <v>6000</v>
      </c>
      <c r="AV886" s="26">
        <v>16000</v>
      </c>
      <c r="AW886" s="26">
        <v>18000</v>
      </c>
      <c r="AX886" s="62">
        <v>0</v>
      </c>
      <c r="AZ886" s="14" t="s">
        <v>348</v>
      </c>
      <c r="BA886" s="249">
        <f t="shared" si="27"/>
        <v>5</v>
      </c>
      <c r="BB886" s="249">
        <v>0</v>
      </c>
      <c r="BC886" s="249">
        <f t="shared" si="26"/>
        <v>2006</v>
      </c>
    </row>
    <row r="887" spans="1:55" x14ac:dyDescent="0.25">
      <c r="A887" s="52" t="s">
        <v>1857</v>
      </c>
      <c r="B887" s="63" t="s">
        <v>1613</v>
      </c>
      <c r="C887" s="14" t="s">
        <v>348</v>
      </c>
      <c r="D887" s="14">
        <v>2010</v>
      </c>
      <c r="E887" s="14" t="s">
        <v>360</v>
      </c>
      <c r="F887" s="14"/>
      <c r="G887" s="14"/>
      <c r="H887" s="14"/>
      <c r="I887" s="14"/>
      <c r="J887" s="13">
        <v>25000</v>
      </c>
      <c r="K887" s="14" t="s">
        <v>328</v>
      </c>
      <c r="L887" s="14"/>
      <c r="M887" s="14"/>
      <c r="N887" s="13">
        <v>1000</v>
      </c>
      <c r="O887" s="24">
        <v>0.3</v>
      </c>
      <c r="P887" s="14">
        <v>1</v>
      </c>
      <c r="Q887" s="14">
        <v>150</v>
      </c>
      <c r="R887" s="13">
        <v>375</v>
      </c>
      <c r="S887" s="14" t="s">
        <v>371</v>
      </c>
      <c r="T887" s="14">
        <v>4</v>
      </c>
      <c r="U887" s="14">
        <v>6</v>
      </c>
      <c r="V887" s="25">
        <v>200</v>
      </c>
      <c r="W887" s="22">
        <v>2200</v>
      </c>
      <c r="X887" s="14"/>
      <c r="Y887" s="14"/>
      <c r="Z887" s="14"/>
      <c r="AA887" s="14"/>
      <c r="AB887" s="14"/>
      <c r="AC887" s="14" t="s">
        <v>328</v>
      </c>
      <c r="AD887" s="14"/>
      <c r="AE887" s="14"/>
      <c r="AF887" s="14"/>
      <c r="AG887" s="14" t="s">
        <v>328</v>
      </c>
      <c r="AH887" s="14" t="s">
        <v>328</v>
      </c>
      <c r="AI887" s="14"/>
      <c r="AJ887" s="14"/>
      <c r="AK887" s="14"/>
      <c r="AL887" s="14" t="s">
        <v>328</v>
      </c>
      <c r="AM887" s="14"/>
      <c r="AN887" s="13">
        <v>12000</v>
      </c>
      <c r="AO887" s="13">
        <v>12000</v>
      </c>
      <c r="AP887" s="13">
        <v>15000</v>
      </c>
      <c r="AQ887" s="13">
        <v>60000</v>
      </c>
      <c r="AR887" s="13" t="s">
        <v>385</v>
      </c>
      <c r="AS887" s="26">
        <v>108000</v>
      </c>
      <c r="AT887" s="26">
        <v>78000</v>
      </c>
      <c r="AU887" s="26">
        <v>6000</v>
      </c>
      <c r="AV887" s="26">
        <v>15000</v>
      </c>
      <c r="AW887" s="26">
        <v>18000</v>
      </c>
      <c r="AX887" s="62">
        <v>0</v>
      </c>
      <c r="AZ887" s="14" t="s">
        <v>348</v>
      </c>
      <c r="BA887" s="249">
        <f t="shared" si="27"/>
        <v>5</v>
      </c>
      <c r="BB887" s="249">
        <v>0</v>
      </c>
      <c r="BC887" s="249">
        <f t="shared" si="26"/>
        <v>2010</v>
      </c>
    </row>
    <row r="888" spans="1:55" x14ac:dyDescent="0.25">
      <c r="A888" s="52" t="s">
        <v>1857</v>
      </c>
      <c r="B888" s="63" t="s">
        <v>1613</v>
      </c>
      <c r="C888" s="14" t="s">
        <v>348</v>
      </c>
      <c r="D888" s="14">
        <v>2012</v>
      </c>
      <c r="E888" s="14" t="s">
        <v>360</v>
      </c>
      <c r="F888" s="14"/>
      <c r="G888" s="14"/>
      <c r="H888" s="14"/>
      <c r="I888" s="14"/>
      <c r="J888" s="13">
        <v>14500</v>
      </c>
      <c r="K888" s="14" t="s">
        <v>328</v>
      </c>
      <c r="L888" s="14"/>
      <c r="M888" s="14"/>
      <c r="N888" s="13">
        <v>1000</v>
      </c>
      <c r="O888" s="24">
        <v>0.3</v>
      </c>
      <c r="P888" s="14">
        <v>1</v>
      </c>
      <c r="Q888" s="14">
        <v>150</v>
      </c>
      <c r="R888" s="13">
        <v>375</v>
      </c>
      <c r="S888" s="14" t="s">
        <v>371</v>
      </c>
      <c r="T888" s="14">
        <v>4</v>
      </c>
      <c r="U888" s="14">
        <v>6</v>
      </c>
      <c r="V888" s="25">
        <v>200</v>
      </c>
      <c r="W888" s="22">
        <v>2200</v>
      </c>
      <c r="X888" s="14"/>
      <c r="Y888" s="14"/>
      <c r="Z888" s="14"/>
      <c r="AA888" s="14"/>
      <c r="AB888" s="14"/>
      <c r="AC888" s="14" t="s">
        <v>328</v>
      </c>
      <c r="AD888" s="14"/>
      <c r="AE888" s="14"/>
      <c r="AF888" s="14"/>
      <c r="AG888" s="14" t="s">
        <v>328</v>
      </c>
      <c r="AH888" s="14" t="s">
        <v>328</v>
      </c>
      <c r="AI888" s="14"/>
      <c r="AJ888" s="14"/>
      <c r="AK888" s="14"/>
      <c r="AL888" s="14" t="s">
        <v>328</v>
      </c>
      <c r="AM888" s="14"/>
      <c r="AN888" s="13">
        <v>12000</v>
      </c>
      <c r="AO888" s="13">
        <v>12000</v>
      </c>
      <c r="AP888" s="13">
        <v>15000</v>
      </c>
      <c r="AQ888" s="13">
        <v>60000</v>
      </c>
      <c r="AR888" s="13" t="s">
        <v>385</v>
      </c>
      <c r="AS888" s="26">
        <v>108000</v>
      </c>
      <c r="AT888" s="26">
        <v>78000</v>
      </c>
      <c r="AU888" s="26">
        <v>6000</v>
      </c>
      <c r="AV888" s="26">
        <v>15000</v>
      </c>
      <c r="AW888" s="26">
        <v>18000</v>
      </c>
      <c r="AX888" s="62">
        <v>0</v>
      </c>
      <c r="AZ888" s="14" t="s">
        <v>348</v>
      </c>
      <c r="BA888" s="249">
        <f t="shared" si="27"/>
        <v>5</v>
      </c>
      <c r="BB888" s="249">
        <v>0</v>
      </c>
      <c r="BC888" s="249">
        <f t="shared" si="26"/>
        <v>2012</v>
      </c>
    </row>
    <row r="889" spans="1:55" x14ac:dyDescent="0.25">
      <c r="A889" s="52" t="s">
        <v>1857</v>
      </c>
      <c r="B889" s="63" t="s">
        <v>1616</v>
      </c>
      <c r="C889" s="14" t="s">
        <v>359</v>
      </c>
      <c r="D889" s="15">
        <v>2011</v>
      </c>
      <c r="E889" s="14" t="s">
        <v>456</v>
      </c>
      <c r="F889" s="15"/>
      <c r="G889" s="15"/>
      <c r="H889" s="15"/>
      <c r="I889" s="15"/>
      <c r="J889" s="16">
        <v>200000</v>
      </c>
      <c r="K889" s="15" t="s">
        <v>328</v>
      </c>
      <c r="L889" s="15"/>
      <c r="M889" s="15"/>
      <c r="N889" s="16">
        <v>6000</v>
      </c>
      <c r="O889" s="21">
        <v>0.5</v>
      </c>
      <c r="P889" s="15">
        <v>2</v>
      </c>
      <c r="Q889" s="15">
        <v>500</v>
      </c>
      <c r="R889" s="13">
        <v>2200</v>
      </c>
      <c r="S889" s="14" t="s">
        <v>340</v>
      </c>
      <c r="T889" s="15">
        <v>2.2000000000000002</v>
      </c>
      <c r="U889" s="15">
        <v>3</v>
      </c>
      <c r="V889" s="25">
        <v>2450</v>
      </c>
      <c r="W889" s="22">
        <v>34000</v>
      </c>
      <c r="X889" s="15"/>
      <c r="Y889" s="15" t="s">
        <v>328</v>
      </c>
      <c r="Z889" s="15"/>
      <c r="AA889" s="15"/>
      <c r="AB889" s="15"/>
      <c r="AC889" s="15"/>
      <c r="AD889" s="15" t="s">
        <v>328</v>
      </c>
      <c r="AE889" s="15" t="s">
        <v>328</v>
      </c>
      <c r="AF889" s="15"/>
      <c r="AG889" s="15" t="s">
        <v>328</v>
      </c>
      <c r="AH889" s="15" t="s">
        <v>328</v>
      </c>
      <c r="AI889" s="15" t="s">
        <v>328</v>
      </c>
      <c r="AJ889" s="15"/>
      <c r="AK889" s="15" t="s">
        <v>328</v>
      </c>
      <c r="AL889" s="15" t="s">
        <v>328</v>
      </c>
      <c r="AM889" s="15"/>
      <c r="AN889" s="16">
        <v>15000</v>
      </c>
      <c r="AO889" s="16">
        <v>25000</v>
      </c>
      <c r="AP889" s="16">
        <v>60000</v>
      </c>
      <c r="AQ889" s="16">
        <v>132000</v>
      </c>
      <c r="AR889" s="16">
        <v>15000</v>
      </c>
      <c r="AS889" s="22">
        <v>132000</v>
      </c>
      <c r="AT889" s="22">
        <v>60000</v>
      </c>
      <c r="AU889" s="22">
        <v>15000</v>
      </c>
      <c r="AV889" s="22">
        <v>12000</v>
      </c>
      <c r="AW889" s="22">
        <v>7000</v>
      </c>
      <c r="AX889" s="66">
        <v>0</v>
      </c>
      <c r="AZ889" s="15" t="s">
        <v>628</v>
      </c>
      <c r="BA889" s="249">
        <f t="shared" si="27"/>
        <v>5</v>
      </c>
      <c r="BB889" s="249">
        <v>0</v>
      </c>
      <c r="BC889" s="249">
        <f t="shared" si="26"/>
        <v>2011</v>
      </c>
    </row>
    <row r="890" spans="1:55" x14ac:dyDescent="0.25">
      <c r="A890" s="52" t="s">
        <v>1857</v>
      </c>
      <c r="B890" s="63" t="s">
        <v>1616</v>
      </c>
      <c r="C890" s="14" t="s">
        <v>359</v>
      </c>
      <c r="D890" s="15">
        <v>2011</v>
      </c>
      <c r="E890" s="14" t="s">
        <v>456</v>
      </c>
      <c r="F890" s="15"/>
      <c r="G890" s="15"/>
      <c r="H890" s="15"/>
      <c r="I890" s="15"/>
      <c r="J890" s="16">
        <v>200000</v>
      </c>
      <c r="K890" s="15" t="s">
        <v>328</v>
      </c>
      <c r="L890" s="15"/>
      <c r="M890" s="15"/>
      <c r="N890" s="16">
        <v>6000</v>
      </c>
      <c r="O890" s="21">
        <v>0.5</v>
      </c>
      <c r="P890" s="15">
        <v>2</v>
      </c>
      <c r="Q890" s="15">
        <v>500</v>
      </c>
      <c r="R890" s="13">
        <v>2200</v>
      </c>
      <c r="S890" s="14" t="s">
        <v>340</v>
      </c>
      <c r="T890" s="15">
        <v>2.2000000000000002</v>
      </c>
      <c r="U890" s="15">
        <v>3</v>
      </c>
      <c r="V890" s="25">
        <v>2450</v>
      </c>
      <c r="W890" s="22">
        <v>34000</v>
      </c>
      <c r="X890" s="15"/>
      <c r="Y890" s="15" t="s">
        <v>328</v>
      </c>
      <c r="Z890" s="15"/>
      <c r="AA890" s="15"/>
      <c r="AB890" s="15"/>
      <c r="AC890" s="15"/>
      <c r="AD890" s="15" t="s">
        <v>328</v>
      </c>
      <c r="AE890" s="15" t="s">
        <v>328</v>
      </c>
      <c r="AF890" s="15"/>
      <c r="AG890" s="15" t="s">
        <v>328</v>
      </c>
      <c r="AH890" s="15" t="s">
        <v>328</v>
      </c>
      <c r="AI890" s="15" t="s">
        <v>328</v>
      </c>
      <c r="AJ890" s="15"/>
      <c r="AK890" s="15" t="s">
        <v>328</v>
      </c>
      <c r="AL890" s="15" t="s">
        <v>328</v>
      </c>
      <c r="AM890" s="15"/>
      <c r="AN890" s="16">
        <v>15000</v>
      </c>
      <c r="AO890" s="16">
        <v>25000</v>
      </c>
      <c r="AP890" s="16">
        <v>60000</v>
      </c>
      <c r="AQ890" s="16">
        <v>132000</v>
      </c>
      <c r="AR890" s="16">
        <v>15000</v>
      </c>
      <c r="AS890" s="22">
        <v>132000</v>
      </c>
      <c r="AT890" s="22">
        <v>60000</v>
      </c>
      <c r="AU890" s="22">
        <v>15000</v>
      </c>
      <c r="AV890" s="22">
        <v>12000</v>
      </c>
      <c r="AW890" s="22">
        <v>7000</v>
      </c>
      <c r="AX890" s="66">
        <v>0</v>
      </c>
      <c r="AZ890" s="15" t="s">
        <v>628</v>
      </c>
      <c r="BA890" s="249">
        <f t="shared" si="27"/>
        <v>5</v>
      </c>
      <c r="BB890" s="249">
        <v>0</v>
      </c>
      <c r="BC890" s="249">
        <f t="shared" si="26"/>
        <v>2011</v>
      </c>
    </row>
    <row r="891" spans="1:55" x14ac:dyDescent="0.25">
      <c r="A891" s="52" t="s">
        <v>1857</v>
      </c>
      <c r="B891" s="63" t="s">
        <v>1616</v>
      </c>
      <c r="C891" s="14" t="s">
        <v>359</v>
      </c>
      <c r="D891" s="15">
        <v>2011</v>
      </c>
      <c r="E891" s="14" t="s">
        <v>456</v>
      </c>
      <c r="F891" s="15"/>
      <c r="G891" s="15"/>
      <c r="H891" s="15"/>
      <c r="I891" s="15"/>
      <c r="J891" s="16">
        <v>200000</v>
      </c>
      <c r="K891" s="15" t="s">
        <v>328</v>
      </c>
      <c r="L891" s="15"/>
      <c r="M891" s="15"/>
      <c r="N891" s="16">
        <v>6000</v>
      </c>
      <c r="O891" s="21">
        <v>0.5</v>
      </c>
      <c r="P891" s="15">
        <v>2</v>
      </c>
      <c r="Q891" s="15">
        <v>500</v>
      </c>
      <c r="R891" s="13">
        <v>2200</v>
      </c>
      <c r="S891" s="14" t="s">
        <v>340</v>
      </c>
      <c r="T891" s="15">
        <v>2.2000000000000002</v>
      </c>
      <c r="U891" s="15">
        <v>3</v>
      </c>
      <c r="V891" s="25">
        <v>2450</v>
      </c>
      <c r="W891" s="22">
        <v>34000</v>
      </c>
      <c r="X891" s="15"/>
      <c r="Y891" s="15" t="s">
        <v>328</v>
      </c>
      <c r="Z891" s="15"/>
      <c r="AA891" s="15"/>
      <c r="AB891" s="15"/>
      <c r="AC891" s="15"/>
      <c r="AD891" s="15" t="s">
        <v>328</v>
      </c>
      <c r="AE891" s="15" t="s">
        <v>328</v>
      </c>
      <c r="AF891" s="15"/>
      <c r="AG891" s="15" t="s">
        <v>328</v>
      </c>
      <c r="AH891" s="15" t="s">
        <v>328</v>
      </c>
      <c r="AI891" s="15" t="s">
        <v>328</v>
      </c>
      <c r="AJ891" s="15"/>
      <c r="AK891" s="15" t="s">
        <v>328</v>
      </c>
      <c r="AL891" s="15" t="s">
        <v>328</v>
      </c>
      <c r="AM891" s="15"/>
      <c r="AN891" s="16">
        <v>15000</v>
      </c>
      <c r="AO891" s="16">
        <v>25000</v>
      </c>
      <c r="AP891" s="16">
        <v>60000</v>
      </c>
      <c r="AQ891" s="16">
        <v>132000</v>
      </c>
      <c r="AR891" s="16">
        <v>15000</v>
      </c>
      <c r="AS891" s="22">
        <v>132000</v>
      </c>
      <c r="AT891" s="22">
        <v>60000</v>
      </c>
      <c r="AU891" s="22">
        <v>15000</v>
      </c>
      <c r="AV891" s="22">
        <v>12000</v>
      </c>
      <c r="AW891" s="22">
        <v>7000</v>
      </c>
      <c r="AX891" s="66">
        <v>0</v>
      </c>
      <c r="AZ891" s="15" t="s">
        <v>628</v>
      </c>
      <c r="BA891" s="249">
        <f t="shared" si="27"/>
        <v>5</v>
      </c>
      <c r="BB891" s="249">
        <v>0</v>
      </c>
      <c r="BC891" s="249">
        <f t="shared" si="26"/>
        <v>2011</v>
      </c>
    </row>
    <row r="892" spans="1:55" x14ac:dyDescent="0.25">
      <c r="A892" s="52" t="s">
        <v>1857</v>
      </c>
      <c r="B892" s="63" t="s">
        <v>1616</v>
      </c>
      <c r="C892" s="14" t="s">
        <v>359</v>
      </c>
      <c r="D892" s="15">
        <v>2011</v>
      </c>
      <c r="E892" s="14" t="s">
        <v>456</v>
      </c>
      <c r="F892" s="15"/>
      <c r="G892" s="15"/>
      <c r="H892" s="15"/>
      <c r="I892" s="15"/>
      <c r="J892" s="16">
        <v>200000</v>
      </c>
      <c r="K892" s="15" t="s">
        <v>328</v>
      </c>
      <c r="L892" s="15"/>
      <c r="M892" s="15"/>
      <c r="N892" s="16">
        <v>6000</v>
      </c>
      <c r="O892" s="21">
        <v>0.5</v>
      </c>
      <c r="P892" s="15">
        <v>2</v>
      </c>
      <c r="Q892" s="15">
        <v>500</v>
      </c>
      <c r="R892" s="13">
        <v>2200</v>
      </c>
      <c r="S892" s="14" t="s">
        <v>340</v>
      </c>
      <c r="T892" s="15">
        <v>2.2000000000000002</v>
      </c>
      <c r="U892" s="15">
        <v>3</v>
      </c>
      <c r="V892" s="25">
        <v>2450</v>
      </c>
      <c r="W892" s="22">
        <v>34000</v>
      </c>
      <c r="X892" s="15"/>
      <c r="Y892" s="15" t="s">
        <v>328</v>
      </c>
      <c r="Z892" s="15"/>
      <c r="AA892" s="15"/>
      <c r="AB892" s="15"/>
      <c r="AC892" s="15"/>
      <c r="AD892" s="15" t="s">
        <v>328</v>
      </c>
      <c r="AE892" s="15" t="s">
        <v>328</v>
      </c>
      <c r="AF892" s="15"/>
      <c r="AG892" s="15" t="s">
        <v>328</v>
      </c>
      <c r="AH892" s="15" t="s">
        <v>328</v>
      </c>
      <c r="AI892" s="15" t="s">
        <v>328</v>
      </c>
      <c r="AJ892" s="15"/>
      <c r="AK892" s="15" t="s">
        <v>328</v>
      </c>
      <c r="AL892" s="15" t="s">
        <v>328</v>
      </c>
      <c r="AM892" s="15"/>
      <c r="AN892" s="16">
        <v>15000</v>
      </c>
      <c r="AO892" s="16">
        <v>25000</v>
      </c>
      <c r="AP892" s="16">
        <v>60000</v>
      </c>
      <c r="AQ892" s="16">
        <v>132000</v>
      </c>
      <c r="AR892" s="16">
        <v>15000</v>
      </c>
      <c r="AS892" s="22">
        <v>132000</v>
      </c>
      <c r="AT892" s="22">
        <v>60000</v>
      </c>
      <c r="AU892" s="22">
        <v>15000</v>
      </c>
      <c r="AV892" s="22">
        <v>12000</v>
      </c>
      <c r="AW892" s="22">
        <v>7000</v>
      </c>
      <c r="AX892" s="66">
        <v>0</v>
      </c>
      <c r="AZ892" s="15" t="s">
        <v>628</v>
      </c>
      <c r="BA892" s="249">
        <f t="shared" si="27"/>
        <v>5</v>
      </c>
      <c r="BB892" s="249">
        <v>0</v>
      </c>
      <c r="BC892" s="249">
        <f t="shared" si="26"/>
        <v>2011</v>
      </c>
    </row>
    <row r="893" spans="1:55" x14ac:dyDescent="0.25">
      <c r="A893" s="52" t="s">
        <v>1857</v>
      </c>
      <c r="B893" s="63" t="s">
        <v>1616</v>
      </c>
      <c r="C893" s="14" t="s">
        <v>359</v>
      </c>
      <c r="D893" s="15">
        <v>2011</v>
      </c>
      <c r="E893" s="14" t="s">
        <v>456</v>
      </c>
      <c r="F893" s="15"/>
      <c r="G893" s="15"/>
      <c r="H893" s="15"/>
      <c r="I893" s="15"/>
      <c r="J893" s="16">
        <v>200000</v>
      </c>
      <c r="K893" s="15" t="s">
        <v>328</v>
      </c>
      <c r="L893" s="15"/>
      <c r="M893" s="15"/>
      <c r="N893" s="16">
        <v>6000</v>
      </c>
      <c r="O893" s="21">
        <v>0.5</v>
      </c>
      <c r="P893" s="15">
        <v>2</v>
      </c>
      <c r="Q893" s="15">
        <v>500</v>
      </c>
      <c r="R893" s="13">
        <v>2200</v>
      </c>
      <c r="S893" s="14" t="s">
        <v>340</v>
      </c>
      <c r="T893" s="15">
        <v>2.2000000000000002</v>
      </c>
      <c r="U893" s="15">
        <v>3</v>
      </c>
      <c r="V893" s="25">
        <v>2450</v>
      </c>
      <c r="W893" s="22">
        <v>34000</v>
      </c>
      <c r="X893" s="15"/>
      <c r="Y893" s="15" t="s">
        <v>328</v>
      </c>
      <c r="Z893" s="15"/>
      <c r="AA893" s="15"/>
      <c r="AB893" s="15"/>
      <c r="AC893" s="15"/>
      <c r="AD893" s="15" t="s">
        <v>328</v>
      </c>
      <c r="AE893" s="15" t="s">
        <v>328</v>
      </c>
      <c r="AF893" s="15"/>
      <c r="AG893" s="15" t="s">
        <v>328</v>
      </c>
      <c r="AH893" s="15" t="s">
        <v>328</v>
      </c>
      <c r="AI893" s="15" t="s">
        <v>328</v>
      </c>
      <c r="AJ893" s="15"/>
      <c r="AK893" s="15" t="s">
        <v>328</v>
      </c>
      <c r="AL893" s="15" t="s">
        <v>328</v>
      </c>
      <c r="AM893" s="15"/>
      <c r="AN893" s="16">
        <v>15000</v>
      </c>
      <c r="AO893" s="16">
        <v>25000</v>
      </c>
      <c r="AP893" s="16">
        <v>60000</v>
      </c>
      <c r="AQ893" s="16">
        <v>132000</v>
      </c>
      <c r="AR893" s="16">
        <v>15000</v>
      </c>
      <c r="AS893" s="22">
        <v>132000</v>
      </c>
      <c r="AT893" s="22">
        <v>60000</v>
      </c>
      <c r="AU893" s="22">
        <v>15000</v>
      </c>
      <c r="AV893" s="22">
        <v>12000</v>
      </c>
      <c r="AW893" s="22">
        <v>7000</v>
      </c>
      <c r="AX893" s="66">
        <v>0</v>
      </c>
      <c r="AZ893" s="15" t="s">
        <v>628</v>
      </c>
      <c r="BA893" s="249">
        <f t="shared" si="27"/>
        <v>5</v>
      </c>
      <c r="BB893" s="249">
        <v>0</v>
      </c>
      <c r="BC893" s="249">
        <f t="shared" si="26"/>
        <v>2011</v>
      </c>
    </row>
    <row r="894" spans="1:55" x14ac:dyDescent="0.25">
      <c r="A894" s="52" t="s">
        <v>1857</v>
      </c>
      <c r="B894" s="63" t="s">
        <v>1618</v>
      </c>
      <c r="C894" s="14" t="s">
        <v>337</v>
      </c>
      <c r="D894" s="14">
        <v>2007</v>
      </c>
      <c r="E894" s="14" t="s">
        <v>477</v>
      </c>
      <c r="F894" s="14"/>
      <c r="G894" s="14"/>
      <c r="H894" s="14"/>
      <c r="I894" s="14"/>
      <c r="J894" s="13">
        <v>450000</v>
      </c>
      <c r="K894" s="14"/>
      <c r="L894" s="14" t="s">
        <v>328</v>
      </c>
      <c r="M894" s="14"/>
      <c r="N894" s="13">
        <v>6000</v>
      </c>
      <c r="O894" s="24">
        <v>0.5</v>
      </c>
      <c r="P894" s="14">
        <v>2</v>
      </c>
      <c r="Q894" s="14">
        <v>1120</v>
      </c>
      <c r="R894" s="13">
        <v>4704</v>
      </c>
      <c r="S894" s="14" t="s">
        <v>340</v>
      </c>
      <c r="T894" s="14">
        <v>2.1</v>
      </c>
      <c r="U894" s="14">
        <v>2.7</v>
      </c>
      <c r="V894" s="25">
        <v>2692.9982046678633</v>
      </c>
      <c r="W894" s="26">
        <v>30000</v>
      </c>
      <c r="X894" s="14"/>
      <c r="Y894" s="14"/>
      <c r="Z894" s="14"/>
      <c r="AA894" s="14"/>
      <c r="AB894" s="14" t="s">
        <v>328</v>
      </c>
      <c r="AC894" s="14"/>
      <c r="AD894" s="14" t="s">
        <v>328</v>
      </c>
      <c r="AE894" s="14"/>
      <c r="AF894" s="14"/>
      <c r="AG894" s="14"/>
      <c r="AH894" s="14"/>
      <c r="AI894" s="14"/>
      <c r="AJ894" s="14"/>
      <c r="AK894" s="14"/>
      <c r="AL894" s="14" t="s">
        <v>328</v>
      </c>
      <c r="AM894" s="14"/>
      <c r="AN894" s="13">
        <v>20000</v>
      </c>
      <c r="AO894" s="13">
        <v>20000</v>
      </c>
      <c r="AP894" s="13">
        <v>180000</v>
      </c>
      <c r="AQ894" s="13">
        <v>140000</v>
      </c>
      <c r="AR894" s="13">
        <v>20000</v>
      </c>
      <c r="AS894" s="26">
        <v>186000</v>
      </c>
      <c r="AT894" s="26">
        <v>0</v>
      </c>
      <c r="AU894" s="26">
        <v>54000</v>
      </c>
      <c r="AV894" s="26">
        <v>39600</v>
      </c>
      <c r="AW894" s="26">
        <v>36000</v>
      </c>
      <c r="AX894" s="62">
        <v>0</v>
      </c>
      <c r="AZ894" s="14" t="s">
        <v>561</v>
      </c>
      <c r="BA894" s="249">
        <f t="shared" si="27"/>
        <v>3</v>
      </c>
      <c r="BB894" s="249">
        <v>0</v>
      </c>
      <c r="BC894" s="249">
        <f t="shared" si="26"/>
        <v>2007</v>
      </c>
    </row>
    <row r="895" spans="1:55" x14ac:dyDescent="0.25">
      <c r="A895" s="52" t="s">
        <v>1857</v>
      </c>
      <c r="B895" s="63" t="s">
        <v>1618</v>
      </c>
      <c r="C895" s="14" t="s">
        <v>337</v>
      </c>
      <c r="D895" s="14">
        <v>2008</v>
      </c>
      <c r="E895" s="14" t="s">
        <v>477</v>
      </c>
      <c r="F895" s="14"/>
      <c r="G895" s="14"/>
      <c r="H895" s="14"/>
      <c r="I895" s="14"/>
      <c r="J895" s="13">
        <v>395000</v>
      </c>
      <c r="K895" s="14"/>
      <c r="L895" s="14" t="s">
        <v>328</v>
      </c>
      <c r="M895" s="14"/>
      <c r="N895" s="13">
        <v>6000</v>
      </c>
      <c r="O895" s="24">
        <v>0.5</v>
      </c>
      <c r="P895" s="14">
        <v>2</v>
      </c>
      <c r="Q895" s="14">
        <v>1200</v>
      </c>
      <c r="R895" s="13">
        <v>5040</v>
      </c>
      <c r="S895" s="14" t="s">
        <v>340</v>
      </c>
      <c r="T895" s="14">
        <v>2.1</v>
      </c>
      <c r="U895" s="14">
        <v>2.7</v>
      </c>
      <c r="V895" s="25">
        <v>2692.9982046678633</v>
      </c>
      <c r="W895" s="26">
        <v>30000</v>
      </c>
      <c r="X895" s="14"/>
      <c r="Y895" s="14"/>
      <c r="Z895" s="14"/>
      <c r="AA895" s="14"/>
      <c r="AB895" s="14"/>
      <c r="AC895" s="14" t="s">
        <v>328</v>
      </c>
      <c r="AD895" s="14" t="s">
        <v>328</v>
      </c>
      <c r="AE895" s="14"/>
      <c r="AF895" s="14"/>
      <c r="AG895" s="14"/>
      <c r="AH895" s="14"/>
      <c r="AI895" s="14"/>
      <c r="AJ895" s="14"/>
      <c r="AK895" s="14"/>
      <c r="AL895" s="14" t="s">
        <v>328</v>
      </c>
      <c r="AM895" s="14"/>
      <c r="AN895" s="13">
        <v>20000</v>
      </c>
      <c r="AO895" s="13">
        <v>20000</v>
      </c>
      <c r="AP895" s="13">
        <v>180000</v>
      </c>
      <c r="AQ895" s="13">
        <v>140000</v>
      </c>
      <c r="AR895" s="13">
        <v>20000</v>
      </c>
      <c r="AS895" s="26">
        <v>186000</v>
      </c>
      <c r="AT895" s="26">
        <v>0</v>
      </c>
      <c r="AU895" s="26">
        <v>90000</v>
      </c>
      <c r="AV895" s="26">
        <v>39600</v>
      </c>
      <c r="AW895" s="26">
        <v>36000</v>
      </c>
      <c r="AX895" s="62">
        <v>0</v>
      </c>
      <c r="AZ895" s="14" t="s">
        <v>561</v>
      </c>
      <c r="BA895" s="249">
        <f t="shared" si="27"/>
        <v>3</v>
      </c>
      <c r="BB895" s="249">
        <v>0</v>
      </c>
      <c r="BC895" s="249">
        <f t="shared" si="26"/>
        <v>2008</v>
      </c>
    </row>
    <row r="896" spans="1:55" x14ac:dyDescent="0.25">
      <c r="A896" s="52" t="s">
        <v>1857</v>
      </c>
      <c r="B896" s="63" t="s">
        <v>1618</v>
      </c>
      <c r="C896" s="14" t="s">
        <v>337</v>
      </c>
      <c r="D896" s="14">
        <v>2008</v>
      </c>
      <c r="E896" s="14" t="s">
        <v>477</v>
      </c>
      <c r="F896" s="14"/>
      <c r="G896" s="14"/>
      <c r="H896" s="14"/>
      <c r="I896" s="14"/>
      <c r="J896" s="13">
        <v>350000</v>
      </c>
      <c r="K896" s="14"/>
      <c r="L896" s="14" t="s">
        <v>328</v>
      </c>
      <c r="M896" s="14"/>
      <c r="N896" s="13">
        <v>6000</v>
      </c>
      <c r="O896" s="24">
        <v>0.5</v>
      </c>
      <c r="P896" s="14">
        <v>2</v>
      </c>
      <c r="Q896" s="14">
        <v>1184</v>
      </c>
      <c r="R896" s="13">
        <v>4972.8</v>
      </c>
      <c r="S896" s="14" t="s">
        <v>340</v>
      </c>
      <c r="T896" s="14">
        <v>2.1</v>
      </c>
      <c r="U896" s="14">
        <v>2.7</v>
      </c>
      <c r="V896" s="25">
        <v>2692.9982046678633</v>
      </c>
      <c r="W896" s="26">
        <v>30000</v>
      </c>
      <c r="X896" s="14"/>
      <c r="Y896" s="14"/>
      <c r="Z896" s="14"/>
      <c r="AA896" s="14"/>
      <c r="AB896" s="14"/>
      <c r="AC896" s="14" t="s">
        <v>328</v>
      </c>
      <c r="AD896" s="14" t="s">
        <v>328</v>
      </c>
      <c r="AE896" s="14"/>
      <c r="AF896" s="14"/>
      <c r="AG896" s="14"/>
      <c r="AH896" s="14"/>
      <c r="AI896" s="14"/>
      <c r="AJ896" s="14"/>
      <c r="AK896" s="14"/>
      <c r="AL896" s="14" t="s">
        <v>328</v>
      </c>
      <c r="AM896" s="14"/>
      <c r="AN896" s="13">
        <v>20000</v>
      </c>
      <c r="AO896" s="13">
        <v>20000</v>
      </c>
      <c r="AP896" s="13">
        <v>180000</v>
      </c>
      <c r="AQ896" s="13">
        <v>140000</v>
      </c>
      <c r="AR896" s="13">
        <v>20000</v>
      </c>
      <c r="AS896" s="26">
        <v>186000</v>
      </c>
      <c r="AT896" s="26">
        <v>0</v>
      </c>
      <c r="AU896" s="26">
        <v>90000</v>
      </c>
      <c r="AV896" s="26">
        <v>39600</v>
      </c>
      <c r="AW896" s="26">
        <v>36000</v>
      </c>
      <c r="AX896" s="62">
        <v>0</v>
      </c>
      <c r="AZ896" s="14" t="s">
        <v>561</v>
      </c>
      <c r="BA896" s="249">
        <f t="shared" si="27"/>
        <v>3</v>
      </c>
      <c r="BB896" s="249">
        <v>0</v>
      </c>
      <c r="BC896" s="249">
        <f t="shared" si="26"/>
        <v>2008</v>
      </c>
    </row>
    <row r="897" spans="1:55" x14ac:dyDescent="0.25">
      <c r="A897" s="52" t="s">
        <v>1857</v>
      </c>
      <c r="B897" s="63" t="s">
        <v>1621</v>
      </c>
      <c r="C897" s="15" t="s">
        <v>337</v>
      </c>
      <c r="D897" s="15">
        <v>1978</v>
      </c>
      <c r="E897" s="15"/>
      <c r="F897" s="15"/>
      <c r="G897" s="15"/>
      <c r="H897" s="15">
        <v>2000</v>
      </c>
      <c r="I897" s="15" t="s">
        <v>374</v>
      </c>
      <c r="J897" s="16">
        <v>1050000</v>
      </c>
      <c r="K897" s="15"/>
      <c r="L897" s="15" t="s">
        <v>328</v>
      </c>
      <c r="M897" s="15"/>
      <c r="N897" s="16">
        <v>3000</v>
      </c>
      <c r="O897" s="21">
        <v>0.5</v>
      </c>
      <c r="P897" s="15">
        <v>2</v>
      </c>
      <c r="Q897" s="15">
        <v>550</v>
      </c>
      <c r="R897" s="16">
        <v>1980</v>
      </c>
      <c r="S897" s="15" t="s">
        <v>340</v>
      </c>
      <c r="T897" s="15">
        <v>1.8</v>
      </c>
      <c r="U897" s="15">
        <v>2.1</v>
      </c>
      <c r="V897" s="27">
        <v>1600</v>
      </c>
      <c r="W897" s="22">
        <v>22000</v>
      </c>
      <c r="X897" s="15"/>
      <c r="Y897" s="15"/>
      <c r="Z897" s="15"/>
      <c r="AA897" s="15"/>
      <c r="AB897" s="15" t="s">
        <v>328</v>
      </c>
      <c r="AC897" s="15"/>
      <c r="AD897" s="15"/>
      <c r="AE897" s="15" t="s">
        <v>328</v>
      </c>
      <c r="AF897" s="15"/>
      <c r="AG897" s="15" t="s">
        <v>328</v>
      </c>
      <c r="AH897" s="15" t="s">
        <v>328</v>
      </c>
      <c r="AI897" s="15"/>
      <c r="AJ897" s="15"/>
      <c r="AK897" s="15"/>
      <c r="AL897" s="15" t="s">
        <v>328</v>
      </c>
      <c r="AM897" s="15"/>
      <c r="AN897" s="16">
        <v>20000</v>
      </c>
      <c r="AO897" s="16">
        <v>20000</v>
      </c>
      <c r="AP897" s="16">
        <v>20000</v>
      </c>
      <c r="AQ897" s="16">
        <v>125000</v>
      </c>
      <c r="AR897" s="16">
        <v>20000</v>
      </c>
      <c r="AS897" s="22">
        <v>90000</v>
      </c>
      <c r="AT897" s="22">
        <v>0</v>
      </c>
      <c r="AU897" s="22">
        <v>35000</v>
      </c>
      <c r="AV897" s="22">
        <v>18000</v>
      </c>
      <c r="AW897" s="22">
        <v>15000</v>
      </c>
      <c r="AX897" s="66">
        <v>0</v>
      </c>
      <c r="AZ897" s="15" t="s">
        <v>337</v>
      </c>
      <c r="BA897" s="249">
        <f t="shared" si="27"/>
        <v>1</v>
      </c>
      <c r="BB897" s="249">
        <v>0</v>
      </c>
      <c r="BC897" s="249">
        <f t="shared" si="26"/>
        <v>2000</v>
      </c>
    </row>
    <row r="898" spans="1:55" x14ac:dyDescent="0.25">
      <c r="A898" s="52" t="s">
        <v>1857</v>
      </c>
      <c r="B898" s="63" t="s">
        <v>1624</v>
      </c>
      <c r="C898" s="14" t="s">
        <v>337</v>
      </c>
      <c r="D898" s="14">
        <v>1985</v>
      </c>
      <c r="E898" s="14"/>
      <c r="F898" s="14"/>
      <c r="G898" s="14"/>
      <c r="H898" s="14">
        <v>2000</v>
      </c>
      <c r="I898" s="14" t="s">
        <v>374</v>
      </c>
      <c r="J898" s="13">
        <v>2000000</v>
      </c>
      <c r="K898" s="14"/>
      <c r="L898" s="14" t="s">
        <v>328</v>
      </c>
      <c r="M898" s="14"/>
      <c r="N898" s="13">
        <v>6000</v>
      </c>
      <c r="O898" s="24">
        <v>0.5</v>
      </c>
      <c r="P898" s="14">
        <v>2</v>
      </c>
      <c r="Q898" s="14">
        <v>450</v>
      </c>
      <c r="R898" s="13">
        <v>1620</v>
      </c>
      <c r="S898" s="14" t="s">
        <v>340</v>
      </c>
      <c r="T898" s="14">
        <v>1.8</v>
      </c>
      <c r="U898" s="14">
        <v>2</v>
      </c>
      <c r="V898" s="27">
        <v>3000</v>
      </c>
      <c r="W898" s="22">
        <v>43000</v>
      </c>
      <c r="X898" s="14"/>
      <c r="Y898" s="14" t="s">
        <v>328</v>
      </c>
      <c r="Z898" s="14"/>
      <c r="AA898" s="14"/>
      <c r="AB898" s="14"/>
      <c r="AC898" s="14"/>
      <c r="AD898" s="14"/>
      <c r="AE898" s="14" t="s">
        <v>328</v>
      </c>
      <c r="AF898" s="14"/>
      <c r="AG898" s="14" t="s">
        <v>328</v>
      </c>
      <c r="AH898" s="14" t="s">
        <v>328</v>
      </c>
      <c r="AI898" s="14"/>
      <c r="AJ898" s="14"/>
      <c r="AK898" s="14" t="s">
        <v>328</v>
      </c>
      <c r="AL898" s="14"/>
      <c r="AM898" s="14"/>
      <c r="AN898" s="13">
        <v>16000</v>
      </c>
      <c r="AO898" s="13">
        <v>16000</v>
      </c>
      <c r="AP898" s="13">
        <v>25000</v>
      </c>
      <c r="AQ898" s="13">
        <v>100000</v>
      </c>
      <c r="AR898" s="13">
        <v>16000</v>
      </c>
      <c r="AS898" s="26">
        <v>93600</v>
      </c>
      <c r="AT898" s="26">
        <v>0</v>
      </c>
      <c r="AU898" s="26">
        <v>60000</v>
      </c>
      <c r="AV898" s="26">
        <v>20000</v>
      </c>
      <c r="AW898" s="26">
        <v>18000</v>
      </c>
      <c r="AX898" s="62">
        <v>0</v>
      </c>
      <c r="AZ898" s="14" t="s">
        <v>337</v>
      </c>
      <c r="BA898" s="249">
        <f t="shared" si="27"/>
        <v>6</v>
      </c>
      <c r="BB898" s="249">
        <v>0</v>
      </c>
      <c r="BC898" s="249">
        <f t="shared" si="26"/>
        <v>2000</v>
      </c>
    </row>
    <row r="899" spans="1:55" x14ac:dyDescent="0.25">
      <c r="A899" s="52" t="s">
        <v>1857</v>
      </c>
      <c r="B899" s="63" t="s">
        <v>1624</v>
      </c>
      <c r="C899" s="14" t="s">
        <v>337</v>
      </c>
      <c r="D899" s="14">
        <v>1985</v>
      </c>
      <c r="E899" s="14"/>
      <c r="F899" s="14"/>
      <c r="G899" s="14"/>
      <c r="H899" s="14">
        <v>2002</v>
      </c>
      <c r="I899" s="14" t="s">
        <v>1172</v>
      </c>
      <c r="J899" s="13">
        <v>2000000</v>
      </c>
      <c r="K899" s="14"/>
      <c r="L899" s="14" t="s">
        <v>328</v>
      </c>
      <c r="M899" s="14"/>
      <c r="N899" s="13">
        <v>6000</v>
      </c>
      <c r="O899" s="24">
        <v>0.5</v>
      </c>
      <c r="P899" s="14">
        <v>2</v>
      </c>
      <c r="Q899" s="14">
        <v>450</v>
      </c>
      <c r="R899" s="13">
        <v>1620</v>
      </c>
      <c r="S899" s="14" t="s">
        <v>340</v>
      </c>
      <c r="T899" s="14">
        <v>1.8</v>
      </c>
      <c r="U899" s="14">
        <v>2</v>
      </c>
      <c r="V899" s="27">
        <v>3000</v>
      </c>
      <c r="W899" s="22">
        <v>43000</v>
      </c>
      <c r="X899" s="14"/>
      <c r="Y899" s="14" t="s">
        <v>328</v>
      </c>
      <c r="Z899" s="14"/>
      <c r="AA899" s="14"/>
      <c r="AB899" s="14"/>
      <c r="AC899" s="14"/>
      <c r="AD899" s="14"/>
      <c r="AE899" s="14" t="s">
        <v>328</v>
      </c>
      <c r="AF899" s="14"/>
      <c r="AG899" s="14" t="s">
        <v>328</v>
      </c>
      <c r="AH899" s="14" t="s">
        <v>328</v>
      </c>
      <c r="AI899" s="14"/>
      <c r="AJ899" s="14"/>
      <c r="AK899" s="14" t="s">
        <v>328</v>
      </c>
      <c r="AL899" s="14"/>
      <c r="AM899" s="14"/>
      <c r="AN899" s="13">
        <v>16000</v>
      </c>
      <c r="AO899" s="13">
        <v>16000</v>
      </c>
      <c r="AP899" s="13">
        <v>25000</v>
      </c>
      <c r="AQ899" s="13">
        <v>100000</v>
      </c>
      <c r="AR899" s="13">
        <v>16000</v>
      </c>
      <c r="AS899" s="26">
        <v>93600</v>
      </c>
      <c r="AT899" s="26">
        <v>0</v>
      </c>
      <c r="AU899" s="26">
        <v>60000</v>
      </c>
      <c r="AV899" s="26">
        <v>20000</v>
      </c>
      <c r="AW899" s="26">
        <v>18000</v>
      </c>
      <c r="AX899" s="62">
        <v>0</v>
      </c>
      <c r="AZ899" s="14" t="s">
        <v>337</v>
      </c>
      <c r="BA899" s="249">
        <f t="shared" si="27"/>
        <v>6</v>
      </c>
      <c r="BB899" s="249">
        <v>0</v>
      </c>
      <c r="BC899" s="249">
        <f t="shared" si="26"/>
        <v>2002</v>
      </c>
    </row>
    <row r="900" spans="1:55" x14ac:dyDescent="0.25">
      <c r="A900" s="52" t="s">
        <v>1857</v>
      </c>
      <c r="B900" s="63" t="s">
        <v>1624</v>
      </c>
      <c r="C900" s="14" t="s">
        <v>337</v>
      </c>
      <c r="D900" s="14">
        <v>1985</v>
      </c>
      <c r="E900" s="14"/>
      <c r="F900" s="14"/>
      <c r="G900" s="14"/>
      <c r="H900" s="14">
        <v>2002</v>
      </c>
      <c r="I900" s="14" t="s">
        <v>444</v>
      </c>
      <c r="J900" s="13">
        <v>2000000</v>
      </c>
      <c r="K900" s="14"/>
      <c r="L900" s="14" t="s">
        <v>328</v>
      </c>
      <c r="M900" s="14"/>
      <c r="N900" s="13">
        <v>6000</v>
      </c>
      <c r="O900" s="24">
        <v>0.5</v>
      </c>
      <c r="P900" s="14">
        <v>2</v>
      </c>
      <c r="Q900" s="14">
        <v>450</v>
      </c>
      <c r="R900" s="13">
        <v>1620</v>
      </c>
      <c r="S900" s="14" t="s">
        <v>340</v>
      </c>
      <c r="T900" s="14">
        <v>1.8</v>
      </c>
      <c r="U900" s="14">
        <v>2</v>
      </c>
      <c r="V900" s="27">
        <v>3000</v>
      </c>
      <c r="W900" s="22">
        <v>43000</v>
      </c>
      <c r="X900" s="14"/>
      <c r="Y900" s="14" t="s">
        <v>328</v>
      </c>
      <c r="Z900" s="14"/>
      <c r="AA900" s="14"/>
      <c r="AB900" s="14"/>
      <c r="AC900" s="14"/>
      <c r="AD900" s="14"/>
      <c r="AE900" s="14" t="s">
        <v>328</v>
      </c>
      <c r="AF900" s="14"/>
      <c r="AG900" s="14" t="s">
        <v>328</v>
      </c>
      <c r="AH900" s="14" t="s">
        <v>328</v>
      </c>
      <c r="AI900" s="14"/>
      <c r="AJ900" s="14"/>
      <c r="AK900" s="14" t="s">
        <v>328</v>
      </c>
      <c r="AL900" s="14"/>
      <c r="AM900" s="14"/>
      <c r="AN900" s="13">
        <v>16000</v>
      </c>
      <c r="AO900" s="13">
        <v>16000</v>
      </c>
      <c r="AP900" s="13">
        <v>25000</v>
      </c>
      <c r="AQ900" s="13">
        <v>100000</v>
      </c>
      <c r="AR900" s="13">
        <v>16000</v>
      </c>
      <c r="AS900" s="26">
        <v>93600</v>
      </c>
      <c r="AT900" s="26">
        <v>0</v>
      </c>
      <c r="AU900" s="26">
        <v>60000</v>
      </c>
      <c r="AV900" s="26">
        <v>20000</v>
      </c>
      <c r="AW900" s="26">
        <v>18000</v>
      </c>
      <c r="AX900" s="62">
        <v>0</v>
      </c>
      <c r="AZ900" s="14" t="s">
        <v>337</v>
      </c>
      <c r="BA900" s="249">
        <f t="shared" si="27"/>
        <v>6</v>
      </c>
      <c r="BB900" s="249">
        <v>0</v>
      </c>
      <c r="BC900" s="249">
        <f t="shared" si="26"/>
        <v>2002</v>
      </c>
    </row>
    <row r="901" spans="1:55" x14ac:dyDescent="0.25">
      <c r="A901" s="52" t="s">
        <v>1857</v>
      </c>
      <c r="B901" s="63" t="s">
        <v>1624</v>
      </c>
      <c r="C901" s="14" t="s">
        <v>337</v>
      </c>
      <c r="D901" s="14">
        <v>1985</v>
      </c>
      <c r="E901" s="14"/>
      <c r="F901" s="14"/>
      <c r="G901" s="14"/>
      <c r="H901" s="14">
        <v>2005</v>
      </c>
      <c r="I901" s="14" t="s">
        <v>374</v>
      </c>
      <c r="J901" s="13">
        <v>2000000</v>
      </c>
      <c r="K901" s="14"/>
      <c r="L901" s="14" t="s">
        <v>328</v>
      </c>
      <c r="M901" s="14"/>
      <c r="N901" s="13">
        <v>6000</v>
      </c>
      <c r="O901" s="24">
        <v>0.5</v>
      </c>
      <c r="P901" s="14">
        <v>2</v>
      </c>
      <c r="Q901" s="14">
        <v>450</v>
      </c>
      <c r="R901" s="13">
        <v>1620</v>
      </c>
      <c r="S901" s="14" t="s">
        <v>340</v>
      </c>
      <c r="T901" s="14">
        <v>1.8</v>
      </c>
      <c r="U901" s="14">
        <v>2</v>
      </c>
      <c r="V901" s="27">
        <v>3000</v>
      </c>
      <c r="W901" s="22">
        <v>43000</v>
      </c>
      <c r="X901" s="14"/>
      <c r="Y901" s="14" t="s">
        <v>328</v>
      </c>
      <c r="Z901" s="14"/>
      <c r="AA901" s="14"/>
      <c r="AB901" s="14"/>
      <c r="AC901" s="14"/>
      <c r="AD901" s="14"/>
      <c r="AE901" s="14" t="s">
        <v>328</v>
      </c>
      <c r="AF901" s="14"/>
      <c r="AG901" s="14" t="s">
        <v>328</v>
      </c>
      <c r="AH901" s="14" t="s">
        <v>328</v>
      </c>
      <c r="AI901" s="14"/>
      <c r="AJ901" s="14"/>
      <c r="AK901" s="14" t="s">
        <v>328</v>
      </c>
      <c r="AL901" s="14"/>
      <c r="AM901" s="14"/>
      <c r="AN901" s="13">
        <v>16000</v>
      </c>
      <c r="AO901" s="13">
        <v>16000</v>
      </c>
      <c r="AP901" s="13">
        <v>25000</v>
      </c>
      <c r="AQ901" s="13">
        <v>100000</v>
      </c>
      <c r="AR901" s="13">
        <v>16000</v>
      </c>
      <c r="AS901" s="26">
        <v>93600</v>
      </c>
      <c r="AT901" s="26">
        <v>0</v>
      </c>
      <c r="AU901" s="26">
        <v>60000</v>
      </c>
      <c r="AV901" s="26">
        <v>20000</v>
      </c>
      <c r="AW901" s="26">
        <v>18000</v>
      </c>
      <c r="AX901" s="62">
        <v>0</v>
      </c>
      <c r="AZ901" s="14" t="s">
        <v>337</v>
      </c>
      <c r="BA901" s="249">
        <f t="shared" si="27"/>
        <v>6</v>
      </c>
      <c r="BB901" s="249">
        <v>0</v>
      </c>
      <c r="BC901" s="249">
        <f t="shared" si="26"/>
        <v>2005</v>
      </c>
    </row>
    <row r="902" spans="1:55" x14ac:dyDescent="0.25">
      <c r="A902" s="52" t="s">
        <v>1857</v>
      </c>
      <c r="B902" s="63" t="s">
        <v>1624</v>
      </c>
      <c r="C902" s="14" t="s">
        <v>337</v>
      </c>
      <c r="D902" s="14">
        <v>1985</v>
      </c>
      <c r="E902" s="14"/>
      <c r="F902" s="14"/>
      <c r="G902" s="14"/>
      <c r="H902" s="14">
        <v>2005</v>
      </c>
      <c r="I902" s="14" t="s">
        <v>444</v>
      </c>
      <c r="J902" s="13">
        <v>2000000</v>
      </c>
      <c r="K902" s="14"/>
      <c r="L902" s="14" t="s">
        <v>328</v>
      </c>
      <c r="M902" s="14"/>
      <c r="N902" s="13">
        <v>6000</v>
      </c>
      <c r="O902" s="24">
        <v>0.5</v>
      </c>
      <c r="P902" s="14">
        <v>2</v>
      </c>
      <c r="Q902" s="14">
        <v>450</v>
      </c>
      <c r="R902" s="13">
        <v>1620</v>
      </c>
      <c r="S902" s="14" t="s">
        <v>340</v>
      </c>
      <c r="T902" s="14">
        <v>1.8</v>
      </c>
      <c r="U902" s="14">
        <v>2</v>
      </c>
      <c r="V902" s="27">
        <v>3000</v>
      </c>
      <c r="W902" s="22">
        <v>43000</v>
      </c>
      <c r="X902" s="14"/>
      <c r="Y902" s="14" t="s">
        <v>328</v>
      </c>
      <c r="Z902" s="14"/>
      <c r="AA902" s="14"/>
      <c r="AB902" s="14"/>
      <c r="AC902" s="14"/>
      <c r="AD902" s="14"/>
      <c r="AE902" s="14" t="s">
        <v>328</v>
      </c>
      <c r="AF902" s="14"/>
      <c r="AG902" s="14" t="s">
        <v>328</v>
      </c>
      <c r="AH902" s="14" t="s">
        <v>328</v>
      </c>
      <c r="AI902" s="14"/>
      <c r="AJ902" s="14"/>
      <c r="AK902" s="14" t="s">
        <v>328</v>
      </c>
      <c r="AL902" s="14"/>
      <c r="AM902" s="14"/>
      <c r="AN902" s="13">
        <v>16000</v>
      </c>
      <c r="AO902" s="13">
        <v>16000</v>
      </c>
      <c r="AP902" s="13">
        <v>25000</v>
      </c>
      <c r="AQ902" s="13">
        <v>100000</v>
      </c>
      <c r="AR902" s="13">
        <v>16000</v>
      </c>
      <c r="AS902" s="26">
        <v>93600</v>
      </c>
      <c r="AT902" s="26">
        <v>0</v>
      </c>
      <c r="AU902" s="26">
        <v>60000</v>
      </c>
      <c r="AV902" s="26">
        <v>20000</v>
      </c>
      <c r="AW902" s="26">
        <v>18000</v>
      </c>
      <c r="AX902" s="62">
        <v>0</v>
      </c>
      <c r="AZ902" s="14" t="s">
        <v>337</v>
      </c>
      <c r="BA902" s="249">
        <f t="shared" si="27"/>
        <v>6</v>
      </c>
      <c r="BB902" s="249">
        <v>0</v>
      </c>
      <c r="BC902" s="249">
        <f t="shared" si="26"/>
        <v>2005</v>
      </c>
    </row>
    <row r="903" spans="1:55" x14ac:dyDescent="0.25">
      <c r="A903" s="52" t="s">
        <v>1857</v>
      </c>
      <c r="B903" s="65" t="s">
        <v>1624</v>
      </c>
      <c r="C903" s="14" t="s">
        <v>337</v>
      </c>
      <c r="D903" s="14">
        <v>2000</v>
      </c>
      <c r="E903" s="14" t="s">
        <v>338</v>
      </c>
      <c r="F903" s="14"/>
      <c r="G903" s="14"/>
      <c r="H903" s="14"/>
      <c r="I903" s="14"/>
      <c r="J903" s="13">
        <v>500000</v>
      </c>
      <c r="K903" s="14"/>
      <c r="L903" s="14" t="s">
        <v>328</v>
      </c>
      <c r="M903" s="14"/>
      <c r="N903" s="13">
        <v>6000</v>
      </c>
      <c r="O903" s="24">
        <v>0.5</v>
      </c>
      <c r="P903" s="14">
        <v>2</v>
      </c>
      <c r="Q903" s="14">
        <v>450</v>
      </c>
      <c r="R903" s="13">
        <v>1620</v>
      </c>
      <c r="S903" s="14" t="s">
        <v>340</v>
      </c>
      <c r="T903" s="14">
        <v>1.8</v>
      </c>
      <c r="U903" s="14">
        <v>2</v>
      </c>
      <c r="V903" s="27">
        <v>3000</v>
      </c>
      <c r="W903" s="22">
        <v>43000</v>
      </c>
      <c r="X903" s="14"/>
      <c r="Y903" s="14"/>
      <c r="Z903" s="14"/>
      <c r="AA903" s="14"/>
      <c r="AB903" s="14" t="s">
        <v>328</v>
      </c>
      <c r="AC903" s="14"/>
      <c r="AD903" s="14" t="s">
        <v>328</v>
      </c>
      <c r="AE903" s="14" t="s">
        <v>328</v>
      </c>
      <c r="AF903" s="14"/>
      <c r="AG903" s="14" t="s">
        <v>328</v>
      </c>
      <c r="AH903" s="14" t="s">
        <v>328</v>
      </c>
      <c r="AI903" s="14"/>
      <c r="AJ903" s="14"/>
      <c r="AK903" s="14" t="s">
        <v>328</v>
      </c>
      <c r="AL903" s="14"/>
      <c r="AM903" s="14"/>
      <c r="AN903" s="13">
        <v>16000</v>
      </c>
      <c r="AO903" s="13">
        <v>16000</v>
      </c>
      <c r="AP903" s="13">
        <v>25000</v>
      </c>
      <c r="AQ903" s="13">
        <v>100000</v>
      </c>
      <c r="AR903" s="13">
        <v>16000</v>
      </c>
      <c r="AS903" s="26">
        <v>93600</v>
      </c>
      <c r="AT903" s="26">
        <v>0</v>
      </c>
      <c r="AU903" s="26">
        <v>60000</v>
      </c>
      <c r="AV903" s="26">
        <v>20000</v>
      </c>
      <c r="AW903" s="26">
        <v>18000</v>
      </c>
      <c r="AX903" s="62">
        <v>0</v>
      </c>
      <c r="AZ903" s="14" t="s">
        <v>337</v>
      </c>
      <c r="BA903" s="249">
        <f t="shared" si="27"/>
        <v>6</v>
      </c>
      <c r="BB903" s="249">
        <v>0</v>
      </c>
      <c r="BC903" s="249">
        <f t="shared" si="26"/>
        <v>2000</v>
      </c>
    </row>
    <row r="904" spans="1:55" x14ac:dyDescent="0.25">
      <c r="A904" s="52" t="s">
        <v>1857</v>
      </c>
      <c r="B904" s="65" t="s">
        <v>1627</v>
      </c>
      <c r="C904" s="14" t="s">
        <v>351</v>
      </c>
      <c r="D904" s="15">
        <v>1983</v>
      </c>
      <c r="E904" s="15" t="s">
        <v>456</v>
      </c>
      <c r="F904" s="15"/>
      <c r="G904" s="15"/>
      <c r="H904" s="15"/>
      <c r="I904" s="15"/>
      <c r="J904" s="16">
        <v>2500000</v>
      </c>
      <c r="K904" s="15" t="s">
        <v>328</v>
      </c>
      <c r="L904" s="15"/>
      <c r="M904" s="15"/>
      <c r="N904" s="16">
        <v>7000</v>
      </c>
      <c r="O904" s="21">
        <v>0.5</v>
      </c>
      <c r="P904" s="15">
        <v>2</v>
      </c>
      <c r="Q904" s="15">
        <v>500</v>
      </c>
      <c r="R904" s="16">
        <v>2300</v>
      </c>
      <c r="S904" s="15" t="s">
        <v>340</v>
      </c>
      <c r="T904" s="15">
        <v>2.2999999999999998</v>
      </c>
      <c r="U904" s="15">
        <v>2.8</v>
      </c>
      <c r="V904" s="27">
        <v>2750</v>
      </c>
      <c r="W904" s="22">
        <v>39000</v>
      </c>
      <c r="X904" s="15"/>
      <c r="Y904" s="15" t="s">
        <v>328</v>
      </c>
      <c r="Z904" s="15"/>
      <c r="AA904" s="15"/>
      <c r="AB904" s="15"/>
      <c r="AC904" s="15"/>
      <c r="AD904" s="15" t="s">
        <v>328</v>
      </c>
      <c r="AE904" s="15"/>
      <c r="AF904" s="15"/>
      <c r="AG904" s="15" t="s">
        <v>328</v>
      </c>
      <c r="AH904" s="15"/>
      <c r="AI904" s="15"/>
      <c r="AJ904" s="15"/>
      <c r="AK904" s="15" t="s">
        <v>328</v>
      </c>
      <c r="AL904" s="15" t="s">
        <v>328</v>
      </c>
      <c r="AM904" s="15"/>
      <c r="AN904" s="16">
        <v>15000</v>
      </c>
      <c r="AO904" s="16">
        <v>20000</v>
      </c>
      <c r="AP904" s="16">
        <v>30000</v>
      </c>
      <c r="AQ904" s="16">
        <v>135000</v>
      </c>
      <c r="AR904" s="13">
        <v>15000</v>
      </c>
      <c r="AS904" s="22">
        <v>84000</v>
      </c>
      <c r="AT904" s="26">
        <v>0</v>
      </c>
      <c r="AU904" s="22">
        <v>45000</v>
      </c>
      <c r="AV904" s="22">
        <v>18000</v>
      </c>
      <c r="AW904" s="22">
        <v>9800</v>
      </c>
      <c r="AX904" s="66">
        <v>0</v>
      </c>
      <c r="AZ904" s="15" t="s">
        <v>351</v>
      </c>
      <c r="BA904" s="249">
        <f t="shared" si="27"/>
        <v>2</v>
      </c>
      <c r="BB904" s="249">
        <v>0</v>
      </c>
      <c r="BC904" s="249">
        <f t="shared" ref="BC904:BC967" si="28">IF(H904&gt;D904,(IF(H904&gt;F904,H904,(IF(F904&gt;D904,F904,D904)))),(IF(F904&gt;D904,F904,D904)))</f>
        <v>1983</v>
      </c>
    </row>
    <row r="905" spans="1:55" x14ac:dyDescent="0.25">
      <c r="A905" s="52" t="s">
        <v>1857</v>
      </c>
      <c r="B905" s="65" t="s">
        <v>1627</v>
      </c>
      <c r="C905" s="14" t="s">
        <v>351</v>
      </c>
      <c r="D905" s="15">
        <v>1983</v>
      </c>
      <c r="E905" s="15" t="s">
        <v>456</v>
      </c>
      <c r="F905" s="15"/>
      <c r="G905" s="15"/>
      <c r="H905" s="15"/>
      <c r="I905" s="15"/>
      <c r="J905" s="16">
        <v>2500000</v>
      </c>
      <c r="K905" s="15" t="s">
        <v>328</v>
      </c>
      <c r="L905" s="15"/>
      <c r="M905" s="15"/>
      <c r="N905" s="16">
        <v>7000</v>
      </c>
      <c r="O905" s="21">
        <v>0.5</v>
      </c>
      <c r="P905" s="15">
        <v>2</v>
      </c>
      <c r="Q905" s="15">
        <v>500</v>
      </c>
      <c r="R905" s="16">
        <v>2300</v>
      </c>
      <c r="S905" s="15" t="s">
        <v>340</v>
      </c>
      <c r="T905" s="15">
        <v>2.2999999999999998</v>
      </c>
      <c r="U905" s="15">
        <v>2.8</v>
      </c>
      <c r="V905" s="27">
        <v>2750</v>
      </c>
      <c r="W905" s="22">
        <v>39000</v>
      </c>
      <c r="X905" s="15"/>
      <c r="Y905" s="15" t="s">
        <v>328</v>
      </c>
      <c r="Z905" s="15"/>
      <c r="AA905" s="15"/>
      <c r="AB905" s="15"/>
      <c r="AC905" s="15"/>
      <c r="AD905" s="15" t="s">
        <v>328</v>
      </c>
      <c r="AE905" s="15"/>
      <c r="AF905" s="15"/>
      <c r="AG905" s="15" t="s">
        <v>328</v>
      </c>
      <c r="AH905" s="15"/>
      <c r="AI905" s="15"/>
      <c r="AJ905" s="15"/>
      <c r="AK905" s="15" t="s">
        <v>328</v>
      </c>
      <c r="AL905" s="15" t="s">
        <v>328</v>
      </c>
      <c r="AM905" s="15"/>
      <c r="AN905" s="16">
        <v>15000</v>
      </c>
      <c r="AO905" s="16">
        <v>20000</v>
      </c>
      <c r="AP905" s="16">
        <v>30000</v>
      </c>
      <c r="AQ905" s="16">
        <v>135000</v>
      </c>
      <c r="AR905" s="13">
        <v>15000</v>
      </c>
      <c r="AS905" s="22">
        <v>84000</v>
      </c>
      <c r="AT905" s="26">
        <v>0</v>
      </c>
      <c r="AU905" s="22">
        <v>45000</v>
      </c>
      <c r="AV905" s="22">
        <v>18000</v>
      </c>
      <c r="AW905" s="22">
        <v>9800</v>
      </c>
      <c r="AX905" s="66">
        <v>0</v>
      </c>
      <c r="AZ905" s="15" t="s">
        <v>351</v>
      </c>
      <c r="BA905" s="249">
        <f t="shared" ref="BA905:BA968" si="29">COUNTIF($B$8:$B$987,B905)</f>
        <v>2</v>
      </c>
      <c r="BB905" s="249">
        <v>0</v>
      </c>
      <c r="BC905" s="249">
        <f t="shared" si="28"/>
        <v>1983</v>
      </c>
    </row>
    <row r="906" spans="1:55" x14ac:dyDescent="0.25">
      <c r="A906" s="52" t="s">
        <v>1857</v>
      </c>
      <c r="B906" s="65" t="s">
        <v>1628</v>
      </c>
      <c r="C906" s="15" t="s">
        <v>337</v>
      </c>
      <c r="D906" s="15">
        <v>1978</v>
      </c>
      <c r="E906" s="15"/>
      <c r="F906" s="15"/>
      <c r="G906" s="15"/>
      <c r="H906" s="15">
        <v>1995</v>
      </c>
      <c r="I906" s="15" t="s">
        <v>374</v>
      </c>
      <c r="J906" s="16">
        <v>1100000</v>
      </c>
      <c r="K906" s="15"/>
      <c r="L906" s="15"/>
      <c r="M906" s="15" t="s">
        <v>328</v>
      </c>
      <c r="N906" s="16">
        <v>2500</v>
      </c>
      <c r="O906" s="21">
        <v>0.5</v>
      </c>
      <c r="P906" s="15">
        <v>2</v>
      </c>
      <c r="Q906" s="15">
        <v>550</v>
      </c>
      <c r="R906" s="16">
        <v>1980</v>
      </c>
      <c r="S906" s="15" t="s">
        <v>340</v>
      </c>
      <c r="T906" s="15">
        <v>1.8</v>
      </c>
      <c r="U906" s="15">
        <v>2.1</v>
      </c>
      <c r="V906" s="27">
        <v>1300</v>
      </c>
      <c r="W906" s="22">
        <v>18000</v>
      </c>
      <c r="X906" s="15" t="s">
        <v>328</v>
      </c>
      <c r="Y906" s="15"/>
      <c r="Z906" s="15"/>
      <c r="AA906" s="15"/>
      <c r="AB906" s="15"/>
      <c r="AC906" s="15"/>
      <c r="AD906" s="15"/>
      <c r="AE906" s="15" t="s">
        <v>328</v>
      </c>
      <c r="AF906" s="15"/>
      <c r="AG906" s="15" t="s">
        <v>328</v>
      </c>
      <c r="AH906" s="15"/>
      <c r="AI906" s="15"/>
      <c r="AJ906" s="15"/>
      <c r="AK906" s="15"/>
      <c r="AL906" s="15" t="s">
        <v>328</v>
      </c>
      <c r="AM906" s="15"/>
      <c r="AN906" s="16">
        <v>15000</v>
      </c>
      <c r="AO906" s="16">
        <v>20000</v>
      </c>
      <c r="AP906" s="16">
        <v>20000</v>
      </c>
      <c r="AQ906" s="16">
        <v>130000</v>
      </c>
      <c r="AR906" s="16">
        <v>20000</v>
      </c>
      <c r="AS906" s="22">
        <v>80000</v>
      </c>
      <c r="AT906" s="22">
        <v>0</v>
      </c>
      <c r="AU906" s="22">
        <v>30000</v>
      </c>
      <c r="AV906" s="22">
        <v>15000</v>
      </c>
      <c r="AW906" s="22">
        <v>15000</v>
      </c>
      <c r="AX906" s="66">
        <v>0</v>
      </c>
      <c r="AZ906" s="15" t="s">
        <v>337</v>
      </c>
      <c r="BA906" s="249">
        <f t="shared" si="29"/>
        <v>1</v>
      </c>
      <c r="BB906" s="249">
        <v>0</v>
      </c>
      <c r="BC906" s="249">
        <f t="shared" si="28"/>
        <v>1995</v>
      </c>
    </row>
    <row r="907" spans="1:55" x14ac:dyDescent="0.25">
      <c r="A907" s="52" t="s">
        <v>1857</v>
      </c>
      <c r="B907" s="65" t="s">
        <v>1633</v>
      </c>
      <c r="C907" s="14" t="s">
        <v>337</v>
      </c>
      <c r="D907" s="14">
        <v>1996</v>
      </c>
      <c r="E907" s="14"/>
      <c r="F907" s="14">
        <v>2008</v>
      </c>
      <c r="G907" s="14" t="s">
        <v>349</v>
      </c>
      <c r="H907" s="14"/>
      <c r="I907" s="14"/>
      <c r="J907" s="13">
        <v>1000000</v>
      </c>
      <c r="K907" s="14"/>
      <c r="L907" s="14" t="s">
        <v>328</v>
      </c>
      <c r="M907" s="14"/>
      <c r="N907" s="13">
        <v>3750</v>
      </c>
      <c r="O907" s="24">
        <v>0.5</v>
      </c>
      <c r="P907" s="14">
        <v>2</v>
      </c>
      <c r="Q907" s="14">
        <v>250</v>
      </c>
      <c r="R907" s="16">
        <v>700</v>
      </c>
      <c r="S907" s="14" t="s">
        <v>340</v>
      </c>
      <c r="T907" s="14">
        <v>1.4</v>
      </c>
      <c r="U907" s="14">
        <v>2</v>
      </c>
      <c r="V907" s="27">
        <v>2200</v>
      </c>
      <c r="W907" s="22">
        <v>30000</v>
      </c>
      <c r="X907" s="14"/>
      <c r="Y907" s="14"/>
      <c r="Z907" s="14"/>
      <c r="AA907" s="14"/>
      <c r="AB907" s="14" t="s">
        <v>328</v>
      </c>
      <c r="AC907" s="14"/>
      <c r="AD907" s="14" t="s">
        <v>328</v>
      </c>
      <c r="AE907" s="14" t="s">
        <v>328</v>
      </c>
      <c r="AF907" s="14"/>
      <c r="AG907" s="14"/>
      <c r="AH907" s="14" t="s">
        <v>328</v>
      </c>
      <c r="AI907" s="14"/>
      <c r="AJ907" s="14"/>
      <c r="AK907" s="14"/>
      <c r="AL907" s="14"/>
      <c r="AM907" s="14"/>
      <c r="AN907" s="13">
        <v>13000</v>
      </c>
      <c r="AO907" s="13">
        <v>60000</v>
      </c>
      <c r="AP907" s="13">
        <v>50000</v>
      </c>
      <c r="AQ907" s="13">
        <v>110000</v>
      </c>
      <c r="AR907" s="13">
        <v>13000</v>
      </c>
      <c r="AS907" s="26">
        <v>114000</v>
      </c>
      <c r="AT907" s="26">
        <v>0</v>
      </c>
      <c r="AU907" s="26">
        <v>50000</v>
      </c>
      <c r="AV907" s="26">
        <v>35000</v>
      </c>
      <c r="AW907" s="26">
        <v>12000</v>
      </c>
      <c r="AX907" s="62">
        <v>0</v>
      </c>
      <c r="AZ907" s="14" t="s">
        <v>337</v>
      </c>
      <c r="BA907" s="249">
        <f t="shared" si="29"/>
        <v>6</v>
      </c>
      <c r="BB907" s="249">
        <v>0</v>
      </c>
      <c r="BC907" s="249">
        <f t="shared" si="28"/>
        <v>2008</v>
      </c>
    </row>
    <row r="908" spans="1:55" x14ac:dyDescent="0.25">
      <c r="A908" s="52" t="s">
        <v>1857</v>
      </c>
      <c r="B908" s="65" t="s">
        <v>1633</v>
      </c>
      <c r="C908" s="14" t="s">
        <v>337</v>
      </c>
      <c r="D908" s="14">
        <v>2000</v>
      </c>
      <c r="E908" s="14" t="s">
        <v>456</v>
      </c>
      <c r="F908" s="14"/>
      <c r="G908" s="14"/>
      <c r="H908" s="14"/>
      <c r="I908" s="14"/>
      <c r="J908" s="13">
        <v>700000</v>
      </c>
      <c r="K908" s="14"/>
      <c r="L908" s="14" t="s">
        <v>328</v>
      </c>
      <c r="M908" s="14"/>
      <c r="N908" s="13">
        <v>5000</v>
      </c>
      <c r="O908" s="24">
        <v>0.5</v>
      </c>
      <c r="P908" s="14">
        <v>2</v>
      </c>
      <c r="Q908" s="14">
        <v>350</v>
      </c>
      <c r="R908" s="16">
        <v>1050</v>
      </c>
      <c r="S908" s="14" t="s">
        <v>340</v>
      </c>
      <c r="T908" s="14">
        <v>1.5</v>
      </c>
      <c r="U908" s="14">
        <v>2.2000000000000002</v>
      </c>
      <c r="V908" s="27">
        <v>2700</v>
      </c>
      <c r="W908" s="22">
        <v>37000</v>
      </c>
      <c r="X908" s="14"/>
      <c r="Y908" s="14"/>
      <c r="Z908" s="14"/>
      <c r="AA908" s="14"/>
      <c r="AB908" s="14" t="s">
        <v>328</v>
      </c>
      <c r="AC908" s="14"/>
      <c r="AD908" s="14" t="s">
        <v>328</v>
      </c>
      <c r="AE908" s="14" t="s">
        <v>328</v>
      </c>
      <c r="AF908" s="14"/>
      <c r="AG908" s="14"/>
      <c r="AH908" s="14" t="s">
        <v>328</v>
      </c>
      <c r="AI908" s="14"/>
      <c r="AJ908" s="14"/>
      <c r="AK908" s="14"/>
      <c r="AL908" s="14"/>
      <c r="AM908" s="14"/>
      <c r="AN908" s="13">
        <v>13000</v>
      </c>
      <c r="AO908" s="13">
        <v>60000</v>
      </c>
      <c r="AP908" s="13">
        <v>50000</v>
      </c>
      <c r="AQ908" s="13">
        <v>110000</v>
      </c>
      <c r="AR908" s="13">
        <v>13000</v>
      </c>
      <c r="AS908" s="26">
        <v>114000</v>
      </c>
      <c r="AT908" s="26">
        <v>0</v>
      </c>
      <c r="AU908" s="26">
        <v>50000</v>
      </c>
      <c r="AV908" s="26">
        <v>35000</v>
      </c>
      <c r="AW908" s="26">
        <v>12000</v>
      </c>
      <c r="AX908" s="62">
        <v>0</v>
      </c>
      <c r="AZ908" s="14" t="s">
        <v>337</v>
      </c>
      <c r="BA908" s="249">
        <f t="shared" si="29"/>
        <v>6</v>
      </c>
      <c r="BB908" s="249">
        <v>0</v>
      </c>
      <c r="BC908" s="249">
        <f t="shared" si="28"/>
        <v>2000</v>
      </c>
    </row>
    <row r="909" spans="1:55" x14ac:dyDescent="0.25">
      <c r="A909" s="52" t="s">
        <v>1857</v>
      </c>
      <c r="B909" s="65" t="s">
        <v>1633</v>
      </c>
      <c r="C909" s="14" t="s">
        <v>337</v>
      </c>
      <c r="D909" s="14">
        <v>2001</v>
      </c>
      <c r="E909" s="14" t="s">
        <v>349</v>
      </c>
      <c r="F909" s="14"/>
      <c r="G909" s="14"/>
      <c r="H909" s="14"/>
      <c r="I909" s="14"/>
      <c r="J909" s="13">
        <v>600000</v>
      </c>
      <c r="K909" s="14" t="s">
        <v>328</v>
      </c>
      <c r="L909" s="14"/>
      <c r="M909" s="14"/>
      <c r="N909" s="13">
        <v>5000</v>
      </c>
      <c r="O909" s="24">
        <v>0.5</v>
      </c>
      <c r="P909" s="14">
        <v>2</v>
      </c>
      <c r="Q909" s="14">
        <v>380</v>
      </c>
      <c r="R909" s="16">
        <v>1140</v>
      </c>
      <c r="S909" s="14" t="s">
        <v>340</v>
      </c>
      <c r="T909" s="14">
        <v>1.5</v>
      </c>
      <c r="U909" s="14">
        <v>2.2000000000000002</v>
      </c>
      <c r="V909" s="27">
        <v>2700</v>
      </c>
      <c r="W909" s="22">
        <v>37000</v>
      </c>
      <c r="X909" s="14"/>
      <c r="Y909" s="14"/>
      <c r="Z909" s="14"/>
      <c r="AA909" s="14"/>
      <c r="AB909" s="14" t="s">
        <v>328</v>
      </c>
      <c r="AC909" s="14"/>
      <c r="AD909" s="14" t="s">
        <v>328</v>
      </c>
      <c r="AE909" s="14" t="s">
        <v>328</v>
      </c>
      <c r="AF909" s="14"/>
      <c r="AG909" s="14"/>
      <c r="AH909" s="14" t="s">
        <v>328</v>
      </c>
      <c r="AI909" s="14"/>
      <c r="AJ909" s="14"/>
      <c r="AK909" s="14"/>
      <c r="AL909" s="14"/>
      <c r="AM909" s="14"/>
      <c r="AN909" s="13">
        <v>13000</v>
      </c>
      <c r="AO909" s="13">
        <v>60000</v>
      </c>
      <c r="AP909" s="13">
        <v>50000</v>
      </c>
      <c r="AQ909" s="13">
        <v>110000</v>
      </c>
      <c r="AR909" s="13">
        <v>13000</v>
      </c>
      <c r="AS909" s="26">
        <v>114000</v>
      </c>
      <c r="AT909" s="26">
        <v>0</v>
      </c>
      <c r="AU909" s="26">
        <v>50000</v>
      </c>
      <c r="AV909" s="26">
        <v>35000</v>
      </c>
      <c r="AW909" s="26">
        <v>12000</v>
      </c>
      <c r="AX909" s="62">
        <v>0</v>
      </c>
      <c r="AZ909" s="14" t="s">
        <v>337</v>
      </c>
      <c r="BA909" s="249">
        <f t="shared" si="29"/>
        <v>6</v>
      </c>
      <c r="BB909" s="249">
        <v>0</v>
      </c>
      <c r="BC909" s="249">
        <f t="shared" si="28"/>
        <v>2001</v>
      </c>
    </row>
    <row r="910" spans="1:55" x14ac:dyDescent="0.25">
      <c r="A910" s="52" t="s">
        <v>1857</v>
      </c>
      <c r="B910" s="65" t="s">
        <v>1633</v>
      </c>
      <c r="C910" s="14" t="s">
        <v>337</v>
      </c>
      <c r="D910" s="14">
        <v>2006</v>
      </c>
      <c r="E910" s="14" t="s">
        <v>456</v>
      </c>
      <c r="F910" s="14"/>
      <c r="G910" s="14"/>
      <c r="H910" s="14"/>
      <c r="I910" s="14"/>
      <c r="J910" s="13">
        <v>500000</v>
      </c>
      <c r="K910" s="14" t="s">
        <v>328</v>
      </c>
      <c r="L910" s="14"/>
      <c r="M910" s="14"/>
      <c r="N910" s="13">
        <v>5000</v>
      </c>
      <c r="O910" s="24">
        <v>0.5</v>
      </c>
      <c r="P910" s="14">
        <v>2</v>
      </c>
      <c r="Q910" s="14">
        <v>380</v>
      </c>
      <c r="R910" s="16">
        <v>1216</v>
      </c>
      <c r="S910" s="14" t="s">
        <v>340</v>
      </c>
      <c r="T910" s="14">
        <v>1.6</v>
      </c>
      <c r="U910" s="14">
        <v>2.4</v>
      </c>
      <c r="V910" s="27">
        <v>2500</v>
      </c>
      <c r="W910" s="22">
        <v>35000</v>
      </c>
      <c r="X910" s="14"/>
      <c r="Y910" s="14"/>
      <c r="Z910" s="14"/>
      <c r="AA910" s="14"/>
      <c r="AB910" s="14" t="s">
        <v>328</v>
      </c>
      <c r="AC910" s="14"/>
      <c r="AD910" s="14" t="s">
        <v>328</v>
      </c>
      <c r="AE910" s="14" t="s">
        <v>328</v>
      </c>
      <c r="AF910" s="14"/>
      <c r="AG910" s="14"/>
      <c r="AH910" s="14" t="s">
        <v>328</v>
      </c>
      <c r="AI910" s="14"/>
      <c r="AJ910" s="14"/>
      <c r="AK910" s="14"/>
      <c r="AL910" s="14"/>
      <c r="AM910" s="14"/>
      <c r="AN910" s="13">
        <v>13000</v>
      </c>
      <c r="AO910" s="13">
        <v>60000</v>
      </c>
      <c r="AP910" s="13">
        <v>50000</v>
      </c>
      <c r="AQ910" s="13">
        <v>110000</v>
      </c>
      <c r="AR910" s="13">
        <v>13000</v>
      </c>
      <c r="AS910" s="26">
        <v>114000</v>
      </c>
      <c r="AT910" s="26">
        <v>0</v>
      </c>
      <c r="AU910" s="26">
        <v>50000</v>
      </c>
      <c r="AV910" s="26">
        <v>35000</v>
      </c>
      <c r="AW910" s="26">
        <v>12000</v>
      </c>
      <c r="AX910" s="62">
        <v>0</v>
      </c>
      <c r="AZ910" s="14" t="s">
        <v>337</v>
      </c>
      <c r="BA910" s="249">
        <f t="shared" si="29"/>
        <v>6</v>
      </c>
      <c r="BB910" s="249">
        <v>0</v>
      </c>
      <c r="BC910" s="249">
        <f t="shared" si="28"/>
        <v>2006</v>
      </c>
    </row>
    <row r="911" spans="1:55" x14ac:dyDescent="0.25">
      <c r="A911" s="52" t="s">
        <v>1857</v>
      </c>
      <c r="B911" s="65" t="s">
        <v>1633</v>
      </c>
      <c r="C911" s="14" t="s">
        <v>337</v>
      </c>
      <c r="D911" s="14">
        <v>2007</v>
      </c>
      <c r="E911" s="14" t="s">
        <v>338</v>
      </c>
      <c r="F911" s="14"/>
      <c r="G911" s="14"/>
      <c r="H911" s="14"/>
      <c r="I911" s="14"/>
      <c r="J911" s="13">
        <v>350000</v>
      </c>
      <c r="K911" s="14" t="s">
        <v>328</v>
      </c>
      <c r="L911" s="14"/>
      <c r="M911" s="14"/>
      <c r="N911" s="13">
        <v>5000</v>
      </c>
      <c r="O911" s="24">
        <v>0.5</v>
      </c>
      <c r="P911" s="14">
        <v>2</v>
      </c>
      <c r="Q911" s="14">
        <v>380</v>
      </c>
      <c r="R911" s="16">
        <v>1216</v>
      </c>
      <c r="S911" s="14" t="s">
        <v>340</v>
      </c>
      <c r="T911" s="14">
        <v>1.6</v>
      </c>
      <c r="U911" s="14">
        <v>2.4</v>
      </c>
      <c r="V911" s="27">
        <v>2500</v>
      </c>
      <c r="W911" s="22">
        <v>35000</v>
      </c>
      <c r="X911" s="14"/>
      <c r="Y911" s="14"/>
      <c r="Z911" s="14"/>
      <c r="AA911" s="14"/>
      <c r="AB911" s="14" t="s">
        <v>328</v>
      </c>
      <c r="AC911" s="14"/>
      <c r="AD911" s="14" t="s">
        <v>328</v>
      </c>
      <c r="AE911" s="14" t="s">
        <v>328</v>
      </c>
      <c r="AF911" s="14"/>
      <c r="AG911" s="14"/>
      <c r="AH911" s="14" t="s">
        <v>328</v>
      </c>
      <c r="AI911" s="14"/>
      <c r="AJ911" s="14"/>
      <c r="AK911" s="14"/>
      <c r="AL911" s="14"/>
      <c r="AM911" s="14"/>
      <c r="AN911" s="13">
        <v>13000</v>
      </c>
      <c r="AO911" s="13">
        <v>60000</v>
      </c>
      <c r="AP911" s="13">
        <v>50000</v>
      </c>
      <c r="AQ911" s="13">
        <v>110000</v>
      </c>
      <c r="AR911" s="13">
        <v>13000</v>
      </c>
      <c r="AS911" s="26">
        <v>114000</v>
      </c>
      <c r="AT911" s="26">
        <v>0</v>
      </c>
      <c r="AU911" s="26">
        <v>50000</v>
      </c>
      <c r="AV911" s="26">
        <v>35000</v>
      </c>
      <c r="AW911" s="26">
        <v>12000</v>
      </c>
      <c r="AX911" s="62">
        <v>0</v>
      </c>
      <c r="AZ911" s="14" t="s">
        <v>337</v>
      </c>
      <c r="BA911" s="249">
        <f t="shared" si="29"/>
        <v>6</v>
      </c>
      <c r="BB911" s="249">
        <v>0</v>
      </c>
      <c r="BC911" s="249">
        <f t="shared" si="28"/>
        <v>2007</v>
      </c>
    </row>
    <row r="912" spans="1:55" x14ac:dyDescent="0.25">
      <c r="A912" s="52" t="s">
        <v>1857</v>
      </c>
      <c r="B912" s="65" t="s">
        <v>1633</v>
      </c>
      <c r="C912" s="14" t="s">
        <v>337</v>
      </c>
      <c r="D912" s="14">
        <v>2008</v>
      </c>
      <c r="E912" s="14" t="s">
        <v>338</v>
      </c>
      <c r="F912" s="14"/>
      <c r="G912" s="14"/>
      <c r="H912" s="14"/>
      <c r="I912" s="14"/>
      <c r="J912" s="13">
        <v>350000</v>
      </c>
      <c r="K912" s="14" t="s">
        <v>328</v>
      </c>
      <c r="L912" s="14"/>
      <c r="M912" s="14"/>
      <c r="N912" s="13">
        <v>5000</v>
      </c>
      <c r="O912" s="24">
        <v>0.5</v>
      </c>
      <c r="P912" s="14">
        <v>2</v>
      </c>
      <c r="Q912" s="14">
        <v>380</v>
      </c>
      <c r="R912" s="16">
        <v>1216</v>
      </c>
      <c r="S912" s="14" t="s">
        <v>340</v>
      </c>
      <c r="T912" s="14">
        <v>1.6</v>
      </c>
      <c r="U912" s="14">
        <v>2.5</v>
      </c>
      <c r="V912" s="27">
        <v>2500</v>
      </c>
      <c r="W912" s="22">
        <v>35000</v>
      </c>
      <c r="X912" s="14"/>
      <c r="Y912" s="14"/>
      <c r="Z912" s="14"/>
      <c r="AA912" s="14"/>
      <c r="AB912" s="14" t="s">
        <v>328</v>
      </c>
      <c r="AC912" s="14"/>
      <c r="AD912" s="14" t="s">
        <v>328</v>
      </c>
      <c r="AE912" s="14" t="s">
        <v>328</v>
      </c>
      <c r="AF912" s="14"/>
      <c r="AG912" s="14"/>
      <c r="AH912" s="14" t="s">
        <v>328</v>
      </c>
      <c r="AI912" s="14"/>
      <c r="AJ912" s="14"/>
      <c r="AK912" s="14"/>
      <c r="AL912" s="14"/>
      <c r="AM912" s="14"/>
      <c r="AN912" s="13">
        <v>13000</v>
      </c>
      <c r="AO912" s="13">
        <v>60000</v>
      </c>
      <c r="AP912" s="13">
        <v>50000</v>
      </c>
      <c r="AQ912" s="13">
        <v>110000</v>
      </c>
      <c r="AR912" s="13">
        <v>13000</v>
      </c>
      <c r="AS912" s="26">
        <v>114000</v>
      </c>
      <c r="AT912" s="26">
        <v>0</v>
      </c>
      <c r="AU912" s="26">
        <v>50000</v>
      </c>
      <c r="AV912" s="26">
        <v>35000</v>
      </c>
      <c r="AW912" s="26">
        <v>12000</v>
      </c>
      <c r="AX912" s="62">
        <v>0</v>
      </c>
      <c r="AZ912" s="14" t="s">
        <v>337</v>
      </c>
      <c r="BA912" s="249">
        <f t="shared" si="29"/>
        <v>6</v>
      </c>
      <c r="BB912" s="249">
        <v>0</v>
      </c>
      <c r="BC912" s="249">
        <f t="shared" si="28"/>
        <v>2008</v>
      </c>
    </row>
    <row r="913" spans="1:55" x14ac:dyDescent="0.25">
      <c r="A913" s="52" t="s">
        <v>1857</v>
      </c>
      <c r="B913" s="65" t="s">
        <v>1634</v>
      </c>
      <c r="C913" s="15" t="s">
        <v>348</v>
      </c>
      <c r="D913" s="15">
        <v>2002</v>
      </c>
      <c r="E913" s="15" t="s">
        <v>360</v>
      </c>
      <c r="F913" s="15"/>
      <c r="G913" s="15"/>
      <c r="H913" s="15"/>
      <c r="I913" s="15"/>
      <c r="J913" s="16">
        <v>350000</v>
      </c>
      <c r="K913" s="15"/>
      <c r="L913" s="15" t="s">
        <v>328</v>
      </c>
      <c r="M913" s="15"/>
      <c r="N913" s="16">
        <v>3000</v>
      </c>
      <c r="O913" s="21">
        <v>0.5</v>
      </c>
      <c r="P913" s="15">
        <v>1</v>
      </c>
      <c r="Q913" s="15">
        <v>280</v>
      </c>
      <c r="R913" s="16">
        <v>1260</v>
      </c>
      <c r="S913" s="15" t="s">
        <v>371</v>
      </c>
      <c r="T913" s="15">
        <v>4.5</v>
      </c>
      <c r="U913" s="15">
        <v>6</v>
      </c>
      <c r="V913" s="27">
        <v>600</v>
      </c>
      <c r="W913" s="22">
        <v>7200</v>
      </c>
      <c r="X913" s="15"/>
      <c r="Y913" s="15" t="s">
        <v>328</v>
      </c>
      <c r="Z913" s="15"/>
      <c r="AA913" s="15"/>
      <c r="AB913" s="15"/>
      <c r="AC913" s="15"/>
      <c r="AD913" s="15" t="s">
        <v>328</v>
      </c>
      <c r="AE913" s="15"/>
      <c r="AF913" s="15"/>
      <c r="AG913" s="15"/>
      <c r="AH913" s="15"/>
      <c r="AI913" s="15"/>
      <c r="AJ913" s="15"/>
      <c r="AK913" s="15" t="s">
        <v>328</v>
      </c>
      <c r="AL913" s="15" t="s">
        <v>328</v>
      </c>
      <c r="AM913" s="15"/>
      <c r="AN913" s="16">
        <v>15000</v>
      </c>
      <c r="AO913" s="16">
        <v>30000</v>
      </c>
      <c r="AP913" s="16">
        <v>15000</v>
      </c>
      <c r="AQ913" s="16">
        <v>80000</v>
      </c>
      <c r="AR913" s="13" t="s">
        <v>385</v>
      </c>
      <c r="AS913" s="22">
        <v>72000</v>
      </c>
      <c r="AT913" s="22">
        <v>42000</v>
      </c>
      <c r="AU913" s="22">
        <v>25000</v>
      </c>
      <c r="AV913" s="22">
        <v>48000</v>
      </c>
      <c r="AW913" s="22">
        <v>50000</v>
      </c>
      <c r="AX913" s="66">
        <v>0</v>
      </c>
      <c r="AZ913" s="15" t="s">
        <v>348</v>
      </c>
      <c r="BA913" s="249">
        <f t="shared" si="29"/>
        <v>1</v>
      </c>
      <c r="BB913" s="249">
        <v>0</v>
      </c>
      <c r="BC913" s="249">
        <f t="shared" si="28"/>
        <v>2002</v>
      </c>
    </row>
    <row r="914" spans="1:55" x14ac:dyDescent="0.25">
      <c r="A914" s="52" t="s">
        <v>1857</v>
      </c>
      <c r="B914" s="65" t="s">
        <v>1637</v>
      </c>
      <c r="C914" s="15" t="s">
        <v>348</v>
      </c>
      <c r="D914" s="15">
        <v>1998</v>
      </c>
      <c r="E914" s="15" t="s">
        <v>349</v>
      </c>
      <c r="F914" s="15"/>
      <c r="G914" s="15"/>
      <c r="H914" s="15"/>
      <c r="I914" s="15"/>
      <c r="J914" s="16">
        <v>1500000</v>
      </c>
      <c r="K914" s="15"/>
      <c r="L914" s="15" t="s">
        <v>328</v>
      </c>
      <c r="M914" s="15"/>
      <c r="N914" s="16">
        <v>7000</v>
      </c>
      <c r="O914" s="21">
        <v>0.3</v>
      </c>
      <c r="P914" s="15">
        <v>2</v>
      </c>
      <c r="Q914" s="15">
        <v>460</v>
      </c>
      <c r="R914" s="16">
        <v>2760</v>
      </c>
      <c r="S914" s="15" t="s">
        <v>340</v>
      </c>
      <c r="T914" s="15">
        <v>3</v>
      </c>
      <c r="U914" s="15">
        <v>3.6</v>
      </c>
      <c r="V914" s="27">
        <v>2200</v>
      </c>
      <c r="W914" s="22">
        <v>30000</v>
      </c>
      <c r="X914" s="15"/>
      <c r="Y914" s="15"/>
      <c r="Z914" s="15"/>
      <c r="AA914" s="15"/>
      <c r="AB914" s="15" t="s">
        <v>328</v>
      </c>
      <c r="AC914" s="15"/>
      <c r="AD914" s="15"/>
      <c r="AE914" s="15"/>
      <c r="AF914" s="15"/>
      <c r="AG914" s="15"/>
      <c r="AH914" s="15" t="s">
        <v>328</v>
      </c>
      <c r="AI914" s="15"/>
      <c r="AJ914" s="15"/>
      <c r="AK914" s="15"/>
      <c r="AL914" s="15" t="s">
        <v>328</v>
      </c>
      <c r="AM914" s="15"/>
      <c r="AN914" s="16">
        <v>10000</v>
      </c>
      <c r="AO914" s="16">
        <v>30000</v>
      </c>
      <c r="AP914" s="16">
        <v>30000</v>
      </c>
      <c r="AQ914" s="16">
        <v>110000</v>
      </c>
      <c r="AR914" s="16">
        <v>10000</v>
      </c>
      <c r="AS914" s="22">
        <v>114000</v>
      </c>
      <c r="AT914" s="22">
        <v>0</v>
      </c>
      <c r="AU914" s="22">
        <v>30000</v>
      </c>
      <c r="AV914" s="22">
        <v>18000</v>
      </c>
      <c r="AW914" s="22">
        <v>12000</v>
      </c>
      <c r="AX914" s="66">
        <v>0</v>
      </c>
      <c r="AZ914" s="15"/>
      <c r="BA914" s="249">
        <f t="shared" si="29"/>
        <v>2</v>
      </c>
      <c r="BB914" s="249">
        <v>0</v>
      </c>
      <c r="BC914" s="249">
        <f t="shared" si="28"/>
        <v>1998</v>
      </c>
    </row>
    <row r="915" spans="1:55" x14ac:dyDescent="0.25">
      <c r="A915" s="52" t="s">
        <v>1857</v>
      </c>
      <c r="B915" s="65" t="s">
        <v>1637</v>
      </c>
      <c r="C915" s="14" t="s">
        <v>351</v>
      </c>
      <c r="D915" s="15">
        <v>2000</v>
      </c>
      <c r="E915" s="15" t="s">
        <v>349</v>
      </c>
      <c r="F915" s="15"/>
      <c r="G915" s="15"/>
      <c r="H915" s="15"/>
      <c r="I915" s="15"/>
      <c r="J915" s="16">
        <v>1100000</v>
      </c>
      <c r="K915" s="15"/>
      <c r="L915" s="15" t="s">
        <v>328</v>
      </c>
      <c r="M915" s="15"/>
      <c r="N915" s="16">
        <v>7000</v>
      </c>
      <c r="O915" s="21">
        <v>0.3</v>
      </c>
      <c r="P915" s="15">
        <v>2</v>
      </c>
      <c r="Q915" s="15">
        <v>460</v>
      </c>
      <c r="R915" s="16">
        <v>2760</v>
      </c>
      <c r="S915" s="15" t="s">
        <v>340</v>
      </c>
      <c r="T915" s="15">
        <v>3</v>
      </c>
      <c r="U915" s="15">
        <v>3.6</v>
      </c>
      <c r="V915" s="27">
        <v>2200</v>
      </c>
      <c r="W915" s="22">
        <v>30000</v>
      </c>
      <c r="X915" s="15"/>
      <c r="Y915" s="15"/>
      <c r="Z915" s="15"/>
      <c r="AA915" s="15"/>
      <c r="AB915" s="15" t="s">
        <v>328</v>
      </c>
      <c r="AC915" s="15"/>
      <c r="AD915" s="15"/>
      <c r="AE915" s="15"/>
      <c r="AF915" s="15"/>
      <c r="AG915" s="15"/>
      <c r="AH915" s="15" t="s">
        <v>328</v>
      </c>
      <c r="AI915" s="15"/>
      <c r="AJ915" s="15"/>
      <c r="AK915" s="15"/>
      <c r="AL915" s="15" t="s">
        <v>328</v>
      </c>
      <c r="AM915" s="15"/>
      <c r="AN915" s="16">
        <v>10000</v>
      </c>
      <c r="AO915" s="16">
        <v>30000</v>
      </c>
      <c r="AP915" s="16">
        <v>30000</v>
      </c>
      <c r="AQ915" s="16">
        <v>110000</v>
      </c>
      <c r="AR915" s="16">
        <v>10000</v>
      </c>
      <c r="AS915" s="22">
        <v>114000</v>
      </c>
      <c r="AT915" s="22">
        <v>0</v>
      </c>
      <c r="AU915" s="22">
        <v>30000</v>
      </c>
      <c r="AV915" s="22">
        <v>18000</v>
      </c>
      <c r="AW915" s="22">
        <v>12000</v>
      </c>
      <c r="AX915" s="66">
        <v>0</v>
      </c>
      <c r="AZ915" s="15"/>
      <c r="BA915" s="249">
        <f t="shared" si="29"/>
        <v>2</v>
      </c>
      <c r="BB915" s="249">
        <v>0</v>
      </c>
      <c r="BC915" s="249">
        <f t="shared" si="28"/>
        <v>2000</v>
      </c>
    </row>
    <row r="916" spans="1:55" x14ac:dyDescent="0.25">
      <c r="A916" s="52" t="s">
        <v>1857</v>
      </c>
      <c r="B916" s="65" t="s">
        <v>1638</v>
      </c>
      <c r="C916" s="14" t="s">
        <v>337</v>
      </c>
      <c r="D916" s="15">
        <v>1980</v>
      </c>
      <c r="E916" s="15" t="s">
        <v>370</v>
      </c>
      <c r="F916" s="15"/>
      <c r="G916" s="15"/>
      <c r="H916" s="15"/>
      <c r="I916" s="15"/>
      <c r="J916" s="16">
        <v>2500000</v>
      </c>
      <c r="K916" s="15" t="s">
        <v>328</v>
      </c>
      <c r="L916" s="15"/>
      <c r="M916" s="15"/>
      <c r="N916" s="16">
        <v>5000</v>
      </c>
      <c r="O916" s="21">
        <v>0.5</v>
      </c>
      <c r="P916" s="15">
        <v>2</v>
      </c>
      <c r="Q916" s="15">
        <v>680</v>
      </c>
      <c r="R916" s="16">
        <v>3127.9999999999995</v>
      </c>
      <c r="S916" s="15" t="s">
        <v>340</v>
      </c>
      <c r="T916" s="15">
        <v>2.2999999999999998</v>
      </c>
      <c r="U916" s="15">
        <v>2.7</v>
      </c>
      <c r="V916" s="27">
        <v>2100</v>
      </c>
      <c r="W916" s="22">
        <v>29500</v>
      </c>
      <c r="X916" s="15"/>
      <c r="Y916" s="15" t="s">
        <v>328</v>
      </c>
      <c r="Z916" s="15"/>
      <c r="AA916" s="15"/>
      <c r="AB916" s="15"/>
      <c r="AC916" s="15"/>
      <c r="AD916" s="15"/>
      <c r="AE916" s="15"/>
      <c r="AF916" s="15"/>
      <c r="AG916" s="15" t="s">
        <v>328</v>
      </c>
      <c r="AH916" s="15"/>
      <c r="AI916" s="15"/>
      <c r="AJ916" s="15"/>
      <c r="AK916" s="15" t="s">
        <v>328</v>
      </c>
      <c r="AL916" s="15" t="s">
        <v>328</v>
      </c>
      <c r="AM916" s="15"/>
      <c r="AN916" s="16">
        <v>12000</v>
      </c>
      <c r="AO916" s="16">
        <v>25000</v>
      </c>
      <c r="AP916" s="16">
        <v>45000</v>
      </c>
      <c r="AQ916" s="16">
        <v>115000</v>
      </c>
      <c r="AR916" s="16">
        <v>12000</v>
      </c>
      <c r="AS916" s="22">
        <v>102000</v>
      </c>
      <c r="AT916" s="22">
        <v>60000</v>
      </c>
      <c r="AU916" s="22">
        <v>60000</v>
      </c>
      <c r="AV916" s="22">
        <v>17000</v>
      </c>
      <c r="AW916" s="22">
        <v>18000</v>
      </c>
      <c r="AX916" s="66">
        <v>0</v>
      </c>
      <c r="AZ916" s="15" t="s">
        <v>351</v>
      </c>
      <c r="BA916" s="249">
        <f t="shared" si="29"/>
        <v>2</v>
      </c>
      <c r="BC916" s="249">
        <f t="shared" si="28"/>
        <v>1980</v>
      </c>
    </row>
    <row r="917" spans="1:55" x14ac:dyDescent="0.25">
      <c r="A917" s="52" t="s">
        <v>1857</v>
      </c>
      <c r="B917" s="65" t="s">
        <v>1638</v>
      </c>
      <c r="C917" s="14" t="s">
        <v>337</v>
      </c>
      <c r="D917" s="15">
        <v>1980</v>
      </c>
      <c r="E917" s="15" t="s">
        <v>370</v>
      </c>
      <c r="F917" s="15"/>
      <c r="G917" s="15"/>
      <c r="H917" s="15"/>
      <c r="I917" s="15"/>
      <c r="J917" s="16">
        <v>2500000</v>
      </c>
      <c r="K917" s="15" t="s">
        <v>328</v>
      </c>
      <c r="L917" s="15"/>
      <c r="M917" s="15"/>
      <c r="N917" s="16">
        <v>5000</v>
      </c>
      <c r="O917" s="21">
        <v>0.5</v>
      </c>
      <c r="P917" s="15">
        <v>2</v>
      </c>
      <c r="Q917" s="15">
        <v>680</v>
      </c>
      <c r="R917" s="16">
        <v>3127.9999999999995</v>
      </c>
      <c r="S917" s="15" t="s">
        <v>340</v>
      </c>
      <c r="T917" s="15">
        <v>2.2999999999999998</v>
      </c>
      <c r="U917" s="15">
        <v>2.7</v>
      </c>
      <c r="V917" s="27">
        <v>2100</v>
      </c>
      <c r="W917" s="22">
        <v>29500</v>
      </c>
      <c r="X917" s="15"/>
      <c r="Y917" s="15" t="s">
        <v>328</v>
      </c>
      <c r="Z917" s="15"/>
      <c r="AA917" s="15"/>
      <c r="AB917" s="15"/>
      <c r="AC917" s="15"/>
      <c r="AD917" s="15"/>
      <c r="AE917" s="15"/>
      <c r="AF917" s="15"/>
      <c r="AG917" s="15" t="s">
        <v>328</v>
      </c>
      <c r="AH917" s="15"/>
      <c r="AI917" s="15"/>
      <c r="AJ917" s="15"/>
      <c r="AK917" s="15" t="s">
        <v>328</v>
      </c>
      <c r="AL917" s="15" t="s">
        <v>328</v>
      </c>
      <c r="AM917" s="15"/>
      <c r="AN917" s="16">
        <v>12000</v>
      </c>
      <c r="AO917" s="16">
        <v>25000</v>
      </c>
      <c r="AP917" s="16">
        <v>45000</v>
      </c>
      <c r="AQ917" s="16">
        <v>115000</v>
      </c>
      <c r="AR917" s="16">
        <v>12000</v>
      </c>
      <c r="AS917" s="22">
        <v>102000</v>
      </c>
      <c r="AT917" s="22">
        <v>60000</v>
      </c>
      <c r="AU917" s="22">
        <v>60000</v>
      </c>
      <c r="AV917" s="22">
        <v>17000</v>
      </c>
      <c r="AW917" s="22">
        <v>18000</v>
      </c>
      <c r="AX917" s="66">
        <v>0</v>
      </c>
      <c r="AZ917" s="15" t="s">
        <v>351</v>
      </c>
      <c r="BA917" s="249">
        <f t="shared" si="29"/>
        <v>2</v>
      </c>
      <c r="BC917" s="249">
        <f t="shared" si="28"/>
        <v>1980</v>
      </c>
    </row>
    <row r="918" spans="1:55" x14ac:dyDescent="0.25">
      <c r="A918" s="52" t="s">
        <v>1857</v>
      </c>
      <c r="B918" s="65" t="s">
        <v>1639</v>
      </c>
      <c r="C918" s="15" t="s">
        <v>337</v>
      </c>
      <c r="D918" s="15">
        <v>2006</v>
      </c>
      <c r="E918" s="15" t="s">
        <v>407</v>
      </c>
      <c r="F918" s="15"/>
      <c r="G918" s="15"/>
      <c r="H918" s="15"/>
      <c r="I918" s="15"/>
      <c r="J918" s="16">
        <v>850000</v>
      </c>
      <c r="K918" s="15" t="s">
        <v>328</v>
      </c>
      <c r="L918" s="15"/>
      <c r="M918" s="15"/>
      <c r="N918" s="16">
        <v>8000</v>
      </c>
      <c r="O918" s="21">
        <v>0.5</v>
      </c>
      <c r="P918" s="15">
        <v>2</v>
      </c>
      <c r="Q918" s="15">
        <v>680</v>
      </c>
      <c r="R918" s="16">
        <v>3400</v>
      </c>
      <c r="S918" s="15" t="s">
        <v>340</v>
      </c>
      <c r="T918" s="15">
        <v>2.5</v>
      </c>
      <c r="U918" s="15">
        <v>2.7</v>
      </c>
      <c r="V918" s="27">
        <v>3100</v>
      </c>
      <c r="W918" s="22">
        <v>43500</v>
      </c>
      <c r="X918" s="15"/>
      <c r="Y918" s="15"/>
      <c r="Z918" s="15"/>
      <c r="AA918" s="15"/>
      <c r="AB918" s="15" t="s">
        <v>328</v>
      </c>
      <c r="AC918" s="15"/>
      <c r="AD918" s="15" t="s">
        <v>328</v>
      </c>
      <c r="AE918" s="15"/>
      <c r="AF918" s="15"/>
      <c r="AG918" s="15"/>
      <c r="AH918" s="15"/>
      <c r="AI918" s="15" t="s">
        <v>328</v>
      </c>
      <c r="AJ918" s="15"/>
      <c r="AK918" s="15"/>
      <c r="AL918" s="15" t="s">
        <v>328</v>
      </c>
      <c r="AM918" s="15"/>
      <c r="AN918" s="16">
        <v>16000</v>
      </c>
      <c r="AO918" s="16">
        <v>35000</v>
      </c>
      <c r="AP918" s="16">
        <v>80000</v>
      </c>
      <c r="AQ918" s="16">
        <v>150000</v>
      </c>
      <c r="AR918" s="16">
        <v>35000</v>
      </c>
      <c r="AS918" s="22">
        <v>102000</v>
      </c>
      <c r="AT918" s="22">
        <v>0</v>
      </c>
      <c r="AU918" s="22">
        <v>80000</v>
      </c>
      <c r="AV918" s="22">
        <v>36000</v>
      </c>
      <c r="AW918" s="22">
        <v>30000</v>
      </c>
      <c r="AX918" s="66">
        <v>0</v>
      </c>
      <c r="AZ918" s="15" t="s">
        <v>562</v>
      </c>
      <c r="BA918" s="249">
        <f t="shared" si="29"/>
        <v>4</v>
      </c>
      <c r="BB918" s="249">
        <v>0</v>
      </c>
      <c r="BC918" s="249">
        <f t="shared" si="28"/>
        <v>2006</v>
      </c>
    </row>
    <row r="919" spans="1:55" x14ac:dyDescent="0.25">
      <c r="A919" s="52" t="s">
        <v>1857</v>
      </c>
      <c r="B919" s="65" t="s">
        <v>1639</v>
      </c>
      <c r="C919" s="15" t="s">
        <v>337</v>
      </c>
      <c r="D919" s="15">
        <v>2006</v>
      </c>
      <c r="E919" s="15" t="s">
        <v>407</v>
      </c>
      <c r="F919" s="15"/>
      <c r="G919" s="15"/>
      <c r="H919" s="15"/>
      <c r="I919" s="15"/>
      <c r="J919" s="16">
        <v>750000</v>
      </c>
      <c r="K919" s="15" t="s">
        <v>328</v>
      </c>
      <c r="L919" s="15"/>
      <c r="M919" s="15"/>
      <c r="N919" s="16">
        <v>8000</v>
      </c>
      <c r="O919" s="21">
        <v>0.5</v>
      </c>
      <c r="P919" s="15">
        <v>2</v>
      </c>
      <c r="Q919" s="15">
        <v>680</v>
      </c>
      <c r="R919" s="16">
        <v>3400</v>
      </c>
      <c r="S919" s="15" t="s">
        <v>340</v>
      </c>
      <c r="T919" s="15">
        <v>2.5</v>
      </c>
      <c r="U919" s="15">
        <v>2.7</v>
      </c>
      <c r="V919" s="27">
        <v>3100</v>
      </c>
      <c r="W919" s="22">
        <v>43500</v>
      </c>
      <c r="X919" s="15"/>
      <c r="Y919" s="15"/>
      <c r="Z919" s="15"/>
      <c r="AA919" s="15"/>
      <c r="AB919" s="15" t="s">
        <v>328</v>
      </c>
      <c r="AC919" s="15"/>
      <c r="AD919" s="15" t="s">
        <v>328</v>
      </c>
      <c r="AE919" s="15"/>
      <c r="AF919" s="15"/>
      <c r="AG919" s="15"/>
      <c r="AH919" s="15"/>
      <c r="AI919" s="15" t="s">
        <v>328</v>
      </c>
      <c r="AJ919" s="15"/>
      <c r="AK919" s="15"/>
      <c r="AL919" s="15" t="s">
        <v>328</v>
      </c>
      <c r="AM919" s="15"/>
      <c r="AN919" s="16">
        <v>18000</v>
      </c>
      <c r="AO919" s="16">
        <v>35000</v>
      </c>
      <c r="AP919" s="16">
        <v>80000</v>
      </c>
      <c r="AQ919" s="16">
        <v>150000</v>
      </c>
      <c r="AR919" s="16">
        <v>35000</v>
      </c>
      <c r="AS919" s="22">
        <v>102000</v>
      </c>
      <c r="AT919" s="22">
        <v>0</v>
      </c>
      <c r="AU919" s="22">
        <v>80000</v>
      </c>
      <c r="AV919" s="22">
        <v>36000</v>
      </c>
      <c r="AW919" s="22">
        <v>30000</v>
      </c>
      <c r="AX919" s="66">
        <v>0</v>
      </c>
      <c r="AZ919" s="15" t="s">
        <v>562</v>
      </c>
      <c r="BA919" s="249">
        <f t="shared" si="29"/>
        <v>4</v>
      </c>
      <c r="BB919" s="249">
        <v>0</v>
      </c>
      <c r="BC919" s="249">
        <f t="shared" si="28"/>
        <v>2006</v>
      </c>
    </row>
    <row r="920" spans="1:55" x14ac:dyDescent="0.25">
      <c r="A920" s="52" t="s">
        <v>1857</v>
      </c>
      <c r="B920" s="65" t="s">
        <v>1639</v>
      </c>
      <c r="C920" s="15" t="s">
        <v>337</v>
      </c>
      <c r="D920" s="15">
        <v>2006</v>
      </c>
      <c r="E920" s="15" t="s">
        <v>407</v>
      </c>
      <c r="F920" s="15"/>
      <c r="G920" s="15"/>
      <c r="H920" s="15"/>
      <c r="I920" s="15"/>
      <c r="J920" s="16">
        <v>690000</v>
      </c>
      <c r="K920" s="15" t="s">
        <v>328</v>
      </c>
      <c r="L920" s="15"/>
      <c r="M920" s="15"/>
      <c r="N920" s="16">
        <v>8000</v>
      </c>
      <c r="O920" s="21">
        <v>0.5</v>
      </c>
      <c r="P920" s="15">
        <v>2</v>
      </c>
      <c r="Q920" s="15">
        <v>680</v>
      </c>
      <c r="R920" s="16">
        <v>3400</v>
      </c>
      <c r="S920" s="15" t="s">
        <v>340</v>
      </c>
      <c r="T920" s="15">
        <v>2.5</v>
      </c>
      <c r="U920" s="15">
        <v>2.7</v>
      </c>
      <c r="V920" s="27">
        <v>3100</v>
      </c>
      <c r="W920" s="22">
        <v>43500</v>
      </c>
      <c r="X920" s="15"/>
      <c r="Y920" s="15"/>
      <c r="Z920" s="15"/>
      <c r="AA920" s="15"/>
      <c r="AB920" s="15" t="s">
        <v>328</v>
      </c>
      <c r="AC920" s="15"/>
      <c r="AD920" s="15" t="s">
        <v>328</v>
      </c>
      <c r="AE920" s="15"/>
      <c r="AF920" s="15"/>
      <c r="AG920" s="15"/>
      <c r="AH920" s="15"/>
      <c r="AI920" s="15" t="s">
        <v>328</v>
      </c>
      <c r="AJ920" s="15"/>
      <c r="AK920" s="15"/>
      <c r="AL920" s="15" t="s">
        <v>328</v>
      </c>
      <c r="AM920" s="15"/>
      <c r="AN920" s="16">
        <v>18000</v>
      </c>
      <c r="AO920" s="16">
        <v>35000</v>
      </c>
      <c r="AP920" s="16">
        <v>80000</v>
      </c>
      <c r="AQ920" s="16">
        <v>150000</v>
      </c>
      <c r="AR920" s="16">
        <v>35000</v>
      </c>
      <c r="AS920" s="22">
        <v>102000</v>
      </c>
      <c r="AT920" s="22">
        <v>0</v>
      </c>
      <c r="AU920" s="22">
        <v>80000</v>
      </c>
      <c r="AV920" s="22">
        <v>36000</v>
      </c>
      <c r="AW920" s="22">
        <v>30000</v>
      </c>
      <c r="AX920" s="66">
        <v>0</v>
      </c>
      <c r="AZ920" s="15" t="s">
        <v>562</v>
      </c>
      <c r="BA920" s="249">
        <f t="shared" si="29"/>
        <v>4</v>
      </c>
      <c r="BB920" s="249">
        <v>0</v>
      </c>
      <c r="BC920" s="249">
        <f t="shared" si="28"/>
        <v>2006</v>
      </c>
    </row>
    <row r="921" spans="1:55" x14ac:dyDescent="0.25">
      <c r="A921" s="52" t="s">
        <v>1857</v>
      </c>
      <c r="B921" s="65" t="s">
        <v>1639</v>
      </c>
      <c r="C921" s="15" t="s">
        <v>337</v>
      </c>
      <c r="D921" s="15">
        <v>2009</v>
      </c>
      <c r="E921" s="15" t="s">
        <v>407</v>
      </c>
      <c r="F921" s="15"/>
      <c r="G921" s="15"/>
      <c r="H921" s="15"/>
      <c r="I921" s="15"/>
      <c r="J921" s="16">
        <v>560000</v>
      </c>
      <c r="K921" s="15" t="s">
        <v>328</v>
      </c>
      <c r="L921" s="15"/>
      <c r="M921" s="15"/>
      <c r="N921" s="16">
        <v>8000</v>
      </c>
      <c r="O921" s="21">
        <v>0.5</v>
      </c>
      <c r="P921" s="15">
        <v>2</v>
      </c>
      <c r="Q921" s="15">
        <v>680</v>
      </c>
      <c r="R921" s="16">
        <v>3400</v>
      </c>
      <c r="S921" s="15" t="s">
        <v>340</v>
      </c>
      <c r="T921" s="15">
        <v>2.5</v>
      </c>
      <c r="U921" s="15">
        <v>2.7</v>
      </c>
      <c r="V921" s="27">
        <v>3100</v>
      </c>
      <c r="W921" s="22">
        <v>43500</v>
      </c>
      <c r="X921" s="15"/>
      <c r="Y921" s="15" t="s">
        <v>328</v>
      </c>
      <c r="Z921" s="15"/>
      <c r="AA921" s="15"/>
      <c r="AB921" s="15"/>
      <c r="AC921" s="15"/>
      <c r="AD921" s="15" t="s">
        <v>328</v>
      </c>
      <c r="AE921" s="15"/>
      <c r="AF921" s="15"/>
      <c r="AG921" s="15"/>
      <c r="AH921" s="15"/>
      <c r="AI921" s="15" t="s">
        <v>328</v>
      </c>
      <c r="AJ921" s="15"/>
      <c r="AK921" s="15"/>
      <c r="AL921" s="15" t="s">
        <v>328</v>
      </c>
      <c r="AM921" s="15"/>
      <c r="AN921" s="16">
        <v>18000</v>
      </c>
      <c r="AO921" s="16">
        <v>35000</v>
      </c>
      <c r="AP921" s="16">
        <v>80000</v>
      </c>
      <c r="AQ921" s="16">
        <v>150000</v>
      </c>
      <c r="AR921" s="16">
        <v>35000</v>
      </c>
      <c r="AS921" s="22">
        <v>102000</v>
      </c>
      <c r="AT921" s="22">
        <v>0</v>
      </c>
      <c r="AU921" s="22">
        <v>80000</v>
      </c>
      <c r="AV921" s="22">
        <v>36000</v>
      </c>
      <c r="AW921" s="22">
        <v>30000</v>
      </c>
      <c r="AX921" s="66">
        <v>0</v>
      </c>
      <c r="AZ921" s="15" t="s">
        <v>348</v>
      </c>
      <c r="BA921" s="249">
        <f t="shared" si="29"/>
        <v>4</v>
      </c>
      <c r="BB921" s="249">
        <v>0</v>
      </c>
      <c r="BC921" s="249">
        <f t="shared" si="28"/>
        <v>2009</v>
      </c>
    </row>
    <row r="922" spans="1:55" x14ac:dyDescent="0.25">
      <c r="A922" s="52" t="s">
        <v>1857</v>
      </c>
      <c r="B922" s="65" t="s">
        <v>1640</v>
      </c>
      <c r="C922" s="14" t="s">
        <v>351</v>
      </c>
      <c r="D922" s="14">
        <v>1987</v>
      </c>
      <c r="E922" s="14"/>
      <c r="F922" s="14">
        <v>2005</v>
      </c>
      <c r="G922" s="14" t="s">
        <v>407</v>
      </c>
      <c r="H922" s="14"/>
      <c r="I922" s="14"/>
      <c r="J922" s="13">
        <v>1653380</v>
      </c>
      <c r="K922" s="14"/>
      <c r="L922" s="14" t="s">
        <v>328</v>
      </c>
      <c r="M922" s="14"/>
      <c r="N922" s="13">
        <v>5000</v>
      </c>
      <c r="O922" s="24">
        <v>0.2</v>
      </c>
      <c r="P922" s="14">
        <v>2</v>
      </c>
      <c r="Q922" s="14">
        <v>800</v>
      </c>
      <c r="R922" s="13">
        <v>4800</v>
      </c>
      <c r="S922" s="14" t="s">
        <v>340</v>
      </c>
      <c r="T922" s="14">
        <v>3</v>
      </c>
      <c r="U922" s="14">
        <v>4</v>
      </c>
      <c r="V922" s="27">
        <v>1450</v>
      </c>
      <c r="W922" s="22">
        <v>20000</v>
      </c>
      <c r="X922" s="14"/>
      <c r="Y922" s="14"/>
      <c r="Z922" s="14"/>
      <c r="AA922" s="14"/>
      <c r="AB922" s="14" t="s">
        <v>328</v>
      </c>
      <c r="AC922" s="14"/>
      <c r="AD922" s="15"/>
      <c r="AE922" s="14"/>
      <c r="AF922" s="14"/>
      <c r="AG922" s="14"/>
      <c r="AH922" s="14" t="s">
        <v>328</v>
      </c>
      <c r="AI922" s="14" t="s">
        <v>328</v>
      </c>
      <c r="AJ922" s="14"/>
      <c r="AK922" s="14"/>
      <c r="AL922" s="14"/>
      <c r="AM922" s="14"/>
      <c r="AN922" s="13">
        <v>30000</v>
      </c>
      <c r="AO922" s="13">
        <v>30000</v>
      </c>
      <c r="AP922" s="13">
        <v>65000</v>
      </c>
      <c r="AQ922" s="13">
        <v>150000</v>
      </c>
      <c r="AR922" s="16">
        <v>30000</v>
      </c>
      <c r="AS922" s="26">
        <v>0</v>
      </c>
      <c r="AT922" s="26">
        <v>0</v>
      </c>
      <c r="AU922" s="26">
        <v>25000</v>
      </c>
      <c r="AV922" s="26">
        <v>15000</v>
      </c>
      <c r="AW922" s="26">
        <v>0</v>
      </c>
      <c r="AX922" s="62">
        <v>0</v>
      </c>
      <c r="AZ922" s="14" t="s">
        <v>351</v>
      </c>
      <c r="BA922" s="249">
        <f t="shared" si="29"/>
        <v>1</v>
      </c>
      <c r="BB922" s="249">
        <v>0</v>
      </c>
      <c r="BC922" s="249">
        <f t="shared" si="28"/>
        <v>2005</v>
      </c>
    </row>
    <row r="923" spans="1:55" x14ac:dyDescent="0.25">
      <c r="A923" s="52" t="s">
        <v>1857</v>
      </c>
      <c r="B923" s="65" t="s">
        <v>1643</v>
      </c>
      <c r="C923" s="14" t="s">
        <v>348</v>
      </c>
      <c r="D923" s="14">
        <v>1984</v>
      </c>
      <c r="E923" s="14"/>
      <c r="F923" s="14">
        <v>2007</v>
      </c>
      <c r="G923" s="14" t="s">
        <v>456</v>
      </c>
      <c r="H923" s="14"/>
      <c r="I923" s="14"/>
      <c r="J923" s="13">
        <v>2158320</v>
      </c>
      <c r="K923" s="14"/>
      <c r="L923" s="14"/>
      <c r="M923" s="14" t="s">
        <v>328</v>
      </c>
      <c r="N923" s="13">
        <v>5000</v>
      </c>
      <c r="O923" s="24">
        <v>0.2</v>
      </c>
      <c r="P923" s="14">
        <v>2</v>
      </c>
      <c r="Q923" s="14">
        <v>380</v>
      </c>
      <c r="R923" s="13">
        <v>1444</v>
      </c>
      <c r="S923" s="14" t="s">
        <v>340</v>
      </c>
      <c r="T923" s="14">
        <v>1.9</v>
      </c>
      <c r="U923" s="14">
        <v>2.2999999999999998</v>
      </c>
      <c r="V923" s="27">
        <v>2300</v>
      </c>
      <c r="W923" s="22">
        <v>32000</v>
      </c>
      <c r="X923" s="14"/>
      <c r="Y923" s="14"/>
      <c r="Z923" s="14"/>
      <c r="AA923" s="14"/>
      <c r="AB923" s="14" t="s">
        <v>328</v>
      </c>
      <c r="AC923" s="14"/>
      <c r="AD923" s="14" t="s">
        <v>328</v>
      </c>
      <c r="AE923" s="14" t="s">
        <v>328</v>
      </c>
      <c r="AF923" s="14"/>
      <c r="AG923" s="14"/>
      <c r="AH923" s="14" t="s">
        <v>328</v>
      </c>
      <c r="AI923" s="14"/>
      <c r="AJ923" s="14"/>
      <c r="AK923" s="14"/>
      <c r="AL923" s="14" t="s">
        <v>328</v>
      </c>
      <c r="AM923" s="14"/>
      <c r="AN923" s="13">
        <v>12000</v>
      </c>
      <c r="AO923" s="13">
        <v>20000</v>
      </c>
      <c r="AP923" s="13">
        <v>10000</v>
      </c>
      <c r="AQ923" s="13">
        <v>12000</v>
      </c>
      <c r="AR923" s="13">
        <v>15000</v>
      </c>
      <c r="AS923" s="26">
        <v>99600</v>
      </c>
      <c r="AT923" s="26">
        <v>0</v>
      </c>
      <c r="AU923" s="26">
        <v>60000</v>
      </c>
      <c r="AV923" s="26">
        <v>30000</v>
      </c>
      <c r="AW923" s="26">
        <v>12000</v>
      </c>
      <c r="AX923" s="62">
        <v>0</v>
      </c>
      <c r="AZ923" s="14" t="s">
        <v>348</v>
      </c>
      <c r="BA923" s="249">
        <f t="shared" si="29"/>
        <v>2</v>
      </c>
      <c r="BB923" s="249">
        <v>0</v>
      </c>
      <c r="BC923" s="249">
        <f t="shared" si="28"/>
        <v>2007</v>
      </c>
    </row>
    <row r="924" spans="1:55" x14ac:dyDescent="0.25">
      <c r="A924" s="52" t="s">
        <v>1857</v>
      </c>
      <c r="B924" s="65" t="s">
        <v>1643</v>
      </c>
      <c r="C924" s="14" t="s">
        <v>348</v>
      </c>
      <c r="D924" s="14">
        <v>1993</v>
      </c>
      <c r="E924" s="14" t="s">
        <v>456</v>
      </c>
      <c r="F924" s="14"/>
      <c r="G924" s="14"/>
      <c r="H924" s="14"/>
      <c r="I924" s="14"/>
      <c r="J924" s="13">
        <v>790415</v>
      </c>
      <c r="K924" s="14"/>
      <c r="L924" s="14" t="s">
        <v>328</v>
      </c>
      <c r="M924" s="14"/>
      <c r="N924" s="13">
        <v>5000</v>
      </c>
      <c r="O924" s="24">
        <v>0.2</v>
      </c>
      <c r="P924" s="14">
        <v>2</v>
      </c>
      <c r="Q924" s="14">
        <v>380</v>
      </c>
      <c r="R924" s="13">
        <v>1444</v>
      </c>
      <c r="S924" s="14" t="s">
        <v>340</v>
      </c>
      <c r="T924" s="14">
        <v>1.9</v>
      </c>
      <c r="U924" s="14">
        <v>2.2999999999999998</v>
      </c>
      <c r="V924" s="27">
        <v>2300</v>
      </c>
      <c r="W924" s="22">
        <v>32000</v>
      </c>
      <c r="X924" s="14"/>
      <c r="Y924" s="14"/>
      <c r="Z924" s="14"/>
      <c r="AA924" s="14"/>
      <c r="AB924" s="14" t="s">
        <v>328</v>
      </c>
      <c r="AC924" s="14"/>
      <c r="AD924" s="14" t="s">
        <v>328</v>
      </c>
      <c r="AE924" s="14" t="s">
        <v>328</v>
      </c>
      <c r="AF924" s="14"/>
      <c r="AG924" s="14"/>
      <c r="AH924" s="14"/>
      <c r="AI924" s="14"/>
      <c r="AJ924" s="14"/>
      <c r="AK924" s="14"/>
      <c r="AL924" s="14" t="s">
        <v>328</v>
      </c>
      <c r="AM924" s="14"/>
      <c r="AN924" s="13">
        <v>12000</v>
      </c>
      <c r="AO924" s="13">
        <v>20000</v>
      </c>
      <c r="AP924" s="13">
        <v>7000</v>
      </c>
      <c r="AQ924" s="13">
        <v>12000</v>
      </c>
      <c r="AR924" s="13">
        <v>20000</v>
      </c>
      <c r="AS924" s="26">
        <v>99600</v>
      </c>
      <c r="AT924" s="26">
        <v>0</v>
      </c>
      <c r="AU924" s="26">
        <v>60000</v>
      </c>
      <c r="AV924" s="26">
        <v>30000</v>
      </c>
      <c r="AW924" s="26">
        <v>12000</v>
      </c>
      <c r="AX924" s="62">
        <v>0</v>
      </c>
      <c r="AZ924" s="14" t="s">
        <v>348</v>
      </c>
      <c r="BA924" s="249">
        <f t="shared" si="29"/>
        <v>2</v>
      </c>
      <c r="BB924" s="249">
        <v>0</v>
      </c>
      <c r="BC924" s="249">
        <f t="shared" si="28"/>
        <v>1993</v>
      </c>
    </row>
    <row r="925" spans="1:55" x14ac:dyDescent="0.25">
      <c r="A925" s="52" t="s">
        <v>1857</v>
      </c>
      <c r="B925" s="65" t="s">
        <v>1644</v>
      </c>
      <c r="C925" s="14" t="s">
        <v>351</v>
      </c>
      <c r="D925" s="15">
        <v>1990</v>
      </c>
      <c r="E925" s="15" t="s">
        <v>477</v>
      </c>
      <c r="F925" s="15"/>
      <c r="G925" s="15"/>
      <c r="H925" s="15"/>
      <c r="I925" s="15"/>
      <c r="J925" s="13">
        <v>1872000</v>
      </c>
      <c r="K925" s="15"/>
      <c r="L925" s="15" t="s">
        <v>328</v>
      </c>
      <c r="M925" s="15"/>
      <c r="N925" s="16">
        <v>6500</v>
      </c>
      <c r="O925" s="21">
        <v>0.5</v>
      </c>
      <c r="P925" s="15">
        <v>2</v>
      </c>
      <c r="Q925" s="15">
        <v>580</v>
      </c>
      <c r="R925" s="13">
        <v>3596</v>
      </c>
      <c r="S925" s="15" t="s">
        <v>340</v>
      </c>
      <c r="T925" s="15">
        <v>3.1</v>
      </c>
      <c r="U925" s="15">
        <v>3.4</v>
      </c>
      <c r="V925" s="27">
        <v>2100</v>
      </c>
      <c r="W925" s="22">
        <v>29000</v>
      </c>
      <c r="X925" s="15"/>
      <c r="Y925" s="15"/>
      <c r="Z925" s="15"/>
      <c r="AA925" s="15"/>
      <c r="AB925" s="15" t="s">
        <v>328</v>
      </c>
      <c r="AC925" s="15"/>
      <c r="AD925" s="15" t="s">
        <v>328</v>
      </c>
      <c r="AE925" s="15"/>
      <c r="AF925" s="15"/>
      <c r="AG925" s="15"/>
      <c r="AH925" s="15"/>
      <c r="AI925" s="15"/>
      <c r="AJ925" s="15"/>
      <c r="AK925" s="15"/>
      <c r="AL925" s="15"/>
      <c r="AM925" s="15"/>
      <c r="AN925" s="16">
        <v>16000</v>
      </c>
      <c r="AO925" s="16">
        <v>55000</v>
      </c>
      <c r="AP925" s="13">
        <v>60000</v>
      </c>
      <c r="AQ925" s="13">
        <v>120000</v>
      </c>
      <c r="AR925" s="13">
        <v>16000</v>
      </c>
      <c r="AS925" s="22">
        <v>0</v>
      </c>
      <c r="AT925" s="22">
        <v>0</v>
      </c>
      <c r="AU925" s="22">
        <v>40000</v>
      </c>
      <c r="AV925" s="22">
        <v>25000</v>
      </c>
      <c r="AW925" s="22">
        <v>0</v>
      </c>
      <c r="AX925" s="66">
        <v>0</v>
      </c>
      <c r="AZ925" s="15" t="s">
        <v>351</v>
      </c>
      <c r="BA925" s="249">
        <f t="shared" si="29"/>
        <v>1</v>
      </c>
      <c r="BB925" s="249">
        <v>0</v>
      </c>
      <c r="BC925" s="249">
        <f t="shared" si="28"/>
        <v>1990</v>
      </c>
    </row>
    <row r="926" spans="1:55" x14ac:dyDescent="0.25">
      <c r="A926" s="52" t="s">
        <v>1857</v>
      </c>
      <c r="B926" s="65" t="s">
        <v>1645</v>
      </c>
      <c r="C926" s="15" t="s">
        <v>337</v>
      </c>
      <c r="D926" s="15">
        <v>1995</v>
      </c>
      <c r="E926" s="15" t="s">
        <v>349</v>
      </c>
      <c r="F926" s="15"/>
      <c r="G926" s="15"/>
      <c r="H926" s="15"/>
      <c r="I926" s="15"/>
      <c r="J926" s="13">
        <v>1482000</v>
      </c>
      <c r="K926" s="15" t="s">
        <v>328</v>
      </c>
      <c r="L926" s="15"/>
      <c r="M926" s="15"/>
      <c r="N926" s="16">
        <v>6500</v>
      </c>
      <c r="O926" s="21">
        <v>0.5</v>
      </c>
      <c r="P926" s="15">
        <v>2</v>
      </c>
      <c r="Q926" s="15">
        <v>580</v>
      </c>
      <c r="R926" s="13">
        <v>2320</v>
      </c>
      <c r="S926" s="15" t="s">
        <v>340</v>
      </c>
      <c r="T926" s="15">
        <v>2</v>
      </c>
      <c r="U926" s="15">
        <v>2.2000000000000002</v>
      </c>
      <c r="V926" s="27">
        <v>3200</v>
      </c>
      <c r="W926" s="22">
        <v>44000</v>
      </c>
      <c r="X926" s="15" t="s">
        <v>328</v>
      </c>
      <c r="Y926" s="15"/>
      <c r="Z926" s="15"/>
      <c r="AA926" s="15"/>
      <c r="AB926" s="15"/>
      <c r="AC926" s="15"/>
      <c r="AD926" s="15" t="s">
        <v>328</v>
      </c>
      <c r="AE926" s="15" t="s">
        <v>328</v>
      </c>
      <c r="AF926" s="15"/>
      <c r="AG926" s="15" t="s">
        <v>328</v>
      </c>
      <c r="AH926" s="15" t="s">
        <v>328</v>
      </c>
      <c r="AI926" s="15"/>
      <c r="AJ926" s="15"/>
      <c r="AK926" s="15"/>
      <c r="AL926" s="15" t="s">
        <v>328</v>
      </c>
      <c r="AM926" s="15"/>
      <c r="AN926" s="16">
        <v>20000</v>
      </c>
      <c r="AO926" s="16">
        <v>20000</v>
      </c>
      <c r="AP926" s="16">
        <v>40000</v>
      </c>
      <c r="AQ926" s="16">
        <v>130000</v>
      </c>
      <c r="AR926" s="16">
        <v>20000</v>
      </c>
      <c r="AS926" s="22">
        <v>96000</v>
      </c>
      <c r="AT926" s="22">
        <v>0</v>
      </c>
      <c r="AU926" s="22">
        <v>70000</v>
      </c>
      <c r="AV926" s="22">
        <v>25000</v>
      </c>
      <c r="AW926" s="22">
        <v>11500</v>
      </c>
      <c r="AX926" s="66">
        <v>0</v>
      </c>
      <c r="AZ926" s="15"/>
      <c r="BA926" s="249">
        <f t="shared" si="29"/>
        <v>6</v>
      </c>
      <c r="BB926" s="249">
        <v>0</v>
      </c>
      <c r="BC926" s="249">
        <f t="shared" si="28"/>
        <v>1995</v>
      </c>
    </row>
    <row r="927" spans="1:55" x14ac:dyDescent="0.25">
      <c r="A927" s="52" t="s">
        <v>1857</v>
      </c>
      <c r="B927" s="65" t="s">
        <v>1645</v>
      </c>
      <c r="C927" s="15" t="s">
        <v>337</v>
      </c>
      <c r="D927" s="15">
        <v>1995</v>
      </c>
      <c r="E927" s="15" t="s">
        <v>349</v>
      </c>
      <c r="F927" s="15"/>
      <c r="G927" s="15"/>
      <c r="H927" s="15"/>
      <c r="I927" s="15"/>
      <c r="J927" s="13">
        <v>1482000</v>
      </c>
      <c r="K927" s="15" t="s">
        <v>328</v>
      </c>
      <c r="L927" s="15"/>
      <c r="M927" s="15"/>
      <c r="N927" s="16">
        <v>6500</v>
      </c>
      <c r="O927" s="21">
        <v>0.5</v>
      </c>
      <c r="P927" s="15">
        <v>2</v>
      </c>
      <c r="Q927" s="15">
        <v>580</v>
      </c>
      <c r="R927" s="13">
        <v>2320</v>
      </c>
      <c r="S927" s="15" t="s">
        <v>340</v>
      </c>
      <c r="T927" s="15">
        <v>2</v>
      </c>
      <c r="U927" s="15">
        <v>2.2000000000000002</v>
      </c>
      <c r="V927" s="27">
        <v>3200</v>
      </c>
      <c r="W927" s="22">
        <v>44000</v>
      </c>
      <c r="X927" s="15" t="s">
        <v>328</v>
      </c>
      <c r="Y927" s="15"/>
      <c r="Z927" s="15"/>
      <c r="AA927" s="15"/>
      <c r="AB927" s="15"/>
      <c r="AC927" s="15"/>
      <c r="AD927" s="15" t="s">
        <v>328</v>
      </c>
      <c r="AE927" s="15" t="s">
        <v>328</v>
      </c>
      <c r="AF927" s="15"/>
      <c r="AG927" s="15" t="s">
        <v>328</v>
      </c>
      <c r="AH927" s="15" t="s">
        <v>328</v>
      </c>
      <c r="AI927" s="15"/>
      <c r="AJ927" s="15"/>
      <c r="AK927" s="15"/>
      <c r="AL927" s="15" t="s">
        <v>328</v>
      </c>
      <c r="AM927" s="15"/>
      <c r="AN927" s="16">
        <v>20000</v>
      </c>
      <c r="AO927" s="16">
        <v>20000</v>
      </c>
      <c r="AP927" s="16">
        <v>40000</v>
      </c>
      <c r="AQ927" s="16">
        <v>130000</v>
      </c>
      <c r="AR927" s="16">
        <v>20000</v>
      </c>
      <c r="AS927" s="22">
        <v>96000</v>
      </c>
      <c r="AT927" s="22">
        <v>0</v>
      </c>
      <c r="AU927" s="22">
        <v>70000</v>
      </c>
      <c r="AV927" s="22">
        <v>25000</v>
      </c>
      <c r="AW927" s="22">
        <v>11500</v>
      </c>
      <c r="AX927" s="66">
        <v>0</v>
      </c>
      <c r="AZ927" s="15"/>
      <c r="BA927" s="249">
        <f t="shared" si="29"/>
        <v>6</v>
      </c>
      <c r="BB927" s="249"/>
      <c r="BC927" s="249">
        <f t="shared" si="28"/>
        <v>1995</v>
      </c>
    </row>
    <row r="928" spans="1:55" x14ac:dyDescent="0.25">
      <c r="A928" s="52" t="s">
        <v>1857</v>
      </c>
      <c r="B928" s="65" t="s">
        <v>1645</v>
      </c>
      <c r="C928" s="15" t="s">
        <v>337</v>
      </c>
      <c r="D928" s="15">
        <v>1998</v>
      </c>
      <c r="E928" s="15" t="s">
        <v>338</v>
      </c>
      <c r="F928" s="15"/>
      <c r="G928" s="15"/>
      <c r="H928" s="15"/>
      <c r="I928" s="15"/>
      <c r="J928" s="13">
        <v>1248000</v>
      </c>
      <c r="K928" s="15" t="s">
        <v>328</v>
      </c>
      <c r="L928" s="15"/>
      <c r="M928" s="15"/>
      <c r="N928" s="16">
        <v>6500</v>
      </c>
      <c r="O928" s="21">
        <v>0.5</v>
      </c>
      <c r="P928" s="15">
        <v>2</v>
      </c>
      <c r="Q928" s="15">
        <v>640</v>
      </c>
      <c r="R928" s="13">
        <v>2560</v>
      </c>
      <c r="S928" s="15" t="s">
        <v>340</v>
      </c>
      <c r="T928" s="15">
        <v>2</v>
      </c>
      <c r="U928" s="15">
        <v>2.2000000000000002</v>
      </c>
      <c r="V928" s="27">
        <v>3200</v>
      </c>
      <c r="W928" s="22">
        <v>44000</v>
      </c>
      <c r="X928" s="15"/>
      <c r="Y928" s="15" t="s">
        <v>328</v>
      </c>
      <c r="Z928" s="15"/>
      <c r="AA928" s="15"/>
      <c r="AB928" s="15"/>
      <c r="AC928" s="15"/>
      <c r="AD928" s="15" t="s">
        <v>328</v>
      </c>
      <c r="AE928" s="15" t="s">
        <v>328</v>
      </c>
      <c r="AF928" s="15"/>
      <c r="AG928" s="15" t="s">
        <v>328</v>
      </c>
      <c r="AH928" s="15" t="s">
        <v>328</v>
      </c>
      <c r="AI928" s="15"/>
      <c r="AJ928" s="15"/>
      <c r="AK928" s="15"/>
      <c r="AL928" s="15" t="s">
        <v>328</v>
      </c>
      <c r="AM928" s="15"/>
      <c r="AN928" s="16">
        <v>20000</v>
      </c>
      <c r="AO928" s="16">
        <v>20000</v>
      </c>
      <c r="AP928" s="16">
        <v>40000</v>
      </c>
      <c r="AQ928" s="16">
        <v>130000</v>
      </c>
      <c r="AR928" s="16">
        <v>20000</v>
      </c>
      <c r="AS928" s="22">
        <v>96000</v>
      </c>
      <c r="AT928" s="22">
        <v>0</v>
      </c>
      <c r="AU928" s="22">
        <v>70000</v>
      </c>
      <c r="AV928" s="22">
        <v>25000</v>
      </c>
      <c r="AW928" s="22">
        <v>11500</v>
      </c>
      <c r="AX928" s="66">
        <v>0</v>
      </c>
      <c r="AZ928" s="15"/>
      <c r="BA928" s="249">
        <f t="shared" si="29"/>
        <v>6</v>
      </c>
      <c r="BB928" s="249"/>
      <c r="BC928" s="249">
        <f t="shared" si="28"/>
        <v>1998</v>
      </c>
    </row>
    <row r="929" spans="1:55" x14ac:dyDescent="0.25">
      <c r="A929" s="52" t="s">
        <v>1857</v>
      </c>
      <c r="B929" s="65" t="s">
        <v>1645</v>
      </c>
      <c r="C929" s="15" t="s">
        <v>337</v>
      </c>
      <c r="D929" s="15">
        <v>1998</v>
      </c>
      <c r="E929" s="15" t="s">
        <v>338</v>
      </c>
      <c r="F929" s="15"/>
      <c r="G929" s="15"/>
      <c r="H929" s="15"/>
      <c r="I929" s="15"/>
      <c r="J929" s="13">
        <v>1248000</v>
      </c>
      <c r="K929" s="15" t="s">
        <v>328</v>
      </c>
      <c r="L929" s="15"/>
      <c r="M929" s="15"/>
      <c r="N929" s="16">
        <v>6500</v>
      </c>
      <c r="O929" s="21">
        <v>0.5</v>
      </c>
      <c r="P929" s="15">
        <v>2</v>
      </c>
      <c r="Q929" s="15">
        <v>680</v>
      </c>
      <c r="R929" s="13">
        <v>2720</v>
      </c>
      <c r="S929" s="15" t="s">
        <v>340</v>
      </c>
      <c r="T929" s="15">
        <v>2</v>
      </c>
      <c r="U929" s="15">
        <v>2.2000000000000002</v>
      </c>
      <c r="V929" s="27">
        <v>3200</v>
      </c>
      <c r="W929" s="22">
        <v>44000</v>
      </c>
      <c r="X929" s="15"/>
      <c r="Y929" s="15" t="s">
        <v>328</v>
      </c>
      <c r="Z929" s="15"/>
      <c r="AA929" s="15"/>
      <c r="AB929" s="15"/>
      <c r="AC929" s="15"/>
      <c r="AD929" s="15" t="s">
        <v>328</v>
      </c>
      <c r="AE929" s="15" t="s">
        <v>328</v>
      </c>
      <c r="AF929" s="15"/>
      <c r="AG929" s="15" t="s">
        <v>328</v>
      </c>
      <c r="AH929" s="15" t="s">
        <v>328</v>
      </c>
      <c r="AI929" s="15"/>
      <c r="AJ929" s="15"/>
      <c r="AK929" s="15"/>
      <c r="AL929" s="15" t="s">
        <v>328</v>
      </c>
      <c r="AM929" s="15"/>
      <c r="AN929" s="16">
        <v>20000</v>
      </c>
      <c r="AO929" s="16">
        <v>20000</v>
      </c>
      <c r="AP929" s="16">
        <v>40000</v>
      </c>
      <c r="AQ929" s="16">
        <v>130000</v>
      </c>
      <c r="AR929" s="16">
        <v>20000</v>
      </c>
      <c r="AS929" s="22">
        <v>96000</v>
      </c>
      <c r="AT929" s="22">
        <v>0</v>
      </c>
      <c r="AU929" s="22">
        <v>70000</v>
      </c>
      <c r="AV929" s="22">
        <v>25000</v>
      </c>
      <c r="AW929" s="22">
        <v>11500</v>
      </c>
      <c r="AX929" s="66">
        <v>0</v>
      </c>
      <c r="AZ929" s="15"/>
      <c r="BA929" s="249">
        <f t="shared" si="29"/>
        <v>6</v>
      </c>
      <c r="BB929" s="249"/>
      <c r="BC929" s="249">
        <f t="shared" si="28"/>
        <v>1998</v>
      </c>
    </row>
    <row r="930" spans="1:55" x14ac:dyDescent="0.25">
      <c r="A930" s="52" t="s">
        <v>1857</v>
      </c>
      <c r="B930" s="65" t="s">
        <v>1645</v>
      </c>
      <c r="C930" s="15" t="s">
        <v>337</v>
      </c>
      <c r="D930" s="15">
        <v>2000</v>
      </c>
      <c r="E930" s="15" t="s">
        <v>338</v>
      </c>
      <c r="F930" s="15"/>
      <c r="G930" s="15"/>
      <c r="H930" s="15"/>
      <c r="I930" s="15"/>
      <c r="J930" s="13">
        <v>1092000</v>
      </c>
      <c r="K930" s="15" t="s">
        <v>328</v>
      </c>
      <c r="L930" s="15"/>
      <c r="M930" s="15"/>
      <c r="N930" s="16">
        <v>6500</v>
      </c>
      <c r="O930" s="21">
        <v>0.5</v>
      </c>
      <c r="P930" s="15">
        <v>2</v>
      </c>
      <c r="Q930" s="15">
        <v>930</v>
      </c>
      <c r="R930" s="13">
        <v>4278</v>
      </c>
      <c r="S930" s="15" t="s">
        <v>340</v>
      </c>
      <c r="T930" s="15">
        <v>2.2999999999999998</v>
      </c>
      <c r="U930" s="15">
        <v>2.5</v>
      </c>
      <c r="V930" s="27">
        <v>2800</v>
      </c>
      <c r="W930" s="22">
        <v>39000</v>
      </c>
      <c r="X930" s="15"/>
      <c r="Y930" s="15"/>
      <c r="Z930" s="15"/>
      <c r="AA930" s="15"/>
      <c r="AB930" s="15" t="s">
        <v>328</v>
      </c>
      <c r="AC930" s="15"/>
      <c r="AD930" s="15" t="s">
        <v>328</v>
      </c>
      <c r="AE930" s="15"/>
      <c r="AF930" s="15" t="s">
        <v>328</v>
      </c>
      <c r="AG930" s="15" t="s">
        <v>328</v>
      </c>
      <c r="AH930" s="15" t="s">
        <v>328</v>
      </c>
      <c r="AI930" s="15" t="s">
        <v>328</v>
      </c>
      <c r="AJ930" s="15"/>
      <c r="AK930" s="15"/>
      <c r="AL930" s="15" t="s">
        <v>328</v>
      </c>
      <c r="AM930" s="15"/>
      <c r="AN930" s="16">
        <v>20000</v>
      </c>
      <c r="AO930" s="16">
        <v>20000</v>
      </c>
      <c r="AP930" s="16">
        <v>40000</v>
      </c>
      <c r="AQ930" s="16">
        <v>130000</v>
      </c>
      <c r="AR930" s="16">
        <v>20000</v>
      </c>
      <c r="AS930" s="22">
        <v>96000</v>
      </c>
      <c r="AT930" s="22">
        <v>0</v>
      </c>
      <c r="AU930" s="22">
        <v>70000</v>
      </c>
      <c r="AV930" s="22">
        <v>25000</v>
      </c>
      <c r="AW930" s="22">
        <v>11500</v>
      </c>
      <c r="AX930" s="66">
        <v>0</v>
      </c>
      <c r="AZ930" s="15"/>
      <c r="BA930" s="249">
        <f t="shared" si="29"/>
        <v>6</v>
      </c>
      <c r="BB930" s="249"/>
      <c r="BC930" s="249">
        <f t="shared" si="28"/>
        <v>2000</v>
      </c>
    </row>
    <row r="931" spans="1:55" x14ac:dyDescent="0.25">
      <c r="A931" s="52" t="s">
        <v>1857</v>
      </c>
      <c r="B931" s="65" t="s">
        <v>1645</v>
      </c>
      <c r="C931" s="15" t="s">
        <v>337</v>
      </c>
      <c r="D931" s="15">
        <v>2000</v>
      </c>
      <c r="E931" s="15" t="s">
        <v>338</v>
      </c>
      <c r="F931" s="15"/>
      <c r="G931" s="15"/>
      <c r="H931" s="15"/>
      <c r="I931" s="15"/>
      <c r="J931" s="13">
        <v>1092000</v>
      </c>
      <c r="K931" s="15" t="s">
        <v>328</v>
      </c>
      <c r="L931" s="15"/>
      <c r="M931" s="15"/>
      <c r="N931" s="16">
        <v>6500</v>
      </c>
      <c r="O931" s="21">
        <v>0.5</v>
      </c>
      <c r="P931" s="15">
        <v>2</v>
      </c>
      <c r="Q931" s="15">
        <v>930</v>
      </c>
      <c r="R931" s="13">
        <v>4278</v>
      </c>
      <c r="S931" s="15" t="s">
        <v>340</v>
      </c>
      <c r="T931" s="15">
        <v>2.2999999999999998</v>
      </c>
      <c r="U931" s="15">
        <v>2.5</v>
      </c>
      <c r="V931" s="27">
        <v>2800</v>
      </c>
      <c r="W931" s="22">
        <v>39000</v>
      </c>
      <c r="X931" s="15"/>
      <c r="Y931" s="15"/>
      <c r="Z931" s="15"/>
      <c r="AA931" s="15"/>
      <c r="AB931" s="15" t="s">
        <v>328</v>
      </c>
      <c r="AC931" s="15"/>
      <c r="AD931" s="15" t="s">
        <v>328</v>
      </c>
      <c r="AE931" s="15"/>
      <c r="AF931" s="15" t="s">
        <v>328</v>
      </c>
      <c r="AG931" s="15" t="s">
        <v>328</v>
      </c>
      <c r="AH931" s="15" t="s">
        <v>328</v>
      </c>
      <c r="AI931" s="15" t="s">
        <v>328</v>
      </c>
      <c r="AJ931" s="15"/>
      <c r="AK931" s="15"/>
      <c r="AL931" s="15" t="s">
        <v>328</v>
      </c>
      <c r="AM931" s="15"/>
      <c r="AN931" s="16">
        <v>20000</v>
      </c>
      <c r="AO931" s="16">
        <v>20000</v>
      </c>
      <c r="AP931" s="16">
        <v>40000</v>
      </c>
      <c r="AQ931" s="16">
        <v>130000</v>
      </c>
      <c r="AR931" s="16">
        <v>20000</v>
      </c>
      <c r="AS931" s="22">
        <v>96000</v>
      </c>
      <c r="AT931" s="22">
        <v>0</v>
      </c>
      <c r="AU931" s="22">
        <v>70000</v>
      </c>
      <c r="AV931" s="22">
        <v>25000</v>
      </c>
      <c r="AW931" s="22">
        <v>11500</v>
      </c>
      <c r="AX931" s="66">
        <v>0</v>
      </c>
      <c r="AZ931" s="15"/>
      <c r="BA931" s="249">
        <f t="shared" si="29"/>
        <v>6</v>
      </c>
      <c r="BB931" s="249"/>
      <c r="BC931" s="249">
        <f t="shared" si="28"/>
        <v>2000</v>
      </c>
    </row>
    <row r="932" spans="1:55" x14ac:dyDescent="0.25">
      <c r="A932" s="52" t="s">
        <v>1857</v>
      </c>
      <c r="B932" s="65" t="s">
        <v>1646</v>
      </c>
      <c r="C932" s="14" t="s">
        <v>337</v>
      </c>
      <c r="D932" s="14">
        <v>2007</v>
      </c>
      <c r="E932" s="14" t="s">
        <v>477</v>
      </c>
      <c r="F932" s="14"/>
      <c r="G932" s="14"/>
      <c r="H932" s="14"/>
      <c r="I932" s="14"/>
      <c r="J932" s="13">
        <v>672000</v>
      </c>
      <c r="K932" s="14"/>
      <c r="L932" s="14" t="s">
        <v>328</v>
      </c>
      <c r="M932" s="14"/>
      <c r="N932" s="13">
        <v>8000</v>
      </c>
      <c r="O932" s="24">
        <v>0.5</v>
      </c>
      <c r="P932" s="14">
        <v>2</v>
      </c>
      <c r="Q932" s="14">
        <v>580</v>
      </c>
      <c r="R932" s="13">
        <v>2436</v>
      </c>
      <c r="S932" s="14" t="s">
        <v>340</v>
      </c>
      <c r="T932" s="14">
        <v>2</v>
      </c>
      <c r="U932" s="14">
        <v>2.1</v>
      </c>
      <c r="V932" s="27">
        <v>4000</v>
      </c>
      <c r="W932" s="22">
        <v>56500</v>
      </c>
      <c r="X932" s="14"/>
      <c r="Y932" s="14"/>
      <c r="Z932" s="14"/>
      <c r="AA932" s="14"/>
      <c r="AB932" s="14" t="s">
        <v>328</v>
      </c>
      <c r="AC932" s="14"/>
      <c r="AD932" s="15" t="s">
        <v>328</v>
      </c>
      <c r="AE932" s="14"/>
      <c r="AF932" s="14"/>
      <c r="AG932" s="14" t="s">
        <v>328</v>
      </c>
      <c r="AH932" s="14" t="s">
        <v>328</v>
      </c>
      <c r="AI932" s="14"/>
      <c r="AJ932" s="14"/>
      <c r="AK932" s="14"/>
      <c r="AL932" s="14"/>
      <c r="AM932" s="14"/>
      <c r="AN932" s="13">
        <v>25000</v>
      </c>
      <c r="AO932" s="13">
        <v>40000</v>
      </c>
      <c r="AP932" s="13">
        <v>10000</v>
      </c>
      <c r="AQ932" s="13">
        <v>140000</v>
      </c>
      <c r="AR932" s="16">
        <v>25000</v>
      </c>
      <c r="AS932" s="22">
        <v>0</v>
      </c>
      <c r="AT932" s="22">
        <v>0</v>
      </c>
      <c r="AU932" s="13">
        <v>60000</v>
      </c>
      <c r="AV932" s="13">
        <v>25000</v>
      </c>
      <c r="AW932" s="13">
        <v>20000</v>
      </c>
      <c r="AX932" s="62">
        <v>0</v>
      </c>
      <c r="AZ932" s="14" t="s">
        <v>337</v>
      </c>
      <c r="BA932" s="249">
        <f t="shared" si="29"/>
        <v>1</v>
      </c>
      <c r="BB932" s="249">
        <v>1</v>
      </c>
      <c r="BC932" s="249">
        <f t="shared" si="28"/>
        <v>2007</v>
      </c>
    </row>
    <row r="933" spans="1:55" x14ac:dyDescent="0.25">
      <c r="A933" s="52" t="s">
        <v>1857</v>
      </c>
      <c r="B933" s="65" t="s">
        <v>1647</v>
      </c>
      <c r="C933" s="15" t="s">
        <v>337</v>
      </c>
      <c r="D933" s="15">
        <v>1988</v>
      </c>
      <c r="E933" s="15"/>
      <c r="F933" s="15">
        <v>2010</v>
      </c>
      <c r="G933" s="15" t="s">
        <v>349</v>
      </c>
      <c r="H933" s="15"/>
      <c r="I933" s="15"/>
      <c r="J933" s="13">
        <v>1500000</v>
      </c>
      <c r="K933" s="15" t="s">
        <v>328</v>
      </c>
      <c r="L933" s="15"/>
      <c r="M933" s="15"/>
      <c r="N933" s="16">
        <v>5000</v>
      </c>
      <c r="O933" s="21">
        <v>0.2</v>
      </c>
      <c r="P933" s="15">
        <v>2</v>
      </c>
      <c r="Q933" s="15">
        <v>550</v>
      </c>
      <c r="R933" s="16">
        <v>2530</v>
      </c>
      <c r="S933" s="15" t="s">
        <v>340</v>
      </c>
      <c r="T933" s="15">
        <v>2.2999999999999998</v>
      </c>
      <c r="U933" s="15">
        <v>2.5</v>
      </c>
      <c r="V933" s="27">
        <v>2200</v>
      </c>
      <c r="W933" s="22">
        <v>30000</v>
      </c>
      <c r="X933" s="15"/>
      <c r="Y933" s="15" t="s">
        <v>328</v>
      </c>
      <c r="Z933" s="15"/>
      <c r="AA933" s="15"/>
      <c r="AB933" s="15"/>
      <c r="AC933" s="15"/>
      <c r="AD933" s="15" t="s">
        <v>328</v>
      </c>
      <c r="AE933" s="15"/>
      <c r="AF933" s="15"/>
      <c r="AG933" s="15" t="s">
        <v>328</v>
      </c>
      <c r="AH933" s="15" t="s">
        <v>328</v>
      </c>
      <c r="AI933" s="15"/>
      <c r="AJ933" s="15"/>
      <c r="AK933" s="15" t="s">
        <v>328</v>
      </c>
      <c r="AL933" s="15" t="s">
        <v>328</v>
      </c>
      <c r="AM933" s="15"/>
      <c r="AN933" s="16">
        <v>15000</v>
      </c>
      <c r="AO933" s="16">
        <v>15000</v>
      </c>
      <c r="AP933" s="16">
        <v>30000</v>
      </c>
      <c r="AQ933" s="16">
        <v>125000</v>
      </c>
      <c r="AR933" s="16">
        <v>15000</v>
      </c>
      <c r="AS933" s="22">
        <v>91200</v>
      </c>
      <c r="AT933" s="22">
        <v>0</v>
      </c>
      <c r="AU933" s="22">
        <v>65000</v>
      </c>
      <c r="AV933" s="22">
        <v>20000</v>
      </c>
      <c r="AW933" s="22">
        <v>10000</v>
      </c>
      <c r="AX933" s="66">
        <v>0</v>
      </c>
      <c r="AZ933" s="15"/>
      <c r="BA933" s="249">
        <f t="shared" si="29"/>
        <v>2</v>
      </c>
      <c r="BB933" s="249"/>
      <c r="BC933" s="249">
        <f t="shared" si="28"/>
        <v>2010</v>
      </c>
    </row>
    <row r="934" spans="1:55" x14ac:dyDescent="0.25">
      <c r="A934" s="52" t="s">
        <v>1857</v>
      </c>
      <c r="B934" s="65" t="s">
        <v>1647</v>
      </c>
      <c r="C934" s="15" t="s">
        <v>337</v>
      </c>
      <c r="D934" s="15">
        <v>1988</v>
      </c>
      <c r="E934" s="15"/>
      <c r="F934" s="15">
        <v>2010</v>
      </c>
      <c r="G934" s="15" t="s">
        <v>349</v>
      </c>
      <c r="H934" s="15"/>
      <c r="I934" s="15"/>
      <c r="J934" s="13">
        <v>1500000</v>
      </c>
      <c r="K934" s="15" t="s">
        <v>328</v>
      </c>
      <c r="L934" s="15"/>
      <c r="M934" s="15"/>
      <c r="N934" s="16">
        <v>5000</v>
      </c>
      <c r="O934" s="21">
        <v>0.2</v>
      </c>
      <c r="P934" s="15">
        <v>2</v>
      </c>
      <c r="Q934" s="15">
        <v>550</v>
      </c>
      <c r="R934" s="16">
        <v>2750</v>
      </c>
      <c r="S934" s="15" t="s">
        <v>340</v>
      </c>
      <c r="T934" s="15">
        <v>2.2999999999999998</v>
      </c>
      <c r="U934" s="15">
        <v>2.5</v>
      </c>
      <c r="V934" s="27">
        <v>2200</v>
      </c>
      <c r="W934" s="22">
        <v>30000</v>
      </c>
      <c r="X934" s="15"/>
      <c r="Y934" s="15" t="s">
        <v>328</v>
      </c>
      <c r="Z934" s="15"/>
      <c r="AA934" s="15"/>
      <c r="AB934" s="15"/>
      <c r="AC934" s="15"/>
      <c r="AD934" s="15" t="s">
        <v>328</v>
      </c>
      <c r="AE934" s="15"/>
      <c r="AF934" s="15"/>
      <c r="AG934" s="15" t="s">
        <v>328</v>
      </c>
      <c r="AH934" s="15" t="s">
        <v>328</v>
      </c>
      <c r="AI934" s="15"/>
      <c r="AJ934" s="15"/>
      <c r="AK934" s="15" t="s">
        <v>328</v>
      </c>
      <c r="AL934" s="15" t="s">
        <v>328</v>
      </c>
      <c r="AM934" s="15"/>
      <c r="AN934" s="16">
        <v>15000</v>
      </c>
      <c r="AO934" s="16">
        <v>15000</v>
      </c>
      <c r="AP934" s="16">
        <v>30000</v>
      </c>
      <c r="AQ934" s="16">
        <v>125000</v>
      </c>
      <c r="AR934" s="16">
        <v>15000</v>
      </c>
      <c r="AS934" s="22">
        <v>91200</v>
      </c>
      <c r="AT934" s="22">
        <v>0</v>
      </c>
      <c r="AU934" s="22">
        <v>65000</v>
      </c>
      <c r="AV934" s="22">
        <v>20000</v>
      </c>
      <c r="AW934" s="22">
        <v>10000</v>
      </c>
      <c r="AX934" s="66">
        <v>0</v>
      </c>
      <c r="AZ934" s="15"/>
      <c r="BA934" s="249">
        <f t="shared" si="29"/>
        <v>2</v>
      </c>
      <c r="BB934" s="249"/>
      <c r="BC934" s="249">
        <f t="shared" si="28"/>
        <v>2010</v>
      </c>
    </row>
    <row r="935" spans="1:55" x14ac:dyDescent="0.25">
      <c r="A935" s="52" t="s">
        <v>1857</v>
      </c>
      <c r="B935" s="65" t="s">
        <v>1648</v>
      </c>
      <c r="C935" s="15" t="s">
        <v>337</v>
      </c>
      <c r="D935" s="15">
        <v>2007</v>
      </c>
      <c r="E935" s="15" t="s">
        <v>407</v>
      </c>
      <c r="F935" s="15"/>
      <c r="G935" s="15"/>
      <c r="H935" s="15"/>
      <c r="I935" s="15"/>
      <c r="J935" s="13">
        <v>864000</v>
      </c>
      <c r="K935" s="15" t="s">
        <v>328</v>
      </c>
      <c r="L935" s="15"/>
      <c r="M935" s="15"/>
      <c r="N935" s="16">
        <v>12000</v>
      </c>
      <c r="O935" s="21">
        <v>0.5</v>
      </c>
      <c r="P935" s="15">
        <v>2</v>
      </c>
      <c r="Q935" s="15">
        <v>960</v>
      </c>
      <c r="R935" s="13">
        <v>4800</v>
      </c>
      <c r="S935" s="15" t="s">
        <v>340</v>
      </c>
      <c r="T935" s="15">
        <v>2.5</v>
      </c>
      <c r="U935" s="15">
        <v>2.7</v>
      </c>
      <c r="V935" s="27">
        <v>4600</v>
      </c>
      <c r="W935" s="22">
        <v>65000</v>
      </c>
      <c r="X935" s="15"/>
      <c r="Y935" s="15"/>
      <c r="Z935" s="15"/>
      <c r="AA935" s="15"/>
      <c r="AB935" s="15" t="s">
        <v>328</v>
      </c>
      <c r="AC935" s="15"/>
      <c r="AD935" s="15" t="s">
        <v>328</v>
      </c>
      <c r="AE935" s="15"/>
      <c r="AF935" s="15" t="s">
        <v>328</v>
      </c>
      <c r="AG935" s="15"/>
      <c r="AH935" s="15"/>
      <c r="AI935" s="15"/>
      <c r="AJ935" s="15"/>
      <c r="AK935" s="15"/>
      <c r="AL935" s="15" t="s">
        <v>328</v>
      </c>
      <c r="AM935" s="15"/>
      <c r="AN935" s="16">
        <v>25000</v>
      </c>
      <c r="AO935" s="16">
        <v>50000</v>
      </c>
      <c r="AP935" s="16">
        <v>50000</v>
      </c>
      <c r="AQ935" s="16">
        <v>135000</v>
      </c>
      <c r="AR935" s="16">
        <v>25000</v>
      </c>
      <c r="AS935" s="22">
        <v>138000</v>
      </c>
      <c r="AT935" s="22">
        <v>0</v>
      </c>
      <c r="AU935" s="22">
        <v>54000</v>
      </c>
      <c r="AV935" s="22">
        <v>20000</v>
      </c>
      <c r="AW935" s="22">
        <v>277200</v>
      </c>
      <c r="AX935" s="66">
        <v>0</v>
      </c>
      <c r="AZ935" s="15" t="s">
        <v>562</v>
      </c>
      <c r="BA935" s="249">
        <f t="shared" si="29"/>
        <v>4</v>
      </c>
      <c r="BB935" s="249">
        <v>0</v>
      </c>
      <c r="BC935" s="249">
        <f t="shared" si="28"/>
        <v>2007</v>
      </c>
    </row>
    <row r="936" spans="1:55" x14ac:dyDescent="0.25">
      <c r="A936" s="52" t="s">
        <v>1857</v>
      </c>
      <c r="B936" s="65" t="s">
        <v>1648</v>
      </c>
      <c r="C936" s="15" t="s">
        <v>337</v>
      </c>
      <c r="D936" s="15">
        <v>2007</v>
      </c>
      <c r="E936" s="15" t="s">
        <v>407</v>
      </c>
      <c r="F936" s="15"/>
      <c r="G936" s="15"/>
      <c r="H936" s="15"/>
      <c r="I936" s="15"/>
      <c r="J936" s="13">
        <v>864000</v>
      </c>
      <c r="K936" s="15" t="s">
        <v>328</v>
      </c>
      <c r="L936" s="15"/>
      <c r="M936" s="15"/>
      <c r="N936" s="16">
        <v>12000</v>
      </c>
      <c r="O936" s="21">
        <v>0.5</v>
      </c>
      <c r="P936" s="15">
        <v>2</v>
      </c>
      <c r="Q936" s="15">
        <v>960</v>
      </c>
      <c r="R936" s="13">
        <v>4800</v>
      </c>
      <c r="S936" s="15" t="s">
        <v>340</v>
      </c>
      <c r="T936" s="15">
        <v>2.5</v>
      </c>
      <c r="U936" s="15">
        <v>2.7</v>
      </c>
      <c r="V936" s="27">
        <v>4600</v>
      </c>
      <c r="W936" s="22">
        <v>65000</v>
      </c>
      <c r="X936" s="15"/>
      <c r="Y936" s="15"/>
      <c r="Z936" s="15"/>
      <c r="AA936" s="15"/>
      <c r="AB936" s="15" t="s">
        <v>328</v>
      </c>
      <c r="AC936" s="15"/>
      <c r="AD936" s="15" t="s">
        <v>328</v>
      </c>
      <c r="AE936" s="15"/>
      <c r="AF936" s="15" t="s">
        <v>328</v>
      </c>
      <c r="AG936" s="15"/>
      <c r="AH936" s="15"/>
      <c r="AI936" s="15"/>
      <c r="AJ936" s="15"/>
      <c r="AK936" s="15"/>
      <c r="AL936" s="15" t="s">
        <v>328</v>
      </c>
      <c r="AM936" s="15"/>
      <c r="AN936" s="16">
        <v>25000</v>
      </c>
      <c r="AO936" s="16">
        <v>50000</v>
      </c>
      <c r="AP936" s="16">
        <v>50000</v>
      </c>
      <c r="AQ936" s="16">
        <v>135000</v>
      </c>
      <c r="AR936" s="16">
        <v>25000</v>
      </c>
      <c r="AS936" s="22">
        <v>138000</v>
      </c>
      <c r="AT936" s="22">
        <v>0</v>
      </c>
      <c r="AU936" s="22">
        <v>54000</v>
      </c>
      <c r="AV936" s="22">
        <v>20000</v>
      </c>
      <c r="AW936" s="22">
        <v>277200</v>
      </c>
      <c r="AX936" s="66">
        <v>0</v>
      </c>
      <c r="AZ936" s="15" t="s">
        <v>562</v>
      </c>
      <c r="BA936" s="249">
        <f t="shared" si="29"/>
        <v>4</v>
      </c>
      <c r="BB936" s="249">
        <v>0</v>
      </c>
      <c r="BC936" s="249">
        <f t="shared" si="28"/>
        <v>2007</v>
      </c>
    </row>
    <row r="937" spans="1:55" x14ac:dyDescent="0.25">
      <c r="A937" s="52" t="s">
        <v>1857</v>
      </c>
      <c r="B937" s="65" t="s">
        <v>1648</v>
      </c>
      <c r="C937" s="15" t="s">
        <v>337</v>
      </c>
      <c r="D937" s="15">
        <v>2007</v>
      </c>
      <c r="E937" s="15" t="s">
        <v>407</v>
      </c>
      <c r="F937" s="15"/>
      <c r="G937" s="15"/>
      <c r="H937" s="15"/>
      <c r="I937" s="15"/>
      <c r="J937" s="13">
        <v>864000</v>
      </c>
      <c r="K937" s="15" t="s">
        <v>328</v>
      </c>
      <c r="L937" s="15"/>
      <c r="M937" s="15"/>
      <c r="N937" s="16">
        <v>12000</v>
      </c>
      <c r="O937" s="21">
        <v>0.5</v>
      </c>
      <c r="P937" s="15">
        <v>2</v>
      </c>
      <c r="Q937" s="15">
        <v>960</v>
      </c>
      <c r="R937" s="13">
        <v>4800</v>
      </c>
      <c r="S937" s="15" t="s">
        <v>340</v>
      </c>
      <c r="T937" s="15">
        <v>2.5</v>
      </c>
      <c r="U937" s="15">
        <v>2.7</v>
      </c>
      <c r="V937" s="27">
        <v>4600</v>
      </c>
      <c r="W937" s="22">
        <v>65000</v>
      </c>
      <c r="X937" s="15"/>
      <c r="Y937" s="15"/>
      <c r="Z937" s="15"/>
      <c r="AA937" s="15"/>
      <c r="AB937" s="15" t="s">
        <v>328</v>
      </c>
      <c r="AC937" s="15"/>
      <c r="AD937" s="15" t="s">
        <v>328</v>
      </c>
      <c r="AE937" s="15"/>
      <c r="AF937" s="15" t="s">
        <v>328</v>
      </c>
      <c r="AG937" s="15"/>
      <c r="AH937" s="15"/>
      <c r="AI937" s="15"/>
      <c r="AJ937" s="15"/>
      <c r="AK937" s="15"/>
      <c r="AL937" s="15" t="s">
        <v>328</v>
      </c>
      <c r="AM937" s="15"/>
      <c r="AN937" s="16">
        <v>25000</v>
      </c>
      <c r="AO937" s="16">
        <v>50000</v>
      </c>
      <c r="AP937" s="16">
        <v>50000</v>
      </c>
      <c r="AQ937" s="16">
        <v>135000</v>
      </c>
      <c r="AR937" s="16">
        <v>25000</v>
      </c>
      <c r="AS937" s="22">
        <v>138000</v>
      </c>
      <c r="AT937" s="22">
        <v>0</v>
      </c>
      <c r="AU937" s="22">
        <v>54000</v>
      </c>
      <c r="AV937" s="22">
        <v>20000</v>
      </c>
      <c r="AW937" s="22">
        <v>277200</v>
      </c>
      <c r="AX937" s="66">
        <v>0</v>
      </c>
      <c r="AZ937" s="15" t="s">
        <v>562</v>
      </c>
      <c r="BA937" s="249">
        <f t="shared" si="29"/>
        <v>4</v>
      </c>
      <c r="BB937" s="249">
        <v>0</v>
      </c>
      <c r="BC937" s="249">
        <f t="shared" si="28"/>
        <v>2007</v>
      </c>
    </row>
    <row r="938" spans="1:55" x14ac:dyDescent="0.25">
      <c r="A938" s="52" t="s">
        <v>1857</v>
      </c>
      <c r="B938" s="65" t="s">
        <v>1648</v>
      </c>
      <c r="C938" s="15" t="s">
        <v>337</v>
      </c>
      <c r="D938" s="15">
        <v>2008</v>
      </c>
      <c r="E938" s="15" t="s">
        <v>407</v>
      </c>
      <c r="F938" s="15"/>
      <c r="G938" s="15"/>
      <c r="H938" s="15"/>
      <c r="I938" s="15"/>
      <c r="J938" s="13">
        <v>864000</v>
      </c>
      <c r="K938" s="15" t="s">
        <v>328</v>
      </c>
      <c r="L938" s="15"/>
      <c r="M938" s="15"/>
      <c r="N938" s="16">
        <v>12000</v>
      </c>
      <c r="O938" s="21">
        <v>0.5</v>
      </c>
      <c r="P938" s="15">
        <v>2</v>
      </c>
      <c r="Q938" s="15">
        <v>580</v>
      </c>
      <c r="R938" s="13">
        <v>2900</v>
      </c>
      <c r="S938" s="15" t="s">
        <v>340</v>
      </c>
      <c r="T938" s="15">
        <v>2.5</v>
      </c>
      <c r="U938" s="15">
        <v>2.7</v>
      </c>
      <c r="V938" s="27">
        <v>4600</v>
      </c>
      <c r="W938" s="22">
        <v>65000</v>
      </c>
      <c r="X938" s="15"/>
      <c r="Y938" s="15"/>
      <c r="Z938" s="15"/>
      <c r="AA938" s="15"/>
      <c r="AB938" s="15" t="s">
        <v>328</v>
      </c>
      <c r="AC938" s="15"/>
      <c r="AD938" s="15" t="s">
        <v>328</v>
      </c>
      <c r="AE938" s="15"/>
      <c r="AF938" s="15" t="s">
        <v>328</v>
      </c>
      <c r="AG938" s="15"/>
      <c r="AH938" s="15"/>
      <c r="AI938" s="15"/>
      <c r="AJ938" s="15"/>
      <c r="AK938" s="15"/>
      <c r="AL938" s="15" t="s">
        <v>328</v>
      </c>
      <c r="AM938" s="15"/>
      <c r="AN938" s="16">
        <v>25000</v>
      </c>
      <c r="AO938" s="16">
        <v>50000</v>
      </c>
      <c r="AP938" s="16">
        <v>50000</v>
      </c>
      <c r="AQ938" s="16">
        <v>135000</v>
      </c>
      <c r="AR938" s="16">
        <v>25000</v>
      </c>
      <c r="AS938" s="22">
        <v>138000</v>
      </c>
      <c r="AT938" s="22">
        <v>0</v>
      </c>
      <c r="AU938" s="22">
        <v>54000</v>
      </c>
      <c r="AV938" s="22">
        <v>20000</v>
      </c>
      <c r="AW938" s="22">
        <v>277200</v>
      </c>
      <c r="AX938" s="66">
        <v>0</v>
      </c>
      <c r="AZ938" s="15" t="s">
        <v>348</v>
      </c>
      <c r="BA938" s="249">
        <f t="shared" si="29"/>
        <v>4</v>
      </c>
      <c r="BB938" s="249">
        <v>0</v>
      </c>
      <c r="BC938" s="249">
        <f t="shared" si="28"/>
        <v>2008</v>
      </c>
    </row>
    <row r="939" spans="1:55" x14ac:dyDescent="0.25">
      <c r="A939" s="52" t="s">
        <v>1857</v>
      </c>
      <c r="B939" s="65" t="s">
        <v>1649</v>
      </c>
      <c r="C939" s="15" t="s">
        <v>348</v>
      </c>
      <c r="D939" s="15">
        <v>2005</v>
      </c>
      <c r="E939" s="15" t="s">
        <v>456</v>
      </c>
      <c r="F939" s="15"/>
      <c r="G939" s="15"/>
      <c r="H939" s="15"/>
      <c r="I939" s="15"/>
      <c r="J939" s="13">
        <v>624000</v>
      </c>
      <c r="K939" s="15" t="s">
        <v>328</v>
      </c>
      <c r="L939" s="15"/>
      <c r="M939" s="15"/>
      <c r="N939" s="16">
        <v>6500</v>
      </c>
      <c r="O939" s="21">
        <v>0.5</v>
      </c>
      <c r="P939" s="15">
        <v>1</v>
      </c>
      <c r="Q939" s="15">
        <v>400</v>
      </c>
      <c r="R939" s="16">
        <v>1600</v>
      </c>
      <c r="S939" s="15" t="s">
        <v>340</v>
      </c>
      <c r="T939" s="15">
        <v>3.9</v>
      </c>
      <c r="U939" s="15">
        <v>4.3</v>
      </c>
      <c r="V939" s="27">
        <v>1600</v>
      </c>
      <c r="W939" s="22">
        <v>22000</v>
      </c>
      <c r="X939" s="15"/>
      <c r="Y939" s="15" t="s">
        <v>328</v>
      </c>
      <c r="Z939" s="15"/>
      <c r="AA939" s="15"/>
      <c r="AB939" s="15"/>
      <c r="AC939" s="15"/>
      <c r="AD939" s="15" t="s">
        <v>328</v>
      </c>
      <c r="AE939" s="15"/>
      <c r="AF939" s="15"/>
      <c r="AG939" s="15"/>
      <c r="AH939" s="15"/>
      <c r="AI939" s="15"/>
      <c r="AJ939" s="15"/>
      <c r="AK939" s="15" t="s">
        <v>328</v>
      </c>
      <c r="AL939" s="15"/>
      <c r="AM939" s="15"/>
      <c r="AN939" s="16">
        <v>18000</v>
      </c>
      <c r="AO939" s="16">
        <v>36000</v>
      </c>
      <c r="AP939" s="16">
        <v>80000</v>
      </c>
      <c r="AQ939" s="16">
        <v>140000</v>
      </c>
      <c r="AR939" s="16">
        <v>18000</v>
      </c>
      <c r="AS939" s="22">
        <v>96000</v>
      </c>
      <c r="AT939" s="22">
        <v>0</v>
      </c>
      <c r="AU939" s="22">
        <v>40000</v>
      </c>
      <c r="AV939" s="22">
        <v>24000</v>
      </c>
      <c r="AW939" s="22">
        <v>16800</v>
      </c>
      <c r="AX939" s="66">
        <v>0</v>
      </c>
      <c r="AZ939" s="15" t="s">
        <v>348</v>
      </c>
      <c r="BA939" s="249">
        <f t="shared" si="29"/>
        <v>2</v>
      </c>
      <c r="BB939" s="249">
        <v>0</v>
      </c>
      <c r="BC939" s="249">
        <f t="shared" si="28"/>
        <v>2005</v>
      </c>
    </row>
    <row r="940" spans="1:55" x14ac:dyDescent="0.25">
      <c r="A940" s="52" t="s">
        <v>1857</v>
      </c>
      <c r="B940" s="65" t="s">
        <v>1649</v>
      </c>
      <c r="C940" s="15" t="s">
        <v>348</v>
      </c>
      <c r="D940" s="15">
        <v>2005</v>
      </c>
      <c r="E940" s="15" t="s">
        <v>456</v>
      </c>
      <c r="F940" s="15"/>
      <c r="G940" s="15"/>
      <c r="H940" s="15"/>
      <c r="I940" s="15"/>
      <c r="J940" s="13">
        <v>624000</v>
      </c>
      <c r="K940" s="15" t="s">
        <v>328</v>
      </c>
      <c r="L940" s="15"/>
      <c r="M940" s="15"/>
      <c r="N940" s="16">
        <v>6500</v>
      </c>
      <c r="O940" s="21">
        <v>0.5</v>
      </c>
      <c r="P940" s="15">
        <v>1</v>
      </c>
      <c r="Q940" s="15">
        <v>400</v>
      </c>
      <c r="R940" s="16">
        <v>1600</v>
      </c>
      <c r="S940" s="15" t="s">
        <v>340</v>
      </c>
      <c r="T940" s="15">
        <v>3.9</v>
      </c>
      <c r="U940" s="15">
        <v>4.3</v>
      </c>
      <c r="V940" s="27">
        <v>1600</v>
      </c>
      <c r="W940" s="22">
        <v>22000</v>
      </c>
      <c r="X940" s="15"/>
      <c r="Y940" s="15" t="s">
        <v>328</v>
      </c>
      <c r="Z940" s="15"/>
      <c r="AA940" s="15"/>
      <c r="AB940" s="15"/>
      <c r="AC940" s="15"/>
      <c r="AD940" s="15" t="s">
        <v>328</v>
      </c>
      <c r="AE940" s="15"/>
      <c r="AF940" s="15"/>
      <c r="AG940" s="15"/>
      <c r="AH940" s="15"/>
      <c r="AI940" s="15"/>
      <c r="AJ940" s="15"/>
      <c r="AK940" s="15" t="s">
        <v>328</v>
      </c>
      <c r="AL940" s="15"/>
      <c r="AM940" s="15"/>
      <c r="AN940" s="16">
        <v>18000</v>
      </c>
      <c r="AO940" s="16">
        <v>36000</v>
      </c>
      <c r="AP940" s="16">
        <v>80000</v>
      </c>
      <c r="AQ940" s="16">
        <v>140000</v>
      </c>
      <c r="AR940" s="16">
        <v>18000</v>
      </c>
      <c r="AS940" s="22">
        <v>96000</v>
      </c>
      <c r="AT940" s="22">
        <v>0</v>
      </c>
      <c r="AU940" s="22">
        <v>40000</v>
      </c>
      <c r="AV940" s="22">
        <v>24000</v>
      </c>
      <c r="AW940" s="22">
        <v>16800</v>
      </c>
      <c r="AX940" s="66">
        <v>0</v>
      </c>
      <c r="AZ940" s="15" t="s">
        <v>348</v>
      </c>
      <c r="BA940" s="249">
        <f t="shared" si="29"/>
        <v>2</v>
      </c>
      <c r="BB940" s="249">
        <v>0</v>
      </c>
      <c r="BC940" s="249">
        <f t="shared" si="28"/>
        <v>2005</v>
      </c>
    </row>
    <row r="941" spans="1:55" x14ac:dyDescent="0.25">
      <c r="A941" s="52" t="s">
        <v>1857</v>
      </c>
      <c r="B941" s="65" t="s">
        <v>1650</v>
      </c>
      <c r="C941" s="15" t="s">
        <v>337</v>
      </c>
      <c r="D941" s="15">
        <v>1998</v>
      </c>
      <c r="E941" s="15" t="s">
        <v>581</v>
      </c>
      <c r="F941" s="15"/>
      <c r="G941" s="15"/>
      <c r="H941" s="15"/>
      <c r="I941" s="15"/>
      <c r="J941" s="16">
        <v>1110820</v>
      </c>
      <c r="K941" s="15"/>
      <c r="L941" s="15" t="s">
        <v>328</v>
      </c>
      <c r="M941" s="15"/>
      <c r="N941" s="16">
        <v>7000</v>
      </c>
      <c r="O941" s="21">
        <v>0.3</v>
      </c>
      <c r="P941" s="15">
        <v>2</v>
      </c>
      <c r="Q941" s="15">
        <v>830</v>
      </c>
      <c r="R941" s="13">
        <v>3984</v>
      </c>
      <c r="S941" s="15" t="s">
        <v>340</v>
      </c>
      <c r="T941" s="15">
        <v>2.4</v>
      </c>
      <c r="U941" s="15">
        <v>2.7</v>
      </c>
      <c r="V941" s="27">
        <v>2800</v>
      </c>
      <c r="W941" s="22">
        <v>33600</v>
      </c>
      <c r="X941" s="15"/>
      <c r="Y941" s="15"/>
      <c r="Z941" s="15"/>
      <c r="AA941" s="15"/>
      <c r="AB941" s="15" t="s">
        <v>328</v>
      </c>
      <c r="AC941" s="15"/>
      <c r="AD941" s="15" t="s">
        <v>328</v>
      </c>
      <c r="AE941" s="15"/>
      <c r="AF941" s="15"/>
      <c r="AG941" s="15"/>
      <c r="AH941" s="15"/>
      <c r="AI941" s="15"/>
      <c r="AJ941" s="15"/>
      <c r="AK941" s="15"/>
      <c r="AL941" s="15"/>
      <c r="AM941" s="15"/>
      <c r="AN941" s="16">
        <v>24000</v>
      </c>
      <c r="AO941" s="16">
        <v>24000</v>
      </c>
      <c r="AP941" s="16">
        <v>10000</v>
      </c>
      <c r="AQ941" s="16">
        <v>135000</v>
      </c>
      <c r="AR941" s="16">
        <v>24000</v>
      </c>
      <c r="AS941" s="22">
        <v>0</v>
      </c>
      <c r="AT941" s="22">
        <v>0</v>
      </c>
      <c r="AU941" s="22">
        <v>60000</v>
      </c>
      <c r="AV941" s="22">
        <v>35000</v>
      </c>
      <c r="AW941" s="22">
        <v>20000</v>
      </c>
      <c r="AX941" s="66">
        <v>0</v>
      </c>
      <c r="AZ941" s="15" t="s">
        <v>562</v>
      </c>
      <c r="BA941" s="249">
        <f t="shared" si="29"/>
        <v>1</v>
      </c>
      <c r="BC941" s="249">
        <f t="shared" si="28"/>
        <v>1998</v>
      </c>
    </row>
    <row r="942" spans="1:55" x14ac:dyDescent="0.25">
      <c r="A942" s="52" t="s">
        <v>1857</v>
      </c>
      <c r="B942" s="65" t="s">
        <v>1651</v>
      </c>
      <c r="C942" s="15" t="s">
        <v>337</v>
      </c>
      <c r="D942" s="15">
        <v>2002</v>
      </c>
      <c r="E942" s="15" t="s">
        <v>407</v>
      </c>
      <c r="F942" s="15"/>
      <c r="G942" s="15"/>
      <c r="H942" s="15"/>
      <c r="I942" s="15"/>
      <c r="J942" s="13">
        <v>1099956</v>
      </c>
      <c r="K942" s="15" t="s">
        <v>328</v>
      </c>
      <c r="L942" s="15"/>
      <c r="M942" s="15"/>
      <c r="N942" s="16">
        <v>8333.3333333333339</v>
      </c>
      <c r="O942" s="21">
        <v>0.4</v>
      </c>
      <c r="P942" s="15">
        <v>2</v>
      </c>
      <c r="Q942" s="15">
        <v>908</v>
      </c>
      <c r="R942" s="16">
        <v>4358.3999999999996</v>
      </c>
      <c r="S942" s="15" t="s">
        <v>340</v>
      </c>
      <c r="T942" s="15">
        <v>2.4</v>
      </c>
      <c r="U942" s="15">
        <v>2.7</v>
      </c>
      <c r="V942" s="27">
        <v>2850</v>
      </c>
      <c r="W942" s="22">
        <v>40000</v>
      </c>
      <c r="X942" s="15"/>
      <c r="Y942" s="15"/>
      <c r="Z942" s="15"/>
      <c r="AA942" s="15"/>
      <c r="AB942" s="15" t="s">
        <v>328</v>
      </c>
      <c r="AC942" s="15"/>
      <c r="AD942" s="15" t="s">
        <v>328</v>
      </c>
      <c r="AE942" s="15"/>
      <c r="AF942" s="15"/>
      <c r="AG942" s="15"/>
      <c r="AH942" s="15"/>
      <c r="AI942" s="15"/>
      <c r="AJ942" s="15"/>
      <c r="AK942" s="15"/>
      <c r="AL942" s="15" t="s">
        <v>328</v>
      </c>
      <c r="AM942" s="15"/>
      <c r="AN942" s="16">
        <v>25000</v>
      </c>
      <c r="AO942" s="16">
        <v>30000</v>
      </c>
      <c r="AP942" s="16">
        <v>65000</v>
      </c>
      <c r="AQ942" s="16">
        <v>100000</v>
      </c>
      <c r="AR942" s="16">
        <v>25000</v>
      </c>
      <c r="AS942" s="22">
        <v>0</v>
      </c>
      <c r="AT942" s="22">
        <v>0</v>
      </c>
      <c r="AU942" s="22">
        <v>80000</v>
      </c>
      <c r="AV942" s="22">
        <v>20000</v>
      </c>
      <c r="AW942" s="22">
        <v>24000</v>
      </c>
      <c r="AX942" s="66">
        <v>0</v>
      </c>
      <c r="AZ942" s="15" t="s">
        <v>562</v>
      </c>
      <c r="BA942" s="249">
        <f t="shared" si="29"/>
        <v>1</v>
      </c>
      <c r="BB942" s="249">
        <v>0</v>
      </c>
      <c r="BC942" s="249">
        <f t="shared" si="28"/>
        <v>2002</v>
      </c>
    </row>
    <row r="943" spans="1:55" x14ac:dyDescent="0.25">
      <c r="A943" s="52" t="s">
        <v>1857</v>
      </c>
      <c r="B943" s="65" t="s">
        <v>1652</v>
      </c>
      <c r="C943" s="15" t="s">
        <v>337</v>
      </c>
      <c r="D943" s="15">
        <v>2007</v>
      </c>
      <c r="E943" s="15" t="s">
        <v>407</v>
      </c>
      <c r="F943" s="15"/>
      <c r="G943" s="15"/>
      <c r="H943" s="15"/>
      <c r="I943" s="15"/>
      <c r="J943" s="13">
        <v>360000</v>
      </c>
      <c r="K943" s="15" t="s">
        <v>328</v>
      </c>
      <c r="L943" s="15"/>
      <c r="M943" s="15"/>
      <c r="N943" s="16">
        <v>5000</v>
      </c>
      <c r="O943" s="21">
        <v>0.5</v>
      </c>
      <c r="P943" s="15">
        <v>2</v>
      </c>
      <c r="Q943" s="15">
        <v>400</v>
      </c>
      <c r="R943" s="16">
        <v>1839.9999999999998</v>
      </c>
      <c r="S943" s="15" t="s">
        <v>340</v>
      </c>
      <c r="T943" s="15">
        <v>2.2999999999999998</v>
      </c>
      <c r="U943" s="15">
        <v>2.5</v>
      </c>
      <c r="V943" s="27">
        <v>1768.0339462517679</v>
      </c>
      <c r="W943" s="22">
        <v>25000</v>
      </c>
      <c r="X943" s="15"/>
      <c r="Y943" s="15"/>
      <c r="Z943" s="15"/>
      <c r="AA943" s="15"/>
      <c r="AB943" s="15" t="s">
        <v>328</v>
      </c>
      <c r="AC943" s="15"/>
      <c r="AD943" s="15" t="s">
        <v>328</v>
      </c>
      <c r="AE943" s="15"/>
      <c r="AF943" s="15"/>
      <c r="AG943" s="15" t="s">
        <v>328</v>
      </c>
      <c r="AH943" s="15" t="s">
        <v>328</v>
      </c>
      <c r="AI943" s="15"/>
      <c r="AJ943" s="15"/>
      <c r="AK943" s="15"/>
      <c r="AL943" s="15" t="s">
        <v>328</v>
      </c>
      <c r="AM943" s="15"/>
      <c r="AN943" s="16">
        <v>40000</v>
      </c>
      <c r="AO943" s="16">
        <v>70000</v>
      </c>
      <c r="AP943" s="16">
        <v>70000</v>
      </c>
      <c r="AQ943" s="16">
        <v>130000</v>
      </c>
      <c r="AR943" s="16">
        <v>40000</v>
      </c>
      <c r="AS943" s="22">
        <v>126000</v>
      </c>
      <c r="AT943" s="22">
        <v>0</v>
      </c>
      <c r="AU943" s="22">
        <v>90000</v>
      </c>
      <c r="AV943" s="22">
        <v>25000</v>
      </c>
      <c r="AW943" s="22">
        <v>19500</v>
      </c>
      <c r="AX943" s="66">
        <v>0</v>
      </c>
      <c r="AZ943" s="15" t="s">
        <v>562</v>
      </c>
      <c r="BA943" s="249">
        <f t="shared" si="29"/>
        <v>1</v>
      </c>
      <c r="BB943" s="249">
        <v>0</v>
      </c>
      <c r="BC943" s="249">
        <f t="shared" si="28"/>
        <v>2007</v>
      </c>
    </row>
    <row r="944" spans="1:55" x14ac:dyDescent="0.25">
      <c r="A944" s="52" t="s">
        <v>1857</v>
      </c>
      <c r="B944" s="65" t="s">
        <v>1653</v>
      </c>
      <c r="C944" s="15" t="s">
        <v>337</v>
      </c>
      <c r="D944" s="15">
        <v>2007</v>
      </c>
      <c r="E944" s="15" t="s">
        <v>407</v>
      </c>
      <c r="F944" s="15"/>
      <c r="G944" s="15"/>
      <c r="H944" s="15"/>
      <c r="I944" s="15"/>
      <c r="J944" s="13">
        <v>360000</v>
      </c>
      <c r="K944" s="15" t="s">
        <v>328</v>
      </c>
      <c r="L944" s="15"/>
      <c r="M944" s="15"/>
      <c r="N944" s="16">
        <v>5000</v>
      </c>
      <c r="O944" s="21">
        <v>0.5</v>
      </c>
      <c r="P944" s="15">
        <v>2</v>
      </c>
      <c r="Q944" s="15">
        <v>400</v>
      </c>
      <c r="R944" s="16">
        <v>1839.9999999999998</v>
      </c>
      <c r="S944" s="15" t="s">
        <v>340</v>
      </c>
      <c r="T944" s="15">
        <v>2.2999999999999998</v>
      </c>
      <c r="U944" s="15">
        <v>2.5</v>
      </c>
      <c r="V944" s="27">
        <v>1768.0339462517679</v>
      </c>
      <c r="W944" s="22">
        <v>25000</v>
      </c>
      <c r="X944" s="15"/>
      <c r="Y944" s="15"/>
      <c r="Z944" s="15"/>
      <c r="AA944" s="15"/>
      <c r="AB944" s="15" t="s">
        <v>328</v>
      </c>
      <c r="AC944" s="15"/>
      <c r="AD944" s="15" t="s">
        <v>328</v>
      </c>
      <c r="AE944" s="15"/>
      <c r="AF944" s="15"/>
      <c r="AG944" s="15" t="s">
        <v>328</v>
      </c>
      <c r="AH944" s="15" t="s">
        <v>328</v>
      </c>
      <c r="AI944" s="15"/>
      <c r="AJ944" s="15"/>
      <c r="AK944" s="15"/>
      <c r="AL944" s="15" t="s">
        <v>328</v>
      </c>
      <c r="AM944" s="15"/>
      <c r="AN944" s="16">
        <v>40000</v>
      </c>
      <c r="AO944" s="16">
        <v>70000</v>
      </c>
      <c r="AP944" s="16">
        <v>70000</v>
      </c>
      <c r="AQ944" s="16">
        <v>130000</v>
      </c>
      <c r="AR944" s="16">
        <v>40000</v>
      </c>
      <c r="AS944" s="22">
        <v>126000</v>
      </c>
      <c r="AT944" s="22">
        <v>0</v>
      </c>
      <c r="AU944" s="22">
        <v>90000</v>
      </c>
      <c r="AV944" s="22">
        <v>25000</v>
      </c>
      <c r="AW944" s="22">
        <v>19500</v>
      </c>
      <c r="AX944" s="66">
        <v>0</v>
      </c>
      <c r="AZ944" s="15" t="s">
        <v>562</v>
      </c>
      <c r="BA944" s="249">
        <f t="shared" si="29"/>
        <v>3</v>
      </c>
      <c r="BB944" s="249">
        <v>0</v>
      </c>
      <c r="BC944" s="249">
        <f t="shared" si="28"/>
        <v>2007</v>
      </c>
    </row>
    <row r="945" spans="1:55" x14ac:dyDescent="0.25">
      <c r="A945" s="52" t="s">
        <v>1857</v>
      </c>
      <c r="B945" s="65" t="s">
        <v>1653</v>
      </c>
      <c r="C945" s="15" t="s">
        <v>337</v>
      </c>
      <c r="D945" s="15">
        <v>2007</v>
      </c>
      <c r="E945" s="15" t="s">
        <v>407</v>
      </c>
      <c r="F945" s="15"/>
      <c r="G945" s="15"/>
      <c r="H945" s="15"/>
      <c r="I945" s="15"/>
      <c r="J945" s="13">
        <v>360000</v>
      </c>
      <c r="K945" s="15" t="s">
        <v>328</v>
      </c>
      <c r="L945" s="15"/>
      <c r="M945" s="15"/>
      <c r="N945" s="16">
        <v>5000</v>
      </c>
      <c r="O945" s="21">
        <v>0.5</v>
      </c>
      <c r="P945" s="15">
        <v>2</v>
      </c>
      <c r="Q945" s="15">
        <v>400</v>
      </c>
      <c r="R945" s="16">
        <v>1839.9999999999998</v>
      </c>
      <c r="S945" s="15" t="s">
        <v>340</v>
      </c>
      <c r="T945" s="15">
        <v>2.2999999999999998</v>
      </c>
      <c r="U945" s="15">
        <v>2.5</v>
      </c>
      <c r="V945" s="27">
        <v>1768.0339462517679</v>
      </c>
      <c r="W945" s="22">
        <v>25000</v>
      </c>
      <c r="X945" s="15"/>
      <c r="Y945" s="15"/>
      <c r="Z945" s="15"/>
      <c r="AA945" s="15"/>
      <c r="AB945" s="15" t="s">
        <v>328</v>
      </c>
      <c r="AC945" s="15"/>
      <c r="AD945" s="15" t="s">
        <v>328</v>
      </c>
      <c r="AE945" s="15"/>
      <c r="AF945" s="15"/>
      <c r="AG945" s="15" t="s">
        <v>328</v>
      </c>
      <c r="AH945" s="15" t="s">
        <v>328</v>
      </c>
      <c r="AI945" s="15"/>
      <c r="AJ945" s="15"/>
      <c r="AK945" s="15"/>
      <c r="AL945" s="15" t="s">
        <v>328</v>
      </c>
      <c r="AM945" s="15"/>
      <c r="AN945" s="16">
        <v>40000</v>
      </c>
      <c r="AO945" s="16">
        <v>70000</v>
      </c>
      <c r="AP945" s="16">
        <v>70000</v>
      </c>
      <c r="AQ945" s="16">
        <v>130000</v>
      </c>
      <c r="AR945" s="16">
        <v>40000</v>
      </c>
      <c r="AS945" s="22">
        <v>126000</v>
      </c>
      <c r="AT945" s="22">
        <v>0</v>
      </c>
      <c r="AU945" s="22">
        <v>90000</v>
      </c>
      <c r="AV945" s="22">
        <v>25000</v>
      </c>
      <c r="AW945" s="22">
        <v>19500</v>
      </c>
      <c r="AX945" s="66">
        <v>0</v>
      </c>
      <c r="AZ945" s="15" t="s">
        <v>562</v>
      </c>
      <c r="BA945" s="249">
        <f t="shared" si="29"/>
        <v>3</v>
      </c>
      <c r="BB945" s="249">
        <v>0</v>
      </c>
      <c r="BC945" s="249">
        <f t="shared" si="28"/>
        <v>2007</v>
      </c>
    </row>
    <row r="946" spans="1:55" x14ac:dyDescent="0.25">
      <c r="A946" s="52" t="s">
        <v>1857</v>
      </c>
      <c r="B946" s="65" t="s">
        <v>1653</v>
      </c>
      <c r="C946" s="15" t="s">
        <v>337</v>
      </c>
      <c r="D946" s="15">
        <v>2008</v>
      </c>
      <c r="E946" s="15" t="s">
        <v>407</v>
      </c>
      <c r="F946" s="15"/>
      <c r="G946" s="15"/>
      <c r="H946" s="15"/>
      <c r="I946" s="15"/>
      <c r="J946" s="13">
        <v>300000</v>
      </c>
      <c r="K946" s="15" t="s">
        <v>328</v>
      </c>
      <c r="L946" s="15"/>
      <c r="M946" s="15"/>
      <c r="N946" s="16">
        <v>5000</v>
      </c>
      <c r="O946" s="21">
        <v>0.5</v>
      </c>
      <c r="P946" s="15">
        <v>2</v>
      </c>
      <c r="Q946" s="15">
        <v>400</v>
      </c>
      <c r="R946" s="16">
        <v>1839.9999999999998</v>
      </c>
      <c r="S946" s="15" t="s">
        <v>340</v>
      </c>
      <c r="T946" s="15">
        <v>2.2999999999999998</v>
      </c>
      <c r="U946" s="15">
        <v>2.5</v>
      </c>
      <c r="V946" s="27">
        <v>1768.0339462517679</v>
      </c>
      <c r="W946" s="22">
        <v>25000</v>
      </c>
      <c r="X946" s="15"/>
      <c r="Y946" s="15"/>
      <c r="Z946" s="15"/>
      <c r="AA946" s="15"/>
      <c r="AB946" s="15" t="s">
        <v>328</v>
      </c>
      <c r="AC946" s="15"/>
      <c r="AD946" s="15" t="s">
        <v>328</v>
      </c>
      <c r="AE946" s="15"/>
      <c r="AF946" s="15" t="s">
        <v>328</v>
      </c>
      <c r="AG946" s="15" t="s">
        <v>328</v>
      </c>
      <c r="AH946" s="15" t="s">
        <v>328</v>
      </c>
      <c r="AI946" s="15"/>
      <c r="AJ946" s="15"/>
      <c r="AK946" s="15"/>
      <c r="AL946" s="15" t="s">
        <v>328</v>
      </c>
      <c r="AM946" s="15"/>
      <c r="AN946" s="16">
        <v>40000</v>
      </c>
      <c r="AO946" s="16">
        <v>70000</v>
      </c>
      <c r="AP946" s="16">
        <v>70000</v>
      </c>
      <c r="AQ946" s="16">
        <v>130000</v>
      </c>
      <c r="AR946" s="16">
        <v>40000</v>
      </c>
      <c r="AS946" s="22">
        <v>126000</v>
      </c>
      <c r="AT946" s="22">
        <v>0</v>
      </c>
      <c r="AU946" s="22">
        <v>90000</v>
      </c>
      <c r="AV946" s="22">
        <v>25000</v>
      </c>
      <c r="AW946" s="22">
        <v>19500</v>
      </c>
      <c r="AX946" s="66">
        <v>0</v>
      </c>
      <c r="AZ946" s="15" t="s">
        <v>348</v>
      </c>
      <c r="BA946" s="249">
        <f t="shared" si="29"/>
        <v>3</v>
      </c>
      <c r="BB946" s="249">
        <v>0</v>
      </c>
      <c r="BC946" s="249">
        <f t="shared" si="28"/>
        <v>2008</v>
      </c>
    </row>
    <row r="947" spans="1:55" x14ac:dyDescent="0.25">
      <c r="A947" s="52" t="s">
        <v>1857</v>
      </c>
      <c r="B947" s="65" t="s">
        <v>1654</v>
      </c>
      <c r="C947" s="15" t="s">
        <v>348</v>
      </c>
      <c r="D947" s="15">
        <v>1989</v>
      </c>
      <c r="E947" s="15"/>
      <c r="F947" s="15">
        <v>2009</v>
      </c>
      <c r="G947" s="15" t="s">
        <v>407</v>
      </c>
      <c r="H947" s="15"/>
      <c r="I947" s="15"/>
      <c r="J947" s="13">
        <v>921600</v>
      </c>
      <c r="K947" s="15"/>
      <c r="L947" s="15"/>
      <c r="M947" s="15" t="s">
        <v>328</v>
      </c>
      <c r="N947" s="16">
        <v>3200</v>
      </c>
      <c r="O947" s="21">
        <v>0.2</v>
      </c>
      <c r="P947" s="15">
        <v>2</v>
      </c>
      <c r="Q947" s="15">
        <v>650</v>
      </c>
      <c r="R947" s="16">
        <v>4160</v>
      </c>
      <c r="S947" s="15" t="s">
        <v>340</v>
      </c>
      <c r="T947" s="15">
        <v>3.2</v>
      </c>
      <c r="U947" s="15">
        <v>3.7</v>
      </c>
      <c r="V947" s="27">
        <v>800</v>
      </c>
      <c r="W947" s="22">
        <v>11300</v>
      </c>
      <c r="X947" s="15" t="s">
        <v>328</v>
      </c>
      <c r="Y947" s="15"/>
      <c r="Z947" s="15"/>
      <c r="AA947" s="15"/>
      <c r="AB947" s="15"/>
      <c r="AC947" s="15"/>
      <c r="AD947" s="15"/>
      <c r="AE947" s="15"/>
      <c r="AF947" s="15"/>
      <c r="AG947" s="15"/>
      <c r="AH947" s="15" t="s">
        <v>328</v>
      </c>
      <c r="AI947" s="15"/>
      <c r="AJ947" s="15"/>
      <c r="AK947" s="15"/>
      <c r="AL947" s="15"/>
      <c r="AM947" s="15"/>
      <c r="AN947" s="16">
        <v>20000</v>
      </c>
      <c r="AO947" s="16">
        <v>30000</v>
      </c>
      <c r="AP947" s="16">
        <v>60000</v>
      </c>
      <c r="AQ947" s="16">
        <v>100000</v>
      </c>
      <c r="AR947" s="16">
        <v>20000</v>
      </c>
      <c r="AS947" s="22">
        <v>0</v>
      </c>
      <c r="AT947" s="22">
        <v>0</v>
      </c>
      <c r="AU947" s="22">
        <v>60000</v>
      </c>
      <c r="AV947" s="22">
        <v>30000</v>
      </c>
      <c r="AW947" s="22">
        <v>0</v>
      </c>
      <c r="AX947" s="66">
        <v>0</v>
      </c>
      <c r="AZ947" s="15" t="s">
        <v>348</v>
      </c>
      <c r="BA947" s="249">
        <f t="shared" si="29"/>
        <v>1</v>
      </c>
      <c r="BB947" s="249">
        <v>0</v>
      </c>
      <c r="BC947" s="249">
        <f t="shared" si="28"/>
        <v>2009</v>
      </c>
    </row>
    <row r="948" spans="1:55" x14ac:dyDescent="0.25">
      <c r="A948" s="52" t="s">
        <v>1857</v>
      </c>
      <c r="B948" s="65" t="s">
        <v>1655</v>
      </c>
      <c r="C948" s="15" t="s">
        <v>337</v>
      </c>
      <c r="D948" s="15">
        <v>1993</v>
      </c>
      <c r="E948" s="15" t="s">
        <v>407</v>
      </c>
      <c r="F948" s="15"/>
      <c r="G948" s="15"/>
      <c r="H948" s="15"/>
      <c r="I948" s="15"/>
      <c r="J948" s="13">
        <v>1008000</v>
      </c>
      <c r="K948" s="15"/>
      <c r="L948" s="15"/>
      <c r="M948" s="15" t="s">
        <v>328</v>
      </c>
      <c r="N948" s="16">
        <v>4000</v>
      </c>
      <c r="O948" s="21">
        <v>0.5</v>
      </c>
      <c r="P948" s="15">
        <v>2</v>
      </c>
      <c r="Q948" s="15">
        <v>950</v>
      </c>
      <c r="R948" s="16">
        <v>3610</v>
      </c>
      <c r="S948" s="15" t="s">
        <v>340</v>
      </c>
      <c r="T948" s="15">
        <v>1.9</v>
      </c>
      <c r="U948" s="15">
        <v>2.5</v>
      </c>
      <c r="V948" s="27">
        <v>1600</v>
      </c>
      <c r="W948" s="22">
        <v>22000</v>
      </c>
      <c r="X948" s="15"/>
      <c r="Y948" s="15" t="s">
        <v>328</v>
      </c>
      <c r="Z948" s="15"/>
      <c r="AA948" s="15"/>
      <c r="AB948" s="15"/>
      <c r="AC948" s="15"/>
      <c r="AD948" s="15"/>
      <c r="AE948" s="15"/>
      <c r="AF948" s="15"/>
      <c r="AG948" s="15"/>
      <c r="AH948" s="15" t="s">
        <v>328</v>
      </c>
      <c r="AI948" s="15"/>
      <c r="AJ948" s="15"/>
      <c r="AK948" s="15"/>
      <c r="AL948" s="15"/>
      <c r="AM948" s="15"/>
      <c r="AN948" s="16">
        <v>25000</v>
      </c>
      <c r="AO948" s="16">
        <v>40000</v>
      </c>
      <c r="AP948" s="16">
        <v>70000</v>
      </c>
      <c r="AQ948" s="16">
        <v>140000</v>
      </c>
      <c r="AR948" s="16">
        <v>25000</v>
      </c>
      <c r="AS948" s="22">
        <v>0</v>
      </c>
      <c r="AT948" s="22">
        <v>0</v>
      </c>
      <c r="AU948" s="22">
        <v>45000</v>
      </c>
      <c r="AV948" s="22">
        <v>38000</v>
      </c>
      <c r="AW948" s="22">
        <v>8500</v>
      </c>
      <c r="AX948" s="66">
        <v>0</v>
      </c>
      <c r="AZ948" s="15" t="s">
        <v>561</v>
      </c>
      <c r="BA948" s="249">
        <f t="shared" si="29"/>
        <v>1</v>
      </c>
      <c r="BB948" s="249">
        <v>0</v>
      </c>
      <c r="BC948" s="249">
        <f t="shared" si="28"/>
        <v>1993</v>
      </c>
    </row>
    <row r="949" spans="1:55" x14ac:dyDescent="0.25">
      <c r="A949" s="52" t="s">
        <v>1857</v>
      </c>
      <c r="B949" s="65" t="s">
        <v>1809</v>
      </c>
      <c r="C949" s="15" t="s">
        <v>337</v>
      </c>
      <c r="D949" s="15">
        <v>1995</v>
      </c>
      <c r="E949" s="15" t="s">
        <v>456</v>
      </c>
      <c r="F949" s="15"/>
      <c r="G949" s="15"/>
      <c r="H949" s="15"/>
      <c r="I949" s="15"/>
      <c r="J949" s="13">
        <v>1140000</v>
      </c>
      <c r="K949" s="15" t="s">
        <v>328</v>
      </c>
      <c r="L949" s="15"/>
      <c r="M949" s="15"/>
      <c r="N949" s="16">
        <v>5000</v>
      </c>
      <c r="O949" s="21">
        <v>0.5</v>
      </c>
      <c r="P949" s="15">
        <v>2</v>
      </c>
      <c r="Q949" s="15">
        <v>640</v>
      </c>
      <c r="R949" s="16">
        <v>2560</v>
      </c>
      <c r="S949" s="15" t="s">
        <v>340</v>
      </c>
      <c r="T949" s="15">
        <v>2</v>
      </c>
      <c r="U949" s="15">
        <v>2.2000000000000002</v>
      </c>
      <c r="V949" s="27">
        <v>2600</v>
      </c>
      <c r="W949" s="22">
        <v>29000</v>
      </c>
      <c r="X949" s="15" t="s">
        <v>328</v>
      </c>
      <c r="Y949" s="15"/>
      <c r="Z949" s="15"/>
      <c r="AA949" s="15"/>
      <c r="AB949" s="15"/>
      <c r="AC949" s="15"/>
      <c r="AD949" s="15" t="s">
        <v>328</v>
      </c>
      <c r="AE949" s="15" t="s">
        <v>328</v>
      </c>
      <c r="AF949" s="15"/>
      <c r="AG949" s="15" t="s">
        <v>328</v>
      </c>
      <c r="AH949" s="15" t="s">
        <v>328</v>
      </c>
      <c r="AI949" s="15"/>
      <c r="AJ949" s="15"/>
      <c r="AK949" s="15"/>
      <c r="AL949" s="15" t="s">
        <v>328</v>
      </c>
      <c r="AM949" s="15"/>
      <c r="AN949" s="16">
        <v>25000</v>
      </c>
      <c r="AO949" s="16">
        <v>30000</v>
      </c>
      <c r="AP949" s="16">
        <v>40000</v>
      </c>
      <c r="AQ949" s="16">
        <v>130000</v>
      </c>
      <c r="AR949" s="16">
        <v>25000</v>
      </c>
      <c r="AS949" s="22">
        <v>102000</v>
      </c>
      <c r="AT949" s="22">
        <v>0</v>
      </c>
      <c r="AU949" s="22">
        <v>65000</v>
      </c>
      <c r="AV949" s="22">
        <v>20000</v>
      </c>
      <c r="AW949" s="22">
        <v>11500</v>
      </c>
      <c r="AX949" s="66">
        <v>0</v>
      </c>
      <c r="AZ949" s="15"/>
      <c r="BA949" s="249">
        <f t="shared" si="29"/>
        <v>6</v>
      </c>
      <c r="BB949" s="249">
        <v>0</v>
      </c>
      <c r="BC949" s="249">
        <f t="shared" si="28"/>
        <v>1995</v>
      </c>
    </row>
    <row r="950" spans="1:55" x14ac:dyDescent="0.25">
      <c r="A950" s="52" t="s">
        <v>1857</v>
      </c>
      <c r="B950" s="65" t="s">
        <v>1809</v>
      </c>
      <c r="C950" s="15" t="s">
        <v>337</v>
      </c>
      <c r="D950" s="15">
        <v>1995</v>
      </c>
      <c r="E950" s="15" t="s">
        <v>456</v>
      </c>
      <c r="F950" s="15"/>
      <c r="G950" s="15"/>
      <c r="H950" s="15"/>
      <c r="I950" s="15"/>
      <c r="J950" s="13">
        <v>1140000</v>
      </c>
      <c r="K950" s="15" t="s">
        <v>328</v>
      </c>
      <c r="L950" s="15"/>
      <c r="M950" s="15"/>
      <c r="N950" s="16">
        <v>5000</v>
      </c>
      <c r="O950" s="21">
        <v>0.5</v>
      </c>
      <c r="P950" s="15">
        <v>2</v>
      </c>
      <c r="Q950" s="15">
        <v>640</v>
      </c>
      <c r="R950" s="16">
        <v>2560</v>
      </c>
      <c r="S950" s="15" t="s">
        <v>340</v>
      </c>
      <c r="T950" s="15">
        <v>2</v>
      </c>
      <c r="U950" s="15">
        <v>2.2000000000000002</v>
      </c>
      <c r="V950" s="27">
        <v>2600</v>
      </c>
      <c r="W950" s="22">
        <v>29000</v>
      </c>
      <c r="X950" s="15" t="s">
        <v>328</v>
      </c>
      <c r="Y950" s="15"/>
      <c r="Z950" s="15"/>
      <c r="AA950" s="15"/>
      <c r="AB950" s="15"/>
      <c r="AC950" s="15"/>
      <c r="AD950" s="15" t="s">
        <v>328</v>
      </c>
      <c r="AE950" s="15" t="s">
        <v>328</v>
      </c>
      <c r="AF950" s="15"/>
      <c r="AG950" s="15" t="s">
        <v>328</v>
      </c>
      <c r="AH950" s="15" t="s">
        <v>328</v>
      </c>
      <c r="AI950" s="15"/>
      <c r="AJ950" s="15"/>
      <c r="AK950" s="15"/>
      <c r="AL950" s="15" t="s">
        <v>328</v>
      </c>
      <c r="AM950" s="15"/>
      <c r="AN950" s="16">
        <v>25000</v>
      </c>
      <c r="AO950" s="16">
        <v>30000</v>
      </c>
      <c r="AP950" s="16">
        <v>40000</v>
      </c>
      <c r="AQ950" s="16">
        <v>130000</v>
      </c>
      <c r="AR950" s="16">
        <v>25000</v>
      </c>
      <c r="AS950" s="22">
        <v>102000</v>
      </c>
      <c r="AT950" s="22">
        <v>0</v>
      </c>
      <c r="AU950" s="22">
        <v>65000</v>
      </c>
      <c r="AV950" s="22">
        <v>20000</v>
      </c>
      <c r="AW950" s="22">
        <v>11500</v>
      </c>
      <c r="AX950" s="66">
        <v>0</v>
      </c>
      <c r="AZ950" s="15"/>
      <c r="BA950" s="249">
        <f t="shared" si="29"/>
        <v>6</v>
      </c>
      <c r="BB950" s="249"/>
      <c r="BC950" s="249">
        <f t="shared" si="28"/>
        <v>1995</v>
      </c>
    </row>
    <row r="951" spans="1:55" x14ac:dyDescent="0.25">
      <c r="A951" s="52" t="s">
        <v>1857</v>
      </c>
      <c r="B951" s="65" t="s">
        <v>1809</v>
      </c>
      <c r="C951" s="15" t="s">
        <v>337</v>
      </c>
      <c r="D951" s="15">
        <v>1998</v>
      </c>
      <c r="E951" s="15" t="s">
        <v>456</v>
      </c>
      <c r="F951" s="15"/>
      <c r="G951" s="15"/>
      <c r="H951" s="15"/>
      <c r="I951" s="15"/>
      <c r="J951" s="13">
        <v>960000</v>
      </c>
      <c r="K951" s="15" t="s">
        <v>328</v>
      </c>
      <c r="L951" s="15"/>
      <c r="M951" s="15"/>
      <c r="N951" s="16">
        <v>5000</v>
      </c>
      <c r="O951" s="21">
        <v>0.5</v>
      </c>
      <c r="P951" s="15">
        <v>2</v>
      </c>
      <c r="Q951" s="15">
        <v>640</v>
      </c>
      <c r="R951" s="16">
        <v>2688</v>
      </c>
      <c r="S951" s="15" t="s">
        <v>340</v>
      </c>
      <c r="T951" s="15">
        <v>2.1</v>
      </c>
      <c r="U951" s="15">
        <v>2.2000000000000002</v>
      </c>
      <c r="V951" s="27">
        <v>2600</v>
      </c>
      <c r="W951" s="22">
        <v>29000</v>
      </c>
      <c r="X951" s="15"/>
      <c r="Y951" s="15" t="s">
        <v>328</v>
      </c>
      <c r="Z951" s="15"/>
      <c r="AA951" s="15"/>
      <c r="AB951" s="15"/>
      <c r="AC951" s="15"/>
      <c r="AD951" s="15" t="s">
        <v>328</v>
      </c>
      <c r="AE951" s="15" t="s">
        <v>328</v>
      </c>
      <c r="AF951" s="15"/>
      <c r="AG951" s="15" t="s">
        <v>328</v>
      </c>
      <c r="AH951" s="15" t="s">
        <v>328</v>
      </c>
      <c r="AI951" s="15"/>
      <c r="AJ951" s="15"/>
      <c r="AK951" s="15"/>
      <c r="AL951" s="15" t="s">
        <v>328</v>
      </c>
      <c r="AM951" s="15"/>
      <c r="AN951" s="16">
        <v>25000</v>
      </c>
      <c r="AO951" s="16">
        <v>30000</v>
      </c>
      <c r="AP951" s="16">
        <v>40000</v>
      </c>
      <c r="AQ951" s="16">
        <v>130000</v>
      </c>
      <c r="AR951" s="16">
        <v>25000</v>
      </c>
      <c r="AS951" s="22">
        <v>102000</v>
      </c>
      <c r="AT951" s="22">
        <v>0</v>
      </c>
      <c r="AU951" s="22">
        <v>65000</v>
      </c>
      <c r="AV951" s="22">
        <v>20000</v>
      </c>
      <c r="AW951" s="22">
        <v>11500</v>
      </c>
      <c r="AX951" s="66">
        <v>0</v>
      </c>
      <c r="AZ951" s="15"/>
      <c r="BA951" s="249">
        <f t="shared" si="29"/>
        <v>6</v>
      </c>
      <c r="BB951" s="249"/>
      <c r="BC951" s="249">
        <f t="shared" si="28"/>
        <v>1998</v>
      </c>
    </row>
    <row r="952" spans="1:55" x14ac:dyDescent="0.25">
      <c r="A952" s="52" t="s">
        <v>1857</v>
      </c>
      <c r="B952" s="65" t="s">
        <v>1809</v>
      </c>
      <c r="C952" s="15" t="s">
        <v>337</v>
      </c>
      <c r="D952" s="15">
        <v>1998</v>
      </c>
      <c r="E952" s="15" t="s">
        <v>338</v>
      </c>
      <c r="F952" s="15"/>
      <c r="G952" s="15"/>
      <c r="H952" s="15"/>
      <c r="I952" s="15"/>
      <c r="J952" s="13">
        <v>960000</v>
      </c>
      <c r="K952" s="15" t="s">
        <v>328</v>
      </c>
      <c r="L952" s="15"/>
      <c r="M952" s="15"/>
      <c r="N952" s="16">
        <v>5000</v>
      </c>
      <c r="O952" s="21">
        <v>0.5</v>
      </c>
      <c r="P952" s="15">
        <v>2</v>
      </c>
      <c r="Q952" s="15">
        <v>640</v>
      </c>
      <c r="R952" s="16">
        <v>2688</v>
      </c>
      <c r="S952" s="15" t="s">
        <v>340</v>
      </c>
      <c r="T952" s="15">
        <v>2.1</v>
      </c>
      <c r="U952" s="15">
        <v>2.2000000000000002</v>
      </c>
      <c r="V952" s="27">
        <v>2600</v>
      </c>
      <c r="W952" s="22">
        <v>29000</v>
      </c>
      <c r="X952" s="15"/>
      <c r="Y952" s="15" t="s">
        <v>328</v>
      </c>
      <c r="Z952" s="15"/>
      <c r="AA952" s="15"/>
      <c r="AB952" s="15"/>
      <c r="AC952" s="15"/>
      <c r="AD952" s="15" t="s">
        <v>328</v>
      </c>
      <c r="AE952" s="15" t="s">
        <v>328</v>
      </c>
      <c r="AF952" s="15"/>
      <c r="AG952" s="15" t="s">
        <v>328</v>
      </c>
      <c r="AH952" s="15" t="s">
        <v>328</v>
      </c>
      <c r="AI952" s="15"/>
      <c r="AJ952" s="15"/>
      <c r="AK952" s="15"/>
      <c r="AL952" s="15" t="s">
        <v>328</v>
      </c>
      <c r="AM952" s="15"/>
      <c r="AN952" s="16">
        <v>25000</v>
      </c>
      <c r="AO952" s="16">
        <v>30000</v>
      </c>
      <c r="AP952" s="16">
        <v>40000</v>
      </c>
      <c r="AQ952" s="16">
        <v>130000</v>
      </c>
      <c r="AR952" s="16">
        <v>25000</v>
      </c>
      <c r="AS952" s="22">
        <v>102000</v>
      </c>
      <c r="AT952" s="22">
        <v>0</v>
      </c>
      <c r="AU952" s="22">
        <v>65000</v>
      </c>
      <c r="AV952" s="22">
        <v>20000</v>
      </c>
      <c r="AW952" s="22">
        <v>11500</v>
      </c>
      <c r="AX952" s="66">
        <v>0</v>
      </c>
      <c r="AZ952" s="15"/>
      <c r="BA952" s="249">
        <f t="shared" si="29"/>
        <v>6</v>
      </c>
      <c r="BB952" s="249"/>
      <c r="BC952" s="249">
        <f t="shared" si="28"/>
        <v>1998</v>
      </c>
    </row>
    <row r="953" spans="1:55" x14ac:dyDescent="0.25">
      <c r="A953" s="52" t="s">
        <v>1857</v>
      </c>
      <c r="B953" s="65" t="s">
        <v>1809</v>
      </c>
      <c r="C953" s="15" t="s">
        <v>337</v>
      </c>
      <c r="D953" s="15">
        <v>2000</v>
      </c>
      <c r="E953" s="15" t="s">
        <v>338</v>
      </c>
      <c r="F953" s="15"/>
      <c r="G953" s="15"/>
      <c r="H953" s="15"/>
      <c r="I953" s="15"/>
      <c r="J953" s="13">
        <v>840000</v>
      </c>
      <c r="K953" s="15" t="s">
        <v>328</v>
      </c>
      <c r="L953" s="15"/>
      <c r="M953" s="15"/>
      <c r="N953" s="16">
        <v>5000</v>
      </c>
      <c r="O953" s="21">
        <v>0.5</v>
      </c>
      <c r="P953" s="15">
        <v>3</v>
      </c>
      <c r="Q953" s="15">
        <v>640</v>
      </c>
      <c r="R953" s="16">
        <v>4416</v>
      </c>
      <c r="S953" s="15" t="s">
        <v>340</v>
      </c>
      <c r="T953" s="15">
        <v>2.2999999999999998</v>
      </c>
      <c r="U953" s="15">
        <v>2.5</v>
      </c>
      <c r="V953" s="27">
        <v>2250</v>
      </c>
      <c r="W953" s="22">
        <v>25000</v>
      </c>
      <c r="X953" s="15"/>
      <c r="Y953" s="15" t="s">
        <v>328</v>
      </c>
      <c r="Z953" s="15"/>
      <c r="AA953" s="15"/>
      <c r="AB953" s="15"/>
      <c r="AC953" s="15"/>
      <c r="AD953" s="15" t="s">
        <v>328</v>
      </c>
      <c r="AE953" s="15" t="s">
        <v>328</v>
      </c>
      <c r="AF953" s="15" t="s">
        <v>328</v>
      </c>
      <c r="AG953" s="15" t="s">
        <v>328</v>
      </c>
      <c r="AH953" s="15" t="s">
        <v>328</v>
      </c>
      <c r="AI953" s="15" t="s">
        <v>328</v>
      </c>
      <c r="AJ953" s="15"/>
      <c r="AK953" s="15"/>
      <c r="AL953" s="15" t="s">
        <v>328</v>
      </c>
      <c r="AM953" s="15"/>
      <c r="AN953" s="16">
        <v>25000</v>
      </c>
      <c r="AO953" s="16">
        <v>30000</v>
      </c>
      <c r="AP953" s="16">
        <v>40000</v>
      </c>
      <c r="AQ953" s="16">
        <v>130000</v>
      </c>
      <c r="AR953" s="16">
        <v>25000</v>
      </c>
      <c r="AS953" s="22">
        <v>102000</v>
      </c>
      <c r="AT953" s="22">
        <v>0</v>
      </c>
      <c r="AU953" s="22">
        <v>65000</v>
      </c>
      <c r="AV953" s="22">
        <v>20000</v>
      </c>
      <c r="AW953" s="22">
        <v>11500</v>
      </c>
      <c r="AX953" s="66">
        <v>0</v>
      </c>
      <c r="AZ953" s="15"/>
      <c r="BA953" s="249">
        <f t="shared" si="29"/>
        <v>6</v>
      </c>
      <c r="BB953" s="249"/>
      <c r="BC953" s="249">
        <f t="shared" si="28"/>
        <v>2000</v>
      </c>
    </row>
    <row r="954" spans="1:55" x14ac:dyDescent="0.25">
      <c r="A954" s="52" t="s">
        <v>1857</v>
      </c>
      <c r="B954" s="65" t="s">
        <v>1809</v>
      </c>
      <c r="C954" s="15" t="s">
        <v>337</v>
      </c>
      <c r="D954" s="15">
        <v>2000</v>
      </c>
      <c r="E954" s="15" t="s">
        <v>338</v>
      </c>
      <c r="F954" s="15"/>
      <c r="G954" s="15"/>
      <c r="H954" s="15"/>
      <c r="I954" s="15"/>
      <c r="J954" s="13">
        <v>840000</v>
      </c>
      <c r="K954" s="15" t="s">
        <v>328</v>
      </c>
      <c r="L954" s="15"/>
      <c r="M954" s="15"/>
      <c r="N954" s="16">
        <v>5000</v>
      </c>
      <c r="O954" s="21">
        <v>0.5</v>
      </c>
      <c r="P954" s="15">
        <v>3</v>
      </c>
      <c r="Q954" s="15">
        <v>640</v>
      </c>
      <c r="R954" s="16">
        <v>4416</v>
      </c>
      <c r="S954" s="15" t="s">
        <v>340</v>
      </c>
      <c r="T954" s="15">
        <v>2.2999999999999998</v>
      </c>
      <c r="U954" s="15">
        <v>2.5</v>
      </c>
      <c r="V954" s="27">
        <v>2250</v>
      </c>
      <c r="W954" s="22">
        <v>25000</v>
      </c>
      <c r="X954" s="15"/>
      <c r="Y954" s="15"/>
      <c r="Z954" s="15"/>
      <c r="AA954" s="15"/>
      <c r="AB954" s="15" t="s">
        <v>328</v>
      </c>
      <c r="AC954" s="15"/>
      <c r="AD954" s="15" t="s">
        <v>328</v>
      </c>
      <c r="AE954" s="15" t="s">
        <v>328</v>
      </c>
      <c r="AF954" s="15" t="s">
        <v>328</v>
      </c>
      <c r="AG954" s="15" t="s">
        <v>328</v>
      </c>
      <c r="AH954" s="15" t="s">
        <v>328</v>
      </c>
      <c r="AI954" s="15" t="s">
        <v>328</v>
      </c>
      <c r="AJ954" s="15"/>
      <c r="AK954" s="15"/>
      <c r="AL954" s="15" t="s">
        <v>328</v>
      </c>
      <c r="AM954" s="15"/>
      <c r="AN954" s="16">
        <v>25000</v>
      </c>
      <c r="AO954" s="16">
        <v>30000</v>
      </c>
      <c r="AP954" s="16">
        <v>40000</v>
      </c>
      <c r="AQ954" s="16">
        <v>130000</v>
      </c>
      <c r="AR954" s="16">
        <v>25000</v>
      </c>
      <c r="AS954" s="22">
        <v>102000</v>
      </c>
      <c r="AT954" s="22">
        <v>0</v>
      </c>
      <c r="AU954" s="22">
        <v>65000</v>
      </c>
      <c r="AV954" s="22">
        <v>20000</v>
      </c>
      <c r="AW954" s="22">
        <v>11500</v>
      </c>
      <c r="AX954" s="66">
        <v>0</v>
      </c>
      <c r="AZ954" s="15"/>
      <c r="BA954" s="249">
        <f t="shared" si="29"/>
        <v>6</v>
      </c>
      <c r="BB954" s="249"/>
      <c r="BC954" s="249">
        <f t="shared" si="28"/>
        <v>2000</v>
      </c>
    </row>
    <row r="955" spans="1:55" x14ac:dyDescent="0.25">
      <c r="A955" s="52" t="s">
        <v>1857</v>
      </c>
      <c r="B955" s="65" t="s">
        <v>1810</v>
      </c>
      <c r="C955" s="15" t="s">
        <v>348</v>
      </c>
      <c r="D955" s="15">
        <v>1980</v>
      </c>
      <c r="E955" s="15"/>
      <c r="F955" s="15">
        <v>2003</v>
      </c>
      <c r="G955" s="15" t="s">
        <v>407</v>
      </c>
      <c r="H955" s="15"/>
      <c r="I955" s="15"/>
      <c r="J955" s="16">
        <v>2300000</v>
      </c>
      <c r="K955" s="15"/>
      <c r="L955" s="15"/>
      <c r="M955" s="15" t="s">
        <v>328</v>
      </c>
      <c r="N955" s="16">
        <v>4000</v>
      </c>
      <c r="O955" s="21">
        <v>0.5</v>
      </c>
      <c r="P955" s="15">
        <v>2</v>
      </c>
      <c r="Q955" s="15">
        <v>700</v>
      </c>
      <c r="R955" s="16">
        <v>4200</v>
      </c>
      <c r="S955" s="15" t="s">
        <v>340</v>
      </c>
      <c r="T955" s="15">
        <v>3</v>
      </c>
      <c r="U955" s="15">
        <v>3.1</v>
      </c>
      <c r="V955" s="27">
        <v>1350</v>
      </c>
      <c r="W955" s="22">
        <v>19000</v>
      </c>
      <c r="X955" s="15"/>
      <c r="Y955" s="15"/>
      <c r="Z955" s="15"/>
      <c r="AA955" s="15"/>
      <c r="AB955" s="15" t="s">
        <v>328</v>
      </c>
      <c r="AC955" s="15"/>
      <c r="AD955" s="15"/>
      <c r="AE955" s="15" t="s">
        <v>328</v>
      </c>
      <c r="AF955" s="15"/>
      <c r="AG955" s="15"/>
      <c r="AH955" s="15"/>
      <c r="AI955" s="15"/>
      <c r="AJ955" s="15"/>
      <c r="AK955" s="15" t="s">
        <v>328</v>
      </c>
      <c r="AL955" s="15"/>
      <c r="AM955" s="15"/>
      <c r="AN955" s="16">
        <v>10000</v>
      </c>
      <c r="AO955" s="16">
        <v>12000</v>
      </c>
      <c r="AP955" s="16">
        <v>40000</v>
      </c>
      <c r="AQ955" s="16">
        <v>120000</v>
      </c>
      <c r="AR955" s="16">
        <v>12000</v>
      </c>
      <c r="AS955" s="22">
        <v>0</v>
      </c>
      <c r="AT955" s="22">
        <v>0</v>
      </c>
      <c r="AU955" s="22">
        <v>24000</v>
      </c>
      <c r="AV955" s="22">
        <v>24000</v>
      </c>
      <c r="AW955" s="22">
        <v>9500</v>
      </c>
      <c r="AX955" s="66">
        <v>0</v>
      </c>
      <c r="AZ955" s="15" t="s">
        <v>348</v>
      </c>
      <c r="BA955" s="249">
        <f t="shared" si="29"/>
        <v>1</v>
      </c>
      <c r="BB955" s="249">
        <v>0</v>
      </c>
      <c r="BC955" s="249">
        <f t="shared" si="28"/>
        <v>2003</v>
      </c>
    </row>
    <row r="956" spans="1:55" x14ac:dyDescent="0.25">
      <c r="A956" s="52" t="s">
        <v>1857</v>
      </c>
      <c r="B956" s="65" t="s">
        <v>1811</v>
      </c>
      <c r="C956" s="15" t="s">
        <v>348</v>
      </c>
      <c r="D956" s="15">
        <v>2003</v>
      </c>
      <c r="E956" s="15" t="s">
        <v>407</v>
      </c>
      <c r="F956" s="15"/>
      <c r="G956" s="15"/>
      <c r="H956" s="15"/>
      <c r="I956" s="15"/>
      <c r="J956" s="16">
        <v>620415</v>
      </c>
      <c r="K956" s="15"/>
      <c r="L956" s="15" t="s">
        <v>328</v>
      </c>
      <c r="M956" s="15"/>
      <c r="N956" s="16">
        <v>4000</v>
      </c>
      <c r="O956" s="21">
        <v>0.25</v>
      </c>
      <c r="P956" s="15">
        <v>2</v>
      </c>
      <c r="Q956" s="15">
        <v>640</v>
      </c>
      <c r="R956" s="16">
        <v>4992</v>
      </c>
      <c r="S956" s="15" t="s">
        <v>340</v>
      </c>
      <c r="T956" s="15">
        <v>3.9</v>
      </c>
      <c r="U956" s="15">
        <v>4.3</v>
      </c>
      <c r="V956" s="25">
        <v>2100</v>
      </c>
      <c r="W956" s="22">
        <v>23500</v>
      </c>
      <c r="X956" s="15"/>
      <c r="Y956" s="15" t="s">
        <v>328</v>
      </c>
      <c r="Z956" s="15"/>
      <c r="AA956" s="15"/>
      <c r="AB956" s="15"/>
      <c r="AC956" s="15"/>
      <c r="AD956" s="15" t="s">
        <v>328</v>
      </c>
      <c r="AE956" s="15" t="s">
        <v>328</v>
      </c>
      <c r="AF956" s="15"/>
      <c r="AG956" s="15"/>
      <c r="AH956" s="15"/>
      <c r="AI956" s="15"/>
      <c r="AJ956" s="15"/>
      <c r="AK956" s="15"/>
      <c r="AL956" s="15"/>
      <c r="AM956" s="15"/>
      <c r="AN956" s="16">
        <v>20000</v>
      </c>
      <c r="AO956" s="16">
        <v>20000</v>
      </c>
      <c r="AP956" s="16">
        <v>40000</v>
      </c>
      <c r="AQ956" s="16">
        <v>125000</v>
      </c>
      <c r="AR956" s="16">
        <v>20000</v>
      </c>
      <c r="AS956" s="22">
        <v>91200</v>
      </c>
      <c r="AT956" s="22">
        <v>0</v>
      </c>
      <c r="AU956" s="22">
        <v>60000</v>
      </c>
      <c r="AV956" s="22">
        <v>38000</v>
      </c>
      <c r="AW956" s="22">
        <v>7500</v>
      </c>
      <c r="AX956" s="66">
        <v>0</v>
      </c>
      <c r="AZ956" s="15" t="s">
        <v>348</v>
      </c>
      <c r="BA956" s="249">
        <f t="shared" si="29"/>
        <v>2</v>
      </c>
      <c r="BB956" s="249">
        <v>0</v>
      </c>
      <c r="BC956" s="249">
        <f t="shared" si="28"/>
        <v>2003</v>
      </c>
    </row>
    <row r="957" spans="1:55" x14ac:dyDescent="0.25">
      <c r="A957" s="52" t="s">
        <v>1857</v>
      </c>
      <c r="B957" s="65" t="s">
        <v>1811</v>
      </c>
      <c r="C957" s="15" t="s">
        <v>348</v>
      </c>
      <c r="D957" s="15">
        <v>2003</v>
      </c>
      <c r="E957" s="15" t="s">
        <v>407</v>
      </c>
      <c r="F957" s="15"/>
      <c r="G957" s="15"/>
      <c r="H957" s="15"/>
      <c r="I957" s="15"/>
      <c r="J957" s="16">
        <v>593810</v>
      </c>
      <c r="K957" s="15"/>
      <c r="L957" s="15" t="s">
        <v>328</v>
      </c>
      <c r="M957" s="15"/>
      <c r="N957" s="16">
        <v>4000</v>
      </c>
      <c r="O957" s="21">
        <v>0.25</v>
      </c>
      <c r="P957" s="15">
        <v>2</v>
      </c>
      <c r="Q957" s="15">
        <v>640</v>
      </c>
      <c r="R957" s="16">
        <v>4992</v>
      </c>
      <c r="S957" s="15" t="s">
        <v>340</v>
      </c>
      <c r="T957" s="15">
        <v>3.9</v>
      </c>
      <c r="U957" s="15">
        <v>4.3</v>
      </c>
      <c r="V957" s="25">
        <v>2100</v>
      </c>
      <c r="W957" s="22">
        <v>23500</v>
      </c>
      <c r="X957" s="15"/>
      <c r="Y957" s="15"/>
      <c r="Z957" s="15"/>
      <c r="AA957" s="15"/>
      <c r="AB957" s="15" t="s">
        <v>328</v>
      </c>
      <c r="AC957" s="15"/>
      <c r="AD957" s="15" t="s">
        <v>328</v>
      </c>
      <c r="AE957" s="15" t="s">
        <v>328</v>
      </c>
      <c r="AF957" s="15"/>
      <c r="AG957" s="15"/>
      <c r="AH957" s="15"/>
      <c r="AI957" s="15"/>
      <c r="AJ957" s="15"/>
      <c r="AK957" s="15"/>
      <c r="AL957" s="15"/>
      <c r="AM957" s="15"/>
      <c r="AN957" s="16">
        <v>20000</v>
      </c>
      <c r="AO957" s="16">
        <v>20000</v>
      </c>
      <c r="AP957" s="16">
        <v>40000</v>
      </c>
      <c r="AQ957" s="16">
        <v>125000</v>
      </c>
      <c r="AR957" s="16">
        <v>20000</v>
      </c>
      <c r="AS957" s="22">
        <v>91200</v>
      </c>
      <c r="AT957" s="22">
        <v>0</v>
      </c>
      <c r="AU957" s="22">
        <v>60000</v>
      </c>
      <c r="AV957" s="22">
        <v>38000</v>
      </c>
      <c r="AW957" s="22">
        <v>7500</v>
      </c>
      <c r="AX957" s="66">
        <v>0</v>
      </c>
      <c r="AZ957" s="15" t="s">
        <v>348</v>
      </c>
      <c r="BA957" s="249">
        <f t="shared" si="29"/>
        <v>2</v>
      </c>
      <c r="BB957" s="249">
        <v>0</v>
      </c>
      <c r="BC957" s="249">
        <f t="shared" si="28"/>
        <v>2003</v>
      </c>
    </row>
    <row r="958" spans="1:55" x14ac:dyDescent="0.25">
      <c r="A958" s="52" t="s">
        <v>1857</v>
      </c>
      <c r="B958" s="65" t="s">
        <v>1812</v>
      </c>
      <c r="C958" s="14" t="s">
        <v>337</v>
      </c>
      <c r="D958" s="14">
        <v>1984</v>
      </c>
      <c r="E958" s="14"/>
      <c r="F958" s="14">
        <v>2000</v>
      </c>
      <c r="G958" s="14" t="s">
        <v>407</v>
      </c>
      <c r="H958" s="14"/>
      <c r="I958" s="14"/>
      <c r="J958" s="13">
        <v>2088000</v>
      </c>
      <c r="K958" s="14"/>
      <c r="L958" s="14"/>
      <c r="M958" s="14" t="s">
        <v>328</v>
      </c>
      <c r="N958" s="13">
        <v>6000</v>
      </c>
      <c r="O958" s="24">
        <v>0.5</v>
      </c>
      <c r="P958" s="14">
        <v>2</v>
      </c>
      <c r="Q958" s="15">
        <v>400</v>
      </c>
      <c r="R958" s="16">
        <v>1440</v>
      </c>
      <c r="S958" s="14" t="s">
        <v>340</v>
      </c>
      <c r="T958" s="14">
        <v>1.8</v>
      </c>
      <c r="U958" s="14">
        <v>2</v>
      </c>
      <c r="V958" s="25">
        <v>3200</v>
      </c>
      <c r="W958" s="22">
        <v>45000</v>
      </c>
      <c r="X958" s="14"/>
      <c r="Y958" s="14"/>
      <c r="Z958" s="14"/>
      <c r="AA958" s="14"/>
      <c r="AB958" s="14" t="s">
        <v>328</v>
      </c>
      <c r="AC958" s="14"/>
      <c r="AD958" s="14"/>
      <c r="AE958" s="14" t="s">
        <v>328</v>
      </c>
      <c r="AF958" s="14"/>
      <c r="AG958" s="14"/>
      <c r="AH958" s="14" t="s">
        <v>328</v>
      </c>
      <c r="AI958" s="14"/>
      <c r="AJ958" s="14"/>
      <c r="AK958" s="14"/>
      <c r="AL958" s="14"/>
      <c r="AM958" s="14"/>
      <c r="AN958" s="13">
        <v>10000</v>
      </c>
      <c r="AO958" s="13">
        <v>16000</v>
      </c>
      <c r="AP958" s="13">
        <v>16000</v>
      </c>
      <c r="AQ958" s="13">
        <v>100000</v>
      </c>
      <c r="AR958" s="13">
        <v>16000</v>
      </c>
      <c r="AS958" s="26">
        <v>0</v>
      </c>
      <c r="AT958" s="26">
        <v>0</v>
      </c>
      <c r="AU958" s="26">
        <v>50000</v>
      </c>
      <c r="AV958" s="26">
        <v>30000</v>
      </c>
      <c r="AW958" s="26">
        <v>19000</v>
      </c>
      <c r="AX958" s="62">
        <v>0</v>
      </c>
      <c r="AZ958" s="14" t="s">
        <v>337</v>
      </c>
      <c r="BA958" s="249">
        <f t="shared" si="29"/>
        <v>1</v>
      </c>
      <c r="BB958" s="249">
        <v>0</v>
      </c>
      <c r="BC958" s="249">
        <f t="shared" si="28"/>
        <v>2000</v>
      </c>
    </row>
    <row r="959" spans="1:55" x14ac:dyDescent="0.25">
      <c r="A959" s="52" t="s">
        <v>1857</v>
      </c>
      <c r="B959" s="65" t="s">
        <v>1813</v>
      </c>
      <c r="C959" s="14" t="s">
        <v>351</v>
      </c>
      <c r="D959" s="14">
        <v>1994</v>
      </c>
      <c r="E959" s="14"/>
      <c r="F959" s="14">
        <v>2005</v>
      </c>
      <c r="G959" s="14" t="s">
        <v>360</v>
      </c>
      <c r="H959" s="14"/>
      <c r="I959" s="14"/>
      <c r="J959" s="13">
        <v>684000</v>
      </c>
      <c r="K959" s="14" t="s">
        <v>328</v>
      </c>
      <c r="L959" s="14"/>
      <c r="M959" s="14"/>
      <c r="N959" s="13">
        <v>3000</v>
      </c>
      <c r="O959" s="24">
        <v>0.3</v>
      </c>
      <c r="P959" s="14">
        <v>2</v>
      </c>
      <c r="Q959" s="14">
        <v>380</v>
      </c>
      <c r="R959" s="16">
        <v>1292</v>
      </c>
      <c r="S959" s="14" t="s">
        <v>340</v>
      </c>
      <c r="T959" s="14">
        <v>1.7</v>
      </c>
      <c r="U959" s="14">
        <v>2.1</v>
      </c>
      <c r="V959" s="25">
        <v>1400</v>
      </c>
      <c r="W959" s="22">
        <v>19000</v>
      </c>
      <c r="X959" s="14"/>
      <c r="Y959" s="14"/>
      <c r="Z959" s="14"/>
      <c r="AA959" s="14"/>
      <c r="AB959" s="14" t="s">
        <v>328</v>
      </c>
      <c r="AC959" s="14"/>
      <c r="AD959" s="14"/>
      <c r="AE959" s="14" t="s">
        <v>328</v>
      </c>
      <c r="AF959" s="14"/>
      <c r="AG959" s="14"/>
      <c r="AH959" s="14"/>
      <c r="AI959" s="14"/>
      <c r="AJ959" s="14"/>
      <c r="AK959" s="14"/>
      <c r="AL959" s="14"/>
      <c r="AM959" s="14"/>
      <c r="AN959" s="16">
        <v>15000</v>
      </c>
      <c r="AO959" s="16">
        <v>15000</v>
      </c>
      <c r="AP959" s="16">
        <v>30000</v>
      </c>
      <c r="AQ959" s="16">
        <v>90000</v>
      </c>
      <c r="AR959" s="16">
        <v>15000</v>
      </c>
      <c r="AS959" s="22">
        <v>91200</v>
      </c>
      <c r="AT959" s="22">
        <v>0</v>
      </c>
      <c r="AU959" s="22">
        <v>65000</v>
      </c>
      <c r="AV959" s="22">
        <v>20000</v>
      </c>
      <c r="AW959" s="22">
        <v>10000</v>
      </c>
      <c r="AX959" s="66">
        <v>0</v>
      </c>
      <c r="AZ959" s="14" t="s">
        <v>351</v>
      </c>
      <c r="BA959" s="249">
        <f t="shared" si="29"/>
        <v>2</v>
      </c>
      <c r="BB959" s="249">
        <v>0</v>
      </c>
      <c r="BC959" s="249">
        <f t="shared" si="28"/>
        <v>2005</v>
      </c>
    </row>
    <row r="960" spans="1:55" x14ac:dyDescent="0.25">
      <c r="A960" s="52" t="s">
        <v>1857</v>
      </c>
      <c r="B960" s="65" t="s">
        <v>1813</v>
      </c>
      <c r="C960" s="14" t="s">
        <v>351</v>
      </c>
      <c r="D960" s="14">
        <v>1994</v>
      </c>
      <c r="E960" s="14"/>
      <c r="F960" s="14">
        <v>2005</v>
      </c>
      <c r="G960" s="14" t="s">
        <v>360</v>
      </c>
      <c r="H960" s="14"/>
      <c r="I960" s="14"/>
      <c r="J960" s="13">
        <v>684000</v>
      </c>
      <c r="K960" s="14" t="s">
        <v>328</v>
      </c>
      <c r="L960" s="14"/>
      <c r="M960" s="14"/>
      <c r="N960" s="13">
        <v>3000</v>
      </c>
      <c r="O960" s="24">
        <v>0.3</v>
      </c>
      <c r="P960" s="14">
        <v>2</v>
      </c>
      <c r="Q960" s="14">
        <v>380</v>
      </c>
      <c r="R960" s="16">
        <v>1292</v>
      </c>
      <c r="S960" s="14" t="s">
        <v>340</v>
      </c>
      <c r="T960" s="14">
        <v>1.7</v>
      </c>
      <c r="U960" s="14">
        <v>2.1</v>
      </c>
      <c r="V960" s="25">
        <v>1400</v>
      </c>
      <c r="W960" s="22">
        <v>19000</v>
      </c>
      <c r="X960" s="14"/>
      <c r="Y960" s="14"/>
      <c r="Z960" s="14"/>
      <c r="AA960" s="14"/>
      <c r="AB960" s="14" t="s">
        <v>328</v>
      </c>
      <c r="AC960" s="14"/>
      <c r="AD960" s="14"/>
      <c r="AE960" s="14" t="s">
        <v>328</v>
      </c>
      <c r="AF960" s="14"/>
      <c r="AG960" s="14"/>
      <c r="AH960" s="14"/>
      <c r="AI960" s="14"/>
      <c r="AJ960" s="14"/>
      <c r="AK960" s="14"/>
      <c r="AL960" s="14"/>
      <c r="AM960" s="14"/>
      <c r="AN960" s="16">
        <v>15000</v>
      </c>
      <c r="AO960" s="16">
        <v>15000</v>
      </c>
      <c r="AP960" s="16">
        <v>30000</v>
      </c>
      <c r="AQ960" s="16">
        <v>90000</v>
      </c>
      <c r="AR960" s="16">
        <v>15000</v>
      </c>
      <c r="AS960" s="22">
        <v>91200</v>
      </c>
      <c r="AT960" s="22">
        <v>0</v>
      </c>
      <c r="AU960" s="22">
        <v>65000</v>
      </c>
      <c r="AV960" s="22">
        <v>20000</v>
      </c>
      <c r="AW960" s="22">
        <v>10000</v>
      </c>
      <c r="AX960" s="66">
        <v>0</v>
      </c>
      <c r="AZ960" s="14" t="s">
        <v>351</v>
      </c>
      <c r="BA960" s="249">
        <f t="shared" si="29"/>
        <v>2</v>
      </c>
      <c r="BB960" s="249">
        <v>0</v>
      </c>
      <c r="BC960" s="249">
        <f t="shared" si="28"/>
        <v>2005</v>
      </c>
    </row>
    <row r="961" spans="1:55" x14ac:dyDescent="0.25">
      <c r="A961" s="52" t="s">
        <v>1857</v>
      </c>
      <c r="B961" s="65" t="s">
        <v>1814</v>
      </c>
      <c r="C961" s="15" t="s">
        <v>337</v>
      </c>
      <c r="D961" s="15">
        <v>2013</v>
      </c>
      <c r="E961" s="14" t="s">
        <v>338</v>
      </c>
      <c r="F961" s="15"/>
      <c r="G961" s="15"/>
      <c r="H961" s="15"/>
      <c r="I961" s="15"/>
      <c r="J961" s="16">
        <v>45300</v>
      </c>
      <c r="K961" s="15" t="s">
        <v>328</v>
      </c>
      <c r="L961" s="15"/>
      <c r="M961" s="15"/>
      <c r="N961" s="16">
        <v>3300</v>
      </c>
      <c r="O961" s="21">
        <v>0.2</v>
      </c>
      <c r="P961" s="15">
        <v>3</v>
      </c>
      <c r="Q961" s="15">
        <v>550</v>
      </c>
      <c r="R961" s="13">
        <v>4125</v>
      </c>
      <c r="S961" s="14" t="s">
        <v>340</v>
      </c>
      <c r="T961" s="15">
        <v>2.5</v>
      </c>
      <c r="U961" s="15">
        <v>3</v>
      </c>
      <c r="V961" s="25">
        <v>888.68940754039488</v>
      </c>
      <c r="W961" s="22">
        <v>9900</v>
      </c>
      <c r="X961" s="15"/>
      <c r="Y961" s="15" t="s">
        <v>328</v>
      </c>
      <c r="Z961" s="15"/>
      <c r="AA961" s="15"/>
      <c r="AB961" s="15"/>
      <c r="AC961" s="15"/>
      <c r="AD961" s="15" t="s">
        <v>328</v>
      </c>
      <c r="AE961" s="15" t="s">
        <v>328</v>
      </c>
      <c r="AF961" s="15" t="s">
        <v>328</v>
      </c>
      <c r="AG961" s="15" t="s">
        <v>328</v>
      </c>
      <c r="AH961" s="15" t="s">
        <v>328</v>
      </c>
      <c r="AI961" s="15" t="s">
        <v>328</v>
      </c>
      <c r="AJ961" s="15"/>
      <c r="AK961" s="15" t="s">
        <v>328</v>
      </c>
      <c r="AL961" s="15" t="s">
        <v>328</v>
      </c>
      <c r="AM961" s="15"/>
      <c r="AN961" s="16">
        <v>20000</v>
      </c>
      <c r="AO961" s="16">
        <v>20000</v>
      </c>
      <c r="AP961" s="16">
        <v>42000</v>
      </c>
      <c r="AQ961" s="16">
        <v>10000</v>
      </c>
      <c r="AR961" s="16">
        <v>20000</v>
      </c>
      <c r="AS961" s="22">
        <v>180000</v>
      </c>
      <c r="AT961" s="22">
        <v>84000</v>
      </c>
      <c r="AU961" s="22">
        <v>80000</v>
      </c>
      <c r="AV961" s="22">
        <v>10000</v>
      </c>
      <c r="AW961" s="22">
        <v>10000</v>
      </c>
      <c r="AX961" s="66">
        <v>0</v>
      </c>
      <c r="AZ961" s="15" t="s">
        <v>561</v>
      </c>
      <c r="BA961" s="249">
        <f t="shared" si="29"/>
        <v>1</v>
      </c>
      <c r="BB961" s="249">
        <v>0</v>
      </c>
      <c r="BC961" s="249">
        <f t="shared" si="28"/>
        <v>2013</v>
      </c>
    </row>
    <row r="962" spans="1:55" x14ac:dyDescent="0.25">
      <c r="A962" s="52" t="s">
        <v>1857</v>
      </c>
      <c r="B962" s="65" t="s">
        <v>1815</v>
      </c>
      <c r="C962" s="15" t="s">
        <v>337</v>
      </c>
      <c r="D962" s="15">
        <v>2009</v>
      </c>
      <c r="E962" s="15" t="s">
        <v>475</v>
      </c>
      <c r="F962" s="15"/>
      <c r="G962" s="15"/>
      <c r="H962" s="15"/>
      <c r="I962" s="15"/>
      <c r="J962" s="13">
        <v>384000</v>
      </c>
      <c r="K962" s="15" t="s">
        <v>328</v>
      </c>
      <c r="L962" s="15"/>
      <c r="M962" s="15"/>
      <c r="N962" s="16">
        <v>8000</v>
      </c>
      <c r="O962" s="21">
        <v>0.5</v>
      </c>
      <c r="P962" s="15">
        <v>2</v>
      </c>
      <c r="Q962" s="15">
        <v>950</v>
      </c>
      <c r="R962" s="16">
        <v>4370</v>
      </c>
      <c r="S962" s="15" t="s">
        <v>340</v>
      </c>
      <c r="T962" s="15">
        <v>2.2999999999999998</v>
      </c>
      <c r="U962" s="15">
        <v>2.5</v>
      </c>
      <c r="V962" s="25">
        <v>3400</v>
      </c>
      <c r="W962" s="22">
        <v>47000</v>
      </c>
      <c r="X962" s="15"/>
      <c r="Y962" s="15"/>
      <c r="Z962" s="15"/>
      <c r="AA962" s="15"/>
      <c r="AB962" s="15" t="s">
        <v>328</v>
      </c>
      <c r="AC962" s="15"/>
      <c r="AD962" s="15" t="s">
        <v>328</v>
      </c>
      <c r="AE962" s="15"/>
      <c r="AF962" s="15"/>
      <c r="AG962" s="15" t="s">
        <v>328</v>
      </c>
      <c r="AH962" s="15"/>
      <c r="AI962" s="15"/>
      <c r="AJ962" s="15"/>
      <c r="AK962" s="15"/>
      <c r="AL962" s="15" t="s">
        <v>328</v>
      </c>
      <c r="AM962" s="15"/>
      <c r="AN962" s="16">
        <v>24000</v>
      </c>
      <c r="AO962" s="16">
        <v>24000</v>
      </c>
      <c r="AP962" s="16">
        <v>80000</v>
      </c>
      <c r="AQ962" s="16">
        <v>110000</v>
      </c>
      <c r="AR962" s="16">
        <v>24000</v>
      </c>
      <c r="AS962" s="22">
        <v>144000</v>
      </c>
      <c r="AT962" s="22">
        <v>0</v>
      </c>
      <c r="AU962" s="22">
        <v>90000</v>
      </c>
      <c r="AV962" s="22">
        <v>40000</v>
      </c>
      <c r="AW962" s="22">
        <v>25800</v>
      </c>
      <c r="AX962" s="66">
        <v>0</v>
      </c>
      <c r="AZ962" s="15"/>
      <c r="BA962" s="249">
        <f t="shared" si="29"/>
        <v>1</v>
      </c>
      <c r="BB962" s="249">
        <v>0</v>
      </c>
      <c r="BC962" s="249">
        <f t="shared" si="28"/>
        <v>2009</v>
      </c>
    </row>
    <row r="963" spans="1:55" x14ac:dyDescent="0.25">
      <c r="A963" s="52" t="s">
        <v>1857</v>
      </c>
      <c r="B963" s="65" t="s">
        <v>1816</v>
      </c>
      <c r="C963" s="14" t="s">
        <v>348</v>
      </c>
      <c r="D963" s="14">
        <v>1985</v>
      </c>
      <c r="E963" s="14"/>
      <c r="F963" s="14">
        <v>2005</v>
      </c>
      <c r="G963" s="15" t="s">
        <v>338</v>
      </c>
      <c r="H963" s="14"/>
      <c r="I963" s="14"/>
      <c r="J963" s="13">
        <v>1680000</v>
      </c>
      <c r="K963" s="14"/>
      <c r="L963" s="14"/>
      <c r="M963" s="14" t="s">
        <v>328</v>
      </c>
      <c r="N963" s="13">
        <v>5000</v>
      </c>
      <c r="O963" s="24">
        <v>0.3</v>
      </c>
      <c r="P963" s="14">
        <v>2</v>
      </c>
      <c r="Q963" s="14">
        <v>380</v>
      </c>
      <c r="R963" s="16">
        <v>1444</v>
      </c>
      <c r="S963" s="14" t="s">
        <v>340</v>
      </c>
      <c r="T963" s="14">
        <v>1.9</v>
      </c>
      <c r="U963" s="14">
        <v>2.2999999999999998</v>
      </c>
      <c r="V963" s="25">
        <v>2100</v>
      </c>
      <c r="W963" s="22">
        <v>29500</v>
      </c>
      <c r="X963" s="14"/>
      <c r="Y963" s="14"/>
      <c r="Z963" s="14"/>
      <c r="AA963" s="14"/>
      <c r="AB963" s="14" t="s">
        <v>328</v>
      </c>
      <c r="AC963" s="14"/>
      <c r="AD963" s="14" t="s">
        <v>328</v>
      </c>
      <c r="AE963" s="14" t="s">
        <v>328</v>
      </c>
      <c r="AF963" s="14"/>
      <c r="AG963" s="14"/>
      <c r="AH963" s="14" t="s">
        <v>328</v>
      </c>
      <c r="AI963" s="14"/>
      <c r="AJ963" s="14"/>
      <c r="AK963" s="14"/>
      <c r="AL963" s="14" t="s">
        <v>328</v>
      </c>
      <c r="AM963" s="14"/>
      <c r="AN963" s="13">
        <v>12000</v>
      </c>
      <c r="AO963" s="13">
        <v>15000</v>
      </c>
      <c r="AP963" s="13">
        <v>70000</v>
      </c>
      <c r="AQ963" s="13">
        <v>100000</v>
      </c>
      <c r="AR963" s="13">
        <v>15000</v>
      </c>
      <c r="AS963" s="26">
        <v>104000</v>
      </c>
      <c r="AT963" s="26">
        <v>0</v>
      </c>
      <c r="AU963" s="26">
        <v>60000</v>
      </c>
      <c r="AV963" s="26">
        <v>25000</v>
      </c>
      <c r="AW963" s="26">
        <v>12000</v>
      </c>
      <c r="AX963" s="62">
        <v>0</v>
      </c>
      <c r="AZ963" s="14" t="s">
        <v>348</v>
      </c>
      <c r="BA963" s="249">
        <f t="shared" si="29"/>
        <v>2</v>
      </c>
      <c r="BB963" s="249">
        <v>0</v>
      </c>
      <c r="BC963" s="249">
        <f t="shared" si="28"/>
        <v>2005</v>
      </c>
    </row>
    <row r="964" spans="1:55" x14ac:dyDescent="0.25">
      <c r="A964" s="52" t="s">
        <v>1857</v>
      </c>
      <c r="B964" s="65" t="s">
        <v>1816</v>
      </c>
      <c r="C964" s="14" t="s">
        <v>348</v>
      </c>
      <c r="D964" s="14">
        <v>1992</v>
      </c>
      <c r="E964" s="14" t="s">
        <v>338</v>
      </c>
      <c r="F964" s="14"/>
      <c r="G964" s="14"/>
      <c r="H964" s="14"/>
      <c r="I964" s="14"/>
      <c r="J964" s="13">
        <v>1260000</v>
      </c>
      <c r="K964" s="14"/>
      <c r="L964" s="14" t="s">
        <v>328</v>
      </c>
      <c r="M964" s="14"/>
      <c r="N964" s="13">
        <v>5000</v>
      </c>
      <c r="O964" s="24">
        <v>0.3</v>
      </c>
      <c r="P964" s="14">
        <v>2</v>
      </c>
      <c r="Q964" s="14">
        <v>380</v>
      </c>
      <c r="R964" s="16">
        <v>1444</v>
      </c>
      <c r="S964" s="14" t="s">
        <v>340</v>
      </c>
      <c r="T964" s="14">
        <v>1.9</v>
      </c>
      <c r="U964" s="14">
        <v>2.2999999999999998</v>
      </c>
      <c r="V964" s="25">
        <v>2100</v>
      </c>
      <c r="W964" s="22">
        <v>29500</v>
      </c>
      <c r="X964" s="14"/>
      <c r="Y964" s="14"/>
      <c r="Z964" s="14"/>
      <c r="AA964" s="14"/>
      <c r="AB964" s="14" t="s">
        <v>328</v>
      </c>
      <c r="AC964" s="14"/>
      <c r="AD964" s="14" t="s">
        <v>328</v>
      </c>
      <c r="AE964" s="14" t="s">
        <v>328</v>
      </c>
      <c r="AF964" s="14"/>
      <c r="AG964" s="14"/>
      <c r="AH964" s="14" t="s">
        <v>328</v>
      </c>
      <c r="AI964" s="14"/>
      <c r="AJ964" s="14"/>
      <c r="AK964" s="14"/>
      <c r="AL964" s="14" t="s">
        <v>328</v>
      </c>
      <c r="AM964" s="14"/>
      <c r="AN964" s="13">
        <v>12000</v>
      </c>
      <c r="AO964" s="13">
        <v>15000</v>
      </c>
      <c r="AP964" s="13">
        <v>70000</v>
      </c>
      <c r="AQ964" s="13">
        <v>100000</v>
      </c>
      <c r="AR964" s="13">
        <v>15000</v>
      </c>
      <c r="AS964" s="26">
        <v>104000</v>
      </c>
      <c r="AT964" s="26">
        <v>0</v>
      </c>
      <c r="AU964" s="26">
        <v>60000</v>
      </c>
      <c r="AV964" s="26">
        <v>25000</v>
      </c>
      <c r="AW964" s="26">
        <v>12000</v>
      </c>
      <c r="AX964" s="62">
        <v>0</v>
      </c>
      <c r="AZ964" s="14" t="s">
        <v>348</v>
      </c>
      <c r="BA964" s="249">
        <f t="shared" si="29"/>
        <v>2</v>
      </c>
      <c r="BB964" s="249">
        <v>0</v>
      </c>
      <c r="BC964" s="249">
        <f t="shared" si="28"/>
        <v>1992</v>
      </c>
    </row>
    <row r="965" spans="1:55" x14ac:dyDescent="0.25">
      <c r="A965" s="52" t="s">
        <v>1857</v>
      </c>
      <c r="B965" s="65" t="s">
        <v>1817</v>
      </c>
      <c r="C965" s="14" t="s">
        <v>337</v>
      </c>
      <c r="D965" s="14">
        <v>1984</v>
      </c>
      <c r="E965" s="14"/>
      <c r="F965" s="14"/>
      <c r="G965" s="14"/>
      <c r="H965" s="14">
        <v>2005</v>
      </c>
      <c r="I965" s="14" t="s">
        <v>374</v>
      </c>
      <c r="J965" s="13">
        <v>2088000</v>
      </c>
      <c r="K965" s="14"/>
      <c r="L965" s="14" t="s">
        <v>328</v>
      </c>
      <c r="M965" s="14"/>
      <c r="N965" s="13">
        <v>6000</v>
      </c>
      <c r="O965" s="24">
        <v>0.5</v>
      </c>
      <c r="P965" s="14">
        <v>2</v>
      </c>
      <c r="Q965" s="15">
        <v>550</v>
      </c>
      <c r="R965" s="13">
        <v>2090</v>
      </c>
      <c r="S965" s="14" t="s">
        <v>340</v>
      </c>
      <c r="T965" s="14">
        <v>1.9</v>
      </c>
      <c r="U965" s="14">
        <v>2.2000000000000002</v>
      </c>
      <c r="V965" s="25">
        <v>2750</v>
      </c>
      <c r="W965" s="22">
        <v>38500</v>
      </c>
      <c r="X965" s="14"/>
      <c r="Y965" s="14" t="s">
        <v>328</v>
      </c>
      <c r="Z965" s="14"/>
      <c r="AA965" s="14"/>
      <c r="AB965" s="14"/>
      <c r="AC965" s="14"/>
      <c r="AD965" s="14"/>
      <c r="AE965" s="14" t="s">
        <v>328</v>
      </c>
      <c r="AF965" s="14"/>
      <c r="AG965" s="14" t="s">
        <v>328</v>
      </c>
      <c r="AH965" s="14" t="s">
        <v>328</v>
      </c>
      <c r="AI965" s="14"/>
      <c r="AJ965" s="14"/>
      <c r="AK965" s="14"/>
      <c r="AL965" s="14"/>
      <c r="AM965" s="14"/>
      <c r="AN965" s="13">
        <v>24000</v>
      </c>
      <c r="AO965" s="13">
        <v>50000</v>
      </c>
      <c r="AP965" s="13">
        <v>50000</v>
      </c>
      <c r="AQ965" s="13">
        <v>90000</v>
      </c>
      <c r="AR965" s="13">
        <v>24000</v>
      </c>
      <c r="AS965" s="26">
        <v>98800</v>
      </c>
      <c r="AT965" s="26">
        <v>0</v>
      </c>
      <c r="AU965" s="26">
        <v>80000</v>
      </c>
      <c r="AV965" s="26">
        <v>40000</v>
      </c>
      <c r="AW965" s="26">
        <v>9500</v>
      </c>
      <c r="AX965" s="62">
        <v>0</v>
      </c>
      <c r="AZ965" s="14" t="s">
        <v>337</v>
      </c>
      <c r="BA965" s="249">
        <f t="shared" si="29"/>
        <v>6</v>
      </c>
      <c r="BB965" s="249">
        <v>0</v>
      </c>
      <c r="BC965" s="249">
        <f t="shared" si="28"/>
        <v>2005</v>
      </c>
    </row>
    <row r="966" spans="1:55" x14ac:dyDescent="0.25">
      <c r="A966" s="52" t="s">
        <v>1857</v>
      </c>
      <c r="B966" s="65" t="s">
        <v>1817</v>
      </c>
      <c r="C966" s="14" t="s">
        <v>337</v>
      </c>
      <c r="D966" s="14">
        <v>1984</v>
      </c>
      <c r="E966" s="14"/>
      <c r="F966" s="14"/>
      <c r="G966" s="14"/>
      <c r="H966" s="14">
        <v>2005</v>
      </c>
      <c r="I966" s="14" t="s">
        <v>374</v>
      </c>
      <c r="J966" s="13">
        <v>2088000</v>
      </c>
      <c r="K966" s="14"/>
      <c r="L966" s="14" t="s">
        <v>328</v>
      </c>
      <c r="M966" s="14"/>
      <c r="N966" s="13">
        <v>6000</v>
      </c>
      <c r="O966" s="24">
        <v>0.5</v>
      </c>
      <c r="P966" s="14">
        <v>2</v>
      </c>
      <c r="Q966" s="15">
        <v>550</v>
      </c>
      <c r="R966" s="13">
        <v>2090</v>
      </c>
      <c r="S966" s="14" t="s">
        <v>340</v>
      </c>
      <c r="T966" s="14">
        <v>1.9</v>
      </c>
      <c r="U966" s="14">
        <v>2.2000000000000002</v>
      </c>
      <c r="V966" s="25">
        <v>2750</v>
      </c>
      <c r="W966" s="22">
        <v>38500</v>
      </c>
      <c r="X966" s="14"/>
      <c r="Y966" s="14" t="s">
        <v>328</v>
      </c>
      <c r="Z966" s="14"/>
      <c r="AA966" s="14"/>
      <c r="AB966" s="14"/>
      <c r="AC966" s="14"/>
      <c r="AD966" s="14"/>
      <c r="AE966" s="14" t="s">
        <v>328</v>
      </c>
      <c r="AF966" s="14"/>
      <c r="AG966" s="14" t="s">
        <v>328</v>
      </c>
      <c r="AH966" s="14" t="s">
        <v>328</v>
      </c>
      <c r="AI966" s="14"/>
      <c r="AJ966" s="14"/>
      <c r="AK966" s="14"/>
      <c r="AL966" s="14"/>
      <c r="AM966" s="14"/>
      <c r="AN966" s="13">
        <v>24000</v>
      </c>
      <c r="AO966" s="13">
        <v>50000</v>
      </c>
      <c r="AP966" s="13">
        <v>50000</v>
      </c>
      <c r="AQ966" s="13">
        <v>90000</v>
      </c>
      <c r="AR966" s="13">
        <v>24000</v>
      </c>
      <c r="AS966" s="26">
        <v>98800</v>
      </c>
      <c r="AT966" s="26">
        <v>0</v>
      </c>
      <c r="AU966" s="26">
        <v>80000</v>
      </c>
      <c r="AV966" s="26">
        <v>40000</v>
      </c>
      <c r="AW966" s="26">
        <v>9500</v>
      </c>
      <c r="AX966" s="62">
        <v>0</v>
      </c>
      <c r="AZ966" s="14" t="s">
        <v>337</v>
      </c>
      <c r="BA966" s="249">
        <f t="shared" si="29"/>
        <v>6</v>
      </c>
      <c r="BB966" s="249">
        <v>0</v>
      </c>
      <c r="BC966" s="249">
        <f t="shared" si="28"/>
        <v>2005</v>
      </c>
    </row>
    <row r="967" spans="1:55" x14ac:dyDescent="0.25">
      <c r="A967" s="52" t="s">
        <v>1857</v>
      </c>
      <c r="B967" s="65" t="s">
        <v>1817</v>
      </c>
      <c r="C967" s="14" t="s">
        <v>337</v>
      </c>
      <c r="D967" s="14">
        <v>1987</v>
      </c>
      <c r="E967" s="14"/>
      <c r="F967" s="14"/>
      <c r="G967" s="14"/>
      <c r="H967" s="14">
        <v>2005</v>
      </c>
      <c r="I967" s="14" t="s">
        <v>349</v>
      </c>
      <c r="J967" s="13">
        <v>1872000</v>
      </c>
      <c r="K967" s="14"/>
      <c r="L967" s="14" t="s">
        <v>328</v>
      </c>
      <c r="M967" s="14"/>
      <c r="N967" s="13">
        <v>6000</v>
      </c>
      <c r="O967" s="24">
        <v>0.5</v>
      </c>
      <c r="P967" s="14">
        <v>2</v>
      </c>
      <c r="Q967" s="15">
        <v>550</v>
      </c>
      <c r="R967" s="13">
        <v>2090</v>
      </c>
      <c r="S967" s="14" t="s">
        <v>340</v>
      </c>
      <c r="T967" s="14">
        <v>1.9</v>
      </c>
      <c r="U967" s="14">
        <v>2.2000000000000002</v>
      </c>
      <c r="V967" s="25">
        <v>2750</v>
      </c>
      <c r="W967" s="22">
        <v>38500</v>
      </c>
      <c r="X967" s="14"/>
      <c r="Y967" s="14" t="s">
        <v>328</v>
      </c>
      <c r="Z967" s="14"/>
      <c r="AA967" s="14"/>
      <c r="AB967" s="14"/>
      <c r="AC967" s="14"/>
      <c r="AD967" s="14"/>
      <c r="AE967" s="14" t="s">
        <v>328</v>
      </c>
      <c r="AF967" s="14"/>
      <c r="AG967" s="14" t="s">
        <v>328</v>
      </c>
      <c r="AH967" s="14" t="s">
        <v>328</v>
      </c>
      <c r="AI967" s="14"/>
      <c r="AJ967" s="14"/>
      <c r="AK967" s="14"/>
      <c r="AL967" s="14"/>
      <c r="AM967" s="14"/>
      <c r="AN967" s="13">
        <v>24000</v>
      </c>
      <c r="AO967" s="13">
        <v>50000</v>
      </c>
      <c r="AP967" s="13">
        <v>50000</v>
      </c>
      <c r="AQ967" s="13">
        <v>90000</v>
      </c>
      <c r="AR967" s="13">
        <v>24000</v>
      </c>
      <c r="AS967" s="26">
        <v>98800</v>
      </c>
      <c r="AT967" s="26">
        <v>0</v>
      </c>
      <c r="AU967" s="26">
        <v>80000</v>
      </c>
      <c r="AV967" s="26">
        <v>40000</v>
      </c>
      <c r="AW967" s="26">
        <v>9500</v>
      </c>
      <c r="AX967" s="62">
        <v>0</v>
      </c>
      <c r="AZ967" s="14" t="s">
        <v>337</v>
      </c>
      <c r="BA967" s="249">
        <f t="shared" si="29"/>
        <v>6</v>
      </c>
      <c r="BB967" s="249">
        <v>0</v>
      </c>
      <c r="BC967" s="249">
        <f t="shared" si="28"/>
        <v>2005</v>
      </c>
    </row>
    <row r="968" spans="1:55" x14ac:dyDescent="0.25">
      <c r="A968" s="52" t="s">
        <v>1857</v>
      </c>
      <c r="B968" s="65" t="s">
        <v>1817</v>
      </c>
      <c r="C968" s="14" t="s">
        <v>337</v>
      </c>
      <c r="D968" s="14">
        <v>1987</v>
      </c>
      <c r="E968" s="14"/>
      <c r="F968" s="14"/>
      <c r="G968" s="14"/>
      <c r="H968" s="14">
        <v>2005</v>
      </c>
      <c r="I968" s="14" t="s">
        <v>349</v>
      </c>
      <c r="J968" s="13">
        <v>1872000</v>
      </c>
      <c r="K968" s="14"/>
      <c r="L968" s="14" t="s">
        <v>328</v>
      </c>
      <c r="M968" s="14"/>
      <c r="N968" s="13">
        <v>6000</v>
      </c>
      <c r="O968" s="24">
        <v>0.5</v>
      </c>
      <c r="P968" s="14">
        <v>2</v>
      </c>
      <c r="Q968" s="15">
        <v>550</v>
      </c>
      <c r="R968" s="13">
        <v>2090</v>
      </c>
      <c r="S968" s="14" t="s">
        <v>340</v>
      </c>
      <c r="T968" s="14">
        <v>1.9</v>
      </c>
      <c r="U968" s="14">
        <v>2.2000000000000002</v>
      </c>
      <c r="V968" s="25">
        <v>2750</v>
      </c>
      <c r="W968" s="22">
        <v>38500</v>
      </c>
      <c r="X968" s="14"/>
      <c r="Y968" s="14" t="s">
        <v>328</v>
      </c>
      <c r="Z968" s="14"/>
      <c r="AA968" s="14"/>
      <c r="AB968" s="14"/>
      <c r="AC968" s="14"/>
      <c r="AD968" s="14"/>
      <c r="AE968" s="14" t="s">
        <v>328</v>
      </c>
      <c r="AF968" s="14"/>
      <c r="AG968" s="14" t="s">
        <v>328</v>
      </c>
      <c r="AH968" s="14" t="s">
        <v>328</v>
      </c>
      <c r="AI968" s="14"/>
      <c r="AJ968" s="14"/>
      <c r="AK968" s="14"/>
      <c r="AL968" s="14"/>
      <c r="AM968" s="14"/>
      <c r="AN968" s="13">
        <v>24000</v>
      </c>
      <c r="AO968" s="13">
        <v>50000</v>
      </c>
      <c r="AP968" s="13">
        <v>50000</v>
      </c>
      <c r="AQ968" s="13">
        <v>90000</v>
      </c>
      <c r="AR968" s="13">
        <v>24000</v>
      </c>
      <c r="AS968" s="26">
        <v>98800</v>
      </c>
      <c r="AT968" s="26">
        <v>0</v>
      </c>
      <c r="AU968" s="26">
        <v>80000</v>
      </c>
      <c r="AV968" s="26">
        <v>40000</v>
      </c>
      <c r="AW968" s="26">
        <v>9500</v>
      </c>
      <c r="AX968" s="62">
        <v>0</v>
      </c>
      <c r="AZ968" s="14" t="s">
        <v>337</v>
      </c>
      <c r="BA968" s="249">
        <f t="shared" si="29"/>
        <v>6</v>
      </c>
      <c r="BB968" s="249">
        <v>0</v>
      </c>
      <c r="BC968" s="249">
        <f t="shared" ref="BC968:BC987" si="30">IF(H968&gt;D968,(IF(H968&gt;F968,H968,(IF(F968&gt;D968,F968,D968)))),(IF(F968&gt;D968,F968,D968)))</f>
        <v>2005</v>
      </c>
    </row>
    <row r="969" spans="1:55" x14ac:dyDescent="0.25">
      <c r="A969" s="52" t="s">
        <v>1857</v>
      </c>
      <c r="B969" s="65" t="s">
        <v>1817</v>
      </c>
      <c r="C969" s="14" t="s">
        <v>337</v>
      </c>
      <c r="D969" s="14">
        <v>1988</v>
      </c>
      <c r="E969" s="14"/>
      <c r="F969" s="14"/>
      <c r="G969" s="14"/>
      <c r="H969" s="14">
        <v>2005</v>
      </c>
      <c r="I969" s="14" t="s">
        <v>349</v>
      </c>
      <c r="J969" s="13">
        <v>1800000</v>
      </c>
      <c r="K969" s="14"/>
      <c r="L969" s="14" t="s">
        <v>328</v>
      </c>
      <c r="M969" s="14"/>
      <c r="N969" s="13">
        <v>6000</v>
      </c>
      <c r="O969" s="24">
        <v>0.5</v>
      </c>
      <c r="P969" s="14">
        <v>2</v>
      </c>
      <c r="Q969" s="15">
        <v>550</v>
      </c>
      <c r="R969" s="13">
        <v>2090</v>
      </c>
      <c r="S969" s="14" t="s">
        <v>340</v>
      </c>
      <c r="T969" s="14">
        <v>1.9</v>
      </c>
      <c r="U969" s="14">
        <v>2.2000000000000002</v>
      </c>
      <c r="V969" s="25">
        <v>2750</v>
      </c>
      <c r="W969" s="22">
        <v>38500</v>
      </c>
      <c r="X969" s="14"/>
      <c r="Y969" s="14" t="s">
        <v>328</v>
      </c>
      <c r="Z969" s="14"/>
      <c r="AA969" s="14"/>
      <c r="AB969" s="14"/>
      <c r="AC969" s="14"/>
      <c r="AD969" s="14"/>
      <c r="AE969" s="14" t="s">
        <v>328</v>
      </c>
      <c r="AF969" s="14"/>
      <c r="AG969" s="14" t="s">
        <v>328</v>
      </c>
      <c r="AH969" s="14" t="s">
        <v>328</v>
      </c>
      <c r="AI969" s="14"/>
      <c r="AJ969" s="14"/>
      <c r="AK969" s="14"/>
      <c r="AL969" s="14"/>
      <c r="AM969" s="14"/>
      <c r="AN969" s="13">
        <v>24000</v>
      </c>
      <c r="AO969" s="13">
        <v>50000</v>
      </c>
      <c r="AP969" s="13">
        <v>50000</v>
      </c>
      <c r="AQ969" s="13">
        <v>90000</v>
      </c>
      <c r="AR969" s="13">
        <v>24000</v>
      </c>
      <c r="AS969" s="26">
        <v>98800</v>
      </c>
      <c r="AT969" s="26">
        <v>0</v>
      </c>
      <c r="AU969" s="26">
        <v>80000</v>
      </c>
      <c r="AV969" s="26">
        <v>40000</v>
      </c>
      <c r="AW969" s="26">
        <v>9500</v>
      </c>
      <c r="AX969" s="62">
        <v>0</v>
      </c>
      <c r="AZ969" s="14" t="s">
        <v>337</v>
      </c>
      <c r="BA969" s="249">
        <f t="shared" ref="BA969:BA987" si="31">COUNTIF($B$8:$B$987,B969)</f>
        <v>6</v>
      </c>
      <c r="BB969" s="249">
        <v>0</v>
      </c>
      <c r="BC969" s="249">
        <f t="shared" si="30"/>
        <v>2005</v>
      </c>
    </row>
    <row r="970" spans="1:55" x14ac:dyDescent="0.25">
      <c r="A970" s="52" t="s">
        <v>1857</v>
      </c>
      <c r="B970" s="65" t="s">
        <v>1817</v>
      </c>
      <c r="C970" s="14" t="s">
        <v>337</v>
      </c>
      <c r="D970" s="14">
        <v>2000</v>
      </c>
      <c r="E970" s="14" t="s">
        <v>477</v>
      </c>
      <c r="F970" s="14"/>
      <c r="G970" s="14"/>
      <c r="H970" s="14"/>
      <c r="I970" s="14"/>
      <c r="J970" s="13">
        <v>936000</v>
      </c>
      <c r="K970" s="14"/>
      <c r="L970" s="14" t="s">
        <v>328</v>
      </c>
      <c r="M970" s="14"/>
      <c r="N970" s="13">
        <v>6000</v>
      </c>
      <c r="O970" s="24">
        <v>0.5</v>
      </c>
      <c r="P970" s="14">
        <v>2</v>
      </c>
      <c r="Q970" s="15">
        <v>550</v>
      </c>
      <c r="R970" s="13">
        <v>2090</v>
      </c>
      <c r="S970" s="14" t="s">
        <v>340</v>
      </c>
      <c r="T970" s="14">
        <v>1.9</v>
      </c>
      <c r="U970" s="14">
        <v>2.2000000000000002</v>
      </c>
      <c r="V970" s="25">
        <v>2750</v>
      </c>
      <c r="W970" s="22">
        <v>38500</v>
      </c>
      <c r="X970" s="14"/>
      <c r="Y970" s="14"/>
      <c r="Z970" s="14"/>
      <c r="AA970" s="14"/>
      <c r="AB970" s="14" t="s">
        <v>328</v>
      </c>
      <c r="AC970" s="14"/>
      <c r="AD970" s="14" t="s">
        <v>328</v>
      </c>
      <c r="AE970" s="14" t="s">
        <v>328</v>
      </c>
      <c r="AF970" s="14"/>
      <c r="AG970" s="14" t="s">
        <v>328</v>
      </c>
      <c r="AH970" s="14" t="s">
        <v>328</v>
      </c>
      <c r="AI970" s="14" t="s">
        <v>328</v>
      </c>
      <c r="AJ970" s="14"/>
      <c r="AK970" s="14"/>
      <c r="AL970" s="14"/>
      <c r="AM970" s="14"/>
      <c r="AN970" s="13">
        <v>24000</v>
      </c>
      <c r="AO970" s="13">
        <v>50000</v>
      </c>
      <c r="AP970" s="13">
        <v>50000</v>
      </c>
      <c r="AQ970" s="13">
        <v>90000</v>
      </c>
      <c r="AR970" s="13">
        <v>24000</v>
      </c>
      <c r="AS970" s="26">
        <v>98800</v>
      </c>
      <c r="AT970" s="26">
        <v>0</v>
      </c>
      <c r="AU970" s="26">
        <v>80000</v>
      </c>
      <c r="AV970" s="26">
        <v>40000</v>
      </c>
      <c r="AW970" s="26">
        <v>9500</v>
      </c>
      <c r="AX970" s="62">
        <v>0</v>
      </c>
      <c r="AZ970" s="14" t="s">
        <v>337</v>
      </c>
      <c r="BA970" s="249">
        <f t="shared" si="31"/>
        <v>6</v>
      </c>
      <c r="BB970" s="249">
        <v>0</v>
      </c>
      <c r="BC970" s="249">
        <f t="shared" si="30"/>
        <v>2000</v>
      </c>
    </row>
    <row r="971" spans="1:55" x14ac:dyDescent="0.25">
      <c r="A971" s="52" t="s">
        <v>1857</v>
      </c>
      <c r="B971" s="65" t="s">
        <v>1818</v>
      </c>
      <c r="C971" s="15" t="s">
        <v>337</v>
      </c>
      <c r="D971" s="15">
        <v>2005</v>
      </c>
      <c r="E971" s="15" t="s">
        <v>338</v>
      </c>
      <c r="F971" s="15"/>
      <c r="G971" s="15"/>
      <c r="H971" s="15"/>
      <c r="I971" s="15"/>
      <c r="J971" s="16">
        <v>672000</v>
      </c>
      <c r="K971" s="15" t="s">
        <v>328</v>
      </c>
      <c r="L971" s="15"/>
      <c r="M971" s="15"/>
      <c r="N971" s="16">
        <v>7000</v>
      </c>
      <c r="O971" s="21">
        <v>0.5</v>
      </c>
      <c r="P971" s="15">
        <v>2</v>
      </c>
      <c r="Q971" s="15">
        <v>480</v>
      </c>
      <c r="R971" s="16">
        <v>1824</v>
      </c>
      <c r="S971" s="15" t="s">
        <v>340</v>
      </c>
      <c r="T971" s="14">
        <v>1.9</v>
      </c>
      <c r="U971" s="14">
        <v>2.2000000000000002</v>
      </c>
      <c r="V971" s="27">
        <v>3500</v>
      </c>
      <c r="W971" s="22">
        <v>49500</v>
      </c>
      <c r="X971" s="15"/>
      <c r="Y971" s="15" t="s">
        <v>328</v>
      </c>
      <c r="Z971" s="15"/>
      <c r="AA971" s="15"/>
      <c r="AB971" s="15"/>
      <c r="AC971" s="15"/>
      <c r="AD971" s="15" t="s">
        <v>328</v>
      </c>
      <c r="AE971" s="15" t="s">
        <v>328</v>
      </c>
      <c r="AF971" s="15"/>
      <c r="AG971" s="15"/>
      <c r="AH971" s="15" t="s">
        <v>328</v>
      </c>
      <c r="AI971" s="15"/>
      <c r="AJ971" s="15"/>
      <c r="AK971" s="15"/>
      <c r="AL971" s="15" t="s">
        <v>328</v>
      </c>
      <c r="AM971" s="15"/>
      <c r="AN971" s="16">
        <v>20000</v>
      </c>
      <c r="AO971" s="16">
        <v>30000</v>
      </c>
      <c r="AP971" s="16">
        <v>40000</v>
      </c>
      <c r="AQ971" s="16">
        <v>120000</v>
      </c>
      <c r="AR971" s="16">
        <v>20000</v>
      </c>
      <c r="AS971" s="22">
        <v>0</v>
      </c>
      <c r="AT971" s="22">
        <v>0</v>
      </c>
      <c r="AU971" s="22">
        <v>60000</v>
      </c>
      <c r="AV971" s="22">
        <v>18000</v>
      </c>
      <c r="AW971" s="22">
        <v>12000</v>
      </c>
      <c r="AX971" s="66">
        <v>0</v>
      </c>
      <c r="AZ971" s="15" t="s">
        <v>337</v>
      </c>
      <c r="BA971" s="249">
        <f t="shared" si="31"/>
        <v>1</v>
      </c>
      <c r="BB971" s="249">
        <v>0</v>
      </c>
      <c r="BC971" s="249">
        <f t="shared" si="30"/>
        <v>2005</v>
      </c>
    </row>
    <row r="972" spans="1:55" x14ac:dyDescent="0.25">
      <c r="A972" s="52" t="s">
        <v>1857</v>
      </c>
      <c r="B972" s="65" t="s">
        <v>1819</v>
      </c>
      <c r="C972" s="14" t="s">
        <v>337</v>
      </c>
      <c r="D972" s="14">
        <v>2013</v>
      </c>
      <c r="E972" s="14" t="s">
        <v>349</v>
      </c>
      <c r="F972" s="14"/>
      <c r="G972" s="14"/>
      <c r="H972" s="14"/>
      <c r="I972" s="14"/>
      <c r="J972" s="16">
        <v>86400</v>
      </c>
      <c r="K972" s="14" t="s">
        <v>328</v>
      </c>
      <c r="L972" s="14"/>
      <c r="M972" s="14"/>
      <c r="N972" s="13">
        <v>7000</v>
      </c>
      <c r="O972" s="21">
        <v>0.4</v>
      </c>
      <c r="P972" s="14">
        <v>2</v>
      </c>
      <c r="Q972" s="15">
        <v>650</v>
      </c>
      <c r="R972" s="13">
        <v>2989.9999999999995</v>
      </c>
      <c r="S972" s="14" t="s">
        <v>340</v>
      </c>
      <c r="T972" s="15">
        <v>2.2999999999999998</v>
      </c>
      <c r="U972" s="15">
        <v>2.5</v>
      </c>
      <c r="V972" s="25">
        <v>3000</v>
      </c>
      <c r="W972" s="22">
        <v>41500</v>
      </c>
      <c r="X972" s="14"/>
      <c r="Y972" s="14"/>
      <c r="Z972" s="14"/>
      <c r="AA972" s="14"/>
      <c r="AB972" s="14"/>
      <c r="AC972" s="14" t="s">
        <v>328</v>
      </c>
      <c r="AD972" s="14" t="s">
        <v>328</v>
      </c>
      <c r="AE972" s="14" t="s">
        <v>328</v>
      </c>
      <c r="AF972" s="14"/>
      <c r="AG972" s="14" t="s">
        <v>328</v>
      </c>
      <c r="AH972" s="14" t="s">
        <v>328</v>
      </c>
      <c r="AI972" s="14" t="s">
        <v>328</v>
      </c>
      <c r="AJ972" s="14" t="s">
        <v>328</v>
      </c>
      <c r="AK972" s="14" t="s">
        <v>328</v>
      </c>
      <c r="AL972" s="14"/>
      <c r="AM972" s="14"/>
      <c r="AN972" s="13">
        <v>15000</v>
      </c>
      <c r="AO972" s="13">
        <v>20000</v>
      </c>
      <c r="AP972" s="13">
        <v>50000</v>
      </c>
      <c r="AQ972" s="13">
        <v>90000</v>
      </c>
      <c r="AR972" s="13">
        <v>15000</v>
      </c>
      <c r="AS972" s="26">
        <v>144000</v>
      </c>
      <c r="AT972" s="26">
        <v>0</v>
      </c>
      <c r="AU972" s="26">
        <v>60000</v>
      </c>
      <c r="AV972" s="26">
        <v>15000</v>
      </c>
      <c r="AW972" s="26">
        <v>30000</v>
      </c>
      <c r="AX972" s="62">
        <v>0</v>
      </c>
      <c r="AZ972" s="14" t="s">
        <v>337</v>
      </c>
      <c r="BA972" s="249">
        <f t="shared" si="31"/>
        <v>1</v>
      </c>
      <c r="BB972" s="249">
        <v>0</v>
      </c>
      <c r="BC972" s="249">
        <f t="shared" si="30"/>
        <v>2013</v>
      </c>
    </row>
    <row r="973" spans="1:55" x14ac:dyDescent="0.25">
      <c r="A973" s="52" t="s">
        <v>1857</v>
      </c>
      <c r="B973" s="65" t="s">
        <v>1820</v>
      </c>
      <c r="C973" s="15" t="s">
        <v>337</v>
      </c>
      <c r="D973" s="15">
        <v>2001</v>
      </c>
      <c r="E973" s="15" t="s">
        <v>477</v>
      </c>
      <c r="F973" s="15"/>
      <c r="G973" s="15"/>
      <c r="H973" s="15"/>
      <c r="I973" s="15"/>
      <c r="J973" s="16">
        <v>691200</v>
      </c>
      <c r="K973" s="15" t="s">
        <v>328</v>
      </c>
      <c r="L973" s="15"/>
      <c r="M973" s="15"/>
      <c r="N973" s="16">
        <v>4800</v>
      </c>
      <c r="O973" s="21">
        <v>0.3</v>
      </c>
      <c r="P973" s="15">
        <v>2</v>
      </c>
      <c r="Q973" s="15">
        <v>950</v>
      </c>
      <c r="R973" s="13">
        <v>4560</v>
      </c>
      <c r="S973" s="15" t="s">
        <v>340</v>
      </c>
      <c r="T973" s="15">
        <v>2.4</v>
      </c>
      <c r="U973" s="15">
        <v>2.7</v>
      </c>
      <c r="V973" s="16">
        <v>1950</v>
      </c>
      <c r="W973" s="22">
        <v>27500</v>
      </c>
      <c r="X973" s="15"/>
      <c r="Y973" s="15"/>
      <c r="Z973" s="15"/>
      <c r="AA973" s="15"/>
      <c r="AB973" s="15" t="s">
        <v>328</v>
      </c>
      <c r="AC973" s="15"/>
      <c r="AD973" s="15" t="s">
        <v>328</v>
      </c>
      <c r="AE973" s="15"/>
      <c r="AF973" s="15"/>
      <c r="AG973" s="15" t="s">
        <v>328</v>
      </c>
      <c r="AH973" s="15" t="s">
        <v>328</v>
      </c>
      <c r="AI973" s="15"/>
      <c r="AJ973" s="15"/>
      <c r="AK973" s="15"/>
      <c r="AL973" s="15"/>
      <c r="AM973" s="15"/>
      <c r="AN973" s="16">
        <v>25000</v>
      </c>
      <c r="AO973" s="16">
        <v>25000</v>
      </c>
      <c r="AP973" s="16">
        <v>60000</v>
      </c>
      <c r="AQ973" s="16">
        <v>100000</v>
      </c>
      <c r="AR973" s="16">
        <v>25000</v>
      </c>
      <c r="AS973" s="22">
        <v>117600</v>
      </c>
      <c r="AT973" s="22">
        <v>0</v>
      </c>
      <c r="AU973" s="22">
        <v>75000</v>
      </c>
      <c r="AV973" s="22">
        <v>30000</v>
      </c>
      <c r="AW973" s="22">
        <v>20000</v>
      </c>
      <c r="AX973" s="66">
        <v>0</v>
      </c>
      <c r="AZ973" s="15" t="s">
        <v>562</v>
      </c>
      <c r="BA973" s="249">
        <f t="shared" si="31"/>
        <v>1</v>
      </c>
      <c r="BC973" s="249">
        <f t="shared" si="30"/>
        <v>2001</v>
      </c>
    </row>
    <row r="974" spans="1:55" x14ac:dyDescent="0.25">
      <c r="A974" s="52" t="s">
        <v>1857</v>
      </c>
      <c r="B974" s="65" t="s">
        <v>1821</v>
      </c>
      <c r="C974" s="15" t="s">
        <v>337</v>
      </c>
      <c r="D974" s="15">
        <v>2010</v>
      </c>
      <c r="E974" s="15" t="s">
        <v>456</v>
      </c>
      <c r="F974" s="15"/>
      <c r="G974" s="15"/>
      <c r="H974" s="15"/>
      <c r="I974" s="15"/>
      <c r="J974" s="16">
        <v>288000</v>
      </c>
      <c r="K974" s="15" t="s">
        <v>328</v>
      </c>
      <c r="L974" s="15"/>
      <c r="M974" s="15"/>
      <c r="N974" s="16">
        <v>8000</v>
      </c>
      <c r="O974" s="21">
        <v>0.5</v>
      </c>
      <c r="P974" s="15">
        <v>2</v>
      </c>
      <c r="Q974" s="15">
        <v>960</v>
      </c>
      <c r="R974" s="16">
        <v>4416</v>
      </c>
      <c r="S974" s="15" t="s">
        <v>340</v>
      </c>
      <c r="T974" s="15">
        <v>2.2999999999999998</v>
      </c>
      <c r="U974" s="15">
        <v>2.5</v>
      </c>
      <c r="V974" s="27">
        <v>3350</v>
      </c>
      <c r="W974" s="22">
        <v>47000</v>
      </c>
      <c r="X974" s="15"/>
      <c r="Y974" s="15"/>
      <c r="Z974" s="15"/>
      <c r="AA974" s="15"/>
      <c r="AB974" s="15" t="s">
        <v>328</v>
      </c>
      <c r="AC974" s="15"/>
      <c r="AD974" s="15" t="s">
        <v>328</v>
      </c>
      <c r="AE974" s="15"/>
      <c r="AF974" s="15"/>
      <c r="AG974" s="15" t="s">
        <v>328</v>
      </c>
      <c r="AH974" s="15" t="s">
        <v>328</v>
      </c>
      <c r="AI974" s="15"/>
      <c r="AJ974" s="15"/>
      <c r="AK974" s="15"/>
      <c r="AL974" s="15" t="s">
        <v>328</v>
      </c>
      <c r="AM974" s="15"/>
      <c r="AN974" s="16">
        <v>18000</v>
      </c>
      <c r="AO974" s="16">
        <v>20000</v>
      </c>
      <c r="AP974" s="16">
        <v>50000</v>
      </c>
      <c r="AQ974" s="16">
        <v>110000</v>
      </c>
      <c r="AR974" s="16">
        <v>20000</v>
      </c>
      <c r="AS974" s="22">
        <v>102000</v>
      </c>
      <c r="AT974" s="22">
        <v>0</v>
      </c>
      <c r="AU974" s="22">
        <v>85000</v>
      </c>
      <c r="AV974" s="22">
        <v>18000</v>
      </c>
      <c r="AW974" s="22">
        <v>16000</v>
      </c>
      <c r="AX974" s="66">
        <v>0</v>
      </c>
      <c r="AZ974" s="15"/>
      <c r="BA974" s="249">
        <f t="shared" si="31"/>
        <v>2</v>
      </c>
      <c r="BB974" s="249">
        <v>0</v>
      </c>
      <c r="BC974" s="249">
        <f t="shared" si="30"/>
        <v>2010</v>
      </c>
    </row>
    <row r="975" spans="1:55" x14ac:dyDescent="0.25">
      <c r="A975" s="52" t="s">
        <v>1857</v>
      </c>
      <c r="B975" s="65" t="s">
        <v>1821</v>
      </c>
      <c r="C975" s="15" t="s">
        <v>337</v>
      </c>
      <c r="D975" s="15">
        <v>2010</v>
      </c>
      <c r="E975" s="15" t="s">
        <v>456</v>
      </c>
      <c r="F975" s="15"/>
      <c r="G975" s="15"/>
      <c r="H975" s="15"/>
      <c r="I975" s="15"/>
      <c r="J975" s="16">
        <v>288000</v>
      </c>
      <c r="K975" s="15" t="s">
        <v>328</v>
      </c>
      <c r="L975" s="15"/>
      <c r="M975" s="15"/>
      <c r="N975" s="16">
        <v>8000</v>
      </c>
      <c r="O975" s="21">
        <v>0.5</v>
      </c>
      <c r="P975" s="15">
        <v>2</v>
      </c>
      <c r="Q975" s="15">
        <v>960</v>
      </c>
      <c r="R975" s="16">
        <v>4416</v>
      </c>
      <c r="S975" s="15" t="s">
        <v>340</v>
      </c>
      <c r="T975" s="15">
        <v>2.2999999999999998</v>
      </c>
      <c r="U975" s="15">
        <v>2.5</v>
      </c>
      <c r="V975" s="27">
        <v>3350</v>
      </c>
      <c r="W975" s="22">
        <v>47000</v>
      </c>
      <c r="X975" s="15"/>
      <c r="Y975" s="15"/>
      <c r="Z975" s="15"/>
      <c r="AA975" s="15"/>
      <c r="AB975" s="15" t="s">
        <v>328</v>
      </c>
      <c r="AC975" s="15"/>
      <c r="AD975" s="15" t="s">
        <v>328</v>
      </c>
      <c r="AE975" s="15"/>
      <c r="AF975" s="15"/>
      <c r="AG975" s="15" t="s">
        <v>328</v>
      </c>
      <c r="AH975" s="15" t="s">
        <v>328</v>
      </c>
      <c r="AI975" s="15"/>
      <c r="AJ975" s="15"/>
      <c r="AK975" s="15"/>
      <c r="AL975" s="15" t="s">
        <v>328</v>
      </c>
      <c r="AM975" s="15"/>
      <c r="AN975" s="16">
        <v>18000</v>
      </c>
      <c r="AO975" s="16">
        <v>20000</v>
      </c>
      <c r="AP975" s="16">
        <v>50000</v>
      </c>
      <c r="AQ975" s="16">
        <v>110000</v>
      </c>
      <c r="AR975" s="16">
        <v>20000</v>
      </c>
      <c r="AS975" s="22">
        <v>102000</v>
      </c>
      <c r="AT975" s="22">
        <v>0</v>
      </c>
      <c r="AU975" s="22">
        <v>85000</v>
      </c>
      <c r="AV975" s="22">
        <v>18000</v>
      </c>
      <c r="AW975" s="22">
        <v>16000</v>
      </c>
      <c r="AX975" s="66">
        <v>0</v>
      </c>
      <c r="AZ975" s="15"/>
      <c r="BA975" s="249">
        <f t="shared" si="31"/>
        <v>2</v>
      </c>
      <c r="BB975" s="249">
        <v>0</v>
      </c>
      <c r="BC975" s="249">
        <f t="shared" si="30"/>
        <v>2010</v>
      </c>
    </row>
    <row r="976" spans="1:55" x14ac:dyDescent="0.25">
      <c r="A976" s="52" t="s">
        <v>1857</v>
      </c>
      <c r="B976" s="65" t="s">
        <v>1822</v>
      </c>
      <c r="C976" s="14" t="s">
        <v>351</v>
      </c>
      <c r="D976" s="15">
        <v>1978</v>
      </c>
      <c r="E976" s="15"/>
      <c r="F976" s="15">
        <v>1998</v>
      </c>
      <c r="G976" s="15" t="s">
        <v>374</v>
      </c>
      <c r="H976" s="15"/>
      <c r="I976" s="14"/>
      <c r="J976" s="16">
        <v>1260000</v>
      </c>
      <c r="K976" s="15"/>
      <c r="L976" s="15"/>
      <c r="M976" s="15" t="s">
        <v>328</v>
      </c>
      <c r="N976" s="16">
        <v>3000</v>
      </c>
      <c r="O976" s="21">
        <v>0.5</v>
      </c>
      <c r="P976" s="15">
        <v>2</v>
      </c>
      <c r="Q976" s="15">
        <v>500</v>
      </c>
      <c r="R976" s="13">
        <v>1900</v>
      </c>
      <c r="S976" s="15" t="s">
        <v>340</v>
      </c>
      <c r="T976" s="14">
        <v>1.9</v>
      </c>
      <c r="U976" s="14">
        <v>2.2000000000000002</v>
      </c>
      <c r="V976" s="25">
        <v>1250</v>
      </c>
      <c r="W976" s="22">
        <v>17500</v>
      </c>
      <c r="X976" s="15"/>
      <c r="Y976" s="15"/>
      <c r="Z976" s="15"/>
      <c r="AA976" s="15" t="s">
        <v>328</v>
      </c>
      <c r="AB976" s="15"/>
      <c r="AC976" s="15"/>
      <c r="AD976" s="15"/>
      <c r="AE976" s="15" t="s">
        <v>328</v>
      </c>
      <c r="AF976" s="15"/>
      <c r="AG976" s="15"/>
      <c r="AH976" s="15"/>
      <c r="AI976" s="15"/>
      <c r="AJ976" s="15"/>
      <c r="AK976" s="15"/>
      <c r="AL976" s="15"/>
      <c r="AM976" s="15"/>
      <c r="AN976" s="16">
        <v>20000</v>
      </c>
      <c r="AO976" s="16">
        <v>35000</v>
      </c>
      <c r="AP976" s="16">
        <v>35000</v>
      </c>
      <c r="AQ976" s="16">
        <v>120000</v>
      </c>
      <c r="AR976" s="16">
        <v>20000</v>
      </c>
      <c r="AS976" s="20">
        <v>102000</v>
      </c>
      <c r="AT976" s="20">
        <v>60000</v>
      </c>
      <c r="AU976" s="20">
        <v>90000</v>
      </c>
      <c r="AV976" s="20">
        <v>25000</v>
      </c>
      <c r="AW976" s="20">
        <v>18000</v>
      </c>
      <c r="AX976" s="64">
        <v>0</v>
      </c>
      <c r="AZ976" s="15"/>
      <c r="BA976" s="249">
        <f t="shared" si="31"/>
        <v>1</v>
      </c>
      <c r="BB976" s="249">
        <v>0</v>
      </c>
      <c r="BC976" s="249">
        <f t="shared" si="30"/>
        <v>1998</v>
      </c>
    </row>
    <row r="977" spans="1:55" x14ac:dyDescent="0.25">
      <c r="A977" s="52" t="s">
        <v>1857</v>
      </c>
      <c r="B977" s="65" t="s">
        <v>1823</v>
      </c>
      <c r="C977" s="14" t="s">
        <v>337</v>
      </c>
      <c r="D977" s="14">
        <v>1982</v>
      </c>
      <c r="E977" s="14"/>
      <c r="F977" s="14">
        <v>1990</v>
      </c>
      <c r="G977" s="14" t="s">
        <v>338</v>
      </c>
      <c r="H977" s="14"/>
      <c r="I977" s="14"/>
      <c r="J977" s="16">
        <v>1860000</v>
      </c>
      <c r="K977" s="14"/>
      <c r="L977" s="14"/>
      <c r="M977" s="14" t="s">
        <v>328</v>
      </c>
      <c r="N977" s="13">
        <v>5000</v>
      </c>
      <c r="O977" s="24">
        <v>0.5</v>
      </c>
      <c r="P977" s="14">
        <v>2</v>
      </c>
      <c r="Q977" s="14">
        <v>450</v>
      </c>
      <c r="R977" s="13">
        <v>1800</v>
      </c>
      <c r="S977" s="14" t="s">
        <v>340</v>
      </c>
      <c r="T977" s="14">
        <v>2</v>
      </c>
      <c r="U977" s="14">
        <v>3</v>
      </c>
      <c r="V977" s="25">
        <v>2100</v>
      </c>
      <c r="W977" s="22">
        <v>29500</v>
      </c>
      <c r="X977" s="14"/>
      <c r="Y977" s="14" t="s">
        <v>328</v>
      </c>
      <c r="Z977" s="14"/>
      <c r="AA977" s="14"/>
      <c r="AB977" s="14"/>
      <c r="AC977" s="14"/>
      <c r="AD977" s="14" t="s">
        <v>328</v>
      </c>
      <c r="AE977" s="14" t="s">
        <v>328</v>
      </c>
      <c r="AF977" s="14"/>
      <c r="AG977" s="14"/>
      <c r="AH977" s="14" t="s">
        <v>328</v>
      </c>
      <c r="AI977" s="14"/>
      <c r="AJ977" s="14"/>
      <c r="AK977" s="14" t="s">
        <v>328</v>
      </c>
      <c r="AL977" s="14" t="s">
        <v>328</v>
      </c>
      <c r="AM977" s="14"/>
      <c r="AN977" s="13">
        <v>15000</v>
      </c>
      <c r="AO977" s="13">
        <v>30000</v>
      </c>
      <c r="AP977" s="13">
        <v>60000</v>
      </c>
      <c r="AQ977" s="13">
        <v>90000</v>
      </c>
      <c r="AR977" s="13">
        <v>15000</v>
      </c>
      <c r="AS977" s="26">
        <v>120000</v>
      </c>
      <c r="AT977" s="26">
        <v>0</v>
      </c>
      <c r="AU977" s="26">
        <v>80000</v>
      </c>
      <c r="AV977" s="26">
        <v>40000</v>
      </c>
      <c r="AW977" s="26">
        <v>10000</v>
      </c>
      <c r="AX977" s="62">
        <v>0</v>
      </c>
      <c r="AZ977" s="14" t="s">
        <v>337</v>
      </c>
      <c r="BA977" s="249">
        <f t="shared" si="31"/>
        <v>3</v>
      </c>
      <c r="BB977" s="249">
        <v>0</v>
      </c>
      <c r="BC977" s="249">
        <f t="shared" si="30"/>
        <v>1990</v>
      </c>
    </row>
    <row r="978" spans="1:55" x14ac:dyDescent="0.25">
      <c r="A978" s="52" t="s">
        <v>1857</v>
      </c>
      <c r="B978" s="65" t="s">
        <v>1823</v>
      </c>
      <c r="C978" s="14" t="s">
        <v>337</v>
      </c>
      <c r="D978" s="14">
        <v>1980</v>
      </c>
      <c r="E978" s="14"/>
      <c r="F978" s="14">
        <v>1990</v>
      </c>
      <c r="G978" s="14" t="s">
        <v>338</v>
      </c>
      <c r="H978" s="14"/>
      <c r="I978" s="14"/>
      <c r="J978" s="16">
        <v>1980000</v>
      </c>
      <c r="K978" s="14"/>
      <c r="L978" s="14"/>
      <c r="M978" s="14" t="s">
        <v>328</v>
      </c>
      <c r="N978" s="13">
        <v>5000</v>
      </c>
      <c r="O978" s="24">
        <v>0.5</v>
      </c>
      <c r="P978" s="14">
        <v>2</v>
      </c>
      <c r="Q978" s="14">
        <v>450</v>
      </c>
      <c r="R978" s="13">
        <v>1800</v>
      </c>
      <c r="S978" s="14" t="s">
        <v>340</v>
      </c>
      <c r="T978" s="14">
        <v>2</v>
      </c>
      <c r="U978" s="14">
        <v>3</v>
      </c>
      <c r="V978" s="25">
        <v>2100</v>
      </c>
      <c r="W978" s="22">
        <v>29500</v>
      </c>
      <c r="X978" s="14"/>
      <c r="Y978" s="14" t="s">
        <v>328</v>
      </c>
      <c r="Z978" s="14"/>
      <c r="AA978" s="14"/>
      <c r="AB978" s="14"/>
      <c r="AC978" s="14"/>
      <c r="AD978" s="14" t="s">
        <v>328</v>
      </c>
      <c r="AE978" s="14" t="s">
        <v>328</v>
      </c>
      <c r="AF978" s="14"/>
      <c r="AG978" s="14"/>
      <c r="AH978" s="14" t="s">
        <v>328</v>
      </c>
      <c r="AI978" s="14"/>
      <c r="AJ978" s="14"/>
      <c r="AK978" s="14" t="s">
        <v>328</v>
      </c>
      <c r="AL978" s="14" t="s">
        <v>328</v>
      </c>
      <c r="AM978" s="14"/>
      <c r="AN978" s="13">
        <v>15000</v>
      </c>
      <c r="AO978" s="13">
        <v>30000</v>
      </c>
      <c r="AP978" s="13">
        <v>60000</v>
      </c>
      <c r="AQ978" s="13">
        <v>90000</v>
      </c>
      <c r="AR978" s="13">
        <v>15000</v>
      </c>
      <c r="AS978" s="26">
        <v>120000</v>
      </c>
      <c r="AT978" s="26">
        <v>0</v>
      </c>
      <c r="AU978" s="26">
        <v>80000</v>
      </c>
      <c r="AV978" s="26">
        <v>40000</v>
      </c>
      <c r="AW978" s="26">
        <v>10000</v>
      </c>
      <c r="AX978" s="62">
        <v>0</v>
      </c>
      <c r="AZ978" s="14" t="s">
        <v>337</v>
      </c>
      <c r="BA978" s="249">
        <f t="shared" si="31"/>
        <v>3</v>
      </c>
      <c r="BB978" s="249">
        <v>0</v>
      </c>
      <c r="BC978" s="249">
        <f t="shared" si="30"/>
        <v>1990</v>
      </c>
    </row>
    <row r="979" spans="1:55" x14ac:dyDescent="0.25">
      <c r="A979" s="52" t="s">
        <v>1857</v>
      </c>
      <c r="B979" s="65" t="s">
        <v>1823</v>
      </c>
      <c r="C979" s="14" t="s">
        <v>337</v>
      </c>
      <c r="D979" s="14">
        <v>1985</v>
      </c>
      <c r="E979" s="14"/>
      <c r="F979" s="14">
        <v>1990</v>
      </c>
      <c r="G979" s="14" t="s">
        <v>338</v>
      </c>
      <c r="H979" s="14"/>
      <c r="I979" s="14"/>
      <c r="J979" s="16">
        <v>1680000</v>
      </c>
      <c r="K979" s="14"/>
      <c r="L979" s="14"/>
      <c r="M979" s="14" t="s">
        <v>328</v>
      </c>
      <c r="N979" s="13">
        <v>5000</v>
      </c>
      <c r="O979" s="24">
        <v>0.5</v>
      </c>
      <c r="P979" s="14">
        <v>2</v>
      </c>
      <c r="Q979" s="14">
        <v>450</v>
      </c>
      <c r="R979" s="13">
        <v>1800</v>
      </c>
      <c r="S979" s="14" t="s">
        <v>340</v>
      </c>
      <c r="T979" s="14">
        <v>2</v>
      </c>
      <c r="U979" s="14">
        <v>3</v>
      </c>
      <c r="V979" s="25">
        <v>2100</v>
      </c>
      <c r="W979" s="22">
        <v>29500</v>
      </c>
      <c r="X979" s="14"/>
      <c r="Y979" s="14" t="s">
        <v>328</v>
      </c>
      <c r="Z979" s="14"/>
      <c r="AA979" s="14"/>
      <c r="AB979" s="14"/>
      <c r="AC979" s="14"/>
      <c r="AD979" s="14" t="s">
        <v>328</v>
      </c>
      <c r="AE979" s="14" t="s">
        <v>328</v>
      </c>
      <c r="AF979" s="14"/>
      <c r="AG979" s="14"/>
      <c r="AH979" s="14" t="s">
        <v>328</v>
      </c>
      <c r="AI979" s="14"/>
      <c r="AJ979" s="14"/>
      <c r="AK979" s="14" t="s">
        <v>328</v>
      </c>
      <c r="AL979" s="14" t="s">
        <v>328</v>
      </c>
      <c r="AM979" s="14"/>
      <c r="AN979" s="13">
        <v>15000</v>
      </c>
      <c r="AO979" s="13">
        <v>30000</v>
      </c>
      <c r="AP979" s="13">
        <v>60000</v>
      </c>
      <c r="AQ979" s="13">
        <v>90000</v>
      </c>
      <c r="AR979" s="13">
        <v>15000</v>
      </c>
      <c r="AS979" s="26">
        <v>120000</v>
      </c>
      <c r="AT979" s="26">
        <v>0</v>
      </c>
      <c r="AU979" s="26">
        <v>80000</v>
      </c>
      <c r="AV979" s="26">
        <v>40000</v>
      </c>
      <c r="AW979" s="26">
        <v>10000</v>
      </c>
      <c r="AX979" s="62">
        <v>0</v>
      </c>
      <c r="AZ979" s="14" t="s">
        <v>337</v>
      </c>
      <c r="BA979" s="249">
        <f t="shared" si="31"/>
        <v>3</v>
      </c>
      <c r="BB979" s="249">
        <v>0</v>
      </c>
      <c r="BC979" s="249">
        <f t="shared" si="30"/>
        <v>1990</v>
      </c>
    </row>
    <row r="980" spans="1:55" x14ac:dyDescent="0.25">
      <c r="A980" s="52" t="s">
        <v>1857</v>
      </c>
      <c r="B980" s="65" t="s">
        <v>1826</v>
      </c>
      <c r="C980" s="14" t="s">
        <v>351</v>
      </c>
      <c r="D980" s="15">
        <v>1982</v>
      </c>
      <c r="E980" s="15"/>
      <c r="F980" s="15"/>
      <c r="G980" s="15"/>
      <c r="H980" s="15">
        <v>1995</v>
      </c>
      <c r="I980" s="15" t="s">
        <v>349</v>
      </c>
      <c r="J980" s="16">
        <v>1488000</v>
      </c>
      <c r="K980" s="15"/>
      <c r="L980" s="15"/>
      <c r="M980" s="15" t="s">
        <v>328</v>
      </c>
      <c r="N980" s="16">
        <v>4000</v>
      </c>
      <c r="O980" s="21">
        <v>0.5</v>
      </c>
      <c r="P980" s="15">
        <v>2</v>
      </c>
      <c r="Q980" s="15">
        <v>480</v>
      </c>
      <c r="R980" s="16">
        <v>2880</v>
      </c>
      <c r="S980" s="15" t="s">
        <v>340</v>
      </c>
      <c r="T980" s="15">
        <v>3</v>
      </c>
      <c r="U980" s="15">
        <v>3.2</v>
      </c>
      <c r="V980" s="27">
        <v>1700</v>
      </c>
      <c r="W980" s="22">
        <v>23500</v>
      </c>
      <c r="X980" s="15" t="s">
        <v>328</v>
      </c>
      <c r="Y980" s="15"/>
      <c r="Z980" s="15"/>
      <c r="AA980" s="15"/>
      <c r="AB980" s="15"/>
      <c r="AC980" s="15"/>
      <c r="AD980" s="15" t="s">
        <v>328</v>
      </c>
      <c r="AE980" s="15" t="s">
        <v>328</v>
      </c>
      <c r="AF980" s="15"/>
      <c r="AG980" s="15"/>
      <c r="AH980" s="15" t="s">
        <v>328</v>
      </c>
      <c r="AI980" s="15"/>
      <c r="AJ980" s="15"/>
      <c r="AK980" s="15"/>
      <c r="AL980" s="15" t="s">
        <v>328</v>
      </c>
      <c r="AM980" s="15"/>
      <c r="AN980" s="16">
        <v>20000</v>
      </c>
      <c r="AO980" s="16">
        <v>40000</v>
      </c>
      <c r="AP980" s="16">
        <v>40000</v>
      </c>
      <c r="AQ980" s="16">
        <v>110000</v>
      </c>
      <c r="AR980" s="16">
        <v>20000</v>
      </c>
      <c r="AS980" s="22">
        <v>72000</v>
      </c>
      <c r="AT980" s="22">
        <v>0</v>
      </c>
      <c r="AU980" s="22">
        <v>35000</v>
      </c>
      <c r="AV980" s="22">
        <v>10000</v>
      </c>
      <c r="AW980" s="22">
        <v>12000</v>
      </c>
      <c r="AX980" s="66">
        <v>0</v>
      </c>
      <c r="AZ980" s="15" t="s">
        <v>1401</v>
      </c>
      <c r="BA980" s="249">
        <f t="shared" si="31"/>
        <v>1</v>
      </c>
      <c r="BB980" s="249">
        <v>0</v>
      </c>
      <c r="BC980" s="249">
        <f t="shared" si="30"/>
        <v>1995</v>
      </c>
    </row>
    <row r="981" spans="1:55" x14ac:dyDescent="0.25">
      <c r="A981" s="52" t="s">
        <v>1857</v>
      </c>
      <c r="B981" s="65" t="s">
        <v>1829</v>
      </c>
      <c r="C981" s="14" t="s">
        <v>351</v>
      </c>
      <c r="D981" s="14">
        <v>1998</v>
      </c>
      <c r="E981" s="14" t="s">
        <v>349</v>
      </c>
      <c r="F981" s="14"/>
      <c r="G981" s="14"/>
      <c r="H981" s="14"/>
      <c r="I981" s="14"/>
      <c r="J981" s="16">
        <v>900000</v>
      </c>
      <c r="K981" s="14" t="s">
        <v>328</v>
      </c>
      <c r="L981" s="14"/>
      <c r="M981" s="14"/>
      <c r="N981" s="13">
        <v>5000</v>
      </c>
      <c r="O981" s="24">
        <v>0.5</v>
      </c>
      <c r="P981" s="14">
        <v>2</v>
      </c>
      <c r="Q981" s="14">
        <v>350</v>
      </c>
      <c r="R981" s="16">
        <v>1330</v>
      </c>
      <c r="S981" s="14" t="s">
        <v>340</v>
      </c>
      <c r="T981" s="14">
        <v>1.9</v>
      </c>
      <c r="U981" s="14">
        <v>2.2000000000000002</v>
      </c>
      <c r="V981" s="25">
        <v>2550</v>
      </c>
      <c r="W981" s="22">
        <v>35500</v>
      </c>
      <c r="X981" s="14"/>
      <c r="Y981" s="14"/>
      <c r="Z981" s="14"/>
      <c r="AA981" s="14"/>
      <c r="AB981" s="14" t="s">
        <v>328</v>
      </c>
      <c r="AC981" s="14"/>
      <c r="AD981" s="14" t="s">
        <v>328</v>
      </c>
      <c r="AE981" s="14" t="s">
        <v>328</v>
      </c>
      <c r="AF981" s="14"/>
      <c r="AG981" s="14"/>
      <c r="AH981" s="14" t="s">
        <v>328</v>
      </c>
      <c r="AI981" s="14"/>
      <c r="AJ981" s="14"/>
      <c r="AK981" s="14"/>
      <c r="AL981" s="14" t="s">
        <v>328</v>
      </c>
      <c r="AM981" s="14"/>
      <c r="AN981" s="13">
        <v>15000</v>
      </c>
      <c r="AO981" s="13">
        <v>30000</v>
      </c>
      <c r="AP981" s="13">
        <v>30000</v>
      </c>
      <c r="AQ981" s="13">
        <v>95000</v>
      </c>
      <c r="AR981" s="13">
        <v>30000</v>
      </c>
      <c r="AS981" s="26">
        <v>0</v>
      </c>
      <c r="AT981" s="26">
        <v>0</v>
      </c>
      <c r="AU981" s="26">
        <v>48000</v>
      </c>
      <c r="AV981" s="26">
        <v>25000</v>
      </c>
      <c r="AW981" s="26">
        <v>12000</v>
      </c>
      <c r="AX981" s="62">
        <v>10000</v>
      </c>
      <c r="AZ981" s="14" t="s">
        <v>351</v>
      </c>
      <c r="BA981" s="249">
        <f t="shared" si="31"/>
        <v>1</v>
      </c>
      <c r="BB981" s="249">
        <v>0</v>
      </c>
      <c r="BC981" s="249">
        <f t="shared" si="30"/>
        <v>1998</v>
      </c>
    </row>
    <row r="982" spans="1:55" x14ac:dyDescent="0.25">
      <c r="A982" s="52" t="s">
        <v>1857</v>
      </c>
      <c r="B982" s="65" t="s">
        <v>1830</v>
      </c>
      <c r="C982" s="14" t="s">
        <v>337</v>
      </c>
      <c r="D982" s="14">
        <v>2010</v>
      </c>
      <c r="E982" s="14" t="s">
        <v>338</v>
      </c>
      <c r="F982" s="14"/>
      <c r="G982" s="14"/>
      <c r="H982" s="14"/>
      <c r="I982" s="14"/>
      <c r="J982" s="16">
        <v>108000</v>
      </c>
      <c r="K982" s="14" t="s">
        <v>328</v>
      </c>
      <c r="L982" s="14"/>
      <c r="M982" s="14"/>
      <c r="N982" s="13">
        <v>3000</v>
      </c>
      <c r="O982" s="24">
        <v>0.5</v>
      </c>
      <c r="P982" s="14">
        <v>2</v>
      </c>
      <c r="Q982" s="14">
        <v>350</v>
      </c>
      <c r="R982" s="16">
        <v>1400</v>
      </c>
      <c r="S982" s="14" t="s">
        <v>340</v>
      </c>
      <c r="T982" s="15">
        <v>2</v>
      </c>
      <c r="U982" s="15">
        <v>2.2000000000000002</v>
      </c>
      <c r="V982" s="25">
        <v>1450</v>
      </c>
      <c r="W982" s="22">
        <v>20200</v>
      </c>
      <c r="X982" s="14"/>
      <c r="Y982" s="14"/>
      <c r="Z982" s="14"/>
      <c r="AA982" s="14"/>
      <c r="AB982" s="14"/>
      <c r="AC982" s="14" t="s">
        <v>328</v>
      </c>
      <c r="AD982" s="14" t="s">
        <v>328</v>
      </c>
      <c r="AE982" s="14" t="s">
        <v>328</v>
      </c>
      <c r="AF982" s="14"/>
      <c r="AG982" s="14"/>
      <c r="AH982" s="14"/>
      <c r="AI982" s="14"/>
      <c r="AJ982" s="14"/>
      <c r="AK982" s="14"/>
      <c r="AL982" s="14" t="s">
        <v>328</v>
      </c>
      <c r="AM982" s="14"/>
      <c r="AN982" s="13">
        <v>10000</v>
      </c>
      <c r="AO982" s="13">
        <v>20000</v>
      </c>
      <c r="AP982" s="13">
        <v>50000</v>
      </c>
      <c r="AQ982" s="13">
        <v>90000</v>
      </c>
      <c r="AR982" s="13">
        <v>10000</v>
      </c>
      <c r="AS982" s="26">
        <v>96000</v>
      </c>
      <c r="AT982" s="26">
        <v>0</v>
      </c>
      <c r="AU982" s="26">
        <v>44000</v>
      </c>
      <c r="AV982" s="26">
        <v>30000</v>
      </c>
      <c r="AW982" s="26">
        <v>15000</v>
      </c>
      <c r="AX982" s="62">
        <v>0</v>
      </c>
      <c r="AZ982" s="14" t="s">
        <v>337</v>
      </c>
      <c r="BA982" s="249">
        <f t="shared" si="31"/>
        <v>1</v>
      </c>
      <c r="BB982" s="249">
        <v>0</v>
      </c>
      <c r="BC982" s="249">
        <f t="shared" si="30"/>
        <v>2010</v>
      </c>
    </row>
    <row r="983" spans="1:55" x14ac:dyDescent="0.25">
      <c r="A983" s="52" t="s">
        <v>1857</v>
      </c>
      <c r="B983" s="65" t="s">
        <v>1831</v>
      </c>
      <c r="C983" s="14" t="s">
        <v>348</v>
      </c>
      <c r="D983" s="14">
        <v>1992</v>
      </c>
      <c r="E983" s="14" t="s">
        <v>407</v>
      </c>
      <c r="F983" s="14"/>
      <c r="G983" s="14"/>
      <c r="H983" s="14"/>
      <c r="I983" s="14"/>
      <c r="J983" s="16">
        <v>2520000</v>
      </c>
      <c r="K983" s="14"/>
      <c r="L983" s="14"/>
      <c r="M983" s="14" t="s">
        <v>328</v>
      </c>
      <c r="N983" s="13">
        <v>10000</v>
      </c>
      <c r="O983" s="24">
        <v>0.5</v>
      </c>
      <c r="P983" s="14">
        <v>2</v>
      </c>
      <c r="Q983" s="15">
        <v>480</v>
      </c>
      <c r="R983" s="16">
        <v>1632</v>
      </c>
      <c r="S983" s="14" t="s">
        <v>340</v>
      </c>
      <c r="T983" s="14">
        <v>1.7</v>
      </c>
      <c r="U983" s="14">
        <v>2.1</v>
      </c>
      <c r="V983" s="25">
        <v>4200</v>
      </c>
      <c r="W983" s="22">
        <v>59000</v>
      </c>
      <c r="X983" s="14" t="s">
        <v>328</v>
      </c>
      <c r="Y983" s="14"/>
      <c r="Z983" s="14"/>
      <c r="AA983" s="14"/>
      <c r="AB983" s="14"/>
      <c r="AC983" s="14"/>
      <c r="AD983" s="14"/>
      <c r="AE983" s="14" t="s">
        <v>328</v>
      </c>
      <c r="AF983" s="14"/>
      <c r="AG983" s="14"/>
      <c r="AH983" s="14"/>
      <c r="AI983" s="14"/>
      <c r="AJ983" s="14"/>
      <c r="AK983" s="14"/>
      <c r="AL983" s="14"/>
      <c r="AM983" s="14"/>
      <c r="AN983" s="13">
        <v>11000</v>
      </c>
      <c r="AO983" s="13">
        <v>35000</v>
      </c>
      <c r="AP983" s="13">
        <v>60000</v>
      </c>
      <c r="AQ983" s="13">
        <v>120000</v>
      </c>
      <c r="AR983" s="13">
        <v>11000</v>
      </c>
      <c r="AS983" s="26">
        <v>0</v>
      </c>
      <c r="AT983" s="26">
        <v>0</v>
      </c>
      <c r="AU983" s="26">
        <v>90000</v>
      </c>
      <c r="AV983" s="26">
        <v>40000</v>
      </c>
      <c r="AW983" s="26">
        <v>12000</v>
      </c>
      <c r="AX983" s="62">
        <v>0</v>
      </c>
      <c r="AZ983" s="14" t="s">
        <v>348</v>
      </c>
      <c r="BA983" s="249">
        <f t="shared" si="31"/>
        <v>1</v>
      </c>
      <c r="BB983" s="249">
        <v>0</v>
      </c>
      <c r="BC983" s="249">
        <f t="shared" si="30"/>
        <v>1992</v>
      </c>
    </row>
    <row r="984" spans="1:55" x14ac:dyDescent="0.25">
      <c r="A984" s="52" t="s">
        <v>1857</v>
      </c>
      <c r="B984" s="65" t="s">
        <v>1832</v>
      </c>
      <c r="C984" s="14" t="s">
        <v>351</v>
      </c>
      <c r="D984" s="15">
        <v>1988</v>
      </c>
      <c r="E984" s="15" t="s">
        <v>374</v>
      </c>
      <c r="F984" s="15"/>
      <c r="G984" s="15"/>
      <c r="H984" s="15"/>
      <c r="I984" s="15"/>
      <c r="J984" s="16">
        <v>1350000</v>
      </c>
      <c r="K984" s="15"/>
      <c r="L984" s="15"/>
      <c r="M984" s="15" t="s">
        <v>328</v>
      </c>
      <c r="N984" s="16">
        <v>4500</v>
      </c>
      <c r="O984" s="21">
        <v>0.2</v>
      </c>
      <c r="P984" s="15">
        <v>2</v>
      </c>
      <c r="Q984" s="15">
        <v>550</v>
      </c>
      <c r="R984" s="16">
        <v>3410</v>
      </c>
      <c r="S984" s="15" t="s">
        <v>340</v>
      </c>
      <c r="T984" s="15">
        <v>3.1</v>
      </c>
      <c r="U984" s="15">
        <v>3.4</v>
      </c>
      <c r="V984" s="25">
        <v>2150</v>
      </c>
      <c r="W984" s="22">
        <v>30300</v>
      </c>
      <c r="X984" s="15"/>
      <c r="Y984" s="15"/>
      <c r="Z984" s="15"/>
      <c r="AA984" s="15"/>
      <c r="AB984" s="15" t="s">
        <v>328</v>
      </c>
      <c r="AC984" s="15"/>
      <c r="AD984" s="15"/>
      <c r="AE984" s="15"/>
      <c r="AF984" s="15"/>
      <c r="AG984" s="15"/>
      <c r="AH984" s="15"/>
      <c r="AI984" s="15"/>
      <c r="AJ984" s="15"/>
      <c r="AK984" s="15"/>
      <c r="AL984" s="15" t="s">
        <v>328</v>
      </c>
      <c r="AM984" s="15"/>
      <c r="AN984" s="16">
        <v>24500</v>
      </c>
      <c r="AO984" s="16">
        <v>24500</v>
      </c>
      <c r="AP984" s="16">
        <v>70000</v>
      </c>
      <c r="AQ984" s="16">
        <v>100000</v>
      </c>
      <c r="AR984" s="16">
        <v>24500</v>
      </c>
      <c r="AS984" s="22">
        <v>0</v>
      </c>
      <c r="AT984" s="22">
        <v>0</v>
      </c>
      <c r="AU984" s="22">
        <v>50000</v>
      </c>
      <c r="AV984" s="22">
        <v>24000</v>
      </c>
      <c r="AW984" s="22">
        <v>0</v>
      </c>
      <c r="AX984" s="66">
        <v>0</v>
      </c>
      <c r="AZ984" s="15" t="s">
        <v>351</v>
      </c>
      <c r="BA984" s="249">
        <f t="shared" si="31"/>
        <v>1</v>
      </c>
      <c r="BB984" s="249">
        <v>0</v>
      </c>
      <c r="BC984" s="249">
        <f t="shared" si="30"/>
        <v>1988</v>
      </c>
    </row>
    <row r="985" spans="1:55" x14ac:dyDescent="0.25">
      <c r="A985" s="52" t="s">
        <v>1857</v>
      </c>
      <c r="B985" s="65" t="s">
        <v>1833</v>
      </c>
      <c r="C985" s="14" t="s">
        <v>359</v>
      </c>
      <c r="D985" s="15">
        <v>2010</v>
      </c>
      <c r="E985" s="14" t="s">
        <v>456</v>
      </c>
      <c r="F985" s="15"/>
      <c r="G985" s="15"/>
      <c r="H985" s="15"/>
      <c r="I985" s="15"/>
      <c r="J985" s="16">
        <v>216000</v>
      </c>
      <c r="K985" s="15" t="s">
        <v>328</v>
      </c>
      <c r="L985" s="15"/>
      <c r="M985" s="15"/>
      <c r="N985" s="16">
        <v>6000</v>
      </c>
      <c r="O985" s="21">
        <v>0.3</v>
      </c>
      <c r="P985" s="15">
        <v>3</v>
      </c>
      <c r="Q985" s="15">
        <v>600</v>
      </c>
      <c r="R985" s="13">
        <v>5040</v>
      </c>
      <c r="S985" s="14" t="s">
        <v>340</v>
      </c>
      <c r="T985" s="15">
        <v>2.8</v>
      </c>
      <c r="U985" s="15">
        <v>3.2</v>
      </c>
      <c r="V985" s="25">
        <v>2900</v>
      </c>
      <c r="W985" s="22">
        <v>40400</v>
      </c>
      <c r="X985" s="15"/>
      <c r="Y985" s="15" t="s">
        <v>328</v>
      </c>
      <c r="Z985" s="15"/>
      <c r="AA985" s="15"/>
      <c r="AB985" s="15"/>
      <c r="AC985" s="15"/>
      <c r="AD985" s="15" t="s">
        <v>328</v>
      </c>
      <c r="AE985" s="15" t="s">
        <v>328</v>
      </c>
      <c r="AF985" s="15"/>
      <c r="AG985" s="15" t="s">
        <v>328</v>
      </c>
      <c r="AH985" s="15" t="s">
        <v>328</v>
      </c>
      <c r="AI985" s="15"/>
      <c r="AJ985" s="15"/>
      <c r="AK985" s="15" t="s">
        <v>328</v>
      </c>
      <c r="AL985" s="15" t="s">
        <v>328</v>
      </c>
      <c r="AM985" s="15"/>
      <c r="AN985" s="16">
        <v>15000</v>
      </c>
      <c r="AO985" s="16">
        <v>18000</v>
      </c>
      <c r="AP985" s="16">
        <v>25000</v>
      </c>
      <c r="AQ985" s="16">
        <v>90000</v>
      </c>
      <c r="AR985" s="16">
        <v>15000</v>
      </c>
      <c r="AS985" s="22">
        <v>144000</v>
      </c>
      <c r="AT985" s="22">
        <v>0</v>
      </c>
      <c r="AU985" s="22">
        <v>90000</v>
      </c>
      <c r="AV985" s="22">
        <v>17000</v>
      </c>
      <c r="AW985" s="22">
        <v>12000</v>
      </c>
      <c r="AX985" s="66">
        <v>0</v>
      </c>
      <c r="AZ985" s="15" t="s">
        <v>629</v>
      </c>
      <c r="BA985" s="249">
        <f t="shared" si="31"/>
        <v>2</v>
      </c>
      <c r="BB985" s="249">
        <v>0</v>
      </c>
      <c r="BC985" s="249">
        <f t="shared" si="30"/>
        <v>2010</v>
      </c>
    </row>
    <row r="986" spans="1:55" x14ac:dyDescent="0.25">
      <c r="A986" s="52" t="s">
        <v>1857</v>
      </c>
      <c r="B986" s="65" t="s">
        <v>1833</v>
      </c>
      <c r="C986" s="14" t="s">
        <v>359</v>
      </c>
      <c r="D986" s="15">
        <v>2010</v>
      </c>
      <c r="E986" s="14" t="s">
        <v>456</v>
      </c>
      <c r="F986" s="15"/>
      <c r="G986" s="15"/>
      <c r="H986" s="15"/>
      <c r="I986" s="15"/>
      <c r="J986" s="16">
        <v>216000</v>
      </c>
      <c r="K986" s="15" t="s">
        <v>328</v>
      </c>
      <c r="L986" s="15"/>
      <c r="M986" s="15"/>
      <c r="N986" s="16">
        <v>6000</v>
      </c>
      <c r="O986" s="21">
        <v>0.3</v>
      </c>
      <c r="P986" s="15">
        <v>3</v>
      </c>
      <c r="Q986" s="15">
        <v>600</v>
      </c>
      <c r="R986" s="13">
        <v>5040</v>
      </c>
      <c r="S986" s="14" t="s">
        <v>340</v>
      </c>
      <c r="T986" s="15">
        <v>2.8</v>
      </c>
      <c r="U986" s="15">
        <v>3.2</v>
      </c>
      <c r="V986" s="25">
        <v>2900</v>
      </c>
      <c r="W986" s="22">
        <v>40400</v>
      </c>
      <c r="X986" s="15"/>
      <c r="Y986" s="15" t="s">
        <v>328</v>
      </c>
      <c r="Z986" s="15"/>
      <c r="AA986" s="15"/>
      <c r="AB986" s="15"/>
      <c r="AC986" s="15"/>
      <c r="AD986" s="15" t="s">
        <v>328</v>
      </c>
      <c r="AE986" s="15" t="s">
        <v>328</v>
      </c>
      <c r="AF986" s="15"/>
      <c r="AG986" s="15" t="s">
        <v>328</v>
      </c>
      <c r="AH986" s="15" t="s">
        <v>328</v>
      </c>
      <c r="AI986" s="15"/>
      <c r="AJ986" s="15"/>
      <c r="AK986" s="15" t="s">
        <v>328</v>
      </c>
      <c r="AL986" s="15" t="s">
        <v>328</v>
      </c>
      <c r="AM986" s="15"/>
      <c r="AN986" s="16">
        <v>15000</v>
      </c>
      <c r="AO986" s="16">
        <v>18000</v>
      </c>
      <c r="AP986" s="16">
        <v>25000</v>
      </c>
      <c r="AQ986" s="16">
        <v>90000</v>
      </c>
      <c r="AR986" s="16">
        <v>15000</v>
      </c>
      <c r="AS986" s="22">
        <v>144000</v>
      </c>
      <c r="AT986" s="22">
        <v>0</v>
      </c>
      <c r="AU986" s="22">
        <v>90000</v>
      </c>
      <c r="AV986" s="22">
        <v>17000</v>
      </c>
      <c r="AW986" s="22">
        <v>12000</v>
      </c>
      <c r="AX986" s="66">
        <v>0</v>
      </c>
      <c r="AZ986" s="15" t="s">
        <v>629</v>
      </c>
      <c r="BA986" s="249">
        <f t="shared" si="31"/>
        <v>2</v>
      </c>
      <c r="BB986" s="249">
        <v>0</v>
      </c>
      <c r="BC986" s="249">
        <f t="shared" si="30"/>
        <v>2010</v>
      </c>
    </row>
    <row r="987" spans="1:55" ht="15.75" thickBot="1" x14ac:dyDescent="0.3">
      <c r="A987" s="53" t="s">
        <v>1857</v>
      </c>
      <c r="B987" s="67" t="s">
        <v>1836</v>
      </c>
      <c r="C987" s="68" t="s">
        <v>348</v>
      </c>
      <c r="D987" s="68">
        <v>1997</v>
      </c>
      <c r="E987" s="68" t="s">
        <v>429</v>
      </c>
      <c r="F987" s="68"/>
      <c r="G987" s="68"/>
      <c r="H987" s="68"/>
      <c r="I987" s="68"/>
      <c r="J987" s="69">
        <v>960000</v>
      </c>
      <c r="K987" s="68"/>
      <c r="L987" s="68"/>
      <c r="M987" s="68" t="s">
        <v>328</v>
      </c>
      <c r="N987" s="70">
        <v>5000</v>
      </c>
      <c r="O987" s="71">
        <v>0.5</v>
      </c>
      <c r="P987" s="68">
        <v>1</v>
      </c>
      <c r="Q987" s="68">
        <v>220</v>
      </c>
      <c r="R987" s="70">
        <v>880</v>
      </c>
      <c r="S987" s="68" t="s">
        <v>371</v>
      </c>
      <c r="T987" s="68">
        <v>4</v>
      </c>
      <c r="U987" s="68">
        <v>5</v>
      </c>
      <c r="V987" s="72">
        <v>1200</v>
      </c>
      <c r="W987" s="73">
        <v>13400</v>
      </c>
      <c r="X987" s="68"/>
      <c r="Y987" s="68" t="s">
        <v>328</v>
      </c>
      <c r="Z987" s="68"/>
      <c r="AA987" s="68"/>
      <c r="AB987" s="68"/>
      <c r="AC987" s="68"/>
      <c r="AD987" s="68" t="s">
        <v>328</v>
      </c>
      <c r="AE987" s="68" t="s">
        <v>328</v>
      </c>
      <c r="AF987" s="68"/>
      <c r="AG987" s="68" t="s">
        <v>328</v>
      </c>
      <c r="AH987" s="68"/>
      <c r="AI987" s="68" t="s">
        <v>328</v>
      </c>
      <c r="AJ987" s="68"/>
      <c r="AK987" s="68"/>
      <c r="AL987" s="68"/>
      <c r="AM987" s="68"/>
      <c r="AN987" s="70">
        <v>30000</v>
      </c>
      <c r="AO987" s="70">
        <v>30000</v>
      </c>
      <c r="AP987" s="70">
        <v>30000</v>
      </c>
      <c r="AQ987" s="70">
        <v>60000</v>
      </c>
      <c r="AR987" s="70" t="s">
        <v>385</v>
      </c>
      <c r="AS987" s="74">
        <v>78000</v>
      </c>
      <c r="AT987" s="74">
        <v>41600</v>
      </c>
      <c r="AU987" s="74">
        <v>7000</v>
      </c>
      <c r="AV987" s="74">
        <v>18000</v>
      </c>
      <c r="AW987" s="74">
        <v>6000</v>
      </c>
      <c r="AX987" s="75">
        <v>0</v>
      </c>
      <c r="AZ987" s="14" t="s">
        <v>348</v>
      </c>
      <c r="BA987" s="249">
        <f t="shared" si="31"/>
        <v>1</v>
      </c>
      <c r="BB987" s="249">
        <v>0</v>
      </c>
      <c r="BC987" s="249">
        <f t="shared" si="30"/>
        <v>1997</v>
      </c>
    </row>
    <row r="988" spans="1:55" ht="15.75" thickBot="1" x14ac:dyDescent="0.3">
      <c r="AU988" s="138">
        <f>COUNTIF(AU8:AU987,"&lt;5000000000")</f>
        <v>942</v>
      </c>
      <c r="AV988" s="138">
        <f>COUNTIF(AV8:AV987,"&lt;5000000000")</f>
        <v>937</v>
      </c>
      <c r="AW988" s="138">
        <f>COUNTIF(AW8:AW987,"&lt;5000000000")</f>
        <v>980</v>
      </c>
      <c r="AX988" s="138">
        <f>COUNTIF(AX8:AX987,"&lt;5000000000")</f>
        <v>980</v>
      </c>
    </row>
    <row r="989" spans="1:55" x14ac:dyDescent="0.25">
      <c r="A989" s="303" t="s">
        <v>1862</v>
      </c>
      <c r="B989" s="305"/>
      <c r="AU989" s="138">
        <f>980-AU988</f>
        <v>38</v>
      </c>
      <c r="AV989" s="138">
        <f>980-AV988</f>
        <v>43</v>
      </c>
      <c r="AW989" s="138">
        <f>980-AW988</f>
        <v>0</v>
      </c>
      <c r="AX989" s="138">
        <f>980-AX988</f>
        <v>0</v>
      </c>
    </row>
    <row r="990" spans="1:55" x14ac:dyDescent="0.25">
      <c r="A990" s="77" t="s">
        <v>1854</v>
      </c>
      <c r="B990" s="248">
        <f>COUNTIF($A$8:$A$987,A990)</f>
        <v>55</v>
      </c>
    </row>
    <row r="991" spans="1:55" x14ac:dyDescent="0.25">
      <c r="A991" s="77" t="s">
        <v>1404</v>
      </c>
      <c r="B991" s="248">
        <f t="shared" ref="B991:B998" si="32">COUNTIF($A$8:$A$987,A991)</f>
        <v>275</v>
      </c>
    </row>
    <row r="992" spans="1:55" x14ac:dyDescent="0.25">
      <c r="A992" s="77" t="s">
        <v>1855</v>
      </c>
      <c r="B992" s="248">
        <f t="shared" si="32"/>
        <v>176</v>
      </c>
    </row>
    <row r="993" spans="1:2" x14ac:dyDescent="0.25">
      <c r="A993" s="78" t="s">
        <v>1856</v>
      </c>
      <c r="B993" s="248">
        <f t="shared" si="32"/>
        <v>57</v>
      </c>
    </row>
    <row r="994" spans="1:2" x14ac:dyDescent="0.25">
      <c r="A994" s="78" t="s">
        <v>1378</v>
      </c>
      <c r="B994" s="248">
        <f t="shared" si="32"/>
        <v>198</v>
      </c>
    </row>
    <row r="995" spans="1:2" x14ac:dyDescent="0.25">
      <c r="A995" s="78" t="s">
        <v>1442</v>
      </c>
      <c r="B995" s="248">
        <f t="shared" si="32"/>
        <v>44</v>
      </c>
    </row>
    <row r="996" spans="1:2" x14ac:dyDescent="0.25">
      <c r="A996" s="78" t="s">
        <v>1508</v>
      </c>
      <c r="B996" s="248">
        <f t="shared" si="32"/>
        <v>25</v>
      </c>
    </row>
    <row r="997" spans="1:2" x14ac:dyDescent="0.25">
      <c r="A997" s="78" t="s">
        <v>1572</v>
      </c>
      <c r="B997" s="248">
        <f t="shared" si="32"/>
        <v>41</v>
      </c>
    </row>
    <row r="998" spans="1:2" x14ac:dyDescent="0.25">
      <c r="A998" s="79" t="s">
        <v>1857</v>
      </c>
      <c r="B998" s="248">
        <f t="shared" si="32"/>
        <v>109</v>
      </c>
    </row>
    <row r="999" spans="1:2" x14ac:dyDescent="0.25">
      <c r="A999" s="82"/>
      <c r="B999" s="83"/>
    </row>
    <row r="1000" spans="1:2" x14ac:dyDescent="0.25">
      <c r="A1000" s="78" t="s">
        <v>1858</v>
      </c>
      <c r="B1000" s="248">
        <f>+B990</f>
        <v>55</v>
      </c>
    </row>
    <row r="1001" spans="1:2" x14ac:dyDescent="0.25">
      <c r="A1001" s="78" t="s">
        <v>1859</v>
      </c>
      <c r="B1001" s="248">
        <f>+B991+B992+B993+B998</f>
        <v>617</v>
      </c>
    </row>
    <row r="1002" spans="1:2" x14ac:dyDescent="0.25">
      <c r="A1002" s="78" t="s">
        <v>1860</v>
      </c>
      <c r="B1002" s="248">
        <f>+B994+B997</f>
        <v>239</v>
      </c>
    </row>
    <row r="1003" spans="1:2" x14ac:dyDescent="0.25">
      <c r="A1003" s="78" t="s">
        <v>1861</v>
      </c>
      <c r="B1003" s="248">
        <f>+B995+B996</f>
        <v>69</v>
      </c>
    </row>
    <row r="1004" spans="1:2" ht="15.75" thickBot="1" x14ac:dyDescent="0.3">
      <c r="A1004" s="81" t="s">
        <v>1662</v>
      </c>
      <c r="B1004" s="142">
        <f>SUM(B1000:B1003)</f>
        <v>980</v>
      </c>
    </row>
    <row r="1005" spans="1:2" x14ac:dyDescent="0.25">
      <c r="B1005" s="76"/>
    </row>
  </sheetData>
  <mergeCells count="58">
    <mergeCell ref="AS2:AX2"/>
    <mergeCell ref="B2:B5"/>
    <mergeCell ref="C2:C5"/>
    <mergeCell ref="D2:D5"/>
    <mergeCell ref="AS3:AS5"/>
    <mergeCell ref="AT3:AT5"/>
    <mergeCell ref="AU3:AU5"/>
    <mergeCell ref="AV3:AV5"/>
    <mergeCell ref="AW3:AW5"/>
    <mergeCell ref="AX3:AX5"/>
    <mergeCell ref="AJ3:AJ5"/>
    <mergeCell ref="AK3:AK5"/>
    <mergeCell ref="AD2:AM2"/>
    <mergeCell ref="AO3:AO5"/>
    <mergeCell ref="AN2:AR2"/>
    <mergeCell ref="X2:AC2"/>
    <mergeCell ref="A989:B989"/>
    <mergeCell ref="V2:V5"/>
    <mergeCell ref="R2:R5"/>
    <mergeCell ref="AC4:AC5"/>
    <mergeCell ref="AR3:AR5"/>
    <mergeCell ref="AD3:AD5"/>
    <mergeCell ref="AE3:AE5"/>
    <mergeCell ref="AF3:AF5"/>
    <mergeCell ref="AG3:AG5"/>
    <mergeCell ref="AH3:AH5"/>
    <mergeCell ref="AI3:AI5"/>
    <mergeCell ref="AQ3:AQ5"/>
    <mergeCell ref="AN3:AN5"/>
    <mergeCell ref="AL3:AL5"/>
    <mergeCell ref="AP3:AP5"/>
    <mergeCell ref="AM3:AM5"/>
    <mergeCell ref="N2:N5"/>
    <mergeCell ref="O2:O5"/>
    <mergeCell ref="P2:P5"/>
    <mergeCell ref="Q2:Q5"/>
    <mergeCell ref="S3:S5"/>
    <mergeCell ref="T2:U2"/>
    <mergeCell ref="T3:T5"/>
    <mergeCell ref="U3:U5"/>
    <mergeCell ref="W2:W5"/>
    <mergeCell ref="X3:X5"/>
    <mergeCell ref="Y3:Y5"/>
    <mergeCell ref="Z3:Z5"/>
    <mergeCell ref="AA3:AA5"/>
    <mergeCell ref="AB3:AC3"/>
    <mergeCell ref="AB4:AB5"/>
    <mergeCell ref="E2:I2"/>
    <mergeCell ref="J2:J5"/>
    <mergeCell ref="K3:K5"/>
    <mergeCell ref="L4:L5"/>
    <mergeCell ref="M4:M5"/>
    <mergeCell ref="L3:M3"/>
    <mergeCell ref="K2:M2"/>
    <mergeCell ref="E4:E5"/>
    <mergeCell ref="F3:I3"/>
    <mergeCell ref="F4:G4"/>
    <mergeCell ref="H4:I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BY517"/>
  <sheetViews>
    <sheetView topLeftCell="Y55" workbookViewId="0">
      <selection activeCell="AH14" sqref="AH14"/>
    </sheetView>
  </sheetViews>
  <sheetFormatPr baseColWidth="10" defaultColWidth="11.42578125" defaultRowHeight="15" x14ac:dyDescent="0.25"/>
  <cols>
    <col min="1" max="1" width="22.140625" style="11" customWidth="1"/>
    <col min="2" max="2" width="24.85546875" style="11" bestFit="1" customWidth="1"/>
    <col min="3" max="3" width="11.42578125" style="249"/>
    <col min="4" max="4" width="12.28515625" style="249" bestFit="1" customWidth="1"/>
    <col min="5" max="5" width="11.42578125" style="11"/>
    <col min="6" max="6" width="20.28515625" style="11" customWidth="1"/>
    <col min="7" max="9" width="11.42578125" style="11"/>
    <col min="10" max="10" width="19.28515625" style="249" customWidth="1"/>
    <col min="11" max="11" width="19" style="249" customWidth="1"/>
    <col min="12" max="12" width="11.42578125" style="11"/>
    <col min="13" max="13" width="17.28515625" style="11" customWidth="1"/>
    <col min="14" max="14" width="17.5703125" style="11" customWidth="1"/>
    <col min="15" max="15" width="17.5703125" style="249" customWidth="1"/>
    <col min="16" max="16" width="11.42578125" style="249"/>
    <col min="17" max="20" width="11.42578125" style="11"/>
    <col min="21" max="21" width="24.42578125" style="11" customWidth="1"/>
    <col min="22" max="22" width="16.42578125" style="249" customWidth="1"/>
    <col min="23" max="23" width="14.42578125" style="249" customWidth="1"/>
    <col min="24" max="24" width="11.42578125" style="11"/>
    <col min="25" max="25" width="11.42578125" style="249"/>
    <col min="26" max="26" width="29.42578125" style="11" customWidth="1"/>
    <col min="27" max="27" width="11.42578125" style="249"/>
    <col min="28" max="33" width="11.42578125" style="11"/>
    <col min="34" max="34" width="41.28515625" style="11" customWidth="1"/>
    <col min="35" max="36" width="11.42578125" style="11"/>
    <col min="37" max="37" width="22.140625" style="11" customWidth="1"/>
    <col min="38" max="38" width="43.7109375" style="11" customWidth="1"/>
    <col min="39" max="42" width="11.42578125" style="11"/>
    <col min="43" max="43" width="21.42578125" style="11" customWidth="1"/>
    <col min="44" max="46" width="11.42578125" style="11"/>
    <col min="47" max="47" width="26" style="112" customWidth="1"/>
    <col min="48" max="48" width="13" style="249" customWidth="1"/>
    <col min="49" max="52" width="11.42578125" style="249"/>
    <col min="53" max="53" width="11.42578125" style="11"/>
    <col min="54" max="54" width="18.5703125" style="11" customWidth="1"/>
    <col min="55" max="55" width="13.85546875" style="249" customWidth="1"/>
    <col min="56" max="56" width="11.42578125" style="249"/>
    <col min="57" max="57" width="11.42578125" style="11"/>
    <col min="58" max="58" width="21.85546875" style="11" customWidth="1"/>
    <col min="59" max="62" width="11.42578125" style="11"/>
    <col min="63" max="63" width="19" style="11" customWidth="1"/>
    <col min="64" max="65" width="11.42578125" style="249"/>
    <col min="66" max="16384" width="11.42578125" style="11"/>
  </cols>
  <sheetData>
    <row r="2" spans="2:77" x14ac:dyDescent="0.25">
      <c r="B2" s="11" t="s">
        <v>712</v>
      </c>
      <c r="C2" s="249" t="s">
        <v>717</v>
      </c>
      <c r="D2" s="249" t="s">
        <v>718</v>
      </c>
      <c r="F2" s="11" t="s">
        <v>806</v>
      </c>
      <c r="G2" s="159">
        <f>SUM(G3:G8)</f>
        <v>1</v>
      </c>
      <c r="H2" s="11">
        <f>SUM(H3:H8)</f>
        <v>411</v>
      </c>
      <c r="J2" s="11" t="s">
        <v>1020</v>
      </c>
      <c r="K2" s="249" t="s">
        <v>718</v>
      </c>
      <c r="L2" s="11" t="s">
        <v>717</v>
      </c>
      <c r="N2" s="11" t="s">
        <v>848</v>
      </c>
      <c r="O2" s="249" t="s">
        <v>718</v>
      </c>
      <c r="P2" s="249" t="s">
        <v>717</v>
      </c>
      <c r="U2" s="11" t="s">
        <v>873</v>
      </c>
      <c r="Z2" s="112" t="s">
        <v>901</v>
      </c>
      <c r="AB2" s="249"/>
      <c r="AC2" s="249"/>
      <c r="AD2" s="249"/>
      <c r="AH2" s="11" t="s">
        <v>922</v>
      </c>
      <c r="AI2" s="11" t="s">
        <v>718</v>
      </c>
      <c r="AJ2" s="11" t="s">
        <v>717</v>
      </c>
      <c r="AL2" s="11" t="s">
        <v>931</v>
      </c>
      <c r="AM2" s="11" t="s">
        <v>718</v>
      </c>
      <c r="AN2" s="11" t="s">
        <v>717</v>
      </c>
      <c r="AQ2" s="11" t="s">
        <v>945</v>
      </c>
      <c r="AR2" s="11" t="s">
        <v>718</v>
      </c>
      <c r="AS2" s="11" t="s">
        <v>717</v>
      </c>
      <c r="AU2" s="112" t="s">
        <v>1001</v>
      </c>
      <c r="AV2" s="249" t="s">
        <v>718</v>
      </c>
      <c r="AW2" s="249" t="s">
        <v>717</v>
      </c>
      <c r="BB2" s="11" t="s">
        <v>1015</v>
      </c>
      <c r="BC2" s="249" t="s">
        <v>718</v>
      </c>
      <c r="BD2" s="249" t="s">
        <v>717</v>
      </c>
      <c r="BF2" s="11" t="s">
        <v>1557</v>
      </c>
      <c r="BK2" s="11" t="s">
        <v>1785</v>
      </c>
    </row>
    <row r="3" spans="2:77" ht="30" x14ac:dyDescent="0.25">
      <c r="B3" s="11" t="s">
        <v>713</v>
      </c>
      <c r="C3" s="249">
        <f>COUNTIF('ENCUESTA PROPIETARIOS'!E7:E417,"X")</f>
        <v>378</v>
      </c>
      <c r="D3" s="6">
        <f>C3/$C$5</f>
        <v>0.91970802919708028</v>
      </c>
      <c r="F3" s="11" t="s">
        <v>807</v>
      </c>
      <c r="G3" s="159">
        <f t="shared" ref="G3:G8" si="0">H3/$H$2</f>
        <v>0.17761557177615572</v>
      </c>
      <c r="H3" s="11">
        <f>COUNTIF('ENCUESTA PROPIETARIOS'!$M$7:$M$417,"&lt;6")</f>
        <v>73</v>
      </c>
      <c r="J3" s="191" t="s">
        <v>841</v>
      </c>
      <c r="K3" s="6">
        <f>L3/$L$5</f>
        <v>0.42004773269689738</v>
      </c>
      <c r="L3" s="249">
        <f>COUNTIF('ENCUESTA PROPIETARIOS'!$AL$7:$AL$417,"X")</f>
        <v>176</v>
      </c>
      <c r="N3" s="150" t="s">
        <v>39</v>
      </c>
      <c r="O3" s="6">
        <f>P3/$P$8</f>
        <v>4.2128603104212861E-2</v>
      </c>
      <c r="P3" s="249">
        <f>COUNTIF('ENCUESTA PROPIETARIOS'!$AT$7:$AT$417,"X")</f>
        <v>19</v>
      </c>
      <c r="V3" s="249" t="s">
        <v>869</v>
      </c>
      <c r="W3" s="249" t="s">
        <v>870</v>
      </c>
      <c r="Z3" s="249"/>
      <c r="AA3" s="176" t="s">
        <v>79</v>
      </c>
      <c r="AB3" s="176" t="s">
        <v>80</v>
      </c>
      <c r="AC3" s="176" t="s">
        <v>81</v>
      </c>
      <c r="AD3" s="176" t="s">
        <v>82</v>
      </c>
      <c r="AE3" s="176" t="s">
        <v>83</v>
      </c>
      <c r="AF3" s="176" t="s">
        <v>84</v>
      </c>
      <c r="AH3" s="11" t="s">
        <v>57</v>
      </c>
      <c r="AI3" s="121">
        <f>AJ3/$AJ$5</f>
        <v>0.64233576642335766</v>
      </c>
      <c r="AJ3" s="11">
        <f>COUNTIF('ENCUESTA PROPIETARIOS'!$DQ$7:$DQ$417,"X")</f>
        <v>264</v>
      </c>
      <c r="AL3" s="11" t="s">
        <v>57</v>
      </c>
      <c r="AM3" s="121">
        <f>AN3/$AJ$5</f>
        <v>0.87104622871046233</v>
      </c>
      <c r="AN3" s="11">
        <f>COUNTIF('ENCUESTA PROPIETARIOS'!$DY$7:$DY$417,"X")</f>
        <v>358</v>
      </c>
      <c r="AQ3" s="11" t="s">
        <v>935</v>
      </c>
      <c r="AR3" s="121">
        <f>+AS3/$AS$15</f>
        <v>5.1020408163265302E-3</v>
      </c>
      <c r="AS3" s="153">
        <f>COUNTIF('DETALLES UNIDADES'!$J$8:$J$987,"NO CONTESTA")+COUNTIF('DETALLES UNIDADES'!$J$8:$J$987,"NO SABE")</f>
        <v>5</v>
      </c>
      <c r="AU3" s="112" t="s">
        <v>1002</v>
      </c>
      <c r="AV3" s="6">
        <f t="shared" ref="AV3:AV8" si="1">+AW3/$AW$8</f>
        <v>0.91836734693877553</v>
      </c>
      <c r="AW3" s="249">
        <f>COUNTIF('DETALLES UNIDADES'!$S$8:$S$987,"D")</f>
        <v>900</v>
      </c>
      <c r="BB3" s="137" t="s">
        <v>124</v>
      </c>
      <c r="BC3" s="156">
        <f>+BD3/$BD$9</f>
        <v>9.285714285714286E-2</v>
      </c>
      <c r="BD3" s="123">
        <f>COUNTIF('DETALLES UNIDADES'!$X$8:$X$987,"X")</f>
        <v>91</v>
      </c>
      <c r="BF3" s="11" t="s">
        <v>1534</v>
      </c>
      <c r="BG3" s="11" t="s">
        <v>1539</v>
      </c>
      <c r="BH3" s="11">
        <f>COUNTIF('DETALLES UNIDADES'!$AN$8:$AN$987,FORMULAS!BG3)</f>
        <v>72</v>
      </c>
      <c r="BK3" s="11" t="s">
        <v>1786</v>
      </c>
      <c r="BL3" s="6">
        <f>+BM3/$BM$10</f>
        <v>0.18571428571428572</v>
      </c>
      <c r="BM3" s="249">
        <f>COUNTIF('DETALLES UNIDADES'!$AS$8:$AS$987,"&lt;50000")</f>
        <v>182</v>
      </c>
      <c r="BT3" s="192"/>
      <c r="BU3" s="192"/>
      <c r="BV3" s="192"/>
      <c r="BW3" s="192"/>
      <c r="BX3" s="192"/>
      <c r="BY3" s="192"/>
    </row>
    <row r="4" spans="2:77" x14ac:dyDescent="0.25">
      <c r="B4" s="11" t="s">
        <v>714</v>
      </c>
      <c r="C4" s="249">
        <f>COUNTIF('ENCUESTA PROPIETARIOS'!F7:F417,"X")</f>
        <v>33</v>
      </c>
      <c r="D4" s="6">
        <f>C4/$C$5</f>
        <v>8.0291970802919707E-2</v>
      </c>
      <c r="F4" s="11" t="s">
        <v>808</v>
      </c>
      <c r="G4" s="159">
        <f t="shared" si="0"/>
        <v>0.12165450121654502</v>
      </c>
      <c r="H4" s="11">
        <f>COUNTIF('ENCUESTA PROPIETARIOS'!$M$7:$M$417,"&lt;11")-H3</f>
        <v>50</v>
      </c>
      <c r="J4" s="191" t="s">
        <v>31</v>
      </c>
      <c r="K4" s="6">
        <f>L4/$L$5</f>
        <v>0.57995226730310268</v>
      </c>
      <c r="L4" s="249">
        <f>COUNTIF('ENCUESTA PROPIETARIOS'!$AM$7:$AM$417,"X")</f>
        <v>243</v>
      </c>
      <c r="N4" s="151" t="s">
        <v>1023</v>
      </c>
      <c r="O4" s="6">
        <f>P4/$P$8</f>
        <v>0.4567627494456763</v>
      </c>
      <c r="P4" s="249">
        <f>COUNTIF('ENCUESTA PROPIETARIOS'!$AU$7:$AU$417,"X")</f>
        <v>206</v>
      </c>
      <c r="U4" s="11" t="s">
        <v>871</v>
      </c>
      <c r="V4" s="249">
        <f>COUNTIF('ENCUESTA PROPIETARIOS'!$BN$7:$BO$417,"NO CONTESTA")</f>
        <v>0</v>
      </c>
      <c r="W4" s="249">
        <f>COUNTIF('ENCUESTA PROPIETARIOS'!$BP$7:$BQ$417,"NO CONTESTA")</f>
        <v>0</v>
      </c>
      <c r="Y4" s="249">
        <v>1</v>
      </c>
      <c r="Z4" s="141" t="s">
        <v>854</v>
      </c>
      <c r="AA4" s="249">
        <f>COUNTIF('ENCUESTA PROPIETARIOS'!CN$7:CN$417,$Y4)</f>
        <v>55</v>
      </c>
      <c r="AB4" s="249">
        <f>COUNTIF('ENCUESTA PROPIETARIOS'!CO$7:CO$417,$Y4)</f>
        <v>144</v>
      </c>
      <c r="AC4" s="249">
        <f>COUNTIF('ENCUESTA PROPIETARIOS'!CP$7:CP$417,$Y4)</f>
        <v>67</v>
      </c>
      <c r="AD4" s="249">
        <f>COUNTIF('ENCUESTA PROPIETARIOS'!CQ$7:CQ$417,$Y4)</f>
        <v>42</v>
      </c>
      <c r="AE4" s="249">
        <f>COUNTIF('ENCUESTA PROPIETARIOS'!CR$7:CR$417,$Y4)</f>
        <v>10</v>
      </c>
      <c r="AF4" s="249">
        <f>COUNTIF('ENCUESTA PROPIETARIOS'!CS$7:CS$417,$Y4)</f>
        <v>88</v>
      </c>
      <c r="AH4" s="11" t="s">
        <v>49</v>
      </c>
      <c r="AI4" s="121">
        <f>AJ4/$AJ$5</f>
        <v>0.35766423357664234</v>
      </c>
      <c r="AJ4" s="11">
        <f>COUNTIF('ENCUESTA PROPIETARIOS'!$DR$7:$DR$417,"X")</f>
        <v>147</v>
      </c>
      <c r="AL4" s="11" t="s">
        <v>49</v>
      </c>
      <c r="AM4" s="121">
        <f>AN4/$AJ$5</f>
        <v>0.12895377128953772</v>
      </c>
      <c r="AN4" s="11">
        <f>COUNTIF('ENCUESTA PROPIETARIOS'!$DZ$7:$DZ$417,"X")</f>
        <v>53</v>
      </c>
      <c r="AQ4" s="11" t="s">
        <v>1028</v>
      </c>
      <c r="AR4" s="121">
        <f t="shared" ref="AR4:AR15" si="2">+AS4/$AS$15</f>
        <v>4.0816326530612249E-3</v>
      </c>
      <c r="AS4" s="153">
        <f>COUNTIF('DETALLES UNIDADES'!$J$8:$J$987,"DAÑADO")</f>
        <v>4</v>
      </c>
      <c r="AU4" s="112" t="s">
        <v>1004</v>
      </c>
      <c r="AV4" s="6">
        <f t="shared" si="1"/>
        <v>7.4489795918367352E-2</v>
      </c>
      <c r="AW4" s="249">
        <f>COUNTIF('DETALLES UNIDADES'!$S$8:$S$987,"G")</f>
        <v>73</v>
      </c>
      <c r="BB4" s="137" t="s">
        <v>125</v>
      </c>
      <c r="BC4" s="156">
        <f t="shared" ref="BC4:BC9" si="3">+BD4/$BD$9</f>
        <v>0.33367346938775511</v>
      </c>
      <c r="BD4" s="123">
        <f>COUNTIF('DETALLES UNIDADES'!$Y$8:$Y$987,"X")</f>
        <v>327</v>
      </c>
      <c r="BF4" s="11" t="s">
        <v>1540</v>
      </c>
      <c r="BG4" s="11" t="s">
        <v>1541</v>
      </c>
      <c r="BH4" s="153">
        <f>COUNTIF('DETALLES UNIDADES'!$AN$8:$AN$987,FORMULAS!BG4)-BH3</f>
        <v>316</v>
      </c>
      <c r="BK4" s="11" t="s">
        <v>1787</v>
      </c>
      <c r="BL4" s="6">
        <f t="shared" ref="BL4:BL10" si="4">+BM4/$BM$10</f>
        <v>4.2857142857142858E-2</v>
      </c>
      <c r="BM4" s="249">
        <f>COUNTIF('DETALLES UNIDADES'!$AS$8:$AS$987,"&lt;75000")-BM3</f>
        <v>42</v>
      </c>
    </row>
    <row r="5" spans="2:77" x14ac:dyDescent="0.25">
      <c r="B5" s="11" t="s">
        <v>715</v>
      </c>
      <c r="C5" s="249">
        <f>SUM(C3:C4)</f>
        <v>411</v>
      </c>
      <c r="D5" s="6">
        <f>C5/$C$5</f>
        <v>1</v>
      </c>
      <c r="F5" s="11" t="s">
        <v>809</v>
      </c>
      <c r="G5" s="159">
        <f t="shared" si="0"/>
        <v>2.9197080291970802E-2</v>
      </c>
      <c r="H5" s="11">
        <f>COUNTIF('ENCUESTA PROPIETARIOS'!$M$7:$M$417,"&lt;15")-H4-H3</f>
        <v>12</v>
      </c>
      <c r="J5" s="112" t="s">
        <v>715</v>
      </c>
      <c r="K5" s="112"/>
      <c r="L5" s="249">
        <f>L4+L3</f>
        <v>419</v>
      </c>
      <c r="N5" s="150" t="s">
        <v>41</v>
      </c>
      <c r="O5" s="6">
        <f>P5/$P$8</f>
        <v>0.31263858093126384</v>
      </c>
      <c r="P5" s="249">
        <f>COUNTIF('ENCUESTA PROPIETARIOS'!$AV$7:$AV$417,"X")</f>
        <v>141</v>
      </c>
      <c r="U5" s="11" t="s">
        <v>860</v>
      </c>
      <c r="V5" s="249">
        <f>COUNTIF('ENCUESTA PROPIETARIOS'!$BO$7:$BO$417,"X")</f>
        <v>281</v>
      </c>
      <c r="W5" s="249">
        <f>COUNTIF('ENCUESTA PROPIETARIOS'!$BQ$7:$BQ$417,"X")</f>
        <v>187</v>
      </c>
      <c r="Y5" s="249">
        <v>2</v>
      </c>
      <c r="Z5" s="141" t="s">
        <v>902</v>
      </c>
      <c r="AA5" s="249">
        <f>COUNTIF('ENCUESTA PROPIETARIOS'!CN$7:CN$417,$Y5)</f>
        <v>77</v>
      </c>
      <c r="AB5" s="249">
        <f>COUNTIF('ENCUESTA PROPIETARIOS'!CO$7:CO$417,$Y5)</f>
        <v>75</v>
      </c>
      <c r="AC5" s="249">
        <f>COUNTIF('ENCUESTA PROPIETARIOS'!CP$7:CP$417,$Y5)</f>
        <v>94</v>
      </c>
      <c r="AD5" s="249">
        <f>COUNTIF('ENCUESTA PROPIETARIOS'!CQ$7:CQ$417,$Y5)</f>
        <v>30</v>
      </c>
      <c r="AE5" s="249">
        <f>COUNTIF('ENCUESTA PROPIETARIOS'!CR$7:CR$417,$Y5)</f>
        <v>57</v>
      </c>
      <c r="AF5" s="249">
        <f>COUNTIF('ENCUESTA PROPIETARIOS'!CS$7:CS$417,$Y5)</f>
        <v>73</v>
      </c>
      <c r="AH5" s="11" t="s">
        <v>715</v>
      </c>
      <c r="AI5" s="121">
        <f>AJ5/$AJ$5</f>
        <v>1</v>
      </c>
      <c r="AJ5" s="11">
        <f>SUM(AJ3:AJ4)</f>
        <v>411</v>
      </c>
      <c r="AL5" s="11" t="s">
        <v>715</v>
      </c>
      <c r="AM5" s="121">
        <f>AN5/$AJ$5</f>
        <v>1</v>
      </c>
      <c r="AN5" s="11">
        <f>SUM(AN3:AN4)</f>
        <v>411</v>
      </c>
      <c r="AQ5" s="11" t="s">
        <v>936</v>
      </c>
      <c r="AR5" s="121">
        <f t="shared" si="2"/>
        <v>6.1224489795918366E-2</v>
      </c>
      <c r="AS5" s="153">
        <f>COUNTIF('DETALLES UNIDADES'!$J$8:$J$987,"&lt;100,000")</f>
        <v>60</v>
      </c>
      <c r="AU5" s="112" t="s">
        <v>430</v>
      </c>
      <c r="AV5" s="6">
        <f t="shared" si="1"/>
        <v>7.1428571428571426E-3</v>
      </c>
      <c r="AW5" s="249">
        <f>COUNTIF('DETALLES UNIDADES'!$S$8:$S$987,"GAS")</f>
        <v>7</v>
      </c>
      <c r="BB5" s="137" t="s">
        <v>126</v>
      </c>
      <c r="BC5" s="156">
        <f t="shared" si="3"/>
        <v>2.1428571428571429E-2</v>
      </c>
      <c r="BD5" s="123">
        <f>COUNTIF('DETALLES UNIDADES'!$Z$8:$Z$987,"X")</f>
        <v>21</v>
      </c>
      <c r="BF5" s="11" t="s">
        <v>1535</v>
      </c>
      <c r="BG5" s="11" t="s">
        <v>1546</v>
      </c>
      <c r="BH5" s="153">
        <f>COUNTIF('DETALLES UNIDADES'!$AN$8:$AN$987,FORMULAS!BG5)-BH4-BH3</f>
        <v>269</v>
      </c>
      <c r="BK5" s="11" t="s">
        <v>1788</v>
      </c>
      <c r="BL5" s="6">
        <f t="shared" si="4"/>
        <v>0.24897959183673468</v>
      </c>
      <c r="BM5" s="249">
        <f>COUNTIF('DETALLES UNIDADES'!$AS$8:$AS$987,"&lt;100000")-BM4-BM3</f>
        <v>244</v>
      </c>
    </row>
    <row r="6" spans="2:77" ht="30" x14ac:dyDescent="0.25">
      <c r="F6" s="11" t="s">
        <v>810</v>
      </c>
      <c r="G6" s="159">
        <f t="shared" si="0"/>
        <v>0.12652068126520682</v>
      </c>
      <c r="H6" s="11">
        <f>COUNTIF('ENCUESTA PROPIETARIOS'!$M$7:$M$417,"&lt;20")-H5-H4-H3</f>
        <v>52</v>
      </c>
      <c r="N6" s="150" t="s">
        <v>1867</v>
      </c>
      <c r="O6" s="6">
        <f>P6/$P$8</f>
        <v>0.18847006651884701</v>
      </c>
      <c r="P6" s="249">
        <f>COUNTIF('ENCUESTA PROPIETARIOS'!$AW$7:$AW$417,"X")</f>
        <v>85</v>
      </c>
      <c r="U6" s="11" t="s">
        <v>872</v>
      </c>
      <c r="V6" s="249">
        <f>COUNTIF('ENCUESTA PROPIETARIOS'!$BN$7:$BN$417,"X")</f>
        <v>130</v>
      </c>
      <c r="W6" s="249">
        <f>COUNTIF('ENCUESTA PROPIETARIOS'!$BP$7:$BP$417,"X")</f>
        <v>224</v>
      </c>
      <c r="Y6" s="249">
        <v>3</v>
      </c>
      <c r="Z6" s="141" t="s">
        <v>903</v>
      </c>
      <c r="AA6" s="249">
        <f>COUNTIF('ENCUESTA PROPIETARIOS'!CN$7:CN$417,$Y6)</f>
        <v>106</v>
      </c>
      <c r="AB6" s="249">
        <f>COUNTIF('ENCUESTA PROPIETARIOS'!CO$7:CO$417,$Y6)</f>
        <v>94</v>
      </c>
      <c r="AC6" s="249">
        <f>COUNTIF('ENCUESTA PROPIETARIOS'!CP$7:CP$417,$Y6)</f>
        <v>54</v>
      </c>
      <c r="AD6" s="249">
        <f>COUNTIF('ENCUESTA PROPIETARIOS'!CQ$7:CQ$417,$Y6)</f>
        <v>48</v>
      </c>
      <c r="AE6" s="249">
        <f>COUNTIF('ENCUESTA PROPIETARIOS'!CR$7:CR$417,$Y6)</f>
        <v>45</v>
      </c>
      <c r="AF6" s="249">
        <f>COUNTIF('ENCUESTA PROPIETARIOS'!CS$7:CS$417,$Y6)</f>
        <v>59</v>
      </c>
      <c r="AQ6" s="11" t="s">
        <v>937</v>
      </c>
      <c r="AR6" s="121">
        <f t="shared" si="2"/>
        <v>7.1428571428571425E-2</v>
      </c>
      <c r="AS6" s="153">
        <f>COUNTIF('DETALLES UNIDADES'!$J$8:$J$987,"&lt;200,000")-AS5</f>
        <v>70</v>
      </c>
      <c r="AU6" s="112" t="s">
        <v>1003</v>
      </c>
      <c r="AV6" s="6">
        <f t="shared" si="1"/>
        <v>0</v>
      </c>
      <c r="AW6" s="249">
        <f>COUNTIF('DETALLES UNIDADES'!$S$8:$S$987,"H")</f>
        <v>0</v>
      </c>
      <c r="BB6" s="137" t="s">
        <v>127</v>
      </c>
      <c r="BC6" s="156">
        <f t="shared" si="3"/>
        <v>2.5510204081632654E-2</v>
      </c>
      <c r="BD6" s="123">
        <f>COUNTIF('DETALLES UNIDADES'!$AA$8:AA$987,"X")</f>
        <v>25</v>
      </c>
      <c r="BF6" s="11" t="s">
        <v>1536</v>
      </c>
      <c r="BG6" s="11" t="s">
        <v>1542</v>
      </c>
      <c r="BH6" s="153">
        <f>COUNTIF('DETALLES UNIDADES'!$AN$8:$AN$987,FORMULAS!BG6)-BH5-BH4-BH3</f>
        <v>168</v>
      </c>
      <c r="BK6" s="11" t="s">
        <v>1789</v>
      </c>
      <c r="BL6" s="6">
        <f t="shared" si="4"/>
        <v>0.23469387755102042</v>
      </c>
      <c r="BM6" s="249">
        <f>COUNTIF('DETALLES UNIDADES'!$AS$8:$AS$987,"&lt;125000")-BM5-BM4-BM3</f>
        <v>230</v>
      </c>
    </row>
    <row r="7" spans="2:77" x14ac:dyDescent="0.25">
      <c r="F7" s="11" t="s">
        <v>811</v>
      </c>
      <c r="G7" s="159">
        <f t="shared" si="0"/>
        <v>0.16058394160583941</v>
      </c>
      <c r="H7" s="11">
        <f>COUNTIF('ENCUESTA PROPIETARIOS'!$M$7:$M$417,"&lt;25")-H6-H5-H4-H3</f>
        <v>66</v>
      </c>
      <c r="U7" s="11" t="s">
        <v>715</v>
      </c>
      <c r="V7" s="249">
        <f>SUM(V4:V6)</f>
        <v>411</v>
      </c>
      <c r="W7" s="249">
        <f>SUM(W4:W6)</f>
        <v>411</v>
      </c>
      <c r="Y7" s="249">
        <v>4</v>
      </c>
      <c r="Z7" s="141" t="s">
        <v>904</v>
      </c>
      <c r="AA7" s="249">
        <f>COUNTIF('ENCUESTA PROPIETARIOS'!CN$7:CN$417,$Y7)</f>
        <v>73</v>
      </c>
      <c r="AB7" s="249">
        <f>COUNTIF('ENCUESTA PROPIETARIOS'!CO$7:CO$417,$Y7)</f>
        <v>51</v>
      </c>
      <c r="AC7" s="249">
        <f>COUNTIF('ENCUESTA PROPIETARIOS'!CP$7:CP$417,$Y7)</f>
        <v>103</v>
      </c>
      <c r="AD7" s="249">
        <f>COUNTIF('ENCUESTA PROPIETARIOS'!CQ$7:CQ$417,$Y7)</f>
        <v>74</v>
      </c>
      <c r="AE7" s="249">
        <f>COUNTIF('ENCUESTA PROPIETARIOS'!CR$7:CR$417,$Y7)</f>
        <v>53</v>
      </c>
      <c r="AF7" s="249">
        <f>COUNTIF('ENCUESTA PROPIETARIOS'!CS$7:CS$417,$Y7)</f>
        <v>52</v>
      </c>
      <c r="AQ7" s="11" t="s">
        <v>938</v>
      </c>
      <c r="AR7" s="121">
        <f t="shared" si="2"/>
        <v>4.3877551020408162E-2</v>
      </c>
      <c r="AS7" s="153">
        <f>COUNTIF('DETALLES UNIDADES'!$J$8:$J$987,"&lt;300,000")-AS6-AS5</f>
        <v>43</v>
      </c>
      <c r="AU7" s="112" t="s">
        <v>849</v>
      </c>
      <c r="AV7" s="6">
        <f t="shared" si="1"/>
        <v>0</v>
      </c>
      <c r="AW7" s="249">
        <f>COUNTIF('DETALLES UNIDADES'!$S$8:$S$987,"O")</f>
        <v>0</v>
      </c>
      <c r="BB7" s="137" t="s">
        <v>1016</v>
      </c>
      <c r="BC7" s="156">
        <f t="shared" si="3"/>
        <v>0.43979591836734694</v>
      </c>
      <c r="BD7" s="123">
        <f>COUNTIF('DETALLES UNIDADES'!$AB$8:AB$987,"X")</f>
        <v>431</v>
      </c>
      <c r="BF7" s="11" t="s">
        <v>1537</v>
      </c>
      <c r="BG7" s="11" t="s">
        <v>1543</v>
      </c>
      <c r="BH7" s="153">
        <f>COUNTIF('DETALLES UNIDADES'!$AN$8:$AN$987,FORMULAS!BG7)-BH6-BH5-BH4-BH3</f>
        <v>81</v>
      </c>
      <c r="BK7" s="11" t="s">
        <v>1790</v>
      </c>
      <c r="BL7" s="6">
        <f t="shared" si="4"/>
        <v>0.11938775510204082</v>
      </c>
      <c r="BM7" s="249">
        <f>COUNTIF('DETALLES UNIDADES'!$AS$8:$AS$987,"&lt;150000")-BM6-BM5-BM4-BM3</f>
        <v>117</v>
      </c>
    </row>
    <row r="8" spans="2:77" ht="25.5" x14ac:dyDescent="0.25">
      <c r="B8" s="11" t="s">
        <v>2406</v>
      </c>
      <c r="C8" s="122">
        <f>AVERAGE('DATOS 1'!K7:K40)</f>
        <v>21.470588235294116</v>
      </c>
      <c r="D8" s="6"/>
      <c r="F8" s="11" t="s">
        <v>812</v>
      </c>
      <c r="G8" s="159">
        <f t="shared" si="0"/>
        <v>0.38442822384428221</v>
      </c>
      <c r="H8" s="11">
        <f>COUNTIF('ENCUESTA PROPIETARIOS'!$M$7:$M$417,"&gt;24")</f>
        <v>158</v>
      </c>
      <c r="J8" s="11" t="s">
        <v>840</v>
      </c>
      <c r="N8" s="11" t="s">
        <v>715</v>
      </c>
      <c r="O8" s="6">
        <f>P8/$P$8</f>
        <v>1</v>
      </c>
      <c r="P8" s="249">
        <f>SUM(P3:P7)</f>
        <v>451</v>
      </c>
      <c r="Y8" s="249">
        <v>5</v>
      </c>
      <c r="Z8" s="141" t="s">
        <v>856</v>
      </c>
      <c r="AA8" s="249">
        <f>COUNTIF('ENCUESTA PROPIETARIOS'!CN$7:CN$417,$Y8)</f>
        <v>56</v>
      </c>
      <c r="AB8" s="249">
        <f>COUNTIF('ENCUESTA PROPIETARIOS'!CO$7:CO$417,$Y8)</f>
        <v>34</v>
      </c>
      <c r="AC8" s="249">
        <f>COUNTIF('ENCUESTA PROPIETARIOS'!CP$7:CP$417,$Y8)</f>
        <v>36</v>
      </c>
      <c r="AD8" s="249">
        <f>COUNTIF('ENCUESTA PROPIETARIOS'!CQ$7:CQ$417,$Y8)</f>
        <v>115</v>
      </c>
      <c r="AE8" s="249">
        <f>COUNTIF('ENCUESTA PROPIETARIOS'!CR$7:CR$417,$Y8)</f>
        <v>112</v>
      </c>
      <c r="AF8" s="249">
        <f>COUNTIF('ENCUESTA PROPIETARIOS'!CS$7:CS$417,$Y8)</f>
        <v>53</v>
      </c>
      <c r="AH8" s="11" t="s">
        <v>1024</v>
      </c>
      <c r="AI8" s="249" t="s">
        <v>718</v>
      </c>
      <c r="AJ8" s="11" t="s">
        <v>717</v>
      </c>
      <c r="AL8" s="11" t="s">
        <v>1027</v>
      </c>
      <c r="AM8" s="249" t="s">
        <v>718</v>
      </c>
      <c r="AN8" s="11" t="s">
        <v>717</v>
      </c>
      <c r="AQ8" s="11" t="s">
        <v>939</v>
      </c>
      <c r="AR8" s="121">
        <f t="shared" si="2"/>
        <v>9.1836734693877556E-2</v>
      </c>
      <c r="AS8" s="153">
        <f>COUNTIF('DETALLES UNIDADES'!$J$8:$J$987,"&lt;400,000")-AS7-AS6-AS5</f>
        <v>90</v>
      </c>
      <c r="AU8" s="112" t="s">
        <v>715</v>
      </c>
      <c r="AV8" s="6">
        <f t="shared" si="1"/>
        <v>1</v>
      </c>
      <c r="AW8" s="249">
        <f>SUM(AW3:AW7)</f>
        <v>980</v>
      </c>
      <c r="BB8" s="137" t="s">
        <v>1017</v>
      </c>
      <c r="BC8" s="156">
        <f t="shared" si="3"/>
        <v>8.673469387755102E-2</v>
      </c>
      <c r="BD8" s="123">
        <f>COUNTIF('DETALLES UNIDADES'!$AC$8:AC$987,"X")</f>
        <v>85</v>
      </c>
      <c r="BF8" s="11" t="s">
        <v>1538</v>
      </c>
      <c r="BG8" s="11" t="s">
        <v>1544</v>
      </c>
      <c r="BH8" s="153">
        <f>COUNTIF('DETALLES UNIDADES'!$AN$8:$AN$987,FORMULAS!BG8)-BH7-BH6-BH5-BH4-BH3</f>
        <v>32</v>
      </c>
      <c r="BK8" s="11" t="s">
        <v>1792</v>
      </c>
      <c r="BL8" s="6">
        <f t="shared" si="4"/>
        <v>3.6734693877551024E-2</v>
      </c>
      <c r="BM8" s="249">
        <f>COUNTIF('DETALLES UNIDADES'!$AS$8:$AS$987,"&lt;175000")-BM7-BM6-BM5-BM4-BM3</f>
        <v>36</v>
      </c>
    </row>
    <row r="9" spans="2:77" x14ac:dyDescent="0.25">
      <c r="B9" s="11" t="s">
        <v>2407</v>
      </c>
      <c r="C9" s="249">
        <f>AVERAGE('DATOS 1'!K51:K427)</f>
        <v>19.212201591511935</v>
      </c>
      <c r="D9" s="6"/>
      <c r="J9" s="191" t="s">
        <v>843</v>
      </c>
      <c r="K9" s="6">
        <f>L9/$L$13</f>
        <v>0.11515151515151516</v>
      </c>
      <c r="L9" s="249">
        <f>COUNTIF('ENCUESTA PROPIETARIOS'!$AN$7:$AN$417,"X")</f>
        <v>57</v>
      </c>
      <c r="Y9" s="249">
        <v>6</v>
      </c>
      <c r="Z9" s="141" t="s">
        <v>857</v>
      </c>
      <c r="AA9" s="249">
        <f>COUNTIF('ENCUESTA PROPIETARIOS'!CN$7:CN$417,$Y9)</f>
        <v>39</v>
      </c>
      <c r="AB9" s="249">
        <f>COUNTIF('ENCUESTA PROPIETARIOS'!CO$7:CO$417,$Y9)</f>
        <v>8</v>
      </c>
      <c r="AC9" s="249">
        <f>COUNTIF('ENCUESTA PROPIETARIOS'!CP$7:CP$417,$Y9)</f>
        <v>52</v>
      </c>
      <c r="AD9" s="249">
        <f>COUNTIF('ENCUESTA PROPIETARIOS'!CQ$7:CQ$417,$Y9)</f>
        <v>97</v>
      </c>
      <c r="AE9" s="249">
        <f>COUNTIF('ENCUESTA PROPIETARIOS'!CR$7:CR$417,$Y9)</f>
        <v>129</v>
      </c>
      <c r="AF9" s="249">
        <f>COUNTIF('ENCUESTA PROPIETARIOS'!CS$7:CS$417,$Y9)</f>
        <v>81</v>
      </c>
      <c r="AH9" s="11" t="s">
        <v>913</v>
      </c>
      <c r="AI9" s="6">
        <f>+AJ9/$AJ$5</f>
        <v>4.8661800486618008E-2</v>
      </c>
      <c r="AJ9" s="11">
        <f>COUNTIF('ENCUESTA PROPIETARIOS'!$DU$7:$DU$417,"X")</f>
        <v>20</v>
      </c>
      <c r="AL9" s="11" t="s">
        <v>913</v>
      </c>
      <c r="AM9" s="6">
        <f>AN9/$AJ$11</f>
        <v>0</v>
      </c>
      <c r="AN9" s="11">
        <f>COUNTIF('ENCUESTA PROPIETARIOS'!$EC$7:$EC$417,"X")</f>
        <v>0</v>
      </c>
      <c r="AQ9" s="11" t="s">
        <v>940</v>
      </c>
      <c r="AR9" s="121">
        <f t="shared" si="2"/>
        <v>5.6122448979591837E-2</v>
      </c>
      <c r="AS9" s="153">
        <f>COUNTIF('DETALLES UNIDADES'!$J$8:$J$987,"&lt;500,000")-AS8-AS7-AS6-AS5</f>
        <v>55</v>
      </c>
      <c r="BB9" s="11" t="s">
        <v>715</v>
      </c>
      <c r="BC9" s="156">
        <f t="shared" si="3"/>
        <v>1</v>
      </c>
      <c r="BD9" s="249">
        <f>SUM(BD3:BD8)</f>
        <v>980</v>
      </c>
      <c r="BF9" s="186" t="s">
        <v>1568</v>
      </c>
      <c r="BG9" s="11" t="s">
        <v>1545</v>
      </c>
      <c r="BH9" s="11">
        <f>COUNTIF('DETALLES UNIDADES'!$AN$8:$AN$987,FORMULAS!BG9)</f>
        <v>42</v>
      </c>
      <c r="BK9" s="11" t="s">
        <v>1793</v>
      </c>
      <c r="BL9" s="6">
        <f t="shared" si="4"/>
        <v>0.13163265306122449</v>
      </c>
      <c r="BM9" s="249">
        <f>COUNTIF('DETALLES UNIDADES'!$AS$8:$AS$987,"&gt;174999")</f>
        <v>129</v>
      </c>
    </row>
    <row r="10" spans="2:77" x14ac:dyDescent="0.25">
      <c r="D10" s="6"/>
      <c r="F10" s="11" t="s">
        <v>813</v>
      </c>
      <c r="G10" s="249" t="s">
        <v>718</v>
      </c>
      <c r="H10" s="249" t="s">
        <v>717</v>
      </c>
      <c r="J10" s="191" t="s">
        <v>844</v>
      </c>
      <c r="K10" s="6">
        <f>L10/$L$13</f>
        <v>0.29494949494949496</v>
      </c>
      <c r="L10" s="249">
        <f>COUNTIF('ENCUESTA PROPIETARIOS'!$AO$7:$AO$417,"X")</f>
        <v>146</v>
      </c>
      <c r="Z10" s="11" t="s">
        <v>715</v>
      </c>
      <c r="AA10" s="249">
        <f t="shared" ref="AA10:AF10" si="5">SUM(AA4:AA9)</f>
        <v>406</v>
      </c>
      <c r="AB10" s="249">
        <f t="shared" si="5"/>
        <v>406</v>
      </c>
      <c r="AC10" s="249">
        <f t="shared" si="5"/>
        <v>406</v>
      </c>
      <c r="AD10" s="249">
        <f t="shared" si="5"/>
        <v>406</v>
      </c>
      <c r="AE10" s="249">
        <f t="shared" si="5"/>
        <v>406</v>
      </c>
      <c r="AF10" s="249">
        <f t="shared" si="5"/>
        <v>406</v>
      </c>
      <c r="AH10" s="11" t="s">
        <v>914</v>
      </c>
      <c r="AI10" s="6">
        <f t="shared" ref="AI10:AI11" si="6">+AJ10/$AJ$5</f>
        <v>0.30900243309002434</v>
      </c>
      <c r="AJ10" s="11">
        <f>COUNTIF('ENCUESTA PROPIETARIOS'!$DS$7:$DS$417,"X")</f>
        <v>127</v>
      </c>
      <c r="AL10" s="11" t="s">
        <v>914</v>
      </c>
      <c r="AM10" s="6">
        <f>AN10/$AB$39</f>
        <v>0.12895377128953772</v>
      </c>
      <c r="AN10" s="11">
        <f>COUNTIF('ENCUESTA PROPIETARIOS'!$EA$7:$EA$417,"X")</f>
        <v>53</v>
      </c>
      <c r="AQ10" s="11" t="s">
        <v>941</v>
      </c>
      <c r="AR10" s="121">
        <f t="shared" si="2"/>
        <v>0.18979591836734694</v>
      </c>
      <c r="AS10" s="153">
        <f>COUNTIF('DETALLES UNIDADES'!$J$8:$J$987,"&lt;750,000")-AS9-AS8-AS7-AS6-AS5</f>
        <v>186</v>
      </c>
      <c r="BH10" s="11">
        <f>SUM(BH3:BH9)</f>
        <v>980</v>
      </c>
      <c r="BK10" s="11" t="s">
        <v>715</v>
      </c>
      <c r="BL10" s="6">
        <f t="shared" si="4"/>
        <v>1</v>
      </c>
      <c r="BM10" s="249">
        <f>SUM(BM3:BM9)</f>
        <v>980</v>
      </c>
    </row>
    <row r="11" spans="2:77" x14ac:dyDescent="0.25">
      <c r="D11" s="6"/>
      <c r="F11" s="11" t="s">
        <v>814</v>
      </c>
      <c r="G11" s="193">
        <f>ROUND(H11/$H$15,4)</f>
        <v>0.49149999999999999</v>
      </c>
      <c r="H11" s="249">
        <f>COUNTIF('ENCUESTA PROPIETARIOS'!$N$7:$N$417,"1")</f>
        <v>202</v>
      </c>
      <c r="J11" s="191" t="s">
        <v>842</v>
      </c>
      <c r="K11" s="6">
        <f>L11/$L$13</f>
        <v>0.19393939393939394</v>
      </c>
      <c r="L11" s="249">
        <f>COUNTIF('ENCUESTA PROPIETARIOS'!$AP$7:$AP$417,"X")</f>
        <v>96</v>
      </c>
      <c r="N11" s="249"/>
      <c r="O11" s="249" t="s">
        <v>850</v>
      </c>
      <c r="Q11" s="249"/>
      <c r="R11" s="249"/>
      <c r="S11" s="249"/>
      <c r="Y11" s="11" t="s">
        <v>405</v>
      </c>
      <c r="Z11" s="11" t="s">
        <v>405</v>
      </c>
      <c r="AA11" s="249">
        <f>COUNTIF('ENCUESTA PROPIETARIOS'!CN$7:CN$417,"NO LE INTERESA")</f>
        <v>5</v>
      </c>
      <c r="AB11" s="249">
        <f>COUNTIF('ENCUESTA PROPIETARIOS'!CO$7:CO$417,$Y11)</f>
        <v>5</v>
      </c>
      <c r="AC11" s="249">
        <f>COUNTIF('ENCUESTA PROPIETARIOS'!CP$7:CP$417,$Y11)</f>
        <v>5</v>
      </c>
      <c r="AD11" s="249">
        <f>COUNTIF('ENCUESTA PROPIETARIOS'!CQ$7:CQ$417,$Y11)</f>
        <v>5</v>
      </c>
      <c r="AE11" s="249">
        <f>COUNTIF('ENCUESTA PROPIETARIOS'!CR$7:CR$417,$Y11)</f>
        <v>5</v>
      </c>
      <c r="AF11" s="249">
        <f>COUNTIF('ENCUESTA PROPIETARIOS'!CS$7:CS$417,$Y11)</f>
        <v>5</v>
      </c>
      <c r="AH11" s="11" t="s">
        <v>715</v>
      </c>
      <c r="AI11" s="6">
        <f t="shared" si="6"/>
        <v>0.35766423357664234</v>
      </c>
      <c r="AJ11" s="11">
        <f>SUM(AJ9:AJ10)</f>
        <v>147</v>
      </c>
      <c r="AL11" s="11" t="s">
        <v>715</v>
      </c>
      <c r="AM11" s="6">
        <f>AN11/$AB$39</f>
        <v>0.12895377128953772</v>
      </c>
      <c r="AN11" s="11">
        <f>SUM(AN9:AN10)</f>
        <v>53</v>
      </c>
      <c r="AQ11" s="11" t="s">
        <v>942</v>
      </c>
      <c r="AR11" s="121">
        <f t="shared" si="2"/>
        <v>0.16734693877551021</v>
      </c>
      <c r="AS11" s="153">
        <f>COUNTIF('DETALLES UNIDADES'!$J$8:$J$987,"&lt;1,000,000")-AS10-AS9-AS8-AS7-AS6-AS5</f>
        <v>164</v>
      </c>
      <c r="AU11" s="112" t="s">
        <v>1677</v>
      </c>
      <c r="AW11" s="249" t="s">
        <v>1005</v>
      </c>
      <c r="AX11" s="112" t="s">
        <v>1678</v>
      </c>
      <c r="AZ11" s="249" t="s">
        <v>1006</v>
      </c>
      <c r="BB11" s="11" t="s">
        <v>1679</v>
      </c>
      <c r="BC11" s="249" t="s">
        <v>717</v>
      </c>
    </row>
    <row r="12" spans="2:77" ht="38.25" x14ac:dyDescent="0.25">
      <c r="D12" s="6"/>
      <c r="F12" s="11" t="s">
        <v>815</v>
      </c>
      <c r="G12" s="193">
        <f>ROUND(H12/$H$15,4)</f>
        <v>0.20680000000000001</v>
      </c>
      <c r="H12" s="249">
        <f>COUNTIF('ENCUESTA PROPIETARIOS'!$N$7:$N$417,"2")</f>
        <v>85</v>
      </c>
      <c r="J12" s="191" t="s">
        <v>263</v>
      </c>
      <c r="K12" s="6">
        <f>L12/$L$13</f>
        <v>0.39595959595959596</v>
      </c>
      <c r="L12" s="249">
        <f>COUNTIF('ENCUESTA PROPIETARIOS'!$AQ$7:$AQ$417,"X")</f>
        <v>196</v>
      </c>
      <c r="N12" s="249"/>
      <c r="P12" s="249" t="s">
        <v>851</v>
      </c>
      <c r="Q12" s="249" t="s">
        <v>852</v>
      </c>
      <c r="R12" s="249" t="s">
        <v>853</v>
      </c>
      <c r="S12" s="249" t="s">
        <v>346</v>
      </c>
      <c r="U12" s="11" t="s">
        <v>876</v>
      </c>
      <c r="V12" s="249" t="s">
        <v>718</v>
      </c>
      <c r="W12" s="249" t="s">
        <v>717</v>
      </c>
      <c r="Y12" s="11"/>
      <c r="AB12" s="249"/>
      <c r="AC12" s="249"/>
      <c r="AD12" s="249"/>
      <c r="AE12" s="249"/>
      <c r="AF12" s="249"/>
      <c r="AQ12" s="11" t="s">
        <v>943</v>
      </c>
      <c r="AR12" s="121">
        <f t="shared" si="2"/>
        <v>0.14183673469387756</v>
      </c>
      <c r="AS12" s="153">
        <f>COUNTIF('DETALLES UNIDADES'!$J$8:$J$987,"&lt;1,500,000")-AS11-AS10-AS9-AS8-AS7-AS6-AS5</f>
        <v>139</v>
      </c>
      <c r="AU12" s="19" t="s">
        <v>1719</v>
      </c>
      <c r="AV12" s="194">
        <f>+AW12/$AW$21</f>
        <v>6.224489795918367E-2</v>
      </c>
      <c r="AW12" s="249">
        <f>COUNTIF('DETALLES UNIDADES'!$T$8:$T$987,"&lt;1.61")</f>
        <v>61</v>
      </c>
      <c r="AX12" s="19" t="s">
        <v>2413</v>
      </c>
      <c r="AY12" s="194">
        <f>+AZ12/$AZ$21</f>
        <v>2.8571428571428571E-2</v>
      </c>
      <c r="AZ12" s="249">
        <f>COUNTIF('DETALLES UNIDADES'!$U$8:$U$987,"&lt;1.91")</f>
        <v>28</v>
      </c>
      <c r="BB12" s="137" t="s">
        <v>168</v>
      </c>
      <c r="BC12" s="249">
        <f>COUNTIF('DETALLES UNIDADES'!$AD$8:$AD$987,"X")</f>
        <v>569</v>
      </c>
      <c r="BF12" s="11" t="s">
        <v>1558</v>
      </c>
    </row>
    <row r="13" spans="2:77" ht="25.5" x14ac:dyDescent="0.25">
      <c r="D13" s="6"/>
      <c r="F13" s="11" t="s">
        <v>816</v>
      </c>
      <c r="G13" s="193">
        <f>ROUND(H13/$H$15,4)</f>
        <v>0.219</v>
      </c>
      <c r="H13" s="249">
        <f>COUNTIF('ENCUESTA PROPIETARIOS'!$N$7:$N$417,"3")+COUNTIF('ENCUESTA PROPIETARIOS'!$N$7:$N$417,"4")+COUNTIF('ENCUESTA PROPIETARIOS'!$N$7:$N$417,"5")</f>
        <v>90</v>
      </c>
      <c r="J13" s="112" t="s">
        <v>715</v>
      </c>
      <c r="K13" s="6">
        <f>L13/$L$13</f>
        <v>1</v>
      </c>
      <c r="L13" s="249">
        <f>SUM(L9:L12)</f>
        <v>495</v>
      </c>
      <c r="N13" s="249">
        <v>1</v>
      </c>
      <c r="O13" s="249" t="s">
        <v>854</v>
      </c>
      <c r="P13" s="249">
        <f>COUNTIF('ENCUESTA PROPIETARIOS'!AX$7:AX$417,$N13)</f>
        <v>165</v>
      </c>
      <c r="Q13" s="249">
        <f>COUNTIF('ENCUESTA PROPIETARIOS'!AY$7:AY$417,$N13)</f>
        <v>69</v>
      </c>
      <c r="R13" s="249">
        <f>COUNTIF('ENCUESTA PROPIETARIOS'!AZ$7:AZ$417,$N13)</f>
        <v>103</v>
      </c>
      <c r="S13" s="249">
        <f>COUNTIF('ENCUESTA PROPIETARIOS'!BA$7:BA$417,"SEGURIDAD")</f>
        <v>73</v>
      </c>
      <c r="U13" s="137" t="s">
        <v>877</v>
      </c>
      <c r="V13" s="6">
        <f t="shared" ref="V13:V20" si="7">W13/$W$20</f>
        <v>0.33937397034596378</v>
      </c>
      <c r="W13" s="249">
        <f>COUNTIF('ENCUESTA PROPIETARIOS'!$BR$7:$BR$417,"X")</f>
        <v>206</v>
      </c>
      <c r="Z13" s="11" t="s">
        <v>907</v>
      </c>
      <c r="AA13" s="249" t="s">
        <v>718</v>
      </c>
      <c r="AB13" s="11" t="s">
        <v>717</v>
      </c>
      <c r="AQ13" s="11" t="s">
        <v>944</v>
      </c>
      <c r="AR13" s="121">
        <f t="shared" si="2"/>
        <v>0.10204081632653061</v>
      </c>
      <c r="AS13" s="153">
        <f>COUNTIF('DETALLES UNIDADES'!$J$8:$J$987,"&lt;2,000,000")-AS12-AS11-AS10-AS9-AS8-AS7-AS6-AS5</f>
        <v>100</v>
      </c>
      <c r="AU13" s="19" t="s">
        <v>1720</v>
      </c>
      <c r="AV13" s="194">
        <f t="shared" ref="AV13:AV21" si="8">+AW13/$AW$21</f>
        <v>0.12244897959183673</v>
      </c>
      <c r="AW13" s="249">
        <f>COUNTIF('DETALLES UNIDADES'!$T$8:$T$987,"&lt;1.91")-AW12</f>
        <v>120</v>
      </c>
      <c r="AX13" s="19" t="s">
        <v>1731</v>
      </c>
      <c r="AY13" s="194">
        <f t="shared" ref="AY13:AY21" si="9">+AZ13/$AZ$21</f>
        <v>0.14081632653061224</v>
      </c>
      <c r="AZ13" s="249">
        <f>COUNTIF('DETALLES UNIDADES'!$U$8:$U$987,"&lt;2.21")-AZ12</f>
        <v>138</v>
      </c>
      <c r="BB13" s="137" t="s">
        <v>169</v>
      </c>
      <c r="BC13" s="249">
        <f>COUNTIF('DETALLES UNIDADES'!$AE$8:$AE$987,"X")</f>
        <v>460</v>
      </c>
      <c r="BF13" s="11" t="s">
        <v>1549</v>
      </c>
      <c r="BG13" s="11" t="s">
        <v>1550</v>
      </c>
      <c r="BH13" s="11">
        <f>COUNTIF('DETALLES UNIDADES'!$AQ$8:$AQ$987,FORMULAS!BG13)</f>
        <v>121</v>
      </c>
      <c r="BK13" s="11" t="s">
        <v>1794</v>
      </c>
    </row>
    <row r="14" spans="2:77" ht="25.5" x14ac:dyDescent="0.25">
      <c r="D14" s="6"/>
      <c r="F14" s="11" t="s">
        <v>817</v>
      </c>
      <c r="G14" s="193">
        <f>ROUND(H14/$H$15,4)</f>
        <v>8.2699999999999996E-2</v>
      </c>
      <c r="H14" s="249">
        <f>COUNTIF('ENCUESTA PROPIETARIOS'!$N$7:$N$417,"&gt;5")</f>
        <v>34</v>
      </c>
      <c r="J14" s="112" t="s">
        <v>837</v>
      </c>
      <c r="K14" s="249" t="s">
        <v>717</v>
      </c>
      <c r="L14" s="11" t="s">
        <v>718</v>
      </c>
      <c r="N14" s="249">
        <v>2</v>
      </c>
      <c r="O14" s="249" t="s">
        <v>855</v>
      </c>
      <c r="P14" s="249">
        <f>COUNTIF('ENCUESTA PROPIETARIOS'!AX$7:AX$417,$N14)</f>
        <v>122</v>
      </c>
      <c r="Q14" s="249">
        <f>COUNTIF('ENCUESTA PROPIETARIOS'!AY$7:AY$417,$N14)</f>
        <v>135</v>
      </c>
      <c r="R14" s="249">
        <f>COUNTIF('ENCUESTA PROPIETARIOS'!AZ$7:AZ$417,$N14)</f>
        <v>153</v>
      </c>
      <c r="S14" s="249"/>
      <c r="U14" s="137" t="s">
        <v>60</v>
      </c>
      <c r="V14" s="6">
        <f t="shared" si="7"/>
        <v>0.1186161449752883</v>
      </c>
      <c r="W14" s="249">
        <f>COUNTIF('ENCUESTA PROPIETARIOS'!$BS$7:$BS$417,"X")</f>
        <v>72</v>
      </c>
      <c r="Z14" s="137" t="s">
        <v>86</v>
      </c>
      <c r="AA14" s="6">
        <f t="shared" ref="AA14:AA22" si="10">+AB14/$AB$22</f>
        <v>0.16366366366366367</v>
      </c>
      <c r="AB14" s="249">
        <f>COUNTIF('ENCUESTA PROPIETARIOS'!$CT$7:$CT$417,"X")</f>
        <v>109</v>
      </c>
      <c r="AH14" s="11" t="s">
        <v>1025</v>
      </c>
      <c r="AI14" s="249" t="s">
        <v>718</v>
      </c>
      <c r="AJ14" s="11" t="s">
        <v>717</v>
      </c>
      <c r="AL14" s="11" t="s">
        <v>933</v>
      </c>
      <c r="AM14" s="249" t="s">
        <v>718</v>
      </c>
      <c r="AN14" s="11" t="s">
        <v>717</v>
      </c>
      <c r="AQ14" s="11" t="s">
        <v>955</v>
      </c>
      <c r="AR14" s="121">
        <f t="shared" si="2"/>
        <v>6.5306122448979598E-2</v>
      </c>
      <c r="AS14" s="153">
        <f>COUNTIF('DETALLES UNIDADES'!$J$8:$J$987,"&gt;1,999,999")</f>
        <v>64</v>
      </c>
      <c r="AU14" s="19" t="s">
        <v>1721</v>
      </c>
      <c r="AV14" s="194">
        <f t="shared" si="8"/>
        <v>0.18265306122448979</v>
      </c>
      <c r="AW14" s="249">
        <f>COUNTIF('DETALLES UNIDADES'!$T$8:$T$987,"&lt;2.01")-AW13-AW12</f>
        <v>179</v>
      </c>
      <c r="AX14" s="19" t="s">
        <v>1732</v>
      </c>
      <c r="AY14" s="194">
        <f t="shared" si="9"/>
        <v>0.12551020408163266</v>
      </c>
      <c r="AZ14" s="249">
        <f>COUNTIF('DETALLES UNIDADES'!$U$8:$U$987,"&lt;2.41")-AZ13-AZ12</f>
        <v>123</v>
      </c>
      <c r="BB14" s="137" t="s">
        <v>170</v>
      </c>
      <c r="BC14" s="249">
        <f>COUNTIF('DETALLES UNIDADES'!$AF$8:$AF$987,"X")</f>
        <v>86</v>
      </c>
      <c r="BF14" s="11" t="s">
        <v>1551</v>
      </c>
      <c r="BG14" s="11" t="s">
        <v>1552</v>
      </c>
      <c r="BH14" s="153">
        <f>COUNTIF('DETALLES UNIDADES'!$AQ$8:$AQ$987,FORMULAS!BG14)-BH13</f>
        <v>33</v>
      </c>
      <c r="BK14" s="195">
        <v>0</v>
      </c>
      <c r="BL14" s="6">
        <f>+BM14/$BM$20</f>
        <v>0.69795918367346943</v>
      </c>
      <c r="BM14" s="249">
        <f>COUNTIF('DETALLES UNIDADES'!$AT$8:$AT$987,"0")</f>
        <v>684</v>
      </c>
    </row>
    <row r="15" spans="2:77" x14ac:dyDescent="0.25">
      <c r="D15" s="6"/>
      <c r="F15" s="11" t="s">
        <v>715</v>
      </c>
      <c r="G15" s="193">
        <f>ROUND(H15/$H$15,4)</f>
        <v>1</v>
      </c>
      <c r="H15" s="249">
        <f>SUM(H11:H14)</f>
        <v>411</v>
      </c>
      <c r="J15" s="249" t="s">
        <v>348</v>
      </c>
      <c r="K15" s="249">
        <f>COUNTIF('DETALLES UNIDADES'!$C$8:$C$987,FORMULAS!J15)</f>
        <v>210</v>
      </c>
      <c r="L15" s="121">
        <f>K15/$K$20</f>
        <v>0.21428571428571427</v>
      </c>
      <c r="N15" s="249">
        <v>3</v>
      </c>
      <c r="O15" s="249" t="s">
        <v>856</v>
      </c>
      <c r="P15" s="249">
        <f>COUNTIF('ENCUESTA PROPIETARIOS'!AX$7:AX$417,$N15)</f>
        <v>104</v>
      </c>
      <c r="Q15" s="249">
        <f>COUNTIF('ENCUESTA PROPIETARIOS'!AY$7:AY$417,$N15)</f>
        <v>182</v>
      </c>
      <c r="R15" s="249">
        <f>COUNTIF('ENCUESTA PROPIETARIOS'!AZ$7:AZ$417,$N15)</f>
        <v>124</v>
      </c>
      <c r="S15" s="249"/>
      <c r="U15" s="137" t="s">
        <v>1772</v>
      </c>
      <c r="V15" s="6">
        <f t="shared" si="7"/>
        <v>8.4019769357495888E-2</v>
      </c>
      <c r="W15" s="249">
        <f>COUNTIF('ENCUESTA PROPIETARIOS'!$BT$7:$BT$417,"X")</f>
        <v>51</v>
      </c>
      <c r="Z15" s="137" t="s">
        <v>87</v>
      </c>
      <c r="AA15" s="6">
        <f t="shared" si="10"/>
        <v>0.16966966966966968</v>
      </c>
      <c r="AB15" s="249">
        <f>COUNTIF('ENCUESTA PROPIETARIOS'!$CU$7:$CU$417,"X")</f>
        <v>113</v>
      </c>
      <c r="AH15" s="19" t="s">
        <v>437</v>
      </c>
      <c r="AI15" s="121">
        <f>AJ15/$AJ$19</f>
        <v>0.46456692913385828</v>
      </c>
      <c r="AJ15" s="11">
        <f>COUNTIF('ENCUESTA PROPIETARIOS'!$DT$7:$DT$417,AH15)+COUNTIF('ENCUESTA PROPIETARIOS'!$DT$7:$DT$417,"NO CONVIENE")+COUNTIF('ENCUESTA PROPIETARIOS'!$DT$7:$DT$417,"ES UN ROBO")++COUNTIF('ENCUESTA PROPIETARIOS'!$DT$7:$DT$417,"PAGAN POCO")</f>
        <v>59</v>
      </c>
      <c r="AL15" s="19" t="s">
        <v>435</v>
      </c>
      <c r="AM15" s="121">
        <f>AN15/$AN$20</f>
        <v>0.47058823529411764</v>
      </c>
      <c r="AN15" s="11">
        <f>COUNTIF('ENCUESTA PROPIETARIOS'!$ED$7:$ED$417,AL15)+COUNTIF('ENCUESTA PROPIETARIOS'!$ED$7:$ED$417,"ES BUENO")+COUNTIF('ENCUESTA PROPIETARIOS'!$ED$7:$ED$417,"ESTA BIEN, PERO NO TODOS ESTAN DE ACUERDO")+COUNTIF('ENCUESTA PROPIETARIOS'!$ED$7:$ED$417,"ES BUENA IDEA")+COUNTIF('ENCUESTA PROPIETARIOS'!$ED$7:$ED$417,"AYUDA A CONTAMINAR MENOS")+COUNTIF('ENCUESTA PROPIETARIOS'!$ED$7:$ED$417,"DEBERIA SER OBLIGATORIO")+COUNTIF('ENCUESTA PROPIETARIOS'!$ED$7:$ED$417,"ES UN BUEN PROGRAMA")+COUNTIF('ENCUESTA PROPIETARIOS'!$ED$7:$ED$417,"ES UN ROBO")</f>
        <v>24</v>
      </c>
      <c r="AQ15" s="11" t="s">
        <v>715</v>
      </c>
      <c r="AR15" s="121">
        <f t="shared" si="2"/>
        <v>1</v>
      </c>
      <c r="AS15" s="153">
        <f>SUM(AS3:AS14)</f>
        <v>980</v>
      </c>
      <c r="AU15" s="19" t="s">
        <v>1722</v>
      </c>
      <c r="AV15" s="194">
        <f t="shared" si="8"/>
        <v>0.15612244897959185</v>
      </c>
      <c r="AW15" s="249">
        <f>COUNTIF('DETALLES UNIDADES'!$T$8:$T$987,"&lt;2.21")-AW14-AW13-AW12</f>
        <v>153</v>
      </c>
      <c r="AX15" s="19" t="s">
        <v>1737</v>
      </c>
      <c r="AY15" s="194">
        <f t="shared" si="9"/>
        <v>0.16938775510204082</v>
      </c>
      <c r="AZ15" s="249">
        <f>COUNTIF('DETALLES UNIDADES'!$U$8:$U$987,"&lt;2.61")-AZ14-AZ13-AZ12</f>
        <v>166</v>
      </c>
      <c r="BB15" s="137" t="s">
        <v>280</v>
      </c>
      <c r="BC15" s="249">
        <f>COUNTIF('DETALLES UNIDADES'!$AG$8:$AG$987,"X")</f>
        <v>413</v>
      </c>
      <c r="BF15" s="11" t="s">
        <v>1553</v>
      </c>
      <c r="BG15" s="11" t="s">
        <v>1838</v>
      </c>
      <c r="BH15" s="153">
        <f>COUNTIF('DETALLES UNIDADES'!$AQ$8:$AQ$987,FORMULAS!BG15)-BH14-BH13</f>
        <v>96</v>
      </c>
      <c r="BK15" s="11" t="s">
        <v>1786</v>
      </c>
      <c r="BL15" s="6">
        <f t="shared" ref="BL15:BL20" si="11">+BM15/$BM$20</f>
        <v>0.10816326530612246</v>
      </c>
      <c r="BM15" s="249">
        <f>COUNTIF('DETALLES UNIDADES'!$AT$8:$AT$987,"&lt;50000")-BM14</f>
        <v>106</v>
      </c>
    </row>
    <row r="16" spans="2:77" ht="25.5" x14ac:dyDescent="0.25">
      <c r="D16" s="6"/>
      <c r="J16" s="249" t="s">
        <v>351</v>
      </c>
      <c r="K16" s="249">
        <f>COUNTIF('DETALLES UNIDADES'!$C$8:$C$987,FORMULAS!J16)</f>
        <v>196</v>
      </c>
      <c r="L16" s="121">
        <f>K16/$K$20</f>
        <v>0.2</v>
      </c>
      <c r="N16" s="249">
        <v>4</v>
      </c>
      <c r="O16" s="249" t="s">
        <v>857</v>
      </c>
      <c r="P16" s="249">
        <f>COUNTIF('ENCUESTA PROPIETARIOS'!AX$7:AX$417,$N16)</f>
        <v>19</v>
      </c>
      <c r="Q16" s="249">
        <f>COUNTIF('ENCUESTA PROPIETARIOS'!AY$7:AY$417,$N16)</f>
        <v>24</v>
      </c>
      <c r="R16" s="249">
        <f>COUNTIF('ENCUESTA PROPIETARIOS'!AZ$7:AZ$417,$N16)</f>
        <v>28</v>
      </c>
      <c r="S16" s="249"/>
      <c r="U16" s="137" t="s">
        <v>878</v>
      </c>
      <c r="V16" s="6">
        <f t="shared" si="7"/>
        <v>0.15980230642504117</v>
      </c>
      <c r="W16" s="249">
        <f>COUNTIF('ENCUESTA PROPIETARIOS'!$BV$7:$BV$417,"X")</f>
        <v>97</v>
      </c>
      <c r="Z16" s="137" t="s">
        <v>88</v>
      </c>
      <c r="AA16" s="6">
        <f t="shared" si="10"/>
        <v>5.7057057057057055E-2</v>
      </c>
      <c r="AB16" s="249">
        <f>COUNTIF('ENCUESTA PROPIETARIOS'!$CV$7:$CV$417,"X")</f>
        <v>38</v>
      </c>
      <c r="AH16" s="19" t="s">
        <v>618</v>
      </c>
      <c r="AI16" s="121">
        <f>AJ16/$AJ$19</f>
        <v>0.45669291338582679</v>
      </c>
      <c r="AJ16" s="11">
        <f>COUNTIF('ENCUESTA PROPIETARIOS'!$DT$7:$DT$417,AH16)+COUNTIF('ENCUESTA PROPIETARIOS'!$DT$7:$DT$417,"UNIDADES NUEVAS")+COUNTIF('ENCUESTA PROPIETARIOS'!$DT$7:$DT$417,"UNIDADES SEMINUEVAS")+COUNTIF('ENCUESTA PROPIETARIOS'!$DT$7:$DT$417,"UNIDADES NO SON CHATARRA")+COUNTIF('ENCUESTA PROPIETARIOS'!$DT$7:$DT$417,"NO HA SIDO NECESARIO")+COUNTIF('ENCUESTA PROPIETARIOS'!$DT$7:$DT$417,"NO LO NECESITA")+COUNTIF('ENCUESTA PROPIETARIOS'!$DT$7:$DT$417,"NO HA CAMBIADO UNIDAD")+COUNTIF('ENCUESTA PROPIETARIOS'!$DT$7:$DT$417,"NO CALIFICAMOS")</f>
        <v>58</v>
      </c>
      <c r="AL16" s="19" t="s">
        <v>398</v>
      </c>
      <c r="AM16" s="121">
        <f t="shared" ref="AM16:AM20" si="12">AN16/$AN$20</f>
        <v>0.37254901960784315</v>
      </c>
      <c r="AN16" s="11">
        <f>COUNTIF('ENCUESTA PROPIETARIOS'!$ED$7:$ED$417,AL16)+COUNTIF('ENCUESTA PROPIETARIOS'!$ED$7:$ED$417,"NO ES COSTEABLE")+COUNTIF('ENCUESTA PROPIETARIOS'!$ED$7:$ED$417,"INSUFICIENTE")+COUNTIF('ENCUESTA PROPIETARIOS'!$ED$7:$ED$417,"LOS CREDITOS NO SON ATRACTIVOS")+COUNTIF('ENCUESTA PROPIETARIOS'!$ED$7:$ED$417,"LES FALTA")+COUNTIF('ENCUESTA PROPIETARIOS'!$ED$7:$ED$417,"PAGAN POCO")+COUNTIF('ENCUESTA PROPIETARIOS'!$ED$7:$ED$417,"HAY QUE MEJORAR EL PROGRAMA")+COUNTIF('ENCUESTA PROPIETARIOS'!$ED$7:$ED$417,"DAN MUY POCO")</f>
        <v>19</v>
      </c>
      <c r="AU16" s="19" t="s">
        <v>1723</v>
      </c>
      <c r="AV16" s="194">
        <f t="shared" si="8"/>
        <v>0.19285714285714287</v>
      </c>
      <c r="AW16" s="249">
        <f>COUNTIF('DETALLES UNIDADES'!$T$8:$T$987,"&lt;2.51")-AW15-AW14-AW13-AW12</f>
        <v>189</v>
      </c>
      <c r="AX16" s="19" t="s">
        <v>1007</v>
      </c>
      <c r="AY16" s="194">
        <f t="shared" si="9"/>
        <v>0.17142857142857143</v>
      </c>
      <c r="AZ16" s="249">
        <f>COUNTIF('DETALLES UNIDADES'!$U$8:$U$987,"&lt;2.81")-AZ15-AZ14-AZ13-AZ12</f>
        <v>168</v>
      </c>
      <c r="BB16" s="137" t="s">
        <v>171</v>
      </c>
      <c r="BC16" s="249">
        <f>COUNTIF('DETALLES UNIDADES'!$AH$8:$AH$987,"X")</f>
        <v>418</v>
      </c>
      <c r="BF16" s="11" t="s">
        <v>1554</v>
      </c>
      <c r="BG16" s="11" t="s">
        <v>1555</v>
      </c>
      <c r="BH16" s="153">
        <f>COUNTIF('DETALLES UNIDADES'!$AQ$8:$AQ$987,FORMULAS!BG16)-BH15-BH14-BH13</f>
        <v>405</v>
      </c>
      <c r="BK16" s="11" t="s">
        <v>1787</v>
      </c>
      <c r="BL16" s="6">
        <f t="shared" si="11"/>
        <v>8.2653061224489802E-2</v>
      </c>
      <c r="BM16" s="249">
        <f>COUNTIF('DETALLES UNIDADES'!$AT$8:$AT$987,"&lt;75000")-BM15-BM14</f>
        <v>81</v>
      </c>
    </row>
    <row r="17" spans="2:65" ht="25.5" x14ac:dyDescent="0.25">
      <c r="J17" s="249" t="s">
        <v>359</v>
      </c>
      <c r="K17" s="249">
        <f>COUNTIF('DETALLES UNIDADES'!$C$8:$C$987,FORMULAS!J17)</f>
        <v>43</v>
      </c>
      <c r="L17" s="121">
        <f>K17/$K$20</f>
        <v>4.3877551020408162E-2</v>
      </c>
      <c r="P17" s="249">
        <f>SUM(P13:P16)</f>
        <v>410</v>
      </c>
      <c r="Q17" s="249">
        <f t="shared" ref="Q17:S17" si="13">SUM(Q13:Q16)</f>
        <v>410</v>
      </c>
      <c r="R17" s="249">
        <f t="shared" si="13"/>
        <v>408</v>
      </c>
      <c r="S17" s="249">
        <f t="shared" si="13"/>
        <v>73</v>
      </c>
      <c r="U17" s="137" t="s">
        <v>879</v>
      </c>
      <c r="V17" s="6">
        <f t="shared" si="7"/>
        <v>0.26029654036243821</v>
      </c>
      <c r="W17" s="249">
        <f>COUNTIF('ENCUESTA PROPIETARIOS'!$BW$7:$BW$417,"X")</f>
        <v>158</v>
      </c>
      <c r="Z17" s="137" t="s">
        <v>89</v>
      </c>
      <c r="AA17" s="6">
        <f t="shared" si="10"/>
        <v>3.903903903903904E-2</v>
      </c>
      <c r="AB17" s="249">
        <f>COUNTIF('ENCUESTA PROPIETARIOS'!$CW$7:$CW$417,"X")</f>
        <v>26</v>
      </c>
      <c r="AH17" s="19" t="s">
        <v>1773</v>
      </c>
      <c r="AI17" s="121">
        <f>AJ17/$AJ$19</f>
        <v>1.5748031496062992E-2</v>
      </c>
      <c r="AJ17" s="11">
        <f>COUNTIF('ENCUESTA PROPIETARIOS'!$DT$7:$DT$417,"VENDEMOS SEMINUEVOS")</f>
        <v>2</v>
      </c>
      <c r="AL17" s="19" t="s">
        <v>492</v>
      </c>
      <c r="AM17" s="121">
        <f t="shared" si="12"/>
        <v>7.8431372549019607E-2</v>
      </c>
      <c r="AN17" s="11">
        <f>COUNTIF('ENCUESTA PROPIETARIOS'!$ED$7:$ED$417,AL17)+COUNTIF('ENCUESTA PROPIETARIOS'!$ED$7:$ED$417,"ESTA FUERA DE CONTEXTO")</f>
        <v>4</v>
      </c>
      <c r="AQ17" s="11" t="s">
        <v>1029</v>
      </c>
      <c r="AR17" s="11" t="s">
        <v>718</v>
      </c>
      <c r="AS17" s="11" t="s">
        <v>717</v>
      </c>
      <c r="AU17" s="19" t="s">
        <v>1724</v>
      </c>
      <c r="AV17" s="194">
        <f t="shared" si="8"/>
        <v>9.0816326530612251E-2</v>
      </c>
      <c r="AW17" s="249">
        <f>COUNTIF('DETALLES UNIDADES'!$T$8:$T$987,"&lt;3.01")-AW16-AW15-AW14-AW13-AW12</f>
        <v>89</v>
      </c>
      <c r="AX17" s="19" t="s">
        <v>1733</v>
      </c>
      <c r="AY17" s="194">
        <f t="shared" si="9"/>
        <v>0.12551020408163266</v>
      </c>
      <c r="AZ17" s="249">
        <f>COUNTIF('DETALLES UNIDADES'!$U$8:$U$987,"&lt;3.21")-AZ16-AZ15-AZ14-AZ13-AZ12</f>
        <v>123</v>
      </c>
      <c r="BB17" s="137" t="s">
        <v>172</v>
      </c>
      <c r="BC17" s="249">
        <f>COUNTIF('DETALLES UNIDADES'!$AI$8:$AI$987,"X")</f>
        <v>325</v>
      </c>
      <c r="BF17" s="11" t="s">
        <v>1569</v>
      </c>
      <c r="BG17" s="11" t="s">
        <v>1556</v>
      </c>
      <c r="BH17" s="153">
        <f>COUNTIF('DETALLES UNIDADES'!$AQ$8:$AQ$987,FORMULAS!BG17)</f>
        <v>292</v>
      </c>
      <c r="BK17" s="11" t="s">
        <v>1788</v>
      </c>
      <c r="BL17" s="6">
        <f t="shared" si="11"/>
        <v>5.1020408163265307E-2</v>
      </c>
      <c r="BM17" s="249">
        <f>COUNTIF('DETALLES UNIDADES'!$AT$8:$AT$987,"&lt;98700")-BM16-BM15-BM14</f>
        <v>50</v>
      </c>
    </row>
    <row r="18" spans="2:65" ht="25.5" x14ac:dyDescent="0.25">
      <c r="B18" s="11" t="s">
        <v>719</v>
      </c>
      <c r="C18" s="249" t="s">
        <v>717</v>
      </c>
      <c r="D18" s="249" t="s">
        <v>718</v>
      </c>
      <c r="F18" s="11" t="s">
        <v>1019</v>
      </c>
      <c r="J18" s="249" t="s">
        <v>337</v>
      </c>
      <c r="K18" s="249">
        <f>COUNTIF('DETALLES UNIDADES'!$C$8:$C$987,FORMULAS!J18)</f>
        <v>531</v>
      </c>
      <c r="L18" s="121">
        <f>K18/$K$20</f>
        <v>0.5418367346938775</v>
      </c>
      <c r="U18" s="137" t="s">
        <v>880</v>
      </c>
      <c r="V18" s="6">
        <f t="shared" si="7"/>
        <v>1.4827018121911038E-2</v>
      </c>
      <c r="W18" s="249">
        <f>COUNTIF('ENCUESTA PROPIETARIOS'!$BX$7:$BX$417,"X")+COUNTIF('ENCUESTA PROPIETARIOS'!$BU$7:$BU$417,"X")+COUNTIF('ENCUESTA PROPIETARIOS'!$BX$7:$BX$417,"PERCANCE")+COUNTIF('ENCUESTA PROPIETARIOS'!$BX$7:$BX$417,"NO LA PODRIA PAGAR")</f>
        <v>9</v>
      </c>
      <c r="Z18" s="137" t="s">
        <v>90</v>
      </c>
      <c r="AA18" s="6">
        <f t="shared" si="10"/>
        <v>0.23723723723723725</v>
      </c>
      <c r="AB18" s="249">
        <f>COUNTIF('ENCUESTA PROPIETARIOS'!$CX$7:$CX$417,"X")</f>
        <v>158</v>
      </c>
      <c r="AH18" s="19" t="s">
        <v>405</v>
      </c>
      <c r="AI18" s="121">
        <f>AJ18/$AJ$19</f>
        <v>6.2992125984251968E-2</v>
      </c>
      <c r="AJ18" s="11">
        <f>COUNTIF('ENCUESTA PROPIETARIOS'!$DT$7:$DT$417,"NO ES JUSTO")+COUNTIF('ENCUESTA PROPIETARIOS'!$DT$7:$DT$417,"NO LE INTERESA")+COUNTIF('ENCUESTA PROPIETARIOS'!$DT$7:$DT$417,"POR LA GRAN CORRUPCION Y TRABAS EXISTENTES")</f>
        <v>8</v>
      </c>
      <c r="AL18" s="19" t="s">
        <v>473</v>
      </c>
      <c r="AM18" s="121">
        <f t="shared" si="12"/>
        <v>3.9215686274509803E-2</v>
      </c>
      <c r="AN18" s="11">
        <f>COUNTIF('ENCUESTA PROPIETARIOS'!$ED$7:$ED$417,AL18)</f>
        <v>2</v>
      </c>
      <c r="AQ18" s="11" t="s">
        <v>946</v>
      </c>
      <c r="AR18" s="121">
        <f>AS18/$AS$21</f>
        <v>0.45714285714285713</v>
      </c>
      <c r="AS18" s="11">
        <f>COUNTIF('DETALLES UNIDADES'!$K$8:$K$987,"X")</f>
        <v>448</v>
      </c>
      <c r="AU18" s="19" t="s">
        <v>1725</v>
      </c>
      <c r="AV18" s="194">
        <f t="shared" si="8"/>
        <v>0.11938775510204082</v>
      </c>
      <c r="AW18" s="249">
        <f>COUNTIF('DETALLES UNIDADES'!$T$8:$T$987,"&lt;4.01")-AW17-AW16-AW15-AW14-AW13-AW12</f>
        <v>117</v>
      </c>
      <c r="AX18" s="19" t="s">
        <v>1734</v>
      </c>
      <c r="AY18" s="194">
        <f t="shared" si="9"/>
        <v>0.10204081632653061</v>
      </c>
      <c r="AZ18" s="249">
        <f>COUNTIF('DETALLES UNIDADES'!$U$8:$U$987,"&lt;4.01")-AZ17-AZ16-AZ15-AZ14-AZ13-AZ12</f>
        <v>100</v>
      </c>
      <c r="BB18" s="137" t="s">
        <v>173</v>
      </c>
      <c r="BC18" s="249">
        <f>COUNTIF('DETALLES UNIDADES'!$AJ$8:$AJ$987,"X")</f>
        <v>81</v>
      </c>
      <c r="BF18" s="11" t="s">
        <v>1547</v>
      </c>
      <c r="BG18" s="13" t="s">
        <v>415</v>
      </c>
      <c r="BH18" s="153">
        <f>COUNTIF('DETALLES UNIDADES'!$AQ$8:$AQ$987,FORMULAS!BG18)+COUNTIF('DETALLES UNIDADES'!$AQ$8:$AQ$987,"NUEVAS")</f>
        <v>24</v>
      </c>
      <c r="BK18" s="11" t="s">
        <v>1789</v>
      </c>
      <c r="BL18" s="6">
        <f t="shared" si="11"/>
        <v>5.7142857142857141E-2</v>
      </c>
      <c r="BM18" s="249">
        <f>COUNTIF('DETALLES UNIDADES'!$AT$8:$AT$987,"&lt;125000")-BM17-BM16-BM15-BM14</f>
        <v>56</v>
      </c>
    </row>
    <row r="19" spans="2:65" ht="25.5" x14ac:dyDescent="0.25">
      <c r="B19" s="11" t="s">
        <v>720</v>
      </c>
      <c r="C19" s="249">
        <f>COUNTIF('ENCUESTA PROPIETARIOS'!$H$7:$H$417,"M")</f>
        <v>400</v>
      </c>
      <c r="D19" s="6">
        <f>C19/$C$21</f>
        <v>0.97323600973236013</v>
      </c>
      <c r="F19" s="137" t="s">
        <v>11</v>
      </c>
      <c r="G19" s="11">
        <f>SUM('ENCUESTA PROPIETARIOS'!$O$7:$O$417)</f>
        <v>483</v>
      </c>
      <c r="U19" s="141" t="s">
        <v>1771</v>
      </c>
      <c r="V19" s="6">
        <f t="shared" si="7"/>
        <v>2.3064250411861616E-2</v>
      </c>
      <c r="W19" s="249">
        <f>COUNTIF('ENCUESTA PROPIETARIOS'!$BX$7:$BX$417,"NO NECESITA")+COUNTIF('ENCUESTA PROPIETARIOS'!$BX$7:$BX$417,"NO HA CAMBIADO")++COUNTIF('ENCUESTA PROPIETARIOS'!$BX$7:$BX$417,"NINGUNO")</f>
        <v>14</v>
      </c>
      <c r="Z19" s="137" t="s">
        <v>91</v>
      </c>
      <c r="AA19" s="6">
        <f t="shared" si="10"/>
        <v>5.2552552552552555E-2</v>
      </c>
      <c r="AB19" s="249">
        <f>COUNTIF('ENCUESTA PROPIETARIOS'!$CY$7:$CY$417,"X")</f>
        <v>35</v>
      </c>
      <c r="AH19" s="155" t="s">
        <v>715</v>
      </c>
      <c r="AI19" s="121">
        <f>AJ19/$AJ$19</f>
        <v>1</v>
      </c>
      <c r="AJ19" s="11">
        <f>SUM(AJ15:AJ18)</f>
        <v>127</v>
      </c>
      <c r="AL19" s="19" t="s">
        <v>697</v>
      </c>
      <c r="AM19" s="121">
        <f t="shared" si="12"/>
        <v>3.9215686274509803E-2</v>
      </c>
      <c r="AN19" s="11">
        <f>COUNTIF('ENCUESTA PROPIETARIOS'!$ED$7:$ED$417,AL19)</f>
        <v>2</v>
      </c>
      <c r="AQ19" s="11" t="s">
        <v>1680</v>
      </c>
      <c r="AR19" s="121">
        <f>AS19/$AS$21</f>
        <v>0.24285714285714285</v>
      </c>
      <c r="AS19" s="11">
        <f>COUNTIF('DETALLES UNIDADES'!$L$8:$L$987,"X")</f>
        <v>238</v>
      </c>
      <c r="AU19" s="19" t="s">
        <v>1726</v>
      </c>
      <c r="AV19" s="194">
        <f t="shared" si="8"/>
        <v>5.4081632653061228E-2</v>
      </c>
      <c r="AW19" s="249">
        <f>COUNTIF('DETALLES UNIDADES'!$T$8:$T$987,"&lt;5.01")-AW18-AW17-AW16-AW15-AW14-AW13-AW12</f>
        <v>53</v>
      </c>
      <c r="AX19" s="19" t="s">
        <v>1735</v>
      </c>
      <c r="AY19" s="194">
        <f t="shared" si="9"/>
        <v>0.10510204081632653</v>
      </c>
      <c r="AZ19" s="249">
        <f>COUNTIF('DETALLES UNIDADES'!$U$8:$U$987,"&lt;6.01")-AZ18-AZ17-AZ16-AZ15-AZ14-AZ13-AZ12</f>
        <v>103</v>
      </c>
      <c r="BB19" s="137" t="s">
        <v>174</v>
      </c>
      <c r="BC19" s="249">
        <f>COUNTIF('DETALLES UNIDADES'!$AK$8:$AK$987,"X")</f>
        <v>330</v>
      </c>
      <c r="BF19" s="11" t="s">
        <v>1548</v>
      </c>
      <c r="BG19" s="13" t="s">
        <v>480</v>
      </c>
      <c r="BH19" s="153">
        <f>COUNTIF('DETALLES UNIDADES'!$AQ$8:$AQ$987,FORMULAS!BG19)</f>
        <v>8</v>
      </c>
      <c r="BK19" s="11" t="s">
        <v>1796</v>
      </c>
      <c r="BL19" s="6">
        <f t="shared" si="11"/>
        <v>3.0612244897959182E-3</v>
      </c>
      <c r="BM19" s="249">
        <f>COUNTIF('DETALLES UNIDADES'!$AT$8:$AT$987,"&gt;124999")</f>
        <v>3</v>
      </c>
    </row>
    <row r="20" spans="2:65" ht="25.5" x14ac:dyDescent="0.25">
      <c r="B20" s="11" t="s">
        <v>721</v>
      </c>
      <c r="C20" s="249">
        <f>COUNTIF('ENCUESTA PROPIETARIOS'!$H$7:$H$417,"F")</f>
        <v>11</v>
      </c>
      <c r="D20" s="6">
        <f>C20/$C$21</f>
        <v>2.6763990267639901E-2</v>
      </c>
      <c r="F20" s="137" t="s">
        <v>12</v>
      </c>
      <c r="G20" s="11">
        <f>SUM('ENCUESTA PROPIETARIOS'!$P$7:$P$417)</f>
        <v>134</v>
      </c>
      <c r="J20" s="249" t="s">
        <v>715</v>
      </c>
      <c r="K20" s="249">
        <f>SUM(K15:K19)</f>
        <v>980</v>
      </c>
      <c r="L20" s="121">
        <f>K20/$K$20</f>
        <v>1</v>
      </c>
      <c r="N20" s="11" t="s">
        <v>858</v>
      </c>
      <c r="P20" s="249" t="s">
        <v>717</v>
      </c>
      <c r="U20" s="11" t="s">
        <v>715</v>
      </c>
      <c r="V20" s="6">
        <f t="shared" si="7"/>
        <v>1</v>
      </c>
      <c r="W20" s="249">
        <f>SUM(W13:W19)</f>
        <v>607</v>
      </c>
      <c r="Z20" s="137" t="s">
        <v>892</v>
      </c>
      <c r="AA20" s="6">
        <f t="shared" si="10"/>
        <v>0.26576576576576577</v>
      </c>
      <c r="AB20" s="249">
        <f>COUNTIF('ENCUESTA PROPIETARIOS'!$CZ$7:$CZ$417,"NINGUNO")</f>
        <v>177</v>
      </c>
      <c r="AL20" s="155" t="s">
        <v>715</v>
      </c>
      <c r="AM20" s="121">
        <f t="shared" si="12"/>
        <v>1</v>
      </c>
      <c r="AN20" s="11">
        <f>SUM(AN15:AN19)</f>
        <v>51</v>
      </c>
      <c r="AQ20" s="11" t="s">
        <v>1681</v>
      </c>
      <c r="AR20" s="121">
        <f>AS20/$AS$21</f>
        <v>0.3</v>
      </c>
      <c r="AS20" s="11">
        <f>COUNTIF('DETALLES UNIDADES'!$M$8:$M$987,"X")</f>
        <v>294</v>
      </c>
      <c r="AU20" s="19" t="s">
        <v>2414</v>
      </c>
      <c r="AV20" s="194">
        <f t="shared" si="8"/>
        <v>1.9387755102040816E-2</v>
      </c>
      <c r="AW20" s="249">
        <f>COUNTIF('DETALLES UNIDADES'!$T$8:$T$987,"&gt;5.0")</f>
        <v>19</v>
      </c>
      <c r="AX20" s="19" t="s">
        <v>1736</v>
      </c>
      <c r="AY20" s="194">
        <f t="shared" si="9"/>
        <v>3.1632653061224487E-2</v>
      </c>
      <c r="AZ20" s="249">
        <f>COUNTIF('DETALLES UNIDADES'!$U$8:$U$987,"&gt;6.0")</f>
        <v>31</v>
      </c>
      <c r="BB20" s="137" t="s">
        <v>175</v>
      </c>
      <c r="BC20" s="249">
        <f>COUNTIF('DETALLES UNIDADES'!$AL$8:$AL$987,"X")</f>
        <v>530</v>
      </c>
      <c r="BF20" s="11" t="s">
        <v>871</v>
      </c>
      <c r="BH20" s="153">
        <f>COUNTIF('DETALLES UNIDADES'!$AQ$8:$AQ$987,"")</f>
        <v>1</v>
      </c>
      <c r="BI20" s="153">
        <f>+BH20-71</f>
        <v>-70</v>
      </c>
      <c r="BK20" s="11" t="s">
        <v>715</v>
      </c>
      <c r="BL20" s="6">
        <f t="shared" si="11"/>
        <v>1</v>
      </c>
      <c r="BM20" s="249">
        <f>SUM(BM14:BM19)</f>
        <v>980</v>
      </c>
    </row>
    <row r="21" spans="2:65" ht="25.5" x14ac:dyDescent="0.25">
      <c r="B21" s="11" t="s">
        <v>715</v>
      </c>
      <c r="C21" s="249">
        <f>SUM(C19:C20)</f>
        <v>411</v>
      </c>
      <c r="D21" s="6">
        <f>C21/$C$21</f>
        <v>1</v>
      </c>
      <c r="F21" s="137" t="s">
        <v>13</v>
      </c>
      <c r="G21" s="11">
        <f>SUM('ENCUESTA PROPIETARIOS'!$Q$7:$Q$417)</f>
        <v>175</v>
      </c>
      <c r="N21" s="11" t="s">
        <v>860</v>
      </c>
      <c r="O21" s="6">
        <f>P21/$P$23</f>
        <v>0.73236009732360097</v>
      </c>
      <c r="P21" s="249">
        <f>COUNTIF('ENCUESTA PROPIETARIOS'!$BB$7:$BB$417,"X")</f>
        <v>301</v>
      </c>
      <c r="Z21" s="140" t="s">
        <v>906</v>
      </c>
      <c r="AA21" s="6">
        <f t="shared" si="10"/>
        <v>1.5015015015015015E-2</v>
      </c>
      <c r="AB21" s="249">
        <f>COUNTA('ENCUESTA PROPIETARIOS'!$CZ$7:$CZ$417)-AB20</f>
        <v>10</v>
      </c>
      <c r="AH21" s="11" t="s">
        <v>1026</v>
      </c>
      <c r="AI21" s="249" t="s">
        <v>718</v>
      </c>
      <c r="AJ21" s="11" t="s">
        <v>717</v>
      </c>
      <c r="AQ21" s="11" t="s">
        <v>715</v>
      </c>
      <c r="AR21" s="121">
        <f>AS21/$AS$21</f>
        <v>1</v>
      </c>
      <c r="AS21" s="11">
        <f>SUM(AS18:AS20)</f>
        <v>980</v>
      </c>
      <c r="AU21" s="19" t="s">
        <v>715</v>
      </c>
      <c r="AV21" s="194">
        <f t="shared" si="8"/>
        <v>1</v>
      </c>
      <c r="AW21" s="249">
        <f>SUM(AW12:AW20)</f>
        <v>980</v>
      </c>
      <c r="AY21" s="6">
        <f t="shared" si="9"/>
        <v>1</v>
      </c>
      <c r="AZ21" s="249">
        <f>SUM(AZ12:AZ20)</f>
        <v>980</v>
      </c>
      <c r="BB21" s="137" t="s">
        <v>176</v>
      </c>
      <c r="BC21" s="249">
        <f>COUNTIF('DETALLES UNIDADES'!$AM$8:$AM$987,"X")</f>
        <v>157</v>
      </c>
      <c r="BH21" s="11">
        <f>SUM(BH13:BH20)</f>
        <v>980</v>
      </c>
      <c r="BI21" s="153"/>
      <c r="BJ21" s="153"/>
    </row>
    <row r="22" spans="2:65" x14ac:dyDescent="0.25">
      <c r="F22" s="137" t="s">
        <v>14</v>
      </c>
      <c r="G22" s="11">
        <f>SUM('ENCUESTA PROPIETARIOS'!$R$7:$R$417)</f>
        <v>142</v>
      </c>
      <c r="J22" s="249" t="s">
        <v>845</v>
      </c>
      <c r="K22" s="249" t="s">
        <v>1022</v>
      </c>
      <c r="L22" s="11" t="s">
        <v>846</v>
      </c>
      <c r="N22" s="11" t="s">
        <v>872</v>
      </c>
      <c r="O22" s="6">
        <f>P22/$P$23</f>
        <v>0.26763990267639903</v>
      </c>
      <c r="P22" s="249">
        <f>COUNTIF('ENCUESTA PROPIETARIOS'!$BC$7:$BC$417,"X")</f>
        <v>110</v>
      </c>
      <c r="Z22" s="140" t="s">
        <v>715</v>
      </c>
      <c r="AA22" s="6">
        <f t="shared" si="10"/>
        <v>1</v>
      </c>
      <c r="AB22" s="249">
        <f>SUM(AB14:AB21)</f>
        <v>666</v>
      </c>
      <c r="AH22" s="19" t="s">
        <v>334</v>
      </c>
      <c r="AI22" s="121">
        <f>AJ22/$AJ$24</f>
        <v>0.15</v>
      </c>
      <c r="AJ22" s="11">
        <f>COUNTIF('ENCUESTA PROPIETARIOS'!$DV$7:$DV$417,AH22)</f>
        <v>3</v>
      </c>
      <c r="AM22" s="249"/>
      <c r="AU22" s="19"/>
      <c r="AV22" s="194"/>
      <c r="AX22" s="19"/>
      <c r="AY22" s="194"/>
      <c r="BB22" s="140" t="s">
        <v>1018</v>
      </c>
      <c r="BC22" s="249">
        <f>COUNTIF('DETALLES UNIDADES'!$AD$8:$AD$987,"NINGUNO")</f>
        <v>96</v>
      </c>
    </row>
    <row r="23" spans="2:65" x14ac:dyDescent="0.25">
      <c r="B23" s="11" t="s">
        <v>722</v>
      </c>
      <c r="C23" s="249" t="s">
        <v>717</v>
      </c>
      <c r="D23" s="249" t="s">
        <v>718</v>
      </c>
      <c r="F23" s="137" t="s">
        <v>15</v>
      </c>
      <c r="G23" s="11">
        <f>SUM('ENCUESTA PROPIETARIOS'!$S$7:$S$417)</f>
        <v>90</v>
      </c>
      <c r="J23" s="249">
        <v>0</v>
      </c>
      <c r="K23" s="249">
        <f>COUNTIF('ENCUESTA PROPIETARIOS'!$AS$7:$AS$417,FORMULAS!J23)</f>
        <v>49</v>
      </c>
      <c r="L23" s="249">
        <f>COUNTIF('ENCUESTA PROPIETARIOS'!$AR$7:$AR$417,FORMULAS!J23)</f>
        <v>49</v>
      </c>
      <c r="N23" s="11" t="s">
        <v>715</v>
      </c>
      <c r="O23" s="6">
        <f>P23/$P$23</f>
        <v>1</v>
      </c>
      <c r="P23" s="249">
        <f>SUM(P21:P22)</f>
        <v>411</v>
      </c>
      <c r="U23" s="11" t="s">
        <v>881</v>
      </c>
      <c r="V23" s="249" t="s">
        <v>718</v>
      </c>
      <c r="W23" s="249" t="s">
        <v>717</v>
      </c>
      <c r="AH23" s="2" t="s">
        <v>1682</v>
      </c>
      <c r="AI23" s="121">
        <f>AJ23/$AJ$24</f>
        <v>0.85</v>
      </c>
      <c r="AJ23" s="11">
        <f>COUNTIF('ENCUESTA PROPIETARIOS'!$DV$7:$DV$417,"CAMBIO DE UNIDAD")+COUNTIF('ENCUESTA PROPIETARIOS'!$DV$7:$DV$417,"PARA CAMBIAR UN CAMION MUY VIEJO")+COUNTIF('ENCUESTA PROPIETARIOS'!$DV$7:$DV$417,"MEJORAR EQUIPO DE TRANSPORTE")</f>
        <v>17</v>
      </c>
      <c r="AL23" s="19"/>
      <c r="AM23" s="121"/>
      <c r="AU23" s="19"/>
      <c r="AV23" s="194"/>
      <c r="AX23" s="19"/>
      <c r="AY23" s="194"/>
      <c r="BB23" s="11" t="s">
        <v>715</v>
      </c>
      <c r="BC23" s="249">
        <f>SUM(BC12:BC22)</f>
        <v>3465</v>
      </c>
      <c r="BK23" s="11" t="s">
        <v>1795</v>
      </c>
    </row>
    <row r="24" spans="2:65" x14ac:dyDescent="0.25">
      <c r="B24" s="112" t="s">
        <v>584</v>
      </c>
      <c r="C24" s="249">
        <f>COUNTIF('ENCUESTA PROPIETARIOS'!$I$7:$I$417,"SIN ESTUDIOS")</f>
        <v>16</v>
      </c>
      <c r="D24" s="6">
        <f t="shared" ref="D24:D30" si="14">C24/$C$30</f>
        <v>3.8929440389294405E-2</v>
      </c>
      <c r="F24" s="137" t="s">
        <v>16</v>
      </c>
      <c r="G24" s="11">
        <f>SUM('ENCUESTA PROPIETARIOS'!$T$7:$T$417)</f>
        <v>1</v>
      </c>
      <c r="J24" s="249">
        <v>1</v>
      </c>
      <c r="K24" s="249">
        <f>COUNTIF('ENCUESTA PROPIETARIOS'!$AS$7:$AS$417,FORMULAS!J24)</f>
        <v>65</v>
      </c>
      <c r="L24" s="249">
        <f>COUNTIF('ENCUESTA PROPIETARIOS'!$AR$7:$AR$417,FORMULAS!J24)</f>
        <v>8</v>
      </c>
      <c r="U24" s="137" t="s">
        <v>882</v>
      </c>
      <c r="V24" s="6">
        <f>+W24/$W$27</f>
        <v>0.310126582278481</v>
      </c>
      <c r="W24" s="249">
        <f>COUNTIF('ENCUESTA PROPIETARIOS'!$BY$7:$BY$417,"X")</f>
        <v>49</v>
      </c>
      <c r="AH24" s="11" t="s">
        <v>715</v>
      </c>
      <c r="AI24" s="121">
        <f>AJ24/$AJ$24</f>
        <v>1</v>
      </c>
      <c r="AJ24" s="11">
        <f>SUM(AJ22:AJ23)</f>
        <v>20</v>
      </c>
      <c r="AL24" s="2"/>
      <c r="AM24" s="121"/>
      <c r="AQ24" s="11" t="s">
        <v>947</v>
      </c>
      <c r="AR24" s="11" t="s">
        <v>718</v>
      </c>
      <c r="AS24" s="11" t="s">
        <v>717</v>
      </c>
      <c r="AU24" s="19"/>
      <c r="AV24" s="194"/>
      <c r="AX24" s="19"/>
      <c r="AY24" s="194"/>
      <c r="BF24" s="186" t="s">
        <v>1559</v>
      </c>
      <c r="BK24" s="11" t="s">
        <v>1786</v>
      </c>
      <c r="BL24" s="6">
        <f>+BM24/$BM$30</f>
        <v>0.39171974522292996</v>
      </c>
      <c r="BM24" s="249">
        <f>COUNTIF('DETALLES UNIDADES'!$AU$8:$AU$987,"&lt;50000")</f>
        <v>369</v>
      </c>
    </row>
    <row r="25" spans="2:65" ht="25.5" x14ac:dyDescent="0.25">
      <c r="B25" s="112" t="s">
        <v>353</v>
      </c>
      <c r="C25" s="249">
        <f>COUNTIF('ENCUESTA PROPIETARIOS'!$I$7:$I$417,"PRIMARIA")</f>
        <v>74</v>
      </c>
      <c r="D25" s="6">
        <f t="shared" si="14"/>
        <v>0.18004866180048662</v>
      </c>
      <c r="F25" s="137" t="s">
        <v>823</v>
      </c>
      <c r="G25" s="11">
        <f>SUM('ENCUESTA PROPIETARIOS'!$U$7:$U$417)</f>
        <v>22</v>
      </c>
      <c r="J25" s="249">
        <v>2</v>
      </c>
      <c r="K25" s="249">
        <f>COUNTIF('ENCUESTA PROPIETARIOS'!$AS$7:$AS$417,FORMULAS!J25)</f>
        <v>41</v>
      </c>
      <c r="L25" s="249">
        <f>COUNTIF('ENCUESTA PROPIETARIOS'!$AR$7:$AR$417,FORMULAS!J25)</f>
        <v>1</v>
      </c>
      <c r="N25" s="11" t="s">
        <v>865</v>
      </c>
      <c r="O25" s="249" t="s">
        <v>718</v>
      </c>
      <c r="P25" s="249" t="s">
        <v>717</v>
      </c>
      <c r="U25" s="137" t="s">
        <v>883</v>
      </c>
      <c r="V25" s="6">
        <f>+W25/$W$27</f>
        <v>9.49367088607595E-2</v>
      </c>
      <c r="W25" s="249">
        <f>COUNTIF('ENCUESTA PROPIETARIOS'!$BZ$7:$BZ$417,"X")</f>
        <v>15</v>
      </c>
      <c r="Z25" s="11" t="s">
        <v>909</v>
      </c>
      <c r="AA25" s="249" t="s">
        <v>718</v>
      </c>
      <c r="AB25" s="11" t="s">
        <v>717</v>
      </c>
      <c r="AM25" s="121"/>
      <c r="AQ25" s="11" t="s">
        <v>935</v>
      </c>
      <c r="AR25" s="121">
        <f>AS25/$AS$36</f>
        <v>1.2244897959183673E-2</v>
      </c>
      <c r="AS25" s="153">
        <f>COUNTIF('DETALLES UNIDADES'!$N$8:$N$987,"NO CONTESTA")+COUNTIF('DETALLES UNIDADES'!$N$8:$N$987,"NO SABE")+COUNTIF('DETALLES UNIDADES'!$N$8:$N$987,"VARIABLE")</f>
        <v>12</v>
      </c>
      <c r="AU25" s="19"/>
      <c r="AV25" s="194"/>
      <c r="AX25" s="19"/>
      <c r="AY25" s="194"/>
      <c r="BF25" s="186" t="s">
        <v>1560</v>
      </c>
      <c r="BG25" s="186" t="s">
        <v>1561</v>
      </c>
      <c r="BH25" s="11">
        <f>COUNTIF('DETALLES UNIDADES'!$AO$8:$AO$987,FORMULAS!BG25)</f>
        <v>38</v>
      </c>
      <c r="BK25" s="11" t="s">
        <v>1787</v>
      </c>
      <c r="BL25" s="6">
        <f t="shared" ref="BL25:BL30" si="15">+BM25/$BM$30</f>
        <v>0.25477707006369427</v>
      </c>
      <c r="BM25" s="249">
        <f>COUNTIF('DETALLES UNIDADES'!$AU$8:$AU$987,"&lt;75000")-BM24</f>
        <v>240</v>
      </c>
    </row>
    <row r="26" spans="2:65" x14ac:dyDescent="0.25">
      <c r="B26" s="112" t="s">
        <v>330</v>
      </c>
      <c r="C26" s="249">
        <f>COUNTIF('ENCUESTA PROPIETARIOS'!$I$7:$I$417,"SECUNDARIA")</f>
        <v>117</v>
      </c>
      <c r="D26" s="6">
        <f t="shared" si="14"/>
        <v>0.28467153284671531</v>
      </c>
      <c r="F26" s="137" t="s">
        <v>824</v>
      </c>
      <c r="G26" s="11">
        <f>SUM('ENCUESTA PROPIETARIOS'!$V$7:$V$417)</f>
        <v>125</v>
      </c>
      <c r="J26" s="249">
        <v>3</v>
      </c>
      <c r="K26" s="249">
        <f>COUNTIF('ENCUESTA PROPIETARIOS'!$AS$7:$AS$417,FORMULAS!J26)</f>
        <v>57</v>
      </c>
      <c r="L26" s="249">
        <f>COUNTIF('ENCUESTA PROPIETARIOS'!$AR$7:$AR$417,FORMULAS!J26)</f>
        <v>10</v>
      </c>
      <c r="N26" s="150" t="s">
        <v>50</v>
      </c>
      <c r="O26" s="6">
        <f>+P26/$P$36</f>
        <v>0.36993243243243246</v>
      </c>
      <c r="P26" s="249">
        <f>COUNTIF('ENCUESTA PROPIETARIOS'!$BD$7:$BD$417,"X")</f>
        <v>219</v>
      </c>
      <c r="U26" s="137" t="s">
        <v>892</v>
      </c>
      <c r="V26" s="6">
        <f>+W26/$W$27</f>
        <v>0.59493670886075944</v>
      </c>
      <c r="W26" s="249">
        <f>COUNTIF('ENCUESTA PROPIETARIOS'!$CH$7:$CH$417,"NINGUNO")</f>
        <v>94</v>
      </c>
      <c r="Z26" s="137" t="s">
        <v>86</v>
      </c>
      <c r="AA26" s="6">
        <f t="shared" ref="AA26:AA34" si="16">+AB26/$AB$34</f>
        <v>0.17231947483588622</v>
      </c>
      <c r="AB26" s="249">
        <f>COUNTA('ENCUESTA PROPIETARIOS'!$DC$7:$DC$417)</f>
        <v>315</v>
      </c>
      <c r="AQ26" s="11" t="s">
        <v>948</v>
      </c>
      <c r="AR26" s="121">
        <f t="shared" ref="AR26:AR36" si="17">AS26/$AS$36</f>
        <v>1.7346938775510204E-2</v>
      </c>
      <c r="AS26" s="153">
        <f>COUNTIF('DETALLES UNIDADES'!$N$8:$N$987,"&lt;1,000")</f>
        <v>17</v>
      </c>
      <c r="AU26" s="19"/>
      <c r="AV26" s="194"/>
      <c r="AX26" s="19"/>
      <c r="AY26" s="194"/>
      <c r="BF26" s="186" t="s">
        <v>1564</v>
      </c>
      <c r="BG26" s="186" t="s">
        <v>1541</v>
      </c>
      <c r="BH26" s="153">
        <f>COUNTIF('DETALLES UNIDADES'!$AO$8:$AO$987,FORMULAS!BG26)-BH25</f>
        <v>157</v>
      </c>
      <c r="BK26" s="11" t="s">
        <v>1788</v>
      </c>
      <c r="BL26" s="6">
        <f t="shared" si="15"/>
        <v>0.16666666666666666</v>
      </c>
      <c r="BM26" s="249">
        <f>COUNTIF('DETALLES UNIDADES'!$AU$8:$AU$987,"&lt;98700")-BM25-BM24</f>
        <v>157</v>
      </c>
    </row>
    <row r="27" spans="2:65" ht="30" x14ac:dyDescent="0.25">
      <c r="B27" s="157" t="s">
        <v>723</v>
      </c>
      <c r="C27" s="249">
        <f>COUNTIF('ENCUESTA PROPIETARIOS'!$I$7:$I$417,"PREPARATORIA")+COUNTIF('ENCUESTA PROPIETARIOS'!$I$7:$I$417,"BACHILLERATO")</f>
        <v>110</v>
      </c>
      <c r="D27" s="6">
        <f t="shared" si="14"/>
        <v>0.26763990267639903</v>
      </c>
      <c r="F27" s="137" t="s">
        <v>825</v>
      </c>
      <c r="G27" s="11">
        <f>SUM('ENCUESTA PROPIETARIOS'!$W$7:$W$417)</f>
        <v>18</v>
      </c>
      <c r="J27" s="249">
        <v>4</v>
      </c>
      <c r="K27" s="249">
        <f>COUNTIF('ENCUESTA PROPIETARIOS'!$AS$7:$AS$417,FORMULAS!J27)</f>
        <v>37</v>
      </c>
      <c r="L27" s="249">
        <f>COUNTIF('ENCUESTA PROPIETARIOS'!$AR$7:$AR$417,FORMULAS!J27)</f>
        <v>7</v>
      </c>
      <c r="N27" s="150" t="s">
        <v>52</v>
      </c>
      <c r="O27" s="6">
        <f t="shared" ref="O27:O36" si="18">+P27/$P$36</f>
        <v>0.1266891891891892</v>
      </c>
      <c r="P27" s="249">
        <f>COUNTIF('ENCUESTA PROPIETARIOS'!$BE$7:$BE$417,"X")</f>
        <v>75</v>
      </c>
      <c r="U27" s="11" t="s">
        <v>715</v>
      </c>
      <c r="V27" s="6">
        <f>+W27/$W$27</f>
        <v>1</v>
      </c>
      <c r="W27" s="249">
        <f>SUM(W24:W26)</f>
        <v>158</v>
      </c>
      <c r="Z27" s="137" t="s">
        <v>87</v>
      </c>
      <c r="AA27" s="6">
        <f t="shared" si="16"/>
        <v>0.15536105032822758</v>
      </c>
      <c r="AB27" s="249">
        <f>COUNTA('ENCUESTA PROPIETARIOS'!$DD$7:$DD$417)</f>
        <v>284</v>
      </c>
      <c r="AH27" s="11" t="s">
        <v>925</v>
      </c>
      <c r="AI27" s="11" t="s">
        <v>717</v>
      </c>
      <c r="AQ27" s="11" t="s">
        <v>957</v>
      </c>
      <c r="AR27" s="121">
        <f t="shared" si="17"/>
        <v>1.4285714285714285E-2</v>
      </c>
      <c r="AS27" s="153">
        <f>COUNTIF('DETALLES UNIDADES'!$N$8:$N$987,"&lt;1500")-AS26</f>
        <v>14</v>
      </c>
      <c r="AU27" s="19"/>
      <c r="AV27" s="194"/>
      <c r="AX27" s="19"/>
      <c r="AY27" s="194"/>
      <c r="BF27" s="186" t="s">
        <v>1535</v>
      </c>
      <c r="BG27" s="186" t="s">
        <v>1546</v>
      </c>
      <c r="BH27" s="153">
        <f>COUNTIF('DETALLES UNIDADES'!$AO$8:$AO$987,FORMULAS!BG27)-BH26-BH25</f>
        <v>247</v>
      </c>
      <c r="BK27" s="11" t="s">
        <v>1789</v>
      </c>
      <c r="BL27" s="6">
        <f t="shared" si="15"/>
        <v>4.8832271762208071E-2</v>
      </c>
      <c r="BM27" s="249">
        <f>COUNTIF('DETALLES UNIDADES'!$AU$8:$AU$987,"&lt;125000")-BM26-BM25-BM24</f>
        <v>46</v>
      </c>
    </row>
    <row r="28" spans="2:65" x14ac:dyDescent="0.25">
      <c r="B28" s="112" t="s">
        <v>399</v>
      </c>
      <c r="C28" s="249">
        <f>COUNTIF('ENCUESTA PROPIETARIOS'!$I$7:$I$417,"LICENCIATURA")+COUNTIF('ENCUESTA PROPIETARIOS'!$I$7:$I$417,"INGENIERIA")</f>
        <v>89</v>
      </c>
      <c r="D28" s="6">
        <f t="shared" si="14"/>
        <v>0.21654501216545013</v>
      </c>
      <c r="F28" s="137" t="s">
        <v>826</v>
      </c>
      <c r="G28" s="11">
        <f>SUM('ENCUESTA PROPIETARIOS'!$X$7:$X$417)</f>
        <v>33</v>
      </c>
      <c r="J28" s="249">
        <v>5</v>
      </c>
      <c r="K28" s="249">
        <f>COUNTIF('ENCUESTA PROPIETARIOS'!$AS$7:$AS$417,FORMULAS!J28)</f>
        <v>39</v>
      </c>
      <c r="L28" s="249">
        <f>COUNTIF('ENCUESTA PROPIETARIOS'!$AR$7:$AR$417,FORMULAS!J28)</f>
        <v>34</v>
      </c>
      <c r="N28" s="112" t="s">
        <v>866</v>
      </c>
      <c r="O28" s="6">
        <f t="shared" si="18"/>
        <v>2.0270270270270271E-2</v>
      </c>
      <c r="P28" s="249">
        <f>COUNTIF('ENCUESTA PROPIETARIOS'!$BL$7:$BL$417,"X")</f>
        <v>12</v>
      </c>
      <c r="Z28" s="137" t="s">
        <v>88</v>
      </c>
      <c r="AA28" s="6">
        <f t="shared" si="16"/>
        <v>0.15043763676148797</v>
      </c>
      <c r="AB28" s="249">
        <f>COUNTA('ENCUESTA PROPIETARIOS'!$DE$7:$DE$417)</f>
        <v>275</v>
      </c>
      <c r="AH28" s="19" t="s">
        <v>410</v>
      </c>
      <c r="AI28" s="11">
        <f>COUNTIF('ENCUESTA PROPIETARIOS'!$DW$7:$DW$417,AH28)+COUNTIF('ENCUESTA PROPIETARIOS'!$DW$7:$DW$417,"BAJOS ESTÍMULOS")+COUNTIF('ENCUESTA PROPIETARIOS'!$DW$7:$DW$417,"DEBERIAN DAR MAS")+COUNTIF('ENCUESTA PROPIETARIOS'!$DW$7:$DW$417,"LAS UNIDADES ESTAN MUY CARAS")+COUNTIF('ENCUESTA PROPIETARIOS'!$DW$7:$DW$417,"DAN MUY POCO")</f>
        <v>72</v>
      </c>
      <c r="AL28" s="11" t="s">
        <v>932</v>
      </c>
      <c r="AN28" s="11" t="s">
        <v>717</v>
      </c>
      <c r="AQ28" s="11" t="s">
        <v>958</v>
      </c>
      <c r="AR28" s="121">
        <f t="shared" si="17"/>
        <v>5.6122448979591837E-2</v>
      </c>
      <c r="AS28" s="153">
        <f>COUNTIF('DETALLES UNIDADES'!$N$8:$N$987,"&lt;2001")-AS27-AS26</f>
        <v>55</v>
      </c>
      <c r="AU28" s="19"/>
      <c r="AV28" s="194"/>
      <c r="AX28" s="19"/>
      <c r="AY28" s="194"/>
      <c r="BF28" s="186" t="s">
        <v>1536</v>
      </c>
      <c r="BG28" s="186" t="s">
        <v>1542</v>
      </c>
      <c r="BH28" s="153">
        <f>COUNTIF('DETALLES UNIDADES'!$AO$8:$AO$987,FORMULAS!BG28)-BH27-BH26-BH25</f>
        <v>160</v>
      </c>
      <c r="BK28" s="11" t="s">
        <v>1797</v>
      </c>
      <c r="BL28" s="6">
        <f t="shared" si="15"/>
        <v>7.9617834394904455E-2</v>
      </c>
      <c r="BM28" s="249">
        <f>COUNTIF('DETALLES UNIDADES'!$AU$8:$AU$987,"&lt;175000")-BM27-BM26-BM25-BM24</f>
        <v>75</v>
      </c>
    </row>
    <row r="29" spans="2:65" x14ac:dyDescent="0.25">
      <c r="B29" s="112" t="s">
        <v>711</v>
      </c>
      <c r="C29" s="249">
        <f>COUNTIF('ENCUESTA PROPIETARIOS'!$I$7:$I$417,"OTROS")+COUNTIF('ENCUESTA PROPIETARIOS'!$I$7:$I$417,"TECNICA")+COUNTIF('ENCUESTA PROPIETARIOS'!$I$7:$I$417,"POSGRADO")+COUNTIF('ENCUESTA PROPIETARIOS'!$I$7:$I$417,"MAESTRIA")</f>
        <v>5</v>
      </c>
      <c r="D29" s="6">
        <f t="shared" si="14"/>
        <v>1.2165450121654502E-2</v>
      </c>
      <c r="F29" s="137" t="s">
        <v>827</v>
      </c>
      <c r="G29" s="11">
        <f>SUM('ENCUESTA PROPIETARIOS'!$Y$7:$Y$417)</f>
        <v>23</v>
      </c>
      <c r="J29" s="249">
        <v>6</v>
      </c>
      <c r="K29" s="249">
        <f>COUNTIF('ENCUESTA PROPIETARIOS'!$AS$7:$AS$417,FORMULAS!J29)</f>
        <v>32</v>
      </c>
      <c r="L29" s="249">
        <f>COUNTIF('ENCUESTA PROPIETARIOS'!$AR$7:$AR$417,FORMULAS!J29)</f>
        <v>23</v>
      </c>
      <c r="N29" s="112" t="s">
        <v>867</v>
      </c>
      <c r="O29" s="6">
        <f t="shared" si="18"/>
        <v>0.17398648648648649</v>
      </c>
      <c r="P29" s="249">
        <f>COUNTIF('ENCUESTA PROPIETARIOS'!$BK$7:$BK$417,"X")</f>
        <v>103</v>
      </c>
      <c r="U29" s="11" t="s">
        <v>893</v>
      </c>
      <c r="Z29" s="137" t="s">
        <v>89</v>
      </c>
      <c r="AA29" s="6">
        <f t="shared" si="16"/>
        <v>0.14934354485776805</v>
      </c>
      <c r="AB29" s="249">
        <f>COUNTA('ENCUESTA PROPIETARIOS'!$DF$7:$DF$417)</f>
        <v>273</v>
      </c>
      <c r="AH29" s="19" t="s">
        <v>428</v>
      </c>
      <c r="AI29" s="11">
        <f>COUNTIF('ENCUESTA PROPIETARIOS'!$DW$7:$DW$417,AH29)+COUNTIF('ENCUESTA PROPIETARIOS'!$DW$7:$DW$417,"VENTA DE UNIDAD VIEJA EN MENOR TIEMPO")</f>
        <v>25</v>
      </c>
      <c r="AL29" s="151" t="s">
        <v>397</v>
      </c>
      <c r="AM29" s="121">
        <f t="shared" ref="AM29:AM36" si="19">AN29/$AN$36</f>
        <v>0.45098039215686275</v>
      </c>
      <c r="AN29" s="11">
        <f>COUNTIF('ENCUESTA PROPIETARIOS'!$EB$7:$EB$417,AL29)</f>
        <v>23</v>
      </c>
      <c r="AQ29" s="11" t="s">
        <v>949</v>
      </c>
      <c r="AR29" s="121">
        <f t="shared" si="17"/>
        <v>1.8367346938775512E-2</v>
      </c>
      <c r="AS29" s="153">
        <f>COUNTIF('DETALLES UNIDADES'!$N$8:$N$987,"&lt;2501")-AS28-AS27-AS26</f>
        <v>18</v>
      </c>
      <c r="AU29" s="19"/>
      <c r="AV29" s="194"/>
      <c r="AX29" s="19"/>
      <c r="AY29" s="194"/>
      <c r="BF29" s="186" t="s">
        <v>1565</v>
      </c>
      <c r="BG29" s="186" t="s">
        <v>1562</v>
      </c>
      <c r="BH29" s="153">
        <f>COUNTIF('DETALLES UNIDADES'!$AO$8:$AO$987,FORMULAS!BG29)-BH28-BH27-BH26-BH25</f>
        <v>247</v>
      </c>
      <c r="BK29" s="11" t="s">
        <v>1793</v>
      </c>
      <c r="BL29" s="6">
        <f t="shared" si="15"/>
        <v>5.8386411889596604E-2</v>
      </c>
      <c r="BM29" s="249">
        <f>COUNTIF('DETALLES UNIDADES'!$AU$8:$AU$987,"&gt;174999")</f>
        <v>55</v>
      </c>
    </row>
    <row r="30" spans="2:65" x14ac:dyDescent="0.25">
      <c r="B30" s="112" t="s">
        <v>715</v>
      </c>
      <c r="C30" s="249">
        <f>SUM(C24:C29)</f>
        <v>411</v>
      </c>
      <c r="D30" s="6">
        <f t="shared" si="14"/>
        <v>1</v>
      </c>
      <c r="F30" s="137" t="s">
        <v>1343</v>
      </c>
      <c r="G30" s="11">
        <f>SUM('ENCUESTA PROPIETARIOS'!$Z$7:$Z$417)</f>
        <v>114</v>
      </c>
      <c r="J30" s="249">
        <v>7</v>
      </c>
      <c r="K30" s="249">
        <f>COUNTIF('ENCUESTA PROPIETARIOS'!$AS$7:$AS$417,FORMULAS!J30)</f>
        <v>14</v>
      </c>
      <c r="L30" s="249">
        <f>COUNTIF('ENCUESTA PROPIETARIOS'!$AR$7:$AR$417,FORMULAS!J30)</f>
        <v>6</v>
      </c>
      <c r="N30" s="150" t="s">
        <v>53</v>
      </c>
      <c r="O30" s="6">
        <f t="shared" si="18"/>
        <v>9.45945945945946E-2</v>
      </c>
      <c r="P30" s="249">
        <f>COUNTIF('ENCUESTA PROPIETARIOS'!$BF$7:$BF$417,"X")</f>
        <v>56</v>
      </c>
      <c r="U30" s="137" t="s">
        <v>884</v>
      </c>
      <c r="V30" s="6">
        <f t="shared" ref="V30:V39" si="20">W30/$W$39</f>
        <v>9.1743119266055051E-3</v>
      </c>
      <c r="W30" s="249">
        <f>COUNTIF('ENCUESTA PROPIETARIOS'!$CA$7:$CA$417,"X")</f>
        <v>5</v>
      </c>
      <c r="Z30" s="137" t="s">
        <v>90</v>
      </c>
      <c r="AA30" s="6">
        <f t="shared" si="16"/>
        <v>0.17177242888402625</v>
      </c>
      <c r="AB30" s="249">
        <f>COUNTA('ENCUESTA PROPIETARIOS'!$DG$7:$DG$417)</f>
        <v>314</v>
      </c>
      <c r="AH30" s="19" t="s">
        <v>457</v>
      </c>
      <c r="AI30" s="11">
        <f>COUNTIF('ENCUESTA PROPIETARIOS'!$DW$7:$DW$417,AH30)+COUNTIF('ENCUESTA PROPIETARIOS'!$DW$7:$DW$417,"NO SIRVE")+COUNTIF('ENCUESTA PROPIETARIOS'!$DW$7:$DW$417,"ES UN ROBO")+COUNTIF('ENCUESTA PROPIETARIOS'!$DW$7:$DW$417,"NO ES HONESTO, ES UN ROBO")</f>
        <v>22</v>
      </c>
      <c r="AL30" s="196" t="s">
        <v>620</v>
      </c>
      <c r="AM30" s="121">
        <f t="shared" si="19"/>
        <v>0.17647058823529413</v>
      </c>
      <c r="AN30" s="11">
        <f>COUNTIF('ENCUESTA PROPIETARIOS'!$EB$7:$EB$417,AL30)+COUNTIF('ENCUESTA PROPIETARIOS'!$EB$7:$EB$417,"UNIDADES NUEVAS")</f>
        <v>9</v>
      </c>
      <c r="AP30" s="19"/>
      <c r="AQ30" s="11" t="s">
        <v>950</v>
      </c>
      <c r="AR30" s="121">
        <f t="shared" si="17"/>
        <v>6.4285714285714279E-2</v>
      </c>
      <c r="AS30" s="153">
        <f>COUNTIF('DETALLES UNIDADES'!$N$8:$N$987,"&lt;3001")-AS29-AS28-AS27-AS26</f>
        <v>63</v>
      </c>
      <c r="AU30" s="19"/>
      <c r="AV30" s="194"/>
      <c r="AX30" s="19"/>
      <c r="AY30" s="194"/>
      <c r="BF30" s="186" t="s">
        <v>1843</v>
      </c>
      <c r="BG30" s="186" t="s">
        <v>1842</v>
      </c>
      <c r="BH30" s="153">
        <f>COUNTIF('DETALLES UNIDADES'!$AO$8:$AO$987,FORMULAS!BG30)-BH29-BH28-BH27-BH26-BH25</f>
        <v>110</v>
      </c>
      <c r="BK30" s="11" t="s">
        <v>715</v>
      </c>
      <c r="BL30" s="6">
        <f t="shared" si="15"/>
        <v>1</v>
      </c>
      <c r="BM30" s="249">
        <f>SUM(BM24:BM29)</f>
        <v>942</v>
      </c>
    </row>
    <row r="31" spans="2:65" x14ac:dyDescent="0.25">
      <c r="F31" s="137" t="s">
        <v>828</v>
      </c>
      <c r="G31" s="11">
        <f>COUNTA('ENCUESTA PROPIETARIOS'!$AA$7:$AA$417)-COUNTIF('ENCUESTA PROPIETARIOS'!$AA$7:$AA$417,"(REDILAS)")</f>
        <v>2</v>
      </c>
      <c r="J31" s="249">
        <v>8</v>
      </c>
      <c r="K31" s="249">
        <f>COUNTIF('ENCUESTA PROPIETARIOS'!$AS$7:$AS$417,FORMULAS!J31)</f>
        <v>19</v>
      </c>
      <c r="L31" s="249">
        <f>COUNTIF('ENCUESTA PROPIETARIOS'!$AR$7:$AR$417,FORMULAS!J31)</f>
        <v>39</v>
      </c>
      <c r="N31" s="150" t="s">
        <v>54</v>
      </c>
      <c r="O31" s="6">
        <f t="shared" si="18"/>
        <v>0.13682432432432431</v>
      </c>
      <c r="P31" s="249">
        <f>COUNTIF('ENCUESTA PROPIETARIOS'!$BG$7:$BG$417,"X")</f>
        <v>81</v>
      </c>
      <c r="U31" s="137" t="s">
        <v>885</v>
      </c>
      <c r="V31" s="6">
        <f t="shared" si="20"/>
        <v>0.15045871559633028</v>
      </c>
      <c r="W31" s="249">
        <f>COUNTIF('ENCUESTA PROPIETARIOS'!$CB$7:$CB$417,"X")</f>
        <v>82</v>
      </c>
      <c r="Z31" s="137" t="s">
        <v>91</v>
      </c>
      <c r="AA31" s="6">
        <f t="shared" si="16"/>
        <v>0.14442013129102846</v>
      </c>
      <c r="AB31" s="249">
        <f>COUNTA('ENCUESTA PROPIETARIOS'!$DH$7:$DH$417)</f>
        <v>264</v>
      </c>
      <c r="AH31" s="19" t="s">
        <v>453</v>
      </c>
      <c r="AI31" s="11">
        <f>COUNTIF('ENCUESTA PROPIETARIOS'!$DW$7:$DW$417,AH31)+COUNTIF('ENCUESTA PROPIETARIOS'!$DW$7:$DW$417,"DEBERIA AMPLIARSE")+COUNTIF('ENCUESTA PROPIETARIOS'!$DW$7:$DW$417,"FALTA INFORMACION")+COUNTIF('ENCUESTA PROPIETARIOS'!$DW$7:$DW$417,"DAR EN ESPECIE Y NO UN PAPEL")+COUNTIF('ENCUESTA PROPIETARIOS'!$DW$7:$DW$417,"TENDRIA QUE SER OBLIGATORIO PARA TODOS")+COUNTIF('ENCUESTA PROPIETARIOS'!$DW$7:$DW$417,"REGULAR TRAMITE RECIBO DE UNIDAD CHATARRA ENGORROSO")+COUNTIF('ENCUESTA PROPIETARIOS'!$DW$7:$DW$417,"QUE FUERA UN APOYO PARA COMPRAR DONDE MAS CONVENGA")</f>
        <v>8</v>
      </c>
      <c r="AL31" s="151" t="s">
        <v>405</v>
      </c>
      <c r="AM31" s="121">
        <f t="shared" si="19"/>
        <v>0.15686274509803921</v>
      </c>
      <c r="AN31" s="11">
        <f>COUNTIF('ENCUESTA PROPIETARIOS'!$EB$7:$EB$417,AL31)</f>
        <v>8</v>
      </c>
      <c r="AP31" s="19"/>
      <c r="AQ31" s="11" t="s">
        <v>951</v>
      </c>
      <c r="AR31" s="121">
        <f t="shared" si="17"/>
        <v>0.29285714285714287</v>
      </c>
      <c r="AS31" s="153">
        <f>COUNTIF('DETALLES UNIDADES'!$N$8:$N$987,"&lt;5001")-AS30-AS29-AS28-AS27-AS26</f>
        <v>287</v>
      </c>
      <c r="AU31" s="19"/>
      <c r="AV31" s="194"/>
      <c r="AX31" s="19"/>
      <c r="AY31" s="194"/>
      <c r="BF31" s="11" t="s">
        <v>1569</v>
      </c>
      <c r="BG31" s="11" t="s">
        <v>1556</v>
      </c>
      <c r="BH31" s="153">
        <f>COUNTIF('DETALLES UNIDADES'!$AO$8:$AO$987,FORMULAS!BG31)</f>
        <v>17</v>
      </c>
      <c r="BK31" s="11" t="s">
        <v>1847</v>
      </c>
      <c r="BM31" s="249">
        <f>COUNTIF('DETALLES UNIDADES'!$AU$8:$AU$987,"VARIABLE")+COUNTIF('DETALLES UNIDADES'!$AU$8:$AU$987,"SON NUEVAS")</f>
        <v>38</v>
      </c>
    </row>
    <row r="32" spans="2:65" ht="30" x14ac:dyDescent="0.25">
      <c r="F32" s="11" t="s">
        <v>715</v>
      </c>
      <c r="G32" s="11">
        <f>SUM(G19:G31)</f>
        <v>1362</v>
      </c>
      <c r="J32" s="249">
        <v>9</v>
      </c>
      <c r="K32" s="249">
        <f>COUNTIF('ENCUESTA PROPIETARIOS'!$AS$7:$AS$417,FORMULAS!J32)</f>
        <v>5</v>
      </c>
      <c r="L32" s="249">
        <f>COUNTIF('ENCUESTA PROPIETARIOS'!$AR$7:$AR$417,FORMULAS!J32)</f>
        <v>13</v>
      </c>
      <c r="N32" s="150" t="s">
        <v>55</v>
      </c>
      <c r="O32" s="6">
        <f t="shared" si="18"/>
        <v>3.2094594594594593E-2</v>
      </c>
      <c r="P32" s="249">
        <f>COUNTIF('ENCUESTA PROPIETARIOS'!$BH$7:$BH$417,"X")</f>
        <v>19</v>
      </c>
      <c r="U32" s="137" t="s">
        <v>886</v>
      </c>
      <c r="V32" s="6">
        <f t="shared" si="20"/>
        <v>0.27706422018348625</v>
      </c>
      <c r="W32" s="249">
        <f>COUNTIF('ENCUESTA PROPIETARIOS'!$CC$7:$CC$417,"X")</f>
        <v>151</v>
      </c>
      <c r="Z32" s="137" t="s">
        <v>910</v>
      </c>
      <c r="AA32" s="6">
        <f t="shared" si="16"/>
        <v>4.7592997811816196E-2</v>
      </c>
      <c r="AB32" s="249">
        <f>COUNTIF('ENCUESTA PROPIETARIOS'!$DA$7:$DA$417,"X")</f>
        <v>87</v>
      </c>
      <c r="AH32" s="19" t="s">
        <v>373</v>
      </c>
      <c r="AI32" s="11">
        <f>COUNTIF('ENCUESTA PROPIETARIOS'!$DW$7:$DW$417,AH32)+COUNTIF('ENCUESTA PROPIETARIOS'!$DW$7:$DW$417,"LA AYUDA ES POCA PERO LOS PAGOS MUY ALTOS")</f>
        <v>4</v>
      </c>
      <c r="AL32" s="196" t="s">
        <v>684</v>
      </c>
      <c r="AM32" s="121">
        <f t="shared" si="19"/>
        <v>7.8431372549019607E-2</v>
      </c>
      <c r="AN32" s="11">
        <f>COUNTIF('ENCUESTA PROPIETARIOS'!$EB$7:$EB$417,AL32)+COUNTIF('ENCUESTA PROPIETARIOS'!$EB$7:$EB$417,"POR LA BUROCRACIA")</f>
        <v>4</v>
      </c>
      <c r="AP32" s="19"/>
      <c r="AQ32" s="11" t="s">
        <v>952</v>
      </c>
      <c r="AR32" s="121">
        <f t="shared" si="17"/>
        <v>0.19591836734693877</v>
      </c>
      <c r="AS32" s="153">
        <f>COUNTIF('DETALLES UNIDADES'!$N$8:$N$987,"&lt;7501")-AS31-AS30-AS29-AS28-AS27-AS26</f>
        <v>192</v>
      </c>
      <c r="AU32" s="19"/>
      <c r="AV32" s="194"/>
      <c r="AX32" s="19"/>
      <c r="AY32" s="194"/>
      <c r="BF32" s="11" t="s">
        <v>1548</v>
      </c>
      <c r="BG32" s="13" t="s">
        <v>480</v>
      </c>
      <c r="BH32" s="153">
        <f>COUNTIF('DETALLES UNIDADES'!$AO$8:$AO$987,FORMULAS!BG32)</f>
        <v>4</v>
      </c>
    </row>
    <row r="33" spans="1:65" x14ac:dyDescent="0.25">
      <c r="J33" s="249">
        <v>10</v>
      </c>
      <c r="K33" s="249">
        <f>COUNTIF('ENCUESTA PROPIETARIOS'!$AS$7:$AS$417,FORMULAS!J33)</f>
        <v>41</v>
      </c>
      <c r="L33" s="249">
        <f>COUNTIF('ENCUESTA PROPIETARIOS'!$AR$7:$AR$417,FORMULAS!J33)</f>
        <v>215</v>
      </c>
      <c r="N33" s="150" t="s">
        <v>861</v>
      </c>
      <c r="O33" s="6">
        <f t="shared" si="18"/>
        <v>2.7027027027027029E-2</v>
      </c>
      <c r="P33" s="249">
        <f>COUNTIF('ENCUESTA PROPIETARIOS'!$BI$7:$BI$417,"X")</f>
        <v>16</v>
      </c>
      <c r="U33" s="137" t="s">
        <v>887</v>
      </c>
      <c r="V33" s="6">
        <f t="shared" si="20"/>
        <v>0.22385321100917432</v>
      </c>
      <c r="W33" s="249">
        <f>COUNTIF('ENCUESTA PROPIETARIOS'!$CD$7:$CD$417,"X")</f>
        <v>122</v>
      </c>
      <c r="Z33" s="140" t="s">
        <v>906</v>
      </c>
      <c r="AA33" s="6">
        <f t="shared" si="16"/>
        <v>8.7527352297592995E-3</v>
      </c>
      <c r="AB33" s="249">
        <f>COUNTIF('ENCUESTA PROPIETARIOS'!$DI$7:$DI$417,"OTROS")+COUNTIF('ENCUESTA PROPIETARIOS'!$DI$7:$DI$417,"SEGURIDAD")+COUNTIF('ENCUESTA PROPIETARIOS'!$DI$7:$DI$417,"PRIMEROS AUXILIOS")++COUNTIF('ENCUESTA PROPIETARIOS'!$DI$7:$DI$417,"MANEJO A LA DEFENSIVA")</f>
        <v>16</v>
      </c>
      <c r="AH33" s="19" t="s">
        <v>1774</v>
      </c>
      <c r="AI33" s="11">
        <f>COUNTIF('ENCUESTA PROPIETARIOS'!$DW$7:$DW$417,"DIERON POCO/ CREDITO CARO")+COUNTIF('ENCUESTA PROPIETARIOS'!$DW$7:$DW$417,"NO ES JUSTO")+COUNTIF('ENCUESTA PROPIETARIOS'!$DW$7:$DW$417,"NO LE CONVIENE")</f>
        <v>4</v>
      </c>
      <c r="AL33" s="151" t="s">
        <v>613</v>
      </c>
      <c r="AM33" s="121">
        <f t="shared" si="19"/>
        <v>5.8823529411764705E-2</v>
      </c>
      <c r="AN33" s="11">
        <f>COUNTIF('ENCUESTA PROPIETARIOS'!$EB$7:$EB$417,AL33)+COUNTIF('ENCUESTA PROPIETARIOS'!$EB$7:$EB$417,"NO LE CONVIENE")</f>
        <v>3</v>
      </c>
      <c r="AP33" s="19"/>
      <c r="AQ33" s="11" t="s">
        <v>953</v>
      </c>
      <c r="AR33" s="121">
        <f t="shared" si="17"/>
        <v>0.14183673469387756</v>
      </c>
      <c r="AS33" s="153">
        <f>COUNTIF('DETALLES UNIDADES'!$N$8:$N$987,"&lt;9871")-AS32-AS31-AS30-AS29-AS28-AS27-AS26</f>
        <v>139</v>
      </c>
      <c r="AU33" s="19"/>
      <c r="AV33" s="194"/>
      <c r="AX33" s="19"/>
      <c r="AY33" s="194"/>
      <c r="BF33" s="11" t="s">
        <v>871</v>
      </c>
      <c r="BH33" s="153">
        <f>COUNTIF('DETALLES UNIDADES'!$AO$8:$AO$987,"")</f>
        <v>0</v>
      </c>
      <c r="BK33" s="11" t="s">
        <v>1798</v>
      </c>
    </row>
    <row r="34" spans="1:65" x14ac:dyDescent="0.25">
      <c r="J34" s="249" t="s">
        <v>847</v>
      </c>
      <c r="K34" s="249">
        <f>COUNTIF('ENCUESTA PROPIETARIOS'!$AS$7:$AS$417,FORMULAS!J34)</f>
        <v>6</v>
      </c>
      <c r="L34" s="249">
        <f>COUNTIF('ENCUESTA PROPIETARIOS'!$AR$7:$AR$417,FORMULAS!J34)</f>
        <v>0</v>
      </c>
      <c r="N34" s="150" t="s">
        <v>862</v>
      </c>
      <c r="O34" s="6">
        <f t="shared" si="18"/>
        <v>1.5202702702702704E-2</v>
      </c>
      <c r="P34" s="249">
        <f>COUNTIF('ENCUESTA PROPIETARIOS'!$BJ$7:$BJ$417,"X")</f>
        <v>9</v>
      </c>
      <c r="U34" s="137" t="s">
        <v>888</v>
      </c>
      <c r="V34" s="6">
        <f t="shared" si="20"/>
        <v>3.3027522935779818E-2</v>
      </c>
      <c r="W34" s="249">
        <f>COUNTIF('ENCUESTA PROPIETARIOS'!$CE$7:$CE$417,"X")</f>
        <v>18</v>
      </c>
      <c r="Z34" s="140" t="s">
        <v>715</v>
      </c>
      <c r="AA34" s="6">
        <f t="shared" si="16"/>
        <v>1</v>
      </c>
      <c r="AB34" s="249">
        <f>SUM(AB26:AB33)</f>
        <v>1828</v>
      </c>
      <c r="AH34" s="11" t="s">
        <v>715</v>
      </c>
      <c r="AI34" s="11">
        <f>SUM(AI28:AI33)</f>
        <v>135</v>
      </c>
      <c r="AL34" s="196" t="s">
        <v>592</v>
      </c>
      <c r="AM34" s="121">
        <f t="shared" si="19"/>
        <v>5.8823529411764705E-2</v>
      </c>
      <c r="AN34" s="11">
        <f>COUNTIF('ENCUESTA PROPIETARIOS'!$EB$7:$EB$417,AL34)+COUNTIF('ENCUESTA PROPIETARIOS'!$EB$7:$EB$417,"NO ESTA DIRIGIDO AL HOMBRE CAMION")+COUNTIF('ENCUESTA PROPIETARIOS'!$EB$7:$EB$417,"DAR MEJORES INCENTIVOS")</f>
        <v>3</v>
      </c>
      <c r="AP34" s="19"/>
      <c r="AQ34" s="11" t="s">
        <v>954</v>
      </c>
      <c r="AR34" s="121">
        <f t="shared" si="17"/>
        <v>0.13979591836734695</v>
      </c>
      <c r="AS34" s="153">
        <f>COUNTIF('DETALLES UNIDADES'!$N$8:$N$987,"&lt;15001")-AS33-AS32-AS31-AS30-AS29-AS28-AS27-AS26</f>
        <v>137</v>
      </c>
      <c r="AU34" s="19"/>
      <c r="AV34" s="194"/>
      <c r="AX34" s="19"/>
      <c r="AY34" s="194"/>
      <c r="BH34" s="11">
        <f>SUM(BH25:BH33)</f>
        <v>980</v>
      </c>
      <c r="BK34" s="195">
        <v>0</v>
      </c>
      <c r="BL34" s="6">
        <f>+BM34/$BM$41</f>
        <v>4.2689434364994666E-3</v>
      </c>
      <c r="BM34" s="249">
        <f>COUNTIF('DETALLES UNIDADES'!$AV$8:$AV$987,"0")</f>
        <v>4</v>
      </c>
    </row>
    <row r="35" spans="1:65" ht="30" x14ac:dyDescent="0.25">
      <c r="J35" s="249" t="s">
        <v>396</v>
      </c>
      <c r="K35" s="249">
        <f>COUNTIF('ENCUESTA PROPIETARIOS'!$AS$7:$AS$417,FORMULAS!J35)</f>
        <v>6</v>
      </c>
      <c r="L35" s="249">
        <f>COUNTIF('ENCUESTA PROPIETARIOS'!$AR$7:$AR$417,FORMULAS!J35)</f>
        <v>6</v>
      </c>
      <c r="N35" s="150" t="s">
        <v>868</v>
      </c>
      <c r="O35" s="6">
        <f t="shared" si="18"/>
        <v>3.3783783783783786E-3</v>
      </c>
      <c r="P35" s="249">
        <f>COUNTIF('ENCUESTA PROPIETARIOS'!$BM$7:$BM$417,"OTRO")+COUNTIF('ENCUESTA PROPIETARIOS'!$BM$7:$BM$417,"VARIABLE")</f>
        <v>2</v>
      </c>
      <c r="U35" s="137" t="s">
        <v>889</v>
      </c>
      <c r="V35" s="6">
        <f t="shared" si="20"/>
        <v>0.12110091743119267</v>
      </c>
      <c r="W35" s="249">
        <f>COUNTIF('ENCUESTA PROPIETARIOS'!$CF$7:$CF$417,"X")</f>
        <v>66</v>
      </c>
      <c r="AL35" s="196" t="s">
        <v>691</v>
      </c>
      <c r="AM35" s="121">
        <f t="shared" si="19"/>
        <v>1.9607843137254902E-2</v>
      </c>
      <c r="AN35" s="11">
        <f>COUNTIF('ENCUESTA PROPIETARIOS'!$EB$7:$EB$417,AL35)</f>
        <v>1</v>
      </c>
      <c r="AP35" s="2"/>
      <c r="AQ35" s="11" t="s">
        <v>956</v>
      </c>
      <c r="AR35" s="121">
        <f t="shared" si="17"/>
        <v>4.6938775510204082E-2</v>
      </c>
      <c r="AS35" s="153">
        <f>COUNTIF('DETALLES UNIDADES'!$N$8:$N$987,"&gt;15,000")</f>
        <v>46</v>
      </c>
      <c r="AU35" s="19"/>
      <c r="AV35" s="194"/>
      <c r="AX35" s="19"/>
      <c r="AY35" s="194"/>
      <c r="BK35" s="11" t="s">
        <v>1799</v>
      </c>
      <c r="BL35" s="6">
        <f>+BM35/$BM$41</f>
        <v>0.56029882604055492</v>
      </c>
      <c r="BM35" s="249">
        <f>COUNTIF('DETALLES UNIDADES'!$AV$8:$AV$987,"&lt;25000")-BM34</f>
        <v>525</v>
      </c>
    </row>
    <row r="36" spans="1:65" x14ac:dyDescent="0.25">
      <c r="J36" s="249" t="s">
        <v>715</v>
      </c>
      <c r="K36" s="249">
        <f>SUM(K23:K35)</f>
        <v>411</v>
      </c>
      <c r="L36" s="249">
        <f>SUM(L23:L35)</f>
        <v>411</v>
      </c>
      <c r="N36" s="11" t="s">
        <v>715</v>
      </c>
      <c r="O36" s="6">
        <f t="shared" si="18"/>
        <v>1</v>
      </c>
      <c r="P36" s="249">
        <f>SUM(P26:P35)</f>
        <v>592</v>
      </c>
      <c r="U36" s="137" t="s">
        <v>890</v>
      </c>
      <c r="V36" s="6">
        <f t="shared" si="20"/>
        <v>0.16513761467889909</v>
      </c>
      <c r="W36" s="249">
        <f>COUNTIF('ENCUESTA PROPIETARIOS'!$CG$7:$CG$417,"X")</f>
        <v>90</v>
      </c>
      <c r="Z36" s="11" t="s">
        <v>911</v>
      </c>
      <c r="AA36" s="249" t="s">
        <v>718</v>
      </c>
      <c r="AB36" s="11" t="s">
        <v>717</v>
      </c>
      <c r="AL36" s="11" t="s">
        <v>715</v>
      </c>
      <c r="AM36" s="121">
        <f t="shared" si="19"/>
        <v>1</v>
      </c>
      <c r="AN36" s="11">
        <f>SUM(AN29:AN35)</f>
        <v>51</v>
      </c>
      <c r="AP36" s="19"/>
      <c r="AQ36" s="11" t="s">
        <v>715</v>
      </c>
      <c r="AR36" s="121">
        <f t="shared" si="17"/>
        <v>1</v>
      </c>
      <c r="AS36" s="153">
        <f>SUM(AS25:AS35)</f>
        <v>980</v>
      </c>
      <c r="BK36" s="11" t="s">
        <v>1800</v>
      </c>
      <c r="BL36" s="6">
        <f t="shared" ref="BL36:BL40" si="21">+BM36/$BM$41</f>
        <v>0.31590181430096054</v>
      </c>
      <c r="BM36" s="249">
        <f>COUNTIF('DETALLES UNIDADES'!$AV$8:$AV$987,"&lt;50000")-BM35-BM34</f>
        <v>296</v>
      </c>
    </row>
    <row r="37" spans="1:65" x14ac:dyDescent="0.25">
      <c r="B37" s="19" t="s">
        <v>1782</v>
      </c>
      <c r="C37" s="249" t="s">
        <v>717</v>
      </c>
      <c r="D37" s="249">
        <f>SUM(C38:C176)</f>
        <v>411</v>
      </c>
      <c r="U37" s="141" t="s">
        <v>891</v>
      </c>
      <c r="V37" s="6">
        <f t="shared" si="20"/>
        <v>1.4678899082568808E-2</v>
      </c>
      <c r="W37" s="249">
        <f>COUNTIF('ENCUESTA PROPIETARIOS'!$CH$7:$CH$417,"CREDITO HIPOTECARIO")+COUNTIF('ENCUESTA PROPIETARIOS'!$CH$7:$CH$417,"BANCARIO")</f>
        <v>8</v>
      </c>
      <c r="Z37" s="11" t="s">
        <v>57</v>
      </c>
      <c r="AA37" s="6">
        <f>AB37/$AB$39</f>
        <v>0.85158150851581504</v>
      </c>
      <c r="AB37" s="11">
        <f>COUNTIF('ENCUESTA PROPIETARIOS'!$DJ$7:$DJ$417,"X")</f>
        <v>350</v>
      </c>
      <c r="AP37" s="2"/>
      <c r="AU37" s="19"/>
      <c r="BF37" s="186" t="s">
        <v>1566</v>
      </c>
      <c r="BK37" s="11" t="s">
        <v>1787</v>
      </c>
      <c r="BL37" s="6">
        <f t="shared" si="21"/>
        <v>6.7235859124866598E-2</v>
      </c>
      <c r="BM37" s="249">
        <f>COUNTIF('DETALLES UNIDADES'!$AV$8:$AV$987,"&lt;75000")-BM35-BM34-BM36</f>
        <v>63</v>
      </c>
    </row>
    <row r="38" spans="1:65" x14ac:dyDescent="0.25">
      <c r="B38" s="9" t="s">
        <v>1281</v>
      </c>
      <c r="C38" s="249">
        <v>70</v>
      </c>
      <c r="J38" s="249" t="s">
        <v>838</v>
      </c>
      <c r="K38" s="249" t="s">
        <v>1676</v>
      </c>
      <c r="L38" s="11" t="s">
        <v>1675</v>
      </c>
      <c r="N38" s="11" t="s">
        <v>839</v>
      </c>
      <c r="O38" s="249" t="s">
        <v>717</v>
      </c>
      <c r="U38" s="141" t="s">
        <v>894</v>
      </c>
      <c r="V38" s="6">
        <f t="shared" si="20"/>
        <v>5.5045871559633031E-3</v>
      </c>
      <c r="W38" s="249">
        <f>COUNTIF('ENCUESTA PROPIETARIOS'!$CH$7:$CH$417,"ARRENDAMIENTO")+COUNTIF('ENCUESTA PROPIETARIOS'!$CH$7:$CH$417,"PRESTAMO GOBIERNO ESTATAL")</f>
        <v>3</v>
      </c>
      <c r="Z38" s="11" t="s">
        <v>49</v>
      </c>
      <c r="AA38" s="6">
        <f>AB38/$AB$39</f>
        <v>0.14841849148418493</v>
      </c>
      <c r="AB38" s="11">
        <f>COUNTIF('ENCUESTA PROPIETARIOS'!$DK$7:$DK$417,"X")</f>
        <v>61</v>
      </c>
      <c r="AH38" s="11" t="s">
        <v>928</v>
      </c>
      <c r="AI38" s="249" t="s">
        <v>718</v>
      </c>
      <c r="AJ38" s="11" t="s">
        <v>717</v>
      </c>
      <c r="AP38" s="9"/>
      <c r="AU38" s="19" t="s">
        <v>1014</v>
      </c>
      <c r="AV38" s="249" t="s">
        <v>718</v>
      </c>
      <c r="AW38" s="249" t="s">
        <v>717</v>
      </c>
      <c r="BF38" s="186" t="s">
        <v>1560</v>
      </c>
      <c r="BG38" s="186" t="s">
        <v>1561</v>
      </c>
      <c r="BH38" s="11">
        <f>COUNTIF('DETALLES UNIDADES'!$AP$8:$AP$987,FORMULAS!BG38)</f>
        <v>79</v>
      </c>
      <c r="BK38" s="11" t="s">
        <v>1788</v>
      </c>
      <c r="BL38" s="6">
        <f t="shared" si="21"/>
        <v>8.5378868729989333E-3</v>
      </c>
      <c r="BM38" s="249">
        <f>COUNTIF('DETALLES UNIDADES'!$AV$8:$AV$987,"&lt;98700")-BM37-BM35-BM34-BM36</f>
        <v>8</v>
      </c>
    </row>
    <row r="39" spans="1:65" x14ac:dyDescent="0.25">
      <c r="B39" s="9" t="s">
        <v>1288</v>
      </c>
      <c r="C39" s="249">
        <v>49</v>
      </c>
      <c r="F39" s="11" t="s">
        <v>829</v>
      </c>
      <c r="I39" s="11">
        <f t="shared" ref="I39:I82" si="22">2014-J39</f>
        <v>45</v>
      </c>
      <c r="J39" s="9">
        <v>1969</v>
      </c>
      <c r="K39" s="6">
        <f>L39/$L$86</f>
        <v>1.0204081632653062E-3</v>
      </c>
      <c r="L39" s="249">
        <f>COUNTIF('DETALLES UNIDADES'!$D$8:$D$987,FORMULAS!J39)</f>
        <v>1</v>
      </c>
      <c r="M39" s="9"/>
      <c r="N39" s="19" t="s">
        <v>477</v>
      </c>
      <c r="O39" s="249">
        <f>COUNTIF('DETALLES UNIDADES'!$E$8:$I$987,FORMULAS!N39)</f>
        <v>44</v>
      </c>
      <c r="U39" s="11" t="s">
        <v>715</v>
      </c>
      <c r="V39" s="6">
        <f t="shared" si="20"/>
        <v>1</v>
      </c>
      <c r="W39" s="249">
        <f>SUM(W30:W38)</f>
        <v>545</v>
      </c>
      <c r="Z39" s="11" t="s">
        <v>715</v>
      </c>
      <c r="AA39" s="6">
        <f>AB39/$AB$39</f>
        <v>1</v>
      </c>
      <c r="AB39" s="11">
        <f>SUM(AB37:AB38)</f>
        <v>411</v>
      </c>
      <c r="AH39" s="19" t="s">
        <v>1777</v>
      </c>
      <c r="AI39" s="121">
        <f t="shared" ref="AI39:AI44" si="23">AJ39/$AJ$44</f>
        <v>2.6595744680851064E-2</v>
      </c>
      <c r="AJ39" s="11">
        <f>COUNTIF('ENCUESTA PROPIETARIOS'!$DX$7:$DX$417,"QUE SEA EN ESPECIE/ EFECTIVO")+COUNTIF('ENCUESTA PROPIETARIOS'!$DX$7:$DX$417,"LA GENTE NECESITA SUS UNIDADES, NO PAPEL")</f>
        <v>5</v>
      </c>
      <c r="AP39" s="9"/>
      <c r="AQ39" s="11" t="s">
        <v>959</v>
      </c>
      <c r="AR39" s="11" t="s">
        <v>718</v>
      </c>
      <c r="AS39" s="11" t="s">
        <v>717</v>
      </c>
      <c r="AU39" s="112" t="s">
        <v>1013</v>
      </c>
      <c r="AV39" s="6">
        <f>AW39/$AW$49</f>
        <v>1.5306122448979591E-2</v>
      </c>
      <c r="AW39" s="249">
        <f>COUNTIF('DETALLES UNIDADES'!$V$8:$V$987,"NO SABE")+COUNTIF('DETALLES UNIDADES'!$V$8:$V$987,"NO CONTESTA")+COUNTIF('DETALLES UNIDADES'!$V$8:$V$987,"VARIABLE")</f>
        <v>15</v>
      </c>
      <c r="BF39" s="186" t="s">
        <v>1564</v>
      </c>
      <c r="BG39" s="186" t="s">
        <v>1541</v>
      </c>
      <c r="BH39" s="153">
        <f>COUNTIF('DETALLES UNIDADES'!$AP$8:$AP987,FORMULAS!BG39)-BH38</f>
        <v>115</v>
      </c>
      <c r="BK39" s="11" t="s">
        <v>1789</v>
      </c>
      <c r="BL39" s="6">
        <f t="shared" si="21"/>
        <v>3.5218783351120594E-2</v>
      </c>
      <c r="BM39" s="249">
        <f>COUNTIF('DETALLES UNIDADES'!$AV$8:$AV$987,"&lt;125000")-BM38-BM37-BM35-BM34-BM36</f>
        <v>33</v>
      </c>
    </row>
    <row r="40" spans="1:65" x14ac:dyDescent="0.25">
      <c r="A40" s="9"/>
      <c r="B40" s="9" t="s">
        <v>1256</v>
      </c>
      <c r="C40" s="249">
        <v>49</v>
      </c>
      <c r="F40" s="137" t="s">
        <v>19</v>
      </c>
      <c r="G40" s="121">
        <f t="shared" ref="G40:G55" si="24">H40/$H$55</f>
        <v>0.1907356948228883</v>
      </c>
      <c r="H40" s="11">
        <f>COUNTIF('ENCUESTA PROPIETARIOS'!$AB$7:$AB$417,"X")</f>
        <v>140</v>
      </c>
      <c r="I40" s="11">
        <f t="shared" si="22"/>
        <v>44</v>
      </c>
      <c r="J40" s="9">
        <v>1970</v>
      </c>
      <c r="K40" s="6">
        <f t="shared" ref="K40:K84" si="25">L40/$L$86</f>
        <v>1.0204081632653062E-3</v>
      </c>
      <c r="L40" s="249">
        <f>COUNTIF('DETALLES UNIDADES'!$D$8:$D$987,FORMULAS!J40)</f>
        <v>1</v>
      </c>
      <c r="M40" s="9"/>
      <c r="N40" s="19" t="s">
        <v>429</v>
      </c>
      <c r="O40" s="249">
        <f>COUNTIF('DETALLES UNIDADES'!$E$8:$I$987,FORMULAS!N40)</f>
        <v>10</v>
      </c>
      <c r="AH40" s="19" t="s">
        <v>608</v>
      </c>
      <c r="AI40" s="121">
        <f t="shared" si="23"/>
        <v>3.7234042553191488E-2</v>
      </c>
      <c r="AJ40" s="11">
        <f>COUNTIF('ENCUESTA PROPIETARIOS'!$DX$7:$DX$417,AH40)+COUNTIF('ENCUESTA PROPIETARIOS'!$DX$7:$DX$417,"QUE SEA HONESTO")+COUNTIF('ENCUESTA PROPIETARIOS'!$DX$7:$DX$417,"QUE DEN LO JUSTO")+COUNTIF('ENCUESTA PROPIETARIOS'!$DX$7:$DX$417,"HACER LA GESTION MAS PRACTICA")+COUNTIF('ENCUESTA PROPIETARIOS'!$DX$7:$DX$417,"LA GENTE NECESITA SUS UNIDADES, NO PAPEL")</f>
        <v>7</v>
      </c>
      <c r="AL40" s="11" t="s">
        <v>1778</v>
      </c>
      <c r="AM40" s="249" t="s">
        <v>718</v>
      </c>
      <c r="AN40" s="11" t="s">
        <v>717</v>
      </c>
      <c r="AP40" s="2"/>
      <c r="AQ40" s="11" t="s">
        <v>1000</v>
      </c>
      <c r="AR40" s="121">
        <f>AS40/$AS$52</f>
        <v>9.1836734693877559E-3</v>
      </c>
      <c r="AS40" s="153">
        <f>COUNTIF('DETALLES UNIDADES'!$O$8:$O$987,"NO SABE")+COUNTIF('DETALLES UNIDADES'!$O$8:$O$987,"NO CONTESTA")+COUNTIF('DETALLES UNIDADES'!$O$8:$O$987,"VARIABLE")</f>
        <v>9</v>
      </c>
      <c r="AU40" s="112" t="s">
        <v>990</v>
      </c>
      <c r="AV40" s="6">
        <f t="shared" ref="AV40:AV49" si="26">AW40/$AW$49</f>
        <v>3.8775510204081633E-2</v>
      </c>
      <c r="AW40" s="249">
        <f>COUNTIF('DETALLES UNIDADES'!$V$8:$V$987,"&lt;250")</f>
        <v>38</v>
      </c>
      <c r="BF40" s="186" t="s">
        <v>1535</v>
      </c>
      <c r="BG40" s="186" t="s">
        <v>1546</v>
      </c>
      <c r="BH40" s="153">
        <f>COUNTIF('DETALLES UNIDADES'!$AP$8:$AP$987,FORMULAS!BG40)-BH39-BH38</f>
        <v>61</v>
      </c>
      <c r="BK40" s="11" t="s">
        <v>1796</v>
      </c>
      <c r="BL40" s="6">
        <f t="shared" si="21"/>
        <v>8.5378868729989333E-3</v>
      </c>
      <c r="BM40" s="249">
        <f>COUNTIF('DETALLES UNIDADES'!$AV$8:$AV$987,"&gt;124999")</f>
        <v>8</v>
      </c>
    </row>
    <row r="41" spans="1:65" ht="25.5" x14ac:dyDescent="0.25">
      <c r="A41" s="9"/>
      <c r="B41" s="9" t="s">
        <v>1280</v>
      </c>
      <c r="C41" s="249">
        <v>47</v>
      </c>
      <c r="F41" s="137" t="s">
        <v>20</v>
      </c>
      <c r="G41" s="121">
        <f t="shared" si="24"/>
        <v>0.1226158038147139</v>
      </c>
      <c r="H41" s="11">
        <f>COUNTIF('ENCUESTA PROPIETARIOS'!$AC$7:$AC$417,"X")</f>
        <v>90</v>
      </c>
      <c r="I41" s="11">
        <f t="shared" si="22"/>
        <v>43</v>
      </c>
      <c r="J41" s="9">
        <v>1971</v>
      </c>
      <c r="K41" s="6">
        <f t="shared" si="25"/>
        <v>0</v>
      </c>
      <c r="L41" s="249">
        <f>COUNTIF('DETALLES UNIDADES'!$D$8:$D$987,FORMULAS!J41)</f>
        <v>0</v>
      </c>
      <c r="M41" s="9"/>
      <c r="N41" s="19" t="s">
        <v>451</v>
      </c>
      <c r="O41" s="249">
        <f>COUNTIF('DETALLES UNIDADES'!$E$8:$I$987,FORMULAS!N41)</f>
        <v>1</v>
      </c>
      <c r="U41" s="11" t="s">
        <v>895</v>
      </c>
      <c r="V41" s="249" t="s">
        <v>718</v>
      </c>
      <c r="W41" s="249" t="s">
        <v>717</v>
      </c>
      <c r="Z41" s="11" t="s">
        <v>912</v>
      </c>
      <c r="AA41" s="249" t="s">
        <v>718</v>
      </c>
      <c r="AB41" s="11" t="s">
        <v>717</v>
      </c>
      <c r="AH41" s="19" t="s">
        <v>1775</v>
      </c>
      <c r="AI41" s="121">
        <f t="shared" si="23"/>
        <v>0.1276595744680851</v>
      </c>
      <c r="AJ41" s="11">
        <f>COUNTIF('ENCUESTA PROPIETARIOS'!$DX$7:$DX$417,"MEJORES CREDITOS")+COUNTIF('ENCUESTA PROPIETARIOS'!$DX$7:$DX$417,"UNA MEJOR PROPUESTA")+COUNTIF('ENCUESTA PROPIETARIOS'!$DX$7:$DX$417,"MEJORES CREDITOS/ MAS FLEXIBLES")+COUNTIF('ENCUESTA PROPIETARIOS'!$DX$7:$DX$417,"MEJORES SOLUCIONES")+COUNTIF('ENCUESTA PROPIETARIOS'!$DX$7:$DX$417,"MÁS CRÉDITOS")+COUNTIF('ENCUESTA PROPIETARIOS'!$DX$7:$DX$417,"MEJORES OPORTUNIDADES")+COUNTIF('ENCUESTA PROPIETARIOS'!$DX$7:$DX$417,"QUE SEPAN LO QUE REALMENTE SE NECESITA")+COUNTIF('ENCUESTA PROPIETARIOS'!$DX$7:$DX$417,"APOYO EN EL CREDITO, FUE DIFICIL PAGARLO")</f>
        <v>24</v>
      </c>
      <c r="AL41" s="19" t="s">
        <v>593</v>
      </c>
      <c r="AM41" s="121">
        <f>AN41/$AN$46</f>
        <v>1.0238907849829351E-2</v>
      </c>
      <c r="AN41" s="11">
        <f>COUNTIF('ENCUESTA PROPIETARIOS'!$EE$7:$EE$417,AL41)</f>
        <v>3</v>
      </c>
      <c r="AP41" s="1"/>
      <c r="AQ41" s="197" t="s">
        <v>961</v>
      </c>
      <c r="AR41" s="121">
        <f t="shared" ref="AR41:AR52" si="27">AS41/$AS$52</f>
        <v>4.7959183673469387E-2</v>
      </c>
      <c r="AS41" s="153">
        <f>COUNTIF('DETALLES UNIDADES'!$O$8:$O$987,"0%")</f>
        <v>47</v>
      </c>
      <c r="AU41" s="112" t="s">
        <v>1341</v>
      </c>
      <c r="AV41" s="6">
        <f t="shared" si="26"/>
        <v>6.3265306122448975E-2</v>
      </c>
      <c r="AW41" s="249">
        <f>COUNTIF('DETALLES UNIDADES'!$V$8:$V$987,"&lt;501")-AW40</f>
        <v>62</v>
      </c>
      <c r="BF41" s="186" t="s">
        <v>1536</v>
      </c>
      <c r="BG41" s="186" t="s">
        <v>1542</v>
      </c>
      <c r="BH41" s="153">
        <f>COUNTIF('DETALLES UNIDADES'!$AP$8:$AP$987,FORMULAS!BG41)-BH40-BH39-BH38</f>
        <v>31</v>
      </c>
      <c r="BK41" s="11" t="s">
        <v>715</v>
      </c>
      <c r="BL41" s="6">
        <f>+BM41/$BM$41</f>
        <v>1</v>
      </c>
      <c r="BM41" s="249">
        <f>SUM(BM34:BM40)</f>
        <v>937</v>
      </c>
    </row>
    <row r="42" spans="1:65" ht="25.5" x14ac:dyDescent="0.25">
      <c r="A42" s="9"/>
      <c r="B42" s="9" t="s">
        <v>1183</v>
      </c>
      <c r="C42" s="249">
        <v>30</v>
      </c>
      <c r="F42" s="137" t="s">
        <v>830</v>
      </c>
      <c r="G42" s="121">
        <f t="shared" si="24"/>
        <v>3.1335149863760216E-2</v>
      </c>
      <c r="H42" s="11">
        <f>COUNTIF('ENCUESTA PROPIETARIOS'!$AD$7:$AD$417,"X")</f>
        <v>23</v>
      </c>
      <c r="I42" s="11">
        <f t="shared" si="22"/>
        <v>42</v>
      </c>
      <c r="J42" s="9">
        <v>1972</v>
      </c>
      <c r="K42" s="6">
        <f t="shared" si="25"/>
        <v>0</v>
      </c>
      <c r="L42" s="249">
        <f>COUNTIF('DETALLES UNIDADES'!$D$8:$D$987,FORMULAS!J42)</f>
        <v>0</v>
      </c>
      <c r="M42" s="9"/>
      <c r="N42" s="19" t="s">
        <v>407</v>
      </c>
      <c r="O42" s="249">
        <f>COUNTIF('DETALLES UNIDADES'!$E$8:$I$987,FORMULAS!N42)</f>
        <v>322</v>
      </c>
      <c r="U42" s="137" t="s">
        <v>896</v>
      </c>
      <c r="V42" s="6">
        <f t="shared" ref="V42:V47" si="28">W42/$W$47</f>
        <v>0.47736625514403291</v>
      </c>
      <c r="W42" s="249">
        <f>COUNTIF('ENCUESTA PROPIETARIOS'!$CI$7:$CI$417,"X")</f>
        <v>232</v>
      </c>
      <c r="Z42" s="11" t="s">
        <v>913</v>
      </c>
      <c r="AA42" s="6">
        <f>AB42/$AB$39</f>
        <v>4.8661800486618006E-3</v>
      </c>
      <c r="AB42" s="11">
        <f>COUNTIF('ENCUESTA PROPIETARIOS'!$DN$7:$DN$417,"X")</f>
        <v>2</v>
      </c>
      <c r="AH42" s="19" t="s">
        <v>333</v>
      </c>
      <c r="AI42" s="121">
        <f t="shared" si="23"/>
        <v>0.31914893617021278</v>
      </c>
      <c r="AJ42" s="11">
        <f>COUNTIF('ENCUESTA PROPIETARIOS'!$DX$7:$DX$417,AH42)+COUNTIF('ENCUESTA PROPIETARIOS'!$DX$7:$DX$417,"MAYOR DIFUSION")</f>
        <v>60</v>
      </c>
      <c r="AL42" s="19" t="s">
        <v>934</v>
      </c>
      <c r="AM42" s="121">
        <f t="shared" ref="AM42:AM46" si="29">AN42/$AN$46</f>
        <v>4.4368600682593858E-2</v>
      </c>
      <c r="AN42" s="11">
        <f>COUNTIF('ENCUESTA PROPIETARIOS'!$EE$7:$EE$417,AL42)+COUNTIF('ENCUESTA PROPIETARIOS'!$EE$7:$EE$417,"FACILIDAD DE CREDITO")+COUNTIF('ENCUESTA PROPIETARIOS'!$EE$7:$EE$417,"MEJORES CREDITOS")+COUNTIF('ENCUESTA PROPIETARIOS'!$EE$7:$EE$417,"MAYORES ESTIMULOS FINANCIEROS")</f>
        <v>13</v>
      </c>
      <c r="AP42" s="9"/>
      <c r="AQ42" s="197" t="s">
        <v>962</v>
      </c>
      <c r="AR42" s="121">
        <f t="shared" si="27"/>
        <v>1.0204081632653062E-3</v>
      </c>
      <c r="AS42" s="153">
        <f>COUNTIF('DETALLES UNIDADES'!$O$8:$O$987,"2%")</f>
        <v>1</v>
      </c>
      <c r="AU42" s="112" t="s">
        <v>1839</v>
      </c>
      <c r="AV42" s="6">
        <f t="shared" si="26"/>
        <v>0.17755102040816326</v>
      </c>
      <c r="AW42" s="249">
        <f>COUNTIF('DETALLES UNIDADES'!$V$8:$V$987,"&lt;1001")-AW41-AW40</f>
        <v>174</v>
      </c>
      <c r="BF42" s="186" t="s">
        <v>1565</v>
      </c>
      <c r="BG42" s="186" t="s">
        <v>1562</v>
      </c>
      <c r="BH42" s="153">
        <f>COUNTIF('DETALLES UNIDADES'!$AP$8:$AP$987,FORMULAS!BG42)-BH41-BH40-BH39-BH38</f>
        <v>241</v>
      </c>
      <c r="BK42" s="11" t="s">
        <v>1847</v>
      </c>
      <c r="BM42" s="249">
        <f>COUNTIF('DETALLES UNIDADES'!$AV$8:$AV$987,"VARIABLE")+COUNTIF('DETALLES UNIDADES'!$AV$8:$AV$987,"SON NUEVAS")</f>
        <v>43</v>
      </c>
    </row>
    <row r="43" spans="1:65" ht="25.5" x14ac:dyDescent="0.25">
      <c r="A43" s="9"/>
      <c r="B43" s="9" t="s">
        <v>1283</v>
      </c>
      <c r="C43" s="249">
        <v>26</v>
      </c>
      <c r="F43" s="137" t="s">
        <v>22</v>
      </c>
      <c r="G43" s="121">
        <f t="shared" si="24"/>
        <v>0.1008174386920981</v>
      </c>
      <c r="H43" s="11">
        <f>COUNTIF('ENCUESTA PROPIETARIOS'!$AE$7:$AE$417,"X")</f>
        <v>74</v>
      </c>
      <c r="I43" s="11">
        <f t="shared" si="22"/>
        <v>41</v>
      </c>
      <c r="J43" s="9">
        <v>1973</v>
      </c>
      <c r="K43" s="6">
        <f t="shared" si="25"/>
        <v>2.0408163265306124E-3</v>
      </c>
      <c r="L43" s="249">
        <f>COUNTIF('DETALLES UNIDADES'!$D$8:$D$987,FORMULAS!J43)</f>
        <v>2</v>
      </c>
      <c r="M43" s="9"/>
      <c r="N43" s="19" t="s">
        <v>475</v>
      </c>
      <c r="O43" s="249">
        <f>COUNTIF('DETALLES UNIDADES'!$E$8:$I$987,FORMULAS!N43)</f>
        <v>72</v>
      </c>
      <c r="U43" s="137" t="s">
        <v>897</v>
      </c>
      <c r="V43" s="6">
        <f t="shared" si="28"/>
        <v>0.2448559670781893</v>
      </c>
      <c r="W43" s="249">
        <f>COUNTIF('ENCUESTA PROPIETARIOS'!$CJ$7:$CJ$417,"X")</f>
        <v>119</v>
      </c>
      <c r="Z43" s="11" t="s">
        <v>914</v>
      </c>
      <c r="AA43" s="6">
        <f>AB43/$AB$39</f>
        <v>0.14355231143552311</v>
      </c>
      <c r="AB43" s="11">
        <f>COUNTIF('ENCUESTA PROPIETARIOS'!$DL$7:$DL$417,"X")</f>
        <v>59</v>
      </c>
      <c r="AH43" s="19" t="s">
        <v>1776</v>
      </c>
      <c r="AI43" s="121">
        <f t="shared" si="23"/>
        <v>0.48936170212765956</v>
      </c>
      <c r="AJ43" s="11">
        <f>COUNTIF('ENCUESTA PROPIETARIOS'!$DX$7:$DX$417,"MEJORAR CONDICIONES Y FACILIDADES")+COUNTIF('ENCUESTA PROPIETARIOS'!$DX$7:$DX$417,"MAYOR ESTIMULO Y APOYO")+COUNTIF('ENCUESTA PROPIETARIOS'!$DX$7:$DX$417,"APOYO EN LOS PAGOS NO SOLO AL PRINCIPIO")+COUNTIF('ENCUESTA PROPIETARIOS'!$DX$7:$DX$417,"DAR MEJORES INCENTIVOS")+COUNTIF('ENCUESTA PROPIETARIOS'!$DX$7:$DX$417,"TIENEN QUE DAR MAS PORCENTAJE")+COUNTIF('ENCUESTA PROPIETARIOS'!$DX$7:$DX$417,"MAS APOYO, MENOS CARO EL CREDITO Y MAS RAPIDO")+COUNTIF('ENCUESTA PROPIETARIOS'!$DX$7:$DX$417,"MAS PORCENTAJE")+COUNTIF('ENCUESTA PROPIETARIOS'!$DX$7:$DX$417,"SITUARSE EN LA REALIDAD FINANCIERA DEL PAIS")+COUNTIF('ENCUESTA PROPIETARIOS'!$DX$7:$DX$417,"MAS APOYO PARA RENOVAR SUS UNIDADES")+COUNTIF('ENCUESTA PROPIETARIOS'!$DX$7:$DX$417,"MEJORAR CONDICIONES PARA RECIBIR CHATARRRA")</f>
        <v>92</v>
      </c>
      <c r="AL43" s="19" t="s">
        <v>686</v>
      </c>
      <c r="AM43" s="121">
        <f t="shared" si="29"/>
        <v>0.14334470989761092</v>
      </c>
      <c r="AN43" s="11">
        <f>COUNTIF('ENCUESTA PROPIETARIOS'!$EE$7:$EE$417,"MAS ACCESO AL PEQUEÑO TRANSPORTISTA")+COUNTIF('ENCUESTA PROPIETARIOS'!$EE$7:$EE$417,"MAYOR APERTURA A UNA REALIDAD DEL PEQUEÑO TRANSPORTISTA")+COUNTIF('ENCUESTA PROPIETARIOS'!$EE$7:$EE$417,"MAS OPORTUNIDADES")+COUNTIF('ENCUESTA PROPIETARIOS'!$EE$7:$EE$417,"MAS ACCESIBLE PARA TODOS")</f>
        <v>42</v>
      </c>
      <c r="AP43" s="2"/>
      <c r="AQ43" s="198" t="s">
        <v>963</v>
      </c>
      <c r="AR43" s="121">
        <f t="shared" si="27"/>
        <v>1.9387755102040816E-2</v>
      </c>
      <c r="AS43" s="153">
        <f>COUNTIF('DETALLES UNIDADES'!$O$8:$O$987,"5%")</f>
        <v>19</v>
      </c>
      <c r="AU43" s="112" t="s">
        <v>1009</v>
      </c>
      <c r="AV43" s="6">
        <f t="shared" si="26"/>
        <v>0.20816326530612245</v>
      </c>
      <c r="AW43" s="249">
        <f>COUNTIF('DETALLES UNIDADES'!$V$8:$V$987,"&lt;2001")-AW42-AW41-AW40</f>
        <v>204</v>
      </c>
      <c r="BF43" s="186" t="s">
        <v>1563</v>
      </c>
      <c r="BG43" s="186" t="s">
        <v>1842</v>
      </c>
      <c r="BH43" s="153">
        <f>COUNTIF('DETALLES UNIDADES'!$AP$8:$AP$987,FORMULAS!BG43)-BH42-BH41-BH40-BH39-BH38</f>
        <v>241</v>
      </c>
    </row>
    <row r="44" spans="1:65" ht="25.5" x14ac:dyDescent="0.25">
      <c r="A44" s="9"/>
      <c r="B44" s="9" t="s">
        <v>1188</v>
      </c>
      <c r="C44" s="249">
        <v>20</v>
      </c>
      <c r="F44" s="137" t="s">
        <v>23</v>
      </c>
      <c r="G44" s="121">
        <f t="shared" si="24"/>
        <v>0.11307901907356949</v>
      </c>
      <c r="H44" s="11">
        <f>COUNTIF('ENCUESTA PROPIETARIOS'!$AF$7:$AF$417,"X")</f>
        <v>83</v>
      </c>
      <c r="I44" s="11">
        <f t="shared" si="22"/>
        <v>40</v>
      </c>
      <c r="J44" s="9">
        <v>1974</v>
      </c>
      <c r="K44" s="6">
        <f t="shared" si="25"/>
        <v>1.0204081632653062E-3</v>
      </c>
      <c r="L44" s="249">
        <f>COUNTIF('DETALLES UNIDADES'!$D$8:$D$987,FORMULAS!J44)</f>
        <v>1</v>
      </c>
      <c r="M44" s="9"/>
      <c r="N44" s="2" t="s">
        <v>374</v>
      </c>
      <c r="O44" s="249">
        <f>COUNTIF('DETALLES UNIDADES'!$E$8:$I$987,FORMULAS!N44)</f>
        <v>34</v>
      </c>
      <c r="U44" s="137" t="s">
        <v>898</v>
      </c>
      <c r="V44" s="6">
        <f t="shared" si="28"/>
        <v>0.1440329218106996</v>
      </c>
      <c r="W44" s="249">
        <f>COUNTIF('ENCUESTA PROPIETARIOS'!$CK$7:$CK$417,"X")</f>
        <v>70</v>
      </c>
      <c r="Z44" s="11" t="s">
        <v>715</v>
      </c>
      <c r="AA44" s="6">
        <f>AB44/$AB$39</f>
        <v>0.14841849148418493</v>
      </c>
      <c r="AB44" s="11">
        <f>SUM(AB42:AB43)</f>
        <v>61</v>
      </c>
      <c r="AH44" s="11" t="s">
        <v>715</v>
      </c>
      <c r="AI44" s="121">
        <f t="shared" si="23"/>
        <v>1</v>
      </c>
      <c r="AJ44" s="11">
        <f>SUM(AJ39:AJ43)</f>
        <v>188</v>
      </c>
      <c r="AL44" s="19" t="s">
        <v>497</v>
      </c>
      <c r="AM44" s="121">
        <f t="shared" si="29"/>
        <v>0.21160409556313994</v>
      </c>
      <c r="AN44" s="11">
        <f>COUNTIF('ENCUESTA PROPIETARIOS'!$EE$7:$EE$417,AL44)+COUNTIF('ENCUESTA PROPIETARIOS'!$EE$7:$EE$417,"DAR MEJORES CREDITOS")+COUNTIF('ENCUESTA PROPIETARIOS'!$EE$7:$EE$417,"DEBEN COMPLEMENTARLO")+COUNTIF('ENCUESTA PROPIETARIOS'!$EE$7:$EE$417,"CREDITOS MAS ATRACTIVOS")+COUNTIF('ENCUESTA PROPIETARIOS'!$EE$7:$EE$417,"DAR MEJORES INCENTIVOS")+COUNTIF('ENCUESTA PROPIETARIOS'!$EE$7:$EE$417,"MAYORES INCENTIVOS")+COUNTIF('ENCUESTA PROPIETARIOS'!$EE$7:$EE$417,"COMPLEMENTARLO MAS")</f>
        <v>62</v>
      </c>
      <c r="AP44" s="1"/>
      <c r="AQ44" s="198" t="s">
        <v>964</v>
      </c>
      <c r="AR44" s="121">
        <f t="shared" si="27"/>
        <v>8.1632653061224483E-2</v>
      </c>
      <c r="AS44" s="153">
        <f>COUNTIF('DETALLES UNIDADES'!$O$8:$O$987,"10%")</f>
        <v>80</v>
      </c>
      <c r="AU44" s="112" t="s">
        <v>1010</v>
      </c>
      <c r="AV44" s="6">
        <f t="shared" si="26"/>
        <v>0.15306122448979592</v>
      </c>
      <c r="AW44" s="249">
        <f>COUNTIF('DETALLES UNIDADES'!$V$8:$V$987,"&lt;3001")-AW43-AW42-AW41-AW40</f>
        <v>150</v>
      </c>
      <c r="BF44" s="11" t="s">
        <v>1569</v>
      </c>
      <c r="BG44" s="11" t="s">
        <v>1844</v>
      </c>
      <c r="BH44" s="153">
        <f>COUNTIF('DETALLES UNIDADES'!$AP$8:$AP$987,FORMULAS!BG44)</f>
        <v>201</v>
      </c>
      <c r="BK44" s="11" t="s">
        <v>1801</v>
      </c>
    </row>
    <row r="45" spans="1:65" x14ac:dyDescent="0.25">
      <c r="A45" s="9"/>
      <c r="B45" s="9" t="s">
        <v>1446</v>
      </c>
      <c r="C45" s="249">
        <v>18</v>
      </c>
      <c r="F45" s="137" t="s">
        <v>24</v>
      </c>
      <c r="G45" s="121">
        <f t="shared" si="24"/>
        <v>0.13760217983651227</v>
      </c>
      <c r="H45" s="11">
        <f>COUNTIF('ENCUESTA PROPIETARIOS'!$AG$7:$AG$417,"X")</f>
        <v>101</v>
      </c>
      <c r="I45" s="11">
        <f t="shared" si="22"/>
        <v>39</v>
      </c>
      <c r="J45" s="9">
        <v>1975</v>
      </c>
      <c r="K45" s="6">
        <f t="shared" si="25"/>
        <v>1.0204081632653062E-3</v>
      </c>
      <c r="L45" s="249">
        <f>COUNTIF('DETALLES UNIDADES'!$D$8:$D$987,FORMULAS!J45)</f>
        <v>1</v>
      </c>
      <c r="M45" s="9"/>
      <c r="N45" s="19" t="s">
        <v>476</v>
      </c>
      <c r="O45" s="249">
        <f>COUNTIF('DETALLES UNIDADES'!$E$8:$I$987,FORMULAS!N45)</f>
        <v>1</v>
      </c>
      <c r="U45" s="137" t="s">
        <v>899</v>
      </c>
      <c r="V45" s="6">
        <f t="shared" si="28"/>
        <v>7.2016460905349799E-2</v>
      </c>
      <c r="W45" s="249">
        <f>COUNTIF('ENCUESTA PROPIETARIOS'!$CM$7:$CM$417,"X")</f>
        <v>35</v>
      </c>
      <c r="AL45" s="19" t="s">
        <v>333</v>
      </c>
      <c r="AM45" s="121">
        <f t="shared" si="29"/>
        <v>0.59044368600682595</v>
      </c>
      <c r="AN45" s="11">
        <f>COUNTIF('ENCUESTA PROPIETARIOS'!$EE$7:$EE$417,AL45)+COUNTIF('ENCUESTA PROPIETARIOS'!$EE$7:$EE$417,"MAYOR DIFUSION")+COUNTIF('ENCUESTA PROPIETARIOS'!$EE$7:$EE$417,"MAS INFORMACION")+COUNTIF('ENCUESTA PROPIETARIOS'!$EE$7:$EE$417,"MAYOR INFORMACION")+COUNTIF('ENCUESTA PROPIETARIOS'!$EE$7:$EE$417,"CONOCERLO MEJOR")+COUNTIF('ENCUESTA PROPIETARIOS'!$EE$7:$EE$417,"MEJOR INFORMACION")+COUNTIF('ENCUESTA PROPIETARIOS'!$EE$7:$EE$417,"DIFUSION DEL PROGRAMA")+COUNTIF('ENCUESTA PROPIETARIOS'!$EE$7:$EE$417,"DAR MAS INFORMACION")+COUNTIF('ENCUESTA PROPIETARIOS'!$EE$7:$EE$417,"CONOCERLO BIEN")+COUNTIF('ENCUESTA PROPIETARIOS'!$EE$7:$EE$417,"DEBERIA SER OBLIGATORIO")+COUNTIF('ENCUESTA PROPIETARIOS'!$EE$7:$EE$417,"QUE NO PIDAN GARANTIAS")</f>
        <v>173</v>
      </c>
      <c r="AP45" s="2"/>
      <c r="AQ45" s="198" t="s">
        <v>965</v>
      </c>
      <c r="AR45" s="121">
        <f t="shared" si="27"/>
        <v>9.5918367346938774E-2</v>
      </c>
      <c r="AS45" s="153">
        <f>COUNTIF('DETALLES UNIDADES'!$O$8:$O$987,"20%")</f>
        <v>94</v>
      </c>
      <c r="AU45" s="112" t="s">
        <v>1011</v>
      </c>
      <c r="AV45" s="6">
        <f t="shared" si="26"/>
        <v>0.21632653061224491</v>
      </c>
      <c r="AW45" s="249">
        <f>COUNTIF('DETALLES UNIDADES'!$V$8:$V$987,"&lt;5001")-AW44-AW43-AW42-AW41-AW40</f>
        <v>212</v>
      </c>
      <c r="BF45" s="11" t="s">
        <v>1548</v>
      </c>
      <c r="BG45" s="13" t="s">
        <v>480</v>
      </c>
      <c r="BH45" s="153">
        <f>COUNTIF('DETALLES UNIDADES'!$AP$8:$AP$987,FORMULAS!BG45)</f>
        <v>10</v>
      </c>
      <c r="BK45" s="11" t="s">
        <v>1802</v>
      </c>
      <c r="BL45" s="6">
        <f t="shared" ref="BL45:BL52" si="30">+BM45/$BM$52</f>
        <v>0.12755102040816327</v>
      </c>
      <c r="BM45" s="249">
        <f>COUNTIF('DETALLES UNIDADES'!$AW$8:$AW$987,"&lt;5000")</f>
        <v>125</v>
      </c>
    </row>
    <row r="46" spans="1:65" ht="25.5" x14ac:dyDescent="0.25">
      <c r="A46" s="9"/>
      <c r="B46" s="9" t="s">
        <v>1182</v>
      </c>
      <c r="C46" s="249">
        <v>18</v>
      </c>
      <c r="F46" s="137" t="s">
        <v>25</v>
      </c>
      <c r="G46" s="121">
        <f t="shared" si="24"/>
        <v>7.6294277929155316E-2</v>
      </c>
      <c r="H46" s="11">
        <f>COUNTIF('ENCUESTA PROPIETARIOS'!$AH$7:$AH$417,"X")</f>
        <v>56</v>
      </c>
      <c r="I46" s="11">
        <f t="shared" si="22"/>
        <v>38</v>
      </c>
      <c r="J46" s="9">
        <v>1976</v>
      </c>
      <c r="K46" s="6">
        <f t="shared" si="25"/>
        <v>2.0408163265306124E-3</v>
      </c>
      <c r="L46" s="249">
        <f>COUNTIF('DETALLES UNIDADES'!$D$8:$D$987,FORMULAS!J46)</f>
        <v>2</v>
      </c>
      <c r="M46" s="9"/>
      <c r="N46" s="19" t="s">
        <v>1172</v>
      </c>
      <c r="O46" s="249">
        <f>COUNTIF('DETALLES UNIDADES'!$E$8:$I$987,FORMULAS!N46)</f>
        <v>2</v>
      </c>
      <c r="U46" s="11" t="s">
        <v>892</v>
      </c>
      <c r="V46" s="6">
        <f t="shared" si="28"/>
        <v>6.1728395061728392E-2</v>
      </c>
      <c r="W46" s="249">
        <f>COUNTIF('ENCUESTA PROPIETARIOS'!$CL$7:$CL$417,"X")</f>
        <v>30</v>
      </c>
      <c r="Z46" s="11" t="s">
        <v>915</v>
      </c>
      <c r="AA46" s="249" t="s">
        <v>718</v>
      </c>
      <c r="AB46" s="11" t="s">
        <v>717</v>
      </c>
      <c r="AL46" s="11" t="s">
        <v>715</v>
      </c>
      <c r="AM46" s="121">
        <f t="shared" si="29"/>
        <v>1</v>
      </c>
      <c r="AN46" s="11">
        <f>SUM(AN41:AN45)</f>
        <v>293</v>
      </c>
      <c r="AP46" s="2"/>
      <c r="AQ46" s="198" t="s">
        <v>966</v>
      </c>
      <c r="AR46" s="121">
        <f t="shared" si="27"/>
        <v>5.1020408163265302E-3</v>
      </c>
      <c r="AS46" s="153">
        <f>COUNTIF('DETALLES UNIDADES'!$O$8:$O$987,"25%")</f>
        <v>5</v>
      </c>
      <c r="AU46" s="112" t="s">
        <v>1012</v>
      </c>
      <c r="AV46" s="6">
        <f t="shared" si="26"/>
        <v>4.5918367346938778E-2</v>
      </c>
      <c r="AW46" s="249">
        <f>COUNTIF('DETALLES UNIDADES'!$V$8:$V$987,"&lt;7501")-AW45-AW44-AW43-AW42-AW41-AW40</f>
        <v>45</v>
      </c>
      <c r="BF46" s="11" t="s">
        <v>871</v>
      </c>
      <c r="BH46" s="153">
        <f>COUNTIF('DETALLES UNIDADES'!$AP$8:$AP$987,"")</f>
        <v>1</v>
      </c>
      <c r="BK46" s="11" t="s">
        <v>1806</v>
      </c>
      <c r="BL46" s="6">
        <f t="shared" si="30"/>
        <v>0.22959183673469388</v>
      </c>
      <c r="BM46" s="249">
        <f>COUNTIF('DETALLES UNIDADES'!$AW$8:$AW$987,"&lt;9870")-BM45</f>
        <v>225</v>
      </c>
    </row>
    <row r="47" spans="1:65" x14ac:dyDescent="0.25">
      <c r="A47" s="9"/>
      <c r="B47" s="9" t="s">
        <v>1293</v>
      </c>
      <c r="C47" s="249">
        <v>16</v>
      </c>
      <c r="F47" s="137" t="s">
        <v>26</v>
      </c>
      <c r="G47" s="121">
        <f t="shared" si="24"/>
        <v>8.5831062670299732E-2</v>
      </c>
      <c r="H47" s="11">
        <f>COUNTIF('ENCUESTA PROPIETARIOS'!$AI$7:$AI$417,"X")</f>
        <v>63</v>
      </c>
      <c r="I47" s="11">
        <f t="shared" si="22"/>
        <v>37</v>
      </c>
      <c r="J47" s="9">
        <v>1977</v>
      </c>
      <c r="K47" s="6">
        <f t="shared" si="25"/>
        <v>1.0204081632653062E-3</v>
      </c>
      <c r="L47" s="249">
        <f>COUNTIF('DETALLES UNIDADES'!$D$8:$D$987,FORMULAS!J47)</f>
        <v>1</v>
      </c>
      <c r="M47" s="9"/>
      <c r="N47" s="19" t="s">
        <v>360</v>
      </c>
      <c r="O47" s="249">
        <f>COUNTIF('DETALLES UNIDADES'!$E$8:$I$987,FORMULAS!N47)</f>
        <v>73</v>
      </c>
      <c r="U47" s="11" t="s">
        <v>715</v>
      </c>
      <c r="V47" s="6">
        <f t="shared" si="28"/>
        <v>1</v>
      </c>
      <c r="W47" s="249">
        <f>SUM(W42:W46)</f>
        <v>486</v>
      </c>
      <c r="Z47" s="19" t="s">
        <v>387</v>
      </c>
      <c r="AA47" s="6">
        <f t="shared" ref="AA47:AA53" si="31">AB47/$AB$53</f>
        <v>0.17543859649122806</v>
      </c>
      <c r="AB47" s="11">
        <f>COUNTIF('ENCUESTA PROPIETARIOS'!$DM$7:$DM$417,Z47)+COUNTIF('ENCUESTA PROPIETARIOS'!$DM$7:$DM$417,"MEJORES INCENTIVOS")</f>
        <v>10</v>
      </c>
      <c r="AQ47" s="198" t="s">
        <v>967</v>
      </c>
      <c r="AR47" s="121">
        <f t="shared" si="27"/>
        <v>0.10102040816326531</v>
      </c>
      <c r="AS47" s="153">
        <f>COUNTIF('DETALLES UNIDADES'!$O$8:$O$987,"30%")</f>
        <v>99</v>
      </c>
      <c r="AU47" s="112" t="s">
        <v>1840</v>
      </c>
      <c r="AV47" s="6">
        <f t="shared" si="26"/>
        <v>2.0408163265306121E-2</v>
      </c>
      <c r="AW47" s="249">
        <f>COUNTIF('DETALLES UNIDADES'!$V$8:$V$987,"&lt;9871")-AW46-AW45-AW44-AW43-AW42-AW41-AW40</f>
        <v>20</v>
      </c>
      <c r="BH47" s="11">
        <f>SUM(BH38:BH46)</f>
        <v>980</v>
      </c>
      <c r="BK47" s="11" t="s">
        <v>1807</v>
      </c>
      <c r="BL47" s="6">
        <f t="shared" si="30"/>
        <v>0.37244897959183676</v>
      </c>
      <c r="BM47" s="249">
        <f>COUNTIF('DETALLES UNIDADES'!$AW$8:$AW$987,"&lt;20000")-BM46-BM45</f>
        <v>365</v>
      </c>
    </row>
    <row r="48" spans="1:65" x14ac:dyDescent="0.25">
      <c r="A48" s="9"/>
      <c r="B48" s="9" t="s">
        <v>1339</v>
      </c>
      <c r="C48" s="249">
        <v>15</v>
      </c>
      <c r="F48" s="137" t="s">
        <v>27</v>
      </c>
      <c r="G48" s="121">
        <f t="shared" si="24"/>
        <v>3.8147138964577658E-2</v>
      </c>
      <c r="H48" s="11">
        <f>COUNTIF('ENCUESTA PROPIETARIOS'!$AJ$7:$AJ$417,"X")</f>
        <v>28</v>
      </c>
      <c r="I48" s="11">
        <f t="shared" si="22"/>
        <v>36</v>
      </c>
      <c r="J48" s="9">
        <v>1978</v>
      </c>
      <c r="K48" s="6">
        <f t="shared" si="25"/>
        <v>1.3265306122448979E-2</v>
      </c>
      <c r="L48" s="249">
        <f>COUNTIF('DETALLES UNIDADES'!$D$8:$D$987,FORMULAS!J48)</f>
        <v>13</v>
      </c>
      <c r="M48" s="9"/>
      <c r="N48" s="19" t="s">
        <v>456</v>
      </c>
      <c r="O48" s="249">
        <f>COUNTIF('DETALLES UNIDADES'!$E$8:$I$987,FORMULAS!N48)</f>
        <v>66</v>
      </c>
      <c r="Z48" s="19" t="s">
        <v>404</v>
      </c>
      <c r="AA48" s="6">
        <f t="shared" si="31"/>
        <v>7.0175438596491224E-2</v>
      </c>
      <c r="AB48" s="11">
        <f>COUNTIF('ENCUESTA PROPIETARIOS'!$DM$7:$DM$417,Z48)</f>
        <v>4</v>
      </c>
      <c r="AQ48" s="198" t="s">
        <v>968</v>
      </c>
      <c r="AR48" s="121">
        <f t="shared" si="27"/>
        <v>2.0408163265306121E-2</v>
      </c>
      <c r="AS48" s="153">
        <f>COUNTIF('DETALLES UNIDADES'!$O$8:$O$987,"35%")</f>
        <v>20</v>
      </c>
      <c r="AU48" s="112" t="s">
        <v>1841</v>
      </c>
      <c r="AV48" s="6">
        <f t="shared" si="26"/>
        <v>6.1224489795918366E-2</v>
      </c>
      <c r="AW48" s="249">
        <f>COUNTIF('DETALLES UNIDADES'!$V$8:$V$987,"&gt;9870")</f>
        <v>60</v>
      </c>
      <c r="BK48" s="11" t="s">
        <v>1803</v>
      </c>
      <c r="BL48" s="6">
        <f t="shared" si="30"/>
        <v>9.4897959183673469E-2</v>
      </c>
      <c r="BM48" s="249">
        <f>COUNTIF('DETALLES UNIDADES'!$AW$8:$AW$987,"&lt;30000")-BM47-BM46-BM45</f>
        <v>93</v>
      </c>
    </row>
    <row r="49" spans="1:65" x14ac:dyDescent="0.25">
      <c r="A49" s="9"/>
      <c r="B49" s="9" t="s">
        <v>1315</v>
      </c>
      <c r="C49" s="249">
        <v>7</v>
      </c>
      <c r="F49" s="141" t="s">
        <v>831</v>
      </c>
      <c r="G49" s="121">
        <f t="shared" si="24"/>
        <v>9.5367847411444145E-3</v>
      </c>
      <c r="H49" s="11">
        <f>COUNTIF('ENCUESTA PROPIETARIOS'!$AK$7:$AK$417,"MAQUINARIA")</f>
        <v>7</v>
      </c>
      <c r="I49" s="11">
        <f t="shared" si="22"/>
        <v>35</v>
      </c>
      <c r="J49" s="9">
        <v>1979</v>
      </c>
      <c r="K49" s="6">
        <f t="shared" si="25"/>
        <v>2.0408163265306124E-3</v>
      </c>
      <c r="L49" s="249">
        <f>COUNTIF('DETALLES UNIDADES'!$D$8:$D$987,FORMULAS!J49)</f>
        <v>2</v>
      </c>
      <c r="M49" s="9">
        <f>SUM(L39:L49)</f>
        <v>24</v>
      </c>
      <c r="N49" s="19" t="s">
        <v>370</v>
      </c>
      <c r="O49" s="249">
        <f>COUNTIF('DETALLES UNIDADES'!$E$8:$I$987,FORMULAS!N49)</f>
        <v>12</v>
      </c>
      <c r="T49" s="249" t="s">
        <v>718</v>
      </c>
      <c r="Z49" s="19" t="s">
        <v>426</v>
      </c>
      <c r="AA49" s="6">
        <f t="shared" si="31"/>
        <v>1.7543859649122806E-2</v>
      </c>
      <c r="AB49" s="11">
        <f>COUNTIF('ENCUESTA PROPIETARIOS'!$DM$7:$DM$417,Z49)</f>
        <v>1</v>
      </c>
      <c r="AQ49" s="198" t="s">
        <v>969</v>
      </c>
      <c r="AR49" s="121">
        <f t="shared" si="27"/>
        <v>1.4285714285714285E-2</v>
      </c>
      <c r="AS49" s="153">
        <f>COUNTIF('DETALLES UNIDADES'!$O$8:$O$987,"40%")</f>
        <v>14</v>
      </c>
      <c r="AU49" s="112" t="s">
        <v>715</v>
      </c>
      <c r="AV49" s="6">
        <f t="shared" si="26"/>
        <v>1</v>
      </c>
      <c r="AW49" s="249">
        <f>SUM(AW39:AW48)</f>
        <v>980</v>
      </c>
      <c r="BK49" s="11" t="s">
        <v>1804</v>
      </c>
      <c r="BL49" s="6">
        <f t="shared" si="30"/>
        <v>0.12857142857142856</v>
      </c>
      <c r="BM49" s="249">
        <f>COUNTIF('DETALLES UNIDADES'!$AW$8:$AW$987,"&lt;50000")-BM48-BM47-BM46-BM45</f>
        <v>126</v>
      </c>
    </row>
    <row r="50" spans="1:65" x14ac:dyDescent="0.25">
      <c r="A50" s="9"/>
      <c r="B50" s="9" t="s">
        <v>1284</v>
      </c>
      <c r="C50" s="249">
        <v>6</v>
      </c>
      <c r="F50" s="141" t="s">
        <v>833</v>
      </c>
      <c r="G50" s="121">
        <f t="shared" si="24"/>
        <v>2.1798365122615803E-2</v>
      </c>
      <c r="H50" s="11">
        <f>COUNTIF('ENCUESTA PROPIETARIOS'!$AK$7:$AK$417,"GANADO EN PIE")</f>
        <v>16</v>
      </c>
      <c r="I50" s="11">
        <f t="shared" si="22"/>
        <v>34</v>
      </c>
      <c r="J50" s="9">
        <v>1980</v>
      </c>
      <c r="K50" s="6">
        <f t="shared" si="25"/>
        <v>3.1632653061224487E-2</v>
      </c>
      <c r="L50" s="249">
        <f>COUNTIF('DETALLES UNIDADES'!$D$8:$D$987,FORMULAS!J50)</f>
        <v>31</v>
      </c>
      <c r="M50" s="9"/>
      <c r="N50" s="19" t="s">
        <v>349</v>
      </c>
      <c r="O50" s="249">
        <f>COUNTIF('DETALLES UNIDADES'!$E$8:$I$987,FORMULAS!N50)</f>
        <v>136</v>
      </c>
      <c r="S50" s="11" t="s">
        <v>2404</v>
      </c>
      <c r="T50" s="249" t="s">
        <v>2379</v>
      </c>
      <c r="U50" s="249" t="s">
        <v>2378</v>
      </c>
      <c r="V50" s="249" t="s">
        <v>2379</v>
      </c>
      <c r="W50" s="249" t="s">
        <v>2378</v>
      </c>
      <c r="Z50" s="2" t="s">
        <v>618</v>
      </c>
      <c r="AA50" s="6">
        <f t="shared" si="31"/>
        <v>0.49122807017543857</v>
      </c>
      <c r="AB50" s="11">
        <f>COUNTIF('ENCUESTA PROPIETARIOS'!$DM$7:$DM$417,Z50)+COUNTIF('ENCUESTA PROPIETARIOS'!$DM$7:$DM$417,"NO LO NECESITA")+COUNTIF('ENCUESTA PROPIETARIOS'!$DM$7:$DM$417,"NO ES NECESARIO")</f>
        <v>28</v>
      </c>
      <c r="AQ50" s="198" t="s">
        <v>970</v>
      </c>
      <c r="AR50" s="121">
        <f t="shared" si="27"/>
        <v>0.59795918367346934</v>
      </c>
      <c r="AS50" s="153">
        <f>COUNTIF('DETALLES UNIDADES'!$O$8:$O$987,"50%")</f>
        <v>586</v>
      </c>
      <c r="BF50" s="186" t="s">
        <v>1567</v>
      </c>
      <c r="BK50" s="11" t="s">
        <v>1805</v>
      </c>
      <c r="BL50" s="6">
        <f t="shared" si="30"/>
        <v>1.8367346938775512E-2</v>
      </c>
      <c r="BM50" s="249">
        <f>COUNTIF('DETALLES UNIDADES'!$AW$8:$AW$987,"&lt;150000")-BM49-BM48-BM47-BM46-BM45</f>
        <v>18</v>
      </c>
    </row>
    <row r="51" spans="1:65" ht="25.5" x14ac:dyDescent="0.25">
      <c r="A51" s="9"/>
      <c r="B51" s="9" t="s">
        <v>1335</v>
      </c>
      <c r="C51" s="249">
        <v>6</v>
      </c>
      <c r="F51" s="141" t="s">
        <v>834</v>
      </c>
      <c r="G51" s="121">
        <f t="shared" si="24"/>
        <v>2.7247956403269754E-3</v>
      </c>
      <c r="H51" s="11">
        <f>COUNTIF('ENCUESTA PROPIETARIOS'!$AK$7:$AK$417,"AGUA")</f>
        <v>2</v>
      </c>
      <c r="I51" s="11">
        <f t="shared" si="22"/>
        <v>33</v>
      </c>
      <c r="J51" s="9">
        <v>1981</v>
      </c>
      <c r="K51" s="6">
        <f t="shared" si="25"/>
        <v>6.1224489795918364E-3</v>
      </c>
      <c r="L51" s="249">
        <f>COUNTIF('DETALLES UNIDADES'!$D$8:$D$987,FORMULAS!J51)</f>
        <v>6</v>
      </c>
      <c r="M51" s="9"/>
      <c r="N51" s="19" t="s">
        <v>338</v>
      </c>
      <c r="O51" s="249">
        <f>COUNTIF('DETALLES UNIDADES'!$E$8:$I$987,FORMULAS!N51)</f>
        <v>132</v>
      </c>
      <c r="S51" s="137" t="s">
        <v>877</v>
      </c>
      <c r="T51" s="6">
        <f>V51/$V$58</f>
        <v>0.33634719710669075</v>
      </c>
      <c r="U51" s="6">
        <f>+W51/$W$58</f>
        <v>0.37037037037037035</v>
      </c>
      <c r="V51" s="249">
        <f>COUNTIFS('ENCUESTA PROPIETARIOS'!$BR$7:$BR$417,"X",'ENCUESTA PROPIETARIOS'!$E$7:$E$417,"X")</f>
        <v>186</v>
      </c>
      <c r="W51" s="249">
        <f>COUNTIFS('ENCUESTA PROPIETARIOS'!$BR$7:$BR$417,"X",'ENCUESTA PROPIETARIOS'!$F$7:$F$417,"X")</f>
        <v>20</v>
      </c>
      <c r="Z51" s="2" t="s">
        <v>1075</v>
      </c>
      <c r="AA51" s="6">
        <f t="shared" si="31"/>
        <v>3.5087719298245612E-2</v>
      </c>
      <c r="AB51" s="11">
        <f>COUNTIF('ENCUESTA PROPIETARIOS'!$DM$7:$DM$417,Z51)+COUNTIF('ENCUESTA PROPIETARIOS'!$DM$7:$DM$417,"NO TENGO DINERO")</f>
        <v>2</v>
      </c>
      <c r="AQ51" s="198" t="s">
        <v>971</v>
      </c>
      <c r="AR51" s="121">
        <f t="shared" si="27"/>
        <v>6.1224489795918364E-3</v>
      </c>
      <c r="AS51" s="153">
        <f>COUNTIF('DETALLES UNIDADES'!$O$8:$O$987,"60%")</f>
        <v>6</v>
      </c>
      <c r="BF51" s="186" t="s">
        <v>1560</v>
      </c>
      <c r="BG51" s="186" t="s">
        <v>1561</v>
      </c>
      <c r="BH51" s="11">
        <f>COUNTIF('DETALLES UNIDADES'!$AR$8:$AR$987,FORMULAS!BG51)</f>
        <v>26</v>
      </c>
      <c r="BK51" s="11" t="s">
        <v>1791</v>
      </c>
      <c r="BL51" s="6">
        <f t="shared" si="30"/>
        <v>2.8571428571428571E-2</v>
      </c>
      <c r="BM51" s="249">
        <f>COUNTIF('DETALLES UNIDADES'!$AW$8:$AW$987,"&gt;149999")</f>
        <v>28</v>
      </c>
    </row>
    <row r="52" spans="1:65" ht="25.5" x14ac:dyDescent="0.25">
      <c r="A52" s="9"/>
      <c r="B52" s="9" t="s">
        <v>1290</v>
      </c>
      <c r="C52" s="249">
        <v>6</v>
      </c>
      <c r="F52" s="141" t="s">
        <v>835</v>
      </c>
      <c r="G52" s="121">
        <f t="shared" si="24"/>
        <v>5.4495912806539508E-3</v>
      </c>
      <c r="H52" s="11">
        <f>COUNTIF('ENCUESTA PROPIETARIOS'!$AK$7:$AK$417,"CARTÓN Y PAPEL")</f>
        <v>4</v>
      </c>
      <c r="I52" s="11">
        <f t="shared" si="22"/>
        <v>32</v>
      </c>
      <c r="J52" s="9">
        <v>1982</v>
      </c>
      <c r="K52" s="6">
        <f t="shared" si="25"/>
        <v>1.020408163265306E-2</v>
      </c>
      <c r="L52" s="249">
        <f>COUNTIF('DETALLES UNIDADES'!$D$8:$D$987,FORMULAS!J52)</f>
        <v>10</v>
      </c>
      <c r="M52" s="1"/>
      <c r="N52" s="2" t="s">
        <v>367</v>
      </c>
      <c r="O52" s="249">
        <f>COUNTIF('DETALLES UNIDADES'!$E$8:$I$987,FORMULAS!N52)</f>
        <v>9</v>
      </c>
      <c r="S52" s="137" t="s">
        <v>60</v>
      </c>
      <c r="T52" s="6">
        <f t="shared" ref="T52:T58" si="32">V52/$V$58</f>
        <v>0.11754068716094032</v>
      </c>
      <c r="U52" s="6">
        <f t="shared" ref="U52:U58" si="33">+W52/$W$58</f>
        <v>0.12962962962962962</v>
      </c>
      <c r="V52" s="249">
        <f>COUNTIFS('ENCUESTA PROPIETARIOS'!$BS$7:$BS$417,"X",'ENCUESTA PROPIETARIOS'!$E$7:$E$417,"X")</f>
        <v>65</v>
      </c>
      <c r="W52" s="249">
        <f>COUNTIFS('ENCUESTA PROPIETARIOS'!$BS$7:$BS$417,"X",'ENCUESTA PROPIETARIOS'!$F$7:$F$417,"X")</f>
        <v>7</v>
      </c>
      <c r="Z52" s="19" t="s">
        <v>405</v>
      </c>
      <c r="AA52" s="6">
        <f t="shared" si="31"/>
        <v>0.21052631578947367</v>
      </c>
      <c r="AB52" s="11">
        <f>COUNTIF('ENCUESTA PROPIETARIOS'!$DM$7:$DM$417,Z52)+COUNTIF('ENCUESTA PROPIETARIOS'!$DM$7:$DM$417,"ES ABERRANTE YA QUE EL DIESEL ES UNA PORQUERIA")</f>
        <v>12</v>
      </c>
      <c r="AP52" s="19"/>
      <c r="AQ52" s="11" t="s">
        <v>715</v>
      </c>
      <c r="AR52" s="121">
        <f t="shared" si="27"/>
        <v>1</v>
      </c>
      <c r="AS52" s="153">
        <f>SUM(AS40:AS51)</f>
        <v>980</v>
      </c>
      <c r="BF52" s="186" t="s">
        <v>1564</v>
      </c>
      <c r="BG52" s="186" t="s">
        <v>1541</v>
      </c>
      <c r="BH52" s="153">
        <f>COUNTIF('DETALLES UNIDADES'!$AR$8:$AR987,FORMULAS!BG52)-BH51</f>
        <v>176</v>
      </c>
      <c r="BK52" s="11" t="s">
        <v>715</v>
      </c>
      <c r="BL52" s="6">
        <f t="shared" si="30"/>
        <v>1</v>
      </c>
      <c r="BM52" s="249">
        <f>SUM(BM45:BM51)</f>
        <v>980</v>
      </c>
    </row>
    <row r="53" spans="1:65" ht="25.5" x14ac:dyDescent="0.25">
      <c r="A53" s="9"/>
      <c r="B53" s="9" t="s">
        <v>1292</v>
      </c>
      <c r="C53" s="249">
        <v>5</v>
      </c>
      <c r="F53" s="140" t="s">
        <v>836</v>
      </c>
      <c r="G53" s="121">
        <f t="shared" si="24"/>
        <v>5.4495912806539508E-3</v>
      </c>
      <c r="H53" s="11">
        <f>COUNTIF('ENCUESTA PROPIETARIOS'!$AK$7:$AK$417,"ELECTRODOMESTICOS")</f>
        <v>4</v>
      </c>
      <c r="I53" s="11">
        <f t="shared" si="22"/>
        <v>31</v>
      </c>
      <c r="J53" s="9">
        <v>1983</v>
      </c>
      <c r="K53" s="6">
        <f t="shared" si="25"/>
        <v>1.2244897959183673E-2</v>
      </c>
      <c r="L53" s="249">
        <f>COUNTIF('DETALLES UNIDADES'!$D$8:$D$987,FORMULAS!J53)</f>
        <v>12</v>
      </c>
      <c r="M53" s="9"/>
      <c r="N53" s="2" t="s">
        <v>690</v>
      </c>
      <c r="O53" s="249">
        <f>COUNTIF('DETALLES UNIDADES'!$E$8:$I$987,FORMULAS!N53)</f>
        <v>13</v>
      </c>
      <c r="S53" s="137" t="s">
        <v>1772</v>
      </c>
      <c r="T53" s="6">
        <f t="shared" si="32"/>
        <v>8.8607594936708861E-2</v>
      </c>
      <c r="U53" s="6">
        <f t="shared" si="33"/>
        <v>3.7037037037037035E-2</v>
      </c>
      <c r="V53" s="249">
        <f>COUNTIFS('ENCUESTA PROPIETARIOS'!$BT$7:$BT$417,"X",'ENCUESTA PROPIETARIOS'!$E$7:$E$417,"X")</f>
        <v>49</v>
      </c>
      <c r="W53" s="249">
        <f>COUNTIFS('ENCUESTA PROPIETARIOS'!$BT$7:$BT$417,"X",'ENCUESTA PROPIETARIOS'!$F$7:$F$417,"X")</f>
        <v>2</v>
      </c>
      <c r="Z53" s="9" t="s">
        <v>715</v>
      </c>
      <c r="AA53" s="6">
        <f t="shared" si="31"/>
        <v>1</v>
      </c>
      <c r="AB53" s="11">
        <f>SUM(AB47:AB52)</f>
        <v>57</v>
      </c>
      <c r="AP53" s="19"/>
      <c r="BF53" s="186" t="s">
        <v>1535</v>
      </c>
      <c r="BG53" s="186" t="s">
        <v>1546</v>
      </c>
      <c r="BH53" s="153">
        <f>COUNTIF('DETALLES UNIDADES'!$AR$8:$AR$987,FORMULAS!BG53)-BH52-BH51</f>
        <v>261</v>
      </c>
    </row>
    <row r="54" spans="1:65" ht="38.25" x14ac:dyDescent="0.25">
      <c r="A54" s="9"/>
      <c r="B54" s="9" t="s">
        <v>1301</v>
      </c>
      <c r="C54" s="249">
        <v>4</v>
      </c>
      <c r="F54" s="137" t="s">
        <v>197</v>
      </c>
      <c r="G54" s="121">
        <f t="shared" si="24"/>
        <v>5.858310626702997E-2</v>
      </c>
      <c r="H54" s="11">
        <f>COUNTIF('ENCUESTA PROPIETARIOS'!$AK$7:$AK$417,"GENERAL")</f>
        <v>43</v>
      </c>
      <c r="I54" s="11">
        <f t="shared" si="22"/>
        <v>30</v>
      </c>
      <c r="J54" s="9">
        <v>1984</v>
      </c>
      <c r="K54" s="6">
        <f t="shared" si="25"/>
        <v>1.020408163265306E-2</v>
      </c>
      <c r="L54" s="249">
        <f>COUNTIF('DETALLES UNIDADES'!$D$8:$D$987,FORMULAS!J54)</f>
        <v>10</v>
      </c>
      <c r="M54" s="9"/>
      <c r="N54" s="2" t="s">
        <v>381</v>
      </c>
      <c r="O54" s="249">
        <f>COUNTIF('DETALLES UNIDADES'!$E$8:$I$987,FORMULAS!N54)</f>
        <v>6</v>
      </c>
      <c r="S54" s="137" t="s">
        <v>878</v>
      </c>
      <c r="T54" s="6">
        <f t="shared" si="32"/>
        <v>0.16094032549728751</v>
      </c>
      <c r="U54" s="6">
        <f t="shared" si="33"/>
        <v>0.14814814814814814</v>
      </c>
      <c r="V54" s="249">
        <f>COUNTIFS('ENCUESTA PROPIETARIOS'!$BV$7:$BV$417,"X",'ENCUESTA PROPIETARIOS'!$E$7:$E$417,"X")</f>
        <v>89</v>
      </c>
      <c r="W54" s="249">
        <f>COUNTIFS('ENCUESTA PROPIETARIOS'!$BV$7:$BV$417,"X",'ENCUESTA PROPIETARIOS'!$F$7:$F$417,"X")</f>
        <v>8</v>
      </c>
      <c r="Z54" s="9"/>
      <c r="AP54" s="19"/>
      <c r="BF54" s="186" t="s">
        <v>1536</v>
      </c>
      <c r="BG54" s="186" t="s">
        <v>1542</v>
      </c>
      <c r="BH54" s="153">
        <f>COUNTIF('DETALLES UNIDADES'!$AR$8:$AR$987,FORMULAS!BG54)-BH53-BH52-BH51</f>
        <v>196</v>
      </c>
    </row>
    <row r="55" spans="1:65" ht="38.25" x14ac:dyDescent="0.25">
      <c r="A55" s="9"/>
      <c r="B55" s="9" t="s">
        <v>1289</v>
      </c>
      <c r="C55" s="249">
        <v>3</v>
      </c>
      <c r="F55" s="11" t="s">
        <v>715</v>
      </c>
      <c r="G55" s="121">
        <f t="shared" si="24"/>
        <v>1</v>
      </c>
      <c r="H55" s="11">
        <f>SUM(H40:H54)</f>
        <v>734</v>
      </c>
      <c r="I55" s="11">
        <f t="shared" si="22"/>
        <v>29</v>
      </c>
      <c r="J55" s="9">
        <v>1985</v>
      </c>
      <c r="K55" s="6">
        <f t="shared" si="25"/>
        <v>2.5510204081632654E-2</v>
      </c>
      <c r="L55" s="249">
        <f>COUNTIF('DETALLES UNIDADES'!$D$8:$D$987,FORMULAS!J55)</f>
        <v>25</v>
      </c>
      <c r="M55" s="9">
        <f>SUM(L50:L55)</f>
        <v>94</v>
      </c>
      <c r="N55" s="19" t="s">
        <v>384</v>
      </c>
      <c r="O55" s="249">
        <f>COUNTIF('DETALLES UNIDADES'!$E$8:$I$987,FORMULAS!N55)</f>
        <v>9</v>
      </c>
      <c r="S55" s="137" t="s">
        <v>879</v>
      </c>
      <c r="T55" s="6">
        <f t="shared" si="32"/>
        <v>0.25678119349005424</v>
      </c>
      <c r="U55" s="6">
        <f t="shared" si="33"/>
        <v>0.29629629629629628</v>
      </c>
      <c r="V55" s="249">
        <f>COUNTIFS('ENCUESTA PROPIETARIOS'!$BW$7:$BW$417,"X",'ENCUESTA PROPIETARIOS'!$E$7:$E$417,"X")</f>
        <v>142</v>
      </c>
      <c r="W55" s="249">
        <f>COUNTIFS('ENCUESTA PROPIETARIOS'!$BW$7:$BW$417,"X",'ENCUESTA PROPIETARIOS'!$F$7:$F$417,"X")</f>
        <v>16</v>
      </c>
      <c r="Z55" s="9"/>
      <c r="AP55" s="2"/>
      <c r="AQ55" s="11" t="s">
        <v>972</v>
      </c>
      <c r="AR55" s="11" t="s">
        <v>718</v>
      </c>
      <c r="AS55" s="11" t="s">
        <v>717</v>
      </c>
      <c r="BF55" s="186" t="s">
        <v>1565</v>
      </c>
      <c r="BG55" s="186" t="s">
        <v>1562</v>
      </c>
      <c r="BH55" s="153">
        <f>COUNTIF('DETALLES UNIDADES'!$AR$8:$AR$987,FORMULAS!BG55)-BH54-BH53-BH52-BH51</f>
        <v>171</v>
      </c>
      <c r="BK55" s="11" t="s">
        <v>1808</v>
      </c>
    </row>
    <row r="56" spans="1:65" ht="25.5" x14ac:dyDescent="0.25">
      <c r="A56" s="10"/>
      <c r="B56" s="9" t="s">
        <v>1287</v>
      </c>
      <c r="C56" s="249">
        <v>3</v>
      </c>
      <c r="I56" s="11">
        <f t="shared" si="22"/>
        <v>28</v>
      </c>
      <c r="J56" s="9">
        <v>1986</v>
      </c>
      <c r="K56" s="6">
        <f t="shared" si="25"/>
        <v>6.1224489795918364E-3</v>
      </c>
      <c r="L56" s="249">
        <f>COUNTIF('DETALLES UNIDADES'!$D$8:$D$987,FORMULAS!J56)</f>
        <v>6</v>
      </c>
      <c r="M56" s="9"/>
      <c r="N56" s="2" t="s">
        <v>581</v>
      </c>
      <c r="O56" s="249">
        <f>COUNTIF('DETALLES UNIDADES'!$E$8:$I$987,FORMULAS!N56)</f>
        <v>17</v>
      </c>
      <c r="S56" s="137" t="s">
        <v>880</v>
      </c>
      <c r="T56" s="6">
        <f t="shared" si="32"/>
        <v>1.4466546112115732E-2</v>
      </c>
      <c r="U56" s="6">
        <f t="shared" si="33"/>
        <v>1.8518518518518517E-2</v>
      </c>
      <c r="V56" s="249">
        <f>COUNTIFS('ENCUESTA PROPIETARIOS'!$E$7:$E$417,"X",'ENCUESTA PROPIETARIOS'!$BX$7:$BX$417,"X")+COUNTIFS('ENCUESTA PROPIETARIOS'!$E$7:$E$417,"X",'ENCUESTA PROPIETARIOS'!$BU$7:$BU$417,"X")+COUNTIFS('ENCUESTA PROPIETARIOS'!$E$7:$E$417,"X",'ENCUESTA PROPIETARIOS'!$BX$7:$BX$417,"PERCANCE")+COUNTIFS('ENCUESTA PROPIETARIOS'!$E$7:$E$417,"X",'ENCUESTA PROPIETARIOS'!$BX$7:$BX$417,"NO LA PODRIA PAGAR")</f>
        <v>8</v>
      </c>
      <c r="W56" s="249">
        <f>COUNTIFS('ENCUESTA PROPIETARIOS'!$F$7:$F$417,"X",'ENCUESTA PROPIETARIOS'!$BX$7:$BX$417,"X")+COUNTIFS('ENCUESTA PROPIETARIOS'!$F$7:$F$417,"X",'ENCUESTA PROPIETARIOS'!$BU$7:$BU$417,"X")+COUNTIFS('ENCUESTA PROPIETARIOS'!$F$7:$F$417,"X",'ENCUESTA PROPIETARIOS'!$BX$7:$BX$417,"PERCANCE")+COUNTIFS('ENCUESTA PROPIETARIOS'!$F$7:$F$417,"X",'ENCUESTA PROPIETARIOS'!$BX$7:$BX$417,"NO LA PODRIA PAGAR")</f>
        <v>1</v>
      </c>
      <c r="Z56" s="19" t="s">
        <v>920</v>
      </c>
      <c r="AA56" s="249" t="s">
        <v>718</v>
      </c>
      <c r="AB56" s="11" t="s">
        <v>717</v>
      </c>
      <c r="AP56" s="19"/>
      <c r="AQ56" s="249" t="s">
        <v>960</v>
      </c>
      <c r="AR56" s="121">
        <f t="shared" ref="AR56:AR61" si="34">AS56/$AS$61</f>
        <v>0</v>
      </c>
      <c r="AS56" s="153">
        <f>COUNTIF('DETALLES UNIDADES'!$P$8:$P$987,"NO SABE")+COUNTIF('DETALLES UNIDADES'!$P$8:$P$987,"NO CONTESTA")</f>
        <v>0</v>
      </c>
      <c r="BF56" s="186" t="s">
        <v>1563</v>
      </c>
      <c r="BG56" s="186" t="s">
        <v>1842</v>
      </c>
      <c r="BH56" s="153">
        <f>COUNTIF('DETALLES UNIDADES'!$AR$8:$AR$987,FORMULAS!BG56)-BH55-BH54-BH53-BH52-BH51</f>
        <v>38</v>
      </c>
      <c r="BK56" s="11" t="s">
        <v>1802</v>
      </c>
      <c r="BL56" s="6">
        <f>+BM56/$BM$63</f>
        <v>0.91122448979591841</v>
      </c>
      <c r="BM56" s="249">
        <f>COUNTIF('DETALLES UNIDADES'!$AX$8:$AX$987,"&lt;5000")</f>
        <v>893</v>
      </c>
    </row>
    <row r="57" spans="1:65" x14ac:dyDescent="0.25">
      <c r="A57" s="9"/>
      <c r="B57" s="9" t="s">
        <v>1291</v>
      </c>
      <c r="C57" s="249">
        <v>3</v>
      </c>
      <c r="I57" s="11">
        <f t="shared" si="22"/>
        <v>27</v>
      </c>
      <c r="J57" s="9">
        <v>1987</v>
      </c>
      <c r="K57" s="6">
        <f t="shared" si="25"/>
        <v>8.1632653061224497E-3</v>
      </c>
      <c r="L57" s="249">
        <f>COUNTIF('DETALLES UNIDADES'!$D$8:$D$987,FORMULAS!J57)</f>
        <v>8</v>
      </c>
      <c r="M57" s="9"/>
      <c r="N57" s="2" t="s">
        <v>1173</v>
      </c>
      <c r="O57" s="249">
        <f>COUNTIF('DETALLES UNIDADES'!$E$8:$I$987,FORMULAS!N57)</f>
        <v>1</v>
      </c>
      <c r="S57" s="141" t="s">
        <v>1771</v>
      </c>
      <c r="T57" s="6">
        <f t="shared" si="32"/>
        <v>2.5316455696202531E-2</v>
      </c>
      <c r="U57" s="6">
        <f t="shared" si="33"/>
        <v>0</v>
      </c>
      <c r="V57" s="249">
        <f>COUNTIFS('ENCUESTA PROPIETARIOS'!$E$7:$E$417,"X",'ENCUESTA PROPIETARIOS'!$BX$7:$BX$417,"NO NECESITA")+COUNTIFS('ENCUESTA PROPIETARIOS'!$E$7:$E$417,"X",'ENCUESTA PROPIETARIOS'!$BX$7:$BX$417,"NO HA CAMBIADO")+COUNTIFS('ENCUESTA PROPIETARIOS'!$E$7:$E$417,"X",'ENCUESTA PROPIETARIOS'!$BX$7:$BX$417,"NINGUNO")</f>
        <v>14</v>
      </c>
      <c r="W57" s="249">
        <f>COUNTIFS('ENCUESTA PROPIETARIOS'!$F$7:$F$417,"X",'ENCUESTA PROPIETARIOS'!$BX$7:$BX$417,"NO NECESITA")+COUNTIFS('ENCUESTA PROPIETARIOS'!$F$7:$F$417,"X",'ENCUESTA PROPIETARIOS'!$BX$7:$BX$417,"NO HA CAMBIADO")+COUNTIFS('ENCUESTA PROPIETARIOS'!$F$7:$F$417,"X",'ENCUESTA PROPIETARIOS'!$BX$7:$BX$417,"NINGUNO")</f>
        <v>0</v>
      </c>
      <c r="Z57" s="19" t="s">
        <v>396</v>
      </c>
      <c r="AA57" s="6">
        <f t="shared" ref="AA57:AA67" si="35">AB57/$AB$67</f>
        <v>7.2727272727272724E-2</v>
      </c>
      <c r="AB57" s="11">
        <f>COUNTIF('ENCUESTA PROPIETARIOS'!$DO$7:$DO$417,Z57)</f>
        <v>4</v>
      </c>
      <c r="AP57" s="2"/>
      <c r="AQ57" s="249">
        <v>1</v>
      </c>
      <c r="AR57" s="121">
        <f t="shared" si="34"/>
        <v>0.1653061224489796</v>
      </c>
      <c r="AS57" s="153">
        <f>COUNTIF('DETALLES UNIDADES'!$P$8:$P$987,AQ57)</f>
        <v>162</v>
      </c>
      <c r="BF57" s="11" t="s">
        <v>1569</v>
      </c>
      <c r="BG57" s="11" t="s">
        <v>1844</v>
      </c>
      <c r="BH57" s="153">
        <f>COUNTIF('DETALLES UNIDADES'!$AR$8:$AR$987,BG57)</f>
        <v>4</v>
      </c>
      <c r="BK57" s="11" t="s">
        <v>1806</v>
      </c>
      <c r="BL57" s="6">
        <f t="shared" ref="BL57:BL63" si="36">+BM57/$BM$63</f>
        <v>1.4285714285714285E-2</v>
      </c>
      <c r="BM57" s="249">
        <f>COUNTIF('DETALLES UNIDADES'!$AX$8:$AX$987,"&lt;9870")-BM56</f>
        <v>14</v>
      </c>
    </row>
    <row r="58" spans="1:65" x14ac:dyDescent="0.25">
      <c r="A58" s="9"/>
      <c r="B58" s="9" t="s">
        <v>1311</v>
      </c>
      <c r="C58" s="249">
        <v>2</v>
      </c>
      <c r="I58" s="11">
        <f t="shared" si="22"/>
        <v>26</v>
      </c>
      <c r="J58" s="9">
        <v>1988</v>
      </c>
      <c r="K58" s="6">
        <f t="shared" si="25"/>
        <v>1.2244897959183673E-2</v>
      </c>
      <c r="L58" s="249">
        <f>COUNTIF('DETALLES UNIDADES'!$D$8:$D$987,FORMULAS!J58)</f>
        <v>12</v>
      </c>
      <c r="M58" s="9"/>
      <c r="N58" s="2" t="s">
        <v>1164</v>
      </c>
      <c r="O58" s="249">
        <f>COUNTIF('DETALLES UNIDADES'!$E$8:$I$987,FORMULAS!N58)</f>
        <v>1</v>
      </c>
      <c r="S58" s="11" t="s">
        <v>715</v>
      </c>
      <c r="T58" s="6">
        <f t="shared" si="32"/>
        <v>1</v>
      </c>
      <c r="U58" s="6">
        <f t="shared" si="33"/>
        <v>1</v>
      </c>
      <c r="V58" s="249">
        <f>SUM(V51:V57)</f>
        <v>553</v>
      </c>
      <c r="W58" s="249">
        <f>SUM(W51:W57)</f>
        <v>54</v>
      </c>
      <c r="Z58" s="19" t="s">
        <v>432</v>
      </c>
      <c r="AA58" s="6">
        <f t="shared" ref="AA58:AA66" si="37">AB58/$AB$67</f>
        <v>0.38181818181818183</v>
      </c>
      <c r="AB58" s="11">
        <f>COUNTIF('ENCUESTA PROPIETARIOS'!$DO$7:$DO$417,Z58)+COUNTIF('ENCUESTA PROPIETARIOS'!$DO$7:$DO$417,"SI FUNCIONA")+COUNTIF('ENCUESTA PROPIETARIOS'!$DO$7:$DO$417,"ES UNA BUENA IDEA")</f>
        <v>21</v>
      </c>
      <c r="AP58" s="19"/>
      <c r="AQ58" s="249">
        <v>2</v>
      </c>
      <c r="AR58" s="121">
        <f t="shared" si="34"/>
        <v>0.67653061224489797</v>
      </c>
      <c r="AS58" s="153">
        <f>COUNTIF('DETALLES UNIDADES'!$P$8:$P$987,AQ58)</f>
        <v>663</v>
      </c>
      <c r="BF58" s="11" t="s">
        <v>1846</v>
      </c>
      <c r="BG58" s="13" t="s">
        <v>480</v>
      </c>
      <c r="BH58" s="153">
        <f>COUNTIF('DETALLES UNIDADES'!$AR$8:$AR$987,FORMULAS!BG58)+COUNTIF('DETALLES UNIDADES'!$AR$8:$AR$987,"NO HA CAMBIADO")</f>
        <v>27</v>
      </c>
      <c r="BK58" s="11" t="s">
        <v>1807</v>
      </c>
      <c r="BL58" s="6">
        <f t="shared" si="36"/>
        <v>1.9387755102040816E-2</v>
      </c>
      <c r="BM58" s="249">
        <f>COUNTIF('DETALLES UNIDADES'!$AX$8:$AX$987,"&lt;20000")-BM57-BM56</f>
        <v>19</v>
      </c>
    </row>
    <row r="59" spans="1:65" x14ac:dyDescent="0.25">
      <c r="A59" s="9"/>
      <c r="B59" s="9" t="s">
        <v>1337</v>
      </c>
      <c r="C59" s="249">
        <v>2</v>
      </c>
      <c r="I59" s="11">
        <f t="shared" si="22"/>
        <v>25</v>
      </c>
      <c r="J59" s="9">
        <v>1989</v>
      </c>
      <c r="K59" s="6">
        <f t="shared" si="25"/>
        <v>8.1632653061224497E-3</v>
      </c>
      <c r="L59" s="249">
        <f>COUNTIF('DETALLES UNIDADES'!$D$8:$D$987,FORMULAS!J59)</f>
        <v>8</v>
      </c>
      <c r="M59" s="9"/>
      <c r="N59" s="19" t="s">
        <v>444</v>
      </c>
      <c r="O59" s="249">
        <f>COUNTIF('DETALLES UNIDADES'!$E$8:$I$987,FORMULAS!N59)</f>
        <v>19</v>
      </c>
      <c r="Z59" s="19" t="s">
        <v>1683</v>
      </c>
      <c r="AA59" s="6">
        <f t="shared" si="37"/>
        <v>0.30909090909090908</v>
      </c>
      <c r="AB59" s="11">
        <f>COUNTIF('ENCUESTA PROPIETARIOS'!$DO$7:$DO$417,"MALA")+COUNTIF('ENCUESTA PROPIETARIOS'!$DO$7:$DO$417,"NO SIRVE")</f>
        <v>17</v>
      </c>
      <c r="AP59" s="2"/>
      <c r="AQ59" s="249">
        <v>3</v>
      </c>
      <c r="AR59" s="121">
        <f t="shared" si="34"/>
        <v>0.15816326530612246</v>
      </c>
      <c r="AS59" s="153">
        <f>COUNTIF('DETALLES UNIDADES'!$P$8:$P$987,AQ59)</f>
        <v>155</v>
      </c>
      <c r="BF59" s="11" t="s">
        <v>1845</v>
      </c>
      <c r="BH59" s="153">
        <f>COUNTIF('DETALLES UNIDADES'!$AR$8:$AR$987,"")+COUNTIF('DETALLES UNIDADES'!$AR$8:$AR$987,"NO USA")</f>
        <v>81</v>
      </c>
      <c r="BK59" s="11" t="s">
        <v>1803</v>
      </c>
      <c r="BL59" s="6">
        <f t="shared" si="36"/>
        <v>2.1428571428571429E-2</v>
      </c>
      <c r="BM59" s="249">
        <f>COUNTIF('DETALLES UNIDADES'!$AX$8:$AX$987,"&lt;30000")-BM58-BM57-BM56</f>
        <v>21</v>
      </c>
    </row>
    <row r="60" spans="1:65" x14ac:dyDescent="0.25">
      <c r="A60" s="9"/>
      <c r="B60" s="9" t="s">
        <v>1286</v>
      </c>
      <c r="C60" s="249">
        <v>2</v>
      </c>
      <c r="I60" s="11">
        <f t="shared" si="22"/>
        <v>24</v>
      </c>
      <c r="J60" s="9">
        <v>1990</v>
      </c>
      <c r="K60" s="6">
        <f t="shared" si="25"/>
        <v>2.4489795918367346E-2</v>
      </c>
      <c r="L60" s="249">
        <f>COUNTIF('DETALLES UNIDADES'!$D$8:$D$987,FORMULAS!J60)</f>
        <v>24</v>
      </c>
      <c r="M60" s="9">
        <f>SUM(L56:L60)</f>
        <v>58</v>
      </c>
      <c r="N60" s="9"/>
      <c r="Z60" s="2" t="s">
        <v>916</v>
      </c>
      <c r="AA60" s="6">
        <f t="shared" si="37"/>
        <v>0.12727272727272726</v>
      </c>
      <c r="AB60" s="11">
        <f>COUNTIF('ENCUESTA PROPIETARIOS'!$DO$7:$DO$417,Z60)+COUNTIF('ENCUESTA PROPIETARIOS'!$DO$7:$DO$417,"EVITA CONTAMINAR")</f>
        <v>7</v>
      </c>
      <c r="AP60" s="2"/>
      <c r="AQ60" s="249" t="s">
        <v>973</v>
      </c>
      <c r="AR60" s="121">
        <f t="shared" si="34"/>
        <v>0</v>
      </c>
      <c r="AS60" s="153">
        <f>COUNTIF('DETALLES UNIDADES'!$P$8:$P$987,AQ60)</f>
        <v>0</v>
      </c>
      <c r="BH60" s="11">
        <f>SUM(BH51:BH59)</f>
        <v>980</v>
      </c>
      <c r="BK60" s="11" t="s">
        <v>1804</v>
      </c>
      <c r="BL60" s="6">
        <f t="shared" si="36"/>
        <v>1.020408163265306E-2</v>
      </c>
      <c r="BM60" s="249">
        <f>COUNTIF('DETALLES UNIDADES'!$AX$8:$AX$987,"&lt;50000")-BM59-BM58-BM57-BM56</f>
        <v>10</v>
      </c>
    </row>
    <row r="61" spans="1:65" x14ac:dyDescent="0.25">
      <c r="A61" s="9"/>
      <c r="B61" s="9" t="s">
        <v>1333</v>
      </c>
      <c r="C61" s="249">
        <v>1</v>
      </c>
      <c r="I61" s="11">
        <f t="shared" si="22"/>
        <v>23</v>
      </c>
      <c r="J61" s="9">
        <v>1991</v>
      </c>
      <c r="K61" s="6">
        <f t="shared" si="25"/>
        <v>1.3265306122448979E-2</v>
      </c>
      <c r="L61" s="249">
        <f>COUNTIF('DETALLES UNIDADES'!$D$8:$D$987,FORMULAS!J61)</f>
        <v>13</v>
      </c>
      <c r="M61" s="9"/>
      <c r="N61" s="9" t="s">
        <v>715</v>
      </c>
      <c r="O61" s="249">
        <f>SUM(O39:O60)</f>
        <v>980</v>
      </c>
      <c r="Z61" s="2" t="s">
        <v>494</v>
      </c>
      <c r="AA61" s="6">
        <f t="shared" si="37"/>
        <v>5.4545454545454543E-2</v>
      </c>
      <c r="AB61" s="11">
        <f>COUNTIF('ENCUESTA PROPIETARIOS'!$DO$7:$DO$417,Z61)</f>
        <v>3</v>
      </c>
      <c r="AP61" s="2"/>
      <c r="AQ61" s="249" t="s">
        <v>715</v>
      </c>
      <c r="AR61" s="121">
        <f t="shared" si="34"/>
        <v>1</v>
      </c>
      <c r="AS61" s="153">
        <f>SUM(AS56:AS60)</f>
        <v>980</v>
      </c>
      <c r="BK61" s="11" t="s">
        <v>1805</v>
      </c>
      <c r="BL61" s="6">
        <f t="shared" si="36"/>
        <v>1.7346938775510204E-2</v>
      </c>
      <c r="BM61" s="249">
        <f>COUNTIF('DETALLES UNIDADES'!$AX$8:$AX$987,"&lt;150000")-BM60-BM59-BM58-BM57-BM56</f>
        <v>17</v>
      </c>
    </row>
    <row r="62" spans="1:65" x14ac:dyDescent="0.25">
      <c r="A62" s="9"/>
      <c r="B62" s="9" t="s">
        <v>1285</v>
      </c>
      <c r="C62" s="249">
        <v>1</v>
      </c>
      <c r="I62" s="11">
        <f t="shared" si="22"/>
        <v>22</v>
      </c>
      <c r="J62" s="9">
        <v>1992</v>
      </c>
      <c r="K62" s="6">
        <f t="shared" si="25"/>
        <v>1.8367346938775512E-2</v>
      </c>
      <c r="L62" s="249">
        <f>COUNTIF('DETALLES UNIDADES'!$D$8:$D$987,FORMULAS!J62)</f>
        <v>18</v>
      </c>
      <c r="M62" s="9"/>
      <c r="Z62" s="2" t="s">
        <v>917</v>
      </c>
      <c r="AA62" s="6">
        <f t="shared" si="37"/>
        <v>3.6363636363636362E-2</v>
      </c>
      <c r="AB62" s="11">
        <f>COUNTIF('ENCUESTA PROPIETARIOS'!$DO$7:$DO$417,Z62)</f>
        <v>2</v>
      </c>
      <c r="AP62" s="2"/>
      <c r="BK62" s="11" t="s">
        <v>1791</v>
      </c>
      <c r="BL62" s="6">
        <f t="shared" si="36"/>
        <v>6.1224489795918364E-3</v>
      </c>
      <c r="BM62" s="249">
        <f>COUNTIF('DETALLES UNIDADES'!$AX$8:$AX$987,"&gt;149999")</f>
        <v>6</v>
      </c>
    </row>
    <row r="63" spans="1:65" x14ac:dyDescent="0.25">
      <c r="A63" s="9"/>
      <c r="B63" s="9" t="s">
        <v>1338</v>
      </c>
      <c r="C63" s="249">
        <v>1</v>
      </c>
      <c r="I63" s="11">
        <f t="shared" si="22"/>
        <v>21</v>
      </c>
      <c r="J63" s="9">
        <v>1993</v>
      </c>
      <c r="K63" s="6">
        <f t="shared" si="25"/>
        <v>2.1428571428571429E-2</v>
      </c>
      <c r="L63" s="249">
        <f>COUNTIF('DETALLES UNIDADES'!$D$8:$D$987,FORMULAS!J63)</f>
        <v>21</v>
      </c>
      <c r="M63" s="9"/>
      <c r="Z63" s="2" t="s">
        <v>604</v>
      </c>
      <c r="AA63" s="6">
        <f t="shared" si="37"/>
        <v>3.6363636363636362E-2</v>
      </c>
      <c r="AB63" s="11">
        <f>COUNTIF('ENCUESTA PROPIETARIOS'!$DO$7:$DO$417,Z63)</f>
        <v>2</v>
      </c>
      <c r="AP63" s="2"/>
      <c r="BK63" s="11" t="s">
        <v>715</v>
      </c>
      <c r="BL63" s="6">
        <f t="shared" si="36"/>
        <v>1</v>
      </c>
      <c r="BM63" s="249">
        <f>SUM(BM56:BM62)</f>
        <v>980</v>
      </c>
    </row>
    <row r="64" spans="1:65" x14ac:dyDescent="0.25">
      <c r="A64" s="9"/>
      <c r="B64" s="9" t="s">
        <v>1282</v>
      </c>
      <c r="C64" s="249">
        <v>1</v>
      </c>
      <c r="I64" s="11">
        <f t="shared" si="22"/>
        <v>20</v>
      </c>
      <c r="J64" s="9">
        <v>1994</v>
      </c>
      <c r="K64" s="6">
        <f t="shared" si="25"/>
        <v>2.4489795918367346E-2</v>
      </c>
      <c r="L64" s="249">
        <f>COUNTIF('DETALLES UNIDADES'!$D$8:$D$987,FORMULAS!J64)</f>
        <v>24</v>
      </c>
      <c r="M64" s="9"/>
      <c r="Z64" s="2" t="s">
        <v>921</v>
      </c>
      <c r="AA64" s="6">
        <f t="shared" si="37"/>
        <v>1.8181818181818181E-2</v>
      </c>
      <c r="AB64" s="11">
        <f>COUNTIF('ENCUESTA PROPIETARIOS'!$DO$7:$DO$417,Z64)</f>
        <v>1</v>
      </c>
      <c r="AQ64" s="11" t="s">
        <v>974</v>
      </c>
    </row>
    <row r="65" spans="1:45" x14ac:dyDescent="0.25">
      <c r="A65" s="9"/>
      <c r="B65" s="9" t="s">
        <v>1330</v>
      </c>
      <c r="C65" s="249">
        <v>0</v>
      </c>
      <c r="I65" s="11">
        <f t="shared" si="22"/>
        <v>19</v>
      </c>
      <c r="J65" s="9">
        <v>1995</v>
      </c>
      <c r="K65" s="6">
        <f t="shared" si="25"/>
        <v>3.5714285714285712E-2</v>
      </c>
      <c r="L65" s="249">
        <f>COUNTIF('DETALLES UNIDADES'!$D$8:$D$987,FORMULAS!J65)</f>
        <v>35</v>
      </c>
      <c r="M65" s="9">
        <f>SUM(L61:L65)</f>
        <v>111</v>
      </c>
      <c r="Z65" s="19" t="s">
        <v>448</v>
      </c>
      <c r="AA65" s="6">
        <f t="shared" si="37"/>
        <v>1.8181818181818181E-2</v>
      </c>
      <c r="AB65" s="11">
        <f>COUNTIF('ENCUESTA PROPIETARIOS'!$DO$7:$DO$417,Z65)</f>
        <v>1</v>
      </c>
      <c r="AQ65" s="249" t="s">
        <v>960</v>
      </c>
      <c r="AR65" s="121">
        <f t="shared" ref="AR65:AR80" si="38">AS65/$AS$80</f>
        <v>4.0816326530612249E-3</v>
      </c>
      <c r="AS65" s="153">
        <f>COUNTIF('DETALLES UNIDADES'!$Q$8:$Q$987,"NO SABE")+COUNTIF('DETALLES UNIDADES'!$Q$8:$Q$987,"NO CONTESTA")</f>
        <v>4</v>
      </c>
    </row>
    <row r="66" spans="1:45" x14ac:dyDescent="0.25">
      <c r="A66" s="9"/>
      <c r="B66" s="9" t="s">
        <v>1331</v>
      </c>
      <c r="C66" s="249">
        <v>0</v>
      </c>
      <c r="I66" s="11">
        <f t="shared" si="22"/>
        <v>18</v>
      </c>
      <c r="J66" s="9">
        <v>1996</v>
      </c>
      <c r="K66" s="6">
        <f t="shared" si="25"/>
        <v>1.2244897959183673E-2</v>
      </c>
      <c r="L66" s="249">
        <f>COUNTIF('DETALLES UNIDADES'!$D$8:$D$987,FORMULAS!J66)</f>
        <v>12</v>
      </c>
      <c r="M66" s="9"/>
      <c r="N66" s="11" t="s">
        <v>858</v>
      </c>
      <c r="O66" s="249" t="s">
        <v>1877</v>
      </c>
      <c r="P66" s="249" t="s">
        <v>714</v>
      </c>
      <c r="Q66" s="249" t="s">
        <v>1877</v>
      </c>
      <c r="R66" s="249" t="s">
        <v>714</v>
      </c>
      <c r="Z66" s="19" t="s">
        <v>1167</v>
      </c>
      <c r="AA66" s="6">
        <f t="shared" si="37"/>
        <v>1.8181818181818181E-2</v>
      </c>
      <c r="AB66" s="11">
        <f>COUNTIF('ENCUESTA PROPIETARIOS'!$DO$7:$DO$417,Z66)</f>
        <v>1</v>
      </c>
      <c r="AM66" s="161"/>
      <c r="AQ66" s="9" t="s">
        <v>975</v>
      </c>
      <c r="AR66" s="121">
        <f t="shared" si="38"/>
        <v>5.1020408163265302E-3</v>
      </c>
      <c r="AS66" s="153">
        <f>COUNTIF('DETALLES UNIDADES'!$Q$8:$Q$987,"&lt;61")</f>
        <v>5</v>
      </c>
    </row>
    <row r="67" spans="1:45" x14ac:dyDescent="0.25">
      <c r="A67" s="9"/>
      <c r="B67" s="9" t="s">
        <v>1332</v>
      </c>
      <c r="C67" s="249">
        <v>0</v>
      </c>
      <c r="I67" s="11">
        <f t="shared" si="22"/>
        <v>17</v>
      </c>
      <c r="J67" s="9">
        <v>1997</v>
      </c>
      <c r="K67" s="6">
        <f t="shared" si="25"/>
        <v>3.0612244897959183E-2</v>
      </c>
      <c r="L67" s="249">
        <f>COUNTIF('DETALLES UNIDADES'!$D$8:$D$987,FORMULAS!J67)</f>
        <v>30</v>
      </c>
      <c r="M67" s="9"/>
      <c r="N67" s="11" t="s">
        <v>859</v>
      </c>
      <c r="O67" s="6">
        <f>+Q67/$Q$69</f>
        <v>0.21428571428571427</v>
      </c>
      <c r="P67" s="6">
        <f>R67/$R$69</f>
        <v>0.87878787878787878</v>
      </c>
      <c r="Q67" s="249">
        <f>COUNTIFS('ENCUESTA PROPIETARIOS'!$E$7:$E$417,"X",'ENCUESTA PROPIETARIOS'!$BC$7:$BC$417,"X")</f>
        <v>81</v>
      </c>
      <c r="R67" s="249">
        <f>COUNTIFS('ENCUESTA PROPIETARIOS'!$F$7:$F$417,"X",'ENCUESTA PROPIETARIOS'!$BC$7:$BC$417,"X")</f>
        <v>29</v>
      </c>
      <c r="Z67" s="11" t="s">
        <v>715</v>
      </c>
      <c r="AA67" s="6">
        <f t="shared" si="35"/>
        <v>1</v>
      </c>
      <c r="AB67" s="11">
        <f>SUM(AB58:AB66)</f>
        <v>55</v>
      </c>
      <c r="AM67" s="161"/>
      <c r="AQ67" s="9" t="s">
        <v>976</v>
      </c>
      <c r="AR67" s="121">
        <f t="shared" si="38"/>
        <v>2.5510204081632654E-2</v>
      </c>
      <c r="AS67" s="153">
        <f>COUNTIF('DETALLES UNIDADES'!$Q$8:$Q$987,"&lt;101")-AS66</f>
        <v>25</v>
      </c>
    </row>
    <row r="68" spans="1:45" x14ac:dyDescent="0.25">
      <c r="A68" s="9"/>
      <c r="B68" s="9" t="s">
        <v>1334</v>
      </c>
      <c r="C68" s="249">
        <v>0</v>
      </c>
      <c r="I68" s="11">
        <f t="shared" si="22"/>
        <v>16</v>
      </c>
      <c r="J68" s="9">
        <v>1998</v>
      </c>
      <c r="K68" s="6">
        <f t="shared" si="25"/>
        <v>3.4693877551020408E-2</v>
      </c>
      <c r="L68" s="249">
        <f>COUNTIF('DETALLES UNIDADES'!$D$8:$D$987,FORMULAS!J68)</f>
        <v>34</v>
      </c>
      <c r="M68" s="9"/>
      <c r="N68" s="11" t="s">
        <v>860</v>
      </c>
      <c r="O68" s="6">
        <f t="shared" ref="O68:O69" si="39">+Q68/$Q$69</f>
        <v>0.7857142857142857</v>
      </c>
      <c r="P68" s="6">
        <f t="shared" ref="P68:P69" si="40">R68/$R$69</f>
        <v>0.12121212121212122</v>
      </c>
      <c r="Q68" s="249">
        <f>COUNTIFS('ENCUESTA PROPIETARIOS'!$E$7:$E$417,"X",'ENCUESTA PROPIETARIOS'!$BB$7:$BB$417,"X")</f>
        <v>297</v>
      </c>
      <c r="R68" s="249">
        <f>COUNTIFS('ENCUESTA PROPIETARIOS'!$F$7:$F$417,"X",'ENCUESTA PROPIETARIOS'!$BB$7:$BB$417,"X")</f>
        <v>4</v>
      </c>
      <c r="AM68" s="161"/>
      <c r="AQ68" s="9" t="s">
        <v>977</v>
      </c>
      <c r="AR68" s="121">
        <f t="shared" si="38"/>
        <v>2.4489795918367346E-2</v>
      </c>
      <c r="AS68" s="153">
        <f>COUNTIF('DETALLES UNIDADES'!$Q$8:$Q$987,"&lt;151")-AS67-AS66</f>
        <v>24</v>
      </c>
    </row>
    <row r="69" spans="1:45" x14ac:dyDescent="0.25">
      <c r="A69" s="9"/>
      <c r="B69" s="9" t="s">
        <v>1336</v>
      </c>
      <c r="C69" s="249">
        <v>0</v>
      </c>
      <c r="I69" s="11">
        <f t="shared" si="22"/>
        <v>15</v>
      </c>
      <c r="J69" s="9">
        <v>1999</v>
      </c>
      <c r="K69" s="6">
        <f t="shared" si="25"/>
        <v>1.5306122448979591E-2</v>
      </c>
      <c r="L69" s="249">
        <f>COUNTIF('DETALLES UNIDADES'!$D$8:$D$987,FORMULAS!J69)</f>
        <v>15</v>
      </c>
      <c r="M69" s="9"/>
      <c r="N69" s="11" t="s">
        <v>715</v>
      </c>
      <c r="O69" s="6">
        <f t="shared" si="39"/>
        <v>1</v>
      </c>
      <c r="P69" s="6">
        <f t="shared" si="40"/>
        <v>1</v>
      </c>
      <c r="Q69" s="249">
        <f>+Q68+Q67</f>
        <v>378</v>
      </c>
      <c r="R69" s="249">
        <f>+R68+R67</f>
        <v>33</v>
      </c>
      <c r="AM69" s="161"/>
      <c r="AQ69" s="9" t="s">
        <v>978</v>
      </c>
      <c r="AR69" s="121">
        <f t="shared" si="38"/>
        <v>7.2448979591836729E-2</v>
      </c>
      <c r="AS69" s="153">
        <f>COUNTIF('DETALLES UNIDADES'!$Q$8:$Q$987,"&lt;201")-AS68-AS67-AS66</f>
        <v>71</v>
      </c>
    </row>
    <row r="70" spans="1:45" x14ac:dyDescent="0.25">
      <c r="A70" s="9"/>
      <c r="B70" s="9"/>
      <c r="I70" s="11">
        <f t="shared" si="22"/>
        <v>14</v>
      </c>
      <c r="J70" s="9">
        <v>2000</v>
      </c>
      <c r="K70" s="6">
        <f t="shared" si="25"/>
        <v>6.3265306122448975E-2</v>
      </c>
      <c r="L70" s="249">
        <f>COUNTIF('DETALLES UNIDADES'!$D$8:$D$987,FORMULAS!J70)</f>
        <v>62</v>
      </c>
      <c r="M70" s="9">
        <f>SUM(L66:L70)</f>
        <v>153</v>
      </c>
      <c r="AM70" s="161"/>
      <c r="AQ70" s="9" t="s">
        <v>979</v>
      </c>
      <c r="AR70" s="121">
        <f t="shared" si="38"/>
        <v>3.5714285714285712E-2</v>
      </c>
      <c r="AS70" s="153">
        <f>COUNTIF('DETALLES UNIDADES'!$Q$8:$Q$987,"&lt;251")-AS69-AS68-AS67-AS66</f>
        <v>35</v>
      </c>
    </row>
    <row r="71" spans="1:45" x14ac:dyDescent="0.25">
      <c r="A71" s="9"/>
      <c r="B71" s="9"/>
      <c r="I71" s="11">
        <f t="shared" si="22"/>
        <v>13</v>
      </c>
      <c r="J71" s="9">
        <v>2001</v>
      </c>
      <c r="K71" s="6">
        <f t="shared" si="25"/>
        <v>4.5918367346938778E-2</v>
      </c>
      <c r="L71" s="249">
        <f>COUNTIF('DETALLES UNIDADES'!$D$8:$D$987,FORMULAS!J71)</f>
        <v>45</v>
      </c>
      <c r="M71" s="9"/>
      <c r="Z71" s="11" t="s">
        <v>919</v>
      </c>
      <c r="AA71" s="11" t="s">
        <v>718</v>
      </c>
      <c r="AB71" s="11" t="s">
        <v>717</v>
      </c>
      <c r="AM71" s="161"/>
      <c r="AQ71" s="9" t="s">
        <v>980</v>
      </c>
      <c r="AR71" s="121">
        <f t="shared" si="38"/>
        <v>2.0408163265306121E-2</v>
      </c>
      <c r="AS71" s="153">
        <f>COUNTIF('DETALLES UNIDADES'!$Q$8:$Q$987,"&lt;301")-AS70-AS69-AS68-AS67-AS66</f>
        <v>20</v>
      </c>
    </row>
    <row r="72" spans="1:45" x14ac:dyDescent="0.25">
      <c r="A72" s="9"/>
      <c r="B72" s="9"/>
      <c r="I72" s="11">
        <f t="shared" si="22"/>
        <v>12</v>
      </c>
      <c r="J72" s="9">
        <v>2002</v>
      </c>
      <c r="K72" s="6">
        <f t="shared" si="25"/>
        <v>2.8571428571428571E-2</v>
      </c>
      <c r="L72" s="249">
        <f>COUNTIF('DETALLES UNIDADES'!$D$8:$D$987,FORMULAS!J72)</f>
        <v>28</v>
      </c>
      <c r="M72" s="9"/>
      <c r="Z72" s="19" t="s">
        <v>333</v>
      </c>
      <c r="AA72" s="121">
        <f>AB72/$AB$77</f>
        <v>0.72556390977443608</v>
      </c>
      <c r="AB72" s="11">
        <f>COUNTIF('ENCUESTA PROPIETARIOS'!$DP$7:$DP$417,Z72)+COUNTIF('ENCUESTA PROPIETARIOS'!$DP$7:$DP$417,"MAYOR DIFUSION")+COUNTIF('ENCUESTA PROPIETARIOS'!$DP$7:$DP$417,"MAYOR INFORMACION")</f>
        <v>193</v>
      </c>
      <c r="AM72" s="161"/>
      <c r="AQ72" s="9" t="s">
        <v>981</v>
      </c>
      <c r="AR72" s="121">
        <f t="shared" si="38"/>
        <v>3.9795918367346937E-2</v>
      </c>
      <c r="AS72" s="153">
        <f>COUNTIF('DETALLES UNIDADES'!$Q$8:$Q$987,"&lt;351")-AS71-AS70-AS69-AS68-AS67-AS66</f>
        <v>39</v>
      </c>
    </row>
    <row r="73" spans="1:45" x14ac:dyDescent="0.25">
      <c r="A73" s="9"/>
      <c r="B73" s="9"/>
      <c r="I73" s="11">
        <f t="shared" si="22"/>
        <v>11</v>
      </c>
      <c r="J73" s="9">
        <v>2003</v>
      </c>
      <c r="K73" s="6">
        <f t="shared" si="25"/>
        <v>3.3673469387755103E-2</v>
      </c>
      <c r="L73" s="249">
        <f>COUNTIF('DETALLES UNIDADES'!$D$8:$D$987,FORMULAS!J73)</f>
        <v>33</v>
      </c>
      <c r="M73" s="9"/>
      <c r="Z73" s="19" t="s">
        <v>389</v>
      </c>
      <c r="AA73" s="121">
        <f>AB73/$AB$77</f>
        <v>0.20300751879699247</v>
      </c>
      <c r="AB73" s="11">
        <f>COUNTIF('ENCUESTA PROPIETARIOS'!$DP$7:$DP$417,Z73)+COUNTIF('ENCUESTA PROPIETARIOS'!$DP$7:$DP$417,"DAR MEJORES INCENTIVOS")+COUNTIF('ENCUESTA PROPIETARIOS'!$DP$7:$DP$417,"ESTÍMULOS FISCALES")</f>
        <v>54</v>
      </c>
      <c r="AM73" s="161"/>
      <c r="AQ73" s="9" t="s">
        <v>982</v>
      </c>
      <c r="AR73" s="121">
        <f t="shared" si="38"/>
        <v>0.13979591836734695</v>
      </c>
      <c r="AS73" s="153">
        <f>COUNTIF('DETALLES UNIDADES'!$Q$8:$Q$987,"&lt;401")-AS72-AS71-AS70-AS69-AS68-AS67-AS66</f>
        <v>137</v>
      </c>
    </row>
    <row r="74" spans="1:45" x14ac:dyDescent="0.25">
      <c r="A74" s="9"/>
      <c r="B74" s="9"/>
      <c r="I74" s="11">
        <f t="shared" si="22"/>
        <v>10</v>
      </c>
      <c r="J74" s="9">
        <v>2004</v>
      </c>
      <c r="K74" s="6">
        <f t="shared" si="25"/>
        <v>4.0816326530612242E-2</v>
      </c>
      <c r="L74" s="249">
        <f>COUNTIF('DETALLES UNIDADES'!$D$8:$D$987,FORMULAS!J74)</f>
        <v>40</v>
      </c>
      <c r="M74" s="9"/>
      <c r="Z74" s="2" t="s">
        <v>396</v>
      </c>
      <c r="AA74" s="121">
        <f>AB74/$AB$77</f>
        <v>3.7593984962406013E-2</v>
      </c>
      <c r="AB74" s="11">
        <f>COUNTIF('ENCUESTA PROPIETARIOS'!$DP$7:$DP$417,Z74)</f>
        <v>10</v>
      </c>
      <c r="AM74" s="161"/>
      <c r="AQ74" s="9" t="s">
        <v>983</v>
      </c>
      <c r="AR74" s="121">
        <f t="shared" si="38"/>
        <v>7.9591836734693874E-2</v>
      </c>
      <c r="AS74" s="153">
        <f>COUNTIF('DETALLES UNIDADES'!$Q$8:$Q$987,"&lt;451")-AS73-AS72-AS71-AS70-AS69-AS68-AS67-AS66</f>
        <v>78</v>
      </c>
    </row>
    <row r="75" spans="1:45" x14ac:dyDescent="0.25">
      <c r="A75" s="9"/>
      <c r="B75" s="9"/>
      <c r="I75" s="11">
        <f t="shared" si="22"/>
        <v>9</v>
      </c>
      <c r="J75" s="9">
        <v>2005</v>
      </c>
      <c r="K75" s="6">
        <f t="shared" si="25"/>
        <v>6.3265306122448975E-2</v>
      </c>
      <c r="L75" s="249">
        <f>COUNTIF('DETALLES UNIDADES'!$D$8:$D$987,FORMULAS!J75)</f>
        <v>62</v>
      </c>
      <c r="M75" s="9">
        <f>SUM(L71:L75)</f>
        <v>208</v>
      </c>
      <c r="Z75" s="2" t="s">
        <v>624</v>
      </c>
      <c r="AA75" s="121">
        <f>AB75/$AB$77</f>
        <v>2.6315789473684209E-2</v>
      </c>
      <c r="AB75" s="11">
        <f>COUNTIF('ENCUESTA PROPIETARIOS'!$DP$7:$DP$417,Z75)</f>
        <v>7</v>
      </c>
      <c r="AM75" s="161"/>
      <c r="AQ75" s="9" t="s">
        <v>984</v>
      </c>
      <c r="AR75" s="121">
        <f t="shared" si="38"/>
        <v>9.0816326530612251E-2</v>
      </c>
      <c r="AS75" s="153">
        <f>COUNTIF('DETALLES UNIDADES'!$Q$8:$Q$987,"&lt;501")-AS74-AS73-AS72-AS71-AS70-AS69-AS68-AS67-AS66</f>
        <v>89</v>
      </c>
    </row>
    <row r="76" spans="1:45" x14ac:dyDescent="0.25">
      <c r="A76" s="9"/>
      <c r="B76" s="9"/>
      <c r="I76" s="11">
        <f t="shared" si="22"/>
        <v>8</v>
      </c>
      <c r="J76" s="9">
        <v>2006</v>
      </c>
      <c r="K76" s="6">
        <f t="shared" si="25"/>
        <v>2.7551020408163266E-2</v>
      </c>
      <c r="L76" s="249">
        <f>COUNTIF('DETALLES UNIDADES'!$D$8:$D$987,FORMULAS!J76)</f>
        <v>27</v>
      </c>
      <c r="M76" s="9"/>
      <c r="Z76" s="19" t="s">
        <v>918</v>
      </c>
      <c r="AA76" s="121">
        <f>AB76/$AB$77</f>
        <v>7.5187969924812026E-3</v>
      </c>
      <c r="AB76" s="11">
        <f>COUNTIF('ENCUESTA PROPIETARIOS'!$DP$7:$DP$417,Z76)</f>
        <v>2</v>
      </c>
      <c r="AM76" s="161"/>
      <c r="AQ76" s="1" t="s">
        <v>985</v>
      </c>
      <c r="AR76" s="121">
        <f t="shared" si="38"/>
        <v>8.5714285714285715E-2</v>
      </c>
      <c r="AS76" s="153">
        <f>COUNTIF('DETALLES UNIDADES'!$Q$8:$Q$987,"&lt;551")-AS75-AS74-AS73-AS72-AS71-AS70-AS69-AS68-AS67-AS66</f>
        <v>84</v>
      </c>
    </row>
    <row r="77" spans="1:45" x14ac:dyDescent="0.25">
      <c r="A77" s="10"/>
      <c r="B77" s="9"/>
      <c r="I77" s="11">
        <f t="shared" si="22"/>
        <v>7</v>
      </c>
      <c r="J77" s="9">
        <v>2007</v>
      </c>
      <c r="K77" s="6">
        <f t="shared" si="25"/>
        <v>6.3265306122448975E-2</v>
      </c>
      <c r="L77" s="249">
        <f>COUNTIF('DETALLES UNIDADES'!$D$8:$D$987,FORMULAS!J77)</f>
        <v>62</v>
      </c>
      <c r="M77" s="9"/>
      <c r="Z77" s="11" t="s">
        <v>715</v>
      </c>
      <c r="AA77" s="121">
        <f t="shared" ref="AA77" si="41">AB77/$AB$77</f>
        <v>1</v>
      </c>
      <c r="AB77" s="11">
        <f>SUM(AB72:AB76)</f>
        <v>266</v>
      </c>
      <c r="AM77" s="161"/>
      <c r="AQ77" s="9" t="s">
        <v>986</v>
      </c>
      <c r="AR77" s="121">
        <f t="shared" si="38"/>
        <v>8.4693877551020411E-2</v>
      </c>
      <c r="AS77" s="153">
        <f>COUNTIF('DETALLES UNIDADES'!$Q$8:$Q$987,"&lt;751")-AS76-AS75-AS74-AS73-AS72-AS71-AS70-AS69-AS68-AS67-AS66</f>
        <v>83</v>
      </c>
    </row>
    <row r="78" spans="1:45" x14ac:dyDescent="0.25">
      <c r="A78" s="9"/>
      <c r="B78" s="9"/>
      <c r="I78" s="11">
        <f t="shared" si="22"/>
        <v>6</v>
      </c>
      <c r="J78" s="9">
        <v>2008</v>
      </c>
      <c r="K78" s="6">
        <f t="shared" si="25"/>
        <v>6.1224489795918366E-2</v>
      </c>
      <c r="L78" s="249">
        <f>COUNTIF('DETALLES UNIDADES'!$D$8:$D$987,FORMULAS!J78)</f>
        <v>60</v>
      </c>
      <c r="M78" s="9"/>
      <c r="AM78" s="161"/>
      <c r="AQ78" s="9" t="s">
        <v>987</v>
      </c>
      <c r="AR78" s="121">
        <f t="shared" si="38"/>
        <v>0.22959183673469388</v>
      </c>
      <c r="AS78" s="153">
        <f>COUNTIF('DETALLES UNIDADES'!$Q$8:$Q$987,"&lt;1001")-AS77-AS76-AS75-AS74-AS73-AS72-AS71-AS70-AS69-AS68-AS67-AS66</f>
        <v>225</v>
      </c>
    </row>
    <row r="79" spans="1:45" x14ac:dyDescent="0.25">
      <c r="A79" s="9"/>
      <c r="B79" s="9"/>
      <c r="I79" s="11">
        <f t="shared" si="22"/>
        <v>5</v>
      </c>
      <c r="J79" s="9">
        <v>2009</v>
      </c>
      <c r="K79" s="6">
        <f t="shared" si="25"/>
        <v>3.8775510204081633E-2</v>
      </c>
      <c r="L79" s="249">
        <f>COUNTIF('DETALLES UNIDADES'!$D$8:$D$987,FORMULAS!J79)</f>
        <v>38</v>
      </c>
      <c r="M79" s="9"/>
      <c r="AM79" s="161"/>
      <c r="AQ79" s="9" t="s">
        <v>988</v>
      </c>
      <c r="AR79" s="121">
        <f t="shared" si="38"/>
        <v>6.224489795918367E-2</v>
      </c>
      <c r="AS79" s="153">
        <f>COUNTIF('DETALLES UNIDADES'!$Q$8:$Q$987,"&gt;1001")</f>
        <v>61</v>
      </c>
    </row>
    <row r="80" spans="1:45" x14ac:dyDescent="0.25">
      <c r="A80" s="9"/>
      <c r="B80" s="9"/>
      <c r="I80" s="11">
        <f t="shared" si="22"/>
        <v>4</v>
      </c>
      <c r="J80" s="9">
        <v>2010</v>
      </c>
      <c r="K80" s="6">
        <f t="shared" si="25"/>
        <v>4.6938775510204082E-2</v>
      </c>
      <c r="L80" s="249">
        <f>COUNTIF('DETALLES UNIDADES'!$D$8:$D$987,FORMULAS!J80)</f>
        <v>46</v>
      </c>
      <c r="M80" s="9">
        <f>SUM(L76:L80)</f>
        <v>233</v>
      </c>
      <c r="AM80" s="161"/>
      <c r="AQ80" s="11" t="s">
        <v>715</v>
      </c>
      <c r="AR80" s="121">
        <f t="shared" si="38"/>
        <v>1</v>
      </c>
      <c r="AS80" s="153">
        <f>SUM(AS65:AS79)</f>
        <v>980</v>
      </c>
    </row>
    <row r="81" spans="2:45" x14ac:dyDescent="0.25">
      <c r="B81" s="9"/>
      <c r="I81" s="11">
        <f t="shared" si="22"/>
        <v>3</v>
      </c>
      <c r="J81" s="9">
        <v>2011</v>
      </c>
      <c r="K81" s="6">
        <f t="shared" si="25"/>
        <v>1.4285714285714285E-2</v>
      </c>
      <c r="L81" s="249">
        <f>COUNTIF('DETALLES UNIDADES'!$D$8:$D$987,FORMULAS!J81)</f>
        <v>14</v>
      </c>
      <c r="M81" s="9"/>
      <c r="AM81" s="161"/>
    </row>
    <row r="82" spans="2:45" x14ac:dyDescent="0.25">
      <c r="B82" s="9"/>
      <c r="I82" s="11">
        <f t="shared" si="22"/>
        <v>2</v>
      </c>
      <c r="J82" s="9">
        <v>2012</v>
      </c>
      <c r="K82" s="6">
        <f t="shared" si="25"/>
        <v>5.5102040816326532E-2</v>
      </c>
      <c r="L82" s="249">
        <f>COUNTIF('DETALLES UNIDADES'!$D$8:$D$987,FORMULAS!J82)</f>
        <v>54</v>
      </c>
      <c r="M82" s="9"/>
      <c r="AM82" s="161"/>
      <c r="AQ82" s="11" t="s">
        <v>989</v>
      </c>
    </row>
    <row r="83" spans="2:45" x14ac:dyDescent="0.25">
      <c r="B83" s="9"/>
      <c r="I83" s="11">
        <f>2014-J83</f>
        <v>1</v>
      </c>
      <c r="J83" s="9">
        <v>2013</v>
      </c>
      <c r="K83" s="6">
        <f t="shared" si="25"/>
        <v>1.6326530612244899E-2</v>
      </c>
      <c r="L83" s="249">
        <f>COUNTIF('DETALLES UNIDADES'!$D$8:$D$987,FORMULAS!J83)</f>
        <v>16</v>
      </c>
      <c r="M83" s="9"/>
      <c r="AM83" s="161"/>
      <c r="AQ83" s="249" t="s">
        <v>1000</v>
      </c>
      <c r="AR83" s="121">
        <f t="shared" ref="AR83:AR96" si="42">AS83/$AS$80</f>
        <v>1.3265306122448979E-2</v>
      </c>
      <c r="AS83" s="153">
        <f>COUNTIF('DETALLES UNIDADES'!$R$8:$R$987,"NO SABE")+COUNTIF('DETALLES UNIDADES'!$R$8:$R$987,"NO CONTESTA")</f>
        <v>13</v>
      </c>
    </row>
    <row r="84" spans="2:45" x14ac:dyDescent="0.25">
      <c r="B84" s="9"/>
      <c r="I84" s="11">
        <f t="shared" ref="I84" si="43">2014-J84</f>
        <v>0</v>
      </c>
      <c r="J84" s="9">
        <v>2014</v>
      </c>
      <c r="K84" s="6">
        <f t="shared" si="25"/>
        <v>1.5306122448979591E-2</v>
      </c>
      <c r="L84" s="249">
        <f>COUNTIF('DETALLES UNIDADES'!$D$8:$D$987,FORMULAS!J84)</f>
        <v>15</v>
      </c>
      <c r="M84" s="9"/>
      <c r="AM84" s="161"/>
      <c r="AQ84" s="9" t="s">
        <v>990</v>
      </c>
      <c r="AR84" s="121">
        <f t="shared" si="42"/>
        <v>2.0408163265306124E-3</v>
      </c>
      <c r="AS84" s="153">
        <f>COUNTIF('DETALLES UNIDADES'!$R$8:$R$987,"&lt;250")</f>
        <v>2</v>
      </c>
    </row>
    <row r="85" spans="2:45" x14ac:dyDescent="0.25">
      <c r="B85" s="9"/>
      <c r="J85" s="9"/>
      <c r="M85" s="9">
        <f>SUM(L81:L85)</f>
        <v>99</v>
      </c>
      <c r="AM85" s="161"/>
      <c r="AQ85" s="9" t="s">
        <v>980</v>
      </c>
      <c r="AR85" s="121">
        <f t="shared" si="42"/>
        <v>3.0612244897959182E-3</v>
      </c>
      <c r="AS85" s="153">
        <f>COUNTIF('DETALLES UNIDADES'!$R$8:$R$987,"&lt;301")-AS84</f>
        <v>3</v>
      </c>
    </row>
    <row r="86" spans="2:45" x14ac:dyDescent="0.25">
      <c r="B86" s="9"/>
      <c r="J86" s="9" t="s">
        <v>715</v>
      </c>
      <c r="K86" s="6">
        <f>L86/$L$86</f>
        <v>1</v>
      </c>
      <c r="L86" s="249">
        <f>SUM(L39:L85)</f>
        <v>980</v>
      </c>
      <c r="M86" s="9"/>
      <c r="AM86" s="161"/>
      <c r="AQ86" s="9" t="s">
        <v>999</v>
      </c>
      <c r="AR86" s="121">
        <f t="shared" si="42"/>
        <v>4.2857142857142858E-2</v>
      </c>
      <c r="AS86" s="153">
        <f>COUNTIF('DETALLES UNIDADES'!$R$8:$R$987,"&lt;401")-AS85-AS84</f>
        <v>42</v>
      </c>
    </row>
    <row r="87" spans="2:45" x14ac:dyDescent="0.25">
      <c r="B87" s="9"/>
      <c r="J87" s="9"/>
      <c r="M87" s="9"/>
      <c r="AM87" s="161"/>
      <c r="AQ87" s="9" t="s">
        <v>991</v>
      </c>
      <c r="AR87" s="121">
        <f t="shared" si="42"/>
        <v>1.5306122448979591E-2</v>
      </c>
      <c r="AS87" s="153">
        <f>COUNTIF('DETALLES UNIDADES'!$R$8:$R$987,"&lt;501")-AS86-AS85-AS84</f>
        <v>15</v>
      </c>
    </row>
    <row r="88" spans="2:45" x14ac:dyDescent="0.25">
      <c r="B88" s="9"/>
      <c r="J88" s="9"/>
      <c r="K88" s="249">
        <f>SUMPRODUCT(L39:L83,I39:I83)/L86</f>
        <v>14.059183673469388</v>
      </c>
      <c r="M88" s="9"/>
      <c r="AM88" s="199"/>
      <c r="AQ88" s="9" t="s">
        <v>992</v>
      </c>
      <c r="AR88" s="121">
        <f t="shared" si="42"/>
        <v>5.5102040816326532E-2</v>
      </c>
      <c r="AS88" s="153">
        <f>COUNTIF('DETALLES UNIDADES'!$R$8:$R$987,"&lt;751")-AS87-AS86-AS85-AS84</f>
        <v>54</v>
      </c>
    </row>
    <row r="89" spans="2:45" x14ac:dyDescent="0.25">
      <c r="B89" s="9"/>
      <c r="J89" s="9"/>
      <c r="M89" s="9"/>
      <c r="AM89" s="161"/>
      <c r="AQ89" s="9" t="s">
        <v>987</v>
      </c>
      <c r="AR89" s="121">
        <f t="shared" si="42"/>
        <v>6.4285714285714279E-2</v>
      </c>
      <c r="AS89" s="153">
        <f>COUNTIF('DETALLES UNIDADES'!$R$8:$R$987,"&lt;1001")-AS88-AS87-AS86-AS85-AS84</f>
        <v>63</v>
      </c>
    </row>
    <row r="90" spans="2:45" x14ac:dyDescent="0.25">
      <c r="B90" s="9"/>
      <c r="J90" s="1"/>
      <c r="M90" s="9"/>
      <c r="AM90" s="161"/>
      <c r="AQ90" s="9" t="s">
        <v>993</v>
      </c>
      <c r="AR90" s="121">
        <f t="shared" si="42"/>
        <v>9.8979591836734687E-2</v>
      </c>
      <c r="AS90" s="153">
        <f>COUNTIF('DETALLES UNIDADES'!$R$8:$R$987,"&lt;1501")-AS89-AS88-AS87-AS86-AS85-AS84</f>
        <v>97</v>
      </c>
    </row>
    <row r="91" spans="2:45" x14ac:dyDescent="0.25">
      <c r="B91" s="9"/>
      <c r="J91" s="1"/>
      <c r="M91" s="1"/>
      <c r="AM91" s="199"/>
      <c r="AQ91" s="9" t="s">
        <v>994</v>
      </c>
      <c r="AR91" s="121">
        <f t="shared" si="42"/>
        <v>0.14693877551020409</v>
      </c>
      <c r="AS91" s="153">
        <f>COUNTIF('DETALLES UNIDADES'!$R$8:$R$987,"&lt;2001")-AS90-AS89-AS88-AS87-AS86-AS85-AS84</f>
        <v>144</v>
      </c>
    </row>
    <row r="92" spans="2:45" x14ac:dyDescent="0.25">
      <c r="B92" s="9"/>
      <c r="J92" s="9"/>
      <c r="M92" s="1"/>
      <c r="AM92" s="161"/>
      <c r="AQ92" s="9" t="s">
        <v>995</v>
      </c>
      <c r="AR92" s="121">
        <f t="shared" si="42"/>
        <v>0.10204081632653061</v>
      </c>
      <c r="AS92" s="153">
        <f>COUNTIF('DETALLES UNIDADES'!$R$8:$R$987,"&lt;2501")-AS91-AS90-AS89-AS88-AS87-AS86-AS85-AS84</f>
        <v>100</v>
      </c>
    </row>
    <row r="93" spans="2:45" x14ac:dyDescent="0.25">
      <c r="B93" s="9"/>
      <c r="J93" s="9"/>
      <c r="M93" s="1"/>
      <c r="AM93" s="161"/>
      <c r="AQ93" s="1" t="s">
        <v>996</v>
      </c>
      <c r="AR93" s="121">
        <f t="shared" si="42"/>
        <v>9.7959183673469383E-2</v>
      </c>
      <c r="AS93" s="153">
        <f>COUNTIF('DETALLES UNIDADES'!$R$8:$R$987,"&lt;3001")-AS92-AS91-AS90-AS89-AS88-AS87-AS86-AS85-AS84</f>
        <v>96</v>
      </c>
    </row>
    <row r="94" spans="2:45" x14ac:dyDescent="0.25">
      <c r="B94" s="9"/>
      <c r="J94" s="9"/>
      <c r="M94" s="1"/>
      <c r="AM94" s="199"/>
      <c r="AQ94" s="9" t="s">
        <v>997</v>
      </c>
      <c r="AR94" s="121">
        <f t="shared" si="42"/>
        <v>0.15510204081632653</v>
      </c>
      <c r="AS94" s="153">
        <f>COUNTIF('DETALLES UNIDADES'!$R$8:$R$987,"&lt;4001")-AS93-AS92-AS91-AS90-AS89-AS88-AS87-AS86-AS85-AS84</f>
        <v>152</v>
      </c>
    </row>
    <row r="95" spans="2:45" x14ac:dyDescent="0.25">
      <c r="B95" s="9"/>
      <c r="J95" s="9"/>
      <c r="M95" s="1"/>
      <c r="AM95" s="199"/>
      <c r="AQ95" s="9" t="s">
        <v>998</v>
      </c>
      <c r="AR95" s="121">
        <f t="shared" si="42"/>
        <v>0.20306122448979591</v>
      </c>
      <c r="AS95" s="153">
        <f>COUNTIF('DETALLES UNIDADES'!$R$8:$R$987,"&gt;4000")</f>
        <v>199</v>
      </c>
    </row>
    <row r="96" spans="2:45" x14ac:dyDescent="0.25">
      <c r="B96" s="9"/>
      <c r="J96" s="9"/>
      <c r="M96" s="1"/>
      <c r="AM96" s="199"/>
      <c r="AQ96" s="11" t="s">
        <v>715</v>
      </c>
      <c r="AR96" s="121">
        <f t="shared" si="42"/>
        <v>1</v>
      </c>
      <c r="AS96" s="153">
        <f>SUM(AS83:AS95)</f>
        <v>980</v>
      </c>
    </row>
    <row r="97" spans="2:47" x14ac:dyDescent="0.25">
      <c r="B97" s="9"/>
      <c r="J97" s="9"/>
      <c r="M97" s="1"/>
      <c r="AM97" s="161"/>
    </row>
    <row r="98" spans="2:47" x14ac:dyDescent="0.25">
      <c r="B98" s="9"/>
      <c r="J98" s="9"/>
      <c r="M98" s="1"/>
      <c r="AM98" s="161"/>
    </row>
    <row r="99" spans="2:47" x14ac:dyDescent="0.25">
      <c r="B99" s="9"/>
      <c r="J99" s="9"/>
      <c r="M99" s="1"/>
      <c r="AM99" s="161"/>
      <c r="AR99" s="249"/>
      <c r="AS99" s="249"/>
      <c r="AT99" s="249"/>
      <c r="AU99" s="249"/>
    </row>
    <row r="100" spans="2:47" x14ac:dyDescent="0.25">
      <c r="B100" s="9"/>
      <c r="J100" s="9"/>
      <c r="M100" s="1"/>
      <c r="AM100" s="199"/>
      <c r="AR100" s="121"/>
    </row>
    <row r="101" spans="2:47" x14ac:dyDescent="0.25">
      <c r="B101" s="9"/>
      <c r="J101" s="9"/>
      <c r="M101" s="1"/>
      <c r="AM101" s="161"/>
      <c r="AR101" s="121"/>
    </row>
    <row r="102" spans="2:47" x14ac:dyDescent="0.25">
      <c r="B102" s="10"/>
      <c r="J102" s="9"/>
      <c r="M102" s="1"/>
      <c r="AM102" s="199"/>
      <c r="AR102" s="121"/>
    </row>
    <row r="103" spans="2:47" x14ac:dyDescent="0.25">
      <c r="B103" s="9"/>
      <c r="J103" s="9"/>
      <c r="M103" s="1"/>
      <c r="AM103" s="199"/>
      <c r="AR103" s="121"/>
    </row>
    <row r="104" spans="2:47" x14ac:dyDescent="0.25">
      <c r="B104" s="9"/>
      <c r="J104" s="9"/>
      <c r="M104" s="1"/>
      <c r="AM104" s="199"/>
    </row>
    <row r="105" spans="2:47" x14ac:dyDescent="0.25">
      <c r="B105" s="9"/>
      <c r="J105" s="9"/>
      <c r="M105" s="1"/>
      <c r="AM105" s="199"/>
    </row>
    <row r="106" spans="2:47" x14ac:dyDescent="0.25">
      <c r="B106" s="9"/>
      <c r="J106" s="9"/>
      <c r="M106" s="1"/>
      <c r="AM106" s="199"/>
    </row>
    <row r="107" spans="2:47" x14ac:dyDescent="0.25">
      <c r="B107" s="9"/>
      <c r="J107" s="9"/>
      <c r="M107" s="1"/>
      <c r="AM107" s="199"/>
    </row>
    <row r="108" spans="2:47" x14ac:dyDescent="0.25">
      <c r="B108" s="9"/>
      <c r="J108" s="9"/>
      <c r="M108" s="1"/>
      <c r="AM108" s="161"/>
    </row>
    <row r="109" spans="2:47" x14ac:dyDescent="0.25">
      <c r="B109" s="9"/>
      <c r="J109" s="9"/>
      <c r="M109" s="1"/>
      <c r="AM109" s="161"/>
    </row>
    <row r="110" spans="2:47" x14ac:dyDescent="0.25">
      <c r="B110" s="9"/>
      <c r="J110" s="9"/>
      <c r="M110" s="1"/>
      <c r="AM110" s="161"/>
    </row>
    <row r="111" spans="2:47" x14ac:dyDescent="0.25">
      <c r="B111" s="9"/>
      <c r="J111" s="9"/>
      <c r="M111" s="1"/>
      <c r="AM111" s="161"/>
    </row>
    <row r="112" spans="2:47" x14ac:dyDescent="0.25">
      <c r="B112" s="9"/>
      <c r="J112" s="9"/>
      <c r="M112" s="1"/>
      <c r="AM112" s="199"/>
    </row>
    <row r="113" spans="2:39" x14ac:dyDescent="0.25">
      <c r="B113" s="9"/>
      <c r="J113" s="9"/>
      <c r="M113" s="1"/>
      <c r="AM113" s="161"/>
    </row>
    <row r="114" spans="2:39" x14ac:dyDescent="0.25">
      <c r="B114" s="9"/>
      <c r="J114" s="9"/>
      <c r="M114" s="1"/>
      <c r="AM114" s="199"/>
    </row>
    <row r="115" spans="2:39" x14ac:dyDescent="0.25">
      <c r="B115" s="9"/>
      <c r="J115" s="1"/>
      <c r="M115" s="1"/>
      <c r="AM115" s="199"/>
    </row>
    <row r="116" spans="2:39" x14ac:dyDescent="0.25">
      <c r="B116" s="9"/>
      <c r="J116" s="9"/>
      <c r="M116" s="1"/>
      <c r="AM116" s="161"/>
    </row>
    <row r="117" spans="2:39" x14ac:dyDescent="0.25">
      <c r="B117" s="9"/>
      <c r="J117" s="9"/>
      <c r="M117" s="1"/>
      <c r="AM117" s="199"/>
    </row>
    <row r="118" spans="2:39" x14ac:dyDescent="0.25">
      <c r="B118" s="9"/>
      <c r="J118" s="9"/>
      <c r="M118" s="1"/>
      <c r="AM118" s="161"/>
    </row>
    <row r="119" spans="2:39" x14ac:dyDescent="0.25">
      <c r="B119" s="9"/>
      <c r="J119" s="1"/>
      <c r="M119" s="1"/>
      <c r="AM119" s="161"/>
    </row>
    <row r="120" spans="2:39" x14ac:dyDescent="0.25">
      <c r="B120" s="9"/>
      <c r="J120" s="1"/>
      <c r="M120" s="1"/>
      <c r="AM120" s="199"/>
    </row>
    <row r="121" spans="2:39" x14ac:dyDescent="0.25">
      <c r="B121" s="9"/>
      <c r="J121" s="1"/>
      <c r="M121" s="1"/>
      <c r="AM121" s="199"/>
    </row>
    <row r="122" spans="2:39" x14ac:dyDescent="0.25">
      <c r="B122" s="9"/>
      <c r="J122" s="1"/>
      <c r="M122" s="1"/>
    </row>
    <row r="123" spans="2:39" x14ac:dyDescent="0.25">
      <c r="B123" s="9"/>
      <c r="J123" s="9"/>
      <c r="M123" s="1"/>
    </row>
    <row r="124" spans="2:39" x14ac:dyDescent="0.25">
      <c r="B124" s="9"/>
      <c r="J124" s="9"/>
      <c r="M124" s="1"/>
    </row>
    <row r="125" spans="2:39" x14ac:dyDescent="0.25">
      <c r="B125" s="9"/>
      <c r="J125" s="1"/>
      <c r="M125" s="1"/>
    </row>
    <row r="126" spans="2:39" x14ac:dyDescent="0.25">
      <c r="B126" s="9"/>
      <c r="J126" s="1"/>
      <c r="M126" s="1"/>
    </row>
    <row r="127" spans="2:39" x14ac:dyDescent="0.25">
      <c r="B127" s="9"/>
      <c r="J127" s="9"/>
      <c r="M127" s="1"/>
    </row>
    <row r="128" spans="2:39" x14ac:dyDescent="0.25">
      <c r="B128" s="9"/>
      <c r="J128" s="9"/>
      <c r="M128" s="1"/>
    </row>
    <row r="129" spans="2:13" x14ac:dyDescent="0.25">
      <c r="B129" s="9"/>
      <c r="J129" s="9"/>
      <c r="M129" s="1"/>
    </row>
    <row r="130" spans="2:13" x14ac:dyDescent="0.25">
      <c r="B130" s="9"/>
      <c r="J130" s="9"/>
      <c r="M130" s="9"/>
    </row>
    <row r="131" spans="2:13" x14ac:dyDescent="0.25">
      <c r="B131" s="9"/>
      <c r="J131" s="9"/>
      <c r="M131" s="9"/>
    </row>
    <row r="132" spans="2:13" x14ac:dyDescent="0.25">
      <c r="B132" s="9"/>
      <c r="J132" s="9"/>
      <c r="M132" s="9"/>
    </row>
    <row r="133" spans="2:13" x14ac:dyDescent="0.25">
      <c r="B133" s="10"/>
      <c r="J133" s="1"/>
      <c r="M133" s="9"/>
    </row>
    <row r="134" spans="2:13" x14ac:dyDescent="0.25">
      <c r="B134" s="9"/>
      <c r="J134" s="1"/>
      <c r="M134" s="9"/>
    </row>
    <row r="135" spans="2:13" x14ac:dyDescent="0.25">
      <c r="B135" s="9"/>
      <c r="J135" s="1"/>
      <c r="M135" s="9"/>
    </row>
    <row r="136" spans="2:13" x14ac:dyDescent="0.25">
      <c r="B136" s="9"/>
      <c r="J136" s="9"/>
      <c r="M136" s="9"/>
    </row>
    <row r="137" spans="2:13" x14ac:dyDescent="0.25">
      <c r="B137" s="9"/>
      <c r="J137" s="9"/>
      <c r="M137" s="9"/>
    </row>
    <row r="138" spans="2:13" x14ac:dyDescent="0.25">
      <c r="B138" s="9"/>
      <c r="J138" s="9"/>
      <c r="M138" s="9"/>
    </row>
    <row r="139" spans="2:13" x14ac:dyDescent="0.25">
      <c r="B139" s="9"/>
      <c r="J139" s="9"/>
      <c r="M139" s="9"/>
    </row>
    <row r="140" spans="2:13" x14ac:dyDescent="0.25">
      <c r="B140" s="9"/>
      <c r="J140" s="9"/>
      <c r="M140" s="9"/>
    </row>
    <row r="141" spans="2:13" x14ac:dyDescent="0.25">
      <c r="B141" s="9"/>
      <c r="J141" s="9"/>
      <c r="M141" s="9"/>
    </row>
    <row r="142" spans="2:13" x14ac:dyDescent="0.25">
      <c r="B142" s="9"/>
      <c r="J142" s="9"/>
      <c r="M142" s="9"/>
    </row>
    <row r="143" spans="2:13" x14ac:dyDescent="0.25">
      <c r="B143" s="9"/>
      <c r="J143" s="9"/>
      <c r="M143" s="9"/>
    </row>
    <row r="144" spans="2:13" x14ac:dyDescent="0.25">
      <c r="B144" s="9"/>
      <c r="J144" s="1"/>
      <c r="M144" s="9"/>
    </row>
    <row r="145" spans="2:13" x14ac:dyDescent="0.25">
      <c r="B145" s="9"/>
      <c r="J145" s="1"/>
      <c r="M145" s="9"/>
    </row>
    <row r="146" spans="2:13" x14ac:dyDescent="0.25">
      <c r="B146" s="9"/>
      <c r="J146" s="9"/>
      <c r="M146" s="9"/>
    </row>
    <row r="147" spans="2:13" x14ac:dyDescent="0.25">
      <c r="B147" s="9"/>
      <c r="J147" s="9"/>
      <c r="M147" s="9"/>
    </row>
    <row r="148" spans="2:13" x14ac:dyDescent="0.25">
      <c r="B148" s="9"/>
      <c r="J148" s="9"/>
      <c r="M148" s="9"/>
    </row>
    <row r="149" spans="2:13" x14ac:dyDescent="0.25">
      <c r="B149" s="9"/>
      <c r="J149" s="9"/>
      <c r="M149" s="9"/>
    </row>
    <row r="150" spans="2:13" x14ac:dyDescent="0.25">
      <c r="B150" s="9"/>
      <c r="J150" s="1"/>
      <c r="M150" s="9"/>
    </row>
    <row r="151" spans="2:13" x14ac:dyDescent="0.25">
      <c r="B151" s="9"/>
      <c r="J151" s="1"/>
      <c r="M151" s="9"/>
    </row>
    <row r="152" spans="2:13" x14ac:dyDescent="0.25">
      <c r="B152" s="9"/>
      <c r="J152" s="9"/>
      <c r="M152" s="9"/>
    </row>
    <row r="153" spans="2:13" x14ac:dyDescent="0.25">
      <c r="B153" s="9"/>
      <c r="J153" s="9"/>
      <c r="M153" s="9"/>
    </row>
    <row r="154" spans="2:13" x14ac:dyDescent="0.25">
      <c r="B154" s="9"/>
      <c r="J154" s="9"/>
      <c r="M154" s="9"/>
    </row>
    <row r="155" spans="2:13" x14ac:dyDescent="0.25">
      <c r="B155" s="9"/>
      <c r="J155" s="9"/>
      <c r="M155" s="9"/>
    </row>
    <row r="156" spans="2:13" x14ac:dyDescent="0.25">
      <c r="B156" s="9"/>
      <c r="J156" s="9"/>
      <c r="M156" s="9"/>
    </row>
    <row r="157" spans="2:13" x14ac:dyDescent="0.25">
      <c r="B157" s="9"/>
      <c r="J157" s="9"/>
      <c r="M157" s="9"/>
    </row>
    <row r="158" spans="2:13" x14ac:dyDescent="0.25">
      <c r="B158" s="9"/>
      <c r="J158" s="9"/>
      <c r="M158" s="9"/>
    </row>
    <row r="159" spans="2:13" x14ac:dyDescent="0.25">
      <c r="B159" s="9"/>
      <c r="J159" s="9"/>
      <c r="M159" s="9"/>
    </row>
    <row r="160" spans="2:13" x14ac:dyDescent="0.25">
      <c r="B160" s="9"/>
      <c r="J160" s="9"/>
      <c r="M160" s="9"/>
    </row>
    <row r="161" spans="2:13" x14ac:dyDescent="0.25">
      <c r="B161" s="9"/>
      <c r="J161" s="9"/>
      <c r="M161" s="9"/>
    </row>
    <row r="162" spans="2:13" x14ac:dyDescent="0.25">
      <c r="B162" s="9"/>
      <c r="J162" s="9"/>
      <c r="M162" s="9"/>
    </row>
    <row r="163" spans="2:13" x14ac:dyDescent="0.25">
      <c r="B163" s="9"/>
      <c r="J163" s="9"/>
      <c r="M163" s="9"/>
    </row>
    <row r="164" spans="2:13" x14ac:dyDescent="0.25">
      <c r="B164" s="9"/>
      <c r="J164" s="9"/>
      <c r="M164" s="9"/>
    </row>
    <row r="165" spans="2:13" x14ac:dyDescent="0.25">
      <c r="B165" s="9"/>
      <c r="J165" s="9"/>
      <c r="M165" s="9"/>
    </row>
    <row r="166" spans="2:13" x14ac:dyDescent="0.25">
      <c r="B166" s="9"/>
      <c r="J166" s="9"/>
      <c r="M166" s="9"/>
    </row>
    <row r="167" spans="2:13" x14ac:dyDescent="0.25">
      <c r="B167" s="9"/>
      <c r="J167" s="9"/>
      <c r="M167" s="9"/>
    </row>
    <row r="168" spans="2:13" x14ac:dyDescent="0.25">
      <c r="B168" s="9"/>
      <c r="J168" s="1"/>
      <c r="M168" s="9"/>
    </row>
    <row r="169" spans="2:13" x14ac:dyDescent="0.25">
      <c r="B169" s="9"/>
      <c r="J169" s="1"/>
      <c r="M169" s="9"/>
    </row>
    <row r="170" spans="2:13" x14ac:dyDescent="0.25">
      <c r="B170" s="9"/>
      <c r="J170" s="1"/>
      <c r="M170" s="9"/>
    </row>
    <row r="171" spans="2:13" x14ac:dyDescent="0.25">
      <c r="B171" s="9"/>
      <c r="J171" s="1"/>
      <c r="M171" s="9"/>
    </row>
    <row r="172" spans="2:13" x14ac:dyDescent="0.25">
      <c r="B172" s="9"/>
      <c r="J172" s="1"/>
      <c r="M172" s="9"/>
    </row>
    <row r="173" spans="2:13" x14ac:dyDescent="0.25">
      <c r="B173" s="9"/>
      <c r="J173" s="1"/>
      <c r="M173" s="9"/>
    </row>
    <row r="174" spans="2:13" x14ac:dyDescent="0.25">
      <c r="B174" s="9"/>
      <c r="J174" s="1"/>
      <c r="M174" s="9"/>
    </row>
    <row r="175" spans="2:13" x14ac:dyDescent="0.25">
      <c r="B175" s="9"/>
      <c r="J175" s="9"/>
      <c r="M175" s="9"/>
    </row>
    <row r="176" spans="2:13" x14ac:dyDescent="0.25">
      <c r="B176" s="9"/>
      <c r="J176" s="9"/>
      <c r="M176" s="9"/>
    </row>
    <row r="177" spans="2:13" x14ac:dyDescent="0.25">
      <c r="B177" s="9"/>
      <c r="J177" s="9"/>
      <c r="M177" s="9"/>
    </row>
    <row r="178" spans="2:13" x14ac:dyDescent="0.25">
      <c r="B178" s="9"/>
      <c r="J178" s="9"/>
      <c r="M178" s="9"/>
    </row>
    <row r="179" spans="2:13" x14ac:dyDescent="0.25">
      <c r="B179" s="9"/>
      <c r="J179" s="9"/>
      <c r="M179" s="9"/>
    </row>
    <row r="180" spans="2:13" x14ac:dyDescent="0.25">
      <c r="B180" s="9"/>
      <c r="J180" s="9"/>
      <c r="M180" s="9"/>
    </row>
    <row r="181" spans="2:13" x14ac:dyDescent="0.25">
      <c r="B181" s="9"/>
      <c r="J181" s="9"/>
      <c r="M181" s="9"/>
    </row>
    <row r="182" spans="2:13" x14ac:dyDescent="0.25">
      <c r="B182" s="9"/>
      <c r="J182" s="9"/>
      <c r="M182" s="9"/>
    </row>
    <row r="183" spans="2:13" x14ac:dyDescent="0.25">
      <c r="B183" s="9"/>
      <c r="J183" s="9"/>
      <c r="M183" s="9"/>
    </row>
    <row r="184" spans="2:13" x14ac:dyDescent="0.25">
      <c r="B184" s="9"/>
      <c r="J184" s="9"/>
      <c r="M184" s="9"/>
    </row>
    <row r="185" spans="2:13" x14ac:dyDescent="0.25">
      <c r="B185" s="9"/>
      <c r="J185" s="9"/>
      <c r="M185" s="9"/>
    </row>
    <row r="186" spans="2:13" x14ac:dyDescent="0.25">
      <c r="B186" s="9"/>
      <c r="J186" s="9"/>
      <c r="M186" s="9"/>
    </row>
    <row r="187" spans="2:13" x14ac:dyDescent="0.25">
      <c r="B187" s="9"/>
      <c r="J187" s="1"/>
      <c r="M187" s="9"/>
    </row>
    <row r="188" spans="2:13" x14ac:dyDescent="0.25">
      <c r="B188" s="9"/>
      <c r="J188" s="1"/>
      <c r="M188" s="9"/>
    </row>
    <row r="189" spans="2:13" x14ac:dyDescent="0.25">
      <c r="B189" s="9"/>
      <c r="J189" s="1"/>
      <c r="M189" s="9"/>
    </row>
    <row r="190" spans="2:13" x14ac:dyDescent="0.25">
      <c r="B190" s="9"/>
      <c r="J190" s="1"/>
      <c r="M190" s="9"/>
    </row>
    <row r="191" spans="2:13" x14ac:dyDescent="0.25">
      <c r="B191" s="9"/>
      <c r="J191" s="1"/>
      <c r="M191" s="9"/>
    </row>
    <row r="192" spans="2:13" x14ac:dyDescent="0.25">
      <c r="B192" s="9"/>
      <c r="J192" s="1"/>
      <c r="M192" s="9"/>
    </row>
    <row r="193" spans="2:13" x14ac:dyDescent="0.25">
      <c r="B193" s="9"/>
      <c r="J193" s="1"/>
      <c r="M193" s="9"/>
    </row>
    <row r="194" spans="2:13" x14ac:dyDescent="0.25">
      <c r="B194" s="9"/>
      <c r="J194" s="1"/>
      <c r="M194" s="9"/>
    </row>
    <row r="195" spans="2:13" x14ac:dyDescent="0.25">
      <c r="B195" s="9"/>
      <c r="J195" s="1"/>
      <c r="M195" s="9"/>
    </row>
    <row r="196" spans="2:13" x14ac:dyDescent="0.25">
      <c r="B196" s="9"/>
      <c r="J196" s="9"/>
      <c r="M196" s="9"/>
    </row>
    <row r="197" spans="2:13" x14ac:dyDescent="0.25">
      <c r="B197" s="9"/>
      <c r="J197" s="9"/>
      <c r="M197" s="9"/>
    </row>
    <row r="198" spans="2:13" x14ac:dyDescent="0.25">
      <c r="B198" s="9"/>
      <c r="J198" s="9"/>
      <c r="M198" s="9"/>
    </row>
    <row r="199" spans="2:13" x14ac:dyDescent="0.25">
      <c r="B199" s="9"/>
      <c r="J199" s="9"/>
      <c r="M199" s="9"/>
    </row>
    <row r="200" spans="2:13" x14ac:dyDescent="0.25">
      <c r="B200" s="9"/>
      <c r="J200" s="9"/>
      <c r="M200" s="9"/>
    </row>
    <row r="201" spans="2:13" x14ac:dyDescent="0.25">
      <c r="B201" s="9"/>
      <c r="J201" s="9"/>
      <c r="M201" s="9"/>
    </row>
    <row r="202" spans="2:13" x14ac:dyDescent="0.25">
      <c r="B202" s="9"/>
      <c r="J202" s="9"/>
      <c r="M202" s="9"/>
    </row>
    <row r="203" spans="2:13" x14ac:dyDescent="0.25">
      <c r="B203" s="9"/>
      <c r="J203" s="9"/>
      <c r="M203" s="9"/>
    </row>
    <row r="204" spans="2:13" x14ac:dyDescent="0.25">
      <c r="B204" s="9"/>
      <c r="J204" s="9"/>
      <c r="M204" s="9"/>
    </row>
    <row r="205" spans="2:13" x14ac:dyDescent="0.25">
      <c r="B205" s="9"/>
      <c r="J205" s="9"/>
      <c r="M205" s="9"/>
    </row>
    <row r="206" spans="2:13" x14ac:dyDescent="0.25">
      <c r="B206" s="9"/>
      <c r="J206" s="9"/>
      <c r="M206" s="9"/>
    </row>
    <row r="207" spans="2:13" x14ac:dyDescent="0.25">
      <c r="B207" s="9"/>
      <c r="J207" s="9"/>
      <c r="M207" s="9"/>
    </row>
    <row r="208" spans="2:13" x14ac:dyDescent="0.25">
      <c r="B208" s="9"/>
      <c r="J208" s="9"/>
      <c r="M208" s="9"/>
    </row>
    <row r="209" spans="2:13" x14ac:dyDescent="0.25">
      <c r="B209" s="9"/>
      <c r="J209" s="9"/>
      <c r="M209" s="9"/>
    </row>
    <row r="210" spans="2:13" x14ac:dyDescent="0.25">
      <c r="B210" s="9"/>
      <c r="J210" s="9"/>
      <c r="M210" s="9"/>
    </row>
    <row r="211" spans="2:13" x14ac:dyDescent="0.25">
      <c r="B211" s="9"/>
      <c r="J211" s="1"/>
      <c r="M211" s="9"/>
    </row>
    <row r="212" spans="2:13" x14ac:dyDescent="0.25">
      <c r="B212" s="9"/>
      <c r="J212" s="1"/>
      <c r="M212" s="9"/>
    </row>
    <row r="213" spans="2:13" x14ac:dyDescent="0.25">
      <c r="B213" s="9"/>
      <c r="J213" s="1"/>
      <c r="M213" s="9"/>
    </row>
    <row r="214" spans="2:13" x14ac:dyDescent="0.25">
      <c r="B214" s="9"/>
      <c r="J214" s="1"/>
      <c r="M214" s="9"/>
    </row>
    <row r="215" spans="2:13" x14ac:dyDescent="0.25">
      <c r="B215" s="9"/>
      <c r="J215" s="9"/>
      <c r="M215" s="9"/>
    </row>
    <row r="216" spans="2:13" x14ac:dyDescent="0.25">
      <c r="B216" s="9"/>
      <c r="J216" s="9"/>
      <c r="M216" s="9"/>
    </row>
    <row r="217" spans="2:13" x14ac:dyDescent="0.25">
      <c r="B217" s="9"/>
      <c r="J217" s="9"/>
      <c r="M217" s="9"/>
    </row>
    <row r="218" spans="2:13" x14ac:dyDescent="0.25">
      <c r="B218" s="9"/>
      <c r="J218" s="9"/>
      <c r="M218" s="9"/>
    </row>
    <row r="219" spans="2:13" x14ac:dyDescent="0.25">
      <c r="B219" s="9"/>
      <c r="J219" s="9"/>
      <c r="M219" s="9"/>
    </row>
    <row r="220" spans="2:13" x14ac:dyDescent="0.25">
      <c r="B220" s="9"/>
      <c r="J220" s="9"/>
      <c r="M220" s="9"/>
    </row>
    <row r="221" spans="2:13" x14ac:dyDescent="0.25">
      <c r="B221" s="9"/>
      <c r="J221" s="9"/>
      <c r="M221" s="9"/>
    </row>
    <row r="222" spans="2:13" x14ac:dyDescent="0.25">
      <c r="B222" s="9"/>
      <c r="J222" s="9"/>
      <c r="M222" s="9"/>
    </row>
    <row r="223" spans="2:13" x14ac:dyDescent="0.25">
      <c r="B223" s="9"/>
      <c r="J223" s="9"/>
      <c r="M223" s="9"/>
    </row>
    <row r="224" spans="2:13" x14ac:dyDescent="0.25">
      <c r="B224" s="9"/>
      <c r="J224" s="9"/>
      <c r="M224" s="9"/>
    </row>
    <row r="225" spans="2:13" x14ac:dyDescent="0.25">
      <c r="B225" s="9"/>
      <c r="J225" s="1"/>
      <c r="M225" s="9"/>
    </row>
    <row r="226" spans="2:13" x14ac:dyDescent="0.25">
      <c r="B226" s="10"/>
      <c r="J226" s="1"/>
      <c r="M226" s="9"/>
    </row>
    <row r="227" spans="2:13" x14ac:dyDescent="0.25">
      <c r="B227" s="10"/>
      <c r="J227" s="1"/>
      <c r="M227" s="9"/>
    </row>
    <row r="228" spans="2:13" x14ac:dyDescent="0.25">
      <c r="B228" s="9"/>
      <c r="J228" s="1"/>
      <c r="M228" s="9"/>
    </row>
    <row r="229" spans="2:13" x14ac:dyDescent="0.25">
      <c r="B229" s="9"/>
      <c r="J229" s="1"/>
      <c r="M229" s="9"/>
    </row>
    <row r="230" spans="2:13" x14ac:dyDescent="0.25">
      <c r="B230" s="9"/>
      <c r="J230" s="1"/>
      <c r="M230" s="9"/>
    </row>
    <row r="231" spans="2:13" x14ac:dyDescent="0.25">
      <c r="B231" s="9"/>
      <c r="J231" s="1"/>
      <c r="M231" s="9"/>
    </row>
    <row r="232" spans="2:13" x14ac:dyDescent="0.25">
      <c r="B232" s="9"/>
      <c r="J232" s="9"/>
      <c r="M232" s="9"/>
    </row>
    <row r="233" spans="2:13" x14ac:dyDescent="0.25">
      <c r="B233" s="9"/>
      <c r="J233" s="9"/>
      <c r="M233" s="9"/>
    </row>
    <row r="234" spans="2:13" x14ac:dyDescent="0.25">
      <c r="B234" s="9"/>
      <c r="J234" s="9"/>
      <c r="M234" s="9"/>
    </row>
    <row r="235" spans="2:13" x14ac:dyDescent="0.25">
      <c r="B235" s="9"/>
      <c r="J235" s="9"/>
      <c r="M235" s="9"/>
    </row>
    <row r="236" spans="2:13" x14ac:dyDescent="0.25">
      <c r="B236" s="9"/>
      <c r="J236" s="9"/>
      <c r="M236" s="9"/>
    </row>
    <row r="237" spans="2:13" x14ac:dyDescent="0.25">
      <c r="B237" s="9"/>
      <c r="J237" s="9"/>
      <c r="M237" s="9"/>
    </row>
    <row r="238" spans="2:13" x14ac:dyDescent="0.25">
      <c r="B238" s="9"/>
      <c r="J238" s="9"/>
      <c r="M238" s="9"/>
    </row>
    <row r="239" spans="2:13" x14ac:dyDescent="0.25">
      <c r="B239" s="9"/>
      <c r="J239" s="9"/>
      <c r="M239" s="9"/>
    </row>
    <row r="240" spans="2:13" x14ac:dyDescent="0.25">
      <c r="B240" s="9"/>
      <c r="J240" s="9"/>
      <c r="M240" s="9"/>
    </row>
    <row r="241" spans="2:13" x14ac:dyDescent="0.25">
      <c r="B241" s="9"/>
      <c r="J241" s="9"/>
      <c r="M241" s="9"/>
    </row>
    <row r="242" spans="2:13" x14ac:dyDescent="0.25">
      <c r="B242" s="9"/>
      <c r="J242" s="9"/>
      <c r="M242" s="9"/>
    </row>
    <row r="243" spans="2:13" x14ac:dyDescent="0.25">
      <c r="B243" s="9"/>
      <c r="J243" s="9"/>
      <c r="M243" s="9"/>
    </row>
    <row r="244" spans="2:13" x14ac:dyDescent="0.25">
      <c r="B244" s="9"/>
      <c r="J244" s="9"/>
      <c r="M244" s="9"/>
    </row>
    <row r="245" spans="2:13" x14ac:dyDescent="0.25">
      <c r="B245" s="9"/>
      <c r="J245" s="9"/>
      <c r="M245" s="9"/>
    </row>
    <row r="246" spans="2:13" x14ac:dyDescent="0.25">
      <c r="B246" s="9"/>
      <c r="J246" s="9"/>
      <c r="M246" s="9"/>
    </row>
    <row r="247" spans="2:13" x14ac:dyDescent="0.25">
      <c r="B247" s="9"/>
      <c r="J247" s="9"/>
      <c r="M247" s="9"/>
    </row>
    <row r="248" spans="2:13" x14ac:dyDescent="0.25">
      <c r="B248" s="9"/>
      <c r="J248" s="1"/>
      <c r="M248" s="9"/>
    </row>
    <row r="249" spans="2:13" x14ac:dyDescent="0.25">
      <c r="B249" s="9"/>
      <c r="J249" s="1"/>
      <c r="M249" s="9"/>
    </row>
    <row r="250" spans="2:13" x14ac:dyDescent="0.25">
      <c r="B250" s="9"/>
      <c r="J250" s="1"/>
      <c r="M250" s="9"/>
    </row>
    <row r="251" spans="2:13" x14ac:dyDescent="0.25">
      <c r="B251" s="9"/>
      <c r="J251" s="9"/>
      <c r="M251" s="9"/>
    </row>
    <row r="252" spans="2:13" x14ac:dyDescent="0.25">
      <c r="B252" s="9"/>
      <c r="J252" s="9"/>
      <c r="M252" s="9"/>
    </row>
    <row r="253" spans="2:13" x14ac:dyDescent="0.25">
      <c r="B253" s="9"/>
      <c r="J253" s="9"/>
      <c r="M253" s="9"/>
    </row>
    <row r="254" spans="2:13" x14ac:dyDescent="0.25">
      <c r="B254" s="9"/>
      <c r="J254" s="9"/>
      <c r="M254" s="9"/>
    </row>
    <row r="255" spans="2:13" x14ac:dyDescent="0.25">
      <c r="B255" s="9"/>
      <c r="J255" s="9"/>
      <c r="M255" s="9"/>
    </row>
    <row r="256" spans="2:13" x14ac:dyDescent="0.25">
      <c r="B256" s="9"/>
      <c r="J256" s="9"/>
      <c r="M256" s="9"/>
    </row>
    <row r="257" spans="2:13" x14ac:dyDescent="0.25">
      <c r="B257" s="9"/>
      <c r="J257" s="9"/>
      <c r="M257" s="9"/>
    </row>
    <row r="258" spans="2:13" x14ac:dyDescent="0.25">
      <c r="B258" s="9"/>
      <c r="J258" s="9"/>
      <c r="M258" s="9"/>
    </row>
    <row r="259" spans="2:13" x14ac:dyDescent="0.25">
      <c r="B259" s="9"/>
      <c r="J259" s="9"/>
      <c r="M259" s="9"/>
    </row>
    <row r="260" spans="2:13" x14ac:dyDescent="0.25">
      <c r="B260" s="9"/>
      <c r="J260" s="9"/>
      <c r="M260" s="9"/>
    </row>
    <row r="261" spans="2:13" x14ac:dyDescent="0.25">
      <c r="B261" s="9"/>
      <c r="J261" s="9"/>
      <c r="M261" s="9"/>
    </row>
    <row r="262" spans="2:13" x14ac:dyDescent="0.25">
      <c r="B262" s="9"/>
      <c r="J262" s="9"/>
      <c r="M262" s="9"/>
    </row>
    <row r="263" spans="2:13" x14ac:dyDescent="0.25">
      <c r="B263" s="9"/>
      <c r="J263" s="1"/>
      <c r="M263" s="9"/>
    </row>
    <row r="264" spans="2:13" x14ac:dyDescent="0.25">
      <c r="B264" s="9"/>
      <c r="J264" s="1"/>
      <c r="M264" s="9"/>
    </row>
    <row r="265" spans="2:13" x14ac:dyDescent="0.25">
      <c r="B265" s="9"/>
      <c r="J265" s="1"/>
      <c r="M265" s="9"/>
    </row>
    <row r="266" spans="2:13" x14ac:dyDescent="0.25">
      <c r="B266" s="9"/>
      <c r="J266" s="1"/>
      <c r="M266" s="9"/>
    </row>
    <row r="267" spans="2:13" x14ac:dyDescent="0.25">
      <c r="B267" s="9"/>
      <c r="J267" s="1"/>
      <c r="M267" s="9"/>
    </row>
    <row r="268" spans="2:13" x14ac:dyDescent="0.25">
      <c r="B268" s="9"/>
      <c r="J268" s="9"/>
      <c r="M268" s="9"/>
    </row>
    <row r="269" spans="2:13" x14ac:dyDescent="0.25">
      <c r="B269" s="9"/>
      <c r="J269" s="9"/>
      <c r="M269" s="9"/>
    </row>
    <row r="270" spans="2:13" x14ac:dyDescent="0.25">
      <c r="B270" s="9"/>
      <c r="J270" s="9"/>
      <c r="M270" s="9"/>
    </row>
    <row r="271" spans="2:13" x14ac:dyDescent="0.25">
      <c r="B271" s="9"/>
      <c r="J271" s="9"/>
      <c r="M271" s="9"/>
    </row>
    <row r="272" spans="2:13" x14ac:dyDescent="0.25">
      <c r="B272" s="9"/>
      <c r="J272" s="9"/>
      <c r="M272" s="9"/>
    </row>
    <row r="273" spans="2:13" x14ac:dyDescent="0.25">
      <c r="B273" s="9"/>
      <c r="J273" s="9"/>
      <c r="M273" s="9"/>
    </row>
    <row r="274" spans="2:13" x14ac:dyDescent="0.25">
      <c r="B274" s="9"/>
      <c r="J274" s="9"/>
      <c r="M274" s="9"/>
    </row>
    <row r="275" spans="2:13" x14ac:dyDescent="0.25">
      <c r="B275" s="9"/>
      <c r="J275" s="9"/>
      <c r="M275" s="9"/>
    </row>
    <row r="276" spans="2:13" x14ac:dyDescent="0.25">
      <c r="B276" s="9"/>
      <c r="J276" s="9"/>
      <c r="M276" s="9"/>
    </row>
    <row r="277" spans="2:13" x14ac:dyDescent="0.25">
      <c r="B277" s="9"/>
      <c r="J277" s="9"/>
      <c r="M277" s="9"/>
    </row>
    <row r="278" spans="2:13" x14ac:dyDescent="0.25">
      <c r="B278" s="9"/>
      <c r="J278" s="9"/>
      <c r="M278" s="9"/>
    </row>
    <row r="279" spans="2:13" x14ac:dyDescent="0.25">
      <c r="B279" s="9"/>
      <c r="J279" s="9"/>
      <c r="M279" s="9"/>
    </row>
    <row r="280" spans="2:13" x14ac:dyDescent="0.25">
      <c r="B280" s="9"/>
      <c r="J280" s="9"/>
      <c r="M280" s="9"/>
    </row>
    <row r="281" spans="2:13" x14ac:dyDescent="0.25">
      <c r="B281" s="9"/>
      <c r="J281" s="9"/>
      <c r="M281" s="9"/>
    </row>
    <row r="282" spans="2:13" x14ac:dyDescent="0.25">
      <c r="B282" s="9"/>
      <c r="J282" s="9"/>
      <c r="M282" s="9"/>
    </row>
    <row r="283" spans="2:13" x14ac:dyDescent="0.25">
      <c r="B283" s="9"/>
      <c r="J283" s="9"/>
      <c r="M283" s="9"/>
    </row>
    <row r="284" spans="2:13" x14ac:dyDescent="0.25">
      <c r="B284" s="9"/>
      <c r="J284" s="1"/>
      <c r="M284" s="9"/>
    </row>
    <row r="285" spans="2:13" x14ac:dyDescent="0.25">
      <c r="B285" s="9"/>
      <c r="J285" s="1"/>
      <c r="M285" s="9"/>
    </row>
    <row r="286" spans="2:13" x14ac:dyDescent="0.25">
      <c r="B286" s="9"/>
      <c r="J286" s="1"/>
      <c r="M286" s="1"/>
    </row>
    <row r="287" spans="2:13" x14ac:dyDescent="0.25">
      <c r="B287" s="9"/>
      <c r="J287" s="1"/>
      <c r="M287" s="1"/>
    </row>
    <row r="288" spans="2:13" x14ac:dyDescent="0.25">
      <c r="B288" s="9"/>
      <c r="J288" s="1"/>
      <c r="M288" s="1"/>
    </row>
    <row r="289" spans="2:13" x14ac:dyDescent="0.25">
      <c r="B289" s="9"/>
      <c r="J289" s="1"/>
      <c r="M289" s="1"/>
    </row>
    <row r="290" spans="2:13" x14ac:dyDescent="0.25">
      <c r="B290" s="9"/>
      <c r="J290" s="1"/>
      <c r="M290" s="1"/>
    </row>
    <row r="291" spans="2:13" x14ac:dyDescent="0.25">
      <c r="B291" s="9"/>
      <c r="J291" s="9"/>
      <c r="M291" s="1"/>
    </row>
    <row r="292" spans="2:13" x14ac:dyDescent="0.25">
      <c r="B292" s="9"/>
      <c r="J292" s="9"/>
      <c r="M292" s="1"/>
    </row>
    <row r="293" spans="2:13" x14ac:dyDescent="0.25">
      <c r="B293" s="9"/>
      <c r="J293" s="9"/>
      <c r="M293" s="1"/>
    </row>
    <row r="294" spans="2:13" x14ac:dyDescent="0.25">
      <c r="B294" s="9"/>
      <c r="J294" s="9"/>
      <c r="M294" s="1"/>
    </row>
    <row r="295" spans="2:13" x14ac:dyDescent="0.25">
      <c r="B295" s="9"/>
      <c r="J295" s="9"/>
      <c r="M295" s="1"/>
    </row>
    <row r="296" spans="2:13" x14ac:dyDescent="0.25">
      <c r="B296" s="9"/>
      <c r="J296" s="9"/>
      <c r="M296" s="1"/>
    </row>
    <row r="297" spans="2:13" x14ac:dyDescent="0.25">
      <c r="B297" s="9"/>
      <c r="J297" s="9"/>
      <c r="M297" s="1"/>
    </row>
    <row r="298" spans="2:13" x14ac:dyDescent="0.25">
      <c r="B298" s="9"/>
      <c r="J298" s="9"/>
      <c r="M298" s="1"/>
    </row>
    <row r="299" spans="2:13" x14ac:dyDescent="0.25">
      <c r="B299" s="9"/>
      <c r="J299" s="9"/>
      <c r="M299" s="1"/>
    </row>
    <row r="300" spans="2:13" x14ac:dyDescent="0.25">
      <c r="B300" s="9"/>
      <c r="J300" s="9"/>
      <c r="M300" s="1"/>
    </row>
    <row r="301" spans="2:13" x14ac:dyDescent="0.25">
      <c r="B301" s="9"/>
      <c r="J301" s="9"/>
      <c r="M301" s="1"/>
    </row>
    <row r="302" spans="2:13" x14ac:dyDescent="0.25">
      <c r="B302" s="9"/>
      <c r="J302" s="9"/>
      <c r="M302" s="1"/>
    </row>
    <row r="303" spans="2:13" x14ac:dyDescent="0.25">
      <c r="B303" s="9"/>
      <c r="J303" s="1"/>
      <c r="M303" s="1"/>
    </row>
    <row r="304" spans="2:13" x14ac:dyDescent="0.25">
      <c r="B304" s="9"/>
      <c r="J304" s="1"/>
      <c r="M304" s="1"/>
    </row>
    <row r="305" spans="2:13" x14ac:dyDescent="0.25">
      <c r="B305" s="9"/>
      <c r="J305" s="1"/>
      <c r="M305" s="1"/>
    </row>
    <row r="306" spans="2:13" x14ac:dyDescent="0.25">
      <c r="B306" s="9"/>
      <c r="J306" s="9"/>
      <c r="M306" s="1"/>
    </row>
    <row r="307" spans="2:13" x14ac:dyDescent="0.25">
      <c r="B307" s="9"/>
      <c r="J307" s="9"/>
      <c r="M307" s="1"/>
    </row>
    <row r="308" spans="2:13" x14ac:dyDescent="0.25">
      <c r="B308" s="9"/>
      <c r="J308" s="9"/>
      <c r="M308" s="1"/>
    </row>
    <row r="309" spans="2:13" x14ac:dyDescent="0.25">
      <c r="B309" s="9"/>
      <c r="J309" s="9"/>
      <c r="M309" s="1"/>
    </row>
    <row r="310" spans="2:13" x14ac:dyDescent="0.25">
      <c r="B310" s="9"/>
      <c r="J310" s="9"/>
      <c r="M310" s="1"/>
    </row>
    <row r="311" spans="2:13" x14ac:dyDescent="0.25">
      <c r="B311" s="9"/>
      <c r="J311" s="9"/>
      <c r="M311" s="1"/>
    </row>
    <row r="312" spans="2:13" x14ac:dyDescent="0.25">
      <c r="B312" s="9"/>
      <c r="J312" s="9"/>
      <c r="M312" s="1"/>
    </row>
    <row r="313" spans="2:13" x14ac:dyDescent="0.25">
      <c r="B313" s="9"/>
      <c r="J313" s="9"/>
      <c r="M313" s="1"/>
    </row>
    <row r="314" spans="2:13" x14ac:dyDescent="0.25">
      <c r="B314" s="9"/>
      <c r="J314" s="9"/>
      <c r="M314" s="1"/>
    </row>
    <row r="315" spans="2:13" x14ac:dyDescent="0.25">
      <c r="B315" s="9"/>
      <c r="J315" s="9"/>
      <c r="M315" s="1"/>
    </row>
    <row r="316" spans="2:13" x14ac:dyDescent="0.25">
      <c r="B316" s="9"/>
      <c r="J316" s="9"/>
      <c r="M316" s="1"/>
    </row>
    <row r="317" spans="2:13" x14ac:dyDescent="0.25">
      <c r="B317" s="9"/>
      <c r="J317" s="9"/>
      <c r="M317" s="1"/>
    </row>
    <row r="318" spans="2:13" x14ac:dyDescent="0.25">
      <c r="B318" s="9"/>
      <c r="J318" s="9"/>
      <c r="M318" s="1"/>
    </row>
    <row r="319" spans="2:13" x14ac:dyDescent="0.25">
      <c r="B319" s="9"/>
      <c r="J319" s="9"/>
      <c r="M319" s="1"/>
    </row>
    <row r="320" spans="2:13" x14ac:dyDescent="0.25">
      <c r="B320" s="9"/>
      <c r="J320" s="9"/>
      <c r="M320" s="1"/>
    </row>
    <row r="321" spans="2:13" x14ac:dyDescent="0.25">
      <c r="B321" s="9"/>
      <c r="J321" s="9"/>
      <c r="M321" s="1"/>
    </row>
    <row r="322" spans="2:13" x14ac:dyDescent="0.25">
      <c r="B322" s="9"/>
      <c r="J322" s="9"/>
      <c r="M322" s="1"/>
    </row>
    <row r="323" spans="2:13" x14ac:dyDescent="0.25">
      <c r="B323" s="9"/>
      <c r="J323" s="9"/>
      <c r="M323" s="1"/>
    </row>
    <row r="324" spans="2:13" x14ac:dyDescent="0.25">
      <c r="B324" s="9"/>
      <c r="J324" s="9"/>
      <c r="M324" s="1"/>
    </row>
    <row r="325" spans="2:13" x14ac:dyDescent="0.25">
      <c r="B325" s="9"/>
      <c r="J325" s="9"/>
      <c r="M325" s="1"/>
    </row>
    <row r="326" spans="2:13" x14ac:dyDescent="0.25">
      <c r="B326" s="9"/>
      <c r="J326" s="1"/>
      <c r="M326" s="1"/>
    </row>
    <row r="327" spans="2:13" x14ac:dyDescent="0.25">
      <c r="B327" s="9"/>
      <c r="J327" s="1"/>
      <c r="M327" s="1"/>
    </row>
    <row r="328" spans="2:13" x14ac:dyDescent="0.25">
      <c r="B328" s="9"/>
      <c r="J328" s="1"/>
      <c r="M328" s="1"/>
    </row>
    <row r="329" spans="2:13" x14ac:dyDescent="0.25">
      <c r="B329" s="9"/>
      <c r="J329" s="1"/>
      <c r="M329" s="1"/>
    </row>
    <row r="330" spans="2:13" x14ac:dyDescent="0.25">
      <c r="B330" s="9"/>
      <c r="J330" s="1"/>
      <c r="M330" s="1"/>
    </row>
    <row r="331" spans="2:13" x14ac:dyDescent="0.25">
      <c r="B331" s="9"/>
      <c r="J331" s="1"/>
      <c r="M331" s="1"/>
    </row>
    <row r="332" spans="2:13" x14ac:dyDescent="0.25">
      <c r="B332" s="9"/>
      <c r="J332" s="1"/>
      <c r="M332" s="1"/>
    </row>
    <row r="333" spans="2:13" x14ac:dyDescent="0.25">
      <c r="B333" s="9"/>
      <c r="J333" s="1"/>
      <c r="M333" s="1"/>
    </row>
    <row r="334" spans="2:13" x14ac:dyDescent="0.25">
      <c r="B334" s="9"/>
      <c r="J334" s="1"/>
      <c r="M334" s="1"/>
    </row>
    <row r="335" spans="2:13" x14ac:dyDescent="0.25">
      <c r="B335" s="9"/>
      <c r="J335" s="1"/>
      <c r="M335" s="1"/>
    </row>
    <row r="336" spans="2:13" x14ac:dyDescent="0.25">
      <c r="B336" s="9"/>
      <c r="J336" s="1"/>
      <c r="M336" s="1"/>
    </row>
    <row r="337" spans="2:13" x14ac:dyDescent="0.25">
      <c r="B337" s="9"/>
      <c r="J337" s="1"/>
      <c r="M337" s="1"/>
    </row>
    <row r="338" spans="2:13" x14ac:dyDescent="0.25">
      <c r="B338" s="9"/>
      <c r="J338" s="1"/>
      <c r="M338" s="1"/>
    </row>
    <row r="339" spans="2:13" x14ac:dyDescent="0.25">
      <c r="B339" s="9"/>
      <c r="J339" s="1"/>
      <c r="M339" s="1"/>
    </row>
    <row r="340" spans="2:13" x14ac:dyDescent="0.25">
      <c r="B340" s="9"/>
      <c r="J340" s="1"/>
      <c r="M340" s="1"/>
    </row>
    <row r="341" spans="2:13" x14ac:dyDescent="0.25">
      <c r="B341" s="9"/>
      <c r="J341" s="1"/>
      <c r="M341" s="1"/>
    </row>
    <row r="342" spans="2:13" x14ac:dyDescent="0.25">
      <c r="B342" s="9"/>
      <c r="J342" s="9"/>
      <c r="M342" s="1"/>
    </row>
    <row r="343" spans="2:13" x14ac:dyDescent="0.25">
      <c r="B343" s="9"/>
      <c r="J343" s="9"/>
      <c r="M343" s="1"/>
    </row>
    <row r="344" spans="2:13" x14ac:dyDescent="0.25">
      <c r="B344" s="9"/>
      <c r="J344" s="9"/>
      <c r="M344" s="1"/>
    </row>
    <row r="345" spans="2:13" x14ac:dyDescent="0.25">
      <c r="B345" s="9"/>
      <c r="J345" s="9"/>
      <c r="M345" s="1"/>
    </row>
    <row r="346" spans="2:13" x14ac:dyDescent="0.25">
      <c r="B346" s="9"/>
      <c r="J346" s="9"/>
      <c r="M346" s="1"/>
    </row>
    <row r="347" spans="2:13" x14ac:dyDescent="0.25">
      <c r="B347" s="9"/>
      <c r="J347" s="9"/>
      <c r="M347" s="1"/>
    </row>
    <row r="348" spans="2:13" x14ac:dyDescent="0.25">
      <c r="B348" s="9"/>
      <c r="J348" s="9"/>
      <c r="M348" s="1"/>
    </row>
    <row r="349" spans="2:13" x14ac:dyDescent="0.25">
      <c r="B349" s="9"/>
      <c r="J349" s="9"/>
      <c r="M349" s="1"/>
    </row>
    <row r="350" spans="2:13" x14ac:dyDescent="0.25">
      <c r="B350" s="9"/>
      <c r="J350" s="9"/>
      <c r="M350" s="1"/>
    </row>
    <row r="351" spans="2:13" x14ac:dyDescent="0.25">
      <c r="B351" s="9"/>
      <c r="J351" s="9"/>
      <c r="M351" s="1"/>
    </row>
    <row r="352" spans="2:13" x14ac:dyDescent="0.25">
      <c r="B352" s="9"/>
      <c r="J352" s="9"/>
      <c r="M352" s="1"/>
    </row>
    <row r="353" spans="2:13" x14ac:dyDescent="0.25">
      <c r="B353" s="9"/>
      <c r="J353" s="9"/>
      <c r="M353" s="1"/>
    </row>
    <row r="354" spans="2:13" x14ac:dyDescent="0.25">
      <c r="B354" s="9"/>
      <c r="J354" s="1"/>
      <c r="M354" s="1"/>
    </row>
    <row r="355" spans="2:13" x14ac:dyDescent="0.25">
      <c r="B355" s="9"/>
      <c r="J355" s="1"/>
      <c r="M355" s="1"/>
    </row>
    <row r="356" spans="2:13" x14ac:dyDescent="0.25">
      <c r="B356" s="9"/>
      <c r="J356" s="1"/>
      <c r="M356" s="1"/>
    </row>
    <row r="357" spans="2:13" x14ac:dyDescent="0.25">
      <c r="B357" s="9"/>
      <c r="J357" s="1"/>
      <c r="M357" s="1"/>
    </row>
    <row r="358" spans="2:13" x14ac:dyDescent="0.25">
      <c r="B358" s="9"/>
      <c r="J358" s="1"/>
      <c r="M358" s="1"/>
    </row>
    <row r="359" spans="2:13" x14ac:dyDescent="0.25">
      <c r="B359" s="9"/>
      <c r="J359" s="1"/>
      <c r="M359" s="1"/>
    </row>
    <row r="360" spans="2:13" x14ac:dyDescent="0.25">
      <c r="B360" s="9"/>
      <c r="J360" s="1"/>
      <c r="M360" s="1"/>
    </row>
    <row r="361" spans="2:13" x14ac:dyDescent="0.25">
      <c r="B361" s="9"/>
      <c r="J361" s="9"/>
      <c r="M361" s="1"/>
    </row>
    <row r="362" spans="2:13" x14ac:dyDescent="0.25">
      <c r="B362" s="9"/>
      <c r="J362" s="9"/>
      <c r="M362" s="1"/>
    </row>
    <row r="363" spans="2:13" x14ac:dyDescent="0.25">
      <c r="B363" s="9"/>
      <c r="J363" s="9"/>
      <c r="M363" s="1"/>
    </row>
    <row r="364" spans="2:13" x14ac:dyDescent="0.25">
      <c r="B364" s="9"/>
      <c r="J364" s="9"/>
      <c r="M364" s="1"/>
    </row>
    <row r="365" spans="2:13" x14ac:dyDescent="0.25">
      <c r="J365" s="9"/>
      <c r="M365" s="1"/>
    </row>
    <row r="366" spans="2:13" x14ac:dyDescent="0.25">
      <c r="J366" s="9"/>
      <c r="M366" s="1"/>
    </row>
    <row r="367" spans="2:13" x14ac:dyDescent="0.25">
      <c r="J367" s="9"/>
      <c r="M367" s="1"/>
    </row>
    <row r="368" spans="2:13" x14ac:dyDescent="0.25">
      <c r="J368" s="9"/>
      <c r="M368" s="1"/>
    </row>
    <row r="369" spans="10:13" x14ac:dyDescent="0.25">
      <c r="J369" s="9"/>
      <c r="M369" s="1"/>
    </row>
    <row r="370" spans="10:13" x14ac:dyDescent="0.25">
      <c r="J370" s="9"/>
      <c r="M370" s="1"/>
    </row>
    <row r="371" spans="10:13" x14ac:dyDescent="0.25">
      <c r="J371" s="9"/>
    </row>
    <row r="372" spans="10:13" x14ac:dyDescent="0.25">
      <c r="J372" s="9"/>
    </row>
    <row r="373" spans="10:13" x14ac:dyDescent="0.25">
      <c r="J373" s="9"/>
    </row>
    <row r="374" spans="10:13" x14ac:dyDescent="0.25">
      <c r="J374" s="9"/>
    </row>
    <row r="375" spans="10:13" x14ac:dyDescent="0.25">
      <c r="J375" s="9"/>
    </row>
    <row r="376" spans="10:13" x14ac:dyDescent="0.25">
      <c r="J376" s="9"/>
    </row>
    <row r="377" spans="10:13" x14ac:dyDescent="0.25">
      <c r="J377" s="1"/>
    </row>
    <row r="378" spans="10:13" x14ac:dyDescent="0.25">
      <c r="J378" s="1"/>
    </row>
    <row r="379" spans="10:13" x14ac:dyDescent="0.25">
      <c r="J379" s="1"/>
    </row>
    <row r="380" spans="10:13" x14ac:dyDescent="0.25">
      <c r="J380" s="1"/>
    </row>
    <row r="381" spans="10:13" x14ac:dyDescent="0.25">
      <c r="J381" s="1"/>
    </row>
    <row r="382" spans="10:13" x14ac:dyDescent="0.25">
      <c r="J382" s="1"/>
    </row>
    <row r="383" spans="10:13" x14ac:dyDescent="0.25">
      <c r="J383" s="1"/>
    </row>
    <row r="384" spans="10:13" x14ac:dyDescent="0.25">
      <c r="J384" s="1"/>
    </row>
    <row r="385" spans="10:10" x14ac:dyDescent="0.25">
      <c r="J385" s="1"/>
    </row>
    <row r="386" spans="10:10" x14ac:dyDescent="0.25">
      <c r="J386" s="1"/>
    </row>
    <row r="387" spans="10:10" x14ac:dyDescent="0.25">
      <c r="J387" s="9"/>
    </row>
    <row r="388" spans="10:10" x14ac:dyDescent="0.25">
      <c r="J388" s="9"/>
    </row>
    <row r="389" spans="10:10" x14ac:dyDescent="0.25">
      <c r="J389" s="9"/>
    </row>
    <row r="390" spans="10:10" x14ac:dyDescent="0.25">
      <c r="J390" s="9"/>
    </row>
    <row r="391" spans="10:10" x14ac:dyDescent="0.25">
      <c r="J391" s="9"/>
    </row>
    <row r="392" spans="10:10" x14ac:dyDescent="0.25">
      <c r="J392" s="9"/>
    </row>
    <row r="393" spans="10:10" x14ac:dyDescent="0.25">
      <c r="J393" s="1"/>
    </row>
    <row r="394" spans="10:10" x14ac:dyDescent="0.25">
      <c r="J394" s="1"/>
    </row>
    <row r="395" spans="10:10" x14ac:dyDescent="0.25">
      <c r="J395" s="1"/>
    </row>
    <row r="396" spans="10:10" x14ac:dyDescent="0.25">
      <c r="J396" s="1"/>
    </row>
    <row r="397" spans="10:10" x14ac:dyDescent="0.25">
      <c r="J397" s="1"/>
    </row>
    <row r="398" spans="10:10" x14ac:dyDescent="0.25">
      <c r="J398" s="9"/>
    </row>
    <row r="399" spans="10:10" x14ac:dyDescent="0.25">
      <c r="J399" s="9"/>
    </row>
    <row r="400" spans="10:10" x14ac:dyDescent="0.25">
      <c r="J400" s="9"/>
    </row>
    <row r="401" spans="10:10" x14ac:dyDescent="0.25">
      <c r="J401" s="9"/>
    </row>
    <row r="402" spans="10:10" x14ac:dyDescent="0.25">
      <c r="J402" s="9"/>
    </row>
    <row r="403" spans="10:10" x14ac:dyDescent="0.25">
      <c r="J403" s="9"/>
    </row>
    <row r="404" spans="10:10" x14ac:dyDescent="0.25">
      <c r="J404" s="9"/>
    </row>
    <row r="405" spans="10:10" x14ac:dyDescent="0.25">
      <c r="J405" s="9"/>
    </row>
    <row r="406" spans="10:10" x14ac:dyDescent="0.25">
      <c r="J406" s="9"/>
    </row>
    <row r="407" spans="10:10" x14ac:dyDescent="0.25">
      <c r="J407" s="9"/>
    </row>
    <row r="408" spans="10:10" x14ac:dyDescent="0.25">
      <c r="J408" s="9"/>
    </row>
    <row r="409" spans="10:10" x14ac:dyDescent="0.25">
      <c r="J409" s="9"/>
    </row>
    <row r="410" spans="10:10" x14ac:dyDescent="0.25">
      <c r="J410" s="9"/>
    </row>
    <row r="411" spans="10:10" x14ac:dyDescent="0.25">
      <c r="J411" s="9"/>
    </row>
    <row r="412" spans="10:10" x14ac:dyDescent="0.25">
      <c r="J412" s="9"/>
    </row>
    <row r="413" spans="10:10" x14ac:dyDescent="0.25">
      <c r="J413" s="9"/>
    </row>
    <row r="414" spans="10:10" x14ac:dyDescent="0.25">
      <c r="J414" s="1"/>
    </row>
    <row r="415" spans="10:10" x14ac:dyDescent="0.25">
      <c r="J415" s="1"/>
    </row>
    <row r="416" spans="10:10" x14ac:dyDescent="0.25">
      <c r="J416" s="1"/>
    </row>
    <row r="417" spans="10:10" x14ac:dyDescent="0.25">
      <c r="J417" s="1"/>
    </row>
    <row r="418" spans="10:10" x14ac:dyDescent="0.25">
      <c r="J418" s="9"/>
    </row>
    <row r="419" spans="10:10" x14ac:dyDescent="0.25">
      <c r="J419" s="9"/>
    </row>
    <row r="420" spans="10:10" x14ac:dyDescent="0.25">
      <c r="J420" s="1"/>
    </row>
    <row r="421" spans="10:10" x14ac:dyDescent="0.25">
      <c r="J421" s="1"/>
    </row>
    <row r="422" spans="10:10" x14ac:dyDescent="0.25">
      <c r="J422" s="1"/>
    </row>
    <row r="423" spans="10:10" x14ac:dyDescent="0.25">
      <c r="J423" s="9"/>
    </row>
    <row r="424" spans="10:10" x14ac:dyDescent="0.25">
      <c r="J424" s="9"/>
    </row>
    <row r="425" spans="10:10" x14ac:dyDescent="0.25">
      <c r="J425" s="9"/>
    </row>
    <row r="426" spans="10:10" x14ac:dyDescent="0.25">
      <c r="J426" s="9"/>
    </row>
    <row r="427" spans="10:10" x14ac:dyDescent="0.25">
      <c r="J427" s="9"/>
    </row>
    <row r="428" spans="10:10" x14ac:dyDescent="0.25">
      <c r="J428" s="9"/>
    </row>
    <row r="429" spans="10:10" x14ac:dyDescent="0.25">
      <c r="J429" s="9"/>
    </row>
    <row r="430" spans="10:10" x14ac:dyDescent="0.25">
      <c r="J430" s="9"/>
    </row>
    <row r="431" spans="10:10" x14ac:dyDescent="0.25">
      <c r="J431" s="9"/>
    </row>
    <row r="432" spans="10:10" x14ac:dyDescent="0.25">
      <c r="J432" s="9"/>
    </row>
    <row r="433" spans="10:10" x14ac:dyDescent="0.25">
      <c r="J433" s="9"/>
    </row>
    <row r="434" spans="10:10" x14ac:dyDescent="0.25">
      <c r="J434" s="9"/>
    </row>
    <row r="435" spans="10:10" x14ac:dyDescent="0.25">
      <c r="J435" s="9"/>
    </row>
    <row r="436" spans="10:10" x14ac:dyDescent="0.25">
      <c r="J436" s="9"/>
    </row>
    <row r="437" spans="10:10" x14ac:dyDescent="0.25">
      <c r="J437" s="9"/>
    </row>
    <row r="438" spans="10:10" x14ac:dyDescent="0.25">
      <c r="J438" s="9"/>
    </row>
    <row r="439" spans="10:10" x14ac:dyDescent="0.25">
      <c r="J439" s="9"/>
    </row>
    <row r="440" spans="10:10" x14ac:dyDescent="0.25">
      <c r="J440" s="9"/>
    </row>
    <row r="441" spans="10:10" x14ac:dyDescent="0.25">
      <c r="J441" s="9"/>
    </row>
    <row r="442" spans="10:10" x14ac:dyDescent="0.25">
      <c r="J442" s="9"/>
    </row>
    <row r="443" spans="10:10" x14ac:dyDescent="0.25">
      <c r="J443" s="9"/>
    </row>
    <row r="444" spans="10:10" x14ac:dyDescent="0.25">
      <c r="J444" s="1"/>
    </row>
    <row r="445" spans="10:10" x14ac:dyDescent="0.25">
      <c r="J445" s="1"/>
    </row>
    <row r="446" spans="10:10" x14ac:dyDescent="0.25">
      <c r="J446" s="1"/>
    </row>
    <row r="447" spans="10:10" x14ac:dyDescent="0.25">
      <c r="J447" s="1"/>
    </row>
    <row r="448" spans="10:10" x14ac:dyDescent="0.25">
      <c r="J448" s="1"/>
    </row>
    <row r="449" spans="10:10" x14ac:dyDescent="0.25">
      <c r="J449" s="1"/>
    </row>
    <row r="450" spans="10:10" x14ac:dyDescent="0.25">
      <c r="J450" s="1"/>
    </row>
    <row r="451" spans="10:10" x14ac:dyDescent="0.25">
      <c r="J451" s="1"/>
    </row>
    <row r="452" spans="10:10" x14ac:dyDescent="0.25">
      <c r="J452" s="1"/>
    </row>
    <row r="453" spans="10:10" x14ac:dyDescent="0.25">
      <c r="J453" s="1"/>
    </row>
    <row r="454" spans="10:10" x14ac:dyDescent="0.25">
      <c r="J454" s="9"/>
    </row>
    <row r="455" spans="10:10" x14ac:dyDescent="0.25">
      <c r="J455" s="1"/>
    </row>
    <row r="456" spans="10:10" x14ac:dyDescent="0.25">
      <c r="J456" s="1"/>
    </row>
    <row r="457" spans="10:10" x14ac:dyDescent="0.25">
      <c r="J457" s="1"/>
    </row>
    <row r="458" spans="10:10" x14ac:dyDescent="0.25">
      <c r="J458" s="9"/>
    </row>
    <row r="459" spans="10:10" x14ac:dyDescent="0.25">
      <c r="J459" s="9"/>
    </row>
    <row r="460" spans="10:10" x14ac:dyDescent="0.25">
      <c r="J460" s="9"/>
    </row>
    <row r="461" spans="10:10" x14ac:dyDescent="0.25">
      <c r="J461" s="9"/>
    </row>
    <row r="462" spans="10:10" x14ac:dyDescent="0.25">
      <c r="J462" s="9"/>
    </row>
    <row r="463" spans="10:10" x14ac:dyDescent="0.25">
      <c r="J463" s="9"/>
    </row>
    <row r="464" spans="10:10" x14ac:dyDescent="0.25">
      <c r="J464" s="9"/>
    </row>
    <row r="465" spans="10:10" x14ac:dyDescent="0.25">
      <c r="J465" s="9"/>
    </row>
    <row r="466" spans="10:10" x14ac:dyDescent="0.25">
      <c r="J466" s="9"/>
    </row>
    <row r="467" spans="10:10" x14ac:dyDescent="0.25">
      <c r="J467" s="9"/>
    </row>
    <row r="468" spans="10:10" x14ac:dyDescent="0.25">
      <c r="J468" s="9"/>
    </row>
    <row r="469" spans="10:10" x14ac:dyDescent="0.25">
      <c r="J469" s="9"/>
    </row>
    <row r="470" spans="10:10" x14ac:dyDescent="0.25">
      <c r="J470" s="9"/>
    </row>
    <row r="471" spans="10:10" x14ac:dyDescent="0.25">
      <c r="J471" s="9"/>
    </row>
    <row r="472" spans="10:10" x14ac:dyDescent="0.25">
      <c r="J472" s="9"/>
    </row>
    <row r="473" spans="10:10" x14ac:dyDescent="0.25">
      <c r="J473" s="9"/>
    </row>
    <row r="474" spans="10:10" x14ac:dyDescent="0.25">
      <c r="J474" s="9"/>
    </row>
    <row r="475" spans="10:10" x14ac:dyDescent="0.25">
      <c r="J475" s="9"/>
    </row>
    <row r="476" spans="10:10" x14ac:dyDescent="0.25">
      <c r="J476" s="9"/>
    </row>
    <row r="477" spans="10:10" x14ac:dyDescent="0.25">
      <c r="J477" s="9"/>
    </row>
    <row r="478" spans="10:10" x14ac:dyDescent="0.25">
      <c r="J478" s="9"/>
    </row>
    <row r="479" spans="10:10" x14ac:dyDescent="0.25">
      <c r="J479" s="9"/>
    </row>
    <row r="480" spans="10:10" x14ac:dyDescent="0.25">
      <c r="J480" s="9"/>
    </row>
    <row r="481" spans="10:10" x14ac:dyDescent="0.25">
      <c r="J481" s="9"/>
    </row>
    <row r="482" spans="10:10" x14ac:dyDescent="0.25">
      <c r="J482" s="9"/>
    </row>
    <row r="483" spans="10:10" x14ac:dyDescent="0.25">
      <c r="J483" s="9"/>
    </row>
    <row r="484" spans="10:10" x14ac:dyDescent="0.25">
      <c r="J484" s="9"/>
    </row>
    <row r="485" spans="10:10" x14ac:dyDescent="0.25">
      <c r="J485" s="9"/>
    </row>
    <row r="486" spans="10:10" x14ac:dyDescent="0.25">
      <c r="J486" s="1"/>
    </row>
    <row r="487" spans="10:10" x14ac:dyDescent="0.25">
      <c r="J487" s="1"/>
    </row>
    <row r="488" spans="10:10" x14ac:dyDescent="0.25">
      <c r="J488" s="1"/>
    </row>
    <row r="489" spans="10:10" x14ac:dyDescent="0.25">
      <c r="J489" s="1"/>
    </row>
    <row r="490" spans="10:10" x14ac:dyDescent="0.25">
      <c r="J490" s="1"/>
    </row>
    <row r="491" spans="10:10" x14ac:dyDescent="0.25">
      <c r="J491" s="1"/>
    </row>
    <row r="492" spans="10:10" x14ac:dyDescent="0.25">
      <c r="J492" s="1"/>
    </row>
    <row r="493" spans="10:10" x14ac:dyDescent="0.25">
      <c r="J493" s="9"/>
    </row>
    <row r="494" spans="10:10" x14ac:dyDescent="0.25">
      <c r="J494" s="9"/>
    </row>
    <row r="495" spans="10:10" x14ac:dyDescent="0.25">
      <c r="J495" s="9"/>
    </row>
    <row r="496" spans="10:10" x14ac:dyDescent="0.25">
      <c r="J496" s="9"/>
    </row>
    <row r="497" spans="10:10" x14ac:dyDescent="0.25">
      <c r="J497" s="9"/>
    </row>
    <row r="498" spans="10:10" x14ac:dyDescent="0.25">
      <c r="J498" s="9"/>
    </row>
    <row r="499" spans="10:10" x14ac:dyDescent="0.25">
      <c r="J499" s="9"/>
    </row>
    <row r="500" spans="10:10" x14ac:dyDescent="0.25">
      <c r="J500" s="9"/>
    </row>
    <row r="501" spans="10:10" x14ac:dyDescent="0.25">
      <c r="J501" s="9"/>
    </row>
    <row r="502" spans="10:10" x14ac:dyDescent="0.25">
      <c r="J502" s="1"/>
    </row>
    <row r="503" spans="10:10" x14ac:dyDescent="0.25">
      <c r="J503" s="1"/>
    </row>
    <row r="504" spans="10:10" x14ac:dyDescent="0.25">
      <c r="J504" s="1"/>
    </row>
    <row r="505" spans="10:10" x14ac:dyDescent="0.25">
      <c r="J505" s="9"/>
    </row>
    <row r="506" spans="10:10" x14ac:dyDescent="0.25">
      <c r="J506" s="9"/>
    </row>
    <row r="507" spans="10:10" x14ac:dyDescent="0.25">
      <c r="J507" s="9"/>
    </row>
    <row r="508" spans="10:10" x14ac:dyDescent="0.25">
      <c r="J508" s="9"/>
    </row>
    <row r="509" spans="10:10" x14ac:dyDescent="0.25">
      <c r="J509" s="9"/>
    </row>
    <row r="510" spans="10:10" x14ac:dyDescent="0.25">
      <c r="J510" s="1"/>
    </row>
    <row r="511" spans="10:10" x14ac:dyDescent="0.25">
      <c r="J511" s="1"/>
    </row>
    <row r="512" spans="10:10" x14ac:dyDescent="0.25">
      <c r="J512" s="1"/>
    </row>
    <row r="513" spans="10:10" x14ac:dyDescent="0.25">
      <c r="J513" s="9"/>
    </row>
    <row r="514" spans="10:10" x14ac:dyDescent="0.25">
      <c r="J514" s="9"/>
    </row>
    <row r="515" spans="10:10" x14ac:dyDescent="0.25">
      <c r="J515" s="1"/>
    </row>
    <row r="516" spans="10:10" x14ac:dyDescent="0.25">
      <c r="J516" s="1"/>
    </row>
    <row r="517" spans="10:10" x14ac:dyDescent="0.25">
      <c r="J517" s="1"/>
    </row>
  </sheetData>
  <sortState ref="B38:C69">
    <sortCondition descending="1" ref="C38:C69"/>
  </sortState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topLeftCell="AJ67" zoomScale="80" zoomScaleNormal="80" workbookViewId="0">
      <selection activeCell="AP84" sqref="AP83:AP84"/>
    </sheetView>
  </sheetViews>
  <sheetFormatPr baseColWidth="10" defaultColWidth="11.42578125" defaultRowHeight="15" x14ac:dyDescent="0.25"/>
  <cols>
    <col min="1" max="16384" width="11.42578125" style="17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3:P76"/>
  <sheetViews>
    <sheetView workbookViewId="0"/>
  </sheetViews>
  <sheetFormatPr baseColWidth="10" defaultColWidth="11.42578125" defaultRowHeight="15" x14ac:dyDescent="0.25"/>
  <cols>
    <col min="1" max="1" width="11.42578125" style="17"/>
    <col min="2" max="2" width="23.5703125" style="17" customWidth="1"/>
    <col min="3" max="3" width="20.85546875" style="17" customWidth="1"/>
    <col min="4" max="4" width="16.5703125" style="17" customWidth="1"/>
    <col min="5" max="7" width="11.42578125" style="17"/>
    <col min="8" max="8" width="30.85546875" style="17" customWidth="1"/>
    <col min="9" max="9" width="30.85546875" style="250" customWidth="1"/>
    <col min="10" max="11" width="11.42578125" style="250"/>
    <col min="12" max="13" width="29.85546875" style="17" customWidth="1"/>
    <col min="14" max="16384" width="11.42578125" style="17"/>
  </cols>
  <sheetData>
    <row r="3" spans="2:16" x14ac:dyDescent="0.25">
      <c r="B3" s="11" t="s">
        <v>716</v>
      </c>
      <c r="C3" s="249" t="s">
        <v>717</v>
      </c>
      <c r="D3" s="249" t="s">
        <v>718</v>
      </c>
      <c r="G3" s="249"/>
      <c r="H3" s="112" t="s">
        <v>1661</v>
      </c>
      <c r="I3" s="249"/>
      <c r="J3" s="249"/>
      <c r="K3" s="249"/>
      <c r="L3" s="112" t="s">
        <v>1663</v>
      </c>
      <c r="M3" s="112"/>
      <c r="N3" s="249"/>
      <c r="O3" s="11"/>
      <c r="P3" s="11"/>
    </row>
    <row r="4" spans="2:16" x14ac:dyDescent="0.25">
      <c r="B4" s="186" t="s">
        <v>1570</v>
      </c>
      <c r="C4" s="249">
        <f>+COUNTIF('ENCUESTA PROPIETARIOS'!$G$7:$G$417,"&lt;35")</f>
        <v>43</v>
      </c>
      <c r="D4" s="6">
        <f>C4/$C$9</f>
        <v>0.10462287104622871</v>
      </c>
      <c r="G4" s="249"/>
      <c r="H4" s="249"/>
      <c r="I4" s="249"/>
      <c r="J4" s="176"/>
      <c r="K4" s="176"/>
      <c r="L4" s="249"/>
      <c r="M4" s="249"/>
      <c r="N4" s="176"/>
      <c r="O4" s="176"/>
      <c r="P4" s="176"/>
    </row>
    <row r="5" spans="2:16" x14ac:dyDescent="0.25">
      <c r="B5" s="186" t="s">
        <v>1656</v>
      </c>
      <c r="C5" s="249">
        <f>+COUNTIF('ENCUESTA PROPIETARIOS'!$G$7:$G$417,"&lt;46")-C4</f>
        <v>128</v>
      </c>
      <c r="D5" s="6">
        <f>C5/$C$9</f>
        <v>0.31143552311435524</v>
      </c>
      <c r="G5" s="249"/>
      <c r="H5" s="158">
        <v>1</v>
      </c>
      <c r="I5" s="158" t="s">
        <v>854</v>
      </c>
      <c r="J5" s="176">
        <f>COUNTIF('ENCUESTA PROPIETARIOS'!$AX$7:$AX$417,'FORMULAS 2'!H5)</f>
        <v>165</v>
      </c>
      <c r="K5" s="249"/>
      <c r="L5" s="158">
        <v>1</v>
      </c>
      <c r="M5" s="158" t="s">
        <v>854</v>
      </c>
      <c r="N5" s="176">
        <f>COUNTIF('ENCUESTA PROPIETARIOS'!$AY$7:$AY$417,'FORMULAS 2'!L5)</f>
        <v>69</v>
      </c>
      <c r="O5" s="249"/>
      <c r="P5" s="249"/>
    </row>
    <row r="6" spans="2:16" x14ac:dyDescent="0.25">
      <c r="B6" s="186" t="s">
        <v>1571</v>
      </c>
      <c r="C6" s="249">
        <f>+COUNTIF('ENCUESTA PROPIETARIOS'!$G$7:$G$417,"&lt;56")-C5-C4</f>
        <v>154</v>
      </c>
      <c r="D6" s="6">
        <f>C6/$C$9</f>
        <v>0.37469586374695862</v>
      </c>
      <c r="G6" s="249"/>
      <c r="H6" s="158">
        <v>2</v>
      </c>
      <c r="I6" s="158" t="s">
        <v>903</v>
      </c>
      <c r="J6" s="176">
        <f>COUNTIF('ENCUESTA PROPIETARIOS'!$AX$7:$AX$417,'FORMULAS 2'!H6)</f>
        <v>122</v>
      </c>
      <c r="K6" s="249"/>
      <c r="L6" s="158">
        <v>2</v>
      </c>
      <c r="M6" s="158" t="s">
        <v>903</v>
      </c>
      <c r="N6" s="176">
        <f>COUNTIF('ENCUESTA PROPIETARIOS'!$AY$7:$AY$417,'FORMULAS 2'!L6)</f>
        <v>135</v>
      </c>
      <c r="O6" s="249"/>
      <c r="P6" s="249"/>
    </row>
    <row r="7" spans="2:16" x14ac:dyDescent="0.25">
      <c r="B7" s="186" t="s">
        <v>1657</v>
      </c>
      <c r="C7" s="249">
        <f>+COUNTIF('ENCUESTA PROPIETARIOS'!$G$7:$G$417,"&lt;61")-C6-C5-C4</f>
        <v>42</v>
      </c>
      <c r="D7" s="6">
        <f>C7/$C$9</f>
        <v>0.10218978102189781</v>
      </c>
      <c r="G7" s="249"/>
      <c r="H7" s="158">
        <v>3</v>
      </c>
      <c r="I7" s="158" t="s">
        <v>1666</v>
      </c>
      <c r="J7" s="176">
        <f>COUNTIF('ENCUESTA PROPIETARIOS'!$AX$7:$AX$417,'FORMULAS 2'!H7)</f>
        <v>104</v>
      </c>
      <c r="K7" s="249"/>
      <c r="L7" s="158">
        <v>3</v>
      </c>
      <c r="M7" s="158" t="s">
        <v>1666</v>
      </c>
      <c r="N7" s="176">
        <f>COUNTIF('ENCUESTA PROPIETARIOS'!$AY$7:$AY$417,'FORMULAS 2'!L7)</f>
        <v>182</v>
      </c>
      <c r="O7" s="249"/>
      <c r="P7" s="249"/>
    </row>
    <row r="8" spans="2:16" x14ac:dyDescent="0.25">
      <c r="B8" s="186" t="s">
        <v>1658</v>
      </c>
      <c r="C8" s="249">
        <f>+COUNTIF('ENCUESTA PROPIETARIOS'!$G$7:$G$417,"&gt;60")</f>
        <v>44</v>
      </c>
      <c r="D8" s="6">
        <f>C8/$C$9</f>
        <v>0.1070559610705596</v>
      </c>
      <c r="G8" s="249"/>
      <c r="H8" s="158">
        <v>4</v>
      </c>
      <c r="I8" s="158" t="s">
        <v>857</v>
      </c>
      <c r="J8" s="176">
        <f>COUNTIF('ENCUESTA PROPIETARIOS'!$AX$7:$AX$417,'FORMULAS 2'!H8)</f>
        <v>19</v>
      </c>
      <c r="K8" s="249"/>
      <c r="L8" s="158">
        <v>4</v>
      </c>
      <c r="M8" s="158" t="s">
        <v>857</v>
      </c>
      <c r="N8" s="176">
        <f>COUNTIF('ENCUESTA PROPIETARIOS'!$AY$7:$AY$417,'FORMULAS 2'!L8)</f>
        <v>24</v>
      </c>
      <c r="O8" s="249"/>
      <c r="P8" s="249"/>
    </row>
    <row r="9" spans="2:16" x14ac:dyDescent="0.25">
      <c r="B9" s="11" t="s">
        <v>715</v>
      </c>
      <c r="C9" s="249">
        <f>SUM(C4:C8)</f>
        <v>411</v>
      </c>
      <c r="D9" s="6">
        <f>C9/C9</f>
        <v>1</v>
      </c>
      <c r="G9" s="249"/>
      <c r="H9" s="141"/>
      <c r="I9" s="158"/>
      <c r="J9" s="249"/>
      <c r="K9" s="249"/>
      <c r="L9" s="141"/>
      <c r="M9" s="141"/>
      <c r="N9" s="249"/>
      <c r="O9" s="249"/>
      <c r="P9" s="249"/>
    </row>
    <row r="10" spans="2:16" x14ac:dyDescent="0.25">
      <c r="B10" s="11"/>
      <c r="C10" s="249"/>
      <c r="D10" s="249"/>
      <c r="G10" s="249"/>
      <c r="H10" s="141" t="s">
        <v>1662</v>
      </c>
      <c r="I10" s="158"/>
      <c r="J10" s="249">
        <f>SUM(J5:J8)</f>
        <v>410</v>
      </c>
      <c r="K10" s="249"/>
      <c r="L10" s="141" t="s">
        <v>1662</v>
      </c>
      <c r="M10" s="141"/>
      <c r="N10" s="249">
        <f>SUM(N5:N8)</f>
        <v>410</v>
      </c>
      <c r="O10" s="249"/>
      <c r="P10" s="249"/>
    </row>
    <row r="11" spans="2:16" x14ac:dyDescent="0.25">
      <c r="B11" s="112" t="s">
        <v>2405</v>
      </c>
      <c r="C11" s="17" t="s">
        <v>2379</v>
      </c>
      <c r="D11" s="187">
        <f>AVERAGE('DATOS 1'!E7:E40)</f>
        <v>50.117647058823529</v>
      </c>
      <c r="E11" s="17" t="s">
        <v>2378</v>
      </c>
      <c r="F11" s="17">
        <f>AVERAGE('DATOS 1'!E51:E427)</f>
        <v>47.090185676392572</v>
      </c>
      <c r="G11" s="249"/>
      <c r="H11" s="11"/>
      <c r="I11" s="249"/>
      <c r="J11" s="249"/>
      <c r="K11" s="249"/>
      <c r="L11" s="249"/>
      <c r="M11" s="249"/>
      <c r="N11" s="249"/>
      <c r="O11" s="249"/>
      <c r="P11" s="249"/>
    </row>
    <row r="12" spans="2:16" x14ac:dyDescent="0.25">
      <c r="G12" s="11"/>
      <c r="H12" s="11"/>
      <c r="I12" s="249"/>
      <c r="J12" s="249"/>
      <c r="K12" s="249"/>
      <c r="L12" s="249"/>
      <c r="M12" s="249"/>
      <c r="N12" s="249"/>
      <c r="O12" s="249"/>
      <c r="P12" s="249"/>
    </row>
    <row r="13" spans="2:16" x14ac:dyDescent="0.25">
      <c r="B13" s="11" t="s">
        <v>829</v>
      </c>
      <c r="C13" s="11"/>
    </row>
    <row r="14" spans="2:16" x14ac:dyDescent="0.25">
      <c r="B14" s="137" t="s">
        <v>19</v>
      </c>
      <c r="C14" s="121">
        <f t="shared" ref="C14:C23" si="0">D14/$D$23</f>
        <v>0.1907356948228883</v>
      </c>
      <c r="D14" s="11">
        <f>COUNTIF('ENCUESTA PROPIETARIOS'!$AB$7:$AB$417,"X")</f>
        <v>140</v>
      </c>
      <c r="H14" s="112" t="s">
        <v>1664</v>
      </c>
      <c r="I14" s="249"/>
      <c r="J14" s="249"/>
      <c r="L14" s="112" t="s">
        <v>1665</v>
      </c>
      <c r="M14" s="112"/>
      <c r="N14" s="249"/>
      <c r="O14" s="11"/>
    </row>
    <row r="15" spans="2:16" x14ac:dyDescent="0.25">
      <c r="B15" s="137" t="s">
        <v>20</v>
      </c>
      <c r="C15" s="121">
        <f t="shared" si="0"/>
        <v>0.1226158038147139</v>
      </c>
      <c r="D15" s="11">
        <f>COUNTIF('ENCUESTA PROPIETARIOS'!$AC$7:$AC$417,"X")</f>
        <v>90</v>
      </c>
      <c r="H15" s="249"/>
      <c r="I15" s="249"/>
      <c r="J15" s="176"/>
      <c r="L15" s="249"/>
      <c r="M15" s="249"/>
      <c r="N15" s="176"/>
      <c r="O15" s="176"/>
    </row>
    <row r="16" spans="2:16" ht="25.5" x14ac:dyDescent="0.25">
      <c r="B16" s="137" t="s">
        <v>22</v>
      </c>
      <c r="C16" s="121">
        <f t="shared" si="0"/>
        <v>0.1008174386920981</v>
      </c>
      <c r="D16" s="11">
        <f>COUNTIF('ENCUESTA PROPIETARIOS'!$AE$7:$AE$417,"X")</f>
        <v>74</v>
      </c>
      <c r="H16" s="158">
        <v>1</v>
      </c>
      <c r="I16" s="158" t="s">
        <v>854</v>
      </c>
      <c r="J16" s="176">
        <f>COUNTIF('ENCUESTA PROPIETARIOS'!$AZ$7:$AZ$417,'FORMULAS 2'!H16)</f>
        <v>103</v>
      </c>
      <c r="L16" s="158">
        <v>1</v>
      </c>
      <c r="M16" s="158" t="s">
        <v>854</v>
      </c>
      <c r="N16" s="176">
        <f>COUNTIF('ENCUESTA PROPIETARIOS'!$BA$7:$BA$417,"SEGURIDAD")</f>
        <v>73</v>
      </c>
      <c r="O16" s="249"/>
    </row>
    <row r="17" spans="2:15" ht="25.5" x14ac:dyDescent="0.25">
      <c r="B17" s="137" t="s">
        <v>23</v>
      </c>
      <c r="C17" s="121">
        <f t="shared" si="0"/>
        <v>0.11307901907356949</v>
      </c>
      <c r="D17" s="11">
        <f>COUNTIF('ENCUESTA PROPIETARIOS'!$AF$7:$AF$417,"X")</f>
        <v>83</v>
      </c>
      <c r="H17" s="158">
        <v>2</v>
      </c>
      <c r="I17" s="158" t="s">
        <v>903</v>
      </c>
      <c r="J17" s="176">
        <f>COUNTIF('ENCUESTA PROPIETARIOS'!$AZ$7:$AZ$417,'FORMULAS 2'!H17)</f>
        <v>153</v>
      </c>
      <c r="L17" s="158">
        <v>2</v>
      </c>
      <c r="M17" s="158" t="s">
        <v>903</v>
      </c>
      <c r="N17" s="176">
        <f>COUNTIF('ENCUESTA PROPIETARIOS'!$BA$7:$BA$417,'FORMULAS 2'!L17)</f>
        <v>0</v>
      </c>
      <c r="O17" s="249"/>
    </row>
    <row r="18" spans="2:15" x14ac:dyDescent="0.25">
      <c r="B18" s="137" t="s">
        <v>24</v>
      </c>
      <c r="C18" s="121">
        <f t="shared" si="0"/>
        <v>0.13760217983651227</v>
      </c>
      <c r="D18" s="11">
        <f>COUNTIF('ENCUESTA PROPIETARIOS'!$AG$7:$AG$417,"X")</f>
        <v>101</v>
      </c>
      <c r="H18" s="158">
        <v>3</v>
      </c>
      <c r="I18" s="158" t="s">
        <v>1666</v>
      </c>
      <c r="J18" s="176">
        <f>COUNTIF('ENCUESTA PROPIETARIOS'!$AZ$7:$AZ$417,'FORMULAS 2'!H18)</f>
        <v>124</v>
      </c>
      <c r="L18" s="158">
        <v>3</v>
      </c>
      <c r="M18" s="158" t="s">
        <v>1666</v>
      </c>
      <c r="N18" s="176">
        <f>COUNTIF('ENCUESTA PROPIETARIOS'!$BA$7:$BA$417,'FORMULAS 2'!L18)</f>
        <v>0</v>
      </c>
      <c r="O18" s="249"/>
    </row>
    <row r="19" spans="2:15" ht="25.5" x14ac:dyDescent="0.25">
      <c r="B19" s="137" t="s">
        <v>25</v>
      </c>
      <c r="C19" s="121">
        <f t="shared" si="0"/>
        <v>7.6294277929155316E-2</v>
      </c>
      <c r="D19" s="11">
        <f>COUNTIF('ENCUESTA PROPIETARIOS'!$AH$7:$AH$417,"X")</f>
        <v>56</v>
      </c>
      <c r="H19" s="158">
        <v>4</v>
      </c>
      <c r="I19" s="158" t="s">
        <v>857</v>
      </c>
      <c r="J19" s="176">
        <f>COUNTIF('ENCUESTA PROPIETARIOS'!$AZ$7:$AZ$417,'FORMULAS 2'!H19)</f>
        <v>28</v>
      </c>
      <c r="L19" s="158">
        <v>4</v>
      </c>
      <c r="M19" s="158" t="s">
        <v>857</v>
      </c>
      <c r="N19" s="176">
        <f>COUNTIF('ENCUESTA PROPIETARIOS'!$BA$7:$BA$417,'FORMULAS 2'!L19)</f>
        <v>0</v>
      </c>
      <c r="O19" s="249"/>
    </row>
    <row r="20" spans="2:15" x14ac:dyDescent="0.25">
      <c r="B20" s="137" t="s">
        <v>26</v>
      </c>
      <c r="C20" s="121">
        <f t="shared" si="0"/>
        <v>8.5831062670299732E-2</v>
      </c>
      <c r="D20" s="11">
        <f>COUNTIF('ENCUESTA PROPIETARIOS'!$AI$7:$AI$417,"X")</f>
        <v>63</v>
      </c>
      <c r="H20" s="141"/>
      <c r="I20" s="158"/>
      <c r="J20" s="249"/>
      <c r="L20" s="141"/>
      <c r="M20" s="141"/>
      <c r="N20" s="249"/>
      <c r="O20" s="249"/>
    </row>
    <row r="21" spans="2:15" ht="25.5" x14ac:dyDescent="0.25">
      <c r="B21" s="137" t="s">
        <v>1659</v>
      </c>
      <c r="C21" s="121">
        <f t="shared" si="0"/>
        <v>6.9482288828337874E-2</v>
      </c>
      <c r="D21" s="11">
        <f>COUNTIF('ENCUESTA PROPIETARIOS'!$AJ$7:$AJ$417,"X")+COUNTIF('ENCUESTA PROPIETARIOS'!$AD$7:$AD$417,"X")</f>
        <v>51</v>
      </c>
      <c r="H21" s="141" t="s">
        <v>1662</v>
      </c>
      <c r="I21" s="158"/>
      <c r="J21" s="249">
        <f>SUM(J16:J19)</f>
        <v>408</v>
      </c>
      <c r="L21" s="141" t="s">
        <v>1662</v>
      </c>
      <c r="M21" s="141"/>
      <c r="N21" s="249">
        <f>SUM(N16:N19)</f>
        <v>73</v>
      </c>
      <c r="O21" s="249"/>
    </row>
    <row r="22" spans="2:15" x14ac:dyDescent="0.25">
      <c r="B22" s="137" t="s">
        <v>197</v>
      </c>
      <c r="C22" s="121">
        <f t="shared" si="0"/>
        <v>0.10354223433242507</v>
      </c>
      <c r="D22" s="11">
        <f>COUNTIF('ENCUESTA PROPIETARIOS'!$AK$7:$AK$417,"GENERAL")+COUNTIF('ENCUESTA PROPIETARIOS'!$AK$7:$AK$417,"GANADO EN PIE")+COUNTIF('ENCUESTA PROPIETARIOS'!$AK$7:$AK$417,"AGUA")+COUNTIF('ENCUESTA PROPIETARIOS'!$AK$7:$AK$417,"CARTÓN Y PAPEL")+COUNTIF('ENCUESTA PROPIETARIOS'!$AK$7:$AK$417,"ELECTRODOMESTICOS")+COUNTIF('ENCUESTA PROPIETARIOS'!$AK$7:$AK$417,"MAQUINARIA")</f>
        <v>76</v>
      </c>
    </row>
    <row r="23" spans="2:15" x14ac:dyDescent="0.25">
      <c r="B23" s="11" t="s">
        <v>715</v>
      </c>
      <c r="C23" s="121">
        <f t="shared" si="0"/>
        <v>1</v>
      </c>
      <c r="D23" s="11">
        <f>SUM(D14:D22)</f>
        <v>734</v>
      </c>
    </row>
    <row r="24" spans="2:15" x14ac:dyDescent="0.25">
      <c r="B24" s="11"/>
      <c r="C24" s="188"/>
      <c r="D24" s="11"/>
    </row>
    <row r="25" spans="2:15" x14ac:dyDescent="0.25">
      <c r="B25" s="11"/>
      <c r="C25" s="11"/>
      <c r="D25" s="11"/>
    </row>
    <row r="26" spans="2:15" x14ac:dyDescent="0.25">
      <c r="B26" s="249" t="s">
        <v>845</v>
      </c>
      <c r="C26" s="17" t="s">
        <v>718</v>
      </c>
      <c r="D26" s="249" t="s">
        <v>1022</v>
      </c>
      <c r="E26" s="11" t="s">
        <v>1660</v>
      </c>
      <c r="F26" s="17" t="s">
        <v>718</v>
      </c>
      <c r="H26" s="112"/>
      <c r="I26" s="249"/>
      <c r="J26" s="249"/>
    </row>
    <row r="27" spans="2:15" x14ac:dyDescent="0.25">
      <c r="B27" s="249">
        <v>0</v>
      </c>
      <c r="C27" s="6">
        <f>+D27/$D$40</f>
        <v>0.11922141119221411</v>
      </c>
      <c r="D27" s="249">
        <f>COUNTIF('ENCUESTA PROPIETARIOS'!$AS$7:$AS$417,FORMULAS!J23)</f>
        <v>49</v>
      </c>
      <c r="E27" s="249">
        <v>0</v>
      </c>
      <c r="F27" s="6">
        <f t="shared" ref="F27:F39" si="1">+G27/$G$39</f>
        <v>0.11922141119221411</v>
      </c>
      <c r="G27" s="249">
        <f>COUNTIF('ENCUESTA PROPIETARIOS'!$AR$7:$AR$417,FORMULAS!J23)</f>
        <v>49</v>
      </c>
      <c r="H27" s="249"/>
      <c r="I27" s="249"/>
      <c r="J27" s="176"/>
    </row>
    <row r="28" spans="2:15" x14ac:dyDescent="0.25">
      <c r="B28" s="249">
        <v>1</v>
      </c>
      <c r="C28" s="6">
        <f t="shared" ref="C28:C40" si="2">+D28/$D$40</f>
        <v>0.15815085158150852</v>
      </c>
      <c r="D28" s="249">
        <f>COUNTIF('ENCUESTA PROPIETARIOS'!$AS$7:$AS$417,FORMULAS!J24)</f>
        <v>65</v>
      </c>
      <c r="E28" s="249">
        <v>1</v>
      </c>
      <c r="F28" s="6">
        <f t="shared" si="1"/>
        <v>1.9464720194647202E-2</v>
      </c>
      <c r="G28" s="249">
        <f>COUNTIF('ENCUESTA PROPIETARIOS'!$AR$7:$AR$417,FORMULAS!J24)</f>
        <v>8</v>
      </c>
      <c r="H28" s="158"/>
      <c r="I28" s="189"/>
      <c r="K28" s="176"/>
      <c r="L28" s="250"/>
    </row>
    <row r="29" spans="2:15" x14ac:dyDescent="0.25">
      <c r="B29" s="249">
        <v>2</v>
      </c>
      <c r="C29" s="6">
        <f t="shared" si="2"/>
        <v>9.9756690997566913E-2</v>
      </c>
      <c r="D29" s="249">
        <f>COUNTIF('ENCUESTA PROPIETARIOS'!$AS$7:$AS$417,FORMULAS!J25)</f>
        <v>41</v>
      </c>
      <c r="E29" s="249">
        <v>2</v>
      </c>
      <c r="F29" s="6">
        <f t="shared" si="1"/>
        <v>2.4330900243309003E-3</v>
      </c>
      <c r="G29" s="249">
        <f>COUNTIF('ENCUESTA PROPIETARIOS'!$AR$7:$AR$417,FORMULAS!J25)</f>
        <v>1</v>
      </c>
      <c r="H29" s="158"/>
      <c r="I29" s="189"/>
      <c r="K29" s="176"/>
      <c r="L29" s="250"/>
    </row>
    <row r="30" spans="2:15" x14ac:dyDescent="0.25">
      <c r="B30" s="249">
        <v>3</v>
      </c>
      <c r="C30" s="6">
        <f t="shared" si="2"/>
        <v>0.13868613138686131</v>
      </c>
      <c r="D30" s="249">
        <f>COUNTIF('ENCUESTA PROPIETARIOS'!$AS$7:$AS$417,FORMULAS!J26)</f>
        <v>57</v>
      </c>
      <c r="E30" s="249">
        <v>3</v>
      </c>
      <c r="F30" s="6">
        <f t="shared" si="1"/>
        <v>2.4330900243309004E-2</v>
      </c>
      <c r="G30" s="249">
        <f>COUNTIF('ENCUESTA PROPIETARIOS'!$AR$7:$AR$417,FORMULAS!J26)</f>
        <v>10</v>
      </c>
      <c r="H30" s="158"/>
      <c r="I30" s="189"/>
      <c r="K30" s="176"/>
      <c r="L30" s="250"/>
    </row>
    <row r="31" spans="2:15" x14ac:dyDescent="0.25">
      <c r="B31" s="249">
        <v>4</v>
      </c>
      <c r="C31" s="6">
        <f t="shared" si="2"/>
        <v>9.002433090024331E-2</v>
      </c>
      <c r="D31" s="249">
        <f>COUNTIF('ENCUESTA PROPIETARIOS'!$AS$7:$AS$417,FORMULAS!J27)</f>
        <v>37</v>
      </c>
      <c r="E31" s="249">
        <v>4</v>
      </c>
      <c r="F31" s="6">
        <f t="shared" si="1"/>
        <v>1.7031630170316302E-2</v>
      </c>
      <c r="G31" s="249">
        <f>COUNTIF('ENCUESTA PROPIETARIOS'!$AR$7:$AR$417,FORMULAS!J27)</f>
        <v>7</v>
      </c>
      <c r="H31" s="158"/>
      <c r="I31" s="189"/>
      <c r="K31" s="176"/>
      <c r="L31" s="250"/>
    </row>
    <row r="32" spans="2:15" x14ac:dyDescent="0.25">
      <c r="B32" s="249">
        <v>5</v>
      </c>
      <c r="C32" s="6">
        <f t="shared" si="2"/>
        <v>9.4890510948905105E-2</v>
      </c>
      <c r="D32" s="249">
        <f>COUNTIF('ENCUESTA PROPIETARIOS'!$AS$7:$AS$417,FORMULAS!J28)</f>
        <v>39</v>
      </c>
      <c r="E32" s="249">
        <v>5</v>
      </c>
      <c r="F32" s="6">
        <f t="shared" si="1"/>
        <v>8.2725060827250604E-2</v>
      </c>
      <c r="G32" s="249">
        <f>COUNTIF('ENCUESTA PROPIETARIOS'!$AR$7:$AR$417,FORMULAS!J28)</f>
        <v>34</v>
      </c>
      <c r="H32" s="141"/>
      <c r="K32" s="249"/>
      <c r="L32" s="250"/>
    </row>
    <row r="33" spans="2:12" x14ac:dyDescent="0.25">
      <c r="B33" s="249">
        <v>6</v>
      </c>
      <c r="C33" s="6">
        <f t="shared" si="2"/>
        <v>7.785888077858881E-2</v>
      </c>
      <c r="D33" s="249">
        <f>COUNTIF('ENCUESTA PROPIETARIOS'!$AS$7:$AS$417,FORMULAS!J29)</f>
        <v>32</v>
      </c>
      <c r="E33" s="249">
        <v>6</v>
      </c>
      <c r="F33" s="6">
        <f t="shared" si="1"/>
        <v>5.5961070559610707E-2</v>
      </c>
      <c r="G33" s="249">
        <f>COUNTIF('ENCUESTA PROPIETARIOS'!$AR$7:$AR$417,FORMULAS!J29)</f>
        <v>23</v>
      </c>
      <c r="H33" s="141"/>
      <c r="I33" s="189"/>
      <c r="J33" s="249"/>
      <c r="K33" s="249"/>
      <c r="L33" s="250"/>
    </row>
    <row r="34" spans="2:12" x14ac:dyDescent="0.25">
      <c r="B34" s="249">
        <v>7</v>
      </c>
      <c r="C34" s="6">
        <f t="shared" si="2"/>
        <v>3.4063260340632603E-2</v>
      </c>
      <c r="D34" s="249">
        <f>COUNTIF('ENCUESTA PROPIETARIOS'!$AS$7:$AS$417,FORMULAS!J30)</f>
        <v>14</v>
      </c>
      <c r="E34" s="249">
        <v>7</v>
      </c>
      <c r="F34" s="6">
        <f t="shared" si="1"/>
        <v>1.4598540145985401E-2</v>
      </c>
      <c r="G34" s="249">
        <f>COUNTIF('ENCUESTA PROPIETARIOS'!$AR$7:$AR$417,FORMULAS!J30)</f>
        <v>6</v>
      </c>
    </row>
    <row r="35" spans="2:12" x14ac:dyDescent="0.25">
      <c r="B35" s="249">
        <v>8</v>
      </c>
      <c r="C35" s="6">
        <f t="shared" si="2"/>
        <v>4.6228710462287104E-2</v>
      </c>
      <c r="D35" s="249">
        <f>COUNTIF('ENCUESTA PROPIETARIOS'!$AS$7:$AS$417,FORMULAS!J31)</f>
        <v>19</v>
      </c>
      <c r="E35" s="249">
        <v>8</v>
      </c>
      <c r="F35" s="6">
        <f t="shared" si="1"/>
        <v>9.4890510948905105E-2</v>
      </c>
      <c r="G35" s="249">
        <f>COUNTIF('ENCUESTA PROPIETARIOS'!$AR$7:$AR$417,FORMULAS!J31)</f>
        <v>39</v>
      </c>
    </row>
    <row r="36" spans="2:12" x14ac:dyDescent="0.25">
      <c r="B36" s="249">
        <v>9</v>
      </c>
      <c r="C36" s="6">
        <f t="shared" si="2"/>
        <v>1.2165450121654502E-2</v>
      </c>
      <c r="D36" s="249">
        <f>COUNTIF('ENCUESTA PROPIETARIOS'!$AS$7:$AS$417,FORMULAS!J32)</f>
        <v>5</v>
      </c>
      <c r="E36" s="249">
        <v>9</v>
      </c>
      <c r="F36" s="6">
        <f t="shared" si="1"/>
        <v>3.1630170316301706E-2</v>
      </c>
      <c r="G36" s="249">
        <f>COUNTIF('ENCUESTA PROPIETARIOS'!$AR$7:$AR$417,FORMULAS!J32)</f>
        <v>13</v>
      </c>
    </row>
    <row r="37" spans="2:12" x14ac:dyDescent="0.25">
      <c r="B37" s="249">
        <v>10</v>
      </c>
      <c r="C37" s="6">
        <f t="shared" si="2"/>
        <v>9.9756690997566913E-2</v>
      </c>
      <c r="D37" s="249">
        <f>COUNTIF('ENCUESTA PROPIETARIOS'!$AS$7:$AS$417,FORMULAS!J33)</f>
        <v>41</v>
      </c>
      <c r="E37" s="249">
        <v>10</v>
      </c>
      <c r="F37" s="6">
        <f t="shared" si="1"/>
        <v>0.52311435523114358</v>
      </c>
      <c r="G37" s="249">
        <f>COUNTIF('ENCUESTA PROPIETARIOS'!$AR$7:$AR$417,FORMULAS!J33)</f>
        <v>215</v>
      </c>
    </row>
    <row r="38" spans="2:12" x14ac:dyDescent="0.25">
      <c r="B38" s="249" t="s">
        <v>847</v>
      </c>
      <c r="C38" s="6">
        <f t="shared" si="2"/>
        <v>1.4598540145985401E-2</v>
      </c>
      <c r="D38" s="249">
        <f>COUNTIF('ENCUESTA PROPIETARIOS'!$AS$7:$AS$417,FORMULAS!J34)</f>
        <v>6</v>
      </c>
      <c r="E38" s="249" t="s">
        <v>396</v>
      </c>
      <c r="F38" s="6">
        <f t="shared" si="1"/>
        <v>1.4598540145985401E-2</v>
      </c>
      <c r="G38" s="249">
        <f>COUNTIF('ENCUESTA PROPIETARIOS'!$AR$7:$AR$417,FORMULAS!J35)</f>
        <v>6</v>
      </c>
    </row>
    <row r="39" spans="2:12" x14ac:dyDescent="0.25">
      <c r="B39" s="249" t="s">
        <v>396</v>
      </c>
      <c r="C39" s="6">
        <f t="shared" si="2"/>
        <v>1.4598540145985401E-2</v>
      </c>
      <c r="D39" s="249">
        <f>COUNTIF('ENCUESTA PROPIETARIOS'!$AS$7:$AS$417,FORMULAS!J35)</f>
        <v>6</v>
      </c>
      <c r="E39" s="249" t="s">
        <v>715</v>
      </c>
      <c r="F39" s="6">
        <f t="shared" si="1"/>
        <v>1</v>
      </c>
      <c r="G39" s="249">
        <f>SUM(G27:G38)</f>
        <v>411</v>
      </c>
    </row>
    <row r="40" spans="2:12" x14ac:dyDescent="0.25">
      <c r="B40" s="249" t="s">
        <v>715</v>
      </c>
      <c r="C40" s="6">
        <f t="shared" si="2"/>
        <v>1</v>
      </c>
      <c r="D40" s="249">
        <f>SUM(D27:D39)</f>
        <v>411</v>
      </c>
    </row>
    <row r="43" spans="2:12" x14ac:dyDescent="0.25">
      <c r="B43" s="249"/>
      <c r="C43" s="249"/>
      <c r="D43" s="249"/>
      <c r="E43" s="249"/>
      <c r="F43" s="249"/>
      <c r="G43" s="249"/>
    </row>
    <row r="44" spans="2:12" x14ac:dyDescent="0.25">
      <c r="B44" s="249"/>
      <c r="C44" s="249"/>
      <c r="D44" s="249"/>
      <c r="E44" s="249"/>
      <c r="F44" s="249"/>
      <c r="G44" s="249"/>
    </row>
    <row r="45" spans="2:12" x14ac:dyDescent="0.25">
      <c r="B45" s="249"/>
      <c r="C45" s="249"/>
      <c r="D45" s="249"/>
      <c r="E45" s="249"/>
      <c r="F45" s="249"/>
      <c r="G45" s="249"/>
    </row>
    <row r="46" spans="2:12" x14ac:dyDescent="0.25">
      <c r="B46" s="249"/>
      <c r="C46" s="249"/>
      <c r="D46" s="249"/>
      <c r="E46" s="249"/>
      <c r="F46" s="249"/>
      <c r="G46" s="249"/>
    </row>
    <row r="47" spans="2:12" x14ac:dyDescent="0.25">
      <c r="B47" s="249"/>
      <c r="C47" s="249"/>
      <c r="D47" s="249"/>
      <c r="E47" s="249"/>
      <c r="F47" s="249"/>
      <c r="G47" s="249"/>
    </row>
    <row r="48" spans="2:12" x14ac:dyDescent="0.25">
      <c r="B48" s="249"/>
      <c r="C48" s="249"/>
      <c r="D48" s="249"/>
      <c r="E48" s="249"/>
      <c r="F48" s="249"/>
      <c r="G48" s="249"/>
    </row>
    <row r="50" spans="2:4" x14ac:dyDescent="0.25">
      <c r="B50" s="11" t="s">
        <v>865</v>
      </c>
      <c r="C50" s="249" t="s">
        <v>718</v>
      </c>
      <c r="D50" s="249" t="s">
        <v>717</v>
      </c>
    </row>
    <row r="51" spans="2:4" x14ac:dyDescent="0.25">
      <c r="B51" s="150" t="s">
        <v>50</v>
      </c>
      <c r="C51" s="6">
        <f>+D51/D56</f>
        <v>0.36993243243243246</v>
      </c>
      <c r="D51" s="249">
        <f>COUNTIF('ENCUESTA PROPIETARIOS'!$BD$7:$BD$417,"X")</f>
        <v>219</v>
      </c>
    </row>
    <row r="52" spans="2:4" ht="30" x14ac:dyDescent="0.25">
      <c r="B52" s="151" t="s">
        <v>1669</v>
      </c>
      <c r="C52" s="6">
        <f>+D52/D56</f>
        <v>0.14695945945945946</v>
      </c>
      <c r="D52" s="249">
        <f>COUNTIF('ENCUESTA PROPIETARIOS'!$BE$7:$BE$417,"X")+COUNTIF('ENCUESTA PROPIETARIOS'!$BL$7:$BL$417,"X")</f>
        <v>87</v>
      </c>
    </row>
    <row r="53" spans="2:4" x14ac:dyDescent="0.25">
      <c r="B53" s="112" t="s">
        <v>867</v>
      </c>
      <c r="C53" s="6">
        <f>+D53/D56</f>
        <v>0.17398648648648649</v>
      </c>
      <c r="D53" s="249">
        <f>COUNTIF('ENCUESTA PROPIETARIOS'!$BK$7:$BK$417,"X")</f>
        <v>103</v>
      </c>
    </row>
    <row r="54" spans="2:4" x14ac:dyDescent="0.25">
      <c r="B54" s="151" t="s">
        <v>1667</v>
      </c>
      <c r="C54" s="6">
        <f>+D54/D56</f>
        <v>0.23141891891891891</v>
      </c>
      <c r="D54" s="249">
        <f>COUNTIF('ENCUESTA PROPIETARIOS'!$BF$7:$BF$417,"X")+COUNTIF('ENCUESTA PROPIETARIOS'!$BG$7:$BG$417,"X")</f>
        <v>137</v>
      </c>
    </row>
    <row r="55" spans="2:4" x14ac:dyDescent="0.25">
      <c r="B55" s="151" t="s">
        <v>1668</v>
      </c>
      <c r="C55" s="6">
        <f>+D55/D56</f>
        <v>7.77027027027027E-2</v>
      </c>
      <c r="D55" s="249">
        <f>COUNTIF('ENCUESTA PROPIETARIOS'!$BH$7:$BH$417,"X")+COUNTIF('ENCUESTA PROPIETARIOS'!$BI$7:$BI$417,"X")+COUNTIF('ENCUESTA PROPIETARIOS'!$BJ$7:$BJ$417,"X")+COUNTIF('ENCUESTA PROPIETARIOS'!$BM$7:$BM$417,"VARIABLE")</f>
        <v>46</v>
      </c>
    </row>
    <row r="56" spans="2:4" x14ac:dyDescent="0.25">
      <c r="B56" s="11" t="s">
        <v>715</v>
      </c>
      <c r="C56" s="6">
        <f>SUM(C51:C55)</f>
        <v>1</v>
      </c>
      <c r="D56" s="249">
        <f>SUM(D51:D55)</f>
        <v>592</v>
      </c>
    </row>
    <row r="59" spans="2:4" x14ac:dyDescent="0.25">
      <c r="B59" s="11" t="s">
        <v>893</v>
      </c>
      <c r="C59" s="249"/>
      <c r="D59" s="249"/>
    </row>
    <row r="60" spans="2:4" x14ac:dyDescent="0.25">
      <c r="B60" s="137" t="s">
        <v>885</v>
      </c>
      <c r="C60" s="6">
        <f>D60/D65</f>
        <v>0.15045871559633028</v>
      </c>
      <c r="D60" s="249">
        <f>COUNTIF('ENCUESTA PROPIETARIOS'!$CB$7:$CB$417,"X")</f>
        <v>82</v>
      </c>
    </row>
    <row r="61" spans="2:4" x14ac:dyDescent="0.25">
      <c r="B61" s="137" t="s">
        <v>886</v>
      </c>
      <c r="C61" s="6">
        <f>D61/D65</f>
        <v>0.27706422018348625</v>
      </c>
      <c r="D61" s="249">
        <f>COUNTIF('ENCUESTA PROPIETARIOS'!$CC$7:$CC$417,"X")</f>
        <v>151</v>
      </c>
    </row>
    <row r="62" spans="2:4" x14ac:dyDescent="0.25">
      <c r="B62" s="137" t="s">
        <v>1671</v>
      </c>
      <c r="C62" s="6">
        <f>D62/D65</f>
        <v>0.15412844036697249</v>
      </c>
      <c r="D62" s="249">
        <f>COUNTIF('ENCUESTA PROPIETARIOS'!$CE$7:$CE$417,"X")+COUNTIF('ENCUESTA PROPIETARIOS'!$CF$7:$CF$417,"X")</f>
        <v>84</v>
      </c>
    </row>
    <row r="63" spans="2:4" x14ac:dyDescent="0.25">
      <c r="B63" s="137" t="s">
        <v>1670</v>
      </c>
      <c r="C63" s="6">
        <f>D63/D65</f>
        <v>0.25321100917431194</v>
      </c>
      <c r="D63" s="249">
        <f>COUNTIF('ENCUESTA PROPIETARIOS'!$CD$7:$CD$417,"X")+COUNTIF('ENCUESTA PROPIETARIOS'!$CH$7:$CH$417,"ARRENDAMIENTO")+COUNTIF('ENCUESTA PROPIETARIOS'!$CA$7:$CA$417,"X")+COUNTIF('ENCUESTA PROPIETARIOS'!$CH$7:$CH$417,"PRESTAMO GOBIERNO ESTATAL")+COUNTIF('ENCUESTA PROPIETARIOS'!$CH$7:$CH$417,"BANCARIO")+COUNTIF('ENCUESTA PROPIETARIOS'!$CH$7:$CH$417,"CREDITO HIPOTECARIO")</f>
        <v>138</v>
      </c>
    </row>
    <row r="64" spans="2:4" x14ac:dyDescent="0.25">
      <c r="B64" s="137" t="s">
        <v>890</v>
      </c>
      <c r="C64" s="6">
        <f>D64/D65</f>
        <v>0.16513761467889909</v>
      </c>
      <c r="D64" s="249">
        <f>COUNTIF('ENCUESTA PROPIETARIOS'!$CG$7:$CG$417,"X")</f>
        <v>90</v>
      </c>
    </row>
    <row r="65" spans="2:4" x14ac:dyDescent="0.25">
      <c r="B65" s="11" t="s">
        <v>715</v>
      </c>
      <c r="C65" s="6">
        <f>SUM(C60:C64)</f>
        <v>1</v>
      </c>
      <c r="D65" s="249">
        <f>SUM(D60:D64)</f>
        <v>545</v>
      </c>
    </row>
    <row r="66" spans="2:4" x14ac:dyDescent="0.25">
      <c r="C66" s="190"/>
    </row>
    <row r="68" spans="2:4" x14ac:dyDescent="0.25">
      <c r="B68" s="11" t="s">
        <v>1019</v>
      </c>
      <c r="C68" s="11"/>
    </row>
    <row r="69" spans="2:4" x14ac:dyDescent="0.25">
      <c r="B69" s="137" t="s">
        <v>11</v>
      </c>
      <c r="C69" s="6">
        <f>D69/D76</f>
        <v>0.35462555066079293</v>
      </c>
      <c r="D69" s="11">
        <f>SUM('ENCUESTA PROPIETARIOS'!$O$7:$O$417)</f>
        <v>483</v>
      </c>
    </row>
    <row r="70" spans="2:4" ht="25.5" x14ac:dyDescent="0.25">
      <c r="B70" s="137" t="s">
        <v>1672</v>
      </c>
      <c r="C70" s="6">
        <f>D70/D76</f>
        <v>0.23348017621145375</v>
      </c>
      <c r="D70" s="11">
        <f>SUM('ENCUESTA PROPIETARIOS'!$Q$7:$Q$417)+SUM('ENCUESTA PROPIETARIOS'!$V$7:$V$417)+SUM('ENCUESTA PROPIETARIOS'!$W$7:$W$417)</f>
        <v>318</v>
      </c>
    </row>
    <row r="71" spans="2:4" x14ac:dyDescent="0.25">
      <c r="B71" s="137" t="s">
        <v>14</v>
      </c>
      <c r="C71" s="6">
        <f>D71/D76</f>
        <v>0.20264317180616739</v>
      </c>
      <c r="D71" s="11">
        <f>SUM('ENCUESTA PROPIETARIOS'!$R$7:$R$417)+SUM('ENCUESTA PROPIETARIOS'!$P$7:$P$417)</f>
        <v>276</v>
      </c>
    </row>
    <row r="72" spans="2:4" x14ac:dyDescent="0.25">
      <c r="B72" s="137" t="s">
        <v>15</v>
      </c>
      <c r="C72" s="6">
        <f>D72/D76</f>
        <v>6.6079295154185022E-2</v>
      </c>
      <c r="D72" s="11">
        <f>SUM('ENCUESTA PROPIETARIOS'!$S$7:$S$417)</f>
        <v>90</v>
      </c>
    </row>
    <row r="73" spans="2:4" x14ac:dyDescent="0.25">
      <c r="B73" s="137" t="s">
        <v>1673</v>
      </c>
      <c r="C73" s="6">
        <f>D73/D76</f>
        <v>3.3039647577092511E-2</v>
      </c>
      <c r="D73" s="11">
        <f>SUM('ENCUESTA PROPIETARIOS'!$U$7:$U$417)+SUM('ENCUESTA PROPIETARIOS'!$Y$7:$Y$417)</f>
        <v>45</v>
      </c>
    </row>
    <row r="74" spans="2:4" x14ac:dyDescent="0.25">
      <c r="B74" s="137" t="s">
        <v>1674</v>
      </c>
      <c r="C74" s="6">
        <f>D74/D76</f>
        <v>0.10792951541850221</v>
      </c>
      <c r="D74" s="11">
        <f>SUM('ENCUESTA PROPIETARIOS'!$Z$7:$Z$417)+SUM('ENCUESTA PROPIETARIOS'!$X$7:$X$417)</f>
        <v>147</v>
      </c>
    </row>
    <row r="75" spans="2:4" x14ac:dyDescent="0.25">
      <c r="B75" s="137" t="s">
        <v>828</v>
      </c>
      <c r="C75" s="6">
        <f>D75/D76</f>
        <v>2.2026431718061676E-3</v>
      </c>
      <c r="D75" s="11">
        <f>COUNTA('ENCUESTA PROPIETARIOS'!$AA$7:$AA$417)-COUNTIF('ENCUESTA PROPIETARIOS'!$AA$7:$AA$417,"(REDILAS)")+SUM('ENCUESTA PROPIETARIOS'!$T$7:$T$417)</f>
        <v>3</v>
      </c>
    </row>
    <row r="76" spans="2:4" x14ac:dyDescent="0.25">
      <c r="B76" s="11" t="s">
        <v>715</v>
      </c>
      <c r="C76" s="188">
        <f>SUM(C69:C75)</f>
        <v>1</v>
      </c>
      <c r="D76" s="11">
        <f>SUM(D69:D75)</f>
        <v>1362</v>
      </c>
    </row>
  </sheetData>
  <pageMargins left="0.7" right="0.7" top="0.75" bottom="0.75" header="0.3" footer="0.3"/>
  <pageSetup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O25:U104"/>
  <sheetViews>
    <sheetView zoomScale="80" zoomScaleNormal="80" workbookViewId="0"/>
  </sheetViews>
  <sheetFormatPr baseColWidth="10" defaultColWidth="11.42578125" defaultRowHeight="15" x14ac:dyDescent="0.25"/>
  <cols>
    <col min="1" max="15" width="11.42578125" style="17"/>
    <col min="16" max="16" width="14.42578125" style="17" customWidth="1"/>
    <col min="17" max="17" width="13.28515625" style="17" customWidth="1"/>
    <col min="18" max="18" width="13.140625" style="17" customWidth="1"/>
    <col min="19" max="19" width="13.28515625" style="17" customWidth="1"/>
    <col min="20" max="20" width="13.7109375" style="17" customWidth="1"/>
    <col min="21" max="16384" width="11.42578125" style="17"/>
  </cols>
  <sheetData>
    <row r="25" spans="16:18" x14ac:dyDescent="0.25">
      <c r="P25" s="2"/>
      <c r="Q25" s="2"/>
      <c r="R25" s="179"/>
    </row>
    <row r="26" spans="16:18" x14ac:dyDescent="0.25">
      <c r="P26" s="370"/>
      <c r="Q26" s="370"/>
      <c r="R26" s="370"/>
    </row>
    <row r="27" spans="16:18" x14ac:dyDescent="0.25">
      <c r="P27" s="180"/>
      <c r="Q27" s="180"/>
      <c r="R27" s="181"/>
    </row>
    <row r="28" spans="16:18" x14ac:dyDescent="0.25">
      <c r="P28" s="179"/>
      <c r="Q28" s="179"/>
      <c r="R28" s="182"/>
    </row>
    <row r="29" spans="16:18" x14ac:dyDescent="0.25">
      <c r="P29" s="179"/>
      <c r="Q29" s="179"/>
      <c r="R29" s="182"/>
    </row>
    <row r="30" spans="16:18" x14ac:dyDescent="0.25">
      <c r="P30" s="179"/>
      <c r="Q30" s="179"/>
      <c r="R30" s="182"/>
    </row>
    <row r="31" spans="16:18" x14ac:dyDescent="0.25">
      <c r="P31" s="179"/>
      <c r="Q31" s="179"/>
      <c r="R31" s="182"/>
    </row>
    <row r="32" spans="16:18" x14ac:dyDescent="0.25">
      <c r="P32" s="179"/>
      <c r="Q32" s="179"/>
      <c r="R32" s="182"/>
    </row>
    <row r="33" spans="16:18" x14ac:dyDescent="0.25">
      <c r="P33" s="179"/>
      <c r="Q33" s="179"/>
      <c r="R33" s="182"/>
    </row>
    <row r="34" spans="16:18" x14ac:dyDescent="0.25">
      <c r="P34" s="179"/>
      <c r="Q34" s="179"/>
      <c r="R34" s="182"/>
    </row>
    <row r="35" spans="16:18" x14ac:dyDescent="0.25">
      <c r="P35" s="179"/>
      <c r="Q35" s="179"/>
      <c r="R35" s="182"/>
    </row>
    <row r="36" spans="16:18" x14ac:dyDescent="0.25">
      <c r="P36" s="179"/>
      <c r="Q36" s="179"/>
      <c r="R36" s="182"/>
    </row>
    <row r="70" spans="15:20" x14ac:dyDescent="0.25">
      <c r="O70" s="179"/>
      <c r="P70" s="179"/>
      <c r="Q70" s="179"/>
      <c r="R70" s="179"/>
      <c r="S70" s="179"/>
      <c r="T70" s="179"/>
    </row>
    <row r="71" spans="15:20" x14ac:dyDescent="0.25">
      <c r="O71" s="179"/>
      <c r="P71" s="2"/>
      <c r="Q71" s="2"/>
      <c r="R71" s="179"/>
      <c r="S71" s="179"/>
      <c r="T71" s="179"/>
    </row>
    <row r="72" spans="15:20" x14ac:dyDescent="0.25">
      <c r="O72" s="179"/>
      <c r="P72" s="371"/>
      <c r="Q72" s="371"/>
      <c r="R72" s="371"/>
      <c r="S72" s="179"/>
      <c r="T72" s="179"/>
    </row>
    <row r="73" spans="15:20" x14ac:dyDescent="0.25">
      <c r="O73" s="179"/>
      <c r="P73" s="180"/>
      <c r="Q73" s="180"/>
      <c r="R73" s="181"/>
      <c r="S73" s="179"/>
      <c r="T73" s="179"/>
    </row>
    <row r="74" spans="15:20" x14ac:dyDescent="0.25">
      <c r="O74" s="179"/>
      <c r="P74" s="179"/>
      <c r="Q74" s="179"/>
      <c r="R74" s="182"/>
      <c r="S74" s="179"/>
      <c r="T74" s="179"/>
    </row>
    <row r="75" spans="15:20" x14ac:dyDescent="0.25">
      <c r="O75" s="179"/>
      <c r="P75" s="179"/>
      <c r="Q75" s="179"/>
      <c r="R75" s="182"/>
      <c r="S75" s="179"/>
      <c r="T75" s="179"/>
    </row>
    <row r="76" spans="15:20" x14ac:dyDescent="0.25">
      <c r="O76" s="179"/>
      <c r="P76" s="183"/>
      <c r="Q76" s="183"/>
      <c r="R76" s="182"/>
      <c r="S76" s="179"/>
      <c r="T76" s="179"/>
    </row>
    <row r="77" spans="15:20" x14ac:dyDescent="0.25">
      <c r="O77" s="179"/>
      <c r="P77" s="179"/>
      <c r="Q77" s="179"/>
      <c r="R77" s="182"/>
      <c r="S77" s="179"/>
      <c r="T77" s="179"/>
    </row>
    <row r="78" spans="15:20" x14ac:dyDescent="0.25">
      <c r="O78" s="179"/>
      <c r="P78" s="179"/>
      <c r="Q78" s="179"/>
      <c r="R78" s="179"/>
      <c r="S78" s="179"/>
      <c r="T78" s="179"/>
    </row>
    <row r="79" spans="15:20" x14ac:dyDescent="0.25">
      <c r="O79" s="179"/>
      <c r="P79" s="179"/>
      <c r="Q79" s="179"/>
      <c r="R79" s="179"/>
      <c r="S79" s="179"/>
      <c r="T79" s="179"/>
    </row>
    <row r="80" spans="15:20" x14ac:dyDescent="0.25">
      <c r="O80" s="179"/>
      <c r="P80" s="179"/>
      <c r="Q80" s="179"/>
      <c r="R80" s="179"/>
      <c r="S80" s="179"/>
      <c r="T80" s="179"/>
    </row>
    <row r="93" spans="15:21" x14ac:dyDescent="0.25">
      <c r="O93" s="179"/>
      <c r="P93" s="179"/>
      <c r="Q93" s="179"/>
      <c r="R93" s="179"/>
      <c r="S93" s="179"/>
      <c r="T93" s="179"/>
      <c r="U93" s="179"/>
    </row>
    <row r="94" spans="15:21" x14ac:dyDescent="0.25">
      <c r="O94" s="179"/>
      <c r="P94" s="179"/>
      <c r="Q94" s="179"/>
      <c r="R94" s="179"/>
      <c r="S94" s="179"/>
      <c r="T94" s="179"/>
      <c r="U94" s="179"/>
    </row>
    <row r="95" spans="15:21" x14ac:dyDescent="0.25">
      <c r="O95" s="179"/>
      <c r="P95" s="2"/>
      <c r="Q95" s="2"/>
      <c r="R95" s="179"/>
      <c r="S95" s="179"/>
      <c r="T95" s="179"/>
      <c r="U95" s="179"/>
    </row>
    <row r="96" spans="15:21" ht="28.9" customHeight="1" x14ac:dyDescent="0.25">
      <c r="O96" s="179"/>
      <c r="P96" s="372"/>
      <c r="Q96" s="372"/>
      <c r="R96" s="372"/>
      <c r="S96" s="372"/>
      <c r="T96" s="372"/>
      <c r="U96" s="179"/>
    </row>
    <row r="97" spans="15:21" x14ac:dyDescent="0.25">
      <c r="O97" s="179"/>
      <c r="P97" s="180"/>
      <c r="Q97" s="184"/>
      <c r="R97" s="185"/>
      <c r="S97" s="184"/>
      <c r="T97" s="184"/>
      <c r="U97" s="179"/>
    </row>
    <row r="98" spans="15:21" x14ac:dyDescent="0.25">
      <c r="O98" s="179"/>
      <c r="P98" s="179"/>
      <c r="Q98" s="179"/>
      <c r="R98" s="179"/>
      <c r="S98" s="179"/>
      <c r="T98" s="179"/>
      <c r="U98" s="179"/>
    </row>
    <row r="99" spans="15:21" x14ac:dyDescent="0.25">
      <c r="O99" s="179"/>
      <c r="P99" s="179"/>
      <c r="Q99" s="179"/>
      <c r="R99" s="179"/>
      <c r="S99" s="179"/>
      <c r="T99" s="179"/>
      <c r="U99" s="179"/>
    </row>
    <row r="100" spans="15:21" x14ac:dyDescent="0.25">
      <c r="O100" s="179"/>
      <c r="P100" s="2"/>
      <c r="Q100" s="179"/>
      <c r="R100" s="179"/>
      <c r="S100" s="179"/>
      <c r="T100" s="179"/>
      <c r="U100" s="179"/>
    </row>
    <row r="101" spans="15:21" x14ac:dyDescent="0.25">
      <c r="O101" s="179"/>
      <c r="P101" s="179"/>
      <c r="Q101" s="179"/>
      <c r="R101" s="179"/>
      <c r="S101" s="179"/>
      <c r="T101" s="179"/>
      <c r="U101" s="179"/>
    </row>
    <row r="102" spans="15:21" x14ac:dyDescent="0.25">
      <c r="O102" s="179"/>
      <c r="P102" s="179"/>
      <c r="Q102" s="179"/>
      <c r="R102" s="179"/>
      <c r="S102" s="179"/>
      <c r="T102" s="182"/>
      <c r="U102" s="179"/>
    </row>
    <row r="103" spans="15:21" x14ac:dyDescent="0.25">
      <c r="O103" s="179"/>
      <c r="P103" s="179"/>
      <c r="Q103" s="179"/>
      <c r="R103" s="179"/>
      <c r="S103" s="179"/>
      <c r="T103" s="179"/>
      <c r="U103" s="179"/>
    </row>
    <row r="104" spans="15:21" x14ac:dyDescent="0.25">
      <c r="O104" s="179"/>
      <c r="P104" s="179"/>
      <c r="Q104" s="179"/>
      <c r="R104" s="179"/>
      <c r="S104" s="179"/>
      <c r="T104" s="179"/>
      <c r="U104" s="179"/>
    </row>
  </sheetData>
  <mergeCells count="3">
    <mergeCell ref="P26:R26"/>
    <mergeCell ref="P72:R72"/>
    <mergeCell ref="P96:T9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2:BC94"/>
  <sheetViews>
    <sheetView workbookViewId="0"/>
  </sheetViews>
  <sheetFormatPr baseColWidth="10" defaultColWidth="11.42578125" defaultRowHeight="15" x14ac:dyDescent="0.25"/>
  <cols>
    <col min="1" max="1" width="11.42578125" style="11"/>
    <col min="2" max="2" width="13.5703125" style="11" customWidth="1"/>
    <col min="3" max="3" width="11.42578125" style="249"/>
    <col min="4" max="4" width="11.85546875" style="249" bestFit="1" customWidth="1"/>
    <col min="5" max="5" width="12.140625" style="249" bestFit="1" customWidth="1"/>
    <col min="6" max="6" width="11.42578125" style="249"/>
    <col min="7" max="14" width="11.42578125" style="11"/>
    <col min="15" max="15" width="20.7109375" style="11" customWidth="1"/>
    <col min="16" max="16" width="11.42578125" style="11"/>
    <col min="17" max="17" width="11.42578125" style="249"/>
    <col min="18" max="18" width="11.42578125" style="11"/>
    <col min="19" max="19" width="11.42578125" style="249"/>
    <col min="20" max="20" width="11.42578125" style="11"/>
    <col min="21" max="21" width="20.42578125" style="11" customWidth="1"/>
    <col min="22" max="26" width="11.42578125" style="11"/>
    <col min="27" max="27" width="25.28515625" style="11" customWidth="1"/>
    <col min="28" max="31" width="11.42578125" style="249"/>
    <col min="32" max="35" width="11.42578125" style="11"/>
    <col min="36" max="36" width="27.7109375" style="11" customWidth="1"/>
    <col min="37" max="38" width="11.42578125" style="249"/>
    <col min="39" max="39" width="13.5703125" style="249" customWidth="1"/>
    <col min="40" max="40" width="14.5703125" style="249" customWidth="1"/>
    <col min="41" max="41" width="11.42578125" style="11"/>
    <col min="42" max="42" width="19.85546875" style="11" customWidth="1"/>
    <col min="43" max="43" width="14.28515625" style="249" bestFit="1" customWidth="1"/>
    <col min="44" max="44" width="14.28515625" style="11" bestFit="1" customWidth="1"/>
    <col min="45" max="45" width="13.85546875" style="249" bestFit="1" customWidth="1"/>
    <col min="46" max="46" width="11.42578125" style="11"/>
    <col min="47" max="47" width="32.5703125" style="11" customWidth="1"/>
    <col min="48" max="16384" width="11.42578125" style="11"/>
  </cols>
  <sheetData>
    <row r="2" spans="1:51" x14ac:dyDescent="0.25">
      <c r="A2" s="11" t="s">
        <v>1684</v>
      </c>
    </row>
    <row r="3" spans="1:51" x14ac:dyDescent="0.25">
      <c r="E3" s="249" t="s">
        <v>1685</v>
      </c>
      <c r="F3" s="249" t="s">
        <v>1686</v>
      </c>
      <c r="G3" s="11" t="s">
        <v>1687</v>
      </c>
      <c r="I3" s="112" t="s">
        <v>1695</v>
      </c>
      <c r="J3" s="249"/>
      <c r="K3" s="249"/>
      <c r="L3" s="250"/>
      <c r="M3" s="17"/>
      <c r="O3" s="11" t="s">
        <v>1700</v>
      </c>
      <c r="U3" s="11" t="s">
        <v>945</v>
      </c>
      <c r="V3" s="11" t="s">
        <v>718</v>
      </c>
      <c r="W3" s="11" t="s">
        <v>715</v>
      </c>
      <c r="X3" s="11" t="s">
        <v>1717</v>
      </c>
      <c r="Y3" s="11" t="s">
        <v>1718</v>
      </c>
      <c r="AA3" s="11" t="s">
        <v>1679</v>
      </c>
      <c r="AC3" s="249" t="s">
        <v>1738</v>
      </c>
      <c r="AD3" s="249" t="s">
        <v>1739</v>
      </c>
      <c r="AE3" s="249" t="s">
        <v>1866</v>
      </c>
      <c r="AJ3" s="11" t="s">
        <v>1779</v>
      </c>
      <c r="AK3" s="249" t="s">
        <v>718</v>
      </c>
      <c r="AL3" s="249" t="s">
        <v>1662</v>
      </c>
      <c r="AM3" s="249" t="s">
        <v>1717</v>
      </c>
      <c r="AN3" s="249" t="s">
        <v>1718</v>
      </c>
      <c r="AP3" s="112" t="s">
        <v>1863</v>
      </c>
      <c r="AQ3" s="249" t="s">
        <v>1717</v>
      </c>
      <c r="AR3" s="249" t="s">
        <v>1718</v>
      </c>
      <c r="AS3" s="249" t="s">
        <v>715</v>
      </c>
      <c r="AU3" s="11" t="s">
        <v>1679</v>
      </c>
      <c r="AV3" s="249"/>
      <c r="AW3" s="249" t="s">
        <v>1717</v>
      </c>
      <c r="AX3" s="249" t="s">
        <v>1718</v>
      </c>
      <c r="AY3" s="249" t="s">
        <v>1866</v>
      </c>
    </row>
    <row r="4" spans="1:51" ht="25.5" x14ac:dyDescent="0.25">
      <c r="B4" s="7" t="s">
        <v>19</v>
      </c>
      <c r="C4" s="6">
        <f t="shared" ref="C4:C11" si="0">D4/$D$13</f>
        <v>0.15736766809728184</v>
      </c>
      <c r="D4" s="249">
        <f t="shared" ref="D4:D11" si="1">+F4+E4</f>
        <v>220</v>
      </c>
      <c r="E4" s="249">
        <f>COUNTIF('ENCUESTA PROPIETARIOS'!$AB$7:$AB$417,"X")</f>
        <v>140</v>
      </c>
      <c r="F4" s="249">
        <f>+'[1]ENCUESTA CONDUCTORES'!$BJ$461</f>
        <v>80</v>
      </c>
      <c r="I4" s="249"/>
      <c r="J4" s="249"/>
      <c r="K4" s="176"/>
      <c r="L4" s="250"/>
      <c r="M4" s="17"/>
      <c r="O4" s="11" t="s">
        <v>348</v>
      </c>
      <c r="P4" s="121">
        <f>Q4/$Q$9</f>
        <v>0.22051639916259597</v>
      </c>
      <c r="Q4" s="249">
        <f>+R4+S4</f>
        <v>316</v>
      </c>
      <c r="R4" s="11">
        <f>COUNTIF('DETALLES UNIDADES'!$C$8:$C$987,'FORMULAS C+P'!O4)</f>
        <v>210</v>
      </c>
      <c r="S4" s="249">
        <f>+'[1]ENCUESTA CONDUCTORES'!$P$461</f>
        <v>106</v>
      </c>
      <c r="U4" s="11" t="s">
        <v>935</v>
      </c>
      <c r="V4" s="121">
        <f>+W4/$W$13</f>
        <v>2.5819958129797628E-2</v>
      </c>
      <c r="W4" s="153">
        <f>+X4+Y4</f>
        <v>37</v>
      </c>
      <c r="X4" s="153">
        <f>COUNTIF('DETALLES UNIDADES'!$J$8:$J$987,"NO CONTESTA")+COUNTIF('DETALLES UNIDADES'!$J$8:$J$987,"NO SABE")</f>
        <v>5</v>
      </c>
      <c r="Y4" s="153">
        <f>+[1]FORMULAS!$H$89</f>
        <v>32</v>
      </c>
      <c r="AA4" s="137" t="s">
        <v>133</v>
      </c>
      <c r="AB4" s="138">
        <f>+AC4+AD4</f>
        <v>846</v>
      </c>
      <c r="AC4" s="138">
        <f>COUNTIF('DETALLES UNIDADES'!$AD$8:$AD$987,"X")</f>
        <v>569</v>
      </c>
      <c r="AD4" s="138">
        <f>+[1]FORMULAS!$O37</f>
        <v>277</v>
      </c>
      <c r="AE4" s="6">
        <f>AB4/$Q$9</f>
        <v>0.59036985345429172</v>
      </c>
      <c r="AJ4" s="11" t="s">
        <v>814</v>
      </c>
      <c r="AK4" s="6">
        <f>+AL4/$AL$7</f>
        <v>0.31018518518518517</v>
      </c>
      <c r="AL4" s="249">
        <f>+AM4+AN4</f>
        <v>268</v>
      </c>
      <c r="AM4" s="249">
        <f>COUNTIF('ENCUESTA PROPIETARIOS'!$N$7:$N$417,1)</f>
        <v>202</v>
      </c>
      <c r="AN4" s="249">
        <f>COUNTIF('[1]ENCUESTA CONDUCTORES'!$E$7:$E$459,"X")</f>
        <v>66</v>
      </c>
      <c r="AP4" s="107" t="s">
        <v>1854</v>
      </c>
      <c r="AQ4" s="249">
        <f>+'ENCUESTA PROPIETARIOS'!D421</f>
        <v>24</v>
      </c>
      <c r="AR4" s="249">
        <f>+'[1]ENCUESTA CONDUCTORES'!$D462</f>
        <v>28</v>
      </c>
      <c r="AS4" s="249">
        <f t="shared" ref="AS4:AS15" si="2">+AQ4+AR4</f>
        <v>52</v>
      </c>
      <c r="AU4" s="137" t="s">
        <v>133</v>
      </c>
      <c r="AV4" s="138">
        <f>+AW4+AX4</f>
        <v>846</v>
      </c>
      <c r="AW4" s="138">
        <f>COUNTIF('DETALLES UNIDADES'!$AD$8:$AD$987,"X")</f>
        <v>569</v>
      </c>
      <c r="AX4" s="138">
        <f>+[1]FORMULAS!$O37</f>
        <v>277</v>
      </c>
      <c r="AY4" s="6">
        <f t="shared" ref="AY4:AY10" si="3">AV4/$Q$9</f>
        <v>0.59036985345429172</v>
      </c>
    </row>
    <row r="5" spans="1:51" ht="25.5" x14ac:dyDescent="0.25">
      <c r="B5" s="7" t="s">
        <v>20</v>
      </c>
      <c r="C5" s="6">
        <f t="shared" si="0"/>
        <v>0.11587982832618025</v>
      </c>
      <c r="D5" s="249">
        <f t="shared" si="1"/>
        <v>162</v>
      </c>
      <c r="E5" s="249">
        <f>COUNTIF('ENCUESTA PROPIETARIOS'!$AC$7:$AC$417,"X")</f>
        <v>90</v>
      </c>
      <c r="F5" s="249">
        <f>+'[1]ENCUESTA CONDUCTORES'!$BK$461</f>
        <v>72</v>
      </c>
      <c r="I5" s="158" t="s">
        <v>43</v>
      </c>
      <c r="J5" s="6">
        <f>+K5/$K$42</f>
        <v>0.15754189944134078</v>
      </c>
      <c r="K5" s="249">
        <f>+L5+M5</f>
        <v>423</v>
      </c>
      <c r="L5" s="176">
        <f>COUNTIF('ENCUESTA PROPIETARIOS'!$AX$7:$AX$417,"1")</f>
        <v>165</v>
      </c>
      <c r="M5" s="249">
        <f>+'[1]ENCUESTA CONDUCTORES'!$BX$461</f>
        <v>258</v>
      </c>
      <c r="O5" s="11" t="s">
        <v>351</v>
      </c>
      <c r="P5" s="121">
        <f t="shared" ref="P5:P7" si="4">Q5/$Q$9</f>
        <v>0.19539427773900908</v>
      </c>
      <c r="Q5" s="249">
        <f t="shared" ref="Q5:Q7" si="5">+R5+S5</f>
        <v>280</v>
      </c>
      <c r="R5" s="11">
        <f>COUNTIF('DETALLES UNIDADES'!$C$8:$C$987,'FORMULAS C+P'!O5)</f>
        <v>196</v>
      </c>
      <c r="S5" s="249">
        <f>+'[1]ENCUESTA CONDUCTORES'!$Q$461</f>
        <v>84</v>
      </c>
      <c r="U5" s="11" t="s">
        <v>1028</v>
      </c>
      <c r="V5" s="121">
        <f t="shared" ref="V5:V12" si="6">+W5/$W$13</f>
        <v>2.09351011863224E-2</v>
      </c>
      <c r="W5" s="153">
        <f t="shared" ref="W5:W12" si="7">+X5+Y5</f>
        <v>30</v>
      </c>
      <c r="X5" s="153">
        <f>COUNTIF('DETALLES UNIDADES'!$J$8:$J$987,"DAÑADO")</f>
        <v>4</v>
      </c>
      <c r="Y5" s="153">
        <f>+[1]FORMULAS!$H$88</f>
        <v>26</v>
      </c>
      <c r="AA5" s="137" t="s">
        <v>134</v>
      </c>
      <c r="AB5" s="138">
        <f t="shared" ref="AB5:AB15" si="8">+AC5+AD5</f>
        <v>460</v>
      </c>
      <c r="AC5" s="138">
        <f>COUNTIF('DETALLES UNIDADES'!$AE$8:$AE$987,"X")</f>
        <v>460</v>
      </c>
      <c r="AD5" s="138">
        <f>+[1]FORMULAS!$O38</f>
        <v>0</v>
      </c>
      <c r="AE5" s="6">
        <f t="shared" ref="AE5:AE14" si="9">AB5/$Q$9</f>
        <v>0.32100488485694345</v>
      </c>
      <c r="AJ5" s="11" t="s">
        <v>1780</v>
      </c>
      <c r="AK5" s="6">
        <f t="shared" ref="AK5:AK7" si="10">+AL5/$AL$7</f>
        <v>0.50694444444444442</v>
      </c>
      <c r="AL5" s="249">
        <f t="shared" ref="AL5:AL6" si="11">+AM5+AN5</f>
        <v>438</v>
      </c>
      <c r="AM5" s="249">
        <f>COUNTIF('ENCUESTA PROPIETARIOS'!$N$7:$N$417,"&lt;6")-AM4</f>
        <v>175</v>
      </c>
      <c r="AN5" s="249">
        <f>COUNTIF('[1]ENCUESTA CONDUCTORES'!$F$7:$F$459,"X")+COUNTIF('[1]ENCUESTA CONDUCTORES'!$G$7:$G$459,"X")</f>
        <v>263</v>
      </c>
      <c r="AP5" s="107" t="s">
        <v>1404</v>
      </c>
      <c r="AQ5" s="249">
        <f>+'ENCUESTA PROPIETARIOS'!D422</f>
        <v>94</v>
      </c>
      <c r="AR5" s="249">
        <f>+'[1]ENCUESTA CONDUCTORES'!$D463</f>
        <v>228</v>
      </c>
      <c r="AS5" s="249">
        <f t="shared" si="2"/>
        <v>322</v>
      </c>
      <c r="AU5" s="137" t="s">
        <v>135</v>
      </c>
      <c r="AV5" s="138">
        <f>+AW5+AX5</f>
        <v>103</v>
      </c>
      <c r="AW5" s="138">
        <f>COUNTIF('DETALLES UNIDADES'!$AF$8:$AF$987,"X")</f>
        <v>86</v>
      </c>
      <c r="AX5" s="138">
        <f>+[1]FORMULAS!$O39</f>
        <v>17</v>
      </c>
      <c r="AY5" s="6">
        <f t="shared" si="3"/>
        <v>7.1877180739706906E-2</v>
      </c>
    </row>
    <row r="6" spans="1:51" ht="25.5" x14ac:dyDescent="0.25">
      <c r="B6" s="7" t="s">
        <v>1689</v>
      </c>
      <c r="C6" s="6">
        <f t="shared" si="0"/>
        <v>9.2989985693848351E-2</v>
      </c>
      <c r="D6" s="249">
        <f t="shared" si="1"/>
        <v>130</v>
      </c>
      <c r="E6" s="249">
        <f>COUNTIF('ENCUESTA PROPIETARIOS'!$AD$7:$AD$417,"X")+COUNTIF('ENCUESTA PROPIETARIOS'!$AJ$7:$AJ$417,"X")</f>
        <v>51</v>
      </c>
      <c r="F6" s="249">
        <f>+'[1]ENCUESTA CONDUCTORES'!$BL$461++'[1]ENCUESTA CONDUCTORES'!$BR$461</f>
        <v>79</v>
      </c>
      <c r="I6" s="158" t="s">
        <v>44</v>
      </c>
      <c r="J6" s="6">
        <f t="shared" ref="J6:J8" si="12">+K6/$K$42</f>
        <v>4.394785847299814E-2</v>
      </c>
      <c r="K6" s="249">
        <f t="shared" ref="K6:K8" si="13">+L6+M6</f>
        <v>118</v>
      </c>
      <c r="L6" s="176">
        <f>COUNTIF('ENCUESTA PROPIETARIOS'!$AY$7:$AY$417,"1")</f>
        <v>69</v>
      </c>
      <c r="M6" s="249">
        <f>+'[1]ENCUESTA CONDUCTORES'!$BY$461</f>
        <v>49</v>
      </c>
      <c r="O6" s="11" t="s">
        <v>359</v>
      </c>
      <c r="P6" s="121">
        <f t="shared" si="4"/>
        <v>3.9078855547801813E-2</v>
      </c>
      <c r="Q6" s="249">
        <f t="shared" si="5"/>
        <v>56</v>
      </c>
      <c r="R6" s="11">
        <f>COUNTIF('DETALLES UNIDADES'!$C$8:$C$987,'FORMULAS C+P'!O6)</f>
        <v>43</v>
      </c>
      <c r="S6" s="249">
        <f>+'[1]ENCUESTA CONDUCTORES'!$R$461</f>
        <v>13</v>
      </c>
      <c r="U6" s="11" t="s">
        <v>1712</v>
      </c>
      <c r="V6" s="121">
        <f t="shared" si="6"/>
        <v>0.14305652477320308</v>
      </c>
      <c r="W6" s="153">
        <f t="shared" si="7"/>
        <v>205</v>
      </c>
      <c r="X6" s="153">
        <f>COUNTIF('DETALLES UNIDADES'!$J$8:$J$987,"&lt;250,000")</f>
        <v>165</v>
      </c>
      <c r="Y6" s="11">
        <f>+[1]FORMULAS!$H81</f>
        <v>40</v>
      </c>
      <c r="AA6" s="137" t="s">
        <v>135</v>
      </c>
      <c r="AB6" s="138">
        <f t="shared" si="8"/>
        <v>103</v>
      </c>
      <c r="AC6" s="138">
        <f>COUNTIF('DETALLES UNIDADES'!$AF$8:$AF$987,"X")</f>
        <v>86</v>
      </c>
      <c r="AD6" s="138">
        <f>+[1]FORMULAS!$O39</f>
        <v>17</v>
      </c>
      <c r="AE6" s="6">
        <f t="shared" si="9"/>
        <v>7.1877180739706906E-2</v>
      </c>
      <c r="AJ6" s="11" t="s">
        <v>1781</v>
      </c>
      <c r="AK6" s="6">
        <f t="shared" si="10"/>
        <v>0.18287037037037038</v>
      </c>
      <c r="AL6" s="249">
        <f t="shared" si="11"/>
        <v>158</v>
      </c>
      <c r="AM6" s="249">
        <f>COUNTIF('ENCUESTA PROPIETARIOS'!$N$7:$N$417,"&lt;31")-AM5-AM4</f>
        <v>34</v>
      </c>
      <c r="AN6" s="249">
        <f>COUNTIF('[1]ENCUESTA CONDUCTORES'!$H$7:$H$459,"X")</f>
        <v>124</v>
      </c>
      <c r="AP6" s="107" t="s">
        <v>1855</v>
      </c>
      <c r="AQ6" s="249">
        <f>+'ENCUESTA PROPIETARIOS'!D423</f>
        <v>89</v>
      </c>
      <c r="AR6" s="249">
        <f>+'[1]ENCUESTA CONDUCTORES'!$D464</f>
        <v>27</v>
      </c>
      <c r="AS6" s="249">
        <f t="shared" si="2"/>
        <v>116</v>
      </c>
      <c r="AU6" s="137" t="s">
        <v>138</v>
      </c>
      <c r="AV6" s="138">
        <f t="shared" ref="AV6:AV11" si="14">+AW6+AX6</f>
        <v>441</v>
      </c>
      <c r="AW6" s="138">
        <f>COUNTIF('DETALLES UNIDADES'!$AI$8:$AI$987,"X")</f>
        <v>325</v>
      </c>
      <c r="AX6" s="138">
        <f>+[1]FORMULAS!$O42</f>
        <v>116</v>
      </c>
      <c r="AY6" s="6">
        <f t="shared" si="3"/>
        <v>0.30774598743893927</v>
      </c>
    </row>
    <row r="7" spans="1:51" ht="25.5" x14ac:dyDescent="0.25">
      <c r="B7" s="7" t="s">
        <v>22</v>
      </c>
      <c r="C7" s="6">
        <f t="shared" si="0"/>
        <v>9.7997138769670963E-2</v>
      </c>
      <c r="D7" s="249">
        <f t="shared" si="1"/>
        <v>137</v>
      </c>
      <c r="E7" s="249">
        <f>COUNTIF('ENCUESTA PROPIETARIOS'!$AE$7:$AE$417,"X")</f>
        <v>74</v>
      </c>
      <c r="F7" s="249">
        <f>+'[1]ENCUESTA CONDUCTORES'!$BM$461</f>
        <v>63</v>
      </c>
      <c r="I7" s="158" t="s">
        <v>45</v>
      </c>
      <c r="J7" s="6">
        <f t="shared" si="12"/>
        <v>7.4115456238361271E-2</v>
      </c>
      <c r="K7" s="249">
        <f t="shared" si="13"/>
        <v>199</v>
      </c>
      <c r="L7" s="176">
        <f>COUNTIF('ENCUESTA PROPIETARIOS'!$AZ$7:$AZ$417,"1")</f>
        <v>103</v>
      </c>
      <c r="M7" s="249">
        <f>+'[1]ENCUESTA CONDUCTORES'!$BZ$461</f>
        <v>96</v>
      </c>
      <c r="O7" s="11" t="s">
        <v>337</v>
      </c>
      <c r="P7" s="121">
        <f t="shared" si="4"/>
        <v>0.54501046755059313</v>
      </c>
      <c r="Q7" s="249">
        <f t="shared" si="5"/>
        <v>781</v>
      </c>
      <c r="R7" s="11">
        <f>COUNTIF('DETALLES UNIDADES'!$C$8:$C$987,'FORMULAS C+P'!O7)</f>
        <v>531</v>
      </c>
      <c r="S7" s="249">
        <f>+'[1]ENCUESTA CONDUCTORES'!$S$461</f>
        <v>250</v>
      </c>
      <c r="U7" s="11" t="s">
        <v>1716</v>
      </c>
      <c r="V7" s="121">
        <f t="shared" si="6"/>
        <v>0.15352407536636428</v>
      </c>
      <c r="W7" s="153">
        <f t="shared" si="7"/>
        <v>220</v>
      </c>
      <c r="X7" s="153">
        <f>COUNTIF('DETALLES UNIDADES'!$J$8:$J$987,"&lt;500,000")-X6</f>
        <v>153</v>
      </c>
      <c r="Y7" s="153">
        <f>+[1]FORMULAS!$H82</f>
        <v>67</v>
      </c>
      <c r="AA7" s="137" t="s">
        <v>280</v>
      </c>
      <c r="AB7" s="138">
        <f t="shared" si="8"/>
        <v>471</v>
      </c>
      <c r="AC7" s="138">
        <f>COUNTIF('DETALLES UNIDADES'!$AG$8:$AG$987,"X")</f>
        <v>413</v>
      </c>
      <c r="AD7" s="138">
        <f>+[1]FORMULAS!$O40</f>
        <v>58</v>
      </c>
      <c r="AE7" s="6">
        <f t="shared" si="9"/>
        <v>0.32868108862526169</v>
      </c>
      <c r="AJ7" s="11" t="s">
        <v>715</v>
      </c>
      <c r="AK7" s="6">
        <f t="shared" si="10"/>
        <v>1</v>
      </c>
      <c r="AL7" s="249">
        <f>SUM(AL4:AL6)</f>
        <v>864</v>
      </c>
      <c r="AM7" s="249">
        <f>SUM(AM4:AM6)</f>
        <v>411</v>
      </c>
      <c r="AN7" s="249">
        <f>SUM(AN4:AN6)</f>
        <v>453</v>
      </c>
      <c r="AP7" s="107" t="s">
        <v>1856</v>
      </c>
      <c r="AQ7" s="249">
        <f>+'ENCUESTA PROPIETARIOS'!D424</f>
        <v>45</v>
      </c>
      <c r="AR7" s="249">
        <f>+'[1]ENCUESTA CONDUCTORES'!$D465</f>
        <v>47</v>
      </c>
      <c r="AS7" s="249">
        <f t="shared" si="2"/>
        <v>92</v>
      </c>
      <c r="AU7" s="137" t="s">
        <v>139</v>
      </c>
      <c r="AV7" s="138">
        <f t="shared" si="14"/>
        <v>93</v>
      </c>
      <c r="AW7" s="138">
        <f>COUNTIF('DETALLES UNIDADES'!$AJ$8:$AJ$987,"X")</f>
        <v>81</v>
      </c>
      <c r="AX7" s="138">
        <f>+[1]FORMULAS!$O43</f>
        <v>12</v>
      </c>
      <c r="AY7" s="6">
        <f t="shared" si="3"/>
        <v>6.4898813677599448E-2</v>
      </c>
    </row>
    <row r="8" spans="1:51" ht="38.25" x14ac:dyDescent="0.25">
      <c r="B8" s="7" t="s">
        <v>1688</v>
      </c>
      <c r="C8" s="6">
        <f t="shared" si="0"/>
        <v>0.22532188841201717</v>
      </c>
      <c r="D8" s="249">
        <f t="shared" si="1"/>
        <v>315</v>
      </c>
      <c r="E8" s="249">
        <f>COUNTIF('ENCUESTA PROPIETARIOS'!$AF$7:$AF$417,"X")+COUNTIF('ENCUESTA PROPIETARIOS'!$AH$7:$AH$417,"X")</f>
        <v>139</v>
      </c>
      <c r="F8" s="249">
        <f>+'[1]ENCUESTA CONDUCTORES'!$BN$461++'[1]ENCUESTA CONDUCTORES'!$BP$461</f>
        <v>176</v>
      </c>
      <c r="I8" s="158" t="s">
        <v>1696</v>
      </c>
      <c r="J8" s="6">
        <f t="shared" si="12"/>
        <v>4.2085661080074485E-2</v>
      </c>
      <c r="K8" s="249">
        <f t="shared" si="13"/>
        <v>113</v>
      </c>
      <c r="L8" s="176">
        <f>COUNTIF('ENCUESTA PROPIETARIOS'!$BA$7:$BA$417,"SEGURIDAD")</f>
        <v>73</v>
      </c>
      <c r="M8" s="249">
        <f>+'[1]ENCUESTA CONDUCTORES'!$CA$461</f>
        <v>40</v>
      </c>
      <c r="U8" s="11" t="s">
        <v>1713</v>
      </c>
      <c r="V8" s="121">
        <f t="shared" si="6"/>
        <v>0.38171667829727846</v>
      </c>
      <c r="W8" s="153">
        <f t="shared" si="7"/>
        <v>547</v>
      </c>
      <c r="X8" s="153">
        <f>COUNTIF('DETALLES UNIDADES'!$J$8:$J$987,"&lt;1,000,000")-X7-X6</f>
        <v>350</v>
      </c>
      <c r="Y8" s="153">
        <f>+[1]FORMULAS!$H83</f>
        <v>197</v>
      </c>
      <c r="AA8" s="137" t="s">
        <v>171</v>
      </c>
      <c r="AB8" s="138">
        <f t="shared" si="8"/>
        <v>491</v>
      </c>
      <c r="AC8" s="138">
        <f>COUNTIF('DETALLES UNIDADES'!$AH$8:$AH$987,"X")</f>
        <v>418</v>
      </c>
      <c r="AD8" s="138">
        <f>+[1]FORMULAS!$O41</f>
        <v>73</v>
      </c>
      <c r="AE8" s="6">
        <f t="shared" si="9"/>
        <v>0.34263782274947663</v>
      </c>
      <c r="AP8" s="108" t="s">
        <v>1864</v>
      </c>
      <c r="AR8" s="249">
        <f>+'[1]ENCUESTA CONDUCTORES'!$D466</f>
        <v>67</v>
      </c>
      <c r="AS8" s="249">
        <f t="shared" si="2"/>
        <v>67</v>
      </c>
      <c r="AU8" s="137" t="s">
        <v>141</v>
      </c>
      <c r="AV8" s="138">
        <f t="shared" si="14"/>
        <v>804</v>
      </c>
      <c r="AW8" s="138">
        <f>COUNTIF('DETALLES UNIDADES'!$AL$8:$AL$987,"X")</f>
        <v>530</v>
      </c>
      <c r="AX8" s="138">
        <f>+[1]FORMULAS!$O45</f>
        <v>274</v>
      </c>
      <c r="AY8" s="6">
        <f t="shared" si="3"/>
        <v>0.5610607117934403</v>
      </c>
    </row>
    <row r="9" spans="1:51" x14ac:dyDescent="0.25">
      <c r="B9" s="7" t="s">
        <v>24</v>
      </c>
      <c r="C9" s="6">
        <f t="shared" si="0"/>
        <v>0.11874105865522175</v>
      </c>
      <c r="D9" s="249">
        <f t="shared" si="1"/>
        <v>166</v>
      </c>
      <c r="E9" s="249">
        <f>COUNTIF('ENCUESTA PROPIETARIOS'!$AG$7:$AG$417,"X")</f>
        <v>101</v>
      </c>
      <c r="F9" s="249">
        <f>+'[1]ENCUESTA CONDUCTORES'!$BO$461</f>
        <v>65</v>
      </c>
      <c r="I9" s="141"/>
      <c r="J9" s="249"/>
      <c r="K9" s="249"/>
      <c r="L9" s="249"/>
      <c r="M9" s="249"/>
      <c r="O9" s="11" t="s">
        <v>1662</v>
      </c>
      <c r="P9" s="121">
        <f>Q9/$Q$9</f>
        <v>1</v>
      </c>
      <c r="Q9" s="249">
        <f>SUM(Q4:Q7)</f>
        <v>1433</v>
      </c>
      <c r="R9" s="11">
        <f>SUM(R4:R7)</f>
        <v>980</v>
      </c>
      <c r="S9" s="249">
        <f>SUM(S4:S7)</f>
        <v>453</v>
      </c>
      <c r="U9" s="11" t="s">
        <v>943</v>
      </c>
      <c r="V9" s="121">
        <f t="shared" si="6"/>
        <v>0.1270062805303559</v>
      </c>
      <c r="W9" s="153">
        <f t="shared" si="7"/>
        <v>182</v>
      </c>
      <c r="X9" s="153">
        <f>COUNTIF('DETALLES UNIDADES'!$J$8:$J$987,"&lt;1500000")-X8-X7-X6</f>
        <v>139</v>
      </c>
      <c r="Y9" s="153">
        <f>+[1]FORMULAS!$H84</f>
        <v>43</v>
      </c>
      <c r="AA9" s="137" t="s">
        <v>138</v>
      </c>
      <c r="AB9" s="138">
        <f t="shared" si="8"/>
        <v>441</v>
      </c>
      <c r="AC9" s="138">
        <f>COUNTIF('DETALLES UNIDADES'!$AI$8:$AI$987,"X")</f>
        <v>325</v>
      </c>
      <c r="AD9" s="138">
        <f>+[1]FORMULAS!$O42</f>
        <v>116</v>
      </c>
      <c r="AE9" s="6">
        <f t="shared" si="9"/>
        <v>0.30774598743893927</v>
      </c>
      <c r="AJ9" s="11" t="s">
        <v>1783</v>
      </c>
      <c r="AM9" s="249" t="s">
        <v>1717</v>
      </c>
      <c r="AN9" s="249" t="s">
        <v>1718</v>
      </c>
      <c r="AP9" s="109" t="s">
        <v>1865</v>
      </c>
      <c r="AR9" s="249">
        <f>+'[1]ENCUESTA CONDUCTORES'!$D467</f>
        <v>14</v>
      </c>
      <c r="AS9" s="249">
        <f t="shared" si="2"/>
        <v>14</v>
      </c>
      <c r="AU9" s="137" t="s">
        <v>142</v>
      </c>
      <c r="AV9" s="138">
        <f t="shared" si="14"/>
        <v>212</v>
      </c>
      <c r="AW9" s="138">
        <f>COUNTIF('DETALLES UNIDADES'!$AM$8:$AM$987,"X")</f>
        <v>157</v>
      </c>
      <c r="AX9" s="138">
        <f>+[1]FORMULAS!$O46</f>
        <v>55</v>
      </c>
      <c r="AY9" s="6">
        <f t="shared" si="3"/>
        <v>0.14794138171667831</v>
      </c>
    </row>
    <row r="10" spans="1:51" ht="25.5" x14ac:dyDescent="0.25">
      <c r="B10" s="7" t="s">
        <v>26</v>
      </c>
      <c r="C10" s="6">
        <f t="shared" si="0"/>
        <v>6.2947067238912732E-2</v>
      </c>
      <c r="D10" s="249">
        <f t="shared" si="1"/>
        <v>88</v>
      </c>
      <c r="E10" s="249">
        <f>COUNTIF('ENCUESTA PROPIETARIOS'!$AI$7:$AI$417,"X")</f>
        <v>63</v>
      </c>
      <c r="F10" s="249">
        <f>+'[1]ENCUESTA CONDUCTORES'!$BQ$461</f>
        <v>25</v>
      </c>
      <c r="I10" s="141" t="s">
        <v>1662</v>
      </c>
      <c r="J10" s="6">
        <f>+K10/$K$42</f>
        <v>0.31769087523277467</v>
      </c>
      <c r="K10" s="249">
        <f>SUM(K5:K8)</f>
        <v>853</v>
      </c>
      <c r="L10" s="249">
        <f>SUM(L5:L8)</f>
        <v>410</v>
      </c>
      <c r="M10" s="249">
        <f>SUM(M5:M8)</f>
        <v>443</v>
      </c>
      <c r="U10" s="11" t="s">
        <v>944</v>
      </c>
      <c r="V10" s="121">
        <f t="shared" si="6"/>
        <v>9.0718771807397069E-2</v>
      </c>
      <c r="W10" s="153">
        <f t="shared" si="7"/>
        <v>130</v>
      </c>
      <c r="X10" s="153">
        <f>COUNTIF('DETALLES UNIDADES'!$J$8:$J$987,"&lt;2,000,000")-X9-X8-X7-X6</f>
        <v>100</v>
      </c>
      <c r="Y10" s="153">
        <f>+[1]FORMULAS!$H85</f>
        <v>30</v>
      </c>
      <c r="AA10" s="137" t="s">
        <v>173</v>
      </c>
      <c r="AB10" s="138">
        <f t="shared" si="8"/>
        <v>93</v>
      </c>
      <c r="AC10" s="138">
        <f>COUNTIF('DETALLES UNIDADES'!$AJ$8:$AJ$987,"X")</f>
        <v>81</v>
      </c>
      <c r="AD10" s="138">
        <f>+[1]FORMULAS!$O43</f>
        <v>12</v>
      </c>
      <c r="AE10" s="6">
        <f t="shared" si="9"/>
        <v>6.4898813677599448E-2</v>
      </c>
      <c r="AJ10" s="9" t="s">
        <v>1311</v>
      </c>
      <c r="AK10" s="6">
        <f>AL10/$AL$42</f>
        <v>6.9444444444444441E-3</v>
      </c>
      <c r="AL10" s="249">
        <f>+AM10+AN10</f>
        <v>6</v>
      </c>
      <c r="AM10" s="249">
        <f>COUNTIF('ENCUESTA PROPIETARIOS'!$L$7:$L$417,AJ10)</f>
        <v>2</v>
      </c>
      <c r="AN10" s="249">
        <f>COUNTIF('[1]ENCUESTA CONDUCTORES'!N$7:N$459,AJ10)</f>
        <v>4</v>
      </c>
      <c r="AP10" s="107" t="s">
        <v>1378</v>
      </c>
      <c r="AQ10" s="249">
        <f>+'ENCUESTA PROPIETARIOS'!D425</f>
        <v>63</v>
      </c>
      <c r="AR10" s="249">
        <f>+'[1]ENCUESTA CONDUCTORES'!$D468</f>
        <v>0</v>
      </c>
      <c r="AS10" s="249">
        <f t="shared" si="2"/>
        <v>63</v>
      </c>
      <c r="AU10" s="140" t="s">
        <v>1018</v>
      </c>
      <c r="AV10" s="138">
        <f t="shared" si="14"/>
        <v>391</v>
      </c>
      <c r="AW10" s="138">
        <f>COUNTIF('DETALLES UNIDADES'!$AD$8:$AD$987,"NINGUNO")</f>
        <v>96</v>
      </c>
      <c r="AX10" s="138">
        <f>+[1]FORMULAS!$O47</f>
        <v>295</v>
      </c>
      <c r="AY10" s="6">
        <f t="shared" si="3"/>
        <v>0.27285415212840197</v>
      </c>
    </row>
    <row r="11" spans="1:51" x14ac:dyDescent="0.25">
      <c r="B11" s="7" t="s">
        <v>906</v>
      </c>
      <c r="C11" s="6">
        <f t="shared" si="0"/>
        <v>0.12875536480686695</v>
      </c>
      <c r="D11" s="249">
        <f t="shared" si="1"/>
        <v>180</v>
      </c>
      <c r="E11" s="249">
        <f>COUNTIF('ENCUESTA PROPIETARIOS'!$AK$7:$AK$417,"X")+COUNTIF('ENCUESTA PROPIETARIOS'!$AK$7:$AK$417,"MAQUINARIA")+COUNTIF('ENCUESTA PROPIETARIOS'!$AK$7:$AK$417,"GANADO EN PIE")+COUNTIF('ENCUESTA PROPIETARIOS'!$AK$7:$AK$417,"AGUA")+COUNTIF('ENCUESTA PROPIETARIOS'!$AK$7:$AK$417,"CARTÓN Y PAPEL")+COUNTIF('ENCUESTA PROPIETARIOS'!$AK$7:$AK$417,"ELECTRODOMESTICOS")+COUNTIF('ENCUESTA PROPIETARIOS'!$AK$7:$AK$417,"GENERAL")</f>
        <v>76</v>
      </c>
      <c r="F11" s="249">
        <f>+'[1]ENCUESTA CONDUCTORES'!$BS$461</f>
        <v>104</v>
      </c>
      <c r="U11" s="11" t="s">
        <v>1714</v>
      </c>
      <c r="V11" s="121">
        <f t="shared" si="6"/>
        <v>3.1402651779483599E-2</v>
      </c>
      <c r="W11" s="153">
        <f t="shared" si="7"/>
        <v>45</v>
      </c>
      <c r="X11" s="153">
        <f>COUNTIF('DETALLES UNIDADES'!$J$8:$J$987,"&lt;2,500,000")-X10-X9-X8-X7-X6</f>
        <v>33</v>
      </c>
      <c r="Y11" s="153">
        <f>+[1]FORMULAS!$H86</f>
        <v>12</v>
      </c>
      <c r="AA11" s="137" t="s">
        <v>174</v>
      </c>
      <c r="AB11" s="138">
        <f t="shared" si="8"/>
        <v>446</v>
      </c>
      <c r="AC11" s="138">
        <f>COUNTIF('DETALLES UNIDADES'!$AK$8:$AK$987,"X")</f>
        <v>330</v>
      </c>
      <c r="AD11" s="138">
        <f>+[1]FORMULAS!$O44</f>
        <v>116</v>
      </c>
      <c r="AE11" s="6">
        <f t="shared" si="9"/>
        <v>0.31123517096999304</v>
      </c>
      <c r="AJ11" s="1" t="s">
        <v>1330</v>
      </c>
      <c r="AK11" s="6">
        <f t="shared" ref="AK11:AK42" si="15">AL11/$AL$42</f>
        <v>1.1574074074074073E-3</v>
      </c>
      <c r="AL11" s="249">
        <f t="shared" ref="AL11:AL42" si="16">+AM11+AN11</f>
        <v>1</v>
      </c>
      <c r="AM11" s="249">
        <f>COUNTIF('ENCUESTA PROPIETARIOS'!$L$7:$L$417,AJ11)</f>
        <v>0</v>
      </c>
      <c r="AN11" s="249">
        <f>COUNTIF('[1]ENCUESTA CONDUCTORES'!N$7:N$459,AJ11)</f>
        <v>1</v>
      </c>
      <c r="AP11" s="107" t="s">
        <v>1442</v>
      </c>
      <c r="AQ11" s="249">
        <f>+'ENCUESTA PROPIETARIOS'!D426</f>
        <v>28</v>
      </c>
      <c r="AR11" s="249">
        <f>+'[1]ENCUESTA CONDUCTORES'!$D469</f>
        <v>26</v>
      </c>
      <c r="AS11" s="249">
        <f t="shared" si="2"/>
        <v>54</v>
      </c>
      <c r="AU11" s="11" t="s">
        <v>715</v>
      </c>
      <c r="AV11" s="138">
        <f t="shared" si="14"/>
        <v>2890</v>
      </c>
      <c r="AW11" s="138">
        <f>SUM(AW4:AW10)</f>
        <v>1844</v>
      </c>
      <c r="AX11" s="138">
        <f>SUM(AX4:AX10)</f>
        <v>1046</v>
      </c>
      <c r="AY11" s="6"/>
    </row>
    <row r="12" spans="1:51" x14ac:dyDescent="0.25">
      <c r="U12" s="11" t="s">
        <v>1715</v>
      </c>
      <c r="V12" s="121">
        <f t="shared" si="6"/>
        <v>2.5819958129797628E-2</v>
      </c>
      <c r="W12" s="153">
        <f t="shared" si="7"/>
        <v>37</v>
      </c>
      <c r="X12" s="153">
        <f>COUNTIF('DETALLES UNIDADES'!$J$8:$J$987,"&gt;2,499,999")</f>
        <v>31</v>
      </c>
      <c r="Y12" s="153">
        <f>+[1]FORMULAS!$H87</f>
        <v>6</v>
      </c>
      <c r="AA12" s="137" t="s">
        <v>141</v>
      </c>
      <c r="AB12" s="138">
        <f t="shared" si="8"/>
        <v>804</v>
      </c>
      <c r="AC12" s="138">
        <f>COUNTIF('DETALLES UNIDADES'!$AL$8:$AL$987,"X")</f>
        <v>530</v>
      </c>
      <c r="AD12" s="138">
        <f>+[1]FORMULAS!$O45</f>
        <v>274</v>
      </c>
      <c r="AE12" s="6">
        <f t="shared" si="9"/>
        <v>0.5610607117934403</v>
      </c>
      <c r="AJ12" s="9" t="s">
        <v>1331</v>
      </c>
      <c r="AK12" s="6">
        <f t="shared" si="15"/>
        <v>0</v>
      </c>
      <c r="AL12" s="249">
        <f t="shared" si="16"/>
        <v>0</v>
      </c>
      <c r="AM12" s="249">
        <f>COUNTIF('ENCUESTA PROPIETARIOS'!$L$7:$L$417,AJ12)</f>
        <v>0</v>
      </c>
      <c r="AN12" s="249">
        <f>COUNTIF('[1]ENCUESTA CONDUCTORES'!N$7:N$459,AJ12)</f>
        <v>0</v>
      </c>
      <c r="AP12" s="107" t="s">
        <v>1508</v>
      </c>
      <c r="AQ12" s="249">
        <f>+'ENCUESTA PROPIETARIOS'!D427</f>
        <v>12</v>
      </c>
      <c r="AR12" s="249">
        <f>+'[1]ENCUESTA CONDUCTORES'!$D470</f>
        <v>0</v>
      </c>
      <c r="AS12" s="249">
        <f t="shared" si="2"/>
        <v>12</v>
      </c>
    </row>
    <row r="13" spans="1:51" x14ac:dyDescent="0.25">
      <c r="C13" s="6">
        <f>D13/$D$13</f>
        <v>1</v>
      </c>
      <c r="D13" s="249">
        <f>SUM(D4:D11)</f>
        <v>1398</v>
      </c>
      <c r="E13" s="249">
        <f>SUM(E4:E11)</f>
        <v>734</v>
      </c>
      <c r="F13" s="249">
        <f>SUM(F4:F11)</f>
        <v>664</v>
      </c>
      <c r="I13" s="112" t="s">
        <v>1698</v>
      </c>
      <c r="J13" s="249"/>
      <c r="K13" s="249"/>
      <c r="L13" s="250"/>
      <c r="M13" s="17"/>
      <c r="O13" s="11" t="s">
        <v>1001</v>
      </c>
      <c r="U13" s="11" t="s">
        <v>715</v>
      </c>
      <c r="V13" s="121">
        <f>+W13/$W$13</f>
        <v>1</v>
      </c>
      <c r="W13" s="153">
        <f>SUM(W4:W12)</f>
        <v>1433</v>
      </c>
      <c r="X13" s="153">
        <f>SUM(X4:X12)</f>
        <v>980</v>
      </c>
      <c r="Y13" s="153">
        <f>SUM(Y4:Y12)</f>
        <v>453</v>
      </c>
      <c r="AA13" s="137" t="s">
        <v>142</v>
      </c>
      <c r="AB13" s="138">
        <f t="shared" si="8"/>
        <v>212</v>
      </c>
      <c r="AC13" s="138">
        <f>COUNTIF('DETALLES UNIDADES'!$AM$8:$AM$987,"X")</f>
        <v>157</v>
      </c>
      <c r="AD13" s="138">
        <f>+[1]FORMULAS!$O46</f>
        <v>55</v>
      </c>
      <c r="AE13" s="6">
        <f t="shared" si="9"/>
        <v>0.14794138171667831</v>
      </c>
      <c r="AJ13" s="1" t="s">
        <v>1332</v>
      </c>
      <c r="AK13" s="6">
        <f t="shared" si="15"/>
        <v>0</v>
      </c>
      <c r="AL13" s="249">
        <f t="shared" si="16"/>
        <v>0</v>
      </c>
      <c r="AM13" s="249">
        <f>COUNTIF('ENCUESTA PROPIETARIOS'!$L$7:$L$417,AJ13)</f>
        <v>0</v>
      </c>
      <c r="AN13" s="249">
        <f>COUNTIF('[1]ENCUESTA CONDUCTORES'!N$7:N$459,AJ13)</f>
        <v>0</v>
      </c>
      <c r="AP13" s="107" t="s">
        <v>1572</v>
      </c>
      <c r="AQ13" s="249">
        <f>+'ENCUESTA PROPIETARIOS'!D428</f>
        <v>5</v>
      </c>
      <c r="AR13" s="249">
        <f>+'[1]ENCUESTA CONDUCTORES'!$D471</f>
        <v>16</v>
      </c>
      <c r="AS13" s="249">
        <f t="shared" si="2"/>
        <v>21</v>
      </c>
    </row>
    <row r="14" spans="1:51" x14ac:dyDescent="0.25">
      <c r="I14" s="249"/>
      <c r="J14" s="249"/>
      <c r="K14" s="176"/>
      <c r="L14" s="250"/>
      <c r="M14" s="17"/>
      <c r="AA14" s="140" t="s">
        <v>1018</v>
      </c>
      <c r="AB14" s="138">
        <f t="shared" si="8"/>
        <v>391</v>
      </c>
      <c r="AC14" s="138">
        <f>COUNTIF('DETALLES UNIDADES'!$AD$8:$AD$987,"NINGUNO")</f>
        <v>96</v>
      </c>
      <c r="AD14" s="138">
        <f>+[1]FORMULAS!$O47</f>
        <v>295</v>
      </c>
      <c r="AE14" s="6">
        <f t="shared" si="9"/>
        <v>0.27285415212840197</v>
      </c>
      <c r="AJ14" s="9" t="s">
        <v>1333</v>
      </c>
      <c r="AK14" s="6">
        <f t="shared" si="15"/>
        <v>2.3148148148148147E-3</v>
      </c>
      <c r="AL14" s="249">
        <f t="shared" si="16"/>
        <v>2</v>
      </c>
      <c r="AM14" s="249">
        <f>COUNTIF('ENCUESTA PROPIETARIOS'!$L$7:$L$417,AJ14)</f>
        <v>1</v>
      </c>
      <c r="AN14" s="249">
        <f>COUNTIF('[1]ENCUESTA CONDUCTORES'!N$7:N$459,AJ14)</f>
        <v>1</v>
      </c>
      <c r="AP14" s="110" t="s">
        <v>1857</v>
      </c>
      <c r="AQ14" s="249">
        <f>+'ENCUESTA PROPIETARIOS'!D429</f>
        <v>51</v>
      </c>
      <c r="AR14" s="249">
        <f>+'[1]ENCUESTA CONDUCTORES'!$D472</f>
        <v>0</v>
      </c>
      <c r="AS14" s="249">
        <f t="shared" si="2"/>
        <v>51</v>
      </c>
    </row>
    <row r="15" spans="1:51" x14ac:dyDescent="0.25">
      <c r="I15" s="158" t="s">
        <v>43</v>
      </c>
      <c r="J15" s="6">
        <f t="shared" ref="J15:J18" si="17">+K15/$K$42</f>
        <v>9.2737430167597765E-2</v>
      </c>
      <c r="K15" s="249">
        <f>+L15+M15</f>
        <v>249</v>
      </c>
      <c r="L15" s="176">
        <f>COUNTIF('ENCUESTA PROPIETARIOS'!$AX$7:$AX$417,"2")</f>
        <v>122</v>
      </c>
      <c r="M15" s="249">
        <f>+'[1]ENCUESTA CONDUCTORES'!$BX$462</f>
        <v>127</v>
      </c>
      <c r="O15" s="11" t="s">
        <v>1701</v>
      </c>
      <c r="P15" s="121">
        <f>Q15/$Q$19</f>
        <v>0.92672714584787164</v>
      </c>
      <c r="Q15" s="249">
        <f>+R15+S15</f>
        <v>1328</v>
      </c>
      <c r="R15" s="11">
        <f>COUNTIF('DETALLES UNIDADES'!$S$8:$S$987,"D")</f>
        <v>900</v>
      </c>
      <c r="S15" s="249">
        <f>+'[1]ENCUESTA CONDUCTORES'!$AL$461</f>
        <v>428</v>
      </c>
      <c r="AA15" s="11" t="s">
        <v>715</v>
      </c>
      <c r="AB15" s="138">
        <f t="shared" si="8"/>
        <v>4758</v>
      </c>
      <c r="AC15" s="138">
        <f>SUM(AC4:AC14)</f>
        <v>3465</v>
      </c>
      <c r="AD15" s="138">
        <f>SUM(AD4:AD14)</f>
        <v>1293</v>
      </c>
      <c r="AE15" s="6">
        <f t="shared" ref="AE15" si="18">AB15/$AL$7</f>
        <v>5.5069444444444446</v>
      </c>
      <c r="AJ15" s="1" t="s">
        <v>1315</v>
      </c>
      <c r="AK15" s="6">
        <f t="shared" si="15"/>
        <v>3.3564814814814818E-2</v>
      </c>
      <c r="AL15" s="249">
        <f t="shared" si="16"/>
        <v>29</v>
      </c>
      <c r="AM15" s="249">
        <f>COUNTIF('ENCUESTA PROPIETARIOS'!$L$7:$L$417,AJ15)</f>
        <v>7</v>
      </c>
      <c r="AN15" s="249">
        <f>COUNTIF('[1]ENCUESTA CONDUCTORES'!N$7:N$459,AJ15)</f>
        <v>22</v>
      </c>
      <c r="AP15" s="107" t="s">
        <v>1662</v>
      </c>
      <c r="AQ15" s="177">
        <f>SUM(AQ4:AQ14)</f>
        <v>411</v>
      </c>
      <c r="AR15" s="177">
        <f>SUM(AR4:AR14)</f>
        <v>453</v>
      </c>
      <c r="AS15" s="177">
        <f t="shared" si="2"/>
        <v>864</v>
      </c>
    </row>
    <row r="16" spans="1:51" x14ac:dyDescent="0.25">
      <c r="I16" s="158" t="s">
        <v>44</v>
      </c>
      <c r="J16" s="6">
        <f t="shared" si="17"/>
        <v>9.3109869646182494E-2</v>
      </c>
      <c r="K16" s="249">
        <f t="shared" ref="K16:K18" si="19">+L16+M16</f>
        <v>250</v>
      </c>
      <c r="L16" s="176">
        <f>COUNTIF('ENCUESTA PROPIETARIOS'!$AY$7:$AY$417,"2")</f>
        <v>135</v>
      </c>
      <c r="M16" s="249">
        <f>+'[1]ENCUESTA CONDUCTORES'!$BY$462</f>
        <v>115</v>
      </c>
      <c r="O16" s="11" t="s">
        <v>1702</v>
      </c>
      <c r="P16" s="121">
        <f t="shared" ref="P16:P17" si="20">Q16/$Q$19</f>
        <v>6.6294487090020934E-2</v>
      </c>
      <c r="Q16" s="249">
        <f t="shared" ref="Q16:Q17" si="21">+R16+S16</f>
        <v>95</v>
      </c>
      <c r="R16" s="11">
        <f>COUNTIF('DETALLES UNIDADES'!$S$8:$S$987,"G")</f>
        <v>73</v>
      </c>
      <c r="S16" s="249">
        <f>+'[1]ENCUESTA CONDUCTORES'!$AJ$461</f>
        <v>22</v>
      </c>
      <c r="U16" s="112" t="s">
        <v>1677</v>
      </c>
      <c r="V16" s="249"/>
      <c r="X16" s="249" t="s">
        <v>1717</v>
      </c>
      <c r="Y16" s="11" t="s">
        <v>1718</v>
      </c>
      <c r="AJ16" s="9" t="s">
        <v>1292</v>
      </c>
      <c r="AK16" s="6">
        <f t="shared" si="15"/>
        <v>1.0416666666666666E-2</v>
      </c>
      <c r="AL16" s="249">
        <f t="shared" si="16"/>
        <v>9</v>
      </c>
      <c r="AM16" s="249">
        <f>COUNTIF('ENCUESTA PROPIETARIOS'!$L$7:$L$417,AJ16)</f>
        <v>5</v>
      </c>
      <c r="AN16" s="249">
        <f>COUNTIF('[1]ENCUESTA CONDUCTORES'!N$7:N$459,AJ16)</f>
        <v>4</v>
      </c>
      <c r="AP16" s="112"/>
      <c r="AR16" s="249"/>
    </row>
    <row r="17" spans="1:55" x14ac:dyDescent="0.25">
      <c r="A17" s="11" t="s">
        <v>848</v>
      </c>
      <c r="I17" s="158" t="s">
        <v>45</v>
      </c>
      <c r="J17" s="6">
        <f t="shared" si="17"/>
        <v>0.13370577281191806</v>
      </c>
      <c r="K17" s="249">
        <f t="shared" si="19"/>
        <v>359</v>
      </c>
      <c r="L17" s="176">
        <f>COUNTIF('ENCUESTA PROPIETARIOS'!$AZ$7:$AZ$417,"2")</f>
        <v>153</v>
      </c>
      <c r="M17" s="249">
        <f>+'[1]ENCUESTA CONDUCTORES'!$BZ$462</f>
        <v>206</v>
      </c>
      <c r="O17" s="11" t="s">
        <v>1703</v>
      </c>
      <c r="P17" s="121">
        <f t="shared" si="20"/>
        <v>6.9783670621074668E-3</v>
      </c>
      <c r="Q17" s="249">
        <f t="shared" si="21"/>
        <v>10</v>
      </c>
      <c r="R17" s="11">
        <f>COUNTIF('DETALLES UNIDADES'!$S$8:$S$987,"GAS")</f>
        <v>7</v>
      </c>
      <c r="S17" s="249">
        <f>+'[1]ENCUESTA CONDUCTORES'!$AK$461</f>
        <v>3</v>
      </c>
      <c r="U17" s="19" t="s">
        <v>1719</v>
      </c>
      <c r="V17" s="6">
        <f>+W17/$W$26</f>
        <v>5.2374301675977654E-2</v>
      </c>
      <c r="W17" s="11">
        <f>+X17+Y17</f>
        <v>75</v>
      </c>
      <c r="X17" s="249">
        <f>COUNTIF('DETALLES UNIDADES'!$T$8:$T$987,"&lt;1.6")</f>
        <v>42</v>
      </c>
      <c r="Y17" s="11">
        <f>+[1]FORMULAS!$T5</f>
        <v>33</v>
      </c>
      <c r="AA17" s="11" t="s">
        <v>1742</v>
      </c>
      <c r="AD17" s="249" t="s">
        <v>1717</v>
      </c>
      <c r="AE17" s="249" t="s">
        <v>1718</v>
      </c>
      <c r="AJ17" s="9" t="s">
        <v>1289</v>
      </c>
      <c r="AK17" s="6">
        <f t="shared" si="15"/>
        <v>8.1018518518518514E-3</v>
      </c>
      <c r="AL17" s="249">
        <f t="shared" si="16"/>
        <v>7</v>
      </c>
      <c r="AM17" s="249">
        <f>COUNTIF('ENCUESTA PROPIETARIOS'!$L$7:$L$417,AJ17)</f>
        <v>3</v>
      </c>
      <c r="AN17" s="249">
        <f>COUNTIF('[1]ENCUESTA CONDUCTORES'!N$7:N$459,AJ17)</f>
        <v>4</v>
      </c>
      <c r="AP17" s="112" t="s">
        <v>2478</v>
      </c>
      <c r="AR17" s="249"/>
    </row>
    <row r="18" spans="1:55" x14ac:dyDescent="0.25">
      <c r="I18" s="158" t="s">
        <v>1696</v>
      </c>
      <c r="J18" s="6">
        <f t="shared" si="17"/>
        <v>0</v>
      </c>
      <c r="K18" s="249">
        <f t="shared" si="19"/>
        <v>0</v>
      </c>
      <c r="L18" s="176">
        <f>COUNTIF('ENCUESTA PROPIETARIOS'!$BA$7:$BA$417,"2")</f>
        <v>0</v>
      </c>
      <c r="M18" s="249">
        <f>+'[1]ENCUESTA CONDUCTORES'!$CA$462</f>
        <v>0</v>
      </c>
      <c r="U18" s="19" t="s">
        <v>1720</v>
      </c>
      <c r="V18" s="6">
        <f t="shared" ref="V18:V25" si="22">+W18/$W$26</f>
        <v>0.13687150837988826</v>
      </c>
      <c r="W18" s="11">
        <f t="shared" ref="W18:W26" si="23">+X18+Y18</f>
        <v>196</v>
      </c>
      <c r="X18" s="249">
        <f>COUNTIF('DETALLES UNIDADES'!$T$8:$T$987,"&lt;1.91")-X17</f>
        <v>139</v>
      </c>
      <c r="Y18" s="11">
        <f>+[1]FORMULAS!$T6</f>
        <v>57</v>
      </c>
      <c r="AA18" s="11" t="s">
        <v>1743</v>
      </c>
      <c r="AB18" s="6">
        <f>AC18/$AC$25</f>
        <v>0.13165266106442577</v>
      </c>
      <c r="AC18" s="249">
        <f>+AD18+AE18</f>
        <v>188</v>
      </c>
      <c r="AD18" s="249">
        <f>COUNTIF('DETALLES UNIDADES'!$AN$8:$AN$987,"&lt;10000")</f>
        <v>110</v>
      </c>
      <c r="AE18" s="249">
        <f>COUNTIF('[1]ENCUESTA CONDUCTORES'!$BE$7:$BE$459,"&lt;10000")</f>
        <v>78</v>
      </c>
      <c r="AJ18" s="9" t="s">
        <v>1283</v>
      </c>
      <c r="AK18" s="6">
        <f t="shared" si="15"/>
        <v>0.11689814814814815</v>
      </c>
      <c r="AL18" s="249">
        <f t="shared" si="16"/>
        <v>101</v>
      </c>
      <c r="AM18" s="249">
        <f>COUNTIF('ENCUESTA PROPIETARIOS'!$L$7:$L$417,AJ18)</f>
        <v>26</v>
      </c>
      <c r="AN18" s="249">
        <f>COUNTIF('[1]ENCUESTA CONDUCTORES'!N$7:N$459,AJ18)</f>
        <v>75</v>
      </c>
      <c r="AP18" s="107" t="s">
        <v>1858</v>
      </c>
      <c r="AQ18" s="177">
        <f>+AQ4</f>
        <v>24</v>
      </c>
      <c r="AR18" s="177">
        <f>+AR4</f>
        <v>28</v>
      </c>
      <c r="AS18" s="177">
        <f>+AQ18+AR18</f>
        <v>52</v>
      </c>
    </row>
    <row r="19" spans="1:55" x14ac:dyDescent="0.25">
      <c r="B19" s="157" t="s">
        <v>1691</v>
      </c>
      <c r="C19" s="6">
        <f>D19/$D$25</f>
        <v>3.7652270210409747E-2</v>
      </c>
      <c r="D19" s="249">
        <f>+E19+F19</f>
        <v>34</v>
      </c>
      <c r="E19" s="249">
        <f>COUNTIF('ENCUESTA PROPIETARIOS'!$AT$7:$AT$417,"X")</f>
        <v>19</v>
      </c>
      <c r="F19" s="249">
        <f>+'[1]ENCUESTA CONDUCTORES'!$BT$461</f>
        <v>15</v>
      </c>
      <c r="I19" s="141"/>
      <c r="J19" s="249"/>
      <c r="K19" s="249"/>
      <c r="L19" s="249"/>
      <c r="M19" s="249"/>
      <c r="O19" s="11" t="s">
        <v>1704</v>
      </c>
      <c r="P19" s="121">
        <f>Q19/$Q$19</f>
        <v>1</v>
      </c>
      <c r="Q19" s="249">
        <f>+R19+S19</f>
        <v>1433</v>
      </c>
      <c r="R19" s="11">
        <f>SUM(R15:R17)</f>
        <v>980</v>
      </c>
      <c r="S19" s="249">
        <f>SUM(S15:S17)</f>
        <v>453</v>
      </c>
      <c r="U19" s="19" t="s">
        <v>1721</v>
      </c>
      <c r="V19" s="6">
        <f t="shared" si="22"/>
        <v>0.1543296089385475</v>
      </c>
      <c r="W19" s="11">
        <f t="shared" si="23"/>
        <v>221</v>
      </c>
      <c r="X19" s="249">
        <f>COUNTIF('DETALLES UNIDADES'!$T$8:$T$987,"&lt;2.01")-X18-X17</f>
        <v>179</v>
      </c>
      <c r="Y19" s="11">
        <f>+[1]FORMULAS!$T7</f>
        <v>42</v>
      </c>
      <c r="AA19" s="11" t="s">
        <v>954</v>
      </c>
      <c r="AB19" s="6">
        <f t="shared" ref="AB19:AB25" si="24">AC19/$AC$25</f>
        <v>0.16876750700280113</v>
      </c>
      <c r="AC19" s="249">
        <f t="shared" ref="AC19:AC25" si="25">+AD19+AE19</f>
        <v>241</v>
      </c>
      <c r="AD19" s="138">
        <f>COUNTIF('DETALLES UNIDADES'!$AN$8:$AN$987,"&lt;15000")-AD18</f>
        <v>163</v>
      </c>
      <c r="AE19" s="138">
        <f>COUNTIF('[1]ENCUESTA CONDUCTORES'!$BE$7:$BE$459,"&lt;15000")-AE18</f>
        <v>78</v>
      </c>
      <c r="AF19" s="11" t="s">
        <v>401</v>
      </c>
      <c r="AJ19" s="1" t="s">
        <v>1334</v>
      </c>
      <c r="AK19" s="6">
        <f t="shared" si="15"/>
        <v>2.3148148148148147E-3</v>
      </c>
      <c r="AL19" s="249">
        <f t="shared" si="16"/>
        <v>2</v>
      </c>
      <c r="AM19" s="249">
        <f>COUNTIF('ENCUESTA PROPIETARIOS'!$L$7:$L$417,AJ19)</f>
        <v>0</v>
      </c>
      <c r="AN19" s="249">
        <f>COUNTIF('[1]ENCUESTA CONDUCTORES'!N$7:N$459,AJ19)</f>
        <v>2</v>
      </c>
      <c r="AP19" s="107" t="s">
        <v>1859</v>
      </c>
      <c r="AQ19" s="177">
        <f>+AQ5+AQ6+AQ7+AQ8+AQ9+AQ14</f>
        <v>279</v>
      </c>
      <c r="AR19" s="177">
        <f>+AR5+AR6+AR7+AR8+AR9+AR14</f>
        <v>383</v>
      </c>
      <c r="AS19" s="177">
        <f>+AQ19+AR19</f>
        <v>662</v>
      </c>
    </row>
    <row r="20" spans="1:55" x14ac:dyDescent="0.25">
      <c r="B20" s="157" t="s">
        <v>1692</v>
      </c>
      <c r="C20" s="6">
        <f t="shared" ref="C20:C23" si="26">D20/$D$25</f>
        <v>0.4839424141749723</v>
      </c>
      <c r="D20" s="249">
        <f t="shared" ref="D20:D23" si="27">+E20+F20</f>
        <v>437</v>
      </c>
      <c r="E20" s="249">
        <f>COUNTIF('ENCUESTA PROPIETARIOS'!$AU$7:$AU$417,"X")</f>
        <v>206</v>
      </c>
      <c r="F20" s="249">
        <f>+'[1]ENCUESTA CONDUCTORES'!$BU$461</f>
        <v>231</v>
      </c>
      <c r="I20" s="141" t="s">
        <v>1662</v>
      </c>
      <c r="J20" s="6">
        <f>+K20/$K$42</f>
        <v>0.31955307262569832</v>
      </c>
      <c r="K20" s="249">
        <f>SUM(K15:K18)</f>
        <v>858</v>
      </c>
      <c r="L20" s="249">
        <f>SUM(L15:L18)</f>
        <v>410</v>
      </c>
      <c r="M20" s="249">
        <f>SUM(M15:M18)</f>
        <v>448</v>
      </c>
      <c r="U20" s="19" t="s">
        <v>1722</v>
      </c>
      <c r="V20" s="6">
        <f t="shared" si="22"/>
        <v>0.13058659217877094</v>
      </c>
      <c r="W20" s="11">
        <f t="shared" si="23"/>
        <v>187</v>
      </c>
      <c r="X20" s="249">
        <f>COUNTIF('DETALLES UNIDADES'!$T$8:$T$987,"&lt;2.21")-X19-X18-X17</f>
        <v>153</v>
      </c>
      <c r="Y20" s="11">
        <f>+[1]FORMULAS!$T8</f>
        <v>34</v>
      </c>
      <c r="AA20" s="11" t="s">
        <v>1744</v>
      </c>
      <c r="AB20" s="6">
        <f t="shared" si="24"/>
        <v>0.24159663865546219</v>
      </c>
      <c r="AC20" s="249">
        <f t="shared" si="25"/>
        <v>345</v>
      </c>
      <c r="AD20" s="138">
        <f>COUNTIF('DETALLES UNIDADES'!$AN$8:$AN$987,"&lt;20000")-AD19-AD18</f>
        <v>245</v>
      </c>
      <c r="AE20" s="138">
        <f>COUNTIF('[1]ENCUESTA CONDUCTORES'!$BE$7:$BE$459,"&lt;20000")-AE19-AE18</f>
        <v>100</v>
      </c>
      <c r="AF20" s="11" t="s">
        <v>342</v>
      </c>
      <c r="AJ20" s="1" t="s">
        <v>1280</v>
      </c>
      <c r="AK20" s="6">
        <f t="shared" si="15"/>
        <v>0.22685185185185186</v>
      </c>
      <c r="AL20" s="249">
        <f t="shared" si="16"/>
        <v>196</v>
      </c>
      <c r="AM20" s="249">
        <f>COUNTIF('ENCUESTA PROPIETARIOS'!$L$7:$L$417,AJ20)</f>
        <v>47</v>
      </c>
      <c r="AN20" s="249">
        <f>COUNTIF('[1]ENCUESTA CONDUCTORES'!N$7:N$459,AJ20)</f>
        <v>149</v>
      </c>
      <c r="AP20" s="107" t="s">
        <v>1860</v>
      </c>
      <c r="AQ20" s="177">
        <f>+AQ10+AQ13</f>
        <v>68</v>
      </c>
      <c r="AR20" s="177">
        <f>+AR10+AR13</f>
        <v>16</v>
      </c>
      <c r="AS20" s="177">
        <f>+AQ20+AR20</f>
        <v>84</v>
      </c>
    </row>
    <row r="21" spans="1:55" x14ac:dyDescent="0.25">
      <c r="B21" s="157" t="s">
        <v>1693</v>
      </c>
      <c r="C21" s="6">
        <f t="shared" si="26"/>
        <v>0.3687707641196013</v>
      </c>
      <c r="D21" s="249">
        <f t="shared" si="27"/>
        <v>333</v>
      </c>
      <c r="E21" s="249">
        <f>COUNTIF('ENCUESTA PROPIETARIOS'!$AV$7:$AV$417,"X")</f>
        <v>141</v>
      </c>
      <c r="F21" s="249">
        <f>+'[1]ENCUESTA CONDUCTORES'!$BV$461</f>
        <v>192</v>
      </c>
      <c r="U21" s="19" t="s">
        <v>1723</v>
      </c>
      <c r="V21" s="6">
        <f t="shared" si="22"/>
        <v>0.24511173184357543</v>
      </c>
      <c r="W21" s="11">
        <f t="shared" si="23"/>
        <v>351</v>
      </c>
      <c r="X21" s="249">
        <f>COUNTIF('DETALLES UNIDADES'!$T$8:$T$987,"&lt;2.51")-X20-X19-X18-X17</f>
        <v>189</v>
      </c>
      <c r="Y21" s="11">
        <f>+[1]FORMULAS!$T9</f>
        <v>162</v>
      </c>
      <c r="AA21" s="11" t="s">
        <v>1745</v>
      </c>
      <c r="AB21" s="6">
        <f t="shared" si="24"/>
        <v>0.22969187675070027</v>
      </c>
      <c r="AC21" s="249">
        <f t="shared" si="25"/>
        <v>328</v>
      </c>
      <c r="AD21" s="138">
        <f>COUNTIF('DETALLES UNIDADES'!$AN$8:$AN$987,"&lt;25000")-AD20-AD19-AD18</f>
        <v>218</v>
      </c>
      <c r="AE21" s="138">
        <f>COUNTIF('[1]ENCUESTA CONDUCTORES'!$BE$7:$BE$459,"&lt;25000")-AE20-AE19-AE18</f>
        <v>110</v>
      </c>
      <c r="AF21" s="11" t="s">
        <v>1740</v>
      </c>
      <c r="AJ21" s="1" t="s">
        <v>1288</v>
      </c>
      <c r="AK21" s="6">
        <f t="shared" si="15"/>
        <v>0.11342592592592593</v>
      </c>
      <c r="AL21" s="249">
        <f t="shared" si="16"/>
        <v>98</v>
      </c>
      <c r="AM21" s="249">
        <f>COUNTIF('ENCUESTA PROPIETARIOS'!$L$7:$L$417,AJ21)</f>
        <v>49</v>
      </c>
      <c r="AN21" s="249">
        <f>COUNTIF('[1]ENCUESTA CONDUCTORES'!N$7:N$459,AJ21)</f>
        <v>49</v>
      </c>
      <c r="AP21" s="107" t="s">
        <v>1861</v>
      </c>
      <c r="AQ21" s="177">
        <f>+AQ11+AQ12</f>
        <v>40</v>
      </c>
      <c r="AR21" s="177">
        <f>+AR11+AR12</f>
        <v>26</v>
      </c>
      <c r="AS21" s="177">
        <f>+AQ21+AR21</f>
        <v>66</v>
      </c>
      <c r="AU21" s="11" t="s">
        <v>2398</v>
      </c>
      <c r="AW21" s="249" t="s">
        <v>1717</v>
      </c>
      <c r="AX21" s="249" t="s">
        <v>1718</v>
      </c>
      <c r="AY21" s="249" t="s">
        <v>1866</v>
      </c>
      <c r="BA21" s="249" t="s">
        <v>1717</v>
      </c>
      <c r="BB21" s="249" t="s">
        <v>1718</v>
      </c>
      <c r="BC21" s="249" t="s">
        <v>1866</v>
      </c>
    </row>
    <row r="22" spans="1:55" ht="30" x14ac:dyDescent="0.25">
      <c r="B22" s="157" t="s">
        <v>1690</v>
      </c>
      <c r="C22" s="6">
        <f t="shared" si="26"/>
        <v>9.413067552602436E-2</v>
      </c>
      <c r="D22" s="249">
        <f t="shared" si="27"/>
        <v>85</v>
      </c>
      <c r="E22" s="249">
        <f>COUNTIF('ENCUESTA PROPIETARIOS'!$AW$7:$AW$417,"X")</f>
        <v>85</v>
      </c>
      <c r="U22" s="19" t="s">
        <v>1724</v>
      </c>
      <c r="V22" s="6">
        <f t="shared" si="22"/>
        <v>0.11173184357541899</v>
      </c>
      <c r="W22" s="11">
        <f t="shared" si="23"/>
        <v>160</v>
      </c>
      <c r="X22" s="249">
        <f>COUNTIF('DETALLES UNIDADES'!$T$8:$T$987,"&lt;3.01")-X21-X20-X19-X18-X17</f>
        <v>89</v>
      </c>
      <c r="Y22" s="11">
        <f>+[1]FORMULAS!$T10</f>
        <v>71</v>
      </c>
      <c r="AA22" s="11" t="s">
        <v>1746</v>
      </c>
      <c r="AB22" s="6">
        <f t="shared" si="24"/>
        <v>9.9439775910364139E-2</v>
      </c>
      <c r="AC22" s="249">
        <f t="shared" si="25"/>
        <v>142</v>
      </c>
      <c r="AD22" s="138">
        <f>COUNTIF('DETALLES UNIDADES'!$AN$8:$AN$987,"&lt;30000")-AD21-AD20-AD19-AD18</f>
        <v>105</v>
      </c>
      <c r="AE22" s="138">
        <f>COUNTIF('[1]ENCUESTA CONDUCTORES'!$BE$7:$BE$459,"&lt;30000")-AE21-AE20-AE19-AE18</f>
        <v>37</v>
      </c>
      <c r="AF22" s="11" t="s">
        <v>344</v>
      </c>
      <c r="AJ22" s="9" t="s">
        <v>1285</v>
      </c>
      <c r="AK22" s="6">
        <f t="shared" si="15"/>
        <v>2.3148148148148147E-3</v>
      </c>
      <c r="AL22" s="249">
        <f t="shared" si="16"/>
        <v>2</v>
      </c>
      <c r="AM22" s="249">
        <f>COUNTIF('ENCUESTA PROPIETARIOS'!$L$7:$L$417,AJ22)</f>
        <v>1</v>
      </c>
      <c r="AN22" s="249">
        <f>COUNTIF('[1]ENCUESTA CONDUCTORES'!N$7:N$459,AJ22)</f>
        <v>1</v>
      </c>
      <c r="AP22" s="107" t="s">
        <v>1662</v>
      </c>
      <c r="AQ22" s="177">
        <f>SUM(AQ18:AQ21)</f>
        <v>411</v>
      </c>
      <c r="AR22" s="177">
        <f>SUM(AR18:AR21)</f>
        <v>453</v>
      </c>
      <c r="AS22" s="177">
        <f>+AQ22+AR22</f>
        <v>864</v>
      </c>
      <c r="AU22" s="137" t="s">
        <v>171</v>
      </c>
      <c r="AV22" s="138">
        <f>+AW22+AX22</f>
        <v>491</v>
      </c>
      <c r="AW22" s="138">
        <f>COUNTIF('DETALLES UNIDADES'!$AH$8:$AH$987,"X")</f>
        <v>418</v>
      </c>
      <c r="AX22" s="138">
        <f>+[1]FORMULAS!$O41</f>
        <v>73</v>
      </c>
      <c r="AY22" s="6">
        <f t="shared" ref="AY22:AY24" si="28">+AV22/$Q$9</f>
        <v>0.34263782274947663</v>
      </c>
      <c r="AZ22" s="138">
        <f>+BA22+BB22</f>
        <v>491</v>
      </c>
      <c r="BA22" s="138">
        <f>COUNTIF('DETALLES UNIDADES'!$AH$8:$AH$987,"X")</f>
        <v>418</v>
      </c>
      <c r="BB22" s="138">
        <f>+[1]FORMULAS!$O41</f>
        <v>73</v>
      </c>
      <c r="BC22" s="6">
        <f t="shared" ref="BC22:BC24" si="29">+AZ22/$Q$9</f>
        <v>0.34263782274947663</v>
      </c>
    </row>
    <row r="23" spans="1:55" ht="30" x14ac:dyDescent="0.25">
      <c r="B23" s="157" t="s">
        <v>1694</v>
      </c>
      <c r="C23" s="6">
        <f t="shared" si="26"/>
        <v>1.5503875968992248E-2</v>
      </c>
      <c r="D23" s="249">
        <f t="shared" si="27"/>
        <v>14</v>
      </c>
      <c r="E23" s="249">
        <v>0</v>
      </c>
      <c r="F23" s="249">
        <f>+'[1]ENCUESTA CONDUCTORES'!$BW$461</f>
        <v>14</v>
      </c>
      <c r="I23" s="112" t="s">
        <v>1697</v>
      </c>
      <c r="J23" s="249"/>
      <c r="K23" s="249"/>
      <c r="L23" s="250"/>
      <c r="M23" s="17"/>
      <c r="O23" s="11" t="s">
        <v>1705</v>
      </c>
      <c r="U23" s="19" t="s">
        <v>1725</v>
      </c>
      <c r="V23" s="6">
        <f t="shared" si="22"/>
        <v>0.10754189944134078</v>
      </c>
      <c r="W23" s="11">
        <f t="shared" si="23"/>
        <v>154</v>
      </c>
      <c r="X23" s="249">
        <f>COUNTIF('DETALLES UNIDADES'!$T$8:$T$987,"&lt;4.01")-X22-X21-X20-X19-X18-X17</f>
        <v>117</v>
      </c>
      <c r="Y23" s="11">
        <f>+[1]FORMULAS!$T11</f>
        <v>37</v>
      </c>
      <c r="AA23" s="11" t="s">
        <v>1747</v>
      </c>
      <c r="AB23" s="6">
        <f t="shared" si="24"/>
        <v>6.7927170868347334E-2</v>
      </c>
      <c r="AC23" s="249">
        <f t="shared" si="25"/>
        <v>97</v>
      </c>
      <c r="AD23" s="138">
        <f>COUNTIF('DETALLES UNIDADES'!$AN$8:$AN$987,"&lt;40000")-AD22-AD21-AD20-AD19-AD18</f>
        <v>69</v>
      </c>
      <c r="AE23" s="138">
        <f>COUNTIF('[1]ENCUESTA CONDUCTORES'!$BE$7:$BE$459,"&lt;40000")-AE22-AE21-AE20-AE19-AE18</f>
        <v>28</v>
      </c>
      <c r="AF23" s="11" t="s">
        <v>1741</v>
      </c>
      <c r="AJ23" s="1" t="s">
        <v>1284</v>
      </c>
      <c r="AK23" s="6">
        <f t="shared" si="15"/>
        <v>1.7361111111111112E-2</v>
      </c>
      <c r="AL23" s="249">
        <f t="shared" si="16"/>
        <v>15</v>
      </c>
      <c r="AM23" s="249">
        <f>COUNTIF('ENCUESTA PROPIETARIOS'!$L$7:$L$417,AJ23)</f>
        <v>6</v>
      </c>
      <c r="AN23" s="249">
        <f>COUNTIF('[1]ENCUESTA CONDUCTORES'!N$7:N$459,AJ23)</f>
        <v>9</v>
      </c>
      <c r="AU23" s="137" t="s">
        <v>174</v>
      </c>
      <c r="AV23" s="138">
        <f>+AW23+AX23</f>
        <v>446</v>
      </c>
      <c r="AW23" s="138">
        <f>COUNTIF('DETALLES UNIDADES'!$AK$8:$AK$987,"X")</f>
        <v>330</v>
      </c>
      <c r="AX23" s="138">
        <f>+[1]FORMULAS!$O44</f>
        <v>116</v>
      </c>
      <c r="AY23" s="6">
        <f t="shared" si="28"/>
        <v>0.31123517096999304</v>
      </c>
      <c r="AZ23" s="138">
        <f>+BA23+BB23</f>
        <v>446</v>
      </c>
      <c r="BA23" s="138">
        <f>COUNTIF('DETALLES UNIDADES'!$AK$8:$AK$987,"X")</f>
        <v>330</v>
      </c>
      <c r="BB23" s="138">
        <f>+[1]FORMULAS!$O44</f>
        <v>116</v>
      </c>
      <c r="BC23" s="6">
        <f t="shared" si="29"/>
        <v>0.31123517096999304</v>
      </c>
    </row>
    <row r="24" spans="1:55" x14ac:dyDescent="0.25">
      <c r="I24" s="249"/>
      <c r="J24" s="249"/>
      <c r="K24" s="176"/>
      <c r="L24" s="250"/>
      <c r="M24" s="17"/>
      <c r="U24" s="19" t="s">
        <v>1726</v>
      </c>
      <c r="V24" s="6">
        <f t="shared" si="22"/>
        <v>4.5391061452513967E-2</v>
      </c>
      <c r="W24" s="11">
        <f t="shared" si="23"/>
        <v>65</v>
      </c>
      <c r="X24" s="249">
        <f>COUNTIF('DETALLES UNIDADES'!$T$8:$T$987,"&lt;5.01")-X23-X22-X21-X20-X19-X18-X17</f>
        <v>53</v>
      </c>
      <c r="Y24" s="11">
        <f>+[1]FORMULAS!$T12</f>
        <v>12</v>
      </c>
      <c r="AA24" s="11" t="s">
        <v>1853</v>
      </c>
      <c r="AB24" s="6">
        <f t="shared" si="24"/>
        <v>6.0924369747899158E-2</v>
      </c>
      <c r="AC24" s="249">
        <f t="shared" si="25"/>
        <v>87</v>
      </c>
      <c r="AD24" s="138">
        <f>COUNTIF('DETALLES UNIDADES'!$AN$8:$AN$987,"&gt;39999")</f>
        <v>70</v>
      </c>
      <c r="AE24" s="138">
        <f>COUNTIF('[1]ENCUESTA CONDUCTORES'!$BE$7:$BE$459,"&gt;39999")</f>
        <v>17</v>
      </c>
      <c r="AJ24" s="9" t="s">
        <v>1293</v>
      </c>
      <c r="AK24" s="6">
        <f t="shared" si="15"/>
        <v>3.7037037037037035E-2</v>
      </c>
      <c r="AL24" s="249">
        <f t="shared" si="16"/>
        <v>32</v>
      </c>
      <c r="AM24" s="249">
        <f>COUNTIF('ENCUESTA PROPIETARIOS'!$L$7:$L$417,AJ24)</f>
        <v>16</v>
      </c>
      <c r="AN24" s="249">
        <f>COUNTIF('[1]ENCUESTA CONDUCTORES'!N$7:N$459,AJ24)</f>
        <v>16</v>
      </c>
      <c r="AP24" s="112" t="s">
        <v>1862</v>
      </c>
      <c r="AQ24" s="249" t="s">
        <v>1717</v>
      </c>
      <c r="AR24" s="249" t="s">
        <v>1718</v>
      </c>
      <c r="AS24" s="249" t="s">
        <v>715</v>
      </c>
      <c r="AU24" s="140" t="s">
        <v>1018</v>
      </c>
      <c r="AV24" s="138">
        <f>+AW24+AX24</f>
        <v>391</v>
      </c>
      <c r="AW24" s="138">
        <f>COUNTIF('DETALLES UNIDADES'!$AD$8:$AD$987,"NINGUNO")</f>
        <v>96</v>
      </c>
      <c r="AX24" s="138">
        <f>+[1]FORMULAS!$O47</f>
        <v>295</v>
      </c>
      <c r="AY24" s="6">
        <f t="shared" si="28"/>
        <v>0.27285415212840197</v>
      </c>
      <c r="AZ24" s="138">
        <f>+BA24+BB24</f>
        <v>391</v>
      </c>
      <c r="BA24" s="138">
        <f>COUNTIF('DETALLES UNIDADES'!$AD$8:$AD$987,"NINGUNO")</f>
        <v>96</v>
      </c>
      <c r="BB24" s="138">
        <f>+[1]FORMULAS!$O47</f>
        <v>295</v>
      </c>
      <c r="BC24" s="6">
        <f t="shared" si="29"/>
        <v>0.27285415212840197</v>
      </c>
    </row>
    <row r="25" spans="1:55" x14ac:dyDescent="0.25">
      <c r="C25" s="6">
        <f>D25/$D$25</f>
        <v>1</v>
      </c>
      <c r="D25" s="249">
        <f>SUM(D19:D23)</f>
        <v>903</v>
      </c>
      <c r="E25" s="249">
        <f>SUM(E19:E23)</f>
        <v>451</v>
      </c>
      <c r="F25" s="249">
        <f>SUM(F19:F23)</f>
        <v>452</v>
      </c>
      <c r="I25" s="158" t="s">
        <v>43</v>
      </c>
      <c r="J25" s="6">
        <f t="shared" ref="J25:J28" si="30">+K25/$K$42</f>
        <v>6.2197392923649904E-2</v>
      </c>
      <c r="K25" s="249">
        <f>+L25+M25</f>
        <v>167</v>
      </c>
      <c r="L25" s="176">
        <f>COUNTIF('ENCUESTA PROPIETARIOS'!$AX$7:$AX$417,"3")</f>
        <v>104</v>
      </c>
      <c r="M25" s="249">
        <f>+'[1]ENCUESTA CONDUCTORES'!$BX$463</f>
        <v>63</v>
      </c>
      <c r="O25" s="11" t="s">
        <v>11</v>
      </c>
      <c r="P25" s="121">
        <f t="shared" ref="P25:P31" si="31">+Q25/$Q$33</f>
        <v>0.42731018246027075</v>
      </c>
      <c r="Q25" s="249">
        <f>+R25+S25</f>
        <v>726</v>
      </c>
      <c r="R25" s="11">
        <f>SUM('ENCUESTA PROPIETARIOS'!$O$7:$O$417)</f>
        <v>483</v>
      </c>
      <c r="S25" s="249">
        <f>+'[1]ENCUESTA CONDUCTORES'!$U$461</f>
        <v>243</v>
      </c>
      <c r="U25" s="19" t="s">
        <v>1727</v>
      </c>
      <c r="V25" s="6">
        <f t="shared" si="22"/>
        <v>1.6061452513966481E-2</v>
      </c>
      <c r="W25" s="11">
        <f t="shared" si="23"/>
        <v>23</v>
      </c>
      <c r="X25" s="249">
        <f>COUNTIF('DETALLES UNIDADES'!$T$8:$T$987,"&gt;5")</f>
        <v>19</v>
      </c>
      <c r="Y25" s="11">
        <f>+[1]FORMULAS!$T13</f>
        <v>4</v>
      </c>
      <c r="AA25" s="11" t="s">
        <v>715</v>
      </c>
      <c r="AB25" s="6">
        <f t="shared" si="24"/>
        <v>1</v>
      </c>
      <c r="AC25" s="249">
        <f t="shared" si="25"/>
        <v>1428</v>
      </c>
      <c r="AD25" s="249">
        <f>SUM(AD18:AD24)</f>
        <v>980</v>
      </c>
      <c r="AE25" s="249">
        <f>SUM(AE18:AE24)</f>
        <v>448</v>
      </c>
      <c r="AJ25" s="9" t="s">
        <v>1335</v>
      </c>
      <c r="AK25" s="6">
        <f t="shared" si="15"/>
        <v>1.6203703703703703E-2</v>
      </c>
      <c r="AL25" s="249">
        <f t="shared" si="16"/>
        <v>14</v>
      </c>
      <c r="AM25" s="249">
        <f>COUNTIF('ENCUESTA PROPIETARIOS'!$L$7:$L$417,AJ25)</f>
        <v>6</v>
      </c>
      <c r="AN25" s="249">
        <f>COUNTIF('[1]ENCUESTA CONDUCTORES'!N$7:N$459,AJ25)</f>
        <v>8</v>
      </c>
      <c r="AP25" s="107" t="s">
        <v>1854</v>
      </c>
      <c r="AQ25" s="138">
        <f>+'DETALLES UNIDADES'!B990</f>
        <v>55</v>
      </c>
      <c r="AR25" s="138">
        <f>+'[1]ENCUESTA CONDUCTORES'!$D462</f>
        <v>28</v>
      </c>
      <c r="AS25" s="138">
        <f t="shared" ref="AS25:AS36" si="32">+AQ25+AR25</f>
        <v>83</v>
      </c>
      <c r="AU25" s="11" t="s">
        <v>715</v>
      </c>
      <c r="AV25" s="138">
        <f>SUM(AV22:AV24)</f>
        <v>1328</v>
      </c>
      <c r="AW25" s="138">
        <f t="shared" ref="AW25:AX25" si="33">SUM(AW22:AW24)</f>
        <v>844</v>
      </c>
      <c r="AX25" s="138">
        <f t="shared" si="33"/>
        <v>484</v>
      </c>
      <c r="AY25" s="6"/>
      <c r="AZ25" s="138">
        <f t="shared" ref="AZ25:BB25" si="34">SUM(AZ22:AZ24)</f>
        <v>1328</v>
      </c>
      <c r="BA25" s="138">
        <f t="shared" si="34"/>
        <v>844</v>
      </c>
      <c r="BB25" s="138">
        <f t="shared" si="34"/>
        <v>484</v>
      </c>
      <c r="BC25" s="6"/>
    </row>
    <row r="26" spans="1:55" x14ac:dyDescent="0.25">
      <c r="I26" s="158" t="s">
        <v>44</v>
      </c>
      <c r="J26" s="6">
        <f t="shared" si="30"/>
        <v>0.16089385474860335</v>
      </c>
      <c r="K26" s="249">
        <f t="shared" ref="K26:K28" si="35">+L26+M26</f>
        <v>432</v>
      </c>
      <c r="L26" s="176">
        <f>COUNTIF('ENCUESTA PROPIETARIOS'!$AY$7:$AY$417,"3")</f>
        <v>182</v>
      </c>
      <c r="M26" s="249">
        <f>+'[1]ENCUESTA CONDUCTORES'!$BY$463</f>
        <v>250</v>
      </c>
      <c r="O26" s="11" t="s">
        <v>14</v>
      </c>
      <c r="P26" s="121">
        <f t="shared" si="31"/>
        <v>0.18952324896998235</v>
      </c>
      <c r="Q26" s="249">
        <f t="shared" ref="Q26:Q31" si="36">+R26+S26</f>
        <v>322</v>
      </c>
      <c r="R26" s="11">
        <f>SUM('ENCUESTA PROPIETARIOS'!$R$7:$R$417)+SUM('ENCUESTA PROPIETARIOS'!$P$7:$P$417)</f>
        <v>276</v>
      </c>
      <c r="S26" s="249">
        <f>+'[1]ENCUESTA CONDUCTORES'!$X$461++'[1]ENCUESTA CONDUCTORES'!$V$461</f>
        <v>46</v>
      </c>
      <c r="U26" s="19" t="s">
        <v>715</v>
      </c>
      <c r="V26" s="6">
        <f>+W26/$W$26</f>
        <v>1</v>
      </c>
      <c r="W26" s="11">
        <f t="shared" si="23"/>
        <v>1432</v>
      </c>
      <c r="X26" s="249">
        <f>SUM(X17:X25)</f>
        <v>980</v>
      </c>
      <c r="Y26" s="11">
        <f>SUM(Y17:Y25)</f>
        <v>452</v>
      </c>
      <c r="AE26" s="249" t="s">
        <v>1748</v>
      </c>
      <c r="AJ26" s="9" t="s">
        <v>1287</v>
      </c>
      <c r="AK26" s="6">
        <f t="shared" si="15"/>
        <v>8.1018518518518514E-3</v>
      </c>
      <c r="AL26" s="249">
        <f t="shared" si="16"/>
        <v>7</v>
      </c>
      <c r="AM26" s="249">
        <f>COUNTIF('ENCUESTA PROPIETARIOS'!$L$7:$L$417,AJ26)</f>
        <v>3</v>
      </c>
      <c r="AN26" s="249">
        <f>COUNTIF('[1]ENCUESTA CONDUCTORES'!N$7:N$459,AJ26)</f>
        <v>4</v>
      </c>
      <c r="AP26" s="107" t="s">
        <v>1404</v>
      </c>
      <c r="AQ26" s="138">
        <f>+'DETALLES UNIDADES'!B991</f>
        <v>275</v>
      </c>
      <c r="AR26" s="138">
        <f>+'[1]ENCUESTA CONDUCTORES'!$D463</f>
        <v>228</v>
      </c>
      <c r="AS26" s="138">
        <f t="shared" si="32"/>
        <v>503</v>
      </c>
    </row>
    <row r="27" spans="1:55" x14ac:dyDescent="0.25">
      <c r="I27" s="158" t="s">
        <v>45</v>
      </c>
      <c r="J27" s="6">
        <f t="shared" si="30"/>
        <v>9.6461824953445061E-2</v>
      </c>
      <c r="K27" s="249">
        <f t="shared" si="35"/>
        <v>259</v>
      </c>
      <c r="L27" s="176">
        <f>COUNTIF('ENCUESTA PROPIETARIOS'!$AZ$7:$AZ$417,"3")</f>
        <v>124</v>
      </c>
      <c r="M27" s="249">
        <f>+'[1]ENCUESTA CONDUCTORES'!$BZ$463</f>
        <v>135</v>
      </c>
      <c r="O27" s="11" t="s">
        <v>1706</v>
      </c>
      <c r="P27" s="121">
        <f t="shared" si="31"/>
        <v>7.7692760447321957E-2</v>
      </c>
      <c r="Q27" s="249">
        <f t="shared" si="36"/>
        <v>132</v>
      </c>
      <c r="R27" s="11">
        <f>SUM('ENCUESTA PROPIETARIOS'!$S$7:$S$417)+SUM('ENCUESTA PROPIETARIOS'!$T$7:$T$417)</f>
        <v>91</v>
      </c>
      <c r="S27" s="249">
        <f>+'[1]ENCUESTA CONDUCTORES'!$Y$461++'[1]ENCUESTA CONDUCTORES'!$Z$461</f>
        <v>41</v>
      </c>
      <c r="Y27" s="11" t="s">
        <v>1728</v>
      </c>
      <c r="AJ27" s="1" t="s">
        <v>1291</v>
      </c>
      <c r="AK27" s="6">
        <f t="shared" si="15"/>
        <v>8.1018518518518514E-3</v>
      </c>
      <c r="AL27" s="249">
        <f t="shared" si="16"/>
        <v>7</v>
      </c>
      <c r="AM27" s="249">
        <f>COUNTIF('ENCUESTA PROPIETARIOS'!$L$7:$L$417,AJ27)</f>
        <v>3</v>
      </c>
      <c r="AN27" s="249">
        <f>COUNTIF('[1]ENCUESTA CONDUCTORES'!N$7:N$459,AJ27)</f>
        <v>4</v>
      </c>
      <c r="AP27" s="107" t="s">
        <v>1855</v>
      </c>
      <c r="AQ27" s="138">
        <f>+'DETALLES UNIDADES'!B992</f>
        <v>176</v>
      </c>
      <c r="AR27" s="138">
        <f>+'[1]ENCUESTA CONDUCTORES'!$D464</f>
        <v>27</v>
      </c>
      <c r="AS27" s="138">
        <f t="shared" si="32"/>
        <v>203</v>
      </c>
    </row>
    <row r="28" spans="1:55" x14ac:dyDescent="0.25">
      <c r="B28" s="112" t="s">
        <v>1695</v>
      </c>
      <c r="E28" s="250"/>
      <c r="F28" s="17"/>
      <c r="I28" s="158" t="s">
        <v>1696</v>
      </c>
      <c r="J28" s="6">
        <f t="shared" si="30"/>
        <v>0</v>
      </c>
      <c r="K28" s="249">
        <f t="shared" si="35"/>
        <v>0</v>
      </c>
      <c r="L28" s="176">
        <f>COUNTIF('ENCUESTA PROPIETARIOS'!$BA$7:$BA$417,"3")</f>
        <v>0</v>
      </c>
      <c r="M28" s="249">
        <f>+'[1]ENCUESTA CONDUCTORES'!$CA$463</f>
        <v>0</v>
      </c>
      <c r="O28" s="11" t="s">
        <v>824</v>
      </c>
      <c r="P28" s="121">
        <f t="shared" si="31"/>
        <v>7.3572689817539727E-2</v>
      </c>
      <c r="Q28" s="249">
        <f t="shared" si="36"/>
        <v>125</v>
      </c>
      <c r="R28" s="11">
        <f>SUM('ENCUESTA PROPIETARIOS'!$V$7:$V$417)</f>
        <v>125</v>
      </c>
      <c r="S28" s="249">
        <f>+'[1]ENCUESTA CONDUCTORES'!$AG$464</f>
        <v>0</v>
      </c>
      <c r="AA28" s="11" t="s">
        <v>1749</v>
      </c>
      <c r="AJ28" s="9" t="s">
        <v>1446</v>
      </c>
      <c r="AK28" s="6">
        <f t="shared" si="15"/>
        <v>3.4722222222222224E-2</v>
      </c>
      <c r="AL28" s="249">
        <f t="shared" si="16"/>
        <v>30</v>
      </c>
      <c r="AM28" s="249">
        <f>COUNTIF('ENCUESTA PROPIETARIOS'!$L$7:$L$417,AJ28)</f>
        <v>18</v>
      </c>
      <c r="AN28" s="249">
        <f>COUNTIF('[1]ENCUESTA CONDUCTORES'!N$7:N$459,"NVO. LEON")</f>
        <v>12</v>
      </c>
      <c r="AP28" s="107" t="s">
        <v>1856</v>
      </c>
      <c r="AQ28" s="138">
        <f>+'DETALLES UNIDADES'!B993</f>
        <v>57</v>
      </c>
      <c r="AR28" s="138">
        <f>+'[1]ENCUESTA CONDUCTORES'!$D465</f>
        <v>47</v>
      </c>
      <c r="AS28" s="138">
        <f t="shared" si="32"/>
        <v>104</v>
      </c>
    </row>
    <row r="29" spans="1:55" x14ac:dyDescent="0.25">
      <c r="B29" s="249"/>
      <c r="D29" s="176"/>
      <c r="E29" s="250"/>
      <c r="F29" s="17"/>
      <c r="I29" s="141"/>
      <c r="J29" s="249"/>
      <c r="K29" s="249"/>
      <c r="L29" s="249"/>
      <c r="M29" s="249"/>
      <c r="O29" s="11" t="s">
        <v>1709</v>
      </c>
      <c r="P29" s="121">
        <f t="shared" si="31"/>
        <v>3.7080635668040027E-2</v>
      </c>
      <c r="Q29" s="249">
        <f t="shared" si="36"/>
        <v>63</v>
      </c>
      <c r="R29" s="11">
        <f>SUM('ENCUESTA PROPIETARIOS'!$Y$7:$Y$417)+SUM('ENCUESTA PROPIETARIOS'!$U$7:$U$417)+SUM('ENCUESTA PROPIETARIOS'!$W$7:$W$417)</f>
        <v>63</v>
      </c>
      <c r="S29" s="249">
        <f>+'[1]ENCUESTA CONDUCTORES'!$AG$468++'[1]ENCUESTA CONDUCTORES'!$AG$471++'[1]ENCUESTA CONDUCTORES'!$AG$465</f>
        <v>0</v>
      </c>
      <c r="AA29" s="11" t="s">
        <v>1743</v>
      </c>
      <c r="AB29" s="6">
        <f>+AC29/$AC$36</f>
        <v>7.9318013343217197E-2</v>
      </c>
      <c r="AC29" s="249">
        <f>+AD29+AE29</f>
        <v>107</v>
      </c>
      <c r="AD29" s="249">
        <f>COUNTIF('DETALLES UNIDADES'!$AO$8:$AO$987,"&lt;10000")</f>
        <v>38</v>
      </c>
      <c r="AE29" s="249">
        <f>COUNTIF('[1]ENCUESTA CONDUCTORES'!$BF$7:$BF$459,"&lt;10000")</f>
        <v>69</v>
      </c>
      <c r="AJ29" s="9" t="s">
        <v>1182</v>
      </c>
      <c r="AK29" s="6">
        <f t="shared" si="15"/>
        <v>4.1666666666666664E-2</v>
      </c>
      <c r="AL29" s="249">
        <f t="shared" si="16"/>
        <v>36</v>
      </c>
      <c r="AM29" s="249">
        <f>COUNTIF('ENCUESTA PROPIETARIOS'!$L$7:$L$417,AJ29)</f>
        <v>18</v>
      </c>
      <c r="AN29" s="249">
        <f>COUNTIF('[1]ENCUESTA CONDUCTORES'!N$7:N$459,AJ29)</f>
        <v>18</v>
      </c>
      <c r="AP29" s="108" t="s">
        <v>1864</v>
      </c>
      <c r="AQ29" s="138"/>
      <c r="AR29" s="138">
        <f>+'[1]ENCUESTA CONDUCTORES'!$D466</f>
        <v>67</v>
      </c>
      <c r="AS29" s="138">
        <f t="shared" si="32"/>
        <v>67</v>
      </c>
    </row>
    <row r="30" spans="1:55" x14ac:dyDescent="0.25">
      <c r="B30" s="158" t="s">
        <v>43</v>
      </c>
      <c r="C30" s="6">
        <f>+F30/$F$35</f>
        <v>0.58239277652370203</v>
      </c>
      <c r="D30" s="249">
        <f>+E30+F30</f>
        <v>423</v>
      </c>
      <c r="E30" s="176">
        <f>COUNTIF('ENCUESTA PROPIETARIOS'!$AX$7:$AX$417,"1")</f>
        <v>165</v>
      </c>
      <c r="F30" s="249">
        <f>+'[1]ENCUESTA CONDUCTORES'!$BX$461</f>
        <v>258</v>
      </c>
      <c r="I30" s="141" t="s">
        <v>1662</v>
      </c>
      <c r="J30" s="6">
        <f>+K30/$K$42</f>
        <v>0.31955307262569832</v>
      </c>
      <c r="K30" s="249">
        <f>SUM(K25:K28)</f>
        <v>858</v>
      </c>
      <c r="L30" s="249">
        <f>SUM(L25:L28)</f>
        <v>410</v>
      </c>
      <c r="M30" s="249">
        <f>SUM(M25:M28)</f>
        <v>448</v>
      </c>
      <c r="O30" s="11" t="s">
        <v>1707</v>
      </c>
      <c r="P30" s="121">
        <f t="shared" si="31"/>
        <v>8.7110064743967042E-2</v>
      </c>
      <c r="Q30" s="249">
        <f t="shared" si="36"/>
        <v>148</v>
      </c>
      <c r="R30" s="11">
        <f>SUM('ENCUESTA PROPIETARIOS'!$Z$7:$Z$417)+SUM('ENCUESTA PROPIETARIOS'!$X$7:$X$417)</f>
        <v>147</v>
      </c>
      <c r="S30" s="249">
        <f>+'[1]ENCUESTA CONDUCTORES'!$AG$463++'[1]ENCUESTA CONDUCTORES'!$AG$469</f>
        <v>1</v>
      </c>
      <c r="AA30" s="11" t="s">
        <v>954</v>
      </c>
      <c r="AB30" s="6">
        <f t="shared" ref="AB30:AB36" si="37">+AC30/$AC$36</f>
        <v>0.12676056338028169</v>
      </c>
      <c r="AC30" s="249">
        <f t="shared" ref="AC30:AC36" si="38">+AD30+AE30</f>
        <v>171</v>
      </c>
      <c r="AD30" s="138">
        <f>COUNTIF('DETALLES UNIDADES'!$AO$8:$AO$987,"&lt;15000")-AD29</f>
        <v>106</v>
      </c>
      <c r="AE30" s="138">
        <f>COUNTIF('[1]ENCUESTA CONDUCTORES'!$BF$7:$BF$459,"&lt;15000")-AE29</f>
        <v>65</v>
      </c>
      <c r="AJ30" s="9" t="s">
        <v>1188</v>
      </c>
      <c r="AK30" s="6">
        <f t="shared" si="15"/>
        <v>4.0509259259259259E-2</v>
      </c>
      <c r="AL30" s="249">
        <f t="shared" si="16"/>
        <v>35</v>
      </c>
      <c r="AM30" s="249">
        <f>COUNTIF('ENCUESTA PROPIETARIOS'!$L$7:$L$417,AJ30)</f>
        <v>20</v>
      </c>
      <c r="AN30" s="249">
        <f>COUNTIF('[1]ENCUESTA CONDUCTORES'!N$7:N$459,AJ30)</f>
        <v>15</v>
      </c>
      <c r="AP30" s="109" t="s">
        <v>1865</v>
      </c>
      <c r="AQ30" s="138"/>
      <c r="AR30" s="138">
        <f>+'[1]ENCUESTA CONDUCTORES'!$D467</f>
        <v>14</v>
      </c>
      <c r="AS30" s="138">
        <f t="shared" si="32"/>
        <v>14</v>
      </c>
    </row>
    <row r="31" spans="1:55" x14ac:dyDescent="0.25">
      <c r="B31" s="158" t="s">
        <v>44</v>
      </c>
      <c r="C31" s="6">
        <f t="shared" ref="C31:C33" si="39">+F31/$F$35</f>
        <v>0.11060948081264109</v>
      </c>
      <c r="D31" s="249">
        <f t="shared" ref="D31:D33" si="40">+E31+F31</f>
        <v>118</v>
      </c>
      <c r="E31" s="176">
        <f>COUNTIF('ENCUESTA PROPIETARIOS'!$AY$7:$AY$417,"1")</f>
        <v>69</v>
      </c>
      <c r="F31" s="249">
        <f>+'[1]ENCUESTA CONDUCTORES'!$BY$461</f>
        <v>49</v>
      </c>
      <c r="O31" s="11" t="s">
        <v>1708</v>
      </c>
      <c r="P31" s="121">
        <f t="shared" si="31"/>
        <v>0.10771041789287816</v>
      </c>
      <c r="Q31" s="249">
        <f t="shared" si="36"/>
        <v>183</v>
      </c>
      <c r="R31" s="11">
        <f>SUM('ENCUESTA PROPIETARIOS'!$AA$7:$AA$417)+SUM('ENCUESTA PROPIETARIOS'!$Q$7:$Q$417)+COUNTA('ENCUESTA PROPIETARIOS'!$AA$7:$AA$417)-COUNTIF('ENCUESTA PROPIETARIOS'!$AA$7:$AA$417,"(REDILAS)")</f>
        <v>177</v>
      </c>
      <c r="S31" s="249">
        <f>+'[1]ENCUESTA CONDUCTORES'!$AG$470++'[1]ENCUESTA CONDUCTORES'!$W$461</f>
        <v>6</v>
      </c>
      <c r="AA31" s="11" t="s">
        <v>1744</v>
      </c>
      <c r="AB31" s="6">
        <f t="shared" si="37"/>
        <v>0.11638250555967383</v>
      </c>
      <c r="AC31" s="249">
        <f t="shared" si="38"/>
        <v>157</v>
      </c>
      <c r="AD31" s="138">
        <f>COUNTIF('DETALLES UNIDADES'!$AO$8:$AO$987,"&lt;20000")-AD30-AD29</f>
        <v>130</v>
      </c>
      <c r="AE31" s="138">
        <f>COUNTIF('[1]ENCUESTA CONDUCTORES'!$BF$7:$BF$459,"&lt;20000")-AE30-AE29</f>
        <v>27</v>
      </c>
      <c r="AJ31" s="9" t="s">
        <v>1183</v>
      </c>
      <c r="AK31" s="6">
        <f t="shared" si="15"/>
        <v>5.6712962962962965E-2</v>
      </c>
      <c r="AL31" s="249">
        <f t="shared" si="16"/>
        <v>49</v>
      </c>
      <c r="AM31" s="249">
        <f>COUNTIF('ENCUESTA PROPIETARIOS'!$L$7:$L$417,AJ31)</f>
        <v>30</v>
      </c>
      <c r="AN31" s="249">
        <f>COUNTIF('[1]ENCUESTA CONDUCTORES'!N$7:N$459,AJ31)</f>
        <v>19</v>
      </c>
      <c r="AP31" s="107" t="s">
        <v>1378</v>
      </c>
      <c r="AQ31" s="138">
        <f>+'DETALLES UNIDADES'!B994</f>
        <v>198</v>
      </c>
      <c r="AR31" s="138">
        <f>+'[1]ENCUESTA CONDUCTORES'!$D468</f>
        <v>0</v>
      </c>
      <c r="AS31" s="138">
        <f t="shared" si="32"/>
        <v>198</v>
      </c>
    </row>
    <row r="32" spans="1:55" x14ac:dyDescent="0.25">
      <c r="B32" s="158" t="s">
        <v>45</v>
      </c>
      <c r="C32" s="6">
        <f t="shared" si="39"/>
        <v>0.21670428893905191</v>
      </c>
      <c r="D32" s="249">
        <f t="shared" si="40"/>
        <v>199</v>
      </c>
      <c r="E32" s="176">
        <f>COUNTIF('ENCUESTA PROPIETARIOS'!$AZ$7:$AZ$417,"1")</f>
        <v>103</v>
      </c>
      <c r="F32" s="249">
        <f>+'[1]ENCUESTA CONDUCTORES'!$BZ$461</f>
        <v>96</v>
      </c>
      <c r="U32" s="112" t="s">
        <v>1729</v>
      </c>
      <c r="V32" s="249"/>
      <c r="X32" s="249" t="s">
        <v>1717</v>
      </c>
      <c r="Y32" s="11" t="s">
        <v>1718</v>
      </c>
      <c r="AA32" s="11" t="s">
        <v>1745</v>
      </c>
      <c r="AB32" s="6">
        <f t="shared" si="37"/>
        <v>0.18532246108228317</v>
      </c>
      <c r="AC32" s="249">
        <f t="shared" si="38"/>
        <v>250</v>
      </c>
      <c r="AD32" s="138">
        <f>COUNTIF('DETALLES UNIDADES'!$AO$8:$AO$987,"&lt;25000")-AD31-AD30-AD29</f>
        <v>226</v>
      </c>
      <c r="AE32" s="138">
        <f>COUNTIF('[1]ENCUESTA CONDUCTORES'!$BF$7:$BF$459,"&lt;25000")-AE31-AE30-AE29</f>
        <v>24</v>
      </c>
      <c r="AJ32" s="9" t="s">
        <v>1336</v>
      </c>
      <c r="AK32" s="6">
        <f t="shared" si="15"/>
        <v>0</v>
      </c>
      <c r="AL32" s="249">
        <f t="shared" si="16"/>
        <v>0</v>
      </c>
      <c r="AM32" s="249">
        <f>COUNTIF('ENCUESTA PROPIETARIOS'!$L$7:$L$417,AJ32)</f>
        <v>0</v>
      </c>
      <c r="AN32" s="249">
        <f>COUNTIF('[1]ENCUESTA CONDUCTORES'!N$7:N$459,AJ32)</f>
        <v>0</v>
      </c>
      <c r="AP32" s="107" t="s">
        <v>1442</v>
      </c>
      <c r="AQ32" s="138">
        <f>+'DETALLES UNIDADES'!B995</f>
        <v>44</v>
      </c>
      <c r="AR32" s="138">
        <f>+'[1]ENCUESTA CONDUCTORES'!$D469</f>
        <v>26</v>
      </c>
      <c r="AS32" s="138">
        <f t="shared" si="32"/>
        <v>70</v>
      </c>
    </row>
    <row r="33" spans="2:46" x14ac:dyDescent="0.25">
      <c r="B33" s="158" t="s">
        <v>1696</v>
      </c>
      <c r="C33" s="6">
        <f t="shared" si="39"/>
        <v>9.0293453724604969E-2</v>
      </c>
      <c r="D33" s="249">
        <f t="shared" si="40"/>
        <v>113</v>
      </c>
      <c r="E33" s="176">
        <f>COUNTIF('ENCUESTA PROPIETARIOS'!$BA$7:$BA$417,"SEGURIDAD")</f>
        <v>73</v>
      </c>
      <c r="F33" s="249">
        <f>+'[1]ENCUESTA CONDUCTORES'!$CA$461</f>
        <v>40</v>
      </c>
      <c r="I33" s="112" t="s">
        <v>1699</v>
      </c>
      <c r="J33" s="249"/>
      <c r="K33" s="249"/>
      <c r="L33" s="250"/>
      <c r="M33" s="17"/>
      <c r="O33" s="11" t="s">
        <v>1704</v>
      </c>
      <c r="P33" s="121">
        <f>+Q33/$Q$33</f>
        <v>1</v>
      </c>
      <c r="Q33" s="249">
        <f>+R33+S33</f>
        <v>1699</v>
      </c>
      <c r="R33" s="11">
        <f>SUM(R25:R31)</f>
        <v>1362</v>
      </c>
      <c r="S33" s="249">
        <f>SUM(S25:S31)</f>
        <v>337</v>
      </c>
      <c r="U33" s="19" t="s">
        <v>1730</v>
      </c>
      <c r="V33" s="6">
        <f t="shared" ref="V33:V42" si="41">W33/$W$42</f>
        <v>3.4916201117318434E-2</v>
      </c>
      <c r="W33" s="11">
        <f>+X33+Y33</f>
        <v>50</v>
      </c>
      <c r="X33" s="249">
        <f>COUNTIF('DETALLES UNIDADES'!$U$8:$U$987,"&lt;1.91")</f>
        <v>28</v>
      </c>
      <c r="Y33" s="11">
        <f>+[1]FORMULAS!$T18</f>
        <v>22</v>
      </c>
      <c r="AA33" s="11" t="s">
        <v>1751</v>
      </c>
      <c r="AB33" s="6">
        <f t="shared" si="37"/>
        <v>0.17494440326167532</v>
      </c>
      <c r="AC33" s="249">
        <f t="shared" si="38"/>
        <v>236</v>
      </c>
      <c r="AD33" s="138">
        <f>COUNTIF('DETALLES UNIDADES'!$AO$8:$AO$987,"&lt;35000")-AD32-AD31-AD30-AD29</f>
        <v>207</v>
      </c>
      <c r="AE33" s="138">
        <f>COUNTIF('[1]ENCUESTA CONDUCTORES'!$BF$7:$BF$459,"&lt;35000")-AE32-AE31-AE30-AE29</f>
        <v>29</v>
      </c>
      <c r="AJ33" s="9" t="s">
        <v>1337</v>
      </c>
      <c r="AK33" s="6">
        <f t="shared" si="15"/>
        <v>9.2592592592592587E-3</v>
      </c>
      <c r="AL33" s="249">
        <f t="shared" si="16"/>
        <v>8</v>
      </c>
      <c r="AM33" s="249">
        <f>COUNTIF('ENCUESTA PROPIETARIOS'!$L$7:$L$417,AJ33)</f>
        <v>2</v>
      </c>
      <c r="AN33" s="249">
        <f>COUNTIF('[1]ENCUESTA CONDUCTORES'!N$7:N$459,AJ33)</f>
        <v>6</v>
      </c>
      <c r="AP33" s="107" t="s">
        <v>1508</v>
      </c>
      <c r="AQ33" s="138">
        <f>+'DETALLES UNIDADES'!B996</f>
        <v>25</v>
      </c>
      <c r="AR33" s="138">
        <f>+'[1]ENCUESTA CONDUCTORES'!$D470</f>
        <v>0</v>
      </c>
      <c r="AS33" s="138">
        <f t="shared" si="32"/>
        <v>25</v>
      </c>
    </row>
    <row r="34" spans="2:46" x14ac:dyDescent="0.25">
      <c r="B34" s="141"/>
      <c r="I34" s="249"/>
      <c r="J34" s="249"/>
      <c r="K34" s="176"/>
      <c r="L34" s="250"/>
      <c r="M34" s="17"/>
      <c r="U34" s="19" t="s">
        <v>1731</v>
      </c>
      <c r="V34" s="6">
        <f t="shared" si="41"/>
        <v>0.13966480446927373</v>
      </c>
      <c r="W34" s="11">
        <f t="shared" ref="W34:W41" si="42">+X34+Y34</f>
        <v>200</v>
      </c>
      <c r="X34" s="249">
        <f>COUNTIF('DETALLES UNIDADES'!$U$8:$U$987,"&lt;2.21")-X33</f>
        <v>138</v>
      </c>
      <c r="Y34" s="11">
        <f>+[1]FORMULAS!$T19</f>
        <v>62</v>
      </c>
      <c r="AA34" s="11" t="s">
        <v>1752</v>
      </c>
      <c r="AB34" s="6">
        <f t="shared" si="37"/>
        <v>0.12601927353595255</v>
      </c>
      <c r="AC34" s="249">
        <f t="shared" si="38"/>
        <v>170</v>
      </c>
      <c r="AD34" s="138">
        <f>COUNTIF('DETALLES UNIDADES'!$AO$8:$AO$987,"&lt;60000")-AD33-AD32-AD31-AD30-AD29</f>
        <v>149</v>
      </c>
      <c r="AE34" s="138">
        <f>COUNTIF('[1]ENCUESTA CONDUCTORES'!$BF$7:$BF$459,"&lt;60000")-AE33-AE32-AE31-AE30-AE29</f>
        <v>21</v>
      </c>
      <c r="AJ34" s="1" t="s">
        <v>1281</v>
      </c>
      <c r="AK34" s="6">
        <f t="shared" si="15"/>
        <v>8.6805555555555552E-2</v>
      </c>
      <c r="AL34" s="249">
        <f t="shared" si="16"/>
        <v>75</v>
      </c>
      <c r="AM34" s="249">
        <f>COUNTIF('ENCUESTA PROPIETARIOS'!$L$7:$L$417,AJ34)</f>
        <v>70</v>
      </c>
      <c r="AN34" s="249">
        <f>COUNTIF('[1]ENCUESTA CONDUCTORES'!N$7:N$459,AJ34)</f>
        <v>5</v>
      </c>
      <c r="AP34" s="107" t="s">
        <v>1572</v>
      </c>
      <c r="AQ34" s="138">
        <f>+'DETALLES UNIDADES'!B997</f>
        <v>41</v>
      </c>
      <c r="AR34" s="138">
        <f>+'[1]ENCUESTA CONDUCTORES'!$D471</f>
        <v>16</v>
      </c>
      <c r="AS34" s="138">
        <f t="shared" si="32"/>
        <v>57</v>
      </c>
    </row>
    <row r="35" spans="2:46" x14ac:dyDescent="0.25">
      <c r="B35" s="141" t="s">
        <v>1662</v>
      </c>
      <c r="C35" s="6">
        <f>+F35/$F$35</f>
        <v>1</v>
      </c>
      <c r="D35" s="249">
        <f>SUM(D30:D33)</f>
        <v>853</v>
      </c>
      <c r="E35" s="249">
        <f>SUM(E30:E33)</f>
        <v>410</v>
      </c>
      <c r="F35" s="249">
        <f>SUM(F30:F33)</f>
        <v>443</v>
      </c>
      <c r="I35" s="158" t="s">
        <v>43</v>
      </c>
      <c r="J35" s="6">
        <f t="shared" ref="J35:J38" si="43">+K35/$K$42</f>
        <v>7.07635009310987E-3</v>
      </c>
      <c r="K35" s="249">
        <f>+L35+M35</f>
        <v>19</v>
      </c>
      <c r="L35" s="176">
        <f>COUNTIF('ENCUESTA PROPIETARIOS'!$AX$7:$AX$417,"4")</f>
        <v>19</v>
      </c>
      <c r="M35" s="249">
        <f>+'[1]ENCUESTA CONDUCTORES'!$BX$464</f>
        <v>0</v>
      </c>
      <c r="U35" s="11" t="s">
        <v>1732</v>
      </c>
      <c r="V35" s="6">
        <f t="shared" si="41"/>
        <v>9.9860335195530725E-2</v>
      </c>
      <c r="W35" s="11">
        <f t="shared" si="42"/>
        <v>143</v>
      </c>
      <c r="X35" s="249">
        <f>COUNTIF('DETALLES UNIDADES'!$U$8:$U$987,"&lt;2.41")-X34-X33</f>
        <v>123</v>
      </c>
      <c r="Y35" s="11">
        <f>+[1]FORMULAS!$T20</f>
        <v>20</v>
      </c>
      <c r="AA35" s="11" t="s">
        <v>1849</v>
      </c>
      <c r="AB35" s="6">
        <f t="shared" si="37"/>
        <v>0.19125277983691624</v>
      </c>
      <c r="AC35" s="249">
        <f t="shared" si="38"/>
        <v>258</v>
      </c>
      <c r="AD35" s="138">
        <f>COUNTIF('DETALLES UNIDADES'!$AO$8:$AO$987,"&gt;59999")</f>
        <v>120</v>
      </c>
      <c r="AE35" s="138">
        <f>COUNTIF('[1]ENCUESTA CONDUCTORES'!$BF$7:$BF$459,"&gt;59999")</f>
        <v>138</v>
      </c>
      <c r="AJ35" s="9" t="s">
        <v>1301</v>
      </c>
      <c r="AK35" s="6">
        <f t="shared" si="15"/>
        <v>6.9444444444444441E-3</v>
      </c>
      <c r="AL35" s="249">
        <f t="shared" si="16"/>
        <v>6</v>
      </c>
      <c r="AM35" s="249">
        <f>COUNTIF('ENCUESTA PROPIETARIOS'!$L$7:$L$417,AJ35)</f>
        <v>4</v>
      </c>
      <c r="AN35" s="249">
        <f>COUNTIF('[1]ENCUESTA CONDUCTORES'!N$7:N$459,AJ35)</f>
        <v>2</v>
      </c>
      <c r="AP35" s="110" t="s">
        <v>1857</v>
      </c>
      <c r="AQ35" s="138">
        <f>+'DETALLES UNIDADES'!B998</f>
        <v>109</v>
      </c>
      <c r="AR35" s="138">
        <f>+'[1]ENCUESTA CONDUCTORES'!$D472</f>
        <v>0</v>
      </c>
      <c r="AS35" s="138">
        <f t="shared" si="32"/>
        <v>109</v>
      </c>
    </row>
    <row r="36" spans="2:46" x14ac:dyDescent="0.25">
      <c r="I36" s="158" t="s">
        <v>44</v>
      </c>
      <c r="J36" s="6">
        <f t="shared" si="43"/>
        <v>2.160148975791434E-2</v>
      </c>
      <c r="K36" s="249">
        <f t="shared" ref="K36:K38" si="44">+L36+M36</f>
        <v>58</v>
      </c>
      <c r="L36" s="176">
        <f>COUNTIF('ENCUESTA PROPIETARIOS'!$AY$7:$AY$417,"4")</f>
        <v>24</v>
      </c>
      <c r="M36" s="249">
        <f>+'[1]ENCUESTA CONDUCTORES'!$BY$464</f>
        <v>34</v>
      </c>
      <c r="U36" s="19" t="s">
        <v>1737</v>
      </c>
      <c r="V36" s="6">
        <f t="shared" si="41"/>
        <v>0.14664804469273743</v>
      </c>
      <c r="W36" s="11">
        <f t="shared" si="42"/>
        <v>210</v>
      </c>
      <c r="X36" s="249">
        <f>COUNTIF('DETALLES UNIDADES'!$U$8:$U$987,"&lt;2.61")-X35-X34-X33</f>
        <v>166</v>
      </c>
      <c r="Y36" s="11">
        <f>+[1]FORMULAS!$T$21</f>
        <v>44</v>
      </c>
      <c r="AA36" s="11" t="s">
        <v>715</v>
      </c>
      <c r="AB36" s="6">
        <f t="shared" si="37"/>
        <v>1</v>
      </c>
      <c r="AC36" s="249">
        <f t="shared" si="38"/>
        <v>1349</v>
      </c>
      <c r="AD36" s="249">
        <f>SUM(AD29:AD35)</f>
        <v>976</v>
      </c>
      <c r="AE36" s="249">
        <f>SUM(AE29:AE35)</f>
        <v>373</v>
      </c>
      <c r="AJ36" s="9" t="s">
        <v>1338</v>
      </c>
      <c r="AK36" s="6">
        <f t="shared" si="15"/>
        <v>1.1574074074074073E-3</v>
      </c>
      <c r="AL36" s="249">
        <f t="shared" si="16"/>
        <v>1</v>
      </c>
      <c r="AM36" s="249">
        <f>COUNTIF('ENCUESTA PROPIETARIOS'!$L$7:$L$417,AJ36)</f>
        <v>1</v>
      </c>
      <c r="AN36" s="249">
        <f>COUNTIF('[1]ENCUESTA CONDUCTORES'!N$7:N$459,AJ36)</f>
        <v>0</v>
      </c>
      <c r="AP36" s="107" t="s">
        <v>1662</v>
      </c>
      <c r="AQ36" s="178">
        <f>SUM(AQ25:AQ35)</f>
        <v>980</v>
      </c>
      <c r="AR36" s="178">
        <f>SUM(AR25:AR35)</f>
        <v>453</v>
      </c>
      <c r="AS36" s="178">
        <f t="shared" si="32"/>
        <v>1433</v>
      </c>
    </row>
    <row r="37" spans="2:46" x14ac:dyDescent="0.25">
      <c r="B37" s="112" t="s">
        <v>1698</v>
      </c>
      <c r="E37" s="250"/>
      <c r="F37" s="17"/>
      <c r="I37" s="158" t="s">
        <v>45</v>
      </c>
      <c r="J37" s="6">
        <f t="shared" si="43"/>
        <v>1.452513966480447E-2</v>
      </c>
      <c r="K37" s="249">
        <f t="shared" si="44"/>
        <v>39</v>
      </c>
      <c r="L37" s="176">
        <f>COUNTIF('ENCUESTA PROPIETARIOS'!$AZ$7:$AZ$417,"4")</f>
        <v>28</v>
      </c>
      <c r="M37" s="249">
        <f>+'[1]ENCUESTA CONDUCTORES'!$BZ$464</f>
        <v>11</v>
      </c>
      <c r="O37" s="249" t="s">
        <v>1711</v>
      </c>
      <c r="P37" s="249" t="s">
        <v>1676</v>
      </c>
      <c r="R37" s="11" t="s">
        <v>1685</v>
      </c>
      <c r="S37" s="249" t="s">
        <v>1686</v>
      </c>
      <c r="U37" s="19" t="s">
        <v>1007</v>
      </c>
      <c r="V37" s="6">
        <f t="shared" si="41"/>
        <v>0.21298882681564246</v>
      </c>
      <c r="W37" s="11">
        <f t="shared" si="42"/>
        <v>305</v>
      </c>
      <c r="X37" s="249">
        <f>COUNTIF('DETALLES UNIDADES'!$U$8:$U$987,"&lt;2.81")-X36-X35-X34-X33</f>
        <v>168</v>
      </c>
      <c r="Y37" s="11">
        <f>+[1]FORMULAS!$T$22</f>
        <v>137</v>
      </c>
      <c r="AD37" s="249" t="s">
        <v>1750</v>
      </c>
      <c r="AE37" s="138">
        <f>COUNTIF('[1]ENCUESTA CONDUCTORES'!$BF$7:$BF$459,"NO SABE")+COUNTIF('[1]ENCUESTA CONDUCTORES'!$BF$7:$BF$459,"NO CONTESTO")</f>
        <v>79</v>
      </c>
      <c r="AJ37" s="9" t="s">
        <v>1339</v>
      </c>
      <c r="AK37" s="6">
        <f t="shared" si="15"/>
        <v>3.0092592592592591E-2</v>
      </c>
      <c r="AL37" s="249">
        <f t="shared" si="16"/>
        <v>26</v>
      </c>
      <c r="AM37" s="249">
        <f>COUNTIF('ENCUESTA PROPIETARIOS'!$L$7:$L$417,AJ37)</f>
        <v>15</v>
      </c>
      <c r="AN37" s="249">
        <f>COUNTIF('[1]ENCUESTA CONDUCTORES'!N$7:N$459,AJ37)</f>
        <v>11</v>
      </c>
      <c r="AP37" s="112"/>
      <c r="AQ37" s="138"/>
      <c r="AR37" s="138"/>
      <c r="AS37" s="138"/>
    </row>
    <row r="38" spans="2:46" x14ac:dyDescent="0.25">
      <c r="B38" s="249"/>
      <c r="D38" s="176"/>
      <c r="E38" s="250"/>
      <c r="F38" s="17"/>
      <c r="I38" s="158" t="s">
        <v>1696</v>
      </c>
      <c r="J38" s="6">
        <f t="shared" si="43"/>
        <v>0</v>
      </c>
      <c r="K38" s="249">
        <f t="shared" si="44"/>
        <v>0</v>
      </c>
      <c r="L38" s="176">
        <f>COUNTIF('ENCUESTA PROPIETARIOS'!$BA$7:$BA$417,"4")</f>
        <v>0</v>
      </c>
      <c r="M38" s="249">
        <f>+'[1]ENCUESTA CONDUCTORES'!$CA$464</f>
        <v>0</v>
      </c>
      <c r="N38" s="11">
        <f t="shared" ref="N38:N48" si="45">2014-O38</f>
        <v>45</v>
      </c>
      <c r="O38" s="9">
        <v>1969</v>
      </c>
      <c r="P38" s="6">
        <f>+Q38/$Q$88</f>
        <v>6.9783670621074664E-4</v>
      </c>
      <c r="Q38" s="249">
        <f>+R38+S38</f>
        <v>1</v>
      </c>
      <c r="R38" s="249">
        <f>COUNTIF('DETALLES UNIDADES'!$D$8:$D$987,O38)</f>
        <v>1</v>
      </c>
      <c r="S38" s="249">
        <f>+[1]FORMULAS!$G33</f>
        <v>0</v>
      </c>
      <c r="U38" s="19" t="s">
        <v>1733</v>
      </c>
      <c r="V38" s="6">
        <f t="shared" si="41"/>
        <v>0.14525139664804471</v>
      </c>
      <c r="W38" s="11">
        <f t="shared" si="42"/>
        <v>208</v>
      </c>
      <c r="X38" s="249">
        <f>COUNTIF('DETALLES UNIDADES'!$U$8:$U$987,"&lt;3.21")-X37-X36-X35-X34-X33</f>
        <v>123</v>
      </c>
      <c r="Y38" s="11">
        <f>+[1]FORMULAS!$T$23</f>
        <v>85</v>
      </c>
      <c r="AE38" s="138">
        <f>+AE37+AE36</f>
        <v>452</v>
      </c>
      <c r="AJ38" s="9" t="s">
        <v>1286</v>
      </c>
      <c r="AK38" s="6">
        <f t="shared" si="15"/>
        <v>3.472222222222222E-3</v>
      </c>
      <c r="AL38" s="249">
        <f t="shared" si="16"/>
        <v>3</v>
      </c>
      <c r="AM38" s="249">
        <f>COUNTIF('ENCUESTA PROPIETARIOS'!$L$7:$L$417,AJ38)</f>
        <v>2</v>
      </c>
      <c r="AN38" s="249">
        <f>COUNTIF('[1]ENCUESTA CONDUCTORES'!N$7:N$459,AJ38)</f>
        <v>1</v>
      </c>
      <c r="AP38" s="112"/>
      <c r="AQ38" s="138"/>
      <c r="AR38" s="138"/>
      <c r="AS38" s="138"/>
    </row>
    <row r="39" spans="2:46" x14ac:dyDescent="0.25">
      <c r="B39" s="158" t="s">
        <v>43</v>
      </c>
      <c r="C39" s="6">
        <f>+F39/$F$44</f>
        <v>0.28348214285714285</v>
      </c>
      <c r="D39" s="249">
        <f>+E39+F39</f>
        <v>249</v>
      </c>
      <c r="E39" s="176">
        <f>COUNTIF('ENCUESTA PROPIETARIOS'!$AX$7:$AX$417,"2")</f>
        <v>122</v>
      </c>
      <c r="F39" s="249">
        <f>+'[1]ENCUESTA CONDUCTORES'!$BX$462</f>
        <v>127</v>
      </c>
      <c r="I39" s="141"/>
      <c r="J39" s="249"/>
      <c r="K39" s="249"/>
      <c r="L39" s="249"/>
      <c r="M39" s="249"/>
      <c r="N39" s="11">
        <f t="shared" si="45"/>
        <v>44</v>
      </c>
      <c r="O39" s="9">
        <v>1970</v>
      </c>
      <c r="P39" s="6">
        <f t="shared" ref="P39:P88" si="46">+Q39/$Q$88</f>
        <v>6.9783670621074664E-4</v>
      </c>
      <c r="Q39" s="249">
        <f t="shared" ref="Q39:Q86" si="47">+R39+S39</f>
        <v>1</v>
      </c>
      <c r="R39" s="249">
        <f>COUNTIF('DETALLES UNIDADES'!$D$8:$D$987,O39)</f>
        <v>1</v>
      </c>
      <c r="S39" s="249">
        <f>+[1]FORMULAS!$G34</f>
        <v>0</v>
      </c>
      <c r="U39" s="19" t="s">
        <v>1734</v>
      </c>
      <c r="V39" s="6">
        <f t="shared" si="41"/>
        <v>0.11033519553072625</v>
      </c>
      <c r="W39" s="11">
        <f t="shared" si="42"/>
        <v>158</v>
      </c>
      <c r="X39" s="249">
        <f>COUNTIF('DETALLES UNIDADES'!$U$8:$U$987,"&lt;4.01")-X38-X37-X36-X35-X34-X33</f>
        <v>100</v>
      </c>
      <c r="Y39" s="11">
        <f>+[1]FORMULAS!$T$24</f>
        <v>58</v>
      </c>
      <c r="AJ39" s="9" t="s">
        <v>1256</v>
      </c>
      <c r="AK39" s="6">
        <f t="shared" si="15"/>
        <v>6.8287037037037035E-2</v>
      </c>
      <c r="AL39" s="249">
        <f t="shared" si="16"/>
        <v>59</v>
      </c>
      <c r="AM39" s="249">
        <f>COUNTIF('ENCUESTA PROPIETARIOS'!$L$7:$L$417,AJ39)</f>
        <v>49</v>
      </c>
      <c r="AN39" s="249">
        <f>COUNTIF('[1]ENCUESTA CONDUCTORES'!N$7:N$459,AJ39)</f>
        <v>10</v>
      </c>
      <c r="AP39" s="107" t="s">
        <v>1858</v>
      </c>
      <c r="AQ39" s="178">
        <f>+AQ25</f>
        <v>55</v>
      </c>
      <c r="AR39" s="178">
        <f>+AR25</f>
        <v>28</v>
      </c>
      <c r="AS39" s="178">
        <f>+AQ39+AR39</f>
        <v>83</v>
      </c>
    </row>
    <row r="40" spans="2:46" x14ac:dyDescent="0.25">
      <c r="B40" s="158" t="s">
        <v>44</v>
      </c>
      <c r="C40" s="6">
        <f t="shared" ref="C40:C42" si="48">+F40/$F$44</f>
        <v>0.25669642857142855</v>
      </c>
      <c r="D40" s="249">
        <f t="shared" ref="D40:D42" si="49">+E40+F40</f>
        <v>250</v>
      </c>
      <c r="E40" s="176">
        <f>COUNTIF('ENCUESTA PROPIETARIOS'!$AY$7:$AY$417,"2")</f>
        <v>135</v>
      </c>
      <c r="F40" s="249">
        <f>+'[1]ENCUESTA CONDUCTORES'!$BY$462</f>
        <v>115</v>
      </c>
      <c r="I40" s="141" t="s">
        <v>1662</v>
      </c>
      <c r="J40" s="6">
        <f>+K40/$K$42</f>
        <v>4.3202979515828681E-2</v>
      </c>
      <c r="K40" s="249">
        <f>SUM(K35:K38)</f>
        <v>116</v>
      </c>
      <c r="L40" s="249">
        <f>SUM(L35:L38)</f>
        <v>71</v>
      </c>
      <c r="M40" s="249">
        <f>SUM(M35:M38)</f>
        <v>45</v>
      </c>
      <c r="N40" s="11">
        <f t="shared" si="45"/>
        <v>43</v>
      </c>
      <c r="O40" s="9">
        <v>1971</v>
      </c>
      <c r="P40" s="6">
        <f t="shared" si="46"/>
        <v>0</v>
      </c>
      <c r="Q40" s="249">
        <f t="shared" si="47"/>
        <v>0</v>
      </c>
      <c r="R40" s="249">
        <f>COUNTIF('DETALLES UNIDADES'!$D$8:$D$987,O40)</f>
        <v>0</v>
      </c>
      <c r="S40" s="249">
        <f>+[1]FORMULAS!$G35</f>
        <v>0</v>
      </c>
      <c r="U40" s="19" t="s">
        <v>1735</v>
      </c>
      <c r="V40" s="6">
        <f t="shared" si="41"/>
        <v>8.6592178770949726E-2</v>
      </c>
      <c r="W40" s="11">
        <f t="shared" si="42"/>
        <v>124</v>
      </c>
      <c r="X40" s="249">
        <f>COUNTIF('DETALLES UNIDADES'!$U$8:$U$987,"&lt;6.01")-X39-X38-X37-X36-X35-X34-X33</f>
        <v>103</v>
      </c>
      <c r="Y40" s="11">
        <f>+[1]FORMULAS!$T$25</f>
        <v>21</v>
      </c>
      <c r="AA40" s="11" t="s">
        <v>1753</v>
      </c>
      <c r="AJ40" s="9" t="s">
        <v>1282</v>
      </c>
      <c r="AK40" s="6">
        <f t="shared" si="15"/>
        <v>1.1574074074074073E-3</v>
      </c>
      <c r="AL40" s="249">
        <f t="shared" si="16"/>
        <v>1</v>
      </c>
      <c r="AM40" s="249">
        <f>COUNTIF('ENCUESTA PROPIETARIOS'!$L$7:$L$417,AJ40)</f>
        <v>1</v>
      </c>
      <c r="AN40" s="249">
        <f>COUNTIF('[1]ENCUESTA CONDUCTORES'!N$7:N$459,AJ40)</f>
        <v>0</v>
      </c>
      <c r="AP40" s="107" t="s">
        <v>1859</v>
      </c>
      <c r="AQ40" s="178">
        <f>+AQ26+AQ27+AQ28+AQ29+AQ30+AQ35</f>
        <v>617</v>
      </c>
      <c r="AR40" s="178">
        <f>+AR26+AR27+AR28+AR29+AR30+AR35</f>
        <v>383</v>
      </c>
      <c r="AS40" s="178">
        <f>+AQ40+AR40</f>
        <v>1000</v>
      </c>
    </row>
    <row r="41" spans="2:46" x14ac:dyDescent="0.25">
      <c r="B41" s="158" t="s">
        <v>45</v>
      </c>
      <c r="C41" s="6">
        <f t="shared" si="48"/>
        <v>0.45982142857142855</v>
      </c>
      <c r="D41" s="249">
        <f t="shared" si="49"/>
        <v>359</v>
      </c>
      <c r="E41" s="176">
        <f>COUNTIF('ENCUESTA PROPIETARIOS'!$AZ$7:$AZ$417,"2")</f>
        <v>153</v>
      </c>
      <c r="F41" s="249">
        <f>+'[1]ENCUESTA CONDUCTORES'!$BZ$462</f>
        <v>206</v>
      </c>
      <c r="N41" s="11">
        <f t="shared" si="45"/>
        <v>42</v>
      </c>
      <c r="O41" s="9">
        <v>1972</v>
      </c>
      <c r="P41" s="6">
        <f t="shared" si="46"/>
        <v>0</v>
      </c>
      <c r="Q41" s="249">
        <f t="shared" si="47"/>
        <v>0</v>
      </c>
      <c r="R41" s="249">
        <f>COUNTIF('DETALLES UNIDADES'!$D$8:$D$987,O41)</f>
        <v>0</v>
      </c>
      <c r="S41" s="249">
        <f>+[1]FORMULAS!$G36</f>
        <v>0</v>
      </c>
      <c r="U41" s="19" t="s">
        <v>1736</v>
      </c>
      <c r="V41" s="6">
        <f t="shared" si="41"/>
        <v>2.3743016759776536E-2</v>
      </c>
      <c r="W41" s="11">
        <f t="shared" si="42"/>
        <v>34</v>
      </c>
      <c r="X41" s="249">
        <f>COUNTIF('DETALLES UNIDADES'!$U$8:$U$987,"&gt;6")</f>
        <v>31</v>
      </c>
      <c r="Y41" s="11">
        <f>+[1]FORMULAS!$T$26</f>
        <v>3</v>
      </c>
      <c r="AA41" s="11" t="s">
        <v>1755</v>
      </c>
      <c r="AB41" s="6">
        <f t="shared" ref="AB41:AB48" si="50">+AC41/$AC$48</f>
        <v>0.17961511047754811</v>
      </c>
      <c r="AC41" s="249">
        <f>+AD41+AE41</f>
        <v>252</v>
      </c>
      <c r="AD41" s="249">
        <f>COUNTIF('DETALLES UNIDADES'!$AP$8:$AP$987,"&lt;15000")</f>
        <v>153</v>
      </c>
      <c r="AE41" s="249">
        <f>COUNTIF('[1]ENCUESTA CONDUCTORES'!$BG$7:$BG$459,"&lt;15000")</f>
        <v>99</v>
      </c>
      <c r="AJ41" s="9" t="s">
        <v>1290</v>
      </c>
      <c r="AK41" s="6">
        <f t="shared" si="15"/>
        <v>8.1018518518518514E-3</v>
      </c>
      <c r="AL41" s="249">
        <f t="shared" si="16"/>
        <v>7</v>
      </c>
      <c r="AM41" s="249">
        <f>COUNTIF('ENCUESTA PROPIETARIOS'!$L$7:$L$417,AJ41)</f>
        <v>6</v>
      </c>
      <c r="AN41" s="249">
        <f>COUNTIF('[1]ENCUESTA CONDUCTORES'!N$7:N$459,AJ41)</f>
        <v>1</v>
      </c>
      <c r="AP41" s="107" t="s">
        <v>1860</v>
      </c>
      <c r="AQ41" s="178">
        <f>+AQ31+AQ34</f>
        <v>239</v>
      </c>
      <c r="AR41" s="178">
        <f>+AR31+AR34</f>
        <v>16</v>
      </c>
      <c r="AS41" s="178">
        <f>+AQ41+AR41</f>
        <v>255</v>
      </c>
    </row>
    <row r="42" spans="2:46" x14ac:dyDescent="0.25">
      <c r="B42" s="158" t="s">
        <v>1696</v>
      </c>
      <c r="C42" s="6">
        <f t="shared" si="48"/>
        <v>0</v>
      </c>
      <c r="D42" s="249">
        <f t="shared" si="49"/>
        <v>0</v>
      </c>
      <c r="E42" s="176">
        <f>COUNTIF('ENCUESTA PROPIETARIOS'!$BA$7:$BA$417,"2")</f>
        <v>0</v>
      </c>
      <c r="F42" s="249">
        <f>+'[1]ENCUESTA CONDUCTORES'!$CA$462</f>
        <v>0</v>
      </c>
      <c r="K42" s="11">
        <f>+K40+K30+K20+K10</f>
        <v>2685</v>
      </c>
      <c r="N42" s="11">
        <f t="shared" si="45"/>
        <v>41</v>
      </c>
      <c r="O42" s="9">
        <v>1973</v>
      </c>
      <c r="P42" s="6">
        <f t="shared" si="46"/>
        <v>2.0935101186322401E-3</v>
      </c>
      <c r="Q42" s="249">
        <f t="shared" si="47"/>
        <v>3</v>
      </c>
      <c r="R42" s="249">
        <f>COUNTIF('DETALLES UNIDADES'!$D$8:$D$987,O42)</f>
        <v>2</v>
      </c>
      <c r="S42" s="249">
        <f>+[1]FORMULAS!$G37</f>
        <v>1</v>
      </c>
      <c r="U42" s="19" t="s">
        <v>715</v>
      </c>
      <c r="V42" s="6">
        <f t="shared" si="41"/>
        <v>1</v>
      </c>
      <c r="W42" s="11">
        <f>+X42+Y42</f>
        <v>1432</v>
      </c>
      <c r="X42" s="249">
        <f>SUM(X33:X41)</f>
        <v>980</v>
      </c>
      <c r="Y42" s="11">
        <f>SUM(Y33:Y41)</f>
        <v>452</v>
      </c>
      <c r="AA42" s="11" t="s">
        <v>1756</v>
      </c>
      <c r="AB42" s="6">
        <f t="shared" si="50"/>
        <v>0.1903064861012117</v>
      </c>
      <c r="AC42" s="249">
        <f t="shared" ref="AC42:AC48" si="51">+AD42+AE42</f>
        <v>267</v>
      </c>
      <c r="AD42" s="138">
        <f>COUNTIF('DETALLES UNIDADES'!$AP$8:$AP$987,"&lt;25000")-AD41</f>
        <v>113</v>
      </c>
      <c r="AE42" s="138">
        <f>COUNTIF('[1]ENCUESTA CONDUCTORES'!$BG$7:$BG$459,"&lt;25000")-AE41</f>
        <v>154</v>
      </c>
      <c r="AJ42" s="11" t="s">
        <v>715</v>
      </c>
      <c r="AK42" s="6">
        <f t="shared" si="15"/>
        <v>1</v>
      </c>
      <c r="AL42" s="249">
        <f t="shared" si="16"/>
        <v>864</v>
      </c>
      <c r="AM42" s="249">
        <f>SUM(AM10:AM41)</f>
        <v>411</v>
      </c>
      <c r="AN42" s="249">
        <f>SUM(AN10:AN41)</f>
        <v>453</v>
      </c>
      <c r="AP42" s="107" t="s">
        <v>1861</v>
      </c>
      <c r="AQ42" s="178">
        <f>+AQ32+AQ33</f>
        <v>69</v>
      </c>
      <c r="AR42" s="178">
        <f>+AR32+AR33</f>
        <v>26</v>
      </c>
      <c r="AS42" s="178">
        <f>+AQ42+AR42</f>
        <v>95</v>
      </c>
    </row>
    <row r="43" spans="2:46" x14ac:dyDescent="0.25">
      <c r="B43" s="141"/>
      <c r="N43" s="11">
        <f t="shared" si="45"/>
        <v>40</v>
      </c>
      <c r="O43" s="9">
        <v>1974</v>
      </c>
      <c r="P43" s="6">
        <f t="shared" si="46"/>
        <v>6.9783670621074664E-4</v>
      </c>
      <c r="Q43" s="249">
        <f t="shared" si="47"/>
        <v>1</v>
      </c>
      <c r="R43" s="249">
        <f>COUNTIF('DETALLES UNIDADES'!$D$8:$D$987,O43)</f>
        <v>1</v>
      </c>
      <c r="S43" s="249">
        <f>+[1]FORMULAS!$G38</f>
        <v>0</v>
      </c>
      <c r="Y43" s="11" t="s">
        <v>1728</v>
      </c>
      <c r="AA43" s="11" t="s">
        <v>1751</v>
      </c>
      <c r="AB43" s="6">
        <f t="shared" si="50"/>
        <v>0.14967925873129009</v>
      </c>
      <c r="AC43" s="249">
        <f t="shared" si="51"/>
        <v>210</v>
      </c>
      <c r="AD43" s="138">
        <f>COUNTIF('DETALLES UNIDADES'!$AP$8:$AP$987,"&lt;35000")-AD42-AD41</f>
        <v>114</v>
      </c>
      <c r="AE43" s="138">
        <f>COUNTIF('[1]ENCUESTA CONDUCTORES'!$BG$7:$BG$459,"&lt;35000")-AE42-AE41</f>
        <v>96</v>
      </c>
      <c r="AP43" s="107" t="s">
        <v>1662</v>
      </c>
      <c r="AQ43" s="178">
        <f>SUM(AQ39:AQ42)</f>
        <v>980</v>
      </c>
      <c r="AR43" s="178">
        <f>SUM(AR39:AR42)</f>
        <v>453</v>
      </c>
      <c r="AS43" s="178">
        <f>+AQ43+AR43</f>
        <v>1433</v>
      </c>
    </row>
    <row r="44" spans="2:46" x14ac:dyDescent="0.25">
      <c r="B44" s="141" t="s">
        <v>1662</v>
      </c>
      <c r="C44" s="6">
        <f>+F44/$F$44</f>
        <v>1</v>
      </c>
      <c r="D44" s="249">
        <f>SUM(D39:D42)</f>
        <v>858</v>
      </c>
      <c r="E44" s="249">
        <f>SUM(E39:E42)</f>
        <v>410</v>
      </c>
      <c r="F44" s="249">
        <f>SUM(F39:F42)</f>
        <v>448</v>
      </c>
      <c r="N44" s="11">
        <f t="shared" si="45"/>
        <v>39</v>
      </c>
      <c r="O44" s="9">
        <v>1975</v>
      </c>
      <c r="P44" s="6">
        <f t="shared" si="46"/>
        <v>1.3956734124214933E-3</v>
      </c>
      <c r="Q44" s="249">
        <f t="shared" si="47"/>
        <v>2</v>
      </c>
      <c r="R44" s="249">
        <f>COUNTIF('DETALLES UNIDADES'!$D$8:$D$987,O44)</f>
        <v>1</v>
      </c>
      <c r="S44" s="249">
        <f>+[1]FORMULAS!$G39</f>
        <v>1</v>
      </c>
      <c r="AA44" s="11" t="s">
        <v>1757</v>
      </c>
      <c r="AB44" s="6">
        <f t="shared" si="50"/>
        <v>0.15181753385602281</v>
      </c>
      <c r="AC44" s="249">
        <f t="shared" si="51"/>
        <v>213</v>
      </c>
      <c r="AD44" s="138">
        <f>COUNTIF('DETALLES UNIDADES'!$AP$8:$AP$987,"&lt;60000")-AD43-AD42-AD41</f>
        <v>148</v>
      </c>
      <c r="AE44" s="138">
        <f>COUNTIF('[1]ENCUESTA CONDUCTORES'!$BG$7:$BG$459,"&lt;60000")-AE43-AE42-AE41</f>
        <v>65</v>
      </c>
    </row>
    <row r="45" spans="2:46" x14ac:dyDescent="0.25">
      <c r="N45" s="11">
        <f t="shared" si="45"/>
        <v>38</v>
      </c>
      <c r="O45" s="9">
        <v>1976</v>
      </c>
      <c r="P45" s="6">
        <f t="shared" si="46"/>
        <v>3.4891835310537334E-3</v>
      </c>
      <c r="Q45" s="249">
        <f t="shared" si="47"/>
        <v>5</v>
      </c>
      <c r="R45" s="249">
        <f>COUNTIF('DETALLES UNIDADES'!$D$8:$D$987,O45)</f>
        <v>2</v>
      </c>
      <c r="S45" s="249">
        <f>+[1]FORMULAS!$G40</f>
        <v>3</v>
      </c>
      <c r="AA45" s="11" t="s">
        <v>1758</v>
      </c>
      <c r="AB45" s="6">
        <f t="shared" si="50"/>
        <v>7.7690662865288668E-2</v>
      </c>
      <c r="AC45" s="249">
        <f t="shared" si="51"/>
        <v>109</v>
      </c>
      <c r="AD45" s="138">
        <f>COUNTIF('DETALLES UNIDADES'!$AP$8:$AP$987,"&lt;80000")-AD44-AD43-AD42-AD41</f>
        <v>92</v>
      </c>
      <c r="AE45" s="138">
        <f>COUNTIF('[1]ENCUESTA CONDUCTORES'!$BG$7:$BG$459,"&lt;80000")-AE44-AE43-AE42-AE41</f>
        <v>17</v>
      </c>
    </row>
    <row r="46" spans="2:46" x14ac:dyDescent="0.25">
      <c r="B46" s="112" t="s">
        <v>1697</v>
      </c>
      <c r="E46" s="250"/>
      <c r="F46" s="17"/>
      <c r="N46" s="11">
        <f t="shared" si="45"/>
        <v>37</v>
      </c>
      <c r="O46" s="9">
        <v>1977</v>
      </c>
      <c r="P46" s="6">
        <f t="shared" si="46"/>
        <v>1.3956734124214933E-3</v>
      </c>
      <c r="Q46" s="249">
        <f t="shared" si="47"/>
        <v>2</v>
      </c>
      <c r="R46" s="249">
        <f>COUNTIF('DETALLES UNIDADES'!$D$8:$D$987,O46)</f>
        <v>1</v>
      </c>
      <c r="S46" s="249">
        <f>+[1]FORMULAS!$G41</f>
        <v>1</v>
      </c>
      <c r="AA46" s="11" t="s">
        <v>1759</v>
      </c>
      <c r="AB46" s="6">
        <f t="shared" si="50"/>
        <v>7.5552387740555949E-2</v>
      </c>
      <c r="AC46" s="249">
        <f t="shared" ref="AC46" si="52">+AD46+AE46</f>
        <v>106</v>
      </c>
      <c r="AD46" s="138">
        <f>COUNTIF('DETALLES UNIDADES'!$AP$8:$AP$987,"&lt;110000")-AD45-AD44-AD43-AD42-AD41</f>
        <v>103</v>
      </c>
      <c r="AE46" s="138">
        <f>COUNTIF('[1]ENCUESTA CONDUCTORES'!$BG$7:$BG$459,"&lt;110000")-AE45-AE44-AE43-AE42-AE41</f>
        <v>3</v>
      </c>
      <c r="AJ46" s="11" t="s">
        <v>839</v>
      </c>
      <c r="AK46" s="249" t="s">
        <v>1717</v>
      </c>
      <c r="AL46" s="249" t="s">
        <v>1718</v>
      </c>
      <c r="AM46" s="249" t="s">
        <v>715</v>
      </c>
      <c r="AN46" s="249" t="s">
        <v>1717</v>
      </c>
      <c r="AO46" s="249" t="s">
        <v>1718</v>
      </c>
      <c r="AQ46" s="11"/>
      <c r="AR46" s="249"/>
      <c r="AS46" s="11"/>
      <c r="AT46" s="9"/>
    </row>
    <row r="47" spans="2:46" x14ac:dyDescent="0.25">
      <c r="B47" s="249"/>
      <c r="D47" s="176"/>
      <c r="E47" s="250"/>
      <c r="F47" s="17"/>
      <c r="N47" s="11">
        <f t="shared" si="45"/>
        <v>36</v>
      </c>
      <c r="O47" s="9">
        <v>1978</v>
      </c>
      <c r="P47" s="6">
        <f t="shared" si="46"/>
        <v>1.04675505931612E-2</v>
      </c>
      <c r="Q47" s="249">
        <f t="shared" si="47"/>
        <v>15</v>
      </c>
      <c r="R47" s="249">
        <f>COUNTIF('DETALLES UNIDADES'!$D$8:$D$987,O47)</f>
        <v>13</v>
      </c>
      <c r="S47" s="249">
        <f>+[1]FORMULAS!$G42</f>
        <v>2</v>
      </c>
      <c r="AA47" s="11" t="s">
        <v>1848</v>
      </c>
      <c r="AB47" s="6">
        <f t="shared" si="50"/>
        <v>0.17533856022808267</v>
      </c>
      <c r="AC47" s="249">
        <f t="shared" si="51"/>
        <v>246</v>
      </c>
      <c r="AD47" s="138">
        <f>COUNTIF('DETALLES UNIDADES'!$AP$8:$AP$987,"&gt;109999")</f>
        <v>246</v>
      </c>
      <c r="AE47" s="138">
        <f>COUNTIF('[1]ENCUESTA CONDUCTORES'!$BG$7:$BG$459,"&gt;109999")</f>
        <v>0</v>
      </c>
      <c r="AJ47" s="19" t="s">
        <v>407</v>
      </c>
      <c r="AK47" s="6">
        <f>+AN47/$AN$61</f>
        <v>0.32857142857142857</v>
      </c>
      <c r="AL47" s="6">
        <f>+AO47/$AO$61</f>
        <v>0.4206896551724138</v>
      </c>
      <c r="AM47" s="249">
        <f t="shared" ref="AM47:AM59" si="53">+AN47+AO47</f>
        <v>505</v>
      </c>
      <c r="AN47" s="249">
        <f>COUNTIF('DETALLES UNIDADES'!$E$8:$I$987,AJ47)</f>
        <v>322</v>
      </c>
      <c r="AO47" s="249">
        <f>COUNTIF('[1]ENCUESTA CONDUCTORES'!$AT$7:$AT$459,AJ47)</f>
        <v>183</v>
      </c>
      <c r="AQ47" s="11"/>
      <c r="AR47" s="249"/>
      <c r="AS47" s="11"/>
      <c r="AT47" s="9"/>
    </row>
    <row r="48" spans="2:46" x14ac:dyDescent="0.25">
      <c r="B48" s="158" t="s">
        <v>43</v>
      </c>
      <c r="C48" s="6">
        <f>+F48/$F$53</f>
        <v>0.140625</v>
      </c>
      <c r="D48" s="249">
        <f>+E48+F48</f>
        <v>167</v>
      </c>
      <c r="E48" s="176">
        <f>COUNTIF('ENCUESTA PROPIETARIOS'!$AX$7:$AX$417,"3")</f>
        <v>104</v>
      </c>
      <c r="F48" s="249">
        <f>+'[1]ENCUESTA CONDUCTORES'!$BX$463</f>
        <v>63</v>
      </c>
      <c r="N48" s="11">
        <f t="shared" si="45"/>
        <v>35</v>
      </c>
      <c r="O48" s="9">
        <v>1979</v>
      </c>
      <c r="P48" s="6">
        <f t="shared" si="46"/>
        <v>4.8848569434752267E-3</v>
      </c>
      <c r="Q48" s="249">
        <f t="shared" si="47"/>
        <v>7</v>
      </c>
      <c r="R48" s="249">
        <f>COUNTIF('DETALLES UNIDADES'!$D$8:$D$987,O48)</f>
        <v>2</v>
      </c>
      <c r="S48" s="249">
        <f>+[1]FORMULAS!$G43</f>
        <v>5</v>
      </c>
      <c r="AA48" s="11" t="s">
        <v>715</v>
      </c>
      <c r="AB48" s="6">
        <f t="shared" si="50"/>
        <v>1</v>
      </c>
      <c r="AC48" s="249">
        <f t="shared" si="51"/>
        <v>1403</v>
      </c>
      <c r="AD48" s="249">
        <f>SUM(AD41:AD47)</f>
        <v>969</v>
      </c>
      <c r="AE48" s="249">
        <f>SUM(AE41:AE47)</f>
        <v>434</v>
      </c>
      <c r="AJ48" s="19" t="s">
        <v>349</v>
      </c>
      <c r="AK48" s="6">
        <f t="shared" ref="AK48:AK59" si="54">+AN48/$AN$61</f>
        <v>0.13877551020408163</v>
      </c>
      <c r="AL48" s="6">
        <f t="shared" ref="AL48:AL59" si="55">+AO48/$AO$61</f>
        <v>9.4252873563218389E-2</v>
      </c>
      <c r="AM48" s="249">
        <f t="shared" si="53"/>
        <v>177</v>
      </c>
      <c r="AN48" s="249">
        <f>COUNTIF('DETALLES UNIDADES'!$E$8:$I$987,AJ48)</f>
        <v>136</v>
      </c>
      <c r="AO48" s="249">
        <f>COUNTIF('[1]ENCUESTA CONDUCTORES'!$AT$7:$AT$459,AJ48)</f>
        <v>41</v>
      </c>
      <c r="AQ48" s="11"/>
      <c r="AR48" s="249"/>
      <c r="AS48" s="11"/>
      <c r="AT48" s="9"/>
    </row>
    <row r="49" spans="2:46" x14ac:dyDescent="0.25">
      <c r="B49" s="158" t="s">
        <v>44</v>
      </c>
      <c r="C49" s="6">
        <f t="shared" ref="C49:C51" si="56">+F49/$F$53</f>
        <v>0.5580357142857143</v>
      </c>
      <c r="D49" s="249">
        <f t="shared" ref="D49:D51" si="57">+E49+F49</f>
        <v>432</v>
      </c>
      <c r="E49" s="176">
        <f>COUNTIF('ENCUESTA PROPIETARIOS'!$AY$7:$AY$417,"3")</f>
        <v>182</v>
      </c>
      <c r="F49" s="249">
        <f>+'[1]ENCUESTA CONDUCTORES'!$BY$463</f>
        <v>250</v>
      </c>
      <c r="O49" s="9"/>
      <c r="P49" s="6"/>
      <c r="R49" s="249"/>
      <c r="AD49" s="249" t="s">
        <v>1754</v>
      </c>
      <c r="AE49" s="138">
        <f>COUNTIF('[1]ENCUESTA CONDUCTORES'!$BG$7:$BG$459,"NO SABE")+COUNTIF('[1]ENCUESTA CONDUCTORES'!$BG$7:$BG$459,"NO CONTESTO")</f>
        <v>19</v>
      </c>
      <c r="AJ49" s="19" t="s">
        <v>338</v>
      </c>
      <c r="AK49" s="6">
        <f t="shared" si="54"/>
        <v>0.13469387755102041</v>
      </c>
      <c r="AL49" s="6">
        <f t="shared" si="55"/>
        <v>0.11724137931034483</v>
      </c>
      <c r="AM49" s="249">
        <f t="shared" si="53"/>
        <v>183</v>
      </c>
      <c r="AN49" s="249">
        <f>COUNTIF('DETALLES UNIDADES'!$E$8:$I$987,AJ49)</f>
        <v>132</v>
      </c>
      <c r="AO49" s="249">
        <f>COUNTIF('[1]ENCUESTA CONDUCTORES'!$AT$7:$AT$459,AJ49)</f>
        <v>51</v>
      </c>
      <c r="AQ49" s="11"/>
      <c r="AR49" s="249"/>
      <c r="AS49" s="11"/>
      <c r="AT49" s="9"/>
    </row>
    <row r="50" spans="2:46" x14ac:dyDescent="0.25">
      <c r="B50" s="158" t="s">
        <v>45</v>
      </c>
      <c r="C50" s="6">
        <f t="shared" si="56"/>
        <v>0.3013392857142857</v>
      </c>
      <c r="D50" s="249">
        <f t="shared" si="57"/>
        <v>259</v>
      </c>
      <c r="E50" s="176">
        <f>COUNTIF('ENCUESTA PROPIETARIOS'!$AZ$7:$AZ$417,"3")</f>
        <v>124</v>
      </c>
      <c r="F50" s="249">
        <f>+'[1]ENCUESTA CONDUCTORES'!$BZ$463</f>
        <v>135</v>
      </c>
      <c r="O50" s="9"/>
      <c r="P50" s="6"/>
      <c r="R50" s="249"/>
      <c r="AE50" s="138">
        <f>+AE49+AE48</f>
        <v>453</v>
      </c>
      <c r="AJ50" s="19" t="s">
        <v>475</v>
      </c>
      <c r="AK50" s="6">
        <f t="shared" si="54"/>
        <v>7.3469387755102047E-2</v>
      </c>
      <c r="AL50" s="6">
        <f t="shared" si="55"/>
        <v>0.11494252873563218</v>
      </c>
      <c r="AM50" s="249">
        <f t="shared" si="53"/>
        <v>122</v>
      </c>
      <c r="AN50" s="249">
        <f>COUNTIF('DETALLES UNIDADES'!$E$8:$I$987,AJ50)</f>
        <v>72</v>
      </c>
      <c r="AO50" s="249">
        <f>COUNTIF('[1]ENCUESTA CONDUCTORES'!$AT$7:$AT$459,AJ50)</f>
        <v>50</v>
      </c>
      <c r="AQ50" s="11"/>
      <c r="AR50" s="249"/>
      <c r="AS50" s="11"/>
      <c r="AT50" s="9"/>
    </row>
    <row r="51" spans="2:46" x14ac:dyDescent="0.25">
      <c r="B51" s="158" t="s">
        <v>1696</v>
      </c>
      <c r="C51" s="6">
        <f t="shared" si="56"/>
        <v>0</v>
      </c>
      <c r="D51" s="249">
        <f t="shared" si="57"/>
        <v>0</v>
      </c>
      <c r="E51" s="176">
        <f>COUNTIF('ENCUESTA PROPIETARIOS'!$BA$7:$BA$417,"3")</f>
        <v>0</v>
      </c>
      <c r="F51" s="249">
        <f>+'[1]ENCUESTA CONDUCTORES'!$CA$463</f>
        <v>0</v>
      </c>
      <c r="O51" s="154" t="s">
        <v>1710</v>
      </c>
      <c r="P51" s="6">
        <f t="shared" si="46"/>
        <v>2.5819958129797628E-2</v>
      </c>
      <c r="Q51" s="249">
        <f>SUM(Q38:Q48)</f>
        <v>37</v>
      </c>
      <c r="R51" s="249">
        <f t="shared" ref="R51:S51" si="58">SUM(R38:R48)</f>
        <v>24</v>
      </c>
      <c r="S51" s="249">
        <f t="shared" si="58"/>
        <v>13</v>
      </c>
      <c r="T51" s="11">
        <f>+S51</f>
        <v>13</v>
      </c>
      <c r="AJ51" s="19" t="s">
        <v>360</v>
      </c>
      <c r="AK51" s="6">
        <f t="shared" si="54"/>
        <v>7.4489795918367352E-2</v>
      </c>
      <c r="AL51" s="6">
        <f t="shared" si="55"/>
        <v>3.2183908045977011E-2</v>
      </c>
      <c r="AM51" s="249">
        <f t="shared" si="53"/>
        <v>87</v>
      </c>
      <c r="AN51" s="249">
        <f>COUNTIF('DETALLES UNIDADES'!$E$8:$I$987,AJ51)</f>
        <v>73</v>
      </c>
      <c r="AO51" s="249">
        <f>COUNTIF('[1]ENCUESTA CONDUCTORES'!$AT$7:$AT$459,AJ51)</f>
        <v>14</v>
      </c>
      <c r="AQ51" s="11"/>
      <c r="AR51" s="249"/>
      <c r="AS51" s="11"/>
      <c r="AT51" s="9"/>
    </row>
    <row r="52" spans="2:46" x14ac:dyDescent="0.25">
      <c r="B52" s="141"/>
      <c r="N52" s="11">
        <f t="shared" ref="N52:N85" si="59">2014-O52</f>
        <v>34</v>
      </c>
      <c r="O52" s="9">
        <v>1980</v>
      </c>
      <c r="P52" s="6">
        <f t="shared" si="46"/>
        <v>2.6517794836008374E-2</v>
      </c>
      <c r="Q52" s="249">
        <f t="shared" si="47"/>
        <v>38</v>
      </c>
      <c r="R52" s="249">
        <f>COUNTIF('DETALLES UNIDADES'!$D$8:$D$987,O52)</f>
        <v>31</v>
      </c>
      <c r="S52" s="249">
        <f>+[1]FORMULAS!$G44</f>
        <v>7</v>
      </c>
      <c r="AA52" s="11" t="s">
        <v>1760</v>
      </c>
      <c r="AJ52" s="19" t="s">
        <v>456</v>
      </c>
      <c r="AK52" s="6">
        <f t="shared" si="54"/>
        <v>6.7346938775510207E-2</v>
      </c>
      <c r="AL52" s="6">
        <f t="shared" si="55"/>
        <v>4.5977011494252873E-2</v>
      </c>
      <c r="AM52" s="249">
        <f t="shared" si="53"/>
        <v>86</v>
      </c>
      <c r="AN52" s="249">
        <f>COUNTIF('DETALLES UNIDADES'!$E$8:$I$987,AJ52)</f>
        <v>66</v>
      </c>
      <c r="AO52" s="249">
        <f>COUNTIF('[1]ENCUESTA CONDUCTORES'!$AT$7:$AT$459,AJ52)</f>
        <v>20</v>
      </c>
      <c r="AQ52" s="11"/>
      <c r="AR52" s="249"/>
      <c r="AS52" s="11"/>
      <c r="AT52" s="9"/>
    </row>
    <row r="53" spans="2:46" x14ac:dyDescent="0.25">
      <c r="B53" s="141" t="s">
        <v>1662</v>
      </c>
      <c r="C53" s="6">
        <f>+F53/$F$53</f>
        <v>1</v>
      </c>
      <c r="D53" s="249">
        <f>SUM(D48:D51)</f>
        <v>858</v>
      </c>
      <c r="E53" s="249">
        <f>SUM(E48:E51)</f>
        <v>410</v>
      </c>
      <c r="F53" s="249">
        <f>SUM(F48:F51)</f>
        <v>448</v>
      </c>
      <c r="N53" s="11">
        <f t="shared" si="59"/>
        <v>33</v>
      </c>
      <c r="O53" s="9">
        <v>1981</v>
      </c>
      <c r="P53" s="6">
        <f t="shared" si="46"/>
        <v>6.2805303558967204E-3</v>
      </c>
      <c r="Q53" s="249">
        <f t="shared" si="47"/>
        <v>9</v>
      </c>
      <c r="R53" s="249">
        <f>COUNTIF('DETALLES UNIDADES'!$D$8:$D$987,O53)</f>
        <v>6</v>
      </c>
      <c r="S53" s="249">
        <f>+[1]FORMULAS!$G45</f>
        <v>3</v>
      </c>
      <c r="AA53" s="11" t="s">
        <v>1761</v>
      </c>
      <c r="AB53" s="6">
        <f t="shared" ref="AB53:AB61" si="60">+AC53/$AC$61</f>
        <v>5.4586808188021231E-2</v>
      </c>
      <c r="AC53" s="249">
        <f>+AD53+AE53</f>
        <v>72</v>
      </c>
      <c r="AD53" s="249">
        <f>COUNTIF('DETALLES UNIDADES'!$AQ$8:$AQ$987,"&lt;50000")</f>
        <v>54</v>
      </c>
      <c r="AE53" s="249">
        <f>COUNTIF('[1]ENCUESTA CONDUCTORES'!$BH$7:$BH$459,"&lt;50000")</f>
        <v>18</v>
      </c>
      <c r="AJ53" s="19" t="s">
        <v>477</v>
      </c>
      <c r="AK53" s="6">
        <f t="shared" si="54"/>
        <v>4.4897959183673466E-2</v>
      </c>
      <c r="AL53" s="6">
        <f t="shared" si="55"/>
        <v>2.2988505747126436E-2</v>
      </c>
      <c r="AM53" s="249">
        <f t="shared" si="53"/>
        <v>54</v>
      </c>
      <c r="AN53" s="249">
        <f>COUNTIF('DETALLES UNIDADES'!$E$8:$I$987,AJ53)</f>
        <v>44</v>
      </c>
      <c r="AO53" s="249">
        <f>COUNTIF('[1]ENCUESTA CONDUCTORES'!$AT$7:$AT$459,AJ53)</f>
        <v>10</v>
      </c>
      <c r="AQ53" s="11"/>
      <c r="AR53" s="249"/>
      <c r="AS53" s="11"/>
      <c r="AT53" s="9"/>
    </row>
    <row r="54" spans="2:46" x14ac:dyDescent="0.25">
      <c r="N54" s="11">
        <f t="shared" si="59"/>
        <v>32</v>
      </c>
      <c r="O54" s="9">
        <v>1982</v>
      </c>
      <c r="P54" s="6">
        <f t="shared" si="46"/>
        <v>9.7697138869504534E-3</v>
      </c>
      <c r="Q54" s="249">
        <f t="shared" si="47"/>
        <v>14</v>
      </c>
      <c r="R54" s="249">
        <f>COUNTIF('DETALLES UNIDADES'!$D$8:$D$987,O54)</f>
        <v>10</v>
      </c>
      <c r="S54" s="249">
        <f>+[1]FORMULAS!$G46</f>
        <v>4</v>
      </c>
      <c r="AA54" s="11" t="s">
        <v>1762</v>
      </c>
      <c r="AB54" s="6">
        <f t="shared" si="60"/>
        <v>0.10993176648976498</v>
      </c>
      <c r="AC54" s="249">
        <f t="shared" ref="AC54:AC61" si="61">+AD54+AE54</f>
        <v>145</v>
      </c>
      <c r="AD54" s="138">
        <f>COUNTIF('DETALLES UNIDADES'!$AQ$8:$AQ$987,"&lt;75000")-AD53</f>
        <v>97</v>
      </c>
      <c r="AE54" s="138">
        <f>COUNTIF('[1]ENCUESTA CONDUCTORES'!$BH$7:$BH$459,"&lt;75000")-AE53</f>
        <v>48</v>
      </c>
      <c r="AJ54" s="2" t="s">
        <v>374</v>
      </c>
      <c r="AK54" s="6">
        <f t="shared" si="54"/>
        <v>3.4693877551020408E-2</v>
      </c>
      <c r="AL54" s="6">
        <f t="shared" si="55"/>
        <v>2.7586206896551724E-2</v>
      </c>
      <c r="AM54" s="249">
        <f t="shared" si="53"/>
        <v>46</v>
      </c>
      <c r="AN54" s="249">
        <f>COUNTIF('DETALLES UNIDADES'!$E$8:$I$987,AJ54)</f>
        <v>34</v>
      </c>
      <c r="AO54" s="249">
        <f>COUNTIF('[1]ENCUESTA CONDUCTORES'!$AT$7:$AT$459,AJ54)</f>
        <v>12</v>
      </c>
      <c r="AQ54" s="11"/>
      <c r="AR54" s="249"/>
      <c r="AS54" s="11"/>
      <c r="AT54" s="9"/>
    </row>
    <row r="55" spans="2:46" x14ac:dyDescent="0.25">
      <c r="B55" s="112" t="s">
        <v>1699</v>
      </c>
      <c r="E55" s="250"/>
      <c r="F55" s="17"/>
      <c r="N55" s="11">
        <f t="shared" si="59"/>
        <v>31</v>
      </c>
      <c r="O55" s="9">
        <v>1983</v>
      </c>
      <c r="P55" s="6">
        <f t="shared" si="46"/>
        <v>9.7697138869504534E-3</v>
      </c>
      <c r="Q55" s="249">
        <f t="shared" si="47"/>
        <v>14</v>
      </c>
      <c r="R55" s="249">
        <f>COUNTIF('DETALLES UNIDADES'!$D$8:$D$987,O55)</f>
        <v>12</v>
      </c>
      <c r="S55" s="249">
        <f>+[1]FORMULAS!$G47</f>
        <v>2</v>
      </c>
      <c r="AA55" s="11" t="s">
        <v>1763</v>
      </c>
      <c r="AB55" s="6">
        <f t="shared" si="60"/>
        <v>0.11448066717210008</v>
      </c>
      <c r="AC55" s="249">
        <f t="shared" si="61"/>
        <v>151</v>
      </c>
      <c r="AD55" s="138">
        <f>COUNTIF('DETALLES UNIDADES'!$AQ$8:$AQ$987,"&lt;100000")-AD54-AD53</f>
        <v>99</v>
      </c>
      <c r="AE55" s="138">
        <f>COUNTIF('[1]ENCUESTA CONDUCTORES'!$BH$7:$BH$459,"&lt;100000")-AE54-AE53</f>
        <v>52</v>
      </c>
      <c r="AJ55" s="2" t="s">
        <v>690</v>
      </c>
      <c r="AK55" s="6">
        <f t="shared" si="54"/>
        <v>1.3265306122448979E-2</v>
      </c>
      <c r="AL55" s="6">
        <f t="shared" si="55"/>
        <v>5.057471264367816E-2</v>
      </c>
      <c r="AM55" s="249">
        <f t="shared" si="53"/>
        <v>35</v>
      </c>
      <c r="AN55" s="249">
        <f>COUNTIF('DETALLES UNIDADES'!$E$8:$I$987,AJ55)</f>
        <v>13</v>
      </c>
      <c r="AO55" s="249">
        <f>COUNTIF('[1]ENCUESTA CONDUCTORES'!$AT$7:$AT$459,AJ55)</f>
        <v>22</v>
      </c>
      <c r="AQ55" s="11"/>
      <c r="AR55" s="249"/>
      <c r="AS55" s="11"/>
      <c r="AT55" s="9"/>
    </row>
    <row r="56" spans="2:46" x14ac:dyDescent="0.25">
      <c r="B56" s="249"/>
      <c r="D56" s="176"/>
      <c r="E56" s="250"/>
      <c r="F56" s="17"/>
      <c r="N56" s="11">
        <f t="shared" si="59"/>
        <v>30</v>
      </c>
      <c r="O56" s="9">
        <v>1984</v>
      </c>
      <c r="P56" s="6">
        <f t="shared" si="46"/>
        <v>9.0718771807397069E-3</v>
      </c>
      <c r="Q56" s="249">
        <f t="shared" si="47"/>
        <v>13</v>
      </c>
      <c r="R56" s="249">
        <f>COUNTIF('DETALLES UNIDADES'!$D$8:$D$987,O56)</f>
        <v>10</v>
      </c>
      <c r="S56" s="249">
        <f>+[1]FORMULAS!$G48</f>
        <v>3</v>
      </c>
      <c r="AA56" s="11" t="s">
        <v>1764</v>
      </c>
      <c r="AB56" s="6">
        <f t="shared" si="60"/>
        <v>0.18119787717968158</v>
      </c>
      <c r="AC56" s="249">
        <f t="shared" si="61"/>
        <v>239</v>
      </c>
      <c r="AD56" s="138">
        <f>COUNTIF('DETALLES UNIDADES'!$AQ$8:$AQ$987,"&lt;115000")-AD55-AD54-AD53</f>
        <v>163</v>
      </c>
      <c r="AE56" s="138">
        <f>COUNTIF('[1]ENCUESTA CONDUCTORES'!$BH$7:$BH$459,"&lt;115000")-AE55-AE54-AE53</f>
        <v>76</v>
      </c>
      <c r="AJ56" s="19" t="s">
        <v>444</v>
      </c>
      <c r="AK56" s="6">
        <f t="shared" si="54"/>
        <v>1.9387755102040816E-2</v>
      </c>
      <c r="AL56" s="6">
        <f t="shared" si="55"/>
        <v>1.1494252873563218E-2</v>
      </c>
      <c r="AM56" s="249">
        <f t="shared" si="53"/>
        <v>24</v>
      </c>
      <c r="AN56" s="249">
        <f>COUNTIF('DETALLES UNIDADES'!$E$8:$I$987,AJ56)</f>
        <v>19</v>
      </c>
      <c r="AO56" s="249">
        <f>COUNTIF('[1]ENCUESTA CONDUCTORES'!$AT$7:$AT$459,AJ56)</f>
        <v>5</v>
      </c>
      <c r="AQ56" s="11"/>
      <c r="AR56" s="249"/>
      <c r="AS56" s="11"/>
      <c r="AT56" s="9"/>
    </row>
    <row r="57" spans="2:46" x14ac:dyDescent="0.25">
      <c r="B57" s="158" t="s">
        <v>43</v>
      </c>
      <c r="C57" s="6">
        <f>+F57/$F$62</f>
        <v>0</v>
      </c>
      <c r="D57" s="249">
        <f>+E57+F57</f>
        <v>19</v>
      </c>
      <c r="E57" s="176">
        <f>COUNTIF('ENCUESTA PROPIETARIOS'!$AX$7:$AX$417,"4")</f>
        <v>19</v>
      </c>
      <c r="F57" s="249">
        <f>+'[1]ENCUESTA CONDUCTORES'!$BX$464</f>
        <v>0</v>
      </c>
      <c r="N57" s="11">
        <f t="shared" si="59"/>
        <v>29</v>
      </c>
      <c r="O57" s="9">
        <v>1985</v>
      </c>
      <c r="P57" s="6">
        <f t="shared" si="46"/>
        <v>2.2330774598743892E-2</v>
      </c>
      <c r="Q57" s="249">
        <f t="shared" si="47"/>
        <v>32</v>
      </c>
      <c r="R57" s="249">
        <f>COUNTIF('DETALLES UNIDADES'!$D$8:$D$987,O57)</f>
        <v>25</v>
      </c>
      <c r="S57" s="249">
        <f>+[1]FORMULAS!$G49</f>
        <v>7</v>
      </c>
      <c r="T57" s="11">
        <f>SUM(S52:S57)</f>
        <v>26</v>
      </c>
      <c r="AA57" s="11" t="s">
        <v>1765</v>
      </c>
      <c r="AB57" s="6">
        <f t="shared" si="60"/>
        <v>0.21228203184230476</v>
      </c>
      <c r="AC57" s="249">
        <f t="shared" si="61"/>
        <v>280</v>
      </c>
      <c r="AD57" s="138">
        <f>COUNTIF('DETALLES UNIDADES'!$AQ$8:$AQ$987,"&lt;125000")-AD56-AD55-AD54-AD53</f>
        <v>197</v>
      </c>
      <c r="AE57" s="138">
        <f>COUNTIF('[1]ENCUESTA CONDUCTORES'!$BH$7:$BH$459,"&lt;125000")-AE56-AE55-AE54-AE53</f>
        <v>83</v>
      </c>
      <c r="AJ57" s="2" t="s">
        <v>581</v>
      </c>
      <c r="AK57" s="6">
        <f t="shared" si="54"/>
        <v>1.7346938775510204E-2</v>
      </c>
      <c r="AL57" s="6">
        <f t="shared" si="55"/>
        <v>0</v>
      </c>
      <c r="AM57" s="249">
        <f t="shared" si="53"/>
        <v>17</v>
      </c>
      <c r="AN57" s="249">
        <f>COUNTIF('DETALLES UNIDADES'!$E$8:$I$987,AJ57)</f>
        <v>17</v>
      </c>
      <c r="AO57" s="249">
        <f>COUNTIF('[1]ENCUESTA CONDUCTORES'!$AT$7:$AT$459,AJ57)</f>
        <v>0</v>
      </c>
      <c r="AQ57" s="11"/>
      <c r="AR57" s="249"/>
      <c r="AS57" s="11"/>
      <c r="AT57" s="9"/>
    </row>
    <row r="58" spans="2:46" x14ac:dyDescent="0.25">
      <c r="B58" s="158" t="s">
        <v>44</v>
      </c>
      <c r="C58" s="6">
        <f t="shared" ref="C58:C60" si="62">+F58/$F$62</f>
        <v>0.75555555555555554</v>
      </c>
      <c r="D58" s="249">
        <f t="shared" ref="D58:D60" si="63">+E58+F58</f>
        <v>58</v>
      </c>
      <c r="E58" s="176">
        <f>COUNTIF('ENCUESTA PROPIETARIOS'!$AY$7:$AY$417,"4")</f>
        <v>24</v>
      </c>
      <c r="F58" s="249">
        <f>+'[1]ENCUESTA CONDUCTORES'!$BY$464</f>
        <v>34</v>
      </c>
      <c r="N58" s="11">
        <f t="shared" si="59"/>
        <v>28</v>
      </c>
      <c r="O58" s="9">
        <v>1986</v>
      </c>
      <c r="P58" s="6">
        <f t="shared" si="46"/>
        <v>8.3740404745289605E-3</v>
      </c>
      <c r="Q58" s="249">
        <f t="shared" si="47"/>
        <v>12</v>
      </c>
      <c r="R58" s="249">
        <f>COUNTIF('DETALLES UNIDADES'!$D$8:$D$987,O58)</f>
        <v>6</v>
      </c>
      <c r="S58" s="249">
        <f>+[1]FORMULAS!$G50</f>
        <v>6</v>
      </c>
      <c r="AA58" s="11" t="s">
        <v>1766</v>
      </c>
      <c r="AB58" s="6">
        <f t="shared" si="60"/>
        <v>0.16755117513267628</v>
      </c>
      <c r="AC58" s="249">
        <f t="shared" si="61"/>
        <v>221</v>
      </c>
      <c r="AD58" s="138">
        <f>COUNTIF('DETALLES UNIDADES'!$AQ$8:$AQ$987,"&lt;150000")-AD57-AD56-AD55-AD54-AD53</f>
        <v>198</v>
      </c>
      <c r="AE58" s="138">
        <f>COUNTIF('[1]ENCUESTA CONDUCTORES'!$BH$7:$BH$459,"&lt;150000")-AE57-AE56-AE55-AE54-AE53</f>
        <v>23</v>
      </c>
      <c r="AJ58" s="19" t="s">
        <v>429</v>
      </c>
      <c r="AK58" s="6">
        <f t="shared" si="54"/>
        <v>1.020408163265306E-2</v>
      </c>
      <c r="AL58" s="6">
        <f t="shared" si="55"/>
        <v>1.1494252873563218E-2</v>
      </c>
      <c r="AM58" s="249">
        <f t="shared" si="53"/>
        <v>15</v>
      </c>
      <c r="AN58" s="249">
        <f>COUNTIF('DETALLES UNIDADES'!$E$8:$I$987,AJ58)</f>
        <v>10</v>
      </c>
      <c r="AO58" s="249">
        <f>COUNTIF('[1]ENCUESTA CONDUCTORES'!$AT$7:$AT$459,AJ58)</f>
        <v>5</v>
      </c>
      <c r="AQ58" s="11"/>
      <c r="AR58" s="249"/>
      <c r="AS58" s="11"/>
      <c r="AT58" s="9"/>
    </row>
    <row r="59" spans="2:46" x14ac:dyDescent="0.25">
      <c r="B59" s="158" t="s">
        <v>45</v>
      </c>
      <c r="C59" s="6">
        <f t="shared" si="62"/>
        <v>0.24444444444444444</v>
      </c>
      <c r="D59" s="249">
        <f t="shared" si="63"/>
        <v>39</v>
      </c>
      <c r="E59" s="176">
        <f>COUNTIF('ENCUESTA PROPIETARIOS'!$AZ$7:$AZ$417,"4")</f>
        <v>28</v>
      </c>
      <c r="F59" s="249">
        <f>+'[1]ENCUESTA CONDUCTORES'!$BZ$464</f>
        <v>11</v>
      </c>
      <c r="N59" s="11">
        <f t="shared" si="59"/>
        <v>27</v>
      </c>
      <c r="O59" s="9">
        <v>1987</v>
      </c>
      <c r="P59" s="6">
        <f t="shared" si="46"/>
        <v>9.7697138869504534E-3</v>
      </c>
      <c r="Q59" s="249">
        <f t="shared" si="47"/>
        <v>14</v>
      </c>
      <c r="R59" s="249">
        <f>COUNTIF('DETALLES UNIDADES'!$D$8:$D$987,O59)</f>
        <v>8</v>
      </c>
      <c r="S59" s="249">
        <f>+[1]FORMULAS!$G51</f>
        <v>6</v>
      </c>
      <c r="AA59" s="11" t="s">
        <v>1767</v>
      </c>
      <c r="AB59" s="6">
        <f t="shared" si="60"/>
        <v>7.657316148597422E-2</v>
      </c>
      <c r="AC59" s="249">
        <f t="shared" ref="AC59" si="64">+AD59+AE59</f>
        <v>101</v>
      </c>
      <c r="AD59" s="138">
        <f>COUNTIF('DETALLES UNIDADES'!$AQ$8:$AQ$987,"&lt;175000")-AD58-AD57-AD56-AD55-AD54-AD53</f>
        <v>72</v>
      </c>
      <c r="AE59" s="138">
        <f>COUNTIF('[1]ENCUESTA CONDUCTORES'!$BH$7:$BH$459,"&lt;175000")-AE58-AE57-AE56-AE55-AE54-AE53</f>
        <v>29</v>
      </c>
      <c r="AJ59" s="19" t="s">
        <v>1784</v>
      </c>
      <c r="AK59" s="6">
        <f t="shared" si="54"/>
        <v>4.2857142857142858E-2</v>
      </c>
      <c r="AL59" s="6">
        <f t="shared" si="55"/>
        <v>5.057471264367816E-2</v>
      </c>
      <c r="AM59" s="249">
        <f t="shared" si="53"/>
        <v>64</v>
      </c>
      <c r="AN59" s="249">
        <f>SUM(AM63:AM74)</f>
        <v>42</v>
      </c>
      <c r="AO59" s="249">
        <f>SUM(AN63:AN74)</f>
        <v>22</v>
      </c>
      <c r="AQ59" s="11"/>
      <c r="AR59" s="249"/>
      <c r="AS59" s="11"/>
      <c r="AT59" s="9"/>
    </row>
    <row r="60" spans="2:46" x14ac:dyDescent="0.25">
      <c r="B60" s="158" t="s">
        <v>1696</v>
      </c>
      <c r="C60" s="6">
        <f t="shared" si="62"/>
        <v>0</v>
      </c>
      <c r="D60" s="249">
        <f t="shared" si="63"/>
        <v>0</v>
      </c>
      <c r="E60" s="176">
        <f>COUNTIF('ENCUESTA PROPIETARIOS'!$BA$7:$BA$417,"4")</f>
        <v>0</v>
      </c>
      <c r="F60" s="249">
        <f>+'[1]ENCUESTA CONDUCTORES'!$CA$464</f>
        <v>0</v>
      </c>
      <c r="N60" s="11">
        <f t="shared" si="59"/>
        <v>26</v>
      </c>
      <c r="O60" s="9">
        <v>1988</v>
      </c>
      <c r="P60" s="6">
        <f t="shared" si="46"/>
        <v>1.1165387299371946E-2</v>
      </c>
      <c r="Q60" s="249">
        <f t="shared" si="47"/>
        <v>16</v>
      </c>
      <c r="R60" s="249">
        <f>COUNTIF('DETALLES UNIDADES'!$D$8:$D$987,O60)</f>
        <v>12</v>
      </c>
      <c r="S60" s="249">
        <f>+[1]FORMULAS!$G52</f>
        <v>4</v>
      </c>
      <c r="AA60" s="11" t="s">
        <v>1768</v>
      </c>
      <c r="AB60" s="6">
        <f t="shared" si="60"/>
        <v>8.3396512509476883E-2</v>
      </c>
      <c r="AC60" s="249">
        <f t="shared" si="61"/>
        <v>110</v>
      </c>
      <c r="AD60" s="138">
        <f>COUNTIF('DETALLES UNIDADES'!$AQ$8:$AQ$987,"&gt;174999")</f>
        <v>67</v>
      </c>
      <c r="AE60" s="138">
        <f>COUNTIF('[1]ENCUESTA CONDUCTORES'!$BH$7:$BH$459,"&gt;174999")</f>
        <v>43</v>
      </c>
      <c r="AJ60" s="9"/>
      <c r="AK60" s="6"/>
      <c r="AL60" s="6"/>
      <c r="AO60" s="249"/>
      <c r="AQ60" s="11"/>
      <c r="AR60" s="249"/>
      <c r="AS60" s="11"/>
      <c r="AT60" s="9"/>
    </row>
    <row r="61" spans="2:46" x14ac:dyDescent="0.25">
      <c r="B61" s="141"/>
      <c r="N61" s="11">
        <f t="shared" si="59"/>
        <v>25</v>
      </c>
      <c r="O61" s="9">
        <v>1989</v>
      </c>
      <c r="P61" s="6">
        <f t="shared" si="46"/>
        <v>1.04675505931612E-2</v>
      </c>
      <c r="Q61" s="249">
        <f t="shared" si="47"/>
        <v>15</v>
      </c>
      <c r="R61" s="249">
        <f>COUNTIF('DETALLES UNIDADES'!$D$8:$D$987,O61)</f>
        <v>8</v>
      </c>
      <c r="S61" s="249">
        <f>+[1]FORMULAS!$G53</f>
        <v>7</v>
      </c>
      <c r="AA61" s="11" t="s">
        <v>715</v>
      </c>
      <c r="AB61" s="6">
        <f t="shared" si="60"/>
        <v>1</v>
      </c>
      <c r="AC61" s="249">
        <f t="shared" si="61"/>
        <v>1319</v>
      </c>
      <c r="AD61" s="249">
        <f>SUM(AD53:AD60)</f>
        <v>947</v>
      </c>
      <c r="AE61" s="249">
        <f>SUM(AE53:AE60)</f>
        <v>372</v>
      </c>
      <c r="AJ61" s="9" t="s">
        <v>715</v>
      </c>
      <c r="AK61" s="6">
        <f>SUM(AK47:AK59)</f>
        <v>1</v>
      </c>
      <c r="AL61" s="6">
        <f>SUM(AL47:AL59)</f>
        <v>1</v>
      </c>
      <c r="AM61" s="249">
        <f t="shared" ref="AM61" si="65">+AN61+AO61</f>
        <v>1415</v>
      </c>
      <c r="AN61" s="249">
        <f>SUM(AN47:AN60)</f>
        <v>980</v>
      </c>
      <c r="AO61" s="249">
        <f>SUM(AO47:AO60)</f>
        <v>435</v>
      </c>
      <c r="AQ61" s="11"/>
      <c r="AR61" s="249"/>
      <c r="AS61" s="11"/>
      <c r="AT61" s="9"/>
    </row>
    <row r="62" spans="2:46" x14ac:dyDescent="0.25">
      <c r="B62" s="141" t="s">
        <v>1662</v>
      </c>
      <c r="C62" s="6">
        <f>+F62/$F$62</f>
        <v>1</v>
      </c>
      <c r="D62" s="249">
        <f>SUM(D57:D60)</f>
        <v>116</v>
      </c>
      <c r="E62" s="249">
        <f>SUM(E57:E60)</f>
        <v>71</v>
      </c>
      <c r="F62" s="249">
        <f>SUM(F57:F60)</f>
        <v>45</v>
      </c>
      <c r="N62" s="11">
        <f t="shared" si="59"/>
        <v>24</v>
      </c>
      <c r="O62" s="9">
        <v>1990</v>
      </c>
      <c r="P62" s="6">
        <f t="shared" si="46"/>
        <v>2.4424284717376135E-2</v>
      </c>
      <c r="Q62" s="249">
        <f t="shared" si="47"/>
        <v>35</v>
      </c>
      <c r="R62" s="249">
        <f>COUNTIF('DETALLES UNIDADES'!$D$8:$D$987,O62)</f>
        <v>24</v>
      </c>
      <c r="S62" s="249">
        <f>+[1]FORMULAS!$G54</f>
        <v>11</v>
      </c>
      <c r="T62" s="11">
        <f>SUM(S58:S62)</f>
        <v>34</v>
      </c>
      <c r="AD62" s="249" t="s">
        <v>1769</v>
      </c>
      <c r="AE62" s="138">
        <f>COUNTIF('[1]ENCUESTA CONDUCTORES'!$BH$7:$BH$459,"NO SABE")+COUNTIF('[1]ENCUESTA CONDUCTORES'!$BH$7:$BH$459,"NO CONTESTO")</f>
        <v>81</v>
      </c>
      <c r="AS62" s="9"/>
    </row>
    <row r="63" spans="2:46" x14ac:dyDescent="0.25">
      <c r="N63" s="11">
        <f t="shared" si="59"/>
        <v>23</v>
      </c>
      <c r="O63" s="9">
        <v>1991</v>
      </c>
      <c r="P63" s="6">
        <f t="shared" si="46"/>
        <v>1.1165387299371946E-2</v>
      </c>
      <c r="Q63" s="249">
        <f t="shared" si="47"/>
        <v>16</v>
      </c>
      <c r="R63" s="249">
        <f>COUNTIF('DETALLES UNIDADES'!$D$8:$D$987,O63)</f>
        <v>13</v>
      </c>
      <c r="S63" s="249">
        <f>+[1]FORMULAS!$G55</f>
        <v>3</v>
      </c>
      <c r="AE63" s="138">
        <f>+AE62+AE61</f>
        <v>453</v>
      </c>
      <c r="AJ63" s="2" t="s">
        <v>381</v>
      </c>
      <c r="AK63" s="6"/>
      <c r="AL63" s="249">
        <f t="shared" ref="AL63:AL66" si="66">+AM63+AN63</f>
        <v>12</v>
      </c>
      <c r="AM63" s="249">
        <f>COUNTIF('DETALLES UNIDADES'!$E$8:$I$987,AJ63)</f>
        <v>6</v>
      </c>
      <c r="AN63" s="249">
        <f>COUNTIF('[1]ENCUESTA CONDUCTORES'!$AT$7:$AT$459,AJ63)</f>
        <v>6</v>
      </c>
      <c r="AS63" s="9"/>
    </row>
    <row r="64" spans="2:46" x14ac:dyDescent="0.25">
      <c r="N64" s="11">
        <f t="shared" si="59"/>
        <v>22</v>
      </c>
      <c r="O64" s="9">
        <v>1992</v>
      </c>
      <c r="P64" s="6">
        <f t="shared" si="46"/>
        <v>1.6748080949057921E-2</v>
      </c>
      <c r="Q64" s="249">
        <f t="shared" si="47"/>
        <v>24</v>
      </c>
      <c r="R64" s="249">
        <f>COUNTIF('DETALLES UNIDADES'!$D$8:$D$987,O64)</f>
        <v>18</v>
      </c>
      <c r="S64" s="249">
        <f>+[1]FORMULAS!$G56</f>
        <v>6</v>
      </c>
      <c r="AJ64" s="2" t="s">
        <v>367</v>
      </c>
      <c r="AK64" s="6"/>
      <c r="AL64" s="249">
        <f t="shared" si="66"/>
        <v>13</v>
      </c>
      <c r="AM64" s="249">
        <f>COUNTIF('DETALLES UNIDADES'!$E$8:$I$987,AJ64)</f>
        <v>9</v>
      </c>
      <c r="AN64" s="249">
        <f>COUNTIF('[1]ENCUESTA CONDUCTORES'!$AT$7:$AT$459,AJ64)</f>
        <v>4</v>
      </c>
      <c r="AS64" s="9"/>
    </row>
    <row r="65" spans="14:40" x14ac:dyDescent="0.25">
      <c r="N65" s="11">
        <f t="shared" si="59"/>
        <v>21</v>
      </c>
      <c r="O65" s="9">
        <v>1993</v>
      </c>
      <c r="P65" s="6">
        <f t="shared" si="46"/>
        <v>1.6050244242847175E-2</v>
      </c>
      <c r="Q65" s="249">
        <f t="shared" si="47"/>
        <v>23</v>
      </c>
      <c r="R65" s="249">
        <f>COUNTIF('DETALLES UNIDADES'!$D$8:$D$987,O65)</f>
        <v>21</v>
      </c>
      <c r="S65" s="249">
        <f>+[1]FORMULAS!$G57</f>
        <v>2</v>
      </c>
      <c r="AJ65" s="19" t="s">
        <v>384</v>
      </c>
      <c r="AK65" s="6"/>
      <c r="AL65" s="249">
        <f t="shared" si="66"/>
        <v>13</v>
      </c>
      <c r="AM65" s="249">
        <f>COUNTIF('DETALLES UNIDADES'!$E$8:$I$987,AJ65)</f>
        <v>9</v>
      </c>
      <c r="AN65" s="249">
        <f>COUNTIF('[1]ENCUESTA CONDUCTORES'!$AT$7:$AT$459,AJ65)</f>
        <v>4</v>
      </c>
    </row>
    <row r="66" spans="14:40" x14ac:dyDescent="0.25">
      <c r="N66" s="11">
        <f t="shared" si="59"/>
        <v>20</v>
      </c>
      <c r="O66" s="9">
        <v>1994</v>
      </c>
      <c r="P66" s="6">
        <f t="shared" si="46"/>
        <v>2.09351011863224E-2</v>
      </c>
      <c r="Q66" s="249">
        <f t="shared" si="47"/>
        <v>30</v>
      </c>
      <c r="R66" s="249">
        <f>COUNTIF('DETALLES UNIDADES'!$D$8:$D$987,O66)</f>
        <v>24</v>
      </c>
      <c r="S66" s="249">
        <f>+[1]FORMULAS!$G58</f>
        <v>6</v>
      </c>
      <c r="AA66" s="11" t="s">
        <v>1770</v>
      </c>
      <c r="AJ66" s="19" t="s">
        <v>370</v>
      </c>
      <c r="AK66" s="6"/>
      <c r="AL66" s="249">
        <f t="shared" si="66"/>
        <v>13</v>
      </c>
      <c r="AM66" s="249">
        <f>COUNTIF('DETALLES UNIDADES'!$E$8:$I$987,AJ66)</f>
        <v>12</v>
      </c>
      <c r="AN66" s="249">
        <f>COUNTIF('[1]ENCUESTA CONDUCTORES'!$AT$7:$AT$459,AJ66)</f>
        <v>1</v>
      </c>
    </row>
    <row r="67" spans="14:40" x14ac:dyDescent="0.25">
      <c r="N67" s="11">
        <f t="shared" si="59"/>
        <v>19</v>
      </c>
      <c r="O67" s="9">
        <v>1995</v>
      </c>
      <c r="P67" s="6">
        <f t="shared" si="46"/>
        <v>3.3496161898115842E-2</v>
      </c>
      <c r="Q67" s="249">
        <f t="shared" si="47"/>
        <v>48</v>
      </c>
      <c r="R67" s="249">
        <f>COUNTIF('DETALLES UNIDADES'!$D$8:$D$987,O67)</f>
        <v>35</v>
      </c>
      <c r="S67" s="249">
        <f>+[1]FORMULAS!$G59</f>
        <v>13</v>
      </c>
      <c r="T67" s="11">
        <f>SUM(S63:S67)</f>
        <v>30</v>
      </c>
      <c r="AA67" s="11" t="s">
        <v>1743</v>
      </c>
      <c r="AB67" s="6">
        <f>AC67/$AC$74</f>
        <v>3.9145907473309607E-2</v>
      </c>
      <c r="AC67" s="249">
        <f>+AD67+AE67</f>
        <v>44</v>
      </c>
      <c r="AD67" s="249">
        <f>COUNTIF('DETALLES UNIDADES'!$AR$8:$AR$987,"&lt;10000")</f>
        <v>26</v>
      </c>
      <c r="AE67" s="249">
        <f>COUNTIF('[1]ENCUESTA CONDUCTORES'!$BI$7:$BI$459,"&lt;10000")</f>
        <v>18</v>
      </c>
      <c r="AJ67" s="19" t="s">
        <v>451</v>
      </c>
      <c r="AL67" s="249">
        <f t="shared" ref="AL67:AL74" si="67">+AM67+AN67</f>
        <v>1</v>
      </c>
      <c r="AM67" s="249">
        <f>COUNTIF('DETALLES UNIDADES'!$E$8:$I$987,AJ67)</f>
        <v>1</v>
      </c>
      <c r="AN67" s="249">
        <f>COUNTIF('[1]ENCUESTA CONDUCTORES'!$AT$7:$AT$459,AJ67)</f>
        <v>0</v>
      </c>
    </row>
    <row r="68" spans="14:40" x14ac:dyDescent="0.25">
      <c r="N68" s="11">
        <f t="shared" si="59"/>
        <v>18</v>
      </c>
      <c r="O68" s="9">
        <v>1996</v>
      </c>
      <c r="P68" s="6">
        <f t="shared" si="46"/>
        <v>1.2561060711793441E-2</v>
      </c>
      <c r="Q68" s="249">
        <f t="shared" si="47"/>
        <v>18</v>
      </c>
      <c r="R68" s="249">
        <f>COUNTIF('DETALLES UNIDADES'!$D$8:$D$987,O68)</f>
        <v>12</v>
      </c>
      <c r="S68" s="249">
        <f>+[1]FORMULAS!$G60</f>
        <v>6</v>
      </c>
      <c r="AA68" s="11" t="s">
        <v>954</v>
      </c>
      <c r="AB68" s="6">
        <f t="shared" ref="AB68:AB74" si="68">AC68/$AC$74</f>
        <v>0.16548042704626334</v>
      </c>
      <c r="AC68" s="249">
        <f t="shared" ref="AC68:AC74" si="69">+AD68+AE68</f>
        <v>186</v>
      </c>
      <c r="AD68" s="138">
        <f>COUNTIF('DETALLES UNIDADES'!$AR$8:$AR$987,"&lt;15000")-AD67</f>
        <v>108</v>
      </c>
      <c r="AE68" s="138">
        <f>COUNTIF('[1]ENCUESTA CONDUCTORES'!$BI$7:$BI$459,"&lt;15000")-AE67</f>
        <v>78</v>
      </c>
      <c r="AJ68" s="19" t="s">
        <v>476</v>
      </c>
      <c r="AL68" s="249">
        <f t="shared" si="67"/>
        <v>1</v>
      </c>
      <c r="AM68" s="249">
        <f>COUNTIF('DETALLES UNIDADES'!$E$8:$I$987,AJ68)</f>
        <v>1</v>
      </c>
      <c r="AN68" s="249">
        <f>COUNTIF('[1]ENCUESTA CONDUCTORES'!$AT$7:$AT$459,AJ68)</f>
        <v>0</v>
      </c>
    </row>
    <row r="69" spans="14:40" x14ac:dyDescent="0.25">
      <c r="N69" s="11">
        <f t="shared" si="59"/>
        <v>17</v>
      </c>
      <c r="O69" s="9">
        <v>1997</v>
      </c>
      <c r="P69" s="6">
        <f t="shared" si="46"/>
        <v>2.8611304954640614E-2</v>
      </c>
      <c r="Q69" s="249">
        <f t="shared" si="47"/>
        <v>41</v>
      </c>
      <c r="R69" s="249">
        <f>COUNTIF('DETALLES UNIDADES'!$D$8:$D$987,O69)</f>
        <v>30</v>
      </c>
      <c r="S69" s="249">
        <f>+[1]FORMULAS!$G61</f>
        <v>11</v>
      </c>
      <c r="AA69" s="11" t="s">
        <v>1744</v>
      </c>
      <c r="AB69" s="6">
        <f t="shared" si="68"/>
        <v>0.17882562277580072</v>
      </c>
      <c r="AC69" s="249">
        <f t="shared" si="69"/>
        <v>201</v>
      </c>
      <c r="AD69" s="138">
        <f>COUNTIF('DETALLES UNIDADES'!$AR$8:$AR$987,"&lt;20000")-AD68-AD67</f>
        <v>161</v>
      </c>
      <c r="AE69" s="138">
        <f>COUNTIF('[1]ENCUESTA CONDUCTORES'!$BI$7:$BI$459,"&lt;20000")-AE68-AE67</f>
        <v>40</v>
      </c>
      <c r="AJ69" s="19" t="s">
        <v>1172</v>
      </c>
      <c r="AL69" s="249">
        <f t="shared" si="67"/>
        <v>2</v>
      </c>
      <c r="AM69" s="249">
        <f>COUNTIF('DETALLES UNIDADES'!$E$8:$I$987,AJ69)</f>
        <v>2</v>
      </c>
      <c r="AN69" s="249">
        <f>COUNTIF('[1]ENCUESTA CONDUCTORES'!$AT$7:$AT$459,AJ69)</f>
        <v>0</v>
      </c>
    </row>
    <row r="70" spans="14:40" x14ac:dyDescent="0.25">
      <c r="N70" s="11">
        <f t="shared" si="59"/>
        <v>16</v>
      </c>
      <c r="O70" s="9">
        <v>1998</v>
      </c>
      <c r="P70" s="6">
        <f t="shared" si="46"/>
        <v>3.4193998604326585E-2</v>
      </c>
      <c r="Q70" s="249">
        <f t="shared" si="47"/>
        <v>49</v>
      </c>
      <c r="R70" s="249">
        <f>COUNTIF('DETALLES UNIDADES'!$D$8:$D$987,O70)</f>
        <v>34</v>
      </c>
      <c r="S70" s="249">
        <f>+[1]FORMULAS!$G62</f>
        <v>15</v>
      </c>
      <c r="AA70" s="11" t="s">
        <v>1745</v>
      </c>
      <c r="AB70" s="6">
        <f t="shared" si="68"/>
        <v>0.24822064056939502</v>
      </c>
      <c r="AC70" s="249">
        <f t="shared" si="69"/>
        <v>279</v>
      </c>
      <c r="AD70" s="138">
        <f>COUNTIF('DETALLES UNIDADES'!$AR$8:$AR$987,"&lt;25000")-AD69-AD68-AD67</f>
        <v>241</v>
      </c>
      <c r="AE70" s="138">
        <f>COUNTIF('[1]ENCUESTA CONDUCTORES'!$BI$7:$BI$459,"&lt;25000")-AE69-AE68-AE67</f>
        <v>38</v>
      </c>
      <c r="AJ70" s="2" t="s">
        <v>1173</v>
      </c>
      <c r="AL70" s="249">
        <f t="shared" si="67"/>
        <v>1</v>
      </c>
      <c r="AM70" s="249">
        <f>COUNTIF('DETALLES UNIDADES'!$E$8:$I$987,AJ70)</f>
        <v>1</v>
      </c>
      <c r="AN70" s="249">
        <f>COUNTIF('[1]ENCUESTA CONDUCTORES'!$AT$7:$AT$459,AJ70)</f>
        <v>0</v>
      </c>
    </row>
    <row r="71" spans="14:40" x14ac:dyDescent="0.25">
      <c r="N71" s="11">
        <f t="shared" si="59"/>
        <v>15</v>
      </c>
      <c r="O71" s="9">
        <v>1999</v>
      </c>
      <c r="P71" s="6">
        <f t="shared" si="46"/>
        <v>1.6748080949057921E-2</v>
      </c>
      <c r="Q71" s="249">
        <f t="shared" si="47"/>
        <v>24</v>
      </c>
      <c r="R71" s="249">
        <f>COUNTIF('DETALLES UNIDADES'!$D$8:$D$987,O71)</f>
        <v>15</v>
      </c>
      <c r="S71" s="249">
        <f>+[1]FORMULAS!$G63</f>
        <v>9</v>
      </c>
      <c r="AA71" s="11" t="s">
        <v>1746</v>
      </c>
      <c r="AB71" s="6">
        <f t="shared" si="68"/>
        <v>0.14145907473309607</v>
      </c>
      <c r="AC71" s="249">
        <f t="shared" si="69"/>
        <v>159</v>
      </c>
      <c r="AD71" s="138">
        <f>COUNTIF('DETALLES UNIDADES'!$AR$8:$AR$987,"&lt;30000")-AD70-AD69-AD68-AD67</f>
        <v>140</v>
      </c>
      <c r="AE71" s="138">
        <f>COUNTIF('[1]ENCUESTA CONDUCTORES'!$BI$7:$BI$459,"&lt;30000")-AE70-AE69-AE68-AE67</f>
        <v>19</v>
      </c>
      <c r="AJ71" s="2" t="s">
        <v>1164</v>
      </c>
      <c r="AL71" s="249">
        <f t="shared" si="67"/>
        <v>1</v>
      </c>
      <c r="AM71" s="249">
        <f>COUNTIF('DETALLES UNIDADES'!$E$8:$I$987,AJ71)</f>
        <v>1</v>
      </c>
      <c r="AN71" s="249">
        <f>COUNTIF('[1]ENCUESTA CONDUCTORES'!$AT$7:$AT$459,AJ71)</f>
        <v>0</v>
      </c>
    </row>
    <row r="72" spans="14:40" x14ac:dyDescent="0.25">
      <c r="N72" s="11">
        <f t="shared" si="59"/>
        <v>14</v>
      </c>
      <c r="O72" s="9">
        <v>2000</v>
      </c>
      <c r="P72" s="6">
        <f t="shared" si="46"/>
        <v>6.0711793440334963E-2</v>
      </c>
      <c r="Q72" s="249">
        <f t="shared" si="47"/>
        <v>87</v>
      </c>
      <c r="R72" s="249">
        <f>COUNTIF('DETALLES UNIDADES'!$D$8:$D$987,O72)</f>
        <v>62</v>
      </c>
      <c r="S72" s="249">
        <f>+[1]FORMULAS!$G64</f>
        <v>25</v>
      </c>
      <c r="T72" s="11">
        <f>SUM(S68:S72)</f>
        <v>66</v>
      </c>
      <c r="AA72" s="11" t="s">
        <v>1747</v>
      </c>
      <c r="AB72" s="6">
        <f t="shared" si="68"/>
        <v>0.11120996441281139</v>
      </c>
      <c r="AC72" s="249">
        <f t="shared" si="69"/>
        <v>125</v>
      </c>
      <c r="AD72" s="138">
        <f>COUNTIF('DETALLES UNIDADES'!$AR$8:$AR$987,"&lt;40000")-AD71-AD70-AD69-AD68-AD67</f>
        <v>89</v>
      </c>
      <c r="AE72" s="138">
        <f>COUNTIF('[1]ENCUESTA CONDUCTORES'!$BI$7:$BI$459,"&lt;40000")-AE71-AE70-AE69-AE68-AE67</f>
        <v>36</v>
      </c>
      <c r="AJ72" s="19" t="s">
        <v>1850</v>
      </c>
      <c r="AL72" s="249">
        <f t="shared" si="67"/>
        <v>2</v>
      </c>
      <c r="AM72" s="249">
        <f>COUNTIF('DETALLES UNIDADES'!$E$8:$I$987,AJ72)</f>
        <v>0</v>
      </c>
      <c r="AN72" s="249">
        <f>COUNTIF('[1]ENCUESTA CONDUCTORES'!$AT$7:$AT$459,AJ72)</f>
        <v>2</v>
      </c>
    </row>
    <row r="73" spans="14:40" x14ac:dyDescent="0.25">
      <c r="N73" s="11">
        <f t="shared" si="59"/>
        <v>13</v>
      </c>
      <c r="O73" s="9">
        <v>2001</v>
      </c>
      <c r="P73" s="6">
        <f t="shared" si="46"/>
        <v>4.3963712491277042E-2</v>
      </c>
      <c r="Q73" s="249">
        <f t="shared" si="47"/>
        <v>63</v>
      </c>
      <c r="R73" s="249">
        <f>COUNTIF('DETALLES UNIDADES'!$D$8:$D$987,O73)</f>
        <v>45</v>
      </c>
      <c r="S73" s="249">
        <f>+[1]FORMULAS!$G65</f>
        <v>18</v>
      </c>
      <c r="AA73" s="11" t="s">
        <v>1853</v>
      </c>
      <c r="AB73" s="6">
        <f t="shared" si="68"/>
        <v>0.11565836298932385</v>
      </c>
      <c r="AC73" s="249">
        <f t="shared" si="69"/>
        <v>130</v>
      </c>
      <c r="AD73" s="138">
        <f>COUNTIF('DETALLES UNIDADES'!$AR$8:$AR$987,"&gt;39999")</f>
        <v>107</v>
      </c>
      <c r="AE73" s="138">
        <f>COUNTIF('[1]ENCUESTA CONDUCTORES'!$BI$7:$BI$459,"&gt;39999")</f>
        <v>23</v>
      </c>
      <c r="AJ73" s="19" t="s">
        <v>1851</v>
      </c>
      <c r="AL73" s="249">
        <f t="shared" si="67"/>
        <v>2</v>
      </c>
      <c r="AM73" s="249">
        <f>COUNTIF('DETALLES UNIDADES'!$E$8:$I$987,AJ73)</f>
        <v>0</v>
      </c>
      <c r="AN73" s="249">
        <f>COUNTIF('[1]ENCUESTA CONDUCTORES'!$AT$7:$AT$459,AJ73)</f>
        <v>2</v>
      </c>
    </row>
    <row r="74" spans="14:40" x14ac:dyDescent="0.25">
      <c r="N74" s="11">
        <f t="shared" si="59"/>
        <v>12</v>
      </c>
      <c r="O74" s="9">
        <v>2002</v>
      </c>
      <c r="P74" s="6">
        <f t="shared" si="46"/>
        <v>2.7913468248429867E-2</v>
      </c>
      <c r="Q74" s="249">
        <f t="shared" si="47"/>
        <v>40</v>
      </c>
      <c r="R74" s="249">
        <f>COUNTIF('DETALLES UNIDADES'!$D$8:$D$987,O74)</f>
        <v>28</v>
      </c>
      <c r="S74" s="249">
        <f>+[1]FORMULAS!$G66</f>
        <v>12</v>
      </c>
      <c r="AA74" s="11" t="s">
        <v>715</v>
      </c>
      <c r="AB74" s="6">
        <f t="shared" si="68"/>
        <v>1</v>
      </c>
      <c r="AC74" s="249">
        <f t="shared" si="69"/>
        <v>1124</v>
      </c>
      <c r="AD74" s="249">
        <f>SUM(AD67:AD73)</f>
        <v>872</v>
      </c>
      <c r="AE74" s="249">
        <f>SUM(AE67:AE73)</f>
        <v>252</v>
      </c>
      <c r="AJ74" s="19" t="s">
        <v>1852</v>
      </c>
      <c r="AL74" s="249">
        <f t="shared" si="67"/>
        <v>3</v>
      </c>
      <c r="AM74" s="249">
        <f>COUNTIF('DETALLES UNIDADES'!$E$8:$I$987,AJ74)</f>
        <v>0</v>
      </c>
      <c r="AN74" s="249">
        <f>COUNTIF('[1]ENCUESTA CONDUCTORES'!$AT$7:$AT$459,AJ74)</f>
        <v>3</v>
      </c>
    </row>
    <row r="75" spans="14:40" x14ac:dyDescent="0.25">
      <c r="N75" s="11">
        <f t="shared" si="59"/>
        <v>11</v>
      </c>
      <c r="O75" s="9">
        <v>2003</v>
      </c>
      <c r="P75" s="6">
        <f t="shared" si="46"/>
        <v>3.7683182135380321E-2</v>
      </c>
      <c r="Q75" s="249">
        <f t="shared" si="47"/>
        <v>54</v>
      </c>
      <c r="R75" s="249">
        <f>COUNTIF('DETALLES UNIDADES'!$D$8:$D$987,O75)</f>
        <v>33</v>
      </c>
      <c r="S75" s="249">
        <f>+[1]FORMULAS!$G67</f>
        <v>21</v>
      </c>
      <c r="AE75" s="138">
        <f>COUNTIF('[1]ENCUESTA CONDUCTORES'!$BI$7:$BI$459,"NO SABE")+COUNTIF('[1]ENCUESTA CONDUCTORES'!$BI$7:$BI$459,"NO CONTESTO")</f>
        <v>171</v>
      </c>
    </row>
    <row r="76" spans="14:40" x14ac:dyDescent="0.25">
      <c r="N76" s="11">
        <f t="shared" si="59"/>
        <v>10</v>
      </c>
      <c r="O76" s="9">
        <v>2004</v>
      </c>
      <c r="P76" s="6">
        <f t="shared" si="46"/>
        <v>4.6755059316120028E-2</v>
      </c>
      <c r="Q76" s="249">
        <f t="shared" si="47"/>
        <v>67</v>
      </c>
      <c r="R76" s="249">
        <f>COUNTIF('DETALLES UNIDADES'!$D$8:$D$987,O76)</f>
        <v>40</v>
      </c>
      <c r="S76" s="249">
        <f>+[1]FORMULAS!$G68</f>
        <v>27</v>
      </c>
      <c r="AE76" s="138">
        <f>+AE75+AE74</f>
        <v>423</v>
      </c>
      <c r="AJ76" s="11" t="s">
        <v>352</v>
      </c>
      <c r="AL76" s="249">
        <f t="shared" ref="AL76" si="70">+AM76+AN76</f>
        <v>18</v>
      </c>
      <c r="AM76" s="249">
        <f>COUNTIF('DETALLES UNIDADES'!$E$8:$I$987,AJ76)</f>
        <v>0</v>
      </c>
      <c r="AN76" s="249">
        <f>COUNTIF('[1]ENCUESTA CONDUCTORES'!$AT$7:$AT$459,AJ76)</f>
        <v>18</v>
      </c>
    </row>
    <row r="77" spans="14:40" x14ac:dyDescent="0.25">
      <c r="N77" s="11">
        <f t="shared" si="59"/>
        <v>9</v>
      </c>
      <c r="O77" s="9">
        <v>2005</v>
      </c>
      <c r="P77" s="6">
        <f t="shared" si="46"/>
        <v>6.3503140265177949E-2</v>
      </c>
      <c r="Q77" s="249">
        <f t="shared" si="47"/>
        <v>91</v>
      </c>
      <c r="R77" s="249">
        <f>COUNTIF('DETALLES UNIDADES'!$D$8:$D$987,O77)</f>
        <v>62</v>
      </c>
      <c r="S77" s="249">
        <f>+[1]FORMULAS!$G69</f>
        <v>29</v>
      </c>
      <c r="T77" s="11">
        <f>SUM(S73:S77)</f>
        <v>107</v>
      </c>
      <c r="AE77" s="138"/>
      <c r="AL77" s="249">
        <f>+AL76+AM61</f>
        <v>1433</v>
      </c>
      <c r="AM77" s="249">
        <f>+AM76+AN61</f>
        <v>980</v>
      </c>
      <c r="AN77" s="249">
        <f>+AN76+AO61</f>
        <v>453</v>
      </c>
    </row>
    <row r="78" spans="14:40" x14ac:dyDescent="0.25">
      <c r="N78" s="11">
        <f t="shared" si="59"/>
        <v>8</v>
      </c>
      <c r="O78" s="9">
        <v>2006</v>
      </c>
      <c r="P78" s="6">
        <f t="shared" si="46"/>
        <v>3.6985345429169578E-2</v>
      </c>
      <c r="Q78" s="249">
        <f t="shared" si="47"/>
        <v>53</v>
      </c>
      <c r="R78" s="249">
        <f>COUNTIF('DETALLES UNIDADES'!$D$8:$D$987,O78)</f>
        <v>27</v>
      </c>
      <c r="S78" s="249">
        <f>+[1]FORMULAS!$G70</f>
        <v>26</v>
      </c>
    </row>
    <row r="79" spans="14:40" x14ac:dyDescent="0.25">
      <c r="N79" s="11">
        <f t="shared" si="59"/>
        <v>7</v>
      </c>
      <c r="O79" s="9">
        <v>2007</v>
      </c>
      <c r="P79" s="6">
        <f t="shared" si="46"/>
        <v>6.6294487090020934E-2</v>
      </c>
      <c r="Q79" s="249">
        <f t="shared" si="47"/>
        <v>95</v>
      </c>
      <c r="R79" s="249">
        <f>COUNTIF('DETALLES UNIDADES'!$D$8:$D$987,O79)</f>
        <v>62</v>
      </c>
      <c r="S79" s="249">
        <f>+[1]FORMULAS!$G71</f>
        <v>33</v>
      </c>
    </row>
    <row r="80" spans="14:40" x14ac:dyDescent="0.25">
      <c r="N80" s="11">
        <f t="shared" si="59"/>
        <v>6</v>
      </c>
      <c r="O80" s="9">
        <v>2008</v>
      </c>
      <c r="P80" s="6">
        <f t="shared" si="46"/>
        <v>6.4200976971388699E-2</v>
      </c>
      <c r="Q80" s="249">
        <f t="shared" si="47"/>
        <v>92</v>
      </c>
      <c r="R80" s="249">
        <f>COUNTIF('DETALLES UNIDADES'!$D$8:$D$987,O80)</f>
        <v>60</v>
      </c>
      <c r="S80" s="249">
        <f>+[1]FORMULAS!$G72</f>
        <v>32</v>
      </c>
    </row>
    <row r="81" spans="14:20" x14ac:dyDescent="0.25">
      <c r="N81" s="11">
        <f t="shared" si="59"/>
        <v>5</v>
      </c>
      <c r="O81" s="9">
        <v>2009</v>
      </c>
      <c r="P81" s="6">
        <f t="shared" si="46"/>
        <v>4.1870202372644799E-2</v>
      </c>
      <c r="Q81" s="249">
        <f t="shared" si="47"/>
        <v>60</v>
      </c>
      <c r="R81" s="249">
        <f>COUNTIF('DETALLES UNIDADES'!$D$8:$D$987,O81)</f>
        <v>38</v>
      </c>
      <c r="S81" s="249">
        <f>+[1]FORMULAS!$G73</f>
        <v>22</v>
      </c>
    </row>
    <row r="82" spans="14:20" x14ac:dyDescent="0.25">
      <c r="N82" s="11">
        <f t="shared" si="59"/>
        <v>4</v>
      </c>
      <c r="O82" s="9">
        <v>2010</v>
      </c>
      <c r="P82" s="6">
        <f t="shared" si="46"/>
        <v>4.6755059316120028E-2</v>
      </c>
      <c r="Q82" s="249">
        <f t="shared" si="47"/>
        <v>67</v>
      </c>
      <c r="R82" s="249">
        <f>COUNTIF('DETALLES UNIDADES'!$D$8:$D$987,O82)</f>
        <v>46</v>
      </c>
      <c r="S82" s="249">
        <f>+[1]FORMULAS!$G74</f>
        <v>21</v>
      </c>
      <c r="T82" s="11">
        <f>SUM(S78:S82)</f>
        <v>134</v>
      </c>
    </row>
    <row r="83" spans="14:20" x14ac:dyDescent="0.25">
      <c r="N83" s="11">
        <f t="shared" si="59"/>
        <v>3</v>
      </c>
      <c r="O83" s="9">
        <v>2011</v>
      </c>
      <c r="P83" s="6">
        <f t="shared" si="46"/>
        <v>1.8143754361479414E-2</v>
      </c>
      <c r="Q83" s="249">
        <f t="shared" si="47"/>
        <v>26</v>
      </c>
      <c r="R83" s="249">
        <f>COUNTIF('DETALLES UNIDADES'!$D$8:$D$987,O83)</f>
        <v>14</v>
      </c>
      <c r="S83" s="249">
        <f>+[1]FORMULAS!$G75</f>
        <v>12</v>
      </c>
    </row>
    <row r="84" spans="14:20" x14ac:dyDescent="0.25">
      <c r="N84" s="11">
        <f t="shared" si="59"/>
        <v>2</v>
      </c>
      <c r="O84" s="9">
        <v>2012</v>
      </c>
      <c r="P84" s="6">
        <f t="shared" si="46"/>
        <v>4.884856943475227E-2</v>
      </c>
      <c r="Q84" s="249">
        <f t="shared" si="47"/>
        <v>70</v>
      </c>
      <c r="R84" s="249">
        <f>COUNTIF('DETALLES UNIDADES'!$D$8:$D$987,O84)</f>
        <v>54</v>
      </c>
      <c r="S84" s="249">
        <f>+[1]FORMULAS!$G76</f>
        <v>16</v>
      </c>
    </row>
    <row r="85" spans="14:20" x14ac:dyDescent="0.25">
      <c r="N85" s="11">
        <f t="shared" si="59"/>
        <v>1</v>
      </c>
      <c r="O85" s="9">
        <v>2013</v>
      </c>
      <c r="P85" s="6">
        <f t="shared" si="46"/>
        <v>1.8143754361479414E-2</v>
      </c>
      <c r="Q85" s="249">
        <f t="shared" si="47"/>
        <v>26</v>
      </c>
      <c r="R85" s="249">
        <f>COUNTIF('DETALLES UNIDADES'!$D$8:$D$987,O85)</f>
        <v>16</v>
      </c>
      <c r="S85" s="249">
        <f>+[1]FORMULAS!$G77</f>
        <v>10</v>
      </c>
    </row>
    <row r="86" spans="14:20" x14ac:dyDescent="0.25">
      <c r="N86" s="11">
        <f>2014-O86</f>
        <v>0</v>
      </c>
      <c r="O86" s="9">
        <v>2014</v>
      </c>
      <c r="P86" s="6">
        <f t="shared" si="46"/>
        <v>1.3956734124214934E-2</v>
      </c>
      <c r="Q86" s="249">
        <f t="shared" si="47"/>
        <v>20</v>
      </c>
      <c r="R86" s="249">
        <f>COUNTIF('DETALLES UNIDADES'!$D$8:$D$987,O86)</f>
        <v>15</v>
      </c>
      <c r="S86" s="249">
        <f>+[1]FORMULAS!$G78</f>
        <v>5</v>
      </c>
      <c r="T86" s="11">
        <f>SUM(S83:S87)</f>
        <v>43</v>
      </c>
    </row>
    <row r="87" spans="14:20" x14ac:dyDescent="0.25">
      <c r="O87" s="9"/>
      <c r="P87" s="249"/>
    </row>
    <row r="88" spans="14:20" x14ac:dyDescent="0.25">
      <c r="O88" s="9" t="s">
        <v>715</v>
      </c>
      <c r="P88" s="6">
        <f t="shared" si="46"/>
        <v>1</v>
      </c>
      <c r="Q88" s="249">
        <f>SUM(Q51:Q86)</f>
        <v>1433</v>
      </c>
      <c r="R88" s="249">
        <f>SUM(R51:R87)</f>
        <v>980</v>
      </c>
      <c r="S88" s="249">
        <f>SUM(S51:S86)</f>
        <v>453</v>
      </c>
      <c r="T88" s="249">
        <f>SUM(T51:T86)</f>
        <v>453</v>
      </c>
    </row>
    <row r="90" spans="14:20" x14ac:dyDescent="0.25">
      <c r="P90" s="11">
        <f>(SUMPRODUCT(Q52:Q86,N52:N86)+SUMPRODUCT(Q38:Q48,N38:N48))/Q88</f>
        <v>13.692951849267271</v>
      </c>
      <c r="Q90" s="249">
        <f>SUM(Q71:Q86)</f>
        <v>935</v>
      </c>
      <c r="R90" s="121">
        <f>+Q90/$Q$88</f>
        <v>0.65247732030704819</v>
      </c>
    </row>
    <row r="91" spans="14:20" x14ac:dyDescent="0.25">
      <c r="Q91" s="249">
        <f>+Q88-Q90</f>
        <v>498</v>
      </c>
      <c r="R91" s="121">
        <f>+Q91/$Q$88</f>
        <v>0.34752267969295186</v>
      </c>
    </row>
    <row r="93" spans="14:20" x14ac:dyDescent="0.25">
      <c r="Q93" s="249">
        <f>SUM(Q66:Q86)</f>
        <v>1121</v>
      </c>
      <c r="R93" s="121">
        <f t="shared" ref="R93:R94" si="71">+Q93/$Q$88</f>
        <v>0.78227494766224703</v>
      </c>
    </row>
    <row r="94" spans="14:20" x14ac:dyDescent="0.25">
      <c r="Q94" s="249">
        <f>Q88-Q93</f>
        <v>312</v>
      </c>
      <c r="R94" s="121">
        <f t="shared" si="71"/>
        <v>0.21772505233775297</v>
      </c>
    </row>
  </sheetData>
  <sortState ref="AJ47:AN70">
    <sortCondition descending="1" ref="AK47:AK70"/>
  </sortState>
  <pageMargins left="0.7" right="0.7" top="0.75" bottom="0.75" header="0.3" footer="0.3"/>
  <pageSetup orientation="portrait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"/>
  <sheetViews>
    <sheetView zoomScale="80" zoomScaleNormal="80" workbookViewId="0"/>
  </sheetViews>
  <sheetFormatPr baseColWidth="10" defaultColWidth="11.42578125" defaultRowHeight="15" x14ac:dyDescent="0.25"/>
  <cols>
    <col min="1" max="16384" width="11.42578125" style="17"/>
  </cols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EM115"/>
  <sheetViews>
    <sheetView zoomScaleNormal="100" workbookViewId="0"/>
  </sheetViews>
  <sheetFormatPr baseColWidth="10" defaultColWidth="11.42578125" defaultRowHeight="15" x14ac:dyDescent="0.25"/>
  <cols>
    <col min="1" max="1" width="11.42578125" style="17"/>
    <col min="2" max="2" width="20" style="17" customWidth="1"/>
    <col min="3" max="3" width="13.140625" style="250" customWidth="1"/>
    <col min="4" max="4" width="11.42578125" style="17"/>
    <col min="5" max="5" width="16.140625" style="17" customWidth="1"/>
    <col min="6" max="6" width="19.28515625" style="17" customWidth="1"/>
    <col min="7" max="7" width="13" style="17" customWidth="1"/>
    <col min="8" max="9" width="11.42578125" style="17"/>
    <col min="10" max="10" width="22.42578125" style="17" customWidth="1"/>
    <col min="11" max="17" width="11.42578125" style="17"/>
    <col min="18" max="18" width="22.85546875" style="17" customWidth="1"/>
    <col min="19" max="19" width="22.42578125" style="249" bestFit="1" customWidth="1"/>
    <col min="20" max="20" width="19.5703125" style="17" customWidth="1"/>
    <col min="21" max="27" width="11.42578125" style="17"/>
    <col min="28" max="29" width="11.42578125" style="249"/>
    <col min="30" max="31" width="11.42578125" style="17"/>
    <col min="32" max="32" width="25.7109375" style="17" customWidth="1"/>
    <col min="33" max="39" width="15.140625" style="17" customWidth="1"/>
    <col min="40" max="40" width="11.42578125" style="17"/>
    <col min="41" max="41" width="11.42578125" style="249"/>
    <col min="42" max="67" width="11.42578125" style="17"/>
    <col min="68" max="68" width="19.28515625" style="17" customWidth="1"/>
    <col min="69" max="69" width="19.5703125" style="17" customWidth="1"/>
    <col min="70" max="78" width="11.42578125" style="17"/>
    <col min="79" max="79" width="16.28515625" style="17" customWidth="1"/>
    <col min="80" max="80" width="11.42578125" style="249"/>
    <col min="81" max="83" width="11.42578125" style="17"/>
    <col min="84" max="84" width="18" style="249" customWidth="1"/>
    <col min="85" max="85" width="20.42578125" style="249" customWidth="1"/>
    <col min="86" max="86" width="22.7109375" style="249" customWidth="1"/>
    <col min="87" max="87" width="11.42578125" style="249"/>
    <col min="88" max="89" width="11.42578125" style="17"/>
    <col min="90" max="90" width="18.7109375" style="17" customWidth="1"/>
    <col min="91" max="91" width="11.42578125" style="249"/>
    <col min="92" max="92" width="11.42578125" style="138"/>
    <col min="93" max="94" width="11.42578125" style="249"/>
    <col min="95" max="95" width="11.42578125" style="138"/>
    <col min="96" max="96" width="11.42578125" style="17"/>
    <col min="97" max="97" width="47.85546875" style="17" customWidth="1"/>
    <col min="98" max="98" width="19" style="17" customWidth="1"/>
    <col min="99" max="99" width="25.5703125" style="17" customWidth="1"/>
    <col min="100" max="101" width="7.140625" style="17" customWidth="1"/>
    <col min="102" max="119" width="11.42578125" style="17"/>
    <col min="120" max="120" width="22.28515625" style="17" customWidth="1"/>
    <col min="121" max="124" width="11.42578125" style="249"/>
    <col min="125" max="125" width="11.42578125" style="17"/>
    <col min="126" max="126" width="22.28515625" style="17" customWidth="1"/>
    <col min="127" max="137" width="11.42578125" style="249"/>
    <col min="138" max="138" width="11.42578125" style="17"/>
    <col min="139" max="139" width="19.28515625" style="249" customWidth="1"/>
    <col min="140" max="143" width="11.42578125" style="249"/>
    <col min="144" max="16384" width="11.42578125" style="17"/>
  </cols>
  <sheetData>
    <row r="1" spans="2:143" x14ac:dyDescent="0.25">
      <c r="S1" s="249" t="s">
        <v>1717</v>
      </c>
      <c r="AF1" s="17" t="s">
        <v>1888</v>
      </c>
      <c r="AR1" s="17" t="s">
        <v>1891</v>
      </c>
      <c r="BA1" s="249"/>
      <c r="BD1" s="17" t="s">
        <v>1894</v>
      </c>
      <c r="BM1" s="249"/>
      <c r="BP1" s="17" t="s">
        <v>1897</v>
      </c>
      <c r="BY1" s="249"/>
      <c r="CT1" s="374" t="s">
        <v>2399</v>
      </c>
      <c r="CU1" s="374"/>
      <c r="DD1" s="373" t="s">
        <v>1676</v>
      </c>
      <c r="DE1" s="373"/>
    </row>
    <row r="2" spans="2:143" x14ac:dyDescent="0.25">
      <c r="B2" s="11" t="s">
        <v>1873</v>
      </c>
      <c r="C2" s="250" t="s">
        <v>1877</v>
      </c>
      <c r="D2" s="17" t="s">
        <v>714</v>
      </c>
      <c r="E2" s="17" t="s">
        <v>1877</v>
      </c>
      <c r="F2" s="17" t="s">
        <v>714</v>
      </c>
      <c r="H2" s="11"/>
      <c r="J2" s="11" t="s">
        <v>806</v>
      </c>
      <c r="K2" s="17" t="s">
        <v>1877</v>
      </c>
      <c r="L2" s="17" t="s">
        <v>714</v>
      </c>
      <c r="M2" s="17" t="s">
        <v>1877</v>
      </c>
      <c r="N2" s="17" t="s">
        <v>714</v>
      </c>
      <c r="S2" s="249" t="s">
        <v>1878</v>
      </c>
      <c r="T2" s="11" t="s">
        <v>1710</v>
      </c>
      <c r="U2" s="9" t="s">
        <v>1885</v>
      </c>
      <c r="V2" s="9" t="s">
        <v>1879</v>
      </c>
      <c r="W2" s="9" t="s">
        <v>1880</v>
      </c>
      <c r="X2" s="9" t="s">
        <v>1881</v>
      </c>
      <c r="Y2" s="9" t="s">
        <v>1882</v>
      </c>
      <c r="Z2" s="9" t="s">
        <v>1883</v>
      </c>
      <c r="AA2" s="9" t="s">
        <v>1884</v>
      </c>
      <c r="AF2" s="17" t="s">
        <v>1887</v>
      </c>
      <c r="AG2" s="11" t="s">
        <v>1710</v>
      </c>
      <c r="AH2" s="9" t="s">
        <v>1885</v>
      </c>
      <c r="AI2" s="9" t="s">
        <v>1879</v>
      </c>
      <c r="AJ2" s="9" t="s">
        <v>1880</v>
      </c>
      <c r="AK2" s="9" t="s">
        <v>1881</v>
      </c>
      <c r="AL2" s="9" t="s">
        <v>1882</v>
      </c>
      <c r="AM2" s="9" t="s">
        <v>1883</v>
      </c>
      <c r="AN2" s="9" t="s">
        <v>1884</v>
      </c>
      <c r="AR2" s="17" t="s">
        <v>1887</v>
      </c>
      <c r="AS2" s="11" t="s">
        <v>1710</v>
      </c>
      <c r="AT2" s="9" t="s">
        <v>1885</v>
      </c>
      <c r="AU2" s="9" t="s">
        <v>1879</v>
      </c>
      <c r="AV2" s="9" t="s">
        <v>1880</v>
      </c>
      <c r="AW2" s="9" t="s">
        <v>1881</v>
      </c>
      <c r="AX2" s="9" t="s">
        <v>1882</v>
      </c>
      <c r="AY2" s="9" t="s">
        <v>1883</v>
      </c>
      <c r="AZ2" s="9" t="s">
        <v>1884</v>
      </c>
      <c r="BA2" s="249"/>
      <c r="BD2" s="17" t="s">
        <v>1887</v>
      </c>
      <c r="BE2" s="11" t="s">
        <v>1710</v>
      </c>
      <c r="BF2" s="9" t="s">
        <v>1885</v>
      </c>
      <c r="BG2" s="9" t="s">
        <v>1879</v>
      </c>
      <c r="BH2" s="9" t="s">
        <v>1880</v>
      </c>
      <c r="BI2" s="9" t="s">
        <v>1881</v>
      </c>
      <c r="BJ2" s="9" t="s">
        <v>1882</v>
      </c>
      <c r="BK2" s="9" t="s">
        <v>1883</v>
      </c>
      <c r="BL2" s="9" t="s">
        <v>1884</v>
      </c>
      <c r="BM2" s="249"/>
      <c r="BP2" s="17" t="s">
        <v>1887</v>
      </c>
      <c r="BQ2" s="11" t="s">
        <v>1710</v>
      </c>
      <c r="BR2" s="9" t="s">
        <v>1885</v>
      </c>
      <c r="BS2" s="9" t="s">
        <v>1879</v>
      </c>
      <c r="BT2" s="9" t="s">
        <v>1880</v>
      </c>
      <c r="BU2" s="9" t="s">
        <v>1881</v>
      </c>
      <c r="BV2" s="9" t="s">
        <v>1882</v>
      </c>
      <c r="BW2" s="9" t="s">
        <v>1883</v>
      </c>
      <c r="BX2" s="9" t="s">
        <v>1884</v>
      </c>
      <c r="BY2" s="249"/>
      <c r="CA2" s="112" t="s">
        <v>2358</v>
      </c>
      <c r="CB2" s="249" t="s">
        <v>2360</v>
      </c>
      <c r="CC2" s="249" t="s">
        <v>2361</v>
      </c>
      <c r="CD2" s="249" t="s">
        <v>2359</v>
      </c>
      <c r="CF2" s="112" t="s">
        <v>2367</v>
      </c>
      <c r="CG2" s="112" t="s">
        <v>2362</v>
      </c>
      <c r="CH2" s="112" t="s">
        <v>2363</v>
      </c>
      <c r="CL2" s="17" t="s">
        <v>2390</v>
      </c>
      <c r="CP2" s="112" t="s">
        <v>2396</v>
      </c>
      <c r="CS2" s="17" t="s">
        <v>840</v>
      </c>
      <c r="CT2" s="17" t="s">
        <v>713</v>
      </c>
      <c r="CU2" s="17" t="s">
        <v>714</v>
      </c>
      <c r="CV2" s="17" t="s">
        <v>713</v>
      </c>
      <c r="CW2" s="17" t="s">
        <v>714</v>
      </c>
      <c r="DB2" s="11"/>
      <c r="DC2" s="249" t="s">
        <v>1711</v>
      </c>
      <c r="DD2" s="249" t="s">
        <v>2378</v>
      </c>
      <c r="DE2" s="249" t="s">
        <v>2379</v>
      </c>
      <c r="DF2" s="249" t="s">
        <v>715</v>
      </c>
      <c r="DG2" s="249" t="s">
        <v>2378</v>
      </c>
      <c r="DH2" s="249" t="s">
        <v>2379</v>
      </c>
    </row>
    <row r="3" spans="2:143" x14ac:dyDescent="0.25">
      <c r="B3" s="11" t="s">
        <v>1874</v>
      </c>
      <c r="C3" s="159">
        <f t="shared" ref="C3:C9" si="0">E3/$E$10</f>
        <v>0.13262599469496023</v>
      </c>
      <c r="D3" s="159">
        <f t="shared" ref="D3:D9" si="1">F3/$F$10</f>
        <v>8.8235294117647065E-2</v>
      </c>
      <c r="E3" s="11">
        <f>COUNTIF('DATOS 1'!$E$51:$E$427,"&lt;36")</f>
        <v>50</v>
      </c>
      <c r="F3" s="11">
        <f>COUNTIF('DATOS 1'!$E$7:$E$40,"&lt;36")</f>
        <v>3</v>
      </c>
      <c r="G3" s="11"/>
      <c r="H3" s="11"/>
      <c r="J3" s="11" t="s">
        <v>807</v>
      </c>
      <c r="K3" s="159">
        <f t="shared" ref="K3:K9" si="2">M3/$M$10</f>
        <v>0.17771883289124668</v>
      </c>
      <c r="L3" s="159">
        <f t="shared" ref="L3:L9" si="3">N3/$N$10</f>
        <v>0.17647058823529413</v>
      </c>
      <c r="M3" s="11">
        <f>COUNTIF('DATOS 1'!$K$51:$K$427,"&lt;6")</f>
        <v>67</v>
      </c>
      <c r="N3" s="11">
        <f>COUNTIF('DATOS 1'!$K$7:$K$40,"&lt;6")</f>
        <v>6</v>
      </c>
      <c r="R3" s="11"/>
      <c r="S3" s="249" t="s">
        <v>935</v>
      </c>
      <c r="T3" s="249">
        <f>COUNTIFS('DETALLES UNIDADES'!$D$8:$D$987,"&lt;1980",'DETALLES UNIDADES'!$J$8:$J$987,"NO CONTESTA")+COUNTIFS('DETALLES UNIDADES'!$D$8:$D$987,"&lt;1980",'DETALLES UNIDADES'!$J$8:$J$987,"NO SABE")</f>
        <v>0</v>
      </c>
      <c r="U3" s="249">
        <f>COUNTIFS('DETALLES UNIDADES'!$D$8:$D$987,"&lt;1986",'DETALLES UNIDADES'!$J$8:$J$987,"NO CONTESTA")+COUNTIFS('DETALLES UNIDADES'!$D$8:$D$987,"&lt;1986",'DETALLES UNIDADES'!$J$8:$J$987,"NO SABE")-T3</f>
        <v>0</v>
      </c>
      <c r="V3" s="249">
        <f>COUNTIFS('DETALLES UNIDADES'!$D$8:$D$987,"&lt;1991",'DETALLES UNIDADES'!$J$8:$J$987,"NO CONTESTA")+COUNTIFS('DETALLES UNIDADES'!$D$8:$D$987,"&lt;1991",'DETALLES UNIDADES'!$J$8:$J$987,"NO SABE")-U3-T3</f>
        <v>1</v>
      </c>
      <c r="W3" s="249">
        <f>COUNTIFS('DETALLES UNIDADES'!$D$8:$D$987,"&lt;1996",'DETALLES UNIDADES'!$J$8:$J$987,"NO CONTESTA")+COUNTIFS('DETALLES UNIDADES'!$D$8:$D$987,"&lt;1996",'DETALLES UNIDADES'!$J$8:$J$987,"NO SABE")-V3-U3-T3</f>
        <v>3</v>
      </c>
      <c r="X3" s="249">
        <f>COUNTIFS('DETALLES UNIDADES'!$D$8:$D$987,"&lt;2001",'DETALLES UNIDADES'!$J$8:$J$987,"NO CONTESTA")+COUNTIFS('DETALLES UNIDADES'!$D$8:$D$987,"&lt;2001",'DETALLES UNIDADES'!$J$8:$J$987,"NO SABE")-W3-V3-U3-T3</f>
        <v>0</v>
      </c>
      <c r="Y3" s="249">
        <f>COUNTIFS('DETALLES UNIDADES'!$D$8:$D$987,"&lt;2006",'DETALLES UNIDADES'!$J$8:$J$987,"NO CONTESTA")+COUNTIFS('DETALLES UNIDADES'!$D$8:$D$987,"&lt;2006",'DETALLES UNIDADES'!$J$8:$J$987,"NO SABE")-X3-W3-V3-U3-T3</f>
        <v>1</v>
      </c>
      <c r="Z3" s="249">
        <f>COUNTIFS('DETALLES UNIDADES'!$D$8:$D$987,"&lt;2011",'DETALLES UNIDADES'!$J$8:$J$987,"NO CONTESTA")+COUNTIFS('DETALLES UNIDADES'!$D$8:$D$987,"&lt;2011",'DETALLES UNIDADES'!$J$8:$J$987,"NO SABE")-Y3-X3-W3-V3-U3-T3</f>
        <v>0</v>
      </c>
      <c r="AA3" s="249">
        <f>COUNTIFS('DETALLES UNIDADES'!$D$8:$D$987,"&gt;2010",'DETALLES UNIDADES'!$J$8:$J$987,"NO CONTESTA")+COUNTIFS('DETALLES UNIDADES'!$D$8:$D$987,"&gt;2010",'DETALLES UNIDADES'!$J$8:$J$987,"NO SABE")</f>
        <v>0</v>
      </c>
      <c r="AB3" s="249">
        <f>SUM(T3:AA3)</f>
        <v>5</v>
      </c>
      <c r="AC3" s="249">
        <v>5</v>
      </c>
      <c r="AF3" s="19" t="s">
        <v>1719</v>
      </c>
      <c r="AG3" s="249">
        <f>COUNTIFS('DETALLES UNIDADES'!$C$8:$C$987,"C2",'DETALLES UNIDADES'!$U$8:$U$987,"&lt;1.6",'DETALLES UNIDADES'!$D$8:$D$987,"&lt;1980")</f>
        <v>0</v>
      </c>
      <c r="AH3" s="249">
        <f>COUNTIFS('DETALLES UNIDADES'!$C$8:$C$987,"C2",'DETALLES UNIDADES'!$U$8:$U$987,"&lt;1.6",'DETALLES UNIDADES'!$D$8:$D$987,"&lt;1986")-AG3</f>
        <v>0</v>
      </c>
      <c r="AI3" s="249">
        <f>COUNTIFS('DETALLES UNIDADES'!$C$8:$C$987,"C2",'DETALLES UNIDADES'!$U$8:$U$987,"&lt;1.6",'DETALLES UNIDADES'!$D$8:$D$987,"&lt;1991")-AH3-AG3</f>
        <v>0</v>
      </c>
      <c r="AJ3" s="249">
        <f>COUNTIFS('DETALLES UNIDADES'!$C$8:$C$987,"C2",'DETALLES UNIDADES'!$U$8:$U$987,"&lt;1.6",'DETALLES UNIDADES'!$D$8:$D$987,"&lt;1996")-AI3-AH3-AG3</f>
        <v>0</v>
      </c>
      <c r="AK3" s="249">
        <f>COUNTIFS('DETALLES UNIDADES'!$C$8:$C$987,"C2",'DETALLES UNIDADES'!$U$8:$U$987,"&lt;1.6",'DETALLES UNIDADES'!$D$8:$D$987,"&lt;2001")-AJ3-AI3-AH3-AG3</f>
        <v>0</v>
      </c>
      <c r="AL3" s="249">
        <f>COUNTIFS('DETALLES UNIDADES'!$C$8:$C$987,"C2",'DETALLES UNIDADES'!$U$8:$U$987,"&lt;1.6",'DETALLES UNIDADES'!$D$8:$D$987,"&lt;2006")-AK3-AJ3-AI3-AH3-AG3</f>
        <v>0</v>
      </c>
      <c r="AM3" s="249">
        <f>COUNTIFS('DETALLES UNIDADES'!$C$8:$C$987,"C2",'DETALLES UNIDADES'!$U$8:$U$987,"&lt;1.6",'DETALLES UNIDADES'!$D$8:$D$987,"&lt;2011")-AL3-AK3-AJ3-AI3-AH3-AG3</f>
        <v>0</v>
      </c>
      <c r="AN3" s="249">
        <f>COUNTIFS('DETALLES UNIDADES'!$C$8:$C$987,"C2",'DETALLES UNIDADES'!$U$8:$U$987,"&lt;1.6",'DETALLES UNIDADES'!$D$8:$D$987,"&gt;2010")</f>
        <v>0</v>
      </c>
      <c r="AO3" s="249">
        <f t="shared" ref="AO3:AO11" si="4">SUM(AG3:AN3)</f>
        <v>0</v>
      </c>
      <c r="AR3" s="19" t="s">
        <v>1719</v>
      </c>
      <c r="AS3" s="249">
        <f>COUNTIFS('DETALLES UNIDADES'!$C$8:$C$987,"C3",'DETALLES UNIDADES'!$U$8:$U$987,"&lt;1.6",'DETALLES UNIDADES'!$D$8:$D$987,"&lt;1980")</f>
        <v>0</v>
      </c>
      <c r="AT3" s="249">
        <f>COUNTIFS('DETALLES UNIDADES'!$C$8:$C$987,"C3",'DETALLES UNIDADES'!$U$8:$U$987,"&lt;1.6",'DETALLES UNIDADES'!$D$8:$D$987,"&lt;1986")-AS3</f>
        <v>0</v>
      </c>
      <c r="AU3" s="249">
        <f>COUNTIFS('DETALLES UNIDADES'!$C$8:$C$987,"C3",'DETALLES UNIDADES'!$U$8:$U$987,"&lt;1.6",'DETALLES UNIDADES'!$D$8:$D$987,"&lt;1991")-AT3-AS3</f>
        <v>0</v>
      </c>
      <c r="AV3" s="249">
        <f>COUNTIFS('DETALLES UNIDADES'!$C$8:$C$987,"C3",'DETALLES UNIDADES'!$U$8:$U$987,"&lt;1.6",'DETALLES UNIDADES'!$D$8:$D$987,"&lt;1996")-AU3-AT3-AS3</f>
        <v>0</v>
      </c>
      <c r="AW3" s="249">
        <f>COUNTIFS('DETALLES UNIDADES'!$C$8:$C$987,"C3",'DETALLES UNIDADES'!$U$8:$U$987,"&lt;1.6",'DETALLES UNIDADES'!$D$8:$D$987,"&lt;2001")-AV3-AU3-AT3-AS3</f>
        <v>0</v>
      </c>
      <c r="AX3" s="249">
        <f>COUNTIFS('DETALLES UNIDADES'!$C$8:$C$987,"C3",'DETALLES UNIDADES'!$U$8:$U$987,"&lt;1.6",'DETALLES UNIDADES'!$D$8:$D$987,"&lt;2006")-AW3-AV3-AU3-AT3-AS3</f>
        <v>0</v>
      </c>
      <c r="AY3" s="249">
        <f>COUNTIFS('DETALLES UNIDADES'!$C$8:$C$987,"C3",'DETALLES UNIDADES'!$U$8:$U$987,"&lt;1.6",'DETALLES UNIDADES'!$D$8:$D$987,"&lt;2011")-AX3-AW3-AV3-AU3-AT3-AS3</f>
        <v>0</v>
      </c>
      <c r="AZ3" s="249">
        <f>COUNTIFS('DETALLES UNIDADES'!$C$8:$C$987,"C3",'DETALLES UNIDADES'!$U$8:$U$987,"&lt;1.6",'DETALLES UNIDADES'!$D$8:$D$987,"&gt;2010")</f>
        <v>0</v>
      </c>
      <c r="BA3" s="249">
        <f t="shared" ref="BA3:BA11" si="5">SUM(AS3:AZ3)</f>
        <v>0</v>
      </c>
      <c r="BD3" s="19" t="s">
        <v>1719</v>
      </c>
      <c r="BE3" s="249">
        <f>COUNTIFS('DETALLES UNIDADES'!$C$8:$C$987,"T2",'DETALLES UNIDADES'!$U$8:$U$987,"&lt;1.6",'DETALLES UNIDADES'!$D$8:$D$987,"&lt;1980")</f>
        <v>0</v>
      </c>
      <c r="BF3" s="249">
        <f>COUNTIFS('DETALLES UNIDADES'!$C$8:$C$987,"T2",'DETALLES UNIDADES'!$U$8:$U$987,"&lt;1.6",'DETALLES UNIDADES'!$D$8:$D$987,"&lt;1986")-BE3</f>
        <v>0</v>
      </c>
      <c r="BG3" s="249">
        <f>COUNTIFS('DETALLES UNIDADES'!$C$8:$C$987,"T2",'DETALLES UNIDADES'!$U$8:$U$987,"&lt;1.6",'DETALLES UNIDADES'!$D$8:$D$987,"&lt;1991")-BF3-BE3</f>
        <v>0</v>
      </c>
      <c r="BH3" s="249">
        <f>COUNTIFS('DETALLES UNIDADES'!$C$8:$C$987,"T2",'DETALLES UNIDADES'!$U$8:$U$987,"&lt;1.6",'DETALLES UNIDADES'!$D$8:$D$987,"&lt;1996")-BG3-BF3-BE3</f>
        <v>0</v>
      </c>
      <c r="BI3" s="249">
        <f>COUNTIFS('DETALLES UNIDADES'!$C$8:$C$987,"T2",'DETALLES UNIDADES'!$U$8:$U$987,"&lt;1.6",'DETALLES UNIDADES'!$D$8:$D$987,"&lt;2001")-BH3-BG3-BF3-BE3</f>
        <v>0</v>
      </c>
      <c r="BJ3" s="249">
        <f>COUNTIFS('DETALLES UNIDADES'!$C$8:$C$987,"T2",'DETALLES UNIDADES'!$U$8:$U$987,"&lt;1.6",'DETALLES UNIDADES'!$D$8:$D$987,"&lt;2006")-BI3-BH3-BG3-BF3-BE3</f>
        <v>0</v>
      </c>
      <c r="BK3" s="249">
        <f>COUNTIFS('DETALLES UNIDADES'!$C$8:$C$987,"T2",'DETALLES UNIDADES'!$U$8:$U$987,"&lt;1.6",'DETALLES UNIDADES'!$D$8:$D$987,"&lt;2011")-BJ3-BI3-BH3-BG3-BF3-BE3</f>
        <v>0</v>
      </c>
      <c r="BL3" s="249">
        <f>COUNTIFS('DETALLES UNIDADES'!$C$8:$C$987,"T2",'DETALLES UNIDADES'!$U$8:$U$987,"&lt;1.6",'DETALLES UNIDADES'!$D$8:$D$987,"&gt;2010")</f>
        <v>0</v>
      </c>
      <c r="BM3" s="249">
        <f t="shared" ref="BM3:BM11" si="6">SUM(BE3:BL3)</f>
        <v>0</v>
      </c>
      <c r="BP3" s="19" t="s">
        <v>1719</v>
      </c>
      <c r="BQ3" s="249">
        <f>COUNTIFS('DETALLES UNIDADES'!$C$8:$C$987,"T3",'DETALLES UNIDADES'!$U$8:$U$987,"&lt;1.6",'DETALLES UNIDADES'!$D$8:$D$987,"&lt;1980")</f>
        <v>0</v>
      </c>
      <c r="BR3" s="249">
        <f>COUNTIFS('DETALLES UNIDADES'!$C$8:$C$987,"T3",'DETALLES UNIDADES'!$U$8:$U$987,"&lt;1.6",'DETALLES UNIDADES'!$D$8:$D$987,"&lt;1986")-BQ3</f>
        <v>0</v>
      </c>
      <c r="BS3" s="249">
        <f>COUNTIFS('DETALLES UNIDADES'!$C$8:$C$987,"T3",'DETALLES UNIDADES'!$U$8:$U$987,"&lt;1.6",'DETALLES UNIDADES'!$D$8:$D$987,"&lt;1991")-BR3-BQ3</f>
        <v>0</v>
      </c>
      <c r="BT3" s="249">
        <f>COUNTIFS('DETALLES UNIDADES'!$C$8:$C$987,"T3",'DETALLES UNIDADES'!$U$8:$U$987,"&lt;1.6",'DETALLES UNIDADES'!$D$8:$D$987,"&lt;1996")-BS3-BR3-BQ3</f>
        <v>0</v>
      </c>
      <c r="BU3" s="249">
        <f>COUNTIFS('DETALLES UNIDADES'!$C$8:$C$987,"T3",'DETALLES UNIDADES'!$U$8:$U$987,"&lt;1.6",'DETALLES UNIDADES'!$D$8:$D$987,"&lt;2001")-BT3-BS3-BR3-BQ3</f>
        <v>0</v>
      </c>
      <c r="BV3" s="249">
        <f>COUNTIFS('DETALLES UNIDADES'!$C$8:$C$987,"T3",'DETALLES UNIDADES'!$U$8:$U$987,"&lt;1.6",'DETALLES UNIDADES'!$D$8:$D$987,"&lt;2006")-BU3-BT3-BS3-BR3-BQ3</f>
        <v>0</v>
      </c>
      <c r="BW3" s="249">
        <f>COUNTIFS('DETALLES UNIDADES'!$C$8:$C$987,"T3",'DETALLES UNIDADES'!$U$8:$U$987,"&lt;1.6",'DETALLES UNIDADES'!$D$8:$D$987,"&lt;2011")-BV3-BU3-BT3-BS3-BR3-BQ3</f>
        <v>0</v>
      </c>
      <c r="BX3" s="249">
        <f>COUNTIFS('DETALLES UNIDADES'!$C$8:$C$987,"T3",'DETALLES UNIDADES'!$U$8:$U$987,"&lt;1.6",'DETALLES UNIDADES'!$D$8:$D$987,"&gt;2010")</f>
        <v>0</v>
      </c>
      <c r="BY3" s="249">
        <f t="shared" ref="BY3:BY11" si="7">SUM(BQ3:BX3)</f>
        <v>0</v>
      </c>
      <c r="CA3" s="249" t="s">
        <v>1710</v>
      </c>
      <c r="CB3" s="144">
        <f>AVERAGEIFS('DATOS 2'!$F$5:$F$1437,'DATOS 2'!$D$5:$D$1437,"&lt;1980")</f>
        <v>2.083783783783784</v>
      </c>
      <c r="CC3" s="144">
        <f>AVERAGEIFS('DATOS 2'!$G$5:$G$1437,'DATOS 2'!$D$5:$D$1437,"&lt;1980")</f>
        <v>2.4513513513513514</v>
      </c>
      <c r="CD3" s="138">
        <f>AVERAGEIFS('DATOS 2'!$E$5:$E$1437,'DATOS 2'!$D$5:$D$1437,"&lt;1980")</f>
        <v>1737045.9090909092</v>
      </c>
      <c r="CF3" s="11" t="s">
        <v>1710</v>
      </c>
      <c r="CG3" s="160">
        <f>AVERAGEIFS('DATOS 2'!$F$5:$F$1437,'DATOS 2'!$D$5:$D$1437,"&lt;1980",'DATOS 2'!$C$5:$C$1437,"C2",'DATOS 2'!$H$5:$H$1437,"D")</f>
        <v>2.0000000000000004</v>
      </c>
      <c r="CH3" s="160">
        <f>AVERAGEIFS('DATOS 2'!$G$5:$G$1437,'DATOS 2'!$D$5:$D$1437,"&lt;1980",'DATOS 2'!$C$5:$C$1437,"C2",'DATOS 2'!$H$5:$H$1437,"D")</f>
        <v>2.4</v>
      </c>
      <c r="CL3" s="17" t="s">
        <v>2391</v>
      </c>
      <c r="CM3" s="6">
        <f>CN3/$CN$8</f>
        <v>0.41870202372644799</v>
      </c>
      <c r="CN3" s="138">
        <f>COUNTIF('DATOS 2'!$D$5:$D$1437,"&gt;2004")</f>
        <v>600</v>
      </c>
      <c r="CP3" s="6">
        <f>CQ3/$CQ$8</f>
        <v>0.39983367386793278</v>
      </c>
      <c r="CQ3" s="138">
        <v>150485</v>
      </c>
      <c r="CS3" s="17" t="s">
        <v>843</v>
      </c>
      <c r="CT3" s="139">
        <f>+CV3/$CV$7</f>
        <v>0.11358574610244988</v>
      </c>
      <c r="CU3" s="139">
        <f>+CW3/$CW$7</f>
        <v>0.13043478260869565</v>
      </c>
      <c r="CV3" s="17">
        <f>COUNTIF('DATOS 1'!$AL$51:$AL$427,"X")</f>
        <v>51</v>
      </c>
      <c r="CW3" s="17">
        <f>COUNTIF('DATOS 1'!$AL$7:$AL$40,"X")</f>
        <v>6</v>
      </c>
      <c r="DB3" s="11">
        <f t="shared" ref="DB3:DB13" si="8">2014-DC3</f>
        <v>45</v>
      </c>
      <c r="DC3" s="9">
        <v>1969</v>
      </c>
      <c r="DD3" s="6">
        <f>+DG3/$DG$53</f>
        <v>9.7943192948090111E-4</v>
      </c>
      <c r="DE3" s="6">
        <f>+DH3/$DH$53</f>
        <v>0</v>
      </c>
      <c r="DF3" s="249">
        <f>+DG3+DH3</f>
        <v>1</v>
      </c>
      <c r="DG3" s="249">
        <f>COUNTIFS('DATOS 2'!$K$5:$K$1437,"HC",'DATOS 2'!$D$5:$D$1437,DC3)</f>
        <v>1</v>
      </c>
      <c r="DH3" s="249">
        <f>COUNTIFS('DATOS 2'!$K$5:$K$1437,"PT",'DATOS 2'!$D$5:$D$1437,DC3)</f>
        <v>0</v>
      </c>
      <c r="DV3" s="17" t="s">
        <v>2415</v>
      </c>
      <c r="EI3" s="112" t="s">
        <v>959</v>
      </c>
      <c r="EJ3" s="249" t="s">
        <v>2379</v>
      </c>
      <c r="EK3" s="249" t="s">
        <v>2378</v>
      </c>
      <c r="EL3" s="249" t="s">
        <v>2379</v>
      </c>
      <c r="EM3" s="249" t="s">
        <v>2378</v>
      </c>
    </row>
    <row r="4" spans="2:143" x14ac:dyDescent="0.25">
      <c r="B4" s="11" t="s">
        <v>1868</v>
      </c>
      <c r="C4" s="159">
        <f t="shared" si="0"/>
        <v>0.15384615384615385</v>
      </c>
      <c r="D4" s="159">
        <f t="shared" si="1"/>
        <v>8.8235294117647065E-2</v>
      </c>
      <c r="E4" s="11">
        <f>COUNTIF('DATOS 1'!$E$51:$E$427,"&lt;41")-E3</f>
        <v>58</v>
      </c>
      <c r="F4" s="11">
        <f>COUNTIF('DATOS 1'!$E$7:$E$40,"&lt;41")-F3</f>
        <v>3</v>
      </c>
      <c r="G4" s="11"/>
      <c r="H4" s="11"/>
      <c r="J4" s="11" t="s">
        <v>808</v>
      </c>
      <c r="K4" s="159">
        <f t="shared" si="2"/>
        <v>0.129973474801061</v>
      </c>
      <c r="L4" s="159">
        <f t="shared" si="3"/>
        <v>2.9411764705882353E-2</v>
      </c>
      <c r="M4" s="11">
        <f>COUNTIF('DATOS 1'!$K$51:$K$427,"&lt;11")-M3</f>
        <v>49</v>
      </c>
      <c r="N4" s="11">
        <f>COUNTIF('DATOS 1'!$K$7:$K$40,"&lt;11")-N3</f>
        <v>1</v>
      </c>
      <c r="Q4" s="11"/>
      <c r="R4" s="9"/>
      <c r="S4" s="249" t="s">
        <v>1028</v>
      </c>
      <c r="T4" s="249">
        <f>COUNTIFS('DETALLES UNIDADES'!$D$8:$D$987,"&lt;1980",'DETALLES UNIDADES'!$J$8:$J$987,"DAÑADO")</f>
        <v>0</v>
      </c>
      <c r="U4" s="249">
        <f>COUNTIFS('DETALLES UNIDADES'!$D$8:$D$987,"&lt;1986",'DETALLES UNIDADES'!$J$8:$J$987,"DAÑADO")-T4</f>
        <v>0</v>
      </c>
      <c r="V4" s="249">
        <f>COUNTIFS('DETALLES UNIDADES'!$D$8:$D$987,"&lt;1991",'DETALLES UNIDADES'!$J$8:$J$987,"DAÑADO")-U4-T4</f>
        <v>1</v>
      </c>
      <c r="W4" s="249">
        <f>COUNTIFS('DETALLES UNIDADES'!$D$8:$D$987,"&lt;1996",'DETALLES UNIDADES'!$J$8:$J$987,"DAÑADO")-V4-U4-T4</f>
        <v>1</v>
      </c>
      <c r="X4" s="249">
        <f>COUNTIFS('DETALLES UNIDADES'!$D$8:$D$987,"&lt;2001",'DETALLES UNIDADES'!$J$8:$J$987,"DAÑADO")-W4-V4-U4-T4</f>
        <v>0</v>
      </c>
      <c r="Y4" s="249">
        <f>COUNTIFS('DETALLES UNIDADES'!$D$8:$D$987,"&lt;2006",'DETALLES UNIDADES'!$J$8:$J$987,"DAÑADO")-X4-W4-V4-U4-T4</f>
        <v>2</v>
      </c>
      <c r="Z4" s="249">
        <f>COUNTIFS('DETALLES UNIDADES'!$D$8:$D$987,"&lt;2011",'DETALLES UNIDADES'!$J$8:$J$987,"DAÑADO")-Y4-X4-W4-V4-U4-T4</f>
        <v>0</v>
      </c>
      <c r="AA4" s="249">
        <f>COUNTIFS('DETALLES UNIDADES'!$D$8:$D$987,"&gt;2010",'DETALLES UNIDADES'!$J$8:$J$987,"DAÑADO")</f>
        <v>0</v>
      </c>
      <c r="AB4" s="249">
        <f t="shared" ref="AB4:AB14" si="9">SUM(T4:AA4)</f>
        <v>4</v>
      </c>
      <c r="AC4" s="249">
        <v>4</v>
      </c>
      <c r="AF4" s="19" t="s">
        <v>1720</v>
      </c>
      <c r="AG4" s="249">
        <f>COUNTIFS('DETALLES UNIDADES'!$C$8:$C$987,"C2",'DETALLES UNIDADES'!$U$8:$U$987,"&lt;1.91",'DETALLES UNIDADES'!$D$8:$D$987,"&lt;1980")-AG3</f>
        <v>2</v>
      </c>
      <c r="AH4" s="249">
        <f>COUNTIFS('DETALLES UNIDADES'!$C$8:$C$987,"C2",'DETALLES UNIDADES'!$U$8:$U$987,"&lt;1.91",'DETALLES UNIDADES'!$D$8:$D$987,"&lt;1986")-AG4-AH3-AG3</f>
        <v>1</v>
      </c>
      <c r="AI4" s="249">
        <f>COUNTIFS('DETALLES UNIDADES'!$C$8:$C$987,"C2",'DETALLES UNIDADES'!$U$8:$U$987,"&lt;1.91",'DETALLES UNIDADES'!$D$8:$D$987,"&lt;1991")-AH4-AG4-AI3-AH3-AG3</f>
        <v>0</v>
      </c>
      <c r="AJ4" s="249">
        <f>COUNTIFS('DETALLES UNIDADES'!$C$8:$C$987,"C2",'DETALLES UNIDADES'!$U$8:$U$987,"&lt;1.91",'DETALLES UNIDADES'!$D$8:$D$987,"&lt;1996")-AI4-AH4-AG4-AJ3-AI3-AH3-AG3</f>
        <v>0</v>
      </c>
      <c r="AK4" s="249">
        <f>COUNTIFS('DETALLES UNIDADES'!$C$8:$C$987,"C2",'DETALLES UNIDADES'!$U$8:$U$987,"&lt;1.91",'DETALLES UNIDADES'!$D$8:$D$987,"&lt;2001")-AJ4-AI4-AH4-AG4-AK3-AJ3-AI3-AH3-AG3</f>
        <v>1</v>
      </c>
      <c r="AL4" s="249">
        <f>COUNTIFS('DETALLES UNIDADES'!$C$8:$C$987,"C2",'DETALLES UNIDADES'!$U$8:$U$987,"&lt;1.91",'DETALLES UNIDADES'!$D$8:$D$987,"&lt;2006")-AK4-AJ4-AI4-AH4-AG4-AL3-AK3-AJ3-AI3-AH3-AG3</f>
        <v>2</v>
      </c>
      <c r="AM4" s="249">
        <f>COUNTIFS('DETALLES UNIDADES'!$C$8:$C$987,"C2",'DETALLES UNIDADES'!$U$8:$U$987,"&lt;1.91",'DETALLES UNIDADES'!$D$8:$D$987,"&lt;2011")-AL4-AK4-AJ4-AI4-AH4-AG4-AM3-AL3-AK3-AJ3-AI3-AH3-AG3</f>
        <v>0</v>
      </c>
      <c r="AN4" s="249">
        <f>COUNTIFS('DETALLES UNIDADES'!$C$8:$C$987,"C2",'DETALLES UNIDADES'!$U$8:$U$987,"&lt;1.91",'DETALLES UNIDADES'!$D$8:$D$987,"&gt;2010")-AN3</f>
        <v>0</v>
      </c>
      <c r="AO4" s="249">
        <f t="shared" si="4"/>
        <v>6</v>
      </c>
      <c r="AR4" s="19" t="s">
        <v>1720</v>
      </c>
      <c r="AS4" s="249">
        <f>COUNTIFS('DETALLES UNIDADES'!$C$8:$C$987,"C3",'DETALLES UNIDADES'!$U$8:$U$987,"&lt;1.91",'DETALLES UNIDADES'!$D$8:$D$987,"&lt;1980")-AS3</f>
        <v>0</v>
      </c>
      <c r="AT4" s="249">
        <f>COUNTIFS('DETALLES UNIDADES'!$C$8:$C$987,"C3",'DETALLES UNIDADES'!$U$8:$U$987,"&lt;1.91",'DETALLES UNIDADES'!$D$8:$D$987,"&lt;1986")-AS4-AT3-AS3</f>
        <v>0</v>
      </c>
      <c r="AU4" s="249">
        <f>COUNTIFS('DETALLES UNIDADES'!$C$8:$C$987,"C3",'DETALLES UNIDADES'!$U$8:$U$987,"&lt;1.91",'DETALLES UNIDADES'!$D$8:$D$987,"&lt;1991")-AT4-AS4-AU3-AT3-AS3</f>
        <v>0</v>
      </c>
      <c r="AV4" s="249">
        <f>COUNTIFS('DETALLES UNIDADES'!$C$8:$C$987,"C3",'DETALLES UNIDADES'!$U$8:$U$987,"&lt;1.91",'DETALLES UNIDADES'!$D$8:$D$987,"&lt;1996")-AU4-AT4-AS4-AV3-AU3-AT3-AS3</f>
        <v>1</v>
      </c>
      <c r="AW4" s="249">
        <f>COUNTIFS('DETALLES UNIDADES'!$C$8:$C$987,"C3",'DETALLES UNIDADES'!$U$8:$U$987,"&lt;1.91",'DETALLES UNIDADES'!$D$8:$D$987,"&lt;2001")-AV4-AU4-AT4-AS4-AW3-AV3-AU3-AT3-AS3</f>
        <v>0</v>
      </c>
      <c r="AX4" s="249">
        <f>COUNTIFS('DETALLES UNIDADES'!$C$8:$C$987,"C3",'DETALLES UNIDADES'!$U$8:$U$987,"&lt;1.91",'DETALLES UNIDADES'!$D$8:$D$987,"&lt;2006")-AW4-AV4-AU4-AT4-AS4-AX3-AW3-AV3-AU3-AT3-AS3</f>
        <v>0</v>
      </c>
      <c r="AY4" s="249">
        <f>COUNTIFS('DETALLES UNIDADES'!$C$8:$C$987,"C3",'DETALLES UNIDADES'!$U$8:$U$987,"&lt;1.91",'DETALLES UNIDADES'!$D$8:$D$987,"&lt;2011")-AX4-AW4-AV4-AU4-AT4-AS4-AY3-AX3-AW3-AV3-AU3-AT3-AS3</f>
        <v>0</v>
      </c>
      <c r="AZ4" s="249">
        <f>COUNTIFS('DETALLES UNIDADES'!$C$8:$C$987,"C3",'DETALLES UNIDADES'!$U$8:$U$987,"&lt;1.91",'DETALLES UNIDADES'!$D$8:$D$987,"&gt;2010")-AZ3</f>
        <v>0</v>
      </c>
      <c r="BA4" s="249">
        <f t="shared" si="5"/>
        <v>1</v>
      </c>
      <c r="BD4" s="19" t="s">
        <v>1720</v>
      </c>
      <c r="BE4" s="249">
        <f>COUNTIFS('DETALLES UNIDADES'!$C$8:$C$987,"T2",'DETALLES UNIDADES'!$U$8:$U$987,"&lt;1.91",'DETALLES UNIDADES'!$D$8:$D$987,"&lt;1980")-BE3</f>
        <v>0</v>
      </c>
      <c r="BF4" s="249">
        <f>COUNTIFS('DETALLES UNIDADES'!$C$8:$C$987,"T2",'DETALLES UNIDADES'!$U$8:$U$987,"&lt;1.91",'DETALLES UNIDADES'!$D$8:$D$987,"&lt;1986")-BE4-BF3-BE3</f>
        <v>0</v>
      </c>
      <c r="BG4" s="249">
        <f>COUNTIFS('DETALLES UNIDADES'!$C$8:$C$987,"T2",'DETALLES UNIDADES'!$U$8:$U$987,"&lt;1.91",'DETALLES UNIDADES'!$D$8:$D$987,"&lt;1991")-BF4-BE4-BG3-BF3-BE3</f>
        <v>0</v>
      </c>
      <c r="BH4" s="249">
        <f>COUNTIFS('DETALLES UNIDADES'!$C$8:$C$987,"T2",'DETALLES UNIDADES'!$U$8:$U$987,"&lt;1.91",'DETALLES UNIDADES'!$D$8:$D$987,"&lt;1996")-BG4-BF4-BE4-BH3-BG3-BF3-BE3</f>
        <v>0</v>
      </c>
      <c r="BI4" s="249">
        <f>COUNTIFS('DETALLES UNIDADES'!$C$8:$C$987,"T2",'DETALLES UNIDADES'!$U$8:$U$987,"&lt;1.91",'DETALLES UNIDADES'!$D$8:$D$987,"&lt;2001")-BH4-BG4-BF4-BE4-BI3-BH3-BG3-BF3-BE3</f>
        <v>0</v>
      </c>
      <c r="BJ4" s="249">
        <f>COUNTIFS('DETALLES UNIDADES'!$C$8:$C$987,"T2",'DETALLES UNIDADES'!$U$8:$U$987,"&lt;1.91",'DETALLES UNIDADES'!$D$8:$D$987,"&lt;2006")-BI4-BH4-BG4-BF4-BE4-BJ3-BI3-BH3-BG3-BF3-BE3</f>
        <v>0</v>
      </c>
      <c r="BK4" s="249">
        <f>COUNTIFS('DETALLES UNIDADES'!$C$8:$C$987,"T2",'DETALLES UNIDADES'!$U$8:$U$987,"&lt;1.91",'DETALLES UNIDADES'!$D$8:$D$987,"&lt;2011")-BJ4-BI4-BH4-BG4-BF4-BE4-BK3-BJ3-BI3-BH3-BG3-BF3-BE3</f>
        <v>0</v>
      </c>
      <c r="BL4" s="249">
        <f>COUNTIFS('DETALLES UNIDADES'!$C$8:$C$987,"T2",'DETALLES UNIDADES'!$U$8:$U$987,"&lt;1.91",'DETALLES UNIDADES'!$D$8:$D$987,"&gt;2010")-BL3</f>
        <v>0</v>
      </c>
      <c r="BM4" s="249">
        <f t="shared" si="6"/>
        <v>0</v>
      </c>
      <c r="BP4" s="19" t="s">
        <v>1720</v>
      </c>
      <c r="BQ4" s="249">
        <f>COUNTIFS('DETALLES UNIDADES'!$C$8:$C$987,"T3",'DETALLES UNIDADES'!$U$8:$U$987,"&lt;1.91",'DETALLES UNIDADES'!$D$8:$D$987,"&lt;1980")-BQ3</f>
        <v>0</v>
      </c>
      <c r="BR4" s="249">
        <f>COUNTIFS('DETALLES UNIDADES'!$C$8:$C$987,"T3",'DETALLES UNIDADES'!$U$8:$U$987,"&lt;1.91",'DETALLES UNIDADES'!$D$8:$D$987,"&lt;1986")-BQ4-BR3-BQ3</f>
        <v>0</v>
      </c>
      <c r="BS4" s="249">
        <f>COUNTIFS('DETALLES UNIDADES'!$C$8:$C$987,"T3",'DETALLES UNIDADES'!$U$8:$U$987,"&lt;1.91",'DETALLES UNIDADES'!$D$8:$D$987,"&lt;1991")-BR4-BQ4-BS3-BR3-BQ3</f>
        <v>0</v>
      </c>
      <c r="BT4" s="249">
        <f>COUNTIFS('DETALLES UNIDADES'!$C$8:$C$987,"T3",'DETALLES UNIDADES'!$U$8:$U$987,"&lt;1.91",'DETALLES UNIDADES'!$D$8:$D$987,"&lt;1996")-BS4-BR4-BQ4-BT3-BS3-BR3-BQ3</f>
        <v>3</v>
      </c>
      <c r="BU4" s="249">
        <f>COUNTIFS('DETALLES UNIDADES'!$C$8:$C$987,"T3",'DETALLES UNIDADES'!$U$8:$U$987,"&lt;1.91",'DETALLES UNIDADES'!$D$8:$D$987,"&lt;2001")-BT4-BS4-BR4-BQ4-BU3-BT3-BS3-BR3-BQ3</f>
        <v>1</v>
      </c>
      <c r="BV4" s="249">
        <f>COUNTIFS('DETALLES UNIDADES'!$C$8:$C$987,"T3",'DETALLES UNIDADES'!$U$8:$U$987,"&lt;1.91",'DETALLES UNIDADES'!$D$8:$D$987,"&lt;2006")-BU4-BT4-BS4-BR4-BQ4-BV3-BU3-BT3-BS3-BR3-BQ3</f>
        <v>7</v>
      </c>
      <c r="BW4" s="249">
        <f>COUNTIFS('DETALLES UNIDADES'!$C$8:$C$987,"T3",'DETALLES UNIDADES'!$U$8:$U$987,"&lt;1.91",'DETALLES UNIDADES'!$D$8:$D$987,"&lt;2011")-BV4-BU4-BT4-BS4-BR4-BQ4-BW3-BV3-BU3-BT3-BS3-BR3-BQ3</f>
        <v>10</v>
      </c>
      <c r="BX4" s="249">
        <f>COUNTIFS('DETALLES UNIDADES'!$C$8:$C$987,"T3",'DETALLES UNIDADES'!$U$8:$U$987,"&lt;1.91",'DETALLES UNIDADES'!$D$8:$D$987,"&gt;2010")-BX3</f>
        <v>0</v>
      </c>
      <c r="BY4" s="249">
        <f t="shared" si="7"/>
        <v>21</v>
      </c>
      <c r="CA4" s="249">
        <v>1981</v>
      </c>
      <c r="CB4" s="144">
        <f>AVERAGEIFS('DATOS 2'!$F$5:$F$1437,'DATOS 2'!$D$5:$D$1437,CA4)</f>
        <v>1.911111111111111</v>
      </c>
      <c r="CC4" s="144">
        <f>AVERAGEIFS('DATOS 2'!$G$5:$G$1437,'DATOS 2'!$D$5:$D$1437,CA4)</f>
        <v>2.2555555555555551</v>
      </c>
      <c r="CD4" s="138">
        <f>AVERAGEIFS('DATOS 2'!$E$5:$E$1437,'DATOS 2'!$D$5:$D$1437,CA4)</f>
        <v>1460250</v>
      </c>
      <c r="CF4" s="9" t="s">
        <v>1885</v>
      </c>
      <c r="CG4" s="160">
        <f>AVERAGEIFS('DATOS 2'!$F$5:$F$1437,'DATOS 2'!$C$5:$C$1437,"C2",'DATOS 2'!$H$5:$H$1437,"D",'DATOS 2'!$D$5:$D$1437,"&gt;1985",'DATOS 2'!$D$5:$D$1437,"&lt;1991")</f>
        <v>2.5333333333333337</v>
      </c>
      <c r="CH4" s="160">
        <f>AVERAGEIFS('DATOS 2'!$G$5:$G$1437,'DATOS 2'!$C$5:$C$1437,"C2",'DATOS 2'!$H$5:$H$1437,"D",'DATOS 2'!$D$5:$D$1437,"&gt;1985",'DATOS 2'!$D$5:$D$1437,"&lt;1991")</f>
        <v>2.9750000000000001</v>
      </c>
      <c r="CL4" s="17" t="s">
        <v>2392</v>
      </c>
      <c r="CM4" s="6">
        <f t="shared" ref="CM4:CM7" si="10">CN4/$CN$8</f>
        <v>0.34263782274947663</v>
      </c>
      <c r="CN4" s="138">
        <f>COUNTIF('DATOS 2'!$D$5:$D$1437,"&gt;1994")-CN3</f>
        <v>491</v>
      </c>
      <c r="CP4" s="6">
        <f t="shared" ref="CP4:CP8" si="11">CQ4/$CQ$8</f>
        <v>0.23967436212865564</v>
      </c>
      <c r="CQ4" s="138">
        <v>90206</v>
      </c>
      <c r="CS4" s="17" t="s">
        <v>844</v>
      </c>
      <c r="CT4" s="139">
        <f>+CV4/$CV$7</f>
        <v>0.31403118040089084</v>
      </c>
      <c r="CU4" s="139">
        <f>+CW4/$CW$7</f>
        <v>0.10869565217391304</v>
      </c>
      <c r="CV4" s="17">
        <f>COUNTIF('DATOS 1'!$AM$51:$AM$427,"X")</f>
        <v>141</v>
      </c>
      <c r="CW4" s="17">
        <f>COUNTIF('DATOS 1'!$AM$7:$AM$40,"X")</f>
        <v>5</v>
      </c>
      <c r="DB4" s="11">
        <f t="shared" si="8"/>
        <v>44</v>
      </c>
      <c r="DC4" s="9">
        <v>1970</v>
      </c>
      <c r="DD4" s="6">
        <f t="shared" ref="DD4:DD13" si="12">+DG4/$DG$53</f>
        <v>9.7943192948090111E-4</v>
      </c>
      <c r="DE4" s="6">
        <f t="shared" ref="DE4:DE13" si="13">+DH4/$DH$53</f>
        <v>0</v>
      </c>
      <c r="DF4" s="249">
        <f t="shared" ref="DF4:DF51" si="14">+DG4+DH4</f>
        <v>1</v>
      </c>
      <c r="DG4" s="249">
        <f>COUNTIFS('DATOS 2'!$K$5:$K$1437,"HC",'DATOS 2'!$D$5:$D$1437,DC4)</f>
        <v>1</v>
      </c>
      <c r="DH4" s="249">
        <f>COUNTIFS('DATOS 2'!$K$5:$K$1437,"PT",'DATOS 2'!$D$5:$D$1437,DC4)</f>
        <v>0</v>
      </c>
      <c r="DP4" s="17" t="s">
        <v>1684</v>
      </c>
      <c r="DQ4" s="249" t="s">
        <v>2379</v>
      </c>
      <c r="DR4" s="249" t="s">
        <v>2378</v>
      </c>
      <c r="DS4" s="249" t="s">
        <v>2379</v>
      </c>
      <c r="DT4" s="249" t="s">
        <v>2378</v>
      </c>
      <c r="DV4" s="249" t="s">
        <v>1886</v>
      </c>
      <c r="DW4" s="9" t="s">
        <v>1719</v>
      </c>
      <c r="DX4" s="9" t="s">
        <v>1720</v>
      </c>
      <c r="DY4" s="9" t="s">
        <v>1721</v>
      </c>
      <c r="DZ4" s="9" t="s">
        <v>1722</v>
      </c>
      <c r="EA4" s="9" t="s">
        <v>1723</v>
      </c>
      <c r="EB4" s="9" t="s">
        <v>1724</v>
      </c>
      <c r="EC4" s="9" t="s">
        <v>1725</v>
      </c>
      <c r="ED4" s="9" t="s">
        <v>1726</v>
      </c>
      <c r="EE4" s="9" t="s">
        <v>1727</v>
      </c>
      <c r="EI4" s="149">
        <v>0.5</v>
      </c>
      <c r="EJ4" s="6">
        <f>EL4/$EL$9</f>
        <v>0.68586387434554974</v>
      </c>
      <c r="EK4" s="6">
        <f>+EM4/$EM$9</f>
        <v>0.66184649610678536</v>
      </c>
      <c r="EL4" s="249">
        <f>COUNTIFS('DATOS 2'!$K$5:$K$1437,"PT",'DATOS 2'!$Z$5:$Z$1437,50%)</f>
        <v>262</v>
      </c>
      <c r="EM4" s="249">
        <f>COUNTIFS('DATOS 2'!$K$5:$K$1437,"HC",'DATOS 2'!$Z$5:$Z$1437,50%)</f>
        <v>595</v>
      </c>
    </row>
    <row r="5" spans="2:143" x14ac:dyDescent="0.25">
      <c r="B5" s="11" t="s">
        <v>1869</v>
      </c>
      <c r="C5" s="159">
        <f t="shared" si="0"/>
        <v>0.14323607427055704</v>
      </c>
      <c r="D5" s="159">
        <f t="shared" si="1"/>
        <v>8.8235294117647065E-2</v>
      </c>
      <c r="E5" s="11">
        <f>COUNTIF('DATOS 1'!$E$51:$E$427,"&lt;46")-E4-E3</f>
        <v>54</v>
      </c>
      <c r="F5" s="11">
        <f>COUNTIF('DATOS 1'!$E$7:$E$40,"&lt;46")-F4-F3</f>
        <v>3</v>
      </c>
      <c r="G5" s="11"/>
      <c r="H5" s="11"/>
      <c r="J5" s="11" t="s">
        <v>809</v>
      </c>
      <c r="K5" s="159">
        <f t="shared" si="2"/>
        <v>0.10875331564986737</v>
      </c>
      <c r="L5" s="159">
        <f t="shared" si="3"/>
        <v>0.17647058823529413</v>
      </c>
      <c r="M5" s="11">
        <f>COUNTIF('DATOS 1'!$K$51:$K$427,"&lt;16")-M4-M3</f>
        <v>41</v>
      </c>
      <c r="N5" s="11">
        <f>COUNTIF('DATOS 1'!$K$7:$K$40,"&lt;16")-N4-N3</f>
        <v>6</v>
      </c>
      <c r="Q5" s="11"/>
      <c r="R5" s="9"/>
      <c r="S5" s="249" t="s">
        <v>1712</v>
      </c>
      <c r="T5" s="249">
        <f>COUNTIFS('DETALLES UNIDADES'!$D$8:$D$987,"&lt;1980",'DETALLES UNIDADES'!$J$8:$J$987,"&lt;250000")</f>
        <v>0</v>
      </c>
      <c r="U5" s="249">
        <f>COUNTIFS('DETALLES UNIDADES'!$D$8:$D$987,"&lt;1986",'DETALLES UNIDADES'!$J$8:$J$987,"&lt;250000")-T5</f>
        <v>4</v>
      </c>
      <c r="V5" s="249">
        <f>COUNTIFS('DETALLES UNIDADES'!$D$8:$D$987,"&lt;1991",'DETALLES UNIDADES'!$J$8:$J$987,"&lt;250000")-U5-T5</f>
        <v>1</v>
      </c>
      <c r="W5" s="249">
        <f>COUNTIFS('DETALLES UNIDADES'!$D$8:$D$987,"&lt;1996",'DETALLES UNIDADES'!$J$8:$J$987,"&lt;250000")-V5-U5-T5</f>
        <v>5</v>
      </c>
      <c r="X5" s="249">
        <f>COUNTIFS('DETALLES UNIDADES'!$D$8:$D$987,"&lt;2001",'DETALLES UNIDADES'!$J$8:$J$987,"&lt;250000")-W5-V5-U5-T5</f>
        <v>5</v>
      </c>
      <c r="Y5" s="249">
        <f>COUNTIFS('DETALLES UNIDADES'!$D$8:$D$987,"&lt;2006",'DETALLES UNIDADES'!$J$8:$J$987,"&lt;250000")-X5-W5-V5-U5-T5</f>
        <v>19</v>
      </c>
      <c r="Z5" s="249">
        <f>COUNTIFS('DETALLES UNIDADES'!$D$8:$D$987,"&lt;2011",'DETALLES UNIDADES'!$J$8:$J$987,"&lt;250000")-Y5-X5-W5-V5-U5-T5</f>
        <v>45</v>
      </c>
      <c r="AA5" s="249">
        <f>COUNTIFS('DETALLES UNIDADES'!$D$8:$D$987,"&gt;2010",'DETALLES UNIDADES'!$J$8:$J$987,"&lt;250000")</f>
        <v>86</v>
      </c>
      <c r="AB5" s="249">
        <f t="shared" si="9"/>
        <v>165</v>
      </c>
      <c r="AC5" s="249">
        <v>165</v>
      </c>
      <c r="AD5" s="17">
        <f t="shared" ref="AD5" si="15">+AB5-AC5</f>
        <v>0</v>
      </c>
      <c r="AF5" s="19" t="s">
        <v>1721</v>
      </c>
      <c r="AG5" s="249">
        <f>COUNTIFS('DETALLES UNIDADES'!$C$8:$C$987,"C2",'DETALLES UNIDADES'!$U$8:$U$987,"&lt;2.01",'DETALLES UNIDADES'!$D$8:$D$987,"&lt;1980")-AG4-AG3</f>
        <v>0</v>
      </c>
      <c r="AH5" s="249">
        <f>COUNTIFS('DETALLES UNIDADES'!$C$8:$C$987,"C2",'DETALLES UNIDADES'!$U$8:$U$987,"&lt;2.01",'DETALLES UNIDADES'!$D$8:$D$987,"&lt;1986")-AG5-AH4-AG4-AH3-AG3</f>
        <v>1</v>
      </c>
      <c r="AI5" s="249">
        <f>COUNTIFS('DETALLES UNIDADES'!$C$8:$C$987,"C2",'DETALLES UNIDADES'!$U$8:$U$987,"&lt;2.01",'DETALLES UNIDADES'!$D$8:$D$987,"&lt;1991")-AH5-AG5-AI4-AH4-AG4-AI3-AH3-AG3</f>
        <v>1</v>
      </c>
      <c r="AJ5" s="249">
        <f>COUNTIFS('DETALLES UNIDADES'!$C$8:$C$987,"C2",'DETALLES UNIDADES'!$U$8:$U$987,"&lt;2.01",'DETALLES UNIDADES'!$D$8:$D$987,"&lt;1996")-AI5-AH5-AG5-AJ4-AI4-AH4-AG4-AJ3-AI3-AH3-AG3</f>
        <v>0</v>
      </c>
      <c r="AK5" s="249">
        <f>COUNTIFS('DETALLES UNIDADES'!$C$8:$C$987,"C2",'DETALLES UNIDADES'!$U$8:$U$987,"&lt;2.01",'DETALLES UNIDADES'!$D$8:$D$987,"&lt;2001")-AJ5-AI5-AH5-AG5-AK4-AJ4-AI4-AH4-AG4-AK3-AJ3-AI3-AH3-AG3</f>
        <v>0</v>
      </c>
      <c r="AL5" s="249">
        <f>COUNTIFS('DETALLES UNIDADES'!$C$8:$C$987,"C2",'DETALLES UNIDADES'!$U$8:$U$987,"&lt;2.01",'DETALLES UNIDADES'!$D$8:$D$987,"&lt;2006")-AK5-AJ5-AI5-AH5-AG5-AL4-AK4-AJ4-AI4-AH4-AG4-AL3-AK3-AJ3-AI3-AH3-AG3</f>
        <v>0</v>
      </c>
      <c r="AM5" s="249">
        <f>COUNTIFS('DETALLES UNIDADES'!$C$8:$C$987,"C2",'DETALLES UNIDADES'!$U$8:$U$987,"&lt;2.01",'DETALLES UNIDADES'!$D$8:$D$987,"&lt;2011")-AL5-AK5-AJ5-AI5-AH5-AG5-AM4-AL4-AK4-AJ4-AI4-AH4-AG4-AM3-AL3-AK3-AJ3-AI3-AH3-AG3</f>
        <v>0</v>
      </c>
      <c r="AN5" s="249">
        <f>COUNTIFS('DETALLES UNIDADES'!$C$8:$C$987,"C2",'DETALLES UNIDADES'!$U$8:$U$987,"&lt;2.01",'DETALLES UNIDADES'!$D$8:$D$987,"&gt;2010")-AN4-AN3</f>
        <v>0</v>
      </c>
      <c r="AO5" s="249">
        <f t="shared" si="4"/>
        <v>2</v>
      </c>
      <c r="AR5" s="19" t="s">
        <v>1721</v>
      </c>
      <c r="AS5" s="249">
        <f>COUNTIFS('DETALLES UNIDADES'!$C$8:$C$987,"C3",'DETALLES UNIDADES'!$U$8:$U$987,"&lt;2.01",'DETALLES UNIDADES'!$D$8:$D$987,"&lt;1980")-AS4-AS3</f>
        <v>2</v>
      </c>
      <c r="AT5" s="249">
        <f>COUNTIFS('DETALLES UNIDADES'!$C$8:$C$987,"C3",'DETALLES UNIDADES'!$U$8:$U$987,"&lt;2.01",'DETALLES UNIDADES'!$D$8:$D$987,"&lt;1986")-AS5-AT4-AS4-AT3-AS3</f>
        <v>0</v>
      </c>
      <c r="AU5" s="249">
        <f>COUNTIFS('DETALLES UNIDADES'!$C$8:$C$987,"C3",'DETALLES UNIDADES'!$U$8:$U$987,"&lt;2.01",'DETALLES UNIDADES'!$D$8:$D$987,"&lt;1991")-AT5-AS5-AU4-AT4-AS4-AU3-AT3-AS3</f>
        <v>2</v>
      </c>
      <c r="AV5" s="249">
        <f>COUNTIFS('DETALLES UNIDADES'!$C$8:$C$987,"C3",'DETALLES UNIDADES'!$U$8:$U$987,"&lt;2.01",'DETALLES UNIDADES'!$D$8:$D$987,"&lt;1996")-AU5-AT5-AS5-AV4-AU4-AT4-AS4-AV3-AU3-AT3-AS3</f>
        <v>1</v>
      </c>
      <c r="AW5" s="249">
        <f>COUNTIFS('DETALLES UNIDADES'!$C$8:$C$987,"C3",'DETALLES UNIDADES'!$U$8:$U$987,"&lt;2.01",'DETALLES UNIDADES'!$D$8:$D$987,"&lt;2001")-AV5-AU5-AT5-AS5-AW4-AV4-AU4-AT4-AS4-AW3-AV3-AU3-AT3-AS3</f>
        <v>0</v>
      </c>
      <c r="AX5" s="249">
        <f>COUNTIFS('DETALLES UNIDADES'!$C$8:$C$987,"C3",'DETALLES UNIDADES'!$U$8:$U$987,"&lt;2.01",'DETALLES UNIDADES'!$D$8:$D$987,"&lt;2006")-AW5-AV5-AU5-AT5-AS5-AX4-AW4-AV4-AU4-AT4-AS4-AX3-AW3-AV3-AU3-AT3-AS3</f>
        <v>0</v>
      </c>
      <c r="AY5" s="249">
        <f>COUNTIFS('DETALLES UNIDADES'!$C$8:$C$987,"C3",'DETALLES UNIDADES'!$U$8:$U$987,"&lt;2.01",'DETALLES UNIDADES'!$D$8:$D$987,"&lt;2011")-AX5-AW5-AV5-AU5-AT5-AS5-AY4-AX4-AW4-AV4-AU4-AT4-AS4-AY3-AX3-AW3-AV3-AU3-AT3-AS3</f>
        <v>0</v>
      </c>
      <c r="AZ5" s="249">
        <f>COUNTIFS('DETALLES UNIDADES'!$C$8:$C$987,"C3",'DETALLES UNIDADES'!$U$8:$U$987,"&lt;2.01",'DETALLES UNIDADES'!$D$8:$D$987,"&gt;2010")-AZ4-AZ3</f>
        <v>0</v>
      </c>
      <c r="BA5" s="249">
        <f t="shared" si="5"/>
        <v>5</v>
      </c>
      <c r="BD5" s="19" t="s">
        <v>1721</v>
      </c>
      <c r="BE5" s="249">
        <f>COUNTIFS('DETALLES UNIDADES'!$C$8:$C$987,"T2",'DETALLES UNIDADES'!$U$8:$U$987,"&lt;2.01",'DETALLES UNIDADES'!$D$8:$D$987,"&lt;1980")-BE4-BE3</f>
        <v>0</v>
      </c>
      <c r="BF5" s="249">
        <f>COUNTIFS('DETALLES UNIDADES'!$C$8:$C$987,"T2",'DETALLES UNIDADES'!$U$8:$U$987,"&lt;2.01",'DETALLES UNIDADES'!$D$8:$D$987,"&lt;1986")-BE5-BF4-BE4-BF3-BE3</f>
        <v>0</v>
      </c>
      <c r="BG5" s="249">
        <f>COUNTIFS('DETALLES UNIDADES'!$C$8:$C$987,"T2",'DETALLES UNIDADES'!$U$8:$U$987,"&lt;2.01",'DETALLES UNIDADES'!$D$8:$D$987,"&lt;1991")-BF5-BE5-BG4-BF4-BE4-BG3-BF3-BE3</f>
        <v>0</v>
      </c>
      <c r="BH5" s="249">
        <f>COUNTIFS('DETALLES UNIDADES'!$C$8:$C$987,"T2",'DETALLES UNIDADES'!$U$8:$U$987,"&lt;2.01",'DETALLES UNIDADES'!$D$8:$D$987,"&lt;1996")-BG5-BF5-BE5-BH4-BG4-BF4-BE4-BH3-BG3-BF3-BE3</f>
        <v>0</v>
      </c>
      <c r="BI5" s="249">
        <f>COUNTIFS('DETALLES UNIDADES'!$C$8:$C$987,"T2",'DETALLES UNIDADES'!$U$8:$U$987,"&lt;2.01",'DETALLES UNIDADES'!$D$8:$D$987,"&lt;2001")-BH5-BG5-BF5-BE5-BI4-BH4-BG4-BF4-BE4-BI3-BH3-BG3-BF3-BE3</f>
        <v>0</v>
      </c>
      <c r="BJ5" s="249">
        <f>COUNTIFS('DETALLES UNIDADES'!$C$8:$C$987,"T2",'DETALLES UNIDADES'!$U$8:$U$987,"&lt;2.01",'DETALLES UNIDADES'!$D$8:$D$987,"&lt;2006")-BI5-BH5-BG5-BF5-BE5-BJ4-BI4-BH4-BG4-BF4-BE4-BJ3-BI3-BH3-BG3-BF3-BE3</f>
        <v>0</v>
      </c>
      <c r="BK5" s="249">
        <f>COUNTIFS('DETALLES UNIDADES'!$C$8:$C$987,"T2",'DETALLES UNIDADES'!$U$8:$U$987,"&lt;2.01",'DETALLES UNIDADES'!$D$8:$D$987,"&lt;2011")-BJ5-BI5-BH5-BG5-BF5-BE5-BK4-BJ4-BI4-BH4-BG4-BF4-BE4-BK3-BJ3-BI3-BH3-BG3-BF3-BE3</f>
        <v>0</v>
      </c>
      <c r="BL5" s="249">
        <f>COUNTIFS('DETALLES UNIDADES'!$C$8:$C$987,"T2",'DETALLES UNIDADES'!$U$8:$U$987,"&lt;2.01",'DETALLES UNIDADES'!$D$8:$D$987,"&gt;2010")-BL4-BL3</f>
        <v>0</v>
      </c>
      <c r="BM5" s="249">
        <f t="shared" si="6"/>
        <v>0</v>
      </c>
      <c r="BP5" s="19" t="s">
        <v>1721</v>
      </c>
      <c r="BQ5" s="249">
        <f>COUNTIFS('DETALLES UNIDADES'!$C$8:$C$987,"T3",'DETALLES UNIDADES'!$U$8:$U$987,"&lt;2.01",'DETALLES UNIDADES'!$D$8:$D$987,"&lt;1980")-BQ4-BQ3</f>
        <v>1</v>
      </c>
      <c r="BR5" s="249">
        <f>COUNTIFS('DETALLES UNIDADES'!$C$8:$C$987,"T3",'DETALLES UNIDADES'!$U$8:$U$987,"&lt;2.01",'DETALLES UNIDADES'!$D$8:$D$987,"&lt;1986")-BQ5-BR4-BQ4-BR3-BQ3</f>
        <v>16</v>
      </c>
      <c r="BS5" s="249">
        <f>COUNTIFS('DETALLES UNIDADES'!$C$8:$C$987,"T3",'DETALLES UNIDADES'!$U$8:$U$987,"&lt;2.01",'DETALLES UNIDADES'!$D$8:$D$987,"&lt;1991")-BR5-BQ5-BS4-BR4-BQ4-BS3-BR3-BQ3</f>
        <v>2</v>
      </c>
      <c r="BT5" s="249">
        <f>COUNTIFS('DETALLES UNIDADES'!$C$8:$C$987,"T3",'DETALLES UNIDADES'!$U$8:$U$987,"&lt;2.01",'DETALLES UNIDADES'!$D$8:$D$987,"&lt;1996")-BS5-BR5-BQ5-BT4-BS4-BR4-BQ4-BT3-BS3-BR3-BQ3</f>
        <v>1</v>
      </c>
      <c r="BU5" s="249">
        <f>COUNTIFS('DETALLES UNIDADES'!$C$8:$C$987,"T3",'DETALLES UNIDADES'!$U$8:$U$987,"&lt;2.01",'DETALLES UNIDADES'!$D$8:$D$987,"&lt;2001")-BT5-BS5-BR5-BQ5-BU4-BT4-BS4-BR4-BQ4-BU3-BT3-BS3-BR3-BQ3</f>
        <v>7</v>
      </c>
      <c r="BV5" s="249">
        <f>COUNTIFS('DETALLES UNIDADES'!$C$8:$C$987,"T3",'DETALLES UNIDADES'!$U$8:$U$987,"&lt;2.01",'DETALLES UNIDADES'!$D$8:$D$987,"&lt;2006")-BU5-BT5-BS5-BR5-BQ5-BV4-BU4-BT4-BS4-BR4-BQ4-BV3-BU3-BT3-BS3-BR3-BQ3</f>
        <v>0</v>
      </c>
      <c r="BW5" s="249">
        <f>COUNTIFS('DETALLES UNIDADES'!$C$8:$C$987,"T3",'DETALLES UNIDADES'!$U$8:$U$987,"&lt;2.01",'DETALLES UNIDADES'!$D$8:$D$987,"&lt;2011")-BV5-BU5-BT5-BS5-BR5-BQ5-BW4-BV4-BU4-BT4-BS4-BR4-BQ4-BW3-BV3-BU3-BT3-BS3-BR3-BQ3</f>
        <v>0</v>
      </c>
      <c r="BX5" s="249">
        <f>COUNTIFS('DETALLES UNIDADES'!$C$8:$C$987,"T3",'DETALLES UNIDADES'!$U$8:$U$987,"&lt;2.01",'DETALLES UNIDADES'!$D$8:$D$987,"&gt;2010")-BX4-BX3</f>
        <v>0</v>
      </c>
      <c r="BY5" s="249">
        <f t="shared" si="7"/>
        <v>27</v>
      </c>
      <c r="CA5" s="249">
        <v>1982</v>
      </c>
      <c r="CB5" s="144">
        <f>AVERAGEIFS('DATOS 2'!$F$5:$F$1437,'DATOS 2'!$D$5:$D$1437,CA5)</f>
        <v>2.4</v>
      </c>
      <c r="CC5" s="144">
        <f>AVERAGEIFS('DATOS 2'!$G$5:$G$1437,'DATOS 2'!$D$5:$D$1437,CA5)</f>
        <v>3.0428571428571431</v>
      </c>
      <c r="CD5" s="138">
        <f>AVERAGEIFS('DATOS 2'!$E$5:$E$1437,'DATOS 2'!$D$5:$D$1437,CA5)</f>
        <v>1707278.4615384615</v>
      </c>
      <c r="CF5" s="9" t="s">
        <v>1879</v>
      </c>
      <c r="CG5" s="160">
        <f>AVERAGEIFS('DATOS 2'!$F$5:$F$1437,'DATOS 2'!$C$5:$C$1437,"C2",'DATOS 2'!$H$5:$H$1437,"D",'DATOS 2'!$D$5:$D$1437,"&gt;1985",'DATOS 2'!$D$5:$D$1437,"&lt;1991")</f>
        <v>2.5333333333333337</v>
      </c>
      <c r="CH5" s="160">
        <f>AVERAGEIFS('DATOS 2'!$G$5:$G$1437,'DATOS 2'!$C$5:$C$1437,"C2",'DATOS 2'!$H$5:$H$1437,"D",'DATOS 2'!$D$5:$D$1437,"&gt;1985",'DATOS 2'!$D$5:$D$1437,"&lt;1991")</f>
        <v>2.9750000000000001</v>
      </c>
      <c r="CL5" s="17" t="s">
        <v>2393</v>
      </c>
      <c r="CM5" s="6">
        <f t="shared" si="10"/>
        <v>0.15143056524773202</v>
      </c>
      <c r="CN5" s="138">
        <f>COUNTIF('DATOS 2'!$D$5:$D$1437,"&gt;1984")-CN4-CN3</f>
        <v>217</v>
      </c>
      <c r="CP5" s="6">
        <f t="shared" si="11"/>
        <v>0.1632227946509941</v>
      </c>
      <c r="CQ5" s="138">
        <v>61432</v>
      </c>
      <c r="CS5" s="17" t="s">
        <v>842</v>
      </c>
      <c r="CT5" s="139">
        <f>+CV5/$CV$7</f>
        <v>0.18262806236080179</v>
      </c>
      <c r="CU5" s="139">
        <f>+CW5/$CW$7</f>
        <v>0.30434782608695654</v>
      </c>
      <c r="CV5" s="17">
        <f>COUNTIF('DATOS 1'!$AN$51:$AN$427,"X")</f>
        <v>82</v>
      </c>
      <c r="CW5" s="17">
        <f>COUNTIF('DATOS 1'!$AN$7:$AN$40,"X")</f>
        <v>14</v>
      </c>
      <c r="DB5" s="11">
        <f t="shared" si="8"/>
        <v>43</v>
      </c>
      <c r="DC5" s="9">
        <v>1971</v>
      </c>
      <c r="DD5" s="6">
        <f t="shared" si="12"/>
        <v>0</v>
      </c>
      <c r="DE5" s="6">
        <f t="shared" si="13"/>
        <v>0</v>
      </c>
      <c r="DF5" s="249">
        <f t="shared" si="14"/>
        <v>0</v>
      </c>
      <c r="DG5" s="249">
        <f>COUNTIFS('DATOS 2'!$K$5:$K$1437,"HC",'DATOS 2'!$D$5:$D$1437,DC5)</f>
        <v>0</v>
      </c>
      <c r="DH5" s="249">
        <f>COUNTIFS('DATOS 2'!$K$5:$K$1437,"PT",'DATOS 2'!$D$5:$D$1437,DC5)</f>
        <v>0</v>
      </c>
      <c r="DJ5" s="11" t="s">
        <v>1029</v>
      </c>
      <c r="DK5" s="249" t="s">
        <v>2379</v>
      </c>
      <c r="DL5" s="249" t="s">
        <v>2378</v>
      </c>
      <c r="DM5" s="250" t="s">
        <v>2379</v>
      </c>
      <c r="DN5" s="250" t="s">
        <v>2378</v>
      </c>
      <c r="DP5" s="123" t="s">
        <v>19</v>
      </c>
      <c r="DQ5" s="6">
        <f>+DS5/$DS$13</f>
        <v>0.1038961038961039</v>
      </c>
      <c r="DR5" s="6">
        <f>+DT5/$DT$13</f>
        <v>0.19526627218934911</v>
      </c>
      <c r="DS5" s="249">
        <f>+'DATOS 1'!Z42</f>
        <v>8</v>
      </c>
      <c r="DT5" s="249">
        <f>+'DATOS 1'!Z429</f>
        <v>132</v>
      </c>
      <c r="DV5" s="11" t="s">
        <v>2374</v>
      </c>
      <c r="DW5" s="249">
        <f>COUNTIFS('DATOS 2'!$J$5:$J$1437,"&lt;2500",'DATOS 2'!$F$5:$F$1437,"&lt;1.6")</f>
        <v>7</v>
      </c>
      <c r="DX5" s="138">
        <f>COUNTIFS('DATOS 2'!$J$5:$J$1437,"&lt;2500",'DATOS 2'!$F$5:$F$1437,"&lt;1.91")-DW5</f>
        <v>17</v>
      </c>
      <c r="DY5" s="138">
        <f>COUNTIFS('DATOS 2'!$J$5:$J$1437,"&lt;2500",'DATOS 2'!$F$5:$F$1437,"&lt;2.01")-DX5-DW5</f>
        <v>19</v>
      </c>
      <c r="DZ5" s="138">
        <f>COUNTIFS('DATOS 2'!$J$5:$J$1437,"&lt;2500",'DATOS 2'!$F$5:$F$1437,"&lt;2.21")-DY5-DX5-DW5</f>
        <v>7</v>
      </c>
      <c r="EA5" s="138">
        <f>COUNTIFS('DATOS 2'!$J$5:$J$1437,"&lt;2500",'DATOS 2'!$F$5:$F$1437,"&lt;2.51")-DZ5-DY5-DX5-DW5</f>
        <v>25</v>
      </c>
      <c r="EB5" s="138">
        <f>COUNTIFS('DATOS 2'!$J$5:$J$1437,"&lt;2500",'DATOS 2'!$F$5:$F$1437,"&lt;3.01")-EA5-DZ5-DY5-DX5-DW5</f>
        <v>29</v>
      </c>
      <c r="EC5" s="138">
        <f>COUNTIFS('DATOS 2'!$J$5:$J$1437,"&lt;2500",'DATOS 2'!$F$5:$F$1437,"&lt;4.01")-EB5-EA5-DZ5-DY5-DX5-DW5</f>
        <v>12</v>
      </c>
      <c r="ED5" s="138">
        <f>COUNTIFS('DATOS 2'!$J$5:$J$1437,"&lt;2500",'DATOS 2'!$F$5:$F$1437,"&lt;5.01")-EC5-EB5-EA5-DZ5-DY5-DX5-DW5</f>
        <v>10</v>
      </c>
      <c r="EE5" s="138">
        <f>COUNTIFS('DATOS 2'!$J$5:$J$1437,"&lt;2500",'DATOS 2'!$F$5:$F$1437,"&gt;5.0")</f>
        <v>2</v>
      </c>
      <c r="EF5" s="249">
        <f>SUM(DW5:EE5)</f>
        <v>128</v>
      </c>
      <c r="EG5" s="249">
        <v>125</v>
      </c>
      <c r="EI5" s="249" t="s">
        <v>2416</v>
      </c>
      <c r="EJ5" s="6">
        <f t="shared" ref="EJ5:EJ9" si="16">EL5/$EL$9</f>
        <v>6.0209424083769635E-2</v>
      </c>
      <c r="EK5" s="6">
        <f t="shared" ref="EK5:EK9" si="17">+EM5/$EM$9</f>
        <v>2.4471635150166853E-2</v>
      </c>
      <c r="EL5" s="249">
        <f>COUNTIFS('DATOS 2'!$K$5:$K$1437,"PT",'DATOS 2'!$Z$5:$Z$1437,"&gt;30%")-EL4</f>
        <v>23</v>
      </c>
      <c r="EM5" s="249">
        <f>COUNTIFS('DATOS 2'!$K$5:$K$1437,"HC",'DATOS 2'!$Z$5:$Z$1437,"&gt;30%")-EM4</f>
        <v>22</v>
      </c>
    </row>
    <row r="6" spans="2:143" x14ac:dyDescent="0.25">
      <c r="B6" s="11" t="s">
        <v>1870</v>
      </c>
      <c r="C6" s="159">
        <f t="shared" si="0"/>
        <v>0.1856763925729443</v>
      </c>
      <c r="D6" s="159">
        <f t="shared" si="1"/>
        <v>0.17647058823529413</v>
      </c>
      <c r="E6" s="11">
        <f>COUNTIF('DATOS 1'!$E$51:$E$427,"&lt;51")-E5-E4-E3</f>
        <v>70</v>
      </c>
      <c r="F6" s="11">
        <f>COUNTIF('DATOS 1'!$E$7:$E$40,"&lt;51")-F5-F4-F3</f>
        <v>6</v>
      </c>
      <c r="G6" s="11"/>
      <c r="H6" s="11"/>
      <c r="J6" s="11" t="s">
        <v>810</v>
      </c>
      <c r="K6" s="159">
        <f t="shared" si="2"/>
        <v>0.1830238726790451</v>
      </c>
      <c r="L6" s="159">
        <f t="shared" si="3"/>
        <v>8.8235294117647065E-2</v>
      </c>
      <c r="M6" s="11">
        <f>COUNTIF('DATOS 1'!$K$51:$K$427,"&lt;21")-M5-M4-M3</f>
        <v>69</v>
      </c>
      <c r="N6" s="11">
        <f>COUNTIF('DATOS 1'!$K$7:$K$40,"&lt;21")-N5-N4-N3</f>
        <v>3</v>
      </c>
      <c r="Q6" s="11"/>
      <c r="R6" s="161"/>
      <c r="S6" s="249" t="s">
        <v>1716</v>
      </c>
      <c r="T6" s="249">
        <f>COUNTIFS('DETALLES UNIDADES'!$D$8:$D$987,"&lt;1980",'DETALLES UNIDADES'!$J$8:$J$987,"&lt;500000")-T5</f>
        <v>0</v>
      </c>
      <c r="U6" s="249">
        <f>COUNTIFS('DETALLES UNIDADES'!$D$8:$D$987,"&lt;1986",'DETALLES UNIDADES'!$J$8:$J$987,"&lt;500000")-T6-U5-T5</f>
        <v>4</v>
      </c>
      <c r="V6" s="249">
        <f>COUNTIFS('DETALLES UNIDADES'!$D$8:$D$987,"&lt;1991",'DETALLES UNIDADES'!$J$8:$J$987,"&lt;500000")-U6-T6-V5-U5-T5</f>
        <v>0</v>
      </c>
      <c r="W6" s="249">
        <f>COUNTIFS('DETALLES UNIDADES'!$D$8:$D$987,"&lt;1996",'DETALLES UNIDADES'!$J$8:$J$987,"&lt;500000")-V6-U6-T6-W5-V5-U5-T5</f>
        <v>13</v>
      </c>
      <c r="X6" s="249">
        <f>COUNTIFS('DETALLES UNIDADES'!$D$8:$D$987,"&lt;2001",'DETALLES UNIDADES'!$J$8:$J$987,"&lt;500000")-W6-V6-U6-T6-X5-W5-V5-U5-T5</f>
        <v>11</v>
      </c>
      <c r="Y6" s="249">
        <f>COUNTIFS('DETALLES UNIDADES'!$D$8:$D$987,"&lt;2006",'DETALLES UNIDADES'!$J$8:$J$987,"&lt;500000")-X6-W6-V6-U6-T6-Y5-X5-W5-V5-U5-T5</f>
        <v>30</v>
      </c>
      <c r="Z6" s="249">
        <f>COUNTIFS('DETALLES UNIDADES'!$D$8:$D$987,"&lt;2011",'DETALLES UNIDADES'!$J$8:$J$987,"&lt;500000")-Y6-X6-W6-V6-U6-T6-Z5-Y5-X5-W5-V5-U5-T5</f>
        <v>87</v>
      </c>
      <c r="AA6" s="249">
        <f>COUNTIFS('DETALLES UNIDADES'!$D$8:$D$987,"&gt;2010",'DETALLES UNIDADES'!$J$8:$J$987,"&lt;500000")-AA5</f>
        <v>8</v>
      </c>
      <c r="AB6" s="249">
        <f t="shared" si="9"/>
        <v>153</v>
      </c>
      <c r="AC6" s="249">
        <v>153</v>
      </c>
      <c r="AD6" s="17">
        <f>+AB6-AC6</f>
        <v>0</v>
      </c>
      <c r="AF6" s="19" t="s">
        <v>1722</v>
      </c>
      <c r="AG6" s="249">
        <f>COUNTIFS('DETALLES UNIDADES'!$C$8:$C$987,"C2",'DETALLES UNIDADES'!$U$8:$U$987,"&lt;2.21",'DETALLES UNIDADES'!$D$8:$D$987,"&lt;1980")-AG5-AG4-AG3</f>
        <v>1</v>
      </c>
      <c r="AH6" s="249">
        <f>COUNTIFS('DETALLES UNIDADES'!$C$8:$C$987,"C2",'DETALLES UNIDADES'!$U$8:$U$987,"&lt;2.21",'DETALLES UNIDADES'!$D$8:$D$987,"&lt;1986")-AG6-AH5-AG5-AH4-AG4-AH3-AG3</f>
        <v>0</v>
      </c>
      <c r="AI6" s="249">
        <f>COUNTIFS('DETALLES UNIDADES'!$C$8:$C$987,"C2",'DETALLES UNIDADES'!$U$8:$U$987,"&lt;2.21",'DETALLES UNIDADES'!$D$8:$D$987,"&lt;1991")-AH6-AG6-AI5-AH5-AG5-AI4-AH4-AG4-AI3-AH3-AG3</f>
        <v>1</v>
      </c>
      <c r="AJ6" s="249">
        <f>COUNTIFS('DETALLES UNIDADES'!$C$8:$C$987,"C2",'DETALLES UNIDADES'!$U$8:$U$987,"&lt;2.21",'DETALLES UNIDADES'!$D$8:$D$987,"&lt;1996")-AI6-AH6-AG6-AJ5-AI5-AH5-AG5-AJ4-AI4-AH4-AG4-AJ3-AI3-AH3-AG3</f>
        <v>5</v>
      </c>
      <c r="AK6" s="249">
        <f>COUNTIFS('DETALLES UNIDADES'!$C$8:$C$987,"C2",'DETALLES UNIDADES'!$U$8:$U$987,"&lt;2.21",'DETALLES UNIDADES'!$D$8:$D$987,"&lt;2001")-AJ6-AI6-AH6-AG6-AK5-AJ5-AI5-AH5-AG5-AK4-AJ4-AI4-AH4-AG4-AK3-AJ3-AI3-AH3-AG3</f>
        <v>1</v>
      </c>
      <c r="AL6" s="249">
        <f>COUNTIFS('DETALLES UNIDADES'!$C$8:$C$987,"C2",'DETALLES UNIDADES'!$U$8:$U$987,"&lt;2.21",'DETALLES UNIDADES'!$D$8:$D$987,"&lt;2006")-AK6-AJ6-AI6-AH6-AG6-AL5-AK5-AJ5-AI5-AH5-AG5-AL4-AK4-AJ4-AI4-AH4-AG4-AL3-AK3-AJ3-AI3-AH3-AG3</f>
        <v>1</v>
      </c>
      <c r="AM6" s="249">
        <f>COUNTIFS('DETALLES UNIDADES'!$C$8:$C$987,"C2",'DETALLES UNIDADES'!$U$8:$U$987,"&lt;2.21",'DETALLES UNIDADES'!$D$8:$D$987,"&lt;2011")-AL6-AK6-AJ6-AI6-AH6-AG6-AM5-AL5-AK5-AJ5-AI5-AH5-AG5-AM4-AL4-AK4-AJ4-AI4-AH4-AG4-AM3-AL3-AK3-AJ3-AI3-AH3-AG3</f>
        <v>0</v>
      </c>
      <c r="AN6" s="249">
        <f>COUNTIFS('DETALLES UNIDADES'!$C$8:$C$987,"C2",'DETALLES UNIDADES'!$U$8:$U$987,"&lt;2.21",'DETALLES UNIDADES'!$D$8:$D$987,"&gt;2010")-AN5-AN4-AN3</f>
        <v>0</v>
      </c>
      <c r="AO6" s="249">
        <f t="shared" si="4"/>
        <v>9</v>
      </c>
      <c r="AR6" s="19" t="s">
        <v>1722</v>
      </c>
      <c r="AS6" s="249">
        <f>COUNTIFS('DETALLES UNIDADES'!$C$8:$C$987,"C3",'DETALLES UNIDADES'!$U$8:$U$987,"&lt;2.21",'DETALLES UNIDADES'!$D$8:$D$987,"&lt;1980")-AS5-AS4-AS3</f>
        <v>1</v>
      </c>
      <c r="AT6" s="249">
        <f>COUNTIFS('DETALLES UNIDADES'!$C$8:$C$987,"C3",'DETALLES UNIDADES'!$U$8:$U$987,"&lt;2.21",'DETALLES UNIDADES'!$D$8:$D$987,"&lt;1986")-AS6-AT5-AS5-AT4-AS4-AT3-AS3</f>
        <v>2</v>
      </c>
      <c r="AU6" s="249">
        <f>COUNTIFS('DETALLES UNIDADES'!$C$8:$C$987,"C3",'DETALLES UNIDADES'!$U$8:$U$987,"&lt;2.21",'DETALLES UNIDADES'!$D$8:$D$987,"&lt;1991")-AT6-AS6-AU5-AT5-AS5-AU4-AT4-AS4-AU3-AT3-AS3</f>
        <v>2</v>
      </c>
      <c r="AV6" s="249">
        <f>COUNTIFS('DETALLES UNIDADES'!$C$8:$C$987,"C3",'DETALLES UNIDADES'!$U$8:$U$987,"&lt;2.21",'DETALLES UNIDADES'!$D$8:$D$987,"&lt;1996")-AU6-AT6-AS6-AV5-AU5-AT5-AS5-AV4-AU4-AT4-AS4-AV3-AU3-AT3-AS3</f>
        <v>4</v>
      </c>
      <c r="AW6" s="249">
        <f>COUNTIFS('DETALLES UNIDADES'!$C$8:$C$987,"C3",'DETALLES UNIDADES'!$U$8:$U$987,"&lt;2.21",'DETALLES UNIDADES'!$D$8:$D$987,"&lt;2001")-AV6-AU6-AT6-AS6-AW5-AV5-AU5-AT5-AS5-AW4-AV4-AU4-AT4-AS4-AW3-AV3-AU3-AT3-AS3</f>
        <v>3</v>
      </c>
      <c r="AX6" s="249">
        <f>COUNTIFS('DETALLES UNIDADES'!$C$8:$C$987,"C3",'DETALLES UNIDADES'!$U$8:$U$987,"&lt;2.21",'DETALLES UNIDADES'!$D$8:$D$987,"&lt;2006")-AW6-AV6-AU6-AT6-AS6-AX5-AW5-AV5-AU5-AT5-AS5-AX4-AW4-AV4-AU4-AT4-AS4-AX3-AW3-AV3-AU3-AT3-AS3</f>
        <v>0</v>
      </c>
      <c r="AY6" s="249">
        <f>COUNTIFS('DETALLES UNIDADES'!$C$8:$C$987,"C3",'DETALLES UNIDADES'!$U$8:$U$987,"&lt;2.21",'DETALLES UNIDADES'!$D$8:$D$987,"&lt;2011")-AX6-AW6-AV6-AU6-AT6-AS6-AY5-AX5-AW5-AV5-AU5-AT5-AS5-AY4-AX4-AW4-AV4-AU4-AT4-AS4-AY3-AX3-AW3-AV3-AU3-AT3-AS3</f>
        <v>0</v>
      </c>
      <c r="AZ6" s="249">
        <f>COUNTIFS('DETALLES UNIDADES'!$C$8:$C$987,"C3",'DETALLES UNIDADES'!$U$8:$U$987,"&lt;2.21",'DETALLES UNIDADES'!$D$8:$D$987,"&gt;2010")-AZ5-AZ4-AZ3</f>
        <v>3</v>
      </c>
      <c r="BA6" s="249">
        <f t="shared" si="5"/>
        <v>15</v>
      </c>
      <c r="BD6" s="19" t="s">
        <v>1722</v>
      </c>
      <c r="BE6" s="249">
        <f>COUNTIFS('DETALLES UNIDADES'!$C$8:$C$987,"T2",'DETALLES UNIDADES'!$U$8:$U$987,"&lt;2.21",'DETALLES UNIDADES'!$D$8:$D$987,"&lt;1980")-BE5-BE4-BE3</f>
        <v>0</v>
      </c>
      <c r="BF6" s="249">
        <f>COUNTIFS('DETALLES UNIDADES'!$C$8:$C$987,"T2",'DETALLES UNIDADES'!$U$8:$U$987,"&lt;2.21",'DETALLES UNIDADES'!$D$8:$D$987,"&lt;1986")-BE6-BF5-BE5-BF4-BE4-BF3-BE3</f>
        <v>0</v>
      </c>
      <c r="BG6" s="249">
        <f>COUNTIFS('DETALLES UNIDADES'!$C$8:$C$987,"T2",'DETALLES UNIDADES'!$U$8:$U$987,"&lt;2.21",'DETALLES UNIDADES'!$D$8:$D$987,"&lt;1991")-BF6-BE6-BG5-BF5-BE5-BG4-BF4-BE4-BG3-BF3-BE3</f>
        <v>0</v>
      </c>
      <c r="BH6" s="249">
        <f>COUNTIFS('DETALLES UNIDADES'!$C$8:$C$987,"T2",'DETALLES UNIDADES'!$U$8:$U$987,"&lt;2.21",'DETALLES UNIDADES'!$D$8:$D$987,"&lt;1996")-BG6-BF6-BE6-BH5-BG5-BF5-BE5-BH4-BG4-BF4-BE4-BH3-BG3-BF3-BE3</f>
        <v>2</v>
      </c>
      <c r="BI6" s="249">
        <f>COUNTIFS('DETALLES UNIDADES'!$C$8:$C$987,"T2",'DETALLES UNIDADES'!$U$8:$U$987,"&lt;2.21",'DETALLES UNIDADES'!$D$8:$D$987,"&lt;2001")-BH6-BG6-BF6-BE6-BI5-BH5-BG5-BF5-BE5-BI4-BH4-BG4-BF4-BE4-BI3-BH3-BG3-BF3-BE3</f>
        <v>4</v>
      </c>
      <c r="BJ6" s="249">
        <f>COUNTIFS('DETALLES UNIDADES'!$C$8:$C$987,"T2",'DETALLES UNIDADES'!$U$8:$U$987,"&lt;2.21",'DETALLES UNIDADES'!$D$8:$D$987,"&lt;2006")-BI6-BH6-BG6-BF6-BE6-BJ5-BI5-BH5-BG5-BF5-BE5-BJ4-BI4-BH4-BG4-BF4-BE4-BJ3-BI3-BH3-BG3-BF3-BE3</f>
        <v>0</v>
      </c>
      <c r="BK6" s="249">
        <f>COUNTIFS('DETALLES UNIDADES'!$C$8:$C$987,"T2",'DETALLES UNIDADES'!$U$8:$U$987,"&lt;2.21",'DETALLES UNIDADES'!$D$8:$D$987,"&lt;2011")-BJ6-BI6-BH6-BG6-BF6-BE6-BK5-BJ5-BI5-BH5-BG5-BF5-BE5-BK4-BJ4-BI4-BH4-BG4-BF4-BE4-BK3-BJ3-BI3-BH3-BG3-BF3-BE3</f>
        <v>4</v>
      </c>
      <c r="BL6" s="249">
        <f>COUNTIFS('DETALLES UNIDADES'!$C$8:$C$987,"T2",'DETALLES UNIDADES'!$U$8:$U$987,"&lt;2.21",'DETALLES UNIDADES'!$D$8:$D$987,"&gt;2010")-BL5-BL4-BL3</f>
        <v>0</v>
      </c>
      <c r="BM6" s="249">
        <f t="shared" si="6"/>
        <v>10</v>
      </c>
      <c r="BP6" s="19" t="s">
        <v>1722</v>
      </c>
      <c r="BQ6" s="249">
        <f>COUNTIFS('DETALLES UNIDADES'!$C$8:$C$987,"T3",'DETALLES UNIDADES'!$U$8:$U$987,"&lt;2.21",'DETALLES UNIDADES'!$D$8:$D$987,"&lt;1980")-BQ5-BQ4-BQ3</f>
        <v>10</v>
      </c>
      <c r="BR6" s="249">
        <f>COUNTIFS('DETALLES UNIDADES'!$C$8:$C$987,"T3",'DETALLES UNIDADES'!$U$8:$U$987,"&lt;2.21",'DETALLES UNIDADES'!$D$8:$D$987,"&lt;1986")-BQ6-BR5-BQ5-BR4-BQ4-BR3-BQ3</f>
        <v>9</v>
      </c>
      <c r="BS6" s="249">
        <f>COUNTIFS('DETALLES UNIDADES'!$C$8:$C$987,"T3",'DETALLES UNIDADES'!$U$8:$U$987,"&lt;2.21",'DETALLES UNIDADES'!$D$8:$D$987,"&lt;1991")-BR6-BQ6-BS5-BR5-BQ5-BS4-BR4-BQ4-BS3-BR3-BQ3</f>
        <v>10</v>
      </c>
      <c r="BT6" s="249">
        <f>COUNTIFS('DETALLES UNIDADES'!$C$8:$C$987,"T3",'DETALLES UNIDADES'!$U$8:$U$987,"&lt;2.21",'DETALLES UNIDADES'!$D$8:$D$987,"&lt;1996")-BS6-BR6-BQ6-BT5-BS5-BR5-BQ5-BT4-BS4-BR4-BQ4-BT3-BS3-BR3-BQ3</f>
        <v>15</v>
      </c>
      <c r="BU6" s="249">
        <f>COUNTIFS('DETALLES UNIDADES'!$C$8:$C$987,"T3",'DETALLES UNIDADES'!$U$8:$U$987,"&lt;2.21",'DETALLES UNIDADES'!$D$8:$D$987,"&lt;2001")-BT6-BS6-BR6-BQ6-BU5-BT5-BS5-BR5-BQ5-BU4-BT4-BS4-BR4-BQ4-BU3-BT3-BS3-BR3-BQ3</f>
        <v>13</v>
      </c>
      <c r="BV6" s="249">
        <f>COUNTIFS('DETALLES UNIDADES'!$C$8:$C$987,"T3",'DETALLES UNIDADES'!$U$8:$U$987,"&lt;2.21",'DETALLES UNIDADES'!$D$8:$D$987,"&lt;2006")-BU6-BT6-BS6-BR6-BQ6-BV5-BU5-BT5-BS5-BR5-BQ5-BV4-BU4-BT4-BS4-BR4-BQ4-BV3-BU3-BT3-BS3-BR3-BQ3</f>
        <v>4</v>
      </c>
      <c r="BW6" s="249">
        <f>COUNTIFS('DETALLES UNIDADES'!$C$8:$C$987,"T3",'DETALLES UNIDADES'!$U$8:$U$987,"&lt;2.21",'DETALLES UNIDADES'!$D$8:$D$987,"&lt;2011")-BV6-BU6-BT6-BS6-BR6-BQ6-BW5-BV5-BU5-BT5-BS5-BR5-BQ5-BW4-BV4-BU4-BT4-BS4-BR4-BQ4-BW3-BV3-BU3-BT3-BS3-BR3-BQ3</f>
        <v>3</v>
      </c>
      <c r="BX6" s="249">
        <f>COUNTIFS('DETALLES UNIDADES'!$C$8:$C$987,"T3",'DETALLES UNIDADES'!$U$8:$U$987,"&lt;2.21",'DETALLES UNIDADES'!$D$8:$D$987,"&gt;2010")-BX5-BX4-BX3</f>
        <v>6</v>
      </c>
      <c r="BY6" s="249">
        <f t="shared" si="7"/>
        <v>70</v>
      </c>
      <c r="CA6" s="249">
        <v>1983</v>
      </c>
      <c r="CB6" s="144">
        <f>AVERAGEIFS('DATOS 2'!$F$5:$F$1437,'DATOS 2'!$D$5:$D$1437,CA6)</f>
        <v>2.15</v>
      </c>
      <c r="CC6" s="144">
        <f>AVERAGEIFS('DATOS 2'!$G$5:$G$1437,'DATOS 2'!$D$5:$D$1437,CA6)</f>
        <v>2.5785714285714287</v>
      </c>
      <c r="CD6" s="138">
        <f>AVERAGEIFS('DATOS 2'!$E$5:$E$1437,'DATOS 2'!$D$5:$D$1437,CA6)</f>
        <v>1708857.142857143</v>
      </c>
      <c r="CF6" s="9" t="s">
        <v>1880</v>
      </c>
      <c r="CG6" s="160">
        <f>AVERAGEIFS('DATOS 2'!$F$5:$F$1437,'DATOS 2'!$C$5:$C$1437,"C2",'DATOS 2'!$H$5:$H$1437,"D",'DATOS 2'!$D$5:$D$1437,"&gt;1990",'DATOS 2'!$D$5:$D$1437,"&lt;1996")</f>
        <v>2.6657142857142859</v>
      </c>
      <c r="CH6" s="160">
        <f>AVERAGEIFS('DATOS 2'!$G$5:$G$1437,'DATOS 2'!$C$5:$C$1437,"C2",'DATOS 2'!$H$5:$H$1437,"D",'DATOS 2'!$D$5:$D$1437,"&gt;1990",'DATOS 2'!$D$5:$D$1437,"&lt;1996")</f>
        <v>3.0914285714285707</v>
      </c>
      <c r="CL6" s="17" t="s">
        <v>2394</v>
      </c>
      <c r="CM6" s="6">
        <f t="shared" si="10"/>
        <v>8.3042568039078862E-2</v>
      </c>
      <c r="CN6" s="138">
        <f>COUNTIF('DATOS 2'!$D$5:$D$1437,"&gt;1974")-CN5-CN4-CN3</f>
        <v>119</v>
      </c>
      <c r="CP6" s="6">
        <f t="shared" si="11"/>
        <v>0.16050737441181392</v>
      </c>
      <c r="CQ6" s="138">
        <v>60410</v>
      </c>
      <c r="CS6" s="17" t="s">
        <v>263</v>
      </c>
      <c r="CT6" s="139">
        <f>+CV6/$CV$7</f>
        <v>0.38975501113585748</v>
      </c>
      <c r="CU6" s="139">
        <f>+CW6/$CW$7</f>
        <v>0.45652173913043476</v>
      </c>
      <c r="CV6" s="17">
        <f>COUNTIF('DATOS 1'!$AO$51:$AO$427,"X")</f>
        <v>175</v>
      </c>
      <c r="CW6" s="17">
        <f>COUNTIF('DATOS 1'!$AO$7:$AO$40,"X")</f>
        <v>21</v>
      </c>
      <c r="DB6" s="11">
        <f t="shared" si="8"/>
        <v>42</v>
      </c>
      <c r="DC6" s="9">
        <v>1972</v>
      </c>
      <c r="DD6" s="6">
        <f t="shared" si="12"/>
        <v>0</v>
      </c>
      <c r="DE6" s="6">
        <f t="shared" si="13"/>
        <v>0</v>
      </c>
      <c r="DF6" s="249">
        <f t="shared" si="14"/>
        <v>0</v>
      </c>
      <c r="DG6" s="249">
        <f>COUNTIFS('DATOS 2'!$K$5:$K$1437,"HC",'DATOS 2'!$D$5:$D$1437,DC6)</f>
        <v>0</v>
      </c>
      <c r="DH6" s="249">
        <f>COUNTIFS('DATOS 2'!$K$5:$K$1437,"PT",'DATOS 2'!$D$5:$D$1437,DC6)</f>
        <v>0</v>
      </c>
      <c r="DJ6" s="11" t="s">
        <v>946</v>
      </c>
      <c r="DK6" s="6">
        <f>DM6/$DM$9</f>
        <v>0.64583333333333337</v>
      </c>
      <c r="DL6" s="6">
        <f>+DN6/$DN$9</f>
        <v>0.37861271676300579</v>
      </c>
      <c r="DM6" s="250">
        <f>COUNTIFS('DATOS 2'!$K$5:$K$984,"PT",'DATOS 2'!$O$5:$O$984,"X")</f>
        <v>186</v>
      </c>
      <c r="DN6" s="250">
        <f>COUNTIFS('DATOS 2'!$K$5:$K$984,"HC",'DATOS 2'!$O$5:$O$984,"X")</f>
        <v>262</v>
      </c>
      <c r="DP6" s="123" t="s">
        <v>20</v>
      </c>
      <c r="DQ6" s="6">
        <f t="shared" ref="DQ6:DQ13" si="18">+DS6/$DS$13</f>
        <v>9.0909090909090912E-2</v>
      </c>
      <c r="DR6" s="6">
        <f t="shared" ref="DR6:DR13" si="19">+DT6/$DT$13</f>
        <v>0.1227810650887574</v>
      </c>
      <c r="DS6" s="249">
        <f>+'DATOS 1'!AA42</f>
        <v>7</v>
      </c>
      <c r="DT6" s="249">
        <f>+'DATOS 1'!AA429</f>
        <v>83</v>
      </c>
      <c r="DV6" s="11" t="s">
        <v>2375</v>
      </c>
      <c r="DW6" s="138">
        <f>COUNTIFS('DATOS 2'!$J$5:$J$1437,"&lt;5001",'DATOS 2'!$F$5:$F$1437,"&lt;1.6")-DW5</f>
        <v>22</v>
      </c>
      <c r="DX6" s="138">
        <f>COUNTIFS('DATOS 2'!$J$5:$J$1437,"&lt;5001",'DATOS 2'!$F$5:$F$1437,"&lt;1.90")-DX5-DW5-DW6</f>
        <v>54</v>
      </c>
      <c r="DY6" s="138">
        <f>COUNTIFS('DATOS 2'!$J$5:$J$1437,"&lt;5001",'DATOS 2'!$F$5:$F$1437,"&lt;2.01")-DY5-DX5-DX6-DW5-DW6</f>
        <v>117</v>
      </c>
      <c r="DZ6" s="138">
        <f>COUNTIFS('DATOS 2'!$J$5:$J$1437,"&lt;5001",'DATOS 2'!$F$5:$F$1437,"&lt;2.21")-DZ5-DY5-DY6-DX5-DX6-DW5-DW6</f>
        <v>40</v>
      </c>
      <c r="EA6" s="138">
        <f>COUNTIFS('DATOS 2'!$J$5:$J$1437,"&lt;5001",'DATOS 2'!$F$5:$F$1437,"&lt;2.51")-EA5-DZ5-DZ6-DY5-DY6-DX5-DX6-DW5-DW6</f>
        <v>63</v>
      </c>
      <c r="EB6" s="138">
        <f>COUNTIFS('DATOS 2'!$J$5:$J$1437,"&lt;5001",'DATOS 2'!$F$5:$F$1437,"&lt;3.01")-EB5-EA5-EA6-DZ5-DZ6-DY5-DY6-DX5-DX6-DW5-DW6</f>
        <v>60</v>
      </c>
      <c r="EC6" s="138">
        <f>COUNTIFS('DATOS 2'!$J$5:$J$1437,"&lt;5001",'DATOS 2'!$F$5:$F$1437,"&lt;4.01")-EC5-EB5-EB6-EA5-EA6-DZ5-DZ6-DY5-DY6-DX5-DX6-DW5-DW6</f>
        <v>66</v>
      </c>
      <c r="ED6" s="138">
        <f>COUNTIFS('DATOS 2'!$J$5:$J$1437,"&lt;5001",'DATOS 2'!$F$5:$F$1437,"&lt;5.01")-ED5-EC5-EC6-EB5-EB6-EA5-EA6-DZ5-DZ6-DY5-DY6-DX5-DX6-DW5-DW6</f>
        <v>29</v>
      </c>
      <c r="EE6" s="138">
        <f>COUNTIFS('DATOS 2'!$J$5:$J$1437,"&lt;5001",'DATOS 2'!$F$5:$F$1437,"&gt;5.0")-EE5</f>
        <v>19</v>
      </c>
      <c r="EF6" s="249">
        <f t="shared" ref="EF6:EF11" si="20">SUM(DW6:EE6)</f>
        <v>470</v>
      </c>
      <c r="EG6" s="249">
        <v>470</v>
      </c>
      <c r="EI6" s="249" t="s">
        <v>2417</v>
      </c>
      <c r="EJ6" s="6">
        <f t="shared" si="16"/>
        <v>6.2827225130890049E-2</v>
      </c>
      <c r="EK6" s="6">
        <f t="shared" si="17"/>
        <v>0.12791991101223582</v>
      </c>
      <c r="EL6" s="249">
        <f>COUNTIFS('DATOS 2'!$K$5:$K$1437,"PT",'DATOS 2'!$Z$5:$Z$1437,"&gt;20%")-EL5-EL4</f>
        <v>24</v>
      </c>
      <c r="EM6" s="249">
        <f>COUNTIFS('DATOS 2'!$K$5:$K$1437,"HC",'DATOS 2'!$Z$5:$Z$1437,"&gt;20%")-EM5-EM4</f>
        <v>115</v>
      </c>
    </row>
    <row r="7" spans="2:143" x14ac:dyDescent="0.25">
      <c r="B7" s="11" t="s">
        <v>1871</v>
      </c>
      <c r="C7" s="159">
        <f t="shared" si="0"/>
        <v>0.1856763925729443</v>
      </c>
      <c r="D7" s="159">
        <f t="shared" si="1"/>
        <v>0.23529411764705882</v>
      </c>
      <c r="E7" s="11">
        <f>COUNTIF('DATOS 1'!$E$51:$E$427,"&lt;56")-E6-E5-E4-E3</f>
        <v>70</v>
      </c>
      <c r="F7" s="11">
        <f>COUNTIF('DATOS 1'!$E$7:$E$40,"&lt;56")-F6-F5-F4-F3</f>
        <v>8</v>
      </c>
      <c r="G7" s="11"/>
      <c r="H7" s="11"/>
      <c r="J7" s="11" t="s">
        <v>811</v>
      </c>
      <c r="K7" s="159">
        <f t="shared" si="2"/>
        <v>9.0185676392572939E-2</v>
      </c>
      <c r="L7" s="159">
        <f t="shared" si="3"/>
        <v>0.11764705882352941</v>
      </c>
      <c r="M7" s="11">
        <f>COUNTIF('DATOS 1'!$K$51:$K$427,"&lt;26")-M6-M5-M4-M3</f>
        <v>34</v>
      </c>
      <c r="N7" s="11">
        <f>COUNTIF('DATOS 1'!$K$7:$K$40,"&lt;26")-N6-N5-N4-N3</f>
        <v>4</v>
      </c>
      <c r="Q7" s="11"/>
      <c r="R7" s="161"/>
      <c r="S7" s="249" t="s">
        <v>1713</v>
      </c>
      <c r="T7" s="249">
        <f>COUNTIFS('DETALLES UNIDADES'!$D$8:$D$987,"&lt;1980",'DETALLES UNIDADES'!$J$8:$J$987,"&lt;1000000")-T6-T5</f>
        <v>2</v>
      </c>
      <c r="U7" s="249">
        <f>COUNTIFS('DETALLES UNIDADES'!$D$8:$D$987,"&lt;1986",'DETALLES UNIDADES'!$J$8:$J$987,"&lt;1000000")-T7-U6-U5-T5-T6</f>
        <v>9</v>
      </c>
      <c r="V7" s="249">
        <f>COUNTIFS('DETALLES UNIDADES'!$D$8:$D$987,"&lt;1991",'DETALLES UNIDADES'!$J$8:$J$987,"&lt;1000000")-U7-T7-V6-V5-U5-U6-T5-T6</f>
        <v>15</v>
      </c>
      <c r="W7" s="249">
        <f>COUNTIFS('DETALLES UNIDADES'!$D$8:$D$987,"&lt;1996",'DETALLES UNIDADES'!$J$8:$J$987,"&lt;1000000")-V7-U7-T7-W6-W5-V5-V6-U5-U6-T5-T6</f>
        <v>33</v>
      </c>
      <c r="X7" s="249">
        <f>COUNTIFS('DETALLES UNIDADES'!$D$8:$D$987,"&lt;2001",'DETALLES UNIDADES'!$J$8:$J$987,"&lt;1000000")-W7-V7-U7-T7-X6-X5-W5-W6-V5-V6-U5-U6-T5-T6</f>
        <v>73</v>
      </c>
      <c r="Y7" s="249">
        <f>COUNTIFS('DETALLES UNIDADES'!$D$8:$D$987,"&lt;2006",'DETALLES UNIDADES'!$J$8:$J$987,"&lt;1000000")-X7-W7-V7-U7-T7-Y6-Y5-X5-X6-W5-W6-V5-V6-U5-U6-T5-T6</f>
        <v>117</v>
      </c>
      <c r="Z7" s="249">
        <f>COUNTIFS('DETALLES UNIDADES'!$D$8:$D$987,"&lt;2011",'DETALLES UNIDADES'!$J$8:$J$987,"&lt;1000000")-Y7-X7-W7-V7-U7-T7-Z6-Z5-Y5-Y6-X5-X6-W5-W6-V5-V6-U5-U6-T5-T6</f>
        <v>96</v>
      </c>
      <c r="AA7" s="249">
        <f>COUNTIFS('DETALLES UNIDADES'!$D$8:$D$987,"&gt;2010",'DETALLES UNIDADES'!$J$8:$J$987,"&lt;1000000")-AA6-AA5</f>
        <v>5</v>
      </c>
      <c r="AB7" s="249">
        <f t="shared" si="9"/>
        <v>350</v>
      </c>
      <c r="AC7" s="249">
        <v>350</v>
      </c>
      <c r="AD7" s="17">
        <f t="shared" ref="AD7:AD12" si="21">+AB7-AC7</f>
        <v>0</v>
      </c>
      <c r="AF7" s="19" t="s">
        <v>1723</v>
      </c>
      <c r="AG7" s="249">
        <f>COUNTIFS('DETALLES UNIDADES'!$C$8:$C$987,"C2",'DETALLES UNIDADES'!$U$8:$U$987,"&lt;2.51",'DETALLES UNIDADES'!$D$8:$D$987,"&lt;1980")-AG6-AG5-AG4-AG3</f>
        <v>1</v>
      </c>
      <c r="AH7" s="249">
        <f>COUNTIFS('DETALLES UNIDADES'!$C$8:$C$987,"C2",'DETALLES UNIDADES'!$U$8:$U$987,"&lt;2.51",'DETALLES UNIDADES'!$D$8:$D$987,"&lt;1986")-AG7-AH6-AG6-AH5-AG5-AH4-AG4-AH3-AG3</f>
        <v>3</v>
      </c>
      <c r="AI7" s="249">
        <f>COUNTIFS('DETALLES UNIDADES'!$C$8:$C$987,"C2",'DETALLES UNIDADES'!$U$8:$U$987,"&lt;2.51",'DETALLES UNIDADES'!$D$8:$D$987,"&lt;1991")-AH7-AG7-AI6-AH6-AG6-AI5-AH5-AG5-AI4-AH4-AG4-AI3-AH3-AG3</f>
        <v>1</v>
      </c>
      <c r="AJ7" s="249">
        <f>COUNTIFS('DETALLES UNIDADES'!$C$8:$C$987,"C2",'DETALLES UNIDADES'!$U$8:$U$987,"&lt;2.51",'DETALLES UNIDADES'!$D$8:$D$987,"&lt;1996")-AI7-AH7-AG7-AJ6-AI6-AH6-AG6-AJ5-AI5-AH5-AG5-AJ4-AI4-AH4-AG4-AJ3-AI3-AH3-AG3</f>
        <v>10</v>
      </c>
      <c r="AK7" s="249">
        <f>COUNTIFS('DETALLES UNIDADES'!$C$8:$C$987,"C2",'DETALLES UNIDADES'!$U$8:$U$987,"&lt;2.51",'DETALLES UNIDADES'!$D$8:$D$987,"&lt;2001")-AJ7-AI7-AH7-AG7-AK6-AJ6-AI6-AH6-AG6-AK5-AJ5-AI5-AH5-AG5-AK4-AJ4-AI4-AH4-AG4-AK3-AJ3-AI3-AH3-AG3</f>
        <v>0</v>
      </c>
      <c r="AL7" s="249">
        <f>COUNTIFS('DETALLES UNIDADES'!$C$8:$C$987,"C2",'DETALLES UNIDADES'!$U$8:$U$987,"&lt;2.51",'DETALLES UNIDADES'!$D$8:$D$987,"&lt;2006")-AK7-AJ7-AI7-AH7-AG7-AL6-AK6-AJ6-AI6-AH6-AG6-AL5-AK5-AJ5-AI5-AH5-AG5-AL4-AK4-AJ4-AI4-AH4-AG4-AL3-AK3-AJ3-AI3-AH3-AG3</f>
        <v>7</v>
      </c>
      <c r="AM7" s="249">
        <f>COUNTIFS('DETALLES UNIDADES'!$C$8:$C$987,"C2",'DETALLES UNIDADES'!$U$8:$U$987,"&lt;2.51",'DETALLES UNIDADES'!$D$8:$D$987,"&lt;2011")-AL7-AK7-AJ7-AI7-AH7-AG7-AM6-AL6-AK6-AJ6-AI6-AH6-AG6-AM5-AL5-AK5-AJ5-AI5-AH5-AG5-AM4-AL4-AK4-AJ4-AI4-AH4-AG4-AM3-AL3-AK3-AJ3-AI3-AH3-AG3</f>
        <v>8</v>
      </c>
      <c r="AN7" s="249">
        <f>COUNTIFS('DETALLES UNIDADES'!$C$8:$C$987,"C2",'DETALLES UNIDADES'!$U$8:$U$987,"&lt;2.51",'DETALLES UNIDADES'!$D$8:$D$987,"&gt;2010")-AN6-AN5-AN4-AN3</f>
        <v>6</v>
      </c>
      <c r="AO7" s="249">
        <f t="shared" si="4"/>
        <v>36</v>
      </c>
      <c r="AR7" s="19" t="s">
        <v>1723</v>
      </c>
      <c r="AS7" s="249">
        <f>COUNTIFS('DETALLES UNIDADES'!$C$8:$C$987,"C3",'DETALLES UNIDADES'!$U$8:$U$987,"&lt;2.51",'DETALLES UNIDADES'!$D$8:$D$987,"&lt;1980")-AS6-AS5-AS4-AS3</f>
        <v>1</v>
      </c>
      <c r="AT7" s="249">
        <f>COUNTIFS('DETALLES UNIDADES'!$C$8:$C$987,"C3",'DETALLES UNIDADES'!$U$8:$U$987,"&lt;2.51",'DETALLES UNIDADES'!$D$8:$D$987,"&lt;1986")-AS7-AT6-AS6-AT5-AS5-AT4-AS4-AT3-AS3</f>
        <v>19</v>
      </c>
      <c r="AU7" s="249">
        <f>COUNTIFS('DETALLES UNIDADES'!$C$8:$C$987,"C3",'DETALLES UNIDADES'!$U$8:$U$987,"&lt;2.51",'DETALLES UNIDADES'!$D$8:$D$987,"&lt;1991")-AT7-AS7-AU6-AT6-AS6-AU5-AT5-AS5-AU4-AT4-AS4-AU3-AT3-AS3</f>
        <v>8</v>
      </c>
      <c r="AV7" s="249">
        <f>COUNTIFS('DETALLES UNIDADES'!$C$8:$C$987,"C3",'DETALLES UNIDADES'!$U$8:$U$987,"&lt;2.51",'DETALLES UNIDADES'!$D$8:$D$987,"&lt;1996")-AU7-AT7-AS7-AV6-AU6-AT6-AS6-AV5-AU5-AT5-AS5-AV4-AU4-AT4-AS4-AV3-AU3-AT3-AS3</f>
        <v>10</v>
      </c>
      <c r="AW7" s="249">
        <f>COUNTIFS('DETALLES UNIDADES'!$C$8:$C$987,"C3",'DETALLES UNIDADES'!$U$8:$U$987,"&lt;2.51",'DETALLES UNIDADES'!$D$8:$D$987,"&lt;2001")-AV7-AU7-AT7-AS7-AW6-AV6-AU6-AT6-AS6-AW5-AV5-AU5-AT5-AS5-AW4-AV4-AU4-AT4-AS4-AW3-AV3-AU3-AT3-AS3</f>
        <v>4</v>
      </c>
      <c r="AX7" s="249">
        <f>COUNTIFS('DETALLES UNIDADES'!$C$8:$C$987,"C3",'DETALLES UNIDADES'!$U$8:$U$987,"&lt;2.51",'DETALLES UNIDADES'!$D$8:$D$987,"&lt;2006")-AW7-AV7-AU7-AT7-AS7-AX6-AW6-AV6-AU6-AT6-AS6-AX5-AW5-AV5-AU5-AT5-AS5-AX4-AW4-AV4-AU4-AT4-AS4-AX3-AW3-AV3-AU3-AT3-AS3</f>
        <v>6</v>
      </c>
      <c r="AY7" s="249">
        <f>COUNTIFS('DETALLES UNIDADES'!$C$8:$C$987,"C3",'DETALLES UNIDADES'!$U$8:$U$987,"&lt;2.51",'DETALLES UNIDADES'!$D$8:$D$987,"&lt;2011")-AX7-AW7-AV7-AU7-AT7-AS7-AY6-AX6-AW6-AV6-AU6-AT6-AS6-AY5-AX5-AW5-AV5-AU5-AT5-AS5-AY4-AX4-AW4-AV4-AU4-AT4-AS4-AY3-AX3-AW3-AV3-AU3-AT3-AS3</f>
        <v>2</v>
      </c>
      <c r="AZ7" s="249">
        <f>COUNTIFS('DETALLES UNIDADES'!$C$8:$C$987,"C3",'DETALLES UNIDADES'!$U$8:$U$987,"&lt;2.51",'DETALLES UNIDADES'!$D$8:$D$987,"&gt;2010")-AZ6-AZ5-AZ4-AZ3</f>
        <v>1</v>
      </c>
      <c r="BA7" s="249">
        <f t="shared" si="5"/>
        <v>51</v>
      </c>
      <c r="BD7" s="19" t="s">
        <v>1723</v>
      </c>
      <c r="BE7" s="249">
        <f>COUNTIFS('DETALLES UNIDADES'!$C$8:$C$987,"T2",'DETALLES UNIDADES'!$U$8:$U$987,"&lt;2.51",'DETALLES UNIDADES'!$D$8:$D$987,"&lt;1980")-BE6-BE5-BE4-BE3</f>
        <v>0</v>
      </c>
      <c r="BF7" s="249">
        <f>COUNTIFS('DETALLES UNIDADES'!$C$8:$C$987,"T2",'DETALLES UNIDADES'!$U$8:$U$987,"&lt;2.51",'DETALLES UNIDADES'!$D$8:$D$987,"&lt;1986")-BE7-BF6-BE6-BF5-BE5-BF4-BE4-BF3-BE3</f>
        <v>0</v>
      </c>
      <c r="BG7" s="249">
        <f>COUNTIFS('DETALLES UNIDADES'!$C$8:$C$987,"T2",'DETALLES UNIDADES'!$U$8:$U$987,"&lt;2.51",'DETALLES UNIDADES'!$D$8:$D$987,"&lt;1991")-BF7-BE7-BG6-BF6-BE6-BG5-BF5-BE5-BG4-BF4-BE4-BG3-BF3-BE3</f>
        <v>0</v>
      </c>
      <c r="BH7" s="249">
        <f>COUNTIFS('DETALLES UNIDADES'!$C$8:$C$987,"T2",'DETALLES UNIDADES'!$U$8:$U$987,"&lt;2.51",'DETALLES UNIDADES'!$D$8:$D$987,"&lt;1996")-BG7-BF7-BE7-BH6-BG6-BF6-BE6-BH5-BG5-BF5-BE5-BH4-BG4-BF4-BE4-BH3-BG3-BF3-BE3</f>
        <v>0</v>
      </c>
      <c r="BI7" s="249">
        <f>COUNTIFS('DETALLES UNIDADES'!$C$8:$C$987,"T2",'DETALLES UNIDADES'!$U$8:$U$987,"&lt;2.51",'DETALLES UNIDADES'!$D$8:$D$987,"&lt;2001")-BH7-BG7-BF7-BE7-BI6-BH6-BG6-BF6-BE6-BI5-BH5-BG5-BF5-BE5-BI4-BH4-BG4-BF4-BE4-BI3-BH3-BG3-BF3-BE3</f>
        <v>0</v>
      </c>
      <c r="BJ7" s="249">
        <f>COUNTIFS('DETALLES UNIDADES'!$C$8:$C$987,"T2",'DETALLES UNIDADES'!$U$8:$U$987,"&lt;2.51",'DETALLES UNIDADES'!$D$8:$D$987,"&lt;2006")-BI7-BH7-BG7-BF7-BE7-BJ6-BI6-BH6-BG6-BF6-BE6-BJ5-BI5-BH5-BG5-BF5-BE5-BJ4-BI4-BH4-BG4-BF4-BE4-BJ3-BI3-BH3-BG3-BF3-BE3</f>
        <v>5</v>
      </c>
      <c r="BK7" s="249">
        <f>COUNTIFS('DETALLES UNIDADES'!$C$8:$C$987,"T2",'DETALLES UNIDADES'!$U$8:$U$987,"&lt;2.51",'DETALLES UNIDADES'!$D$8:$D$987,"&lt;2011")-BJ7-BI7-BH7-BG7-BF7-BE7-BK6-BJ6-BI6-BH6-BG6-BF6-BE6-BK5-BJ5-BI5-BH5-BG5-BF5-BE5-BK4-BJ4-BI4-BH4-BG4-BF4-BE4-BK3-BJ3-BI3-BH3-BG3-BF3-BE3</f>
        <v>0</v>
      </c>
      <c r="BL7" s="249">
        <f>COUNTIFS('DETALLES UNIDADES'!$C$8:$C$987,"T2",'DETALLES UNIDADES'!$U$8:$U$987,"&lt;2.51",'DETALLES UNIDADES'!$D$8:$D$987,"&gt;2010")-BL6-BL5-BL4-BL3</f>
        <v>1</v>
      </c>
      <c r="BM7" s="249">
        <f t="shared" si="6"/>
        <v>6</v>
      </c>
      <c r="BP7" s="19" t="s">
        <v>1723</v>
      </c>
      <c r="BQ7" s="249">
        <f>COUNTIFS('DETALLES UNIDADES'!$C$8:$C$987,"T3",'DETALLES UNIDADES'!$U$8:$U$987,"&lt;2.51",'DETALLES UNIDADES'!$D$8:$D$987,"&lt;1980")-BQ6-BQ5-BQ4-BQ3</f>
        <v>0</v>
      </c>
      <c r="BR7" s="249">
        <f>COUNTIFS('DETALLES UNIDADES'!$C$8:$C$987,"T3",'DETALLES UNIDADES'!$U$8:$U$987,"&lt;2.51",'DETALLES UNIDADES'!$D$8:$D$987,"&lt;1986")-BQ7-BR6-BQ6-BR5-BQ5-BR4-BQ4-BR3-BQ3</f>
        <v>4</v>
      </c>
      <c r="BS7" s="249">
        <f>COUNTIFS('DETALLES UNIDADES'!$C$8:$C$987,"T3",'DETALLES UNIDADES'!$U$8:$U$987,"&lt;2.51",'DETALLES UNIDADES'!$D$8:$D$987,"&lt;1991")-BR7-BQ7-BS6-BR6-BQ6-BS5-BR5-BQ5-BS4-BR4-BQ4-BS3-BR3-BQ3</f>
        <v>4</v>
      </c>
      <c r="BT7" s="249">
        <f>COUNTIFS('DETALLES UNIDADES'!$C$8:$C$987,"T3",'DETALLES UNIDADES'!$U$8:$U$987,"&lt;2.51",'DETALLES UNIDADES'!$D$8:$D$987,"&lt;1996")-BS7-BR7-BQ7-BT6-BS6-BR6-BQ6-BT5-BS5-BR5-BQ5-BT4-BS4-BR4-BQ4-BT3-BS3-BR3-BQ3</f>
        <v>26</v>
      </c>
      <c r="BU7" s="249">
        <f>COUNTIFS('DETALLES UNIDADES'!$C$8:$C$987,"T3",'DETALLES UNIDADES'!$U$8:$U$987,"&lt;2.51",'DETALLES UNIDADES'!$D$8:$D$987,"&lt;2001")-BT7-BS7-BR7-BQ7-BU6-BT6-BS6-BR6-BQ6-BU5-BT5-BS5-BR5-BQ5-BU4-BT4-BS4-BR4-BQ4-BU3-BT3-BS3-BR3-BQ3</f>
        <v>38</v>
      </c>
      <c r="BV7" s="249">
        <f>COUNTIFS('DETALLES UNIDADES'!$C$8:$C$987,"T3",'DETALLES UNIDADES'!$U$8:$U$987,"&lt;2.51",'DETALLES UNIDADES'!$D$8:$D$987,"&lt;2006")-BU7-BT7-BS7-BR7-BQ7-BV6-BU6-BT6-BS6-BR6-BQ6-BV5-BU5-BT5-BS5-BR5-BQ5-BV4-BU4-BT4-BS4-BR4-BQ4-BV3-BU3-BT3-BS3-BR3-BQ3</f>
        <v>13</v>
      </c>
      <c r="BW7" s="249">
        <f>COUNTIFS('DETALLES UNIDADES'!$C$8:$C$987,"T3",'DETALLES UNIDADES'!$U$8:$U$987,"&lt;2.51",'DETALLES UNIDADES'!$D$8:$D$987,"&lt;2011")-BV7-BU7-BT7-BS7-BR7-BQ7-BW6-BV6-BU6-BT6-BS6-BR6-BQ6-BW5-BV5-BU5-BT5-BS5-BR5-BQ5-BW4-BV4-BU4-BT4-BS4-BR4-BQ4-BW3-BV3-BU3-BT3-BS3-BR3-BQ3</f>
        <v>30</v>
      </c>
      <c r="BX7" s="249">
        <f>COUNTIFS('DETALLES UNIDADES'!$C$8:$C$987,"T3",'DETALLES UNIDADES'!$U$8:$U$987,"&lt;2.51",'DETALLES UNIDADES'!$D$8:$D$987,"&gt;2010")-BX6-BX5-BX4-BX3</f>
        <v>47</v>
      </c>
      <c r="BY7" s="249">
        <f t="shared" si="7"/>
        <v>162</v>
      </c>
      <c r="CA7" s="249">
        <v>1984</v>
      </c>
      <c r="CB7" s="144">
        <f>AVERAGEIFS('DATOS 2'!$F$5:$F$1437,'DATOS 2'!$D$5:$D$1437,CA7)</f>
        <v>2.2769230769230768</v>
      </c>
      <c r="CC7" s="144">
        <f>AVERAGEIFS('DATOS 2'!$G$5:$G$1437,'DATOS 2'!$D$5:$D$1437,CA7)</f>
        <v>2.7230769230769232</v>
      </c>
      <c r="CD7" s="138">
        <f>AVERAGEIFS('DATOS 2'!$E$5:$E$1437,'DATOS 2'!$D$5:$D$1437,CA7)</f>
        <v>1616793.8461538462</v>
      </c>
      <c r="CF7" s="9" t="s">
        <v>1881</v>
      </c>
      <c r="CG7" s="160">
        <f>AVERAGEIFS('DATOS 2'!$F$5:$F$1437,'DATOS 2'!$C$5:$C$1437,"C2",'DATOS 2'!$H$5:$H$1437,"D",'DATOS 2'!$D$5:$D$1437,"&gt;1995",'DATOS 2'!$D$5:$D$1437,"&lt;2001")</f>
        <v>2.7583333333333329</v>
      </c>
      <c r="CH7" s="160">
        <f>AVERAGEIFS('DATOS 2'!$G$5:$G$1437,'DATOS 2'!$C$5:$C$1437,"C2",'DATOS 2'!$D$5:$D$1437,"&gt;1995",'DATOS 2'!$D$5:$D$1437,"&lt;2001")</f>
        <v>3.436363636363637</v>
      </c>
      <c r="CL7" s="17" t="s">
        <v>2395</v>
      </c>
      <c r="CM7" s="6">
        <f t="shared" si="10"/>
        <v>4.1870202372644803E-3</v>
      </c>
      <c r="CN7" s="138">
        <f>COUNTIF('DATOS 2'!$D$5:$D$1437,"&gt;1964")-CN6-CN5-CN4-CN3</f>
        <v>6</v>
      </c>
      <c r="CP7" s="6">
        <f t="shared" si="11"/>
        <v>3.6761794940603505E-2</v>
      </c>
      <c r="CQ7" s="138">
        <v>13836</v>
      </c>
      <c r="CS7" s="17" t="s">
        <v>715</v>
      </c>
      <c r="CT7" s="139">
        <f>+CV7/$CV$7</f>
        <v>1</v>
      </c>
      <c r="CU7" s="139">
        <f>+CW7/$CW$7</f>
        <v>1</v>
      </c>
      <c r="CV7" s="17">
        <f>SUM(CV3:CV6)</f>
        <v>449</v>
      </c>
      <c r="CW7" s="17">
        <f>SUM(CW3:CW6)</f>
        <v>46</v>
      </c>
      <c r="DB7" s="11">
        <f t="shared" si="8"/>
        <v>41</v>
      </c>
      <c r="DC7" s="9">
        <v>1973</v>
      </c>
      <c r="DD7" s="6">
        <f t="shared" si="12"/>
        <v>2.9382957884427031E-3</v>
      </c>
      <c r="DE7" s="6">
        <f t="shared" si="13"/>
        <v>0</v>
      </c>
      <c r="DF7" s="249">
        <f t="shared" si="14"/>
        <v>3</v>
      </c>
      <c r="DG7" s="249">
        <f>COUNTIFS('DATOS 2'!$K$5:$K$1437,"HC",'DATOS 2'!$D$5:$D$1437,DC7)</f>
        <v>3</v>
      </c>
      <c r="DH7" s="249">
        <f>COUNTIFS('DATOS 2'!$K$5:$K$1437,"PT",'DATOS 2'!$D$5:$D$1437,DC7)</f>
        <v>0</v>
      </c>
      <c r="DJ7" s="11" t="s">
        <v>1680</v>
      </c>
      <c r="DK7" s="6">
        <f t="shared" ref="DK7:DK9" si="22">DM7/$DM$9</f>
        <v>0.1423611111111111</v>
      </c>
      <c r="DL7" s="6">
        <f t="shared" ref="DL7:DL9" si="23">+DN7/$DN$9</f>
        <v>0.28468208092485547</v>
      </c>
      <c r="DM7" s="250">
        <f>COUNTIFS('DATOS 2'!$K$5:$K$984,"PT",'DATOS 2'!$P$5:$P$984,"X")</f>
        <v>41</v>
      </c>
      <c r="DN7" s="250">
        <f>COUNTIFS('DATOS 2'!$K$5:$K$984,"HC",'DATOS 2'!$P$5:$P$984,"X")</f>
        <v>197</v>
      </c>
      <c r="DP7" s="123" t="s">
        <v>2409</v>
      </c>
      <c r="DQ7" s="6">
        <f t="shared" si="18"/>
        <v>9.0909090909090912E-2</v>
      </c>
      <c r="DR7" s="6">
        <f t="shared" si="19"/>
        <v>6.5088757396449703E-2</v>
      </c>
      <c r="DS7" s="249">
        <f>+'DATOS 1'!AB43</f>
        <v>7</v>
      </c>
      <c r="DT7" s="249">
        <f>+'DATOS 1'!AB430</f>
        <v>44</v>
      </c>
      <c r="DV7" s="11" t="s">
        <v>952</v>
      </c>
      <c r="DW7" s="138">
        <f>COUNTIFS('DATOS 2'!$J$5:$J$1437,"&lt;7501",'DATOS 2'!$F$5:$F$1437,"&lt;1.6")-DW6-DW5</f>
        <v>13</v>
      </c>
      <c r="DX7" s="138">
        <f>COUNTIFS('DATOS 2'!$J$5:$J$1437,"&lt;7501",'DATOS 2'!$F$5:$F$1437,"&lt;1.91")-DX6-DX5-DW5-DW6-DW7</f>
        <v>86</v>
      </c>
      <c r="DY7" s="138">
        <f>COUNTIFS('DATOS 2'!$J$5:$J$1437,"&lt;7501",'DATOS 2'!$F$5:$F$1437,"&lt;2.01")-DY6-DY5-DX5-DX6-DX7-DW5-DW6-DW7</f>
        <v>0</v>
      </c>
      <c r="DZ7" s="138">
        <f>COUNTIFS('DATOS 2'!$J$5:$J$1437,"&lt;7501",'DATOS 2'!$F$5:$F$1437,"&lt;2.21")-DZ6-DZ5-DY5-DY6-DY7-DX5-DX6-DX7-DW5-DW6-DW7</f>
        <v>60</v>
      </c>
      <c r="EA7" s="138">
        <f>COUNTIFS('DATOS 2'!$J$5:$J$1437,"&lt;7501",'DATOS 2'!$F$5:$F$1437,"&lt;2.51")-EA6-EA5-DZ5-DZ6-DZ7-DY5-DY6-DY7-DX5-DX6-DX7-DW5-DW6-DW7</f>
        <v>36</v>
      </c>
      <c r="EB7" s="138">
        <f>COUNTIFS('DATOS 2'!$J$5:$J$1437,"&lt;7501",'DATOS 2'!$F$5:$F$1437,"&lt;3.01")-EB6-EB5-EA5-EA6-EA7-DZ5-DZ6-DZ7-DY5-DY6-DY7-DX5-DX6-DX7-DW5-DW6-DW7</f>
        <v>25</v>
      </c>
      <c r="EC7" s="138">
        <f>COUNTIFS('DATOS 2'!$J$5:$J$1437,"&lt;7501",'DATOS 2'!$F$5:$F$1437,"&lt;4.01")-EC6-EC5-EB5-EB6-EB7-EA5-EA6-EA7-DZ5-DZ6-DZ7-DY5-DY6-DY7-DX5-DX6-DX7-DW5-DW6-DW7</f>
        <v>36</v>
      </c>
      <c r="ED7" s="138">
        <f>COUNTIFS('DATOS 2'!$J$5:$J$1437,"&lt;7501",'DATOS 2'!$F$5:$F$1437,"&lt;5.01")-ED6-ED5-EC5-EC6-EC7-EB5-EB6-EB7-EA5-EA6-EA7-DZ5-DZ6-DZ7-DY5-DY6-DY7-DX5-DX6-DX7-DW5-DW6-DW7</f>
        <v>11</v>
      </c>
      <c r="EE7" s="138">
        <f>COUNTIFS('DATOS 2'!$J$5:$J$1437,"&lt;7501",'DATOS 2'!$F$5:$F$1437,"&gt;5.0")-EE6-EE5</f>
        <v>2</v>
      </c>
      <c r="EF7" s="249">
        <f t="shared" si="20"/>
        <v>269</v>
      </c>
      <c r="EG7" s="249">
        <v>269</v>
      </c>
      <c r="EI7" s="249" t="s">
        <v>2418</v>
      </c>
      <c r="EJ7" s="6">
        <f t="shared" si="16"/>
        <v>0.112565445026178</v>
      </c>
      <c r="EK7" s="6">
        <f t="shared" si="17"/>
        <v>9.7886540600667413E-2</v>
      </c>
      <c r="EL7" s="249">
        <f>COUNTIFS('DATOS 2'!$K$5:$K$1437,"PT",'DATOS 2'!$Z$5:$Z$1437,"&gt;10%")-EL6-EL5-EL4</f>
        <v>43</v>
      </c>
      <c r="EM7" s="249">
        <f>COUNTIFS('DATOS 2'!$K$5:$K$1437,"HC",'DATOS 2'!$Z$5:$Z$1437,"&gt;10%")-EM6-EM5-EM4</f>
        <v>88</v>
      </c>
    </row>
    <row r="8" spans="2:143" ht="25.5" x14ac:dyDescent="0.25">
      <c r="B8" s="11" t="s">
        <v>1657</v>
      </c>
      <c r="C8" s="159">
        <f t="shared" si="0"/>
        <v>9.5490716180371346E-2</v>
      </c>
      <c r="D8" s="159">
        <f t="shared" si="1"/>
        <v>0.17647058823529413</v>
      </c>
      <c r="E8" s="11">
        <f>COUNTIF('DATOS 1'!$E$51:$E$427,"&lt;61")-E7-E6-E5-E4-E3</f>
        <v>36</v>
      </c>
      <c r="F8" s="11">
        <f>COUNTIF('DATOS 1'!$E$7:$E$40,"&lt;61")-F7-F6-F5-F4-F3</f>
        <v>6</v>
      </c>
      <c r="G8" s="11"/>
      <c r="H8" s="11"/>
      <c r="J8" s="11" t="s">
        <v>1875</v>
      </c>
      <c r="K8" s="159">
        <f t="shared" si="2"/>
        <v>0.16445623342175067</v>
      </c>
      <c r="L8" s="159">
        <f t="shared" si="3"/>
        <v>0.20588235294117646</v>
      </c>
      <c r="M8" s="11">
        <f>COUNTIF('DATOS 1'!$K$51:$K$427,"&lt;31")-M7-M6-M5-M4-M3</f>
        <v>62</v>
      </c>
      <c r="N8" s="11">
        <f>COUNTIF('DATOS 1'!$K$7:$K$40,"&lt;31")-N7-N6-N5-N4-N3</f>
        <v>7</v>
      </c>
      <c r="Q8" s="11"/>
      <c r="R8" s="161"/>
      <c r="S8" s="249" t="s">
        <v>943</v>
      </c>
      <c r="T8" s="249">
        <f>COUNTIFS('DETALLES UNIDADES'!$D$8:$D$987,"&lt;1980",'DETALLES UNIDADES'!$J$8:$J$987,"&lt;1500000")-T7-T6-T5</f>
        <v>12</v>
      </c>
      <c r="U8" s="249">
        <f>COUNTIFS('DETALLES UNIDADES'!$D$8:$D$987,"&lt;1986",'DETALLES UNIDADES'!$J$8:$J$987,"&lt;1500000")-T8-U7-U6-U5-T5-T6-T7</f>
        <v>10</v>
      </c>
      <c r="V8" s="249">
        <f>COUNTIFS('DETALLES UNIDADES'!$D$8:$D$987,"&lt;1991",'DETALLES UNIDADES'!$J$8:$J$987,"&lt;1500000")-U8-T8-V7-V6-V5-U5-U6-U7-T5-T6-T7</f>
        <v>7</v>
      </c>
      <c r="W8" s="249">
        <f>COUNTIFS('DETALLES UNIDADES'!$D$8:$D$987,"&lt;1996",'DETALLES UNIDADES'!$J$8:$J$987,"&lt;1500000")-V8-U8-T8-W7-W6-W5-V5-V6-V7-U5-U6-U7-T5-T6-T7</f>
        <v>26</v>
      </c>
      <c r="X8" s="249">
        <f>COUNTIFS('DETALLES UNIDADES'!$D$8:$D$987,"&lt;2001",'DETALLES UNIDADES'!$J$8:$J$987,"&lt;1500000")-W8-V8-U8-T8-X7-X6-X5-W5-W6-W7-V5-V6-V7-U5-U6-U7-T5-T6-T7</f>
        <v>44</v>
      </c>
      <c r="Y8" s="249">
        <f>COUNTIFS('DETALLES UNIDADES'!$D$8:$D$987,"&lt;2006",'DETALLES UNIDADES'!$J$8:$J$987,"&lt;1500000")-X8-W8-V8-U8-T8-Y7-Y6-Y5-X5-X6-X7-W5-W6-W7-V5-V6-V7-U5-U6-U7-T5-T6-T7</f>
        <v>35</v>
      </c>
      <c r="Z8" s="249">
        <f>COUNTIFS('DETALLES UNIDADES'!$D$8:$D$987,"&lt;2011",'DETALLES UNIDADES'!$J$8:$J$987,"&lt;1500000")-Y8-X8-W8-V8-U8-T8-Z7-Z6-Z5-Y5-Y6-Y7-X5-X6-X7-W5-W6-W7-V5-V6-V7-U5-U6-U7-T5-T6-T7</f>
        <v>5</v>
      </c>
      <c r="AA8" s="249">
        <f>COUNTIFS('DETALLES UNIDADES'!$D$8:$D$987,"&gt;2010",'DETALLES UNIDADES'!$J$8:$J$987,"&lt;1500000")-AA7-AA6-AA5</f>
        <v>0</v>
      </c>
      <c r="AB8" s="249">
        <f t="shared" si="9"/>
        <v>139</v>
      </c>
      <c r="AC8" s="249">
        <v>139</v>
      </c>
      <c r="AD8" s="17">
        <f t="shared" si="21"/>
        <v>0</v>
      </c>
      <c r="AF8" s="19" t="s">
        <v>1724</v>
      </c>
      <c r="AG8" s="249">
        <f>COUNTIFS('DETALLES UNIDADES'!$C$8:$C$987,"C2",'DETALLES UNIDADES'!$U$8:$U$987,"&lt;3.01",'DETALLES UNIDADES'!$D$8:$D$987,"&lt;1980")-AG7-AG6-AG5-AG4-AG3</f>
        <v>0</v>
      </c>
      <c r="AH8" s="249">
        <f>COUNTIFS('DETALLES UNIDADES'!$C$8:$C$987,"C2",'DETALLES UNIDADES'!$U$8:$U$987,"&lt;3.01",'DETALLES UNIDADES'!$D$8:$D$987,"&lt;1986")-AG8-AH7-AG7-AH6-AG6-AH5-AG5-AH4-AG4-AH3-AG3</f>
        <v>1</v>
      </c>
      <c r="AI8" s="249">
        <f>COUNTIFS('DETALLES UNIDADES'!$C$8:$C$987,"C2",'DETALLES UNIDADES'!$U$8:$U$987,"&lt;3.01",'DETALLES UNIDADES'!$D$8:$D$987,"&lt;1991")-AH8-AG8-AI7-AH7-AG7-AI6-AH6-AG6-AI5-AH5-AG5-AI4-AH4-AG4-AI3-AH3-AG3</f>
        <v>1</v>
      </c>
      <c r="AJ8" s="249">
        <f>COUNTIFS('DETALLES UNIDADES'!$C$8:$C$987,"C2",'DETALLES UNIDADES'!$U$8:$U$987,"&lt;3.01",'DETALLES UNIDADES'!$D$8:$D$987,"&lt;1996")-AI8-AH8-AG8-AJ7-AI7-AH7-AG7-AJ6-AI6-AH6-AG6-AJ5-AI5-AH5-AG5-AJ4-AI4-AH4-AG4-AJ3-AI3-AH3-AG3</f>
        <v>2</v>
      </c>
      <c r="AK8" s="249">
        <f>COUNTIFS('DETALLES UNIDADES'!$C$8:$C$987,"C2",'DETALLES UNIDADES'!$U$8:$U$987,"&lt;3.01",'DETALLES UNIDADES'!$D$8:$D$987,"&lt;2001")-AJ8-AI8-AH8-AG8-AK7-AJ7-AI7-AH7-AG7-AK6-AJ6-AI6-AH6-AG6-AK5-AJ5-AI5-AH5-AG5-AK4-AJ4-AI4-AH4-AG4-AK3-AJ3-AI3-AH3-AG3</f>
        <v>4</v>
      </c>
      <c r="AL8" s="249">
        <f>COUNTIFS('DETALLES UNIDADES'!$C$8:$C$987,"C2",'DETALLES UNIDADES'!$U$8:$U$987,"&lt;3.01",'DETALLES UNIDADES'!$D$8:$D$987,"&lt;2006")-AK8-AJ8-AI8-AH8-AG8-AL7-AK7-AJ7-AI7-AH7-AG7-AL6-AK6-AJ6-AI6-AH6-AG6-AL5-AK5-AJ5-AI5-AH5-AG5-AL4-AK4-AJ4-AI4-AH4-AG4-AL3-AK3-AJ3-AI3-AH3-AG3</f>
        <v>7</v>
      </c>
      <c r="AM8" s="249">
        <f>COUNTIFS('DETALLES UNIDADES'!$C$8:$C$987,"C2",'DETALLES UNIDADES'!$U$8:$U$987,"&lt;3.01",'DETALLES UNIDADES'!$D$8:$D$987,"&lt;2011")-AL8-AK8-AJ8-AI8-AH8-AG8-AM7-AL7-AK7-AJ7-AI7-AH7-AG7-AM6-AL6-AK6-AJ6-AI6-AH6-AG6-AM5-AL5-AK5-AJ5-AI5-AH5-AG5-AM4-AL4-AK4-AJ4-AI4-AH4-AG4-AM3-AL3-AK3-AJ3-AI3-AH3-AG3</f>
        <v>10</v>
      </c>
      <c r="AN8" s="249">
        <f>COUNTIFS('DETALLES UNIDADES'!$C$8:$C$987,"C2",'DETALLES UNIDADES'!$U$8:$U$987,"&lt;3.01",'DETALLES UNIDADES'!$D$8:$D$987,"&gt;2010")-AN7-AN6-AN5-AN4-AN3</f>
        <v>2</v>
      </c>
      <c r="AO8" s="249">
        <f t="shared" si="4"/>
        <v>27</v>
      </c>
      <c r="AR8" s="19" t="s">
        <v>1724</v>
      </c>
      <c r="AS8" s="249">
        <f>COUNTIFS('DETALLES UNIDADES'!$C$8:$C$987,"C3",'DETALLES UNIDADES'!$U$8:$U$987,"&lt;3.01",'DETALLES UNIDADES'!$D$8:$D$987,"&lt;1980")-AS7-AS6-AS5-AS4-AS3</f>
        <v>1</v>
      </c>
      <c r="AT8" s="249">
        <f>COUNTIFS('DETALLES UNIDADES'!$C$8:$C$987,"C3",'DETALLES UNIDADES'!$U$8:$U$987,"&lt;3.01",'DETALLES UNIDADES'!$D$8:$D$987,"&lt;1986")-AS8-AT7-AS7-AT6-AS6-AT5-AS5-AT4-AS4-AT3-AS3</f>
        <v>10</v>
      </c>
      <c r="AU8" s="249">
        <f>COUNTIFS('DETALLES UNIDADES'!$C$8:$C$987,"C3",'DETALLES UNIDADES'!$U$8:$U$987,"&lt;3.01",'DETALLES UNIDADES'!$D$8:$D$987,"&lt;1991")-AT8-AS8-AU7-AT7-AS7-AU6-AT6-AS6-AU5-AT5-AS5-AU4-AT4-AS4-AU3-AT3-AS3</f>
        <v>0</v>
      </c>
      <c r="AV8" s="249">
        <f>COUNTIFS('DETALLES UNIDADES'!$C$8:$C$987,"C3",'DETALLES UNIDADES'!$U$8:$U$987,"&lt;3.01",'DETALLES UNIDADES'!$D$8:$D$987,"&lt;1996")-AU8-AT8-AS8-AV7-AU7-AT7-AS7-AV6-AU6-AT6-AS6-AV5-AU5-AT5-AS5-AV4-AU4-AT4-AS4-AV3-AU3-AT3-AS3</f>
        <v>2</v>
      </c>
      <c r="AW8" s="249">
        <f>COUNTIFS('DETALLES UNIDADES'!$C$8:$C$987,"C3",'DETALLES UNIDADES'!$U$8:$U$987,"&lt;3.01",'DETALLES UNIDADES'!$D$8:$D$987,"&lt;2001")-AV8-AU8-AT8-AS8-AW7-AV7-AU7-AT7-AS7-AW6-AV6-AU6-AT6-AS6-AW5-AV5-AU5-AT5-AS5-AW4-AV4-AU4-AT4-AS4-AW3-AV3-AU3-AT3-AS3</f>
        <v>3</v>
      </c>
      <c r="AX8" s="249">
        <f>COUNTIFS('DETALLES UNIDADES'!$C$8:$C$987,"C3",'DETALLES UNIDADES'!$U$8:$U$987,"&lt;3.01",'DETALLES UNIDADES'!$D$8:$D$987,"&lt;2006")-AW8-AV8-AU8-AT8-AS8-AX7-AW7-AV7-AU7-AT7-AS7-AX6-AW6-AV6-AU6-AT6-AS6-AX5-AW5-AV5-AU5-AT5-AS5-AX4-AW4-AV4-AU4-AT4-AS4-AX3-AW3-AV3-AU3-AT3-AS3</f>
        <v>0</v>
      </c>
      <c r="AY8" s="249">
        <f>COUNTIFS('DETALLES UNIDADES'!$C$8:$C$987,"C3",'DETALLES UNIDADES'!$U$8:$U$987,"&lt;3.01",'DETALLES UNIDADES'!$D$8:$D$987,"&lt;2011")-AX8-AW8-AV8-AU8-AT8-AS8-AY7-AX7-AW7-AV7-AU7-AT7-AS7-AY6-AX6-AW6-AV6-AU6-AT6-AS6-AY5-AX5-AW5-AV5-AU5-AT5-AS5-AY4-AX4-AW4-AV4-AU4-AT4-AS4-AY3-AX3-AW3-AV3-AU3-AT3-AS3</f>
        <v>6</v>
      </c>
      <c r="AZ8" s="249">
        <f>COUNTIFS('DETALLES UNIDADES'!$C$8:$C$987,"C3",'DETALLES UNIDADES'!$U$8:$U$987,"&lt;3.01",'DETALLES UNIDADES'!$D$8:$D$987,"&gt;2010")-AZ7-AZ6-AZ5-AZ4-AZ3</f>
        <v>2</v>
      </c>
      <c r="BA8" s="249">
        <f t="shared" si="5"/>
        <v>24</v>
      </c>
      <c r="BD8" s="19" t="s">
        <v>1724</v>
      </c>
      <c r="BE8" s="249">
        <f>COUNTIFS('DETALLES UNIDADES'!$C$8:$C$987,"T2",'DETALLES UNIDADES'!$U$8:$U$987,"&lt;3.01",'DETALLES UNIDADES'!$D$8:$D$987,"&lt;1980")-BE7-BE6-BE5-BE4-BE3</f>
        <v>0</v>
      </c>
      <c r="BF8" s="249">
        <f>COUNTIFS('DETALLES UNIDADES'!$C$8:$C$987,"T2",'DETALLES UNIDADES'!$U$8:$U$987,"&lt;3.01",'DETALLES UNIDADES'!$D$8:$D$987,"&lt;1986")-BE8-BF7-BE7-BF6-BE6-BF5-BE5-BF4-BE4-BF3-BE3</f>
        <v>0</v>
      </c>
      <c r="BG8" s="249">
        <f>COUNTIFS('DETALLES UNIDADES'!$C$8:$C$987,"T2",'DETALLES UNIDADES'!$U$8:$U$987,"&lt;3.01",'DETALLES UNIDADES'!$D$8:$D$987,"&lt;1991")-BF8-BE8-BG7-BF7-BE7-BG6-BF6-BE6-BG5-BF5-BE5-BG4-BF4-BE4-BG3-BF3-BE3</f>
        <v>0</v>
      </c>
      <c r="BH8" s="249">
        <f>COUNTIFS('DETALLES UNIDADES'!$C$8:$C$987,"T2",'DETALLES UNIDADES'!$U$8:$U$987,"&lt;3.01",'DETALLES UNIDADES'!$D$8:$D$987,"&lt;1996")-BG8-BF8-BE8-BH7-BG7-BF7-BE7-BH6-BG6-BF6-BE6-BH5-BG5-BF5-BE5-BH4-BG4-BF4-BE4-BH3-BG3-BF3-BE3</f>
        <v>0</v>
      </c>
      <c r="BI8" s="249">
        <f>COUNTIFS('DETALLES UNIDADES'!$C$8:$C$987,"T2",'DETALLES UNIDADES'!$U$8:$U$987,"&lt;3.01",'DETALLES UNIDADES'!$D$8:$D$987,"&lt;2001")-BH8-BG8-BF8-BE8-BI7-BH7-BG7-BF7-BE7-BI6-BH6-BG6-BF6-BE6-BI5-BH5-BG5-BF5-BE5-BI4-BH4-BG4-BF4-BE4-BI3-BH3-BG3-BF3-BE3</f>
        <v>0</v>
      </c>
      <c r="BJ8" s="249">
        <f>COUNTIFS('DETALLES UNIDADES'!$C$8:$C$987,"T2",'DETALLES UNIDADES'!$U$8:$U$987,"&lt;3.01",'DETALLES UNIDADES'!$D$8:$D$987,"&lt;2006")-BI8-BH8-BG8-BF8-BE8-BJ7-BI7-BH7-BG7-BF7-BE7-BJ6-BI6-BH6-BG6-BF6-BE6-BJ5-BI5-BH5-BG5-BF5-BE5-BJ4-BI4-BH4-BG4-BF4-BE4-BJ3-BI3-BH3-BG3-BF3-BE3</f>
        <v>0</v>
      </c>
      <c r="BK8" s="249">
        <f>COUNTIFS('DETALLES UNIDADES'!$C$8:$C$987,"T2",'DETALLES UNIDADES'!$U$8:$U$987,"&lt;3.01",'DETALLES UNIDADES'!$D$8:$D$987,"&lt;2011")-BJ8-BI8-BH8-BG8-BF8-BE8-BK7-BJ7-BI7-BH7-BG7-BF7-BE7-BK6-BJ6-BI6-BH6-BG6-BF6-BE6-BK5-BJ5-BI5-BH5-BG5-BF5-BE5-BK4-BJ4-BI4-BH4-BG4-BF4-BE4-BK3-BJ3-BI3-BH3-BG3-BF3-BE3</f>
        <v>14</v>
      </c>
      <c r="BL8" s="249">
        <f>COUNTIFS('DETALLES UNIDADES'!$C$8:$C$987,"T2",'DETALLES UNIDADES'!$U$8:$U$987,"&lt;3.01",'DETALLES UNIDADES'!$D$8:$D$987,"&gt;2010")-BL7-BL6-BL5-BL4-BL3</f>
        <v>7</v>
      </c>
      <c r="BM8" s="249">
        <f t="shared" si="6"/>
        <v>21</v>
      </c>
      <c r="BP8" s="19" t="s">
        <v>1724</v>
      </c>
      <c r="BQ8" s="249">
        <f>COUNTIFS('DETALLES UNIDADES'!$C$8:$C$987,"T3",'DETALLES UNIDADES'!$U$8:$U$987,"&lt;3.01",'DETALLES UNIDADES'!$D$8:$D$987,"&lt;1980")-BQ7-BQ6-BQ5-BQ4-BQ3</f>
        <v>0</v>
      </c>
      <c r="BR8" s="249">
        <f>COUNTIFS('DETALLES UNIDADES'!$C$8:$C$987,"T3",'DETALLES UNIDADES'!$U$8:$U$987,"&lt;3.01",'DETALLES UNIDADES'!$D$8:$D$987,"&lt;1986")-BQ8-BR7-BQ7-BR6-BQ6-BR5-BQ5-BR4-BQ4-BR3-BQ3</f>
        <v>9</v>
      </c>
      <c r="BS8" s="249">
        <f>COUNTIFS('DETALLES UNIDADES'!$C$8:$C$987,"T3",'DETALLES UNIDADES'!$U$8:$U$987,"&lt;3.01",'DETALLES UNIDADES'!$D$8:$D$987,"&lt;1991")-BR8-BQ8-BS7-BR7-BQ7-BS6-BR6-BQ6-BS5-BR5-BQ5-BS4-BR4-BQ4-BS3-BR3-BQ3</f>
        <v>10</v>
      </c>
      <c r="BT8" s="249">
        <f>COUNTIFS('DETALLES UNIDADES'!$C$8:$C$987,"T3",'DETALLES UNIDADES'!$U$8:$U$987,"&lt;3.01",'DETALLES UNIDADES'!$D$8:$D$987,"&lt;1996")-BS8-BR8-BQ8-BT7-BS7-BR7-BQ7-BT6-BS6-BR6-BQ6-BT5-BS5-BR5-BQ5-BT4-BS4-BR4-BQ4-BT3-BS3-BR3-BQ3</f>
        <v>7</v>
      </c>
      <c r="BU8" s="249">
        <f>COUNTIFS('DETALLES UNIDADES'!$C$8:$C$987,"T3",'DETALLES UNIDADES'!$U$8:$U$987,"&lt;3.01",'DETALLES UNIDADES'!$D$8:$D$987,"&lt;2001")-BT8-BS8-BR8-BQ8-BU7-BT7-BS7-BR7-BQ7-BU6-BT6-BS6-BR6-BQ6-BU5-BT5-BS5-BR5-BQ5-BU4-BT4-BS4-BR4-BQ4-BU3-BT3-BS3-BR3-BQ3</f>
        <v>34</v>
      </c>
      <c r="BV8" s="249">
        <f>COUNTIFS('DETALLES UNIDADES'!$C$8:$C$987,"T3",'DETALLES UNIDADES'!$U$8:$U$987,"&lt;3.01",'DETALLES UNIDADES'!$D$8:$D$987,"&lt;2006")-BU8-BT8-BS8-BR8-BQ8-BV7-BU7-BT7-BS7-BR7-BQ7-BV6-BU6-BT6-BS6-BR6-BQ6-BV5-BU5-BT5-BS5-BR5-BQ5-BV4-BU4-BT4-BS4-BR4-BQ4-BV3-BU3-BT3-BS3-BR3-BQ3</f>
        <v>72</v>
      </c>
      <c r="BW8" s="249">
        <f>COUNTIFS('DETALLES UNIDADES'!$C$8:$C$987,"T3",'DETALLES UNIDADES'!$U$8:$U$987,"&lt;3.01",'DETALLES UNIDADES'!$D$8:$D$987,"&lt;2011")-BV8-BU8-BT8-BS8-BR8-BQ8-BW7-BV7-BU7-BT7-BS7-BR7-BQ7-BW6-BV6-BU6-BT6-BS6-BR6-BQ6-BW5-BV5-BU5-BT5-BS5-BR5-BQ5-BW4-BV4-BU4-BT4-BS4-BR4-BQ4-BW3-BV3-BU3-BT3-BS3-BR3-BQ3</f>
        <v>75</v>
      </c>
      <c r="BX8" s="249">
        <f>COUNTIFS('DETALLES UNIDADES'!$C$8:$C$987,"T3",'DETALLES UNIDADES'!$U$8:$U$987,"&lt;3.01",'DETALLES UNIDADES'!$D$8:$D$987,"&gt;2010")-BX7-BX6-BX5-BX4-BX3</f>
        <v>16</v>
      </c>
      <c r="BY8" s="249">
        <f t="shared" si="7"/>
        <v>223</v>
      </c>
      <c r="CA8" s="249">
        <v>1985</v>
      </c>
      <c r="CB8" s="144">
        <f>AVERAGEIFS('DATOS 2'!$F$5:$F$1437,'DATOS 2'!$D$5:$D$1437,CA8)</f>
        <v>2.4</v>
      </c>
      <c r="CC8" s="144">
        <f>AVERAGEIFS('DATOS 2'!$G$5:$G$1437,'DATOS 2'!$D$5:$D$1437,CA8)</f>
        <v>2.8593750000000004</v>
      </c>
      <c r="CD8" s="138">
        <f>AVERAGEIFS('DATOS 2'!$E$5:$E$1437,'DATOS 2'!$D$5:$D$1437,CA8)</f>
        <v>1719209.1153846155</v>
      </c>
      <c r="CF8" s="9" t="s">
        <v>1882</v>
      </c>
      <c r="CG8" s="160">
        <f>AVERAGEIFS('DATOS 2'!$F$5:$F$1437,'DATOS 2'!$C$5:$C$1437,"C2",'DATOS 2'!$H$5:$H$1437,"D",'DATOS 2'!$D$5:$D$1437,"&gt;2000",'DATOS 2'!$D$5:$D$1437,"&lt;2006")</f>
        <v>3.2258064516129048</v>
      </c>
      <c r="CH8" s="160">
        <f>AVERAGEIFS('DATOS 2'!$G$5:$G$1437,'DATOS 2'!$C$5:$C$1437,"C2",'DATOS 2'!$H$5:$H$1437,"D",'DATOS 2'!$D$5:$D$1437,"&gt;2000",'DATOS 2'!$D$5:$D$1437,"&lt;2006")</f>
        <v>3.7241935483870985</v>
      </c>
      <c r="CL8" s="17" t="s">
        <v>715</v>
      </c>
      <c r="CM8" s="6">
        <f>CN8/$CN$8</f>
        <v>1</v>
      </c>
      <c r="CN8" s="138">
        <f>SUM(CN3:CN7)</f>
        <v>1433</v>
      </c>
      <c r="CP8" s="6">
        <f t="shared" si="11"/>
        <v>1</v>
      </c>
      <c r="CQ8" s="138">
        <f>SUM(CQ3:CQ7)</f>
        <v>376369</v>
      </c>
      <c r="DB8" s="11">
        <f t="shared" si="8"/>
        <v>40</v>
      </c>
      <c r="DC8" s="9">
        <v>1974</v>
      </c>
      <c r="DD8" s="6">
        <f t="shared" si="12"/>
        <v>9.7943192948090111E-4</v>
      </c>
      <c r="DE8" s="6">
        <f t="shared" si="13"/>
        <v>0</v>
      </c>
      <c r="DF8" s="249">
        <f t="shared" si="14"/>
        <v>1</v>
      </c>
      <c r="DG8" s="249">
        <f>COUNTIFS('DATOS 2'!$K$5:$K$1437,"HC",'DATOS 2'!$D$5:$D$1437,DC8)</f>
        <v>1</v>
      </c>
      <c r="DH8" s="249">
        <f>COUNTIFS('DATOS 2'!$K$5:$K$1437,"PT",'DATOS 2'!$D$5:$D$1437,DC8)</f>
        <v>0</v>
      </c>
      <c r="DJ8" s="11" t="s">
        <v>1681</v>
      </c>
      <c r="DK8" s="6">
        <f t="shared" si="22"/>
        <v>0.21180555555555555</v>
      </c>
      <c r="DL8" s="6">
        <f t="shared" si="23"/>
        <v>0.33670520231213874</v>
      </c>
      <c r="DM8" s="250">
        <f>COUNTIFS('DATOS 2'!$K$5:$K$984,"PT",'DATOS 2'!$Q$5:$Q$984,"X")</f>
        <v>61</v>
      </c>
      <c r="DN8" s="250">
        <f>COUNTIFS('DATOS 2'!$K$5:$K$984,"HC",'DATOS 2'!$Q$5:$Q$984,"X")</f>
        <v>233</v>
      </c>
      <c r="DP8" s="123" t="s">
        <v>22</v>
      </c>
      <c r="DQ8" s="6">
        <f t="shared" si="18"/>
        <v>0.1038961038961039</v>
      </c>
      <c r="DR8" s="6">
        <f t="shared" si="19"/>
        <v>9.7633136094674555E-2</v>
      </c>
      <c r="DS8" s="249">
        <f>+'DATOS 1'!AC42</f>
        <v>8</v>
      </c>
      <c r="DT8" s="249">
        <f>+'DATOS 1'!AC429</f>
        <v>66</v>
      </c>
      <c r="DV8" s="11" t="s">
        <v>953</v>
      </c>
      <c r="DW8" s="138">
        <f>COUNTIFS('DATOS 2'!$J$5:$J$1437,"&lt;10001",'DATOS 2'!$F$5:$F$1437,"&lt;1.6")-DW7-DW6-DW5</f>
        <v>23</v>
      </c>
      <c r="DX8" s="138">
        <f>COUNTIFS('DATOS 2'!$J$5:$J$1437,"&lt;10001",'DATOS 2'!$F$5:$F$1437,"&lt;1.91")-DX7-DX6-DX5-DW5-DW6-DW7-DW8</f>
        <v>25</v>
      </c>
      <c r="DY8" s="138">
        <f>COUNTIFS('DATOS 2'!$J$5:$J$1437,"&lt;10001",'DATOS 2'!$F$5:$F$1437,"&lt;2.01")-DY7-DY6-DY5-DX5-DX6-DX7-DX8-DW5-DW6-DW7-DW8</f>
        <v>38</v>
      </c>
      <c r="DZ8" s="138">
        <f>COUNTIFS('DATOS 2'!$J$5:$J$1437,"&lt;10001",'DATOS 2'!$F$5:$F$1437,"&lt;2.21")-DZ7-DZ6-DZ5-DY5-DY6-DY7-DY8-DX5-DX6-DX7-DX8-DW5-DW6-DW7-DW8</f>
        <v>71</v>
      </c>
      <c r="EA8" s="138">
        <f>COUNTIFS('DATOS 2'!$J$5:$J$1437,"&lt;10001",'DATOS 2'!$F$5:$F$1437,"&lt;2.51")-EA7-EA6-EA5-DZ5-DZ6-DZ7-DZ8-DY5-DY6-DY7-DY8-DX5-DX6-DX7-DX8-DW5-DW6-DW7-DW8</f>
        <v>179</v>
      </c>
      <c r="EB8" s="138">
        <f>COUNTIFS('DATOS 2'!$J$5:$J$1437,"&lt;10001",'DATOS 2'!$F$5:$F$1437,"&lt;3.01")-EB7-EB6-EB5-EA5-EA6-EA7-EA8-DZ5-DZ6-DZ7-DZ8-DY5-DY6-DY7-DY8-DX5-DX6-DX7-DX8-DW5-DW6-DW7-DW8</f>
        <v>28</v>
      </c>
      <c r="EC8" s="138">
        <f>COUNTIFS('DATOS 2'!$J$5:$J$1437,"&lt;10001",'DATOS 2'!$F$5:$F$1437,"&lt;4.01")-EC7-EC6-EC5-EB5-EB6-EB7-EB8-EA5-EA6-EA7-EA8-DZ5-DZ6-DZ7-DZ8-DY5-DY6-DY7-DY8-DX5-DX6-DX7-DX8-DW5-DW6-DW7-DW8</f>
        <v>35</v>
      </c>
      <c r="ED8" s="138">
        <f>COUNTIFS('DATOS 2'!$J$5:$J$1437,"&lt;10001",'DATOS 2'!$F$5:$F$1437,"&lt;5.01")-ED7-ED6-ED5-EC5-EC6-EC7-EC8-EB5-EB6-EB7-EB8-EA5-EA6-EA7-EA8-DZ5-DZ6-DZ7-DZ8-DY5-DY6-DY7-DY8-DX5-DX6-DX7-DX8-DW5-DW6-DW7-DW8</f>
        <v>13</v>
      </c>
      <c r="EE8" s="138">
        <f>COUNTIFS('DATOS 2'!$J$5:$J$1437,"&lt;10001",'DATOS 2'!$F$5:$F$1437,"&gt;5.0")-EE5-EE6-EE7</f>
        <v>0</v>
      </c>
      <c r="EF8" s="249">
        <f t="shared" si="20"/>
        <v>412</v>
      </c>
      <c r="EG8" s="249">
        <v>412</v>
      </c>
      <c r="EI8" s="249" t="s">
        <v>2419</v>
      </c>
      <c r="EJ8" s="6">
        <f t="shared" si="16"/>
        <v>7.8534031413612565E-2</v>
      </c>
      <c r="EK8" s="6">
        <f t="shared" si="17"/>
        <v>8.7875417130144601E-2</v>
      </c>
      <c r="EL8" s="249">
        <f>COUNTIFS('DATOS 2'!$K$5:$K$1437,"PT",'DATOS 2'!$Z$5:$Z$1437,"&lt;10%")</f>
        <v>30</v>
      </c>
      <c r="EM8" s="249">
        <f>COUNTIFS('DATOS 2'!$K$5:$K$1437,"HC",'DATOS 2'!$Z$5:$Z$1437,"&lt;10%")</f>
        <v>79</v>
      </c>
    </row>
    <row r="9" spans="2:143" ht="25.5" x14ac:dyDescent="0.25">
      <c r="B9" s="11" t="s">
        <v>1658</v>
      </c>
      <c r="C9" s="159">
        <f t="shared" si="0"/>
        <v>0.10344827586206896</v>
      </c>
      <c r="D9" s="159">
        <f t="shared" si="1"/>
        <v>0.14705882352941177</v>
      </c>
      <c r="E9" s="11">
        <f>COUNTIF('DATOS 1'!$E$51:$E$427,"&gt;60")</f>
        <v>39</v>
      </c>
      <c r="F9" s="11">
        <f>COUNTIF('DATOS 1'!$E$7:$E$40,"&gt;60")</f>
        <v>5</v>
      </c>
      <c r="G9" s="11"/>
      <c r="H9" s="11"/>
      <c r="J9" s="11" t="s">
        <v>1876</v>
      </c>
      <c r="K9" s="159">
        <f t="shared" si="2"/>
        <v>0.14588859416445624</v>
      </c>
      <c r="L9" s="159">
        <f t="shared" si="3"/>
        <v>0.20588235294117646</v>
      </c>
      <c r="M9" s="11">
        <f>COUNTIF('DATOS 1'!$K$51:$K$427,"&gt;30")</f>
        <v>55</v>
      </c>
      <c r="N9" s="11">
        <f>COUNTIF('DATOS 1'!$K$7:$K$40,"&gt;30")</f>
        <v>7</v>
      </c>
      <c r="Q9" s="11"/>
      <c r="R9" s="9"/>
      <c r="S9" s="249" t="s">
        <v>944</v>
      </c>
      <c r="T9" s="249">
        <f>COUNTIFS('DETALLES UNIDADES'!$D$8:$D$987,"&lt;1980",'DETALLES UNIDADES'!$J$8:$J$987,"&lt;2000000")-T8-T7-T6-T5</f>
        <v>1</v>
      </c>
      <c r="U9" s="249">
        <f>COUNTIFS('DETALLES UNIDADES'!$D$8:$D$987,"&lt;1986",'DETALLES UNIDADES'!$J$8:$J$987,"&lt;2000000")-T9-U8-U7-U6-U5-T5-T6-T7-T8</f>
        <v>30</v>
      </c>
      <c r="V9" s="249">
        <f>COUNTIFS('DETALLES UNIDADES'!$D$8:$D$987,"&lt;1991",'DETALLES UNIDADES'!$J$8:$J$987,"&lt;2000000")-U9-T9-V8-V7-V6-V5-U5-U6-U7-U8-T5-T6-T7-T8</f>
        <v>25</v>
      </c>
      <c r="W9" s="249">
        <f>COUNTIFS('DETALLES UNIDADES'!$D$8:$D$987,"&lt;1996",'DETALLES UNIDADES'!$J$8:$J$987,"&lt;2000000")-V9-U9-T9-W8-W7-W6-W5-V5-V6-V7-V8-U5-U6-U7-U8-T5-T6-T7-T8</f>
        <v>25</v>
      </c>
      <c r="X9" s="249">
        <f>COUNTIFS('DETALLES UNIDADES'!$D$8:$D$987,"&lt;2001",'DETALLES UNIDADES'!$J$8:$J$987,"&lt;2000000")-W9-V9-U9-T9-X8-X7-X6-X5-W5-W6-W7-W8-V5-V6-V7-V8-U5-U6-U7-U8-T5-T6-T7-T8</f>
        <v>17</v>
      </c>
      <c r="Y9" s="249">
        <f>COUNTIFS('DETALLES UNIDADES'!$D$8:$D$987,"&lt;2006",'DETALLES UNIDADES'!$J$8:$J$987,"&lt;2000000")-X9-W9-V9-U9-T9-Y8-Y7-Y6-Y5-X5-X6-X7-X8-W5-W6-W7-W8-V5-V6-V7-V8-U5-U6-U7-U8-T5-T6-T7-T8</f>
        <v>2</v>
      </c>
      <c r="Z9" s="249">
        <f>COUNTIFS('DETALLES UNIDADES'!$D$8:$D$987,"&lt;2011",'DETALLES UNIDADES'!$J$8:$J$987,"&lt;2000000")-Y9-X9-W9-V9-U9-T9-Z8-Z7-Z6-Z5-Y5-Y6-Y7-Y8-X5-X6-X7-X8-W5-W6-W7-W8-V5-V6-V7-V8-U5-U6-U7-U8-T5-T6-T7-T8</f>
        <v>0</v>
      </c>
      <c r="AA9" s="249">
        <f>COUNTIFS('DETALLES UNIDADES'!$D$8:$D$987,"&gt;2010",'DETALLES UNIDADES'!$J$8:$J$987,"&lt;2000000")-AA8-AA7-AA6-AA5</f>
        <v>0</v>
      </c>
      <c r="AB9" s="249">
        <f t="shared" si="9"/>
        <v>100</v>
      </c>
      <c r="AC9" s="249">
        <v>100</v>
      </c>
      <c r="AD9" s="17">
        <f t="shared" si="21"/>
        <v>0</v>
      </c>
      <c r="AF9" s="19" t="s">
        <v>1725</v>
      </c>
      <c r="AG9" s="249">
        <f>COUNTIFS('DETALLES UNIDADES'!$C$8:$C$987,"C2",'DETALLES UNIDADES'!$U$8:$U$987,"&lt;4.01",'DETALLES UNIDADES'!$D$8:$D$987,"&lt;1980")-AG8-AG7-AG6-AG5-AG4-AG3</f>
        <v>1</v>
      </c>
      <c r="AH9" s="249">
        <f>COUNTIFS('DETALLES UNIDADES'!$C$8:$C$987,"C2",'DETALLES UNIDADES'!$U$8:$U$987,"&lt;4.01",'DETALLES UNIDADES'!$D$8:$D$987,"&lt;1986")-AG9-AH8-AG8-AH7-AG7-AH6-AG6-AH5-AG5-AH4-AG4-AH3-AG3</f>
        <v>3</v>
      </c>
      <c r="AI9" s="249">
        <f>COUNTIFS('DETALLES UNIDADES'!$C$8:$C$987,"C2",'DETALLES UNIDADES'!$U$8:$U$987,"&lt;4.01",'DETALLES UNIDADES'!$D$8:$D$987,"&lt;1991")-AH9-AG9-AI8-AH8-AG8-AI7-AH7-AG7-AI6-AH6-AG6-AI5-AH5-AG5-AI4-AH4-AG4-AI3-AH3-AG3</f>
        <v>3</v>
      </c>
      <c r="AJ9" s="249">
        <f>COUNTIFS('DETALLES UNIDADES'!$C$8:$C$987,"C2",'DETALLES UNIDADES'!$U$8:$U$987,"&lt;4.01",'DETALLES UNIDADES'!$D$8:$D$987,"&lt;1996")-AI9-AH9-AG9-AJ8-AI8-AH8-AG8-AJ7-AI7-AH7-AG7-AJ6-AI6-AH6-AG6-AJ5-AI5-AH5-AG5-AJ4-AI4-AH4-AG4-AJ3-AI3-AH3-AG3</f>
        <v>5</v>
      </c>
      <c r="AK9" s="249">
        <f>COUNTIFS('DETALLES UNIDADES'!$C$8:$C$987,"C2",'DETALLES UNIDADES'!$U$8:$U$987,"&lt;4.01",'DETALLES UNIDADES'!$D$8:$D$987,"&lt;2001")-AJ9-AI9-AH9-AG9-AK8-AJ8-AI8-AH8-AG8-AK7-AJ7-AI7-AH7-AG7-AK6-AJ6-AI6-AH6-AG6-AK5-AJ5-AI5-AH5-AG5-AK4-AJ4-AI4-AH4-AG4-AK3-AJ3-AI3-AH3-AG3</f>
        <v>2</v>
      </c>
      <c r="AL9" s="249">
        <f>COUNTIFS('DETALLES UNIDADES'!$C$8:$C$987,"C2",'DETALLES UNIDADES'!$U$8:$U$987,"&lt;4.01",'DETALLES UNIDADES'!$D$8:$D$987,"&lt;2006")-AK9-AJ9-AI9-AH9-AG9-AL8-AK8-AJ8-AI8-AH8-AG8-AL7-AK7-AJ7-AI7-AH7-AG7-AL6-AK6-AJ6-AI6-AH6-AG6-AL5-AK5-AJ5-AI5-AH5-AG5-AL4-AK4-AJ4-AI4-AH4-AG4-AL3-AK3-AJ3-AI3-AH3-AG3</f>
        <v>3</v>
      </c>
      <c r="AM9" s="249">
        <f>COUNTIFS('DETALLES UNIDADES'!$C$8:$C$987,"C2",'DETALLES UNIDADES'!$U$8:$U$987,"&lt;4.01",'DETALLES UNIDADES'!$D$8:$D$987,"&lt;2011")-AL9-AK9-AJ9-AI9-AH9-AG9-AM8-AL8-AK8-AJ8-AI8-AH8-AG8-AM7-AL7-AK7-AJ7-AI7-AH7-AG7-AM6-AL6-AK6-AJ6-AI6-AH6-AG6-AM5-AL5-AK5-AJ5-AI5-AH5-AG5-AM4-AL4-AK4-AJ4-AI4-AH4-AG4-AM3-AL3-AK3-AJ3-AI3-AH3-AG3</f>
        <v>0</v>
      </c>
      <c r="AN9" s="249">
        <f>COUNTIFS('DETALLES UNIDADES'!$C$8:$C$987,"C2",'DETALLES UNIDADES'!$U$8:$U$987,"&lt;4.01",'DETALLES UNIDADES'!$D$8:$D$987,"&gt;2010")-AN8-AN7-AN6-AN5-AN4-AN3</f>
        <v>0</v>
      </c>
      <c r="AO9" s="249">
        <f t="shared" si="4"/>
        <v>17</v>
      </c>
      <c r="AR9" s="19" t="s">
        <v>1725</v>
      </c>
      <c r="AS9" s="249">
        <f>COUNTIFS('DETALLES UNIDADES'!$C$8:$C$987,"C3",'DETALLES UNIDADES'!$U$8:$U$987,"&lt;4.01",'DETALLES UNIDADES'!$D$8:$D$987,"&lt;1980")-AS8-AS7-AS6-AS5-AS4-AS3</f>
        <v>3</v>
      </c>
      <c r="AT9" s="249">
        <f>COUNTIFS('DETALLES UNIDADES'!$C$8:$C$987,"C3",'DETALLES UNIDADES'!$U$8:$U$987,"&lt;4.01",'DETALLES UNIDADES'!$D$8:$D$987,"&lt;1986")-AS9-AT8-AS8-AT7-AS7-AT6-AS6-AT5-AS5-AT4-AS4-AT3-AS3</f>
        <v>7</v>
      </c>
      <c r="AU9" s="249">
        <f>COUNTIFS('DETALLES UNIDADES'!$C$8:$C$987,"C3",'DETALLES UNIDADES'!$U$8:$U$987,"&lt;4.01",'DETALLES UNIDADES'!$D$8:$D$987,"&lt;1991")-AT9-AS9-AU8-AT8-AS8-AU7-AT7-AS7-AU6-AT6-AS6-AU5-AT5-AS5-AU4-AT4-AS4-AU3-AT3-AS3</f>
        <v>9</v>
      </c>
      <c r="AV9" s="249">
        <f>COUNTIFS('DETALLES UNIDADES'!$C$8:$C$987,"C3",'DETALLES UNIDADES'!$U$8:$U$987,"&lt;4.01",'DETALLES UNIDADES'!$D$8:$D$987,"&lt;1996")-AU9-AT9-AS9-AV8-AU8-AT8-AS8-AV7-AU7-AT7-AS7-AV6-AU6-AT6-AS6-AV5-AU5-AT5-AS5-AV4-AU4-AT4-AS4-AV3-AU3-AT3-AS3</f>
        <v>9</v>
      </c>
      <c r="AW9" s="249">
        <f>COUNTIFS('DETALLES UNIDADES'!$C$8:$C$987,"C3",'DETALLES UNIDADES'!$U$8:$U$987,"&lt;4.01",'DETALLES UNIDADES'!$D$8:$D$987,"&lt;2001")-AV9-AU9-AT9-AS9-AW8-AV8-AU8-AT8-AS8-AW7-AV7-AU7-AT7-AS7-AW6-AV6-AU6-AT6-AS6-AW5-AV5-AU5-AT5-AS5-AW4-AV4-AU4-AT4-AS4-AW3-AV3-AU3-AT3-AS3</f>
        <v>22</v>
      </c>
      <c r="AX9" s="249">
        <f>COUNTIFS('DETALLES UNIDADES'!$C$8:$C$987,"C3",'DETALLES UNIDADES'!$U$8:$U$987,"&lt;4.01",'DETALLES UNIDADES'!$D$8:$D$987,"&lt;2006")-AW9-AV9-AU9-AT9-AS9-AX8-AW8-AV8-AU8-AT8-AS8-AX7-AW7-AV7-AU7-AT7-AS7-AX6-AW6-AV6-AU6-AT6-AS6-AX5-AW5-AV5-AU5-AT5-AS5-AX4-AW4-AV4-AU4-AT4-AS4-AX3-AW3-AV3-AU3-AT3-AS3</f>
        <v>19</v>
      </c>
      <c r="AY9" s="249">
        <f>COUNTIFS('DETALLES UNIDADES'!$C$8:$C$987,"C3",'DETALLES UNIDADES'!$U$8:$U$987,"&lt;4.01",'DETALLES UNIDADES'!$D$8:$D$987,"&lt;2011")-AX9-AW9-AV9-AU9-AT9-AS9-AY8-AX8-AW8-AV8-AU8-AT8-AS8-AY7-AX7-AW7-AV7-AU7-AT7-AS7-AY6-AX6-AW6-AV6-AU6-AT6-AS6-AY5-AX5-AW5-AV5-AU5-AT5-AS5-AY4-AX4-AW4-AV4-AU4-AT4-AS4-AY3-AX3-AW3-AV3-AU3-AT3-AS3</f>
        <v>11</v>
      </c>
      <c r="AZ9" s="249">
        <f>COUNTIFS('DETALLES UNIDADES'!$C$8:$C$987,"C3",'DETALLES UNIDADES'!$U$8:$U$987,"&lt;4.01",'DETALLES UNIDADES'!$D$8:$D$987,"&gt;2010")-AZ8-AZ7-AZ6-AZ5-AZ4-AZ3</f>
        <v>1</v>
      </c>
      <c r="BA9" s="249">
        <f t="shared" si="5"/>
        <v>81</v>
      </c>
      <c r="BD9" s="19" t="s">
        <v>1725</v>
      </c>
      <c r="BE9" s="249">
        <f>COUNTIFS('DETALLES UNIDADES'!$C$8:$C$987,"T2",'DETALLES UNIDADES'!$U$8:$U$987,"&lt;4.01",'DETALLES UNIDADES'!$D$8:$D$987,"&lt;1980")-BE8-BE7-BE6-BE5-BE4-BE3</f>
        <v>0</v>
      </c>
      <c r="BF9" s="249">
        <f>COUNTIFS('DETALLES UNIDADES'!$C$8:$C$987,"T2",'DETALLES UNIDADES'!$U$8:$U$987,"&lt;4.01",'DETALLES UNIDADES'!$D$8:$D$987,"&lt;1986")-BE9-BF8-BE8-BF7-BE7-BF6-BE6-BF5-BE5-BF4-BE4-BF3-BE3</f>
        <v>0</v>
      </c>
      <c r="BG9" s="249">
        <f>COUNTIFS('DETALLES UNIDADES'!$C$8:$C$987,"T2",'DETALLES UNIDADES'!$U$8:$U$987,"&lt;4.01",'DETALLES UNIDADES'!$D$8:$D$987,"&lt;1991")-BF9-BE9-BG8-BF8-BE8-BG7-BF7-BE7-BG6-BF6-BE6-BG5-BF5-BE5-BG4-BF4-BE4-BG3-BF3-BE3</f>
        <v>0</v>
      </c>
      <c r="BH9" s="249">
        <f>COUNTIFS('DETALLES UNIDADES'!$C$8:$C$987,"T2",'DETALLES UNIDADES'!$U$8:$U$987,"&lt;4.01",'DETALLES UNIDADES'!$D$8:$D$987,"&lt;1996")-BG9-BF9-BE9-BH8-BG8-BF8-BE8-BH7-BG7-BF7-BE7-BH6-BG6-BF6-BE6-BH5-BG5-BF5-BE5-BH4-BG4-BF4-BE4-BH3-BG3-BF3-BE3</f>
        <v>0</v>
      </c>
      <c r="BI9" s="249">
        <f>COUNTIFS('DETALLES UNIDADES'!$C$8:$C$987,"T2",'DETALLES UNIDADES'!$U$8:$U$987,"&lt;4.01",'DETALLES UNIDADES'!$D$8:$D$987,"&lt;2001")-BH9-BG9-BF9-BE9-BI8-BH8-BG8-BF8-BE8-BI7-BH7-BG7-BF7-BE7-BI6-BH6-BG6-BF6-BE6-BI5-BH5-BG5-BF5-BE5-BI4-BH4-BG4-BF4-BE4-BI3-BH3-BG3-BF3-BE3</f>
        <v>0</v>
      </c>
      <c r="BJ9" s="249">
        <f>COUNTIFS('DETALLES UNIDADES'!$C$8:$C$987,"T2",'DETALLES UNIDADES'!$U$8:$U$987,"&lt;4.01",'DETALLES UNIDADES'!$D$8:$D$987,"&lt;2006")-BI9-BH9-BG9-BF9-BE9-BJ8-BI8-BH8-BG8-BF8-BE8-BJ7-BI7-BH7-BG7-BF7-BE7-BJ6-BI6-BH6-BG6-BF6-BE6-BJ5-BI5-BH5-BG5-BF5-BE5-BJ4-BI4-BH4-BG4-BF4-BE4-BJ3-BI3-BH3-BG3-BF3-BE3</f>
        <v>0</v>
      </c>
      <c r="BK9" s="249">
        <f>COUNTIFS('DETALLES UNIDADES'!$C$8:$C$987,"T2",'DETALLES UNIDADES'!$U$8:$U$987,"&lt;4.01",'DETALLES UNIDADES'!$D$8:$D$987,"&lt;2011")-BJ9-BI9-BH9-BG9-BF9-BE9-BK8-BJ8-BI8-BH8-BG8-BF8-BE8-BK7-BJ7-BI7-BH7-BG7-BF7-BE7-BK6-BJ6-BI6-BH6-BG6-BF6-BE6-BK5-BJ5-BI5-BH5-BG5-BF5-BE5-BK4-BJ4-BI4-BH4-BG4-BF4-BE4-BK3-BJ3-BI3-BH3-BG3-BF3-BE3</f>
        <v>6</v>
      </c>
      <c r="BL9" s="249">
        <f>COUNTIFS('DETALLES UNIDADES'!$C$8:$C$987,"T2",'DETALLES UNIDADES'!$U$8:$U$987,"&lt;4.01",'DETALLES UNIDADES'!$D$8:$D$987,"&gt;2010")-BL8-BL7-BL6-BL5-BL4-BL3</f>
        <v>0</v>
      </c>
      <c r="BM9" s="249">
        <f t="shared" si="6"/>
        <v>6</v>
      </c>
      <c r="BP9" s="19" t="s">
        <v>1725</v>
      </c>
      <c r="BQ9" s="249">
        <f>COUNTIFS('DETALLES UNIDADES'!$C$8:$C$987,"T3",'DETALLES UNIDADES'!$U$8:$U$987,"&lt;4.01",'DETALLES UNIDADES'!$D$8:$D$987,"&lt;1980")-BQ8-BQ7-BQ6-BQ5-BQ4-BQ3</f>
        <v>0</v>
      </c>
      <c r="BR9" s="249">
        <f>COUNTIFS('DETALLES UNIDADES'!$C$8:$C$987,"T3",'DETALLES UNIDADES'!$U$8:$U$987,"&lt;4.01",'DETALLES UNIDADES'!$D$8:$D$987,"&lt;1986")-BQ9-BR8-BQ8-BR7-BQ7-BR6-BQ6-BR5-BQ5-BR4-BQ4-BR3-BQ3</f>
        <v>0</v>
      </c>
      <c r="BS9" s="249">
        <f>COUNTIFS('DETALLES UNIDADES'!$C$8:$C$987,"T3",'DETALLES UNIDADES'!$U$8:$U$987,"&lt;4.01",'DETALLES UNIDADES'!$D$8:$D$987,"&lt;1991")-BR9-BQ9-BS8-BR8-BQ8-BS7-BR7-BQ7-BS6-BR6-BQ6-BS5-BR5-BQ5-BS4-BR4-BQ4-BS3-BR3-BQ3</f>
        <v>0</v>
      </c>
      <c r="BT9" s="249">
        <f>COUNTIFS('DETALLES UNIDADES'!$C$8:$C$987,"T3",'DETALLES UNIDADES'!$U$8:$U$987,"&lt;4.01",'DETALLES UNIDADES'!$D$8:$D$987,"&lt;1996")-BS9-BR9-BQ9-BT8-BS8-BR8-BQ8-BT7-BS7-BR7-BQ7-BT6-BS6-BR6-BQ6-BT5-BS5-BR5-BQ5-BT4-BS4-BR4-BQ4-BT3-BS3-BR3-BQ3</f>
        <v>2</v>
      </c>
      <c r="BU9" s="249">
        <f>COUNTIFS('DETALLES UNIDADES'!$C$8:$C$987,"T3",'DETALLES UNIDADES'!$U$8:$U$987,"&lt;4.01",'DETALLES UNIDADES'!$D$8:$D$987,"&lt;2001")-BT9-BS9-BR9-BQ9-BU8-BT8-BS8-BR8-BQ8-BU7-BT7-BS7-BR7-BQ7-BU6-BT6-BS6-BR6-BQ6-BU5-BT5-BS5-BR5-BQ5-BU4-BT4-BS4-BR4-BQ4-BU3-BT3-BS3-BR3-BQ3</f>
        <v>3</v>
      </c>
      <c r="BV9" s="249">
        <f>COUNTIFS('DETALLES UNIDADES'!$C$8:$C$987,"T3",'DETALLES UNIDADES'!$U$8:$U$987,"&lt;4.01",'DETALLES UNIDADES'!$D$8:$D$987,"&lt;2006")-BU9-BT9-BS9-BR9-BQ9-BV8-BU8-BT8-BS8-BR8-BQ8-BV7-BU7-BT7-BS7-BR7-BQ7-BV6-BU6-BT6-BS6-BR6-BQ6-BV5-BU5-BT5-BS5-BR5-BQ5-BV4-BU4-BT4-BS4-BR4-BQ4-BV3-BU3-BT3-BS3-BR3-BQ3</f>
        <v>10</v>
      </c>
      <c r="BW9" s="249">
        <f>COUNTIFS('DETALLES UNIDADES'!$C$8:$C$987,"T3",'DETALLES UNIDADES'!$U$8:$U$987,"&lt;4.01",'DETALLES UNIDADES'!$D$8:$D$987,"&lt;2011")-BV9-BU9-BT9-BS9-BR9-BQ9-BW8-BV8-BU8-BT8-BS8-BR8-BQ8-BW7-BV7-BU7-BT7-BS7-BR7-BQ7-BW6-BV6-BU6-BT6-BS6-BR6-BQ6-BW5-BV5-BU5-BT5-BS5-BR5-BQ5-BW4-BV4-BU4-BT4-BS4-BR4-BQ4-BW3-BV3-BU3-BT3-BS3-BR3-BQ3</f>
        <v>11</v>
      </c>
      <c r="BX9" s="249">
        <f>COUNTIFS('DETALLES UNIDADES'!$C$8:$C$987,"T3",'DETALLES UNIDADES'!$U$8:$U$987,"&lt;4.01",'DETALLES UNIDADES'!$D$8:$D$987,"&gt;2010")-BX8-BX7-BX6-BX5-BX4-BX3</f>
        <v>0</v>
      </c>
      <c r="BY9" s="249">
        <f t="shared" si="7"/>
        <v>26</v>
      </c>
      <c r="CA9" s="249">
        <v>1986</v>
      </c>
      <c r="CB9" s="144">
        <f>AVERAGEIFS('DATOS 2'!$F$5:$F$1437,'DATOS 2'!$D$5:$D$1437,CA9)</f>
        <v>1.8333333333333333</v>
      </c>
      <c r="CC9" s="144">
        <f>AVERAGEIFS('DATOS 2'!$G$5:$G$1437,'DATOS 2'!$D$5:$D$1437,CA9)</f>
        <v>2.1083333333333334</v>
      </c>
      <c r="CD9" s="138">
        <f>AVERAGEIFS('DATOS 2'!$E$5:$E$1437,'DATOS 2'!$D$5:$D$1437,CA9)</f>
        <v>1556573</v>
      </c>
      <c r="CF9" s="9" t="s">
        <v>1883</v>
      </c>
      <c r="CG9" s="160">
        <f>AVERAGEIFS('DATOS 2'!$F$5:$F$1437,'DATOS 2'!$C$5:$C$1437,"C2",'DATOS 2'!$H$5:$H$1437,"D",'DATOS 2'!$D$5:$D$1437,"&gt;2005",'DATOS 2'!$D$5:$D$1437,"&lt;2011")</f>
        <v>2.7953488372093025</v>
      </c>
      <c r="CH9" s="160">
        <f>AVERAGEIFS('DATOS 2'!$G$5:$G$1437,'DATOS 2'!$C$5:$C$1437,"C2",'DATOS 2'!$H$5:$H$1437,"D",'DATOS 2'!$D$5:$D$1437,"&gt;2005",'DATOS 2'!$D$5:$D$1437,"&lt;2011")</f>
        <v>3.2744186046511619</v>
      </c>
      <c r="DB9" s="11">
        <f t="shared" si="8"/>
        <v>39</v>
      </c>
      <c r="DC9" s="9">
        <v>1975</v>
      </c>
      <c r="DD9" s="6">
        <f t="shared" si="12"/>
        <v>1.9588638589618022E-3</v>
      </c>
      <c r="DE9" s="6">
        <f t="shared" si="13"/>
        <v>0</v>
      </c>
      <c r="DF9" s="249">
        <f t="shared" si="14"/>
        <v>2</v>
      </c>
      <c r="DG9" s="249">
        <f>COUNTIFS('DATOS 2'!$K$5:$K$1437,"HC",'DATOS 2'!$D$5:$D$1437,DC9)</f>
        <v>2</v>
      </c>
      <c r="DH9" s="249">
        <f>COUNTIFS('DATOS 2'!$K$5:$K$1437,"PT",'DATOS 2'!$D$5:$D$1437,DC9)</f>
        <v>0</v>
      </c>
      <c r="DJ9" s="11" t="s">
        <v>715</v>
      </c>
      <c r="DK9" s="6">
        <f t="shared" si="22"/>
        <v>1</v>
      </c>
      <c r="DL9" s="6">
        <f t="shared" si="23"/>
        <v>1</v>
      </c>
      <c r="DM9" s="250">
        <f>SUM(DM6:DM8)</f>
        <v>288</v>
      </c>
      <c r="DN9" s="250">
        <f>SUM(DN6:DN8)</f>
        <v>692</v>
      </c>
      <c r="DP9" s="123" t="s">
        <v>2410</v>
      </c>
      <c r="DQ9" s="6">
        <f t="shared" si="18"/>
        <v>0.23376623376623376</v>
      </c>
      <c r="DR9" s="6">
        <f t="shared" si="19"/>
        <v>0.17899408284023668</v>
      </c>
      <c r="DS9" s="249">
        <f>+'DATOS 1'!AD43</f>
        <v>18</v>
      </c>
      <c r="DT9" s="249">
        <f>+'DATOS 1'!AD430</f>
        <v>121</v>
      </c>
      <c r="DV9" s="11" t="s">
        <v>2376</v>
      </c>
      <c r="DW9" s="138">
        <f>COUNTIFS('DATOS 2'!$J$5:$J$1437,"&lt;12501",'DATOS 2'!$F$5:$F$1437,"&lt;1.6")-DW8-DW7-DW6-DW5</f>
        <v>1</v>
      </c>
      <c r="DX9" s="138">
        <f>COUNTIFS('DATOS 2'!$J$5:$J$1437,"&lt;12501",'DATOS 2'!$F$5:$F$1437,"&lt;1.91")-DX8-DX7-DX6-DX5-DW5-DW6-DW7-DW8-DW9</f>
        <v>6</v>
      </c>
      <c r="DY9" s="138">
        <f>COUNTIFS('DATOS 2'!$J$5:$J$1437,"&lt;12501",'DATOS 2'!$F$5:$F$1437,"&lt;2.01")-DY8-DY7-DY6-DY5-DX5-DX6-DX7-DX8-DX9-DW5-DW6-DW7-DW8-DW9</f>
        <v>2</v>
      </c>
      <c r="DZ9" s="138">
        <f>COUNTIFS('DATOS 2'!$J$5:$J$1437,"&lt;12501",'DATOS 2'!$F$5:$F$1437,"&lt;2.21")-DZ8-DZ7-DZ6-DZ5-DY5-DY6-DY7-DY8-DY9-DX5-DX6-DX7-DX8-DX9-DW5-DW6-DW7-DW8-DW9</f>
        <v>2</v>
      </c>
      <c r="EA9" s="138">
        <f>COUNTIFS('DATOS 2'!$J$5:$J$1437,"&lt;12501",'DATOS 2'!$F$5:$F$1437,"&lt;2.51")-EA8-EA7-EA6-EA5-DZ5-DZ6-DZ7-DZ8-DZ9-DY5-DY6-DY7-DY8-DY9-DX5-DX6-DX7-DX8-DX9-DW5-DW6-DW7-DW8-DW9</f>
        <v>26</v>
      </c>
      <c r="EB9" s="138">
        <f>COUNTIFS('DATOS 2'!$J$5:$J$1437,"&lt;12501",'DATOS 2'!$F$5:$F$1437,"&lt;3.01")-EB8-EB7-EB6-EB5-EA5-EA6-EA7-EA8-EA9-DZ5-DZ6-DZ7-DZ8-DZ9-DY5-DY6-DY7-DY8-DY9-DX5-DX6-DX7-DX8-DX9-DW5-DW6-DW7-DW8-DW9</f>
        <v>2</v>
      </c>
      <c r="EC9" s="138">
        <f>COUNTIFS('DATOS 2'!$J$5:$J$1437,"&lt;12501",'DATOS 2'!$F$5:$F$1437,"&lt;4.01")-EC8-EC7-EC6-EC5-EB5-EB6-EB7-EB8-EB9-EA5-EA6-EA7-EA8-EA9-DZ5-DZ6-DZ7-DZ8-DZ9-DY5-DY6-DY7-DY8-DY9-DX5-DX6-DX7-DX8-DX9-DW5-DW6-DW7-DW8-DW9</f>
        <v>2</v>
      </c>
      <c r="ED9" s="138">
        <f>COUNTIFS('DATOS 2'!$J$5:$J$1437,"&lt;12501",'DATOS 2'!$F$5:$F$1437,"&lt;5.01")-ED8-ED7-ED6-ED5-EC5-EC6-EC7-EC8-EC9-EB5-EB6-EB7-EB8-EB9-EA5-EA6-EA7-EA8-EA9-DZ5-DZ6-DZ7-DZ8-DZ9-DY5-DY6-DY7-DY8-DY9-DX5-DX6-DX7-DX8-DX9-DW5-DW6-DW7-DW8-DW9</f>
        <v>0</v>
      </c>
      <c r="EE9" s="138">
        <f>COUNTIFS('DATOS 2'!$J$5:$J$1437,"&lt;12501",'DATOS 2'!$F$5:$F$1437,"&gt;5.01")-EE5-EE6-EE7-EE8</f>
        <v>0</v>
      </c>
      <c r="EF9" s="249">
        <f t="shared" si="20"/>
        <v>41</v>
      </c>
      <c r="EG9" s="249">
        <v>41</v>
      </c>
      <c r="EI9" s="249" t="s">
        <v>2420</v>
      </c>
      <c r="EJ9" s="6">
        <f t="shared" si="16"/>
        <v>1</v>
      </c>
      <c r="EK9" s="6">
        <f t="shared" si="17"/>
        <v>1</v>
      </c>
      <c r="EL9" s="249">
        <f>SUM(EL4:EL8)</f>
        <v>382</v>
      </c>
      <c r="EM9" s="249">
        <f>SUM(EM4:EM8)</f>
        <v>899</v>
      </c>
    </row>
    <row r="10" spans="2:143" x14ac:dyDescent="0.25">
      <c r="C10" s="159">
        <f>SUM(C3:C9)</f>
        <v>1</v>
      </c>
      <c r="D10" s="159">
        <f>SUM(D3:D9)</f>
        <v>1</v>
      </c>
      <c r="E10" s="11">
        <f>SUM(E3:E9)</f>
        <v>377</v>
      </c>
      <c r="F10" s="11">
        <f>SUM(F3:F9)</f>
        <v>34</v>
      </c>
      <c r="K10" s="159">
        <f>SUM(K3:K9)</f>
        <v>0.99999999999999989</v>
      </c>
      <c r="L10" s="159">
        <f>SUM(L3:L9)</f>
        <v>1</v>
      </c>
      <c r="M10" s="11">
        <f>SUM(M3:M9)</f>
        <v>377</v>
      </c>
      <c r="N10" s="11">
        <f>SUM(N3:N9)</f>
        <v>34</v>
      </c>
      <c r="Q10" s="11"/>
      <c r="R10" s="9"/>
      <c r="S10" s="249" t="s">
        <v>1714</v>
      </c>
      <c r="T10" s="249">
        <f>COUNTIFS('DETALLES UNIDADES'!$D$8:$D$987,"&lt;1980",'DETALLES UNIDADES'!$J$8:$J$987,"&lt;2500000")-T9-T8-T7-T6-T5</f>
        <v>5</v>
      </c>
      <c r="U10" s="249">
        <f>COUNTIFS('DETALLES UNIDADES'!$D$8:$D$987,"&lt;1986",'DETALLES UNIDADES'!$J$8:$J$987,"&lt;2500000")-T10-U9-U8-U7-U6-U5-T5-T6-T7-T8-T9</f>
        <v>21</v>
      </c>
      <c r="V10" s="249">
        <f>COUNTIFS('DETALLES UNIDADES'!$D$8:$D$987,"&lt;1991",'DETALLES UNIDADES'!$J$8:$J$987,"&lt;2500000")-U10-T10-V9-V8-V7-V6-V5-U5-U6-U7-U8-U9-T5-T6-T7-T8-T9</f>
        <v>4</v>
      </c>
      <c r="W10" s="249">
        <f>COUNTIFS('DETALLES UNIDADES'!$D$8:$D$987,"&lt;1996",'DETALLES UNIDADES'!$J$8:$J$987,"&lt;2500000")-V10-U10-T10-W9-W8-W7-W6-W5-V5-V6-V7-V8-V9-U5-U6-U7-U8-U9-T5-T6-T7-T8-T9</f>
        <v>1</v>
      </c>
      <c r="X10" s="249">
        <f>COUNTIFS('DETALLES UNIDADES'!$D$8:$D$987,"&lt;2001",'DETALLES UNIDADES'!$J$8:$J$987,"&lt;2500000")-W10-V10-U10-T10-X9-X8-X7-X6-X5-W5-W6-W7-W8-W9-V5-V6-V7-V8-V9-U5-U6-U7-U8-U9-T5-T6-T7-T8-T9</f>
        <v>2</v>
      </c>
      <c r="Y10" s="249">
        <f>COUNTIFS('DETALLES UNIDADES'!$D$8:$D$987,"&lt;2006",'DETALLES UNIDADES'!$J$8:$J$987,"&lt;2500000")-X10-W10-V10-U10-T10-Y9-Y8-Y7-Y6-Y5-X5-X6-X7-X8-X9-W5-W6-W7-W8-W9-V5-V6-V7-V8-V9-U5-U6-U7-U8-U9-T5-T6-T7-T8-T9</f>
        <v>0</v>
      </c>
      <c r="Z10" s="249">
        <f>COUNTIFS('DETALLES UNIDADES'!$D$8:$D$987,"&lt;2011",'DETALLES UNIDADES'!$J$8:$J$987,"&lt;2500000")-Y10-X10-W10-V10-U10-T10-Z9-Z8-Z7-Z6-Z5-Y5-Y6-Y7-Y8-Y9-X5-X6-X7-X8-X9-W5-W6-W7-W8-W9-V5-V6-V7-V8-V9-U5-U6-U7-U8-U9-T6-T5-T7-T8-T9</f>
        <v>0</v>
      </c>
      <c r="AA10" s="249">
        <f>COUNTIFS('DETALLES UNIDADES'!$D$8:$D$987,"&gt;2010",'DETALLES UNIDADES'!$J$8:$J$987,"&lt;2500000")-AA9-AA8-AA7-AA6-AA5</f>
        <v>0</v>
      </c>
      <c r="AB10" s="249">
        <f t="shared" si="9"/>
        <v>33</v>
      </c>
      <c r="AC10" s="249">
        <v>33</v>
      </c>
      <c r="AD10" s="17">
        <f t="shared" si="21"/>
        <v>0</v>
      </c>
      <c r="AF10" s="19" t="s">
        <v>1726</v>
      </c>
      <c r="AG10" s="249">
        <f>COUNTIFS('DETALLES UNIDADES'!$C$8:$C$987,"C2",'DETALLES UNIDADES'!$U$8:$U$987,"&lt;5.01",'DETALLES UNIDADES'!$D$8:$D$987,"&lt;1980")-AG9-AG8-AG7-AG6-AG5-AG4-AG3</f>
        <v>0</v>
      </c>
      <c r="AH10" s="249">
        <f>COUNTIFS('DETALLES UNIDADES'!$C$8:$C$987,"C2",'DETALLES UNIDADES'!$U$8:$U$987,"&lt;5.01",'DETALLES UNIDADES'!$D$8:$D$987,"&lt;1986")-AG10-AH9-AG9-AH8-AG8-AH7-AG7-AH6-AG6-AH5-AG5-AH4-AG4-AH3-AG3</f>
        <v>3</v>
      </c>
      <c r="AI10" s="249">
        <f>COUNTIFS('DETALLES UNIDADES'!$C$8:$C$987,"C2",'DETALLES UNIDADES'!$U$8:$U$987,"&lt;5.01",'DETALLES UNIDADES'!$D$8:$D$987,"&lt;1991")-AH10-AG10-AI9-AH9-AG9-AI8-AH8-AG8-AI7-AH7-AG7-AI6-AH6-AG6-AI5-AH5-AG5-AI4-AH4-AG4-AI3-AH3-AG3</f>
        <v>1</v>
      </c>
      <c r="AJ10" s="249">
        <f>COUNTIFS('DETALLES UNIDADES'!$C$8:$C$987,"C2",'DETALLES UNIDADES'!$U$8:$U$987,"&lt;5.01",'DETALLES UNIDADES'!$D$8:$D$987,"&lt;1996")-AI10-AH10-AG10-AJ9-AI9-AH9-AG9-AJ8-AI8-AH8-AG8-AJ7-AI7-AH7-AG7-AJ6-AI6-AH6-AG6-AJ5-AI5-AH5-AG5-AJ4-AI4-AH4-AG4-AJ3-AI3-AH3-AG3</f>
        <v>6</v>
      </c>
      <c r="AK10" s="249">
        <f>COUNTIFS('DETALLES UNIDADES'!$C$8:$C$987,"C2",'DETALLES UNIDADES'!$U$8:$U$987,"&lt;5.01",'DETALLES UNIDADES'!$D$8:$D$987,"&lt;2001")-AJ10-AI10-AH10-AG10-AK9-AJ9-AI9-AH9-AG9-AK8-AJ8-AI8-AH8-AG8-AK7-AJ7-AI7-AH7-AG7-AK6-AJ6-AI6-AH6-AG6-AK5-AJ5-AI5-AH5-AG5-AK4-AJ4-AI4-AH4-AG4-AK3-AJ3-AI3-AH3-AG3</f>
        <v>7</v>
      </c>
      <c r="AL10" s="249">
        <f>COUNTIFS('DETALLES UNIDADES'!$C$8:$C$987,"C2",'DETALLES UNIDADES'!$U$8:$U$987,"&lt;5.01",'DETALLES UNIDADES'!$D$8:$D$987,"&lt;2006")-AK10-AJ10-AI10-AH10-AG10-AL9-AK9-AJ9-AI9-AH9-AG9-AL8-AK8-AJ8-AI8-AH8-AG8-AL7-AK7-AJ7-AI7-AH7-AG7-AL6-AK6-AJ6-AI6-AH6-AG6-AL5-AK5-AJ5-AI5-AH5-AG5-AL4-AK4-AJ4-AI4-AH4-AG4-AL3-AK3-AJ3-AI3-AH3-AG3</f>
        <v>33</v>
      </c>
      <c r="AM10" s="249">
        <f>COUNTIFS('DETALLES UNIDADES'!$C$8:$C$987,"C2",'DETALLES UNIDADES'!$U$8:$U$987,"&lt;5.01",'DETALLES UNIDADES'!$D$8:$D$987,"&lt;2011")-AL10-AK10-AJ10-AI10-AH10-AG10-AM9-AL9-AK9-AJ9-AI9-AH9-AG9-AM8-AL8-AK8-AJ8-AI8-AH8-AG8-AM7-AL7-AK7-AJ7-AI7-AH7-AG7-AM6-AL6-AK6-AJ6-AI6-AH6-AG6-AM5-AL5-AK5-AJ5-AI5-AH5-AG5-AM4-AL4-AK4-AJ4-AI4-AH4-AG4-AM3-AL3-AK3-AJ3-AI3-AH3-AG3</f>
        <v>11</v>
      </c>
      <c r="AN10" s="249">
        <f>COUNTIFS('DETALLES UNIDADES'!$C$8:$C$987,"C2",'DETALLES UNIDADES'!$U$8:$U$987,"&lt;5.01",'DETALLES UNIDADES'!$D$8:$D$987,"&gt;2010")-AN9-AN8-AN7-AN6-AN5-AN4-AN3</f>
        <v>1</v>
      </c>
      <c r="AO10" s="249">
        <f t="shared" si="4"/>
        <v>62</v>
      </c>
      <c r="AR10" s="19" t="s">
        <v>1726</v>
      </c>
      <c r="AS10" s="249">
        <f>COUNTIFS('DETALLES UNIDADES'!$C$8:$C$987,"C3",'DETALLES UNIDADES'!$U$8:$U$987,"&lt;5.01",'DETALLES UNIDADES'!$D$8:$D$987,"&lt;1980")-AS9-AS8-AS7-AS6-AS5-AS4-AS3</f>
        <v>0</v>
      </c>
      <c r="AT10" s="249">
        <f>COUNTIFS('DETALLES UNIDADES'!$C$8:$C$987,"C3",'DETALLES UNIDADES'!$U$8:$U$987,"&lt;5.01",'DETALLES UNIDADES'!$D$8:$D$987,"&lt;1986")-AS10-AT9-AS9-AT8-AS8-AT7-AS7-AT6-AS6-AT5-AS5-AT4-AS4-AT3-AS3</f>
        <v>0</v>
      </c>
      <c r="AU10" s="249">
        <f>COUNTIFS('DETALLES UNIDADES'!$C$8:$C$987,"C3",'DETALLES UNIDADES'!$U$8:$U$987,"&lt;5.01",'DETALLES UNIDADES'!$D$8:$D$987,"&lt;1991")-AT10-AS10-AU9-AT9-AS9-AU8-AT8-AS8-AU7-AT7-AS7-AU6-AT6-AS6-AU5-AT5-AS5-AU4-AT4-AS4-AU3-AT3-AS3</f>
        <v>2</v>
      </c>
      <c r="AV10" s="249">
        <f>COUNTIFS('DETALLES UNIDADES'!$C$8:$C$987,"C3",'DETALLES UNIDADES'!$U$8:$U$987,"&lt;5.01",'DETALLES UNIDADES'!$D$8:$D$987,"&lt;1996")-AU10-AT10-AS10-AV9-AU9-AT9-AS9-AV8-AU8-AT8-AS8-AV7-AU7-AT7-AS7-AV6-AU6-AT6-AS6-AV5-AU5-AT5-AS5-AV4-AU4-AT4-AS4-AV3-AU3-AT3-AS3</f>
        <v>0</v>
      </c>
      <c r="AW10" s="249">
        <f>COUNTIFS('DETALLES UNIDADES'!$C$8:$C$987,"C3",'DETALLES UNIDADES'!$U$8:$U$987,"&lt;5.01",'DETALLES UNIDADES'!$D$8:$D$987,"&lt;2001")-AV10-AU10-AT10-AS10-AW9-AV9-AU9-AT9-AS9-AW8-AV8-AU8-AT8-AS8-AW7-AV7-AU7-AT7-AS7-AW6-AV6-AU6-AT6-AS6-AW5-AV5-AU5-AT5-AS5-AW4-AV4-AU4-AT4-AS4-AW3-AV3-AU3-AT3-AS3</f>
        <v>3</v>
      </c>
      <c r="AX10" s="249">
        <f>COUNTIFS('DETALLES UNIDADES'!$C$8:$C$987,"C3",'DETALLES UNIDADES'!$U$8:$U$987,"&lt;5.01",'DETALLES UNIDADES'!$D$8:$D$987,"&lt;2006")-AW10-AV10-AU10-AT10-AS10-AX9-AW9-AV9-AU9-AT9-AS9-AX8-AW8-AV8-AU8-AT8-AS8-AX7-AW7-AV7-AU7-AT7-AS7-AX6-AW6-AV6-AU6-AT6-AS6-AX5-AW5-AV5-AU5-AT5-AS5-AX4-AW4-AV4-AU4-AT4-AS4-AX3-AW3-AV3-AU3-AT3-AS3</f>
        <v>2</v>
      </c>
      <c r="AY10" s="249">
        <f>COUNTIFS('DETALLES UNIDADES'!$C$8:$C$987,"C3",'DETALLES UNIDADES'!$U$8:$U$987,"&lt;5.01",'DETALLES UNIDADES'!$D$8:$D$987,"&lt;2011")-AX10-AW10-AV10-AU10-AT10-AS10-AY9-AX9-AW9-AV9-AU9-AT9-AS9-AY8-AX8-AW8-AV8-AU8-AT8-AS8-AY7-AX7-AW7-AV7-AU7-AT7-AS7-AY6-AX6-AW6-AV6-AU6-AT6-AS6-AY5-AX5-AW5-AV5-AU5-AT5-AS5-AY4-AX4-AW4-AV4-AU4-AT4-AS4-AY3-AX3-AW3-AV3-AU3-AT3-AS3</f>
        <v>7</v>
      </c>
      <c r="AZ10" s="249">
        <f>COUNTIFS('DETALLES UNIDADES'!$C$8:$C$987,"C3",'DETALLES UNIDADES'!$U$8:$U$987,"&lt;5.01",'DETALLES UNIDADES'!$D$8:$D$987,"&gt;2010")-AZ9-AZ8-AZ7-AZ6-AZ5-AZ4-AZ3</f>
        <v>0</v>
      </c>
      <c r="BA10" s="249">
        <f t="shared" si="5"/>
        <v>14</v>
      </c>
      <c r="BD10" s="19" t="s">
        <v>1726</v>
      </c>
      <c r="BE10" s="249">
        <f>COUNTIFS('DETALLES UNIDADES'!$C$8:$C$987,"T2",'DETALLES UNIDADES'!$U$8:$U$987,"&lt;5.01",'DETALLES UNIDADES'!$D$8:$D$987,"&lt;1980")-BE9-BE8-BE7-BE6-BE5-BE4-BE3</f>
        <v>0</v>
      </c>
      <c r="BF10" s="249">
        <f>COUNTIFS('DETALLES UNIDADES'!$C$8:$C$987,"T2",'DETALLES UNIDADES'!$U$8:$U$987,"&lt;5.01",'DETALLES UNIDADES'!$D$8:$D$987,"&lt;1986")-BE10-BF9-BE9-BF8-BE8-BF7-BE7-BF6-BE6-BF5-BE5-BF4-BE4-BF3-BE3</f>
        <v>0</v>
      </c>
      <c r="BG10" s="249">
        <f>COUNTIFS('DETALLES UNIDADES'!$C$8:$C$987,"T2",'DETALLES UNIDADES'!$U$8:$U$987,"&lt;5.01",'DETALLES UNIDADES'!$D$8:$D$987,"&lt;1991")-BF10-BE10-BG9-BF9-BE9-BG8-BF8-BE8-BG7-BF7-BE7-BG6-BF6-BE6-BG5-BF5-BE5-BG4-BF4-BE4-BG3-BF3-BE3</f>
        <v>0</v>
      </c>
      <c r="BH10" s="249">
        <f>COUNTIFS('DETALLES UNIDADES'!$C$8:$C$987,"T2",'DETALLES UNIDADES'!$U$8:$U$987,"&lt;5.01",'DETALLES UNIDADES'!$D$8:$D$987,"&lt;1996")-BG10-BF10-BE10-BH9-BG9-BF9-BE9-BH8-BG8-BF8-BE8-BH7-BG7-BF7-BE7-BH6-BG6-BF6-BE6-BH5-BG5-BF5-BE5-BH4-BG4-BF4-BE4-BH3-BG3-BF3-BE3</f>
        <v>0</v>
      </c>
      <c r="BI10" s="249">
        <f>COUNTIFS('DETALLES UNIDADES'!$C$8:$C$987,"T2",'DETALLES UNIDADES'!$U$8:$U$987,"&lt;5.01",'DETALLES UNIDADES'!$D$8:$D$987,"&lt;2001")-BH10-BG10-BF10-BE10-BI9-BH9-BG9-BF9-BE9-BI8-BH8-BG8-BF8-BE8-BI7-BH7-BG7-BF7-BE7-BI6-BH6-BG6-BF6-BE6-BI5-BH5-BG5-BF5-BE5-BI4-BH4-BG4-BF4-BE4-BI3-BH3-BG3-BF3-BE3</f>
        <v>0</v>
      </c>
      <c r="BJ10" s="249">
        <f>COUNTIFS('DETALLES UNIDADES'!$C$8:$C$987,"T2",'DETALLES UNIDADES'!$U$8:$U$987,"&lt;5.01",'DETALLES UNIDADES'!$D$8:$D$987,"&lt;2006")-BI10-BH10-BG10-BF10-BE10-BJ9-BI9-BH9-BG9-BF9-BE9-BJ8-BI8-BH8-BG8-BF8-BE8-BJ7-BI7-BH7-BG7-BF7-BE7-BJ6-BI6-BH6-BG6-BF6-BE6-BJ5-BI5-BH5-BG5-BF5-BE5-BJ4-BI4-BH4-BG4-BF4-BE4-BJ3-BI3-BH3-BG3-BF3-BE3</f>
        <v>0</v>
      </c>
      <c r="BK10" s="249">
        <f>COUNTIFS('DETALLES UNIDADES'!$C$8:$C$987,"T2",'DETALLES UNIDADES'!$U$8:$U$987,"&lt;5.01",'DETALLES UNIDADES'!$D$8:$D$987,"&lt;2011")-BJ10-BI10-BH10-BG10-BF10-BE10-BK9-BJ9-BI9-BH9-BG9-BF9-BE9-BK8-BJ8-BI8-BH8-BG8-BF8-BE8-BK7-BJ7-BI7-BH7-BG7-BF7-BE7-BK6-BJ6-BI6-BH6-BG6-BF6-BE6-BK5-BJ5-BI5-BH5-BG5-BF5-BE5-BK4-BJ4-BI4-BH4-BG4-BF4-BE4-BK3-BJ3-BI3-BH3-BG3-BF3-BE3</f>
        <v>0</v>
      </c>
      <c r="BL10" s="249">
        <f>COUNTIFS('DETALLES UNIDADES'!$C$8:$C$987,"T2",'DETALLES UNIDADES'!$U$8:$U$987,"&lt;5.01",'DETALLES UNIDADES'!$D$8:$D$987,"&gt;2010")-BL9-BL8-BL7-BL6-BL5-BL4-BL3</f>
        <v>0</v>
      </c>
      <c r="BM10" s="249">
        <f t="shared" si="6"/>
        <v>0</v>
      </c>
      <c r="BP10" s="19" t="s">
        <v>1726</v>
      </c>
      <c r="BQ10" s="249">
        <f>COUNTIFS('DETALLES UNIDADES'!$C$8:$C$987,"T3",'DETALLES UNIDADES'!$U$8:$U$987,"&lt;5.01",'DETALLES UNIDADES'!$D$8:$D$987,"&lt;1980")-BQ9-BQ8-BQ7-BQ6-BQ5-BQ4-BQ3</f>
        <v>0</v>
      </c>
      <c r="BR10" s="249">
        <f>COUNTIFS('DETALLES UNIDADES'!$C$8:$C$987,"T3",'DETALLES UNIDADES'!$U$8:$U$987,"&lt;5.01",'DETALLES UNIDADES'!$D$8:$D$987,"&lt;1986")-BQ10-BR9-BQ9-BR8-BQ8-BR7-BQ7-BR6-BQ6-BR5-BQ5-BR4-BQ4-BR3-BQ3</f>
        <v>0</v>
      </c>
      <c r="BS10" s="249">
        <f>COUNTIFS('DETALLES UNIDADES'!$C$8:$C$987,"T3",'DETALLES UNIDADES'!$U$8:$U$987,"&lt;5.01",'DETALLES UNIDADES'!$D$8:$D$987,"&lt;1991")-BR10-BQ10-BS9-BR9-BQ9-BS8-BR8-BQ8-BS7-BR7-BQ7-BS6-BR6-BQ6-BS5-BR5-BQ5-BS4-BR4-BQ4-BS3-BR3-BQ3</f>
        <v>0</v>
      </c>
      <c r="BT10" s="249">
        <f>COUNTIFS('DETALLES UNIDADES'!$C$8:$C$987,"T3",'DETALLES UNIDADES'!$U$8:$U$987,"&lt;5.01",'DETALLES UNIDADES'!$D$8:$D$987,"&lt;1996")-BS10-BR10-BQ10-BT9-BS9-BR9-BQ9-BT8-BS8-BR8-BQ8-BT7-BS7-BR7-BQ7-BT6-BS6-BR6-BQ6-BT5-BS5-BR5-BQ5-BT4-BS4-BR4-BQ4-BT3-BS3-BR3-BQ3</f>
        <v>0</v>
      </c>
      <c r="BU10" s="249">
        <f>COUNTIFS('DETALLES UNIDADES'!$C$8:$C$987,"T3",'DETALLES UNIDADES'!$U$8:$U$987,"&lt;5.01",'DETALLES UNIDADES'!$D$8:$D$987,"&lt;2001")-BT10-BS10-BR10-BQ10-BU9-BT9-BS9-BR9-BQ9-BU8-BT8-BS8-BR8-BQ8-BU7-BT7-BS7-BR7-BQ7-BU6-BT6-BS6-BR6-BQ6-BU5-BT5-BS5-BR5-BQ5-BU4-BT4-BS4-BR4-BQ4-BU3-BT3-BS3-BR3-BQ3</f>
        <v>0</v>
      </c>
      <c r="BV10" s="249">
        <f>COUNTIFS('DETALLES UNIDADES'!$C$8:$C$987,"T3",'DETALLES UNIDADES'!$U$8:$U$987,"&lt;5.01",'DETALLES UNIDADES'!$D$8:$D$987,"&lt;2006")-BU10-BT10-BS10-BR10-BQ10-BV9-BU9-BT9-BS9-BR9-BQ9-BV8-BU8-BT8-BS8-BR8-BQ8-BV7-BU7-BT7-BS7-BR7-BQ7-BV6-BU6-BT6-BS6-BR6-BQ6-BV5-BU5-BT5-BS5-BR5-BQ5-BV4-BU4-BT4-BS4-BR4-BQ4-BV3-BU3-BT3-BS3-BR3-BQ3</f>
        <v>1</v>
      </c>
      <c r="BW10" s="249">
        <f>COUNTIFS('DETALLES UNIDADES'!$C$8:$C$987,"T3",'DETALLES UNIDADES'!$U$8:$U$987,"&lt;5.01",'DETALLES UNIDADES'!$D$8:$D$987,"&lt;2011")-BV10-BU10-BT10-BS10-BR10-BQ10-BW9-BV9-BU9-BT9-BS9-BR9-BQ9-BW8-BV8-BU8-BT8-BS8-BR8-BQ8-BW7-BV7-BU7-BT7-BS7-BR7-BQ7-BW6-BV6-BU6-BT6-BS6-BR6-BQ6-BW5-BV5-BU5-BT5-BS5-BR5-BQ5-BW4-BV4-BU4-BT4-BS4-BR4-BQ4-BW3-BV3-BU3-BT3-BS3-BR3-BQ3</f>
        <v>1</v>
      </c>
      <c r="BX10" s="249">
        <f>COUNTIFS('DETALLES UNIDADES'!$C$8:$C$987,"T3",'DETALLES UNIDADES'!$U$8:$U$987,"&lt;5.01",'DETALLES UNIDADES'!$D$8:$D$987,"&gt;2010")-BX9-BX8-BX7-BX6-BX5-BX4-BX3</f>
        <v>0</v>
      </c>
      <c r="BY10" s="249">
        <f t="shared" si="7"/>
        <v>2</v>
      </c>
      <c r="CA10" s="249">
        <v>1987</v>
      </c>
      <c r="CB10" s="144">
        <f>AVERAGEIFS('DATOS 2'!$F$5:$F$1437,'DATOS 2'!$D$5:$D$1437,CA10)</f>
        <v>2.7785714285714285</v>
      </c>
      <c r="CC10" s="144">
        <f>AVERAGEIFS('DATOS 2'!$G$5:$G$1437,'DATOS 2'!$D$5:$D$1437,CA10)</f>
        <v>3.2928571428571423</v>
      </c>
      <c r="CD10" s="138">
        <f>AVERAGEIFS('DATOS 2'!$E$5:$E$1437,'DATOS 2'!$D$5:$D$1437,CA10)</f>
        <v>1511246.4</v>
      </c>
      <c r="CF10" s="9" t="s">
        <v>1884</v>
      </c>
      <c r="CG10" s="160">
        <f>AVERAGEIFS('DATOS 2'!$F$5:$F$1437,'DATOS 2'!$C$5:$C$1437,"C2",'DATOS 2'!$H$5:$H$1437,"D",'DATOS 2'!$D$5:$D$1437,"&gt;2010")</f>
        <v>2.3549999999999995</v>
      </c>
      <c r="CH10" s="160">
        <f>AVERAGEIFS('DATOS 2'!$G$5:$G$1437,'DATOS 2'!$C$5:$C$1437,"C2",'DATOS 2'!$H$5:$H$1437,"D",'DATOS 2'!$D$5:$D$1437,"&gt;2010")</f>
        <v>2.8200000000000003</v>
      </c>
      <c r="DB10" s="11">
        <f t="shared" si="8"/>
        <v>38</v>
      </c>
      <c r="DC10" s="9">
        <v>1976</v>
      </c>
      <c r="DD10" s="6">
        <f t="shared" si="12"/>
        <v>4.8971596474045058E-3</v>
      </c>
      <c r="DE10" s="6">
        <f t="shared" si="13"/>
        <v>0</v>
      </c>
      <c r="DF10" s="249">
        <f t="shared" si="14"/>
        <v>5</v>
      </c>
      <c r="DG10" s="249">
        <f>COUNTIFS('DATOS 2'!$K$5:$K$1437,"HC",'DATOS 2'!$D$5:$D$1437,DC10)</f>
        <v>5</v>
      </c>
      <c r="DH10" s="249">
        <f>COUNTIFS('DATOS 2'!$K$5:$K$1437,"PT",'DATOS 2'!$D$5:$D$1437,DC10)</f>
        <v>0</v>
      </c>
      <c r="DN10" s="249">
        <f>+DN9+DM9</f>
        <v>980</v>
      </c>
      <c r="DP10" s="123" t="s">
        <v>193</v>
      </c>
      <c r="DQ10" s="6">
        <f t="shared" si="18"/>
        <v>0.1038961038961039</v>
      </c>
      <c r="DR10" s="6">
        <f t="shared" si="19"/>
        <v>0.13757396449704143</v>
      </c>
      <c r="DS10" s="249">
        <f>+'DATOS 1'!AE42</f>
        <v>8</v>
      </c>
      <c r="DT10" s="249">
        <f>+'DATOS 1'!AE429</f>
        <v>93</v>
      </c>
      <c r="DV10" s="11" t="s">
        <v>2377</v>
      </c>
      <c r="DW10" s="138">
        <f>COUNTIFS('DATOS 2'!$J$5:$J$1437,"&gt;12500",'DATOS 2'!$F$5:$F$1437,"&lt;1.6")</f>
        <v>9</v>
      </c>
      <c r="DX10" s="138">
        <f>COUNTIFS('DATOS 2'!$J$5:$J$1437,"&gt;12500",'DATOS 2'!$F$5:$F$1437,"&lt;1.91")-DW10</f>
        <v>5</v>
      </c>
      <c r="DY10" s="138">
        <f>COUNTIFS('DATOS 2'!$J$5:$J$1437,"&gt;12500",'DATOS 2'!$F$5:$F$1437,"&lt;2.01")-DX10-DW10</f>
        <v>45</v>
      </c>
      <c r="DZ10" s="138">
        <f>COUNTIFS('DATOS 2'!$J$5:$J$1437,"&gt;12500",'DATOS 2'!$F$5:$F$1437,"&lt;2.21")-DY10-DX10-DW10</f>
        <v>6</v>
      </c>
      <c r="EA10" s="138">
        <f>COUNTIFS('DATOS 2'!$J$5:$J$1437,"&gt;12500",'DATOS 2'!$F$5:$F$1437,"&lt;2.51")-DZ10-DY10-DX10-DW10</f>
        <v>18</v>
      </c>
      <c r="EB10" s="138">
        <f>COUNTIFS('DATOS 2'!$J$5:$J$1437,"&gt;12500",'DATOS 2'!$F$5:$F$1437,"&lt;3.01")-EA10-DZ10-DY10-DX10-DW10</f>
        <v>12</v>
      </c>
      <c r="EC10" s="138">
        <f>COUNTIFS('DATOS 2'!$J$5:$J$1437,"&gt;12500",'DATOS 2'!$F$5:$F$1437,"&lt;4.01")-EB10-EA10-DZ10-DY10-DX10-DW10</f>
        <v>3</v>
      </c>
      <c r="ED10" s="138">
        <f>COUNTIFS('DATOS 2'!$J$5:$J$1437,"&gt;12500",'DATOS 2'!$F$5:$F$1437,"&lt;5.01")-EC10-EB10-EA10-DZ10-DY10-DX10-DW10</f>
        <v>2</v>
      </c>
      <c r="EE10" s="138">
        <f>COUNTIFS('DATOS 2'!$J$5:$J$1437,"&gt;12500",'DATOS 2'!$F$5:$F$1437,"&gt;5.01")</f>
        <v>0</v>
      </c>
      <c r="EF10" s="249">
        <f t="shared" si="20"/>
        <v>100</v>
      </c>
      <c r="EG10" s="249">
        <v>104</v>
      </c>
      <c r="EM10" s="249">
        <f>+EM9+EL9</f>
        <v>1281</v>
      </c>
    </row>
    <row r="11" spans="2:143" x14ac:dyDescent="0.25">
      <c r="Q11" s="11"/>
      <c r="R11" s="9"/>
      <c r="S11" s="249" t="s">
        <v>1715</v>
      </c>
      <c r="T11" s="249">
        <f>COUNTIFS('DETALLES UNIDADES'!$D$8:$D$987,"&lt;1980",'DETALLES UNIDADES'!$J$8:$J$987,"&gt;2499999")</f>
        <v>4</v>
      </c>
      <c r="U11" s="249">
        <f>COUNTIFS('DETALLES UNIDADES'!$D$8:$D$987,"&lt;1986",'DETALLES UNIDADES'!$J$8:$J$987,"&gt;2499999")-T11</f>
        <v>16</v>
      </c>
      <c r="V11" s="249">
        <f>COUNTIFS('DETALLES UNIDADES'!$D$8:$D$987,"&lt;1991",'DETALLES UNIDADES'!$J$8:$J$987,"&gt;2499999")-U11-T11</f>
        <v>4</v>
      </c>
      <c r="W11" s="249">
        <f>COUNTIFS('DETALLES UNIDADES'!$D$8:$D$987,"&lt;1996",'DETALLES UNIDADES'!$J$8:$J$987,"&gt;2499999")-V11-U11-T11</f>
        <v>4</v>
      </c>
      <c r="X11" s="249">
        <f>COUNTIFS('DETALLES UNIDADES'!$D$8:$D$987,"&lt;2001",'DETALLES UNIDADES'!$J$8:$J$987,"&gt;2499999")-W11-V11-U11-T11</f>
        <v>1</v>
      </c>
      <c r="Y11" s="249">
        <f>COUNTIFS('DETALLES UNIDADES'!$D$8:$D$987,"&lt;2006",'DETALLES UNIDADES'!$J$8:$J$987,"&gt;2499999")-X11-W11-V11-U11-T11</f>
        <v>2</v>
      </c>
      <c r="Z11" s="249">
        <f>COUNTIFS('DETALLES UNIDADES'!$D$8:$D$987,"&lt;2011",'DETALLES UNIDADES'!$J$8:$J$987,"&gt;2499999")-Y11-X11-W11-V11-U11-T11</f>
        <v>0</v>
      </c>
      <c r="AA11" s="249">
        <f>COUNTIFS('DETALLES UNIDADES'!$D$8:$D$987,"&gt;2010",'DETALLES UNIDADES'!$J$8:$J$987,"&gt;2500000")</f>
        <v>0</v>
      </c>
      <c r="AB11" s="249">
        <f t="shared" si="9"/>
        <v>31</v>
      </c>
      <c r="AC11" s="249">
        <v>31</v>
      </c>
      <c r="AD11" s="17">
        <f t="shared" si="21"/>
        <v>0</v>
      </c>
      <c r="AF11" s="19" t="s">
        <v>1727</v>
      </c>
      <c r="AG11" s="249">
        <f>COUNTIFS('DETALLES UNIDADES'!$C$8:$C$987,"C2",'DETALLES UNIDADES'!$U$8:$U$987,"&gt;5.0",'DETALLES UNIDADES'!$D$8:$D$987,"&lt;1980")</f>
        <v>0</v>
      </c>
      <c r="AH11" s="249">
        <f>COUNTIFS('DETALLES UNIDADES'!$C$8:$C$987,"C2",'DETALLES UNIDADES'!$U$8:$U$987,"&gt;5.0",'DETALLES UNIDADES'!$D$8:$D$987,"&lt;1986")-AG11</f>
        <v>6</v>
      </c>
      <c r="AI11" s="249">
        <f>COUNTIFS('DETALLES UNIDADES'!$C$8:$C$987,"C2",'DETALLES UNIDADES'!$U$8:$U$987,"&gt;5.0",'DETALLES UNIDADES'!$D$8:$D$987,"&lt;1991")-AH11-AG11</f>
        <v>1</v>
      </c>
      <c r="AJ11" s="249">
        <f>COUNTIFS('DETALLES UNIDADES'!$C$8:$C$987,"C2",'DETALLES UNIDADES'!$U$8:$U$987,"&gt;5.0",'DETALLES UNIDADES'!$D$8:$D$987,"&lt;1996")-AI11-AH11-AG11</f>
        <v>0</v>
      </c>
      <c r="AK11" s="249">
        <f>COUNTIFS('DETALLES UNIDADES'!$C$8:$C$987,"C2",'DETALLES UNIDADES'!$U$8:$U$987,"&gt;5.0",'DETALLES UNIDADES'!$D$8:$D$987,"&lt;2001")-AJ11-AI11-AH11-AG11</f>
        <v>2</v>
      </c>
      <c r="AL11" s="249">
        <f>COUNTIFS('DETALLES UNIDADES'!$C$8:$C$987,"C2",'DETALLES UNIDADES'!$U$8:$U$987,"&gt;5.0",'DETALLES UNIDADES'!$D$8:$D$987,"&lt;2006")-AK11-AJ11-AI11-AH11-AG11</f>
        <v>16</v>
      </c>
      <c r="AM11" s="249">
        <f>COUNTIFS('DETALLES UNIDADES'!$C$8:$C$987,"C2",'DETALLES UNIDADES'!$U$8:$U$987,"&gt;5.0",'DETALLES UNIDADES'!$D$8:$D$987,"&lt;2011")-AL11-AK11-AJ11-AI11-AH11-AG11</f>
        <v>22</v>
      </c>
      <c r="AN11" s="249">
        <f>COUNTIFS('DETALLES UNIDADES'!$C$8:$C$987,"C2",'DETALLES UNIDADES'!$U$8:$U$987,"&gt;5.0",'DETALLES UNIDADES'!$D$8:$D$987,"&gt;2010")</f>
        <v>4</v>
      </c>
      <c r="AO11" s="249">
        <f t="shared" si="4"/>
        <v>51</v>
      </c>
      <c r="AR11" s="19" t="s">
        <v>1727</v>
      </c>
      <c r="AS11" s="249">
        <f>COUNTIFS('DETALLES UNIDADES'!$C$8:$C$987,"C3",'DETALLES UNIDADES'!$U$8:$U$987,"&gt;5.0",'DETALLES UNIDADES'!$D$8:$D$987,"&lt;1980")</f>
        <v>0</v>
      </c>
      <c r="AT11" s="249">
        <f>COUNTIFS('DETALLES UNIDADES'!$C$8:$C$987,"C3",'DETALLES UNIDADES'!$U$8:$U$987,"&gt;5.0",'DETALLES UNIDADES'!$D$8:$D$987,"&lt;1986")-AS11</f>
        <v>0</v>
      </c>
      <c r="AU11" s="249">
        <f>COUNTIFS('DETALLES UNIDADES'!$C$8:$C$987,"C3",'DETALLES UNIDADES'!$U$8:$U$987,"&gt;5.0",'DETALLES UNIDADES'!$D$8:$D$987,"&lt;1991")-AT11-AS11</f>
        <v>0</v>
      </c>
      <c r="AV11" s="249">
        <f>COUNTIFS('DETALLES UNIDADES'!$C$8:$C$987,"C3",'DETALLES UNIDADES'!$U$8:$U$987,"&gt;5.0",'DETALLES UNIDADES'!$D$8:$D$987,"&lt;1996")-AU11-AT11-AS11</f>
        <v>0</v>
      </c>
      <c r="AW11" s="249">
        <f>COUNTIFS('DETALLES UNIDADES'!$C$8:$C$987,"C3",'DETALLES UNIDADES'!$U$8:$U$987,"&gt;5.0",'DETALLES UNIDADES'!$D$8:$D$987,"&lt;2001")-AV11-AU11-AT11-AS11</f>
        <v>1</v>
      </c>
      <c r="AX11" s="249">
        <f>COUNTIFS('DETALLES UNIDADES'!$C$8:$C$987,"C3",'DETALLES UNIDADES'!$U$8:$U$987,"&gt;5.0",'DETALLES UNIDADES'!$D$8:$D$987,"&lt;2006")-AW11-AV11-AU11-AT11-AS11</f>
        <v>0</v>
      </c>
      <c r="AY11" s="249">
        <f>COUNTIFS('DETALLES UNIDADES'!$C$8:$C$987,"C3",'DETALLES UNIDADES'!$U$8:$U$987,"&gt;5.0",'DETALLES UNIDADES'!$D$8:$D$987,"&lt;2011")-AX11-AW11-AV11-AU11-AT11-AS11</f>
        <v>2</v>
      </c>
      <c r="AZ11" s="249">
        <f>COUNTIFS('DETALLES UNIDADES'!$C$8:$C$987,"C3",'DETALLES UNIDADES'!$U$8:$U$987,"&gt;5.0",'DETALLES UNIDADES'!$D$8:$D$987,"&gt;2010")</f>
        <v>2</v>
      </c>
      <c r="BA11" s="249">
        <f t="shared" si="5"/>
        <v>5</v>
      </c>
      <c r="BD11" s="19" t="s">
        <v>1727</v>
      </c>
      <c r="BE11" s="249">
        <f>COUNTIFS('DETALLES UNIDADES'!$C$8:$C$987,"T2",'DETALLES UNIDADES'!$U$8:$U$987,"&gt;5.0",'DETALLES UNIDADES'!$D$8:$D$987,"&lt;1980")</f>
        <v>0</v>
      </c>
      <c r="BF11" s="249">
        <f>COUNTIFS('DETALLES UNIDADES'!$C$8:$C$987,"T2",'DETALLES UNIDADES'!$U$8:$U$987,"&gt;5.0",'DETALLES UNIDADES'!$D$8:$D$987,"&lt;1986")-BE11</f>
        <v>0</v>
      </c>
      <c r="BG11" s="249">
        <f>COUNTIFS('DETALLES UNIDADES'!$C$8:$C$987,"T2",'DETALLES UNIDADES'!$U$8:$U$987,"&gt;5.0",'DETALLES UNIDADES'!$D$8:$D$987,"&lt;1991")-BF11-BE11</f>
        <v>0</v>
      </c>
      <c r="BH11" s="249">
        <f>COUNTIFS('DETALLES UNIDADES'!$C$8:$C$987,"T2",'DETALLES UNIDADES'!$U$8:$U$987,"&gt;5.0",'DETALLES UNIDADES'!$D$8:$D$987,"&lt;1996")-BG11-BF11-BE11</f>
        <v>0</v>
      </c>
      <c r="BI11" s="249">
        <f>COUNTIFS('DETALLES UNIDADES'!$C$8:$C$987,"T2",'DETALLES UNIDADES'!$U$8:$U$987,"&gt;5.0",'DETALLES UNIDADES'!$D$8:$D$987,"&lt;2001")-BH11-BG11-BF11-BE11</f>
        <v>0</v>
      </c>
      <c r="BJ11" s="249">
        <f>COUNTIFS('DETALLES UNIDADES'!$C$8:$C$987,"T2",'DETALLES UNIDADES'!$U$8:$U$987,"&gt;5.0",'DETALLES UNIDADES'!$D$8:$D$987,"&lt;2006")-BI11-BH11-BG11-BF11-BE11</f>
        <v>0</v>
      </c>
      <c r="BK11" s="249">
        <f>COUNTIFS('DETALLES UNIDADES'!$C$8:$C$987,"T2",'DETALLES UNIDADES'!$U$8:$U$987,"&gt;5.0",'DETALLES UNIDADES'!$D$8:$D$987,"&lt;2011")-BJ11-BI11-BH11-BG11-BF11-BE11</f>
        <v>0</v>
      </c>
      <c r="BL11" s="249">
        <f>COUNTIFS('DETALLES UNIDADES'!$C$8:$C$987,"T2",'DETALLES UNIDADES'!$U$8:$U$987,"&gt;5.0",'DETALLES UNIDADES'!$D$8:$D$987,"&gt;2010")</f>
        <v>0</v>
      </c>
      <c r="BM11" s="249">
        <f t="shared" si="6"/>
        <v>0</v>
      </c>
      <c r="BP11" s="19" t="s">
        <v>1727</v>
      </c>
      <c r="BQ11" s="249">
        <f>COUNTIFS('DETALLES UNIDADES'!$C$8:$C$987,"T3",'DETALLES UNIDADES'!$U$8:$U$987,"&gt;5.0",'DETALLES UNIDADES'!$D$8:$D$987,"&lt;1980")</f>
        <v>0</v>
      </c>
      <c r="BR11" s="249">
        <f>COUNTIFS('DETALLES UNIDADES'!$C$8:$C$987,"T3",'DETALLES UNIDADES'!$U$8:$U$987,"&gt;5.0",'DETALLES UNIDADES'!$D$8:$D$987,"&lt;1986")-BQ11</f>
        <v>0</v>
      </c>
      <c r="BS11" s="249">
        <f>COUNTIFS('DETALLES UNIDADES'!$C$8:$C$987,"T3",'DETALLES UNIDADES'!$U$8:$U$987,"&gt;5.0",'DETALLES UNIDADES'!$D$8:$D$987,"&lt;1991")-BR11-BQ11</f>
        <v>0</v>
      </c>
      <c r="BT11" s="249">
        <f>COUNTIFS('DETALLES UNIDADES'!$C$8:$C$987,"T3",'DETALLES UNIDADES'!$U$8:$U$987,"&gt;5.0",'DETALLES UNIDADES'!$D$8:$D$987,"&lt;1996")-BS11-BR11-BQ11</f>
        <v>0</v>
      </c>
      <c r="BU11" s="249">
        <f>COUNTIFS('DETALLES UNIDADES'!$C$8:$C$987,"T3",'DETALLES UNIDADES'!$U$8:$U$987,"&gt;5.0",'DETALLES UNIDADES'!$D$8:$D$987,"&lt;2001")-BT11-BS11-BR11-BQ11</f>
        <v>0</v>
      </c>
      <c r="BV11" s="249">
        <f>COUNTIFS('DETALLES UNIDADES'!$C$8:$C$987,"T3",'DETALLES UNIDADES'!$U$8:$U$987,"&gt;5.0",'DETALLES UNIDADES'!$D$8:$D$987,"&lt;2006")-BU11-BT11-BS11-BR11-BQ11</f>
        <v>0</v>
      </c>
      <c r="BW11" s="249">
        <f>COUNTIFS('DETALLES UNIDADES'!$C$8:$C$987,"T3",'DETALLES UNIDADES'!$U$8:$U$987,"&gt;5.0",'DETALLES UNIDADES'!$D$8:$D$987,"&lt;2011")-BV11-BU11-BT11-BS11-BR11-BQ11</f>
        <v>0</v>
      </c>
      <c r="BX11" s="249">
        <f>COUNTIFS('DETALLES UNIDADES'!$C$8:$C$987,"T3",'DETALLES UNIDADES'!$U$8:$U$987,"&gt;5.0",'DETALLES UNIDADES'!$D$8:$D$987,"&gt;2010")</f>
        <v>0</v>
      </c>
      <c r="BY11" s="249">
        <f t="shared" si="7"/>
        <v>0</v>
      </c>
      <c r="CA11" s="249">
        <v>1988</v>
      </c>
      <c r="CB11" s="144">
        <f>AVERAGEIFS('DATOS 2'!$F$5:$F$1437,'DATOS 2'!$D$5:$D$1437,CA11)</f>
        <v>2.4999999999999996</v>
      </c>
      <c r="CC11" s="144">
        <f>AVERAGEIFS('DATOS 2'!$G$5:$G$1437,'DATOS 2'!$D$5:$D$1437,CA11)</f>
        <v>2.8812500000000001</v>
      </c>
      <c r="CD11" s="138">
        <f>AVERAGEIFS('DATOS 2'!$E$5:$E$1437,'DATOS 2'!$D$5:$D$1437,CA11)</f>
        <v>1413333.3333333333</v>
      </c>
      <c r="CT11" s="374" t="s">
        <v>2399</v>
      </c>
      <c r="CU11" s="374"/>
      <c r="DB11" s="11">
        <f t="shared" si="8"/>
        <v>37</v>
      </c>
      <c r="DC11" s="9">
        <v>1977</v>
      </c>
      <c r="DD11" s="6">
        <f t="shared" si="12"/>
        <v>1.9588638589618022E-3</v>
      </c>
      <c r="DE11" s="6">
        <f t="shared" si="13"/>
        <v>0</v>
      </c>
      <c r="DF11" s="249">
        <f t="shared" si="14"/>
        <v>2</v>
      </c>
      <c r="DG11" s="249">
        <f>COUNTIFS('DATOS 2'!$K$5:$K$1437,"HC",'DATOS 2'!$D$5:$D$1437,DC11)</f>
        <v>2</v>
      </c>
      <c r="DH11" s="249">
        <f>COUNTIFS('DATOS 2'!$K$5:$K$1437,"PT",'DATOS 2'!$D$5:$D$1437,DC11)</f>
        <v>0</v>
      </c>
      <c r="DP11" s="123" t="s">
        <v>26</v>
      </c>
      <c r="DQ11" s="6">
        <f t="shared" si="18"/>
        <v>0.11688311688311688</v>
      </c>
      <c r="DR11" s="6">
        <f t="shared" si="19"/>
        <v>7.9881656804733733E-2</v>
      </c>
      <c r="DS11" s="249">
        <f>+'DATOS 1'!AG42</f>
        <v>9</v>
      </c>
      <c r="DT11" s="249">
        <f>+'DATOS 1'!AG429</f>
        <v>54</v>
      </c>
      <c r="DV11" s="11" t="s">
        <v>1662</v>
      </c>
      <c r="DW11" s="249">
        <f t="shared" ref="DW11:EE11" si="24">SUM(DW5:DW10)</f>
        <v>75</v>
      </c>
      <c r="DX11" s="249">
        <f t="shared" si="24"/>
        <v>193</v>
      </c>
      <c r="DY11" s="249">
        <f t="shared" si="24"/>
        <v>221</v>
      </c>
      <c r="DZ11" s="249">
        <f t="shared" si="24"/>
        <v>186</v>
      </c>
      <c r="EA11" s="249">
        <f t="shared" si="24"/>
        <v>347</v>
      </c>
      <c r="EB11" s="249">
        <f t="shared" si="24"/>
        <v>156</v>
      </c>
      <c r="EC11" s="249">
        <f t="shared" si="24"/>
        <v>154</v>
      </c>
      <c r="ED11" s="249">
        <f t="shared" si="24"/>
        <v>65</v>
      </c>
      <c r="EE11" s="249">
        <f t="shared" si="24"/>
        <v>23</v>
      </c>
      <c r="EF11" s="249">
        <f t="shared" si="20"/>
        <v>1420</v>
      </c>
      <c r="EG11" s="249">
        <f>SUM(EG5:EG10)</f>
        <v>1421</v>
      </c>
    </row>
    <row r="12" spans="2:143" x14ac:dyDescent="0.25">
      <c r="Q12" s="11"/>
      <c r="R12" s="9"/>
      <c r="S12" s="249" t="s">
        <v>715</v>
      </c>
      <c r="T12" s="249">
        <f>SUM(T3:T11)</f>
        <v>24</v>
      </c>
      <c r="U12" s="249">
        <f t="shared" ref="U12:AA12" si="25">SUM(U3:U11)</f>
        <v>94</v>
      </c>
      <c r="V12" s="249">
        <f t="shared" si="25"/>
        <v>58</v>
      </c>
      <c r="W12" s="249">
        <f t="shared" si="25"/>
        <v>111</v>
      </c>
      <c r="X12" s="249">
        <f t="shared" si="25"/>
        <v>153</v>
      </c>
      <c r="Y12" s="249">
        <f t="shared" si="25"/>
        <v>208</v>
      </c>
      <c r="Z12" s="249">
        <f t="shared" si="25"/>
        <v>233</v>
      </c>
      <c r="AA12" s="249">
        <f t="shared" si="25"/>
        <v>99</v>
      </c>
      <c r="AB12" s="249">
        <f t="shared" si="9"/>
        <v>980</v>
      </c>
      <c r="AC12" s="249">
        <v>980</v>
      </c>
      <c r="AD12" s="17">
        <f t="shared" si="21"/>
        <v>0</v>
      </c>
      <c r="AF12" s="19" t="s">
        <v>715</v>
      </c>
      <c r="AG12" s="249">
        <f t="shared" ref="AG12:AN12" si="26">SUM(AG3:AG11)</f>
        <v>5</v>
      </c>
      <c r="AH12" s="249">
        <f t="shared" si="26"/>
        <v>18</v>
      </c>
      <c r="AI12" s="249">
        <f t="shared" si="26"/>
        <v>9</v>
      </c>
      <c r="AJ12" s="249">
        <f t="shared" si="26"/>
        <v>28</v>
      </c>
      <c r="AK12" s="249">
        <f t="shared" si="26"/>
        <v>17</v>
      </c>
      <c r="AL12" s="249">
        <f t="shared" si="26"/>
        <v>69</v>
      </c>
      <c r="AM12" s="249">
        <f t="shared" si="26"/>
        <v>51</v>
      </c>
      <c r="AN12" s="249">
        <f t="shared" si="26"/>
        <v>13</v>
      </c>
      <c r="AO12" s="249">
        <f>SUM(AO3:AO11)</f>
        <v>210</v>
      </c>
      <c r="AR12" s="19" t="s">
        <v>715</v>
      </c>
      <c r="AS12" s="249">
        <f t="shared" ref="AS12" si="27">SUM(AS3:AS11)</f>
        <v>8</v>
      </c>
      <c r="AT12" s="249">
        <f t="shared" ref="AT12" si="28">SUM(AT3:AT11)</f>
        <v>38</v>
      </c>
      <c r="AU12" s="249">
        <f t="shared" ref="AU12" si="29">SUM(AU3:AU11)</f>
        <v>23</v>
      </c>
      <c r="AV12" s="249">
        <f t="shared" ref="AV12" si="30">SUM(AV3:AV11)</f>
        <v>27</v>
      </c>
      <c r="AW12" s="249">
        <f t="shared" ref="AW12" si="31">SUM(AW3:AW11)</f>
        <v>36</v>
      </c>
      <c r="AX12" s="249">
        <f t="shared" ref="AX12" si="32">SUM(AX3:AX11)</f>
        <v>27</v>
      </c>
      <c r="AY12" s="249">
        <f t="shared" ref="AY12" si="33">SUM(AY3:AY11)</f>
        <v>28</v>
      </c>
      <c r="AZ12" s="249">
        <f t="shared" ref="AZ12" si="34">SUM(AZ3:AZ11)</f>
        <v>9</v>
      </c>
      <c r="BA12" s="249">
        <f>SUM(BA3:BA11)</f>
        <v>196</v>
      </c>
      <c r="BD12" s="19" t="s">
        <v>715</v>
      </c>
      <c r="BE12" s="249">
        <f t="shared" ref="BE12" si="35">SUM(BE3:BE11)</f>
        <v>0</v>
      </c>
      <c r="BF12" s="249">
        <f t="shared" ref="BF12" si="36">SUM(BF3:BF11)</f>
        <v>0</v>
      </c>
      <c r="BG12" s="249">
        <f t="shared" ref="BG12" si="37">SUM(BG3:BG11)</f>
        <v>0</v>
      </c>
      <c r="BH12" s="249">
        <f t="shared" ref="BH12" si="38">SUM(BH3:BH11)</f>
        <v>2</v>
      </c>
      <c r="BI12" s="249">
        <f t="shared" ref="BI12" si="39">SUM(BI3:BI11)</f>
        <v>4</v>
      </c>
      <c r="BJ12" s="249">
        <f t="shared" ref="BJ12" si="40">SUM(BJ3:BJ11)</f>
        <v>5</v>
      </c>
      <c r="BK12" s="249">
        <f t="shared" ref="BK12" si="41">SUM(BK3:BK11)</f>
        <v>24</v>
      </c>
      <c r="BL12" s="249">
        <f t="shared" ref="BL12" si="42">SUM(BL3:BL11)</f>
        <v>8</v>
      </c>
      <c r="BM12" s="249">
        <f>SUM(BM3:BM11)</f>
        <v>43</v>
      </c>
      <c r="BP12" s="19" t="s">
        <v>715</v>
      </c>
      <c r="BQ12" s="249">
        <f t="shared" ref="BQ12" si="43">SUM(BQ3:BQ11)</f>
        <v>11</v>
      </c>
      <c r="BR12" s="249">
        <f t="shared" ref="BR12" si="44">SUM(BR3:BR11)</f>
        <v>38</v>
      </c>
      <c r="BS12" s="249">
        <f t="shared" ref="BS12" si="45">SUM(BS3:BS11)</f>
        <v>26</v>
      </c>
      <c r="BT12" s="249">
        <f t="shared" ref="BT12" si="46">SUM(BT3:BT11)</f>
        <v>54</v>
      </c>
      <c r="BU12" s="249">
        <f t="shared" ref="BU12" si="47">SUM(BU3:BU11)</f>
        <v>96</v>
      </c>
      <c r="BV12" s="249">
        <f t="shared" ref="BV12" si="48">SUM(BV3:BV11)</f>
        <v>107</v>
      </c>
      <c r="BW12" s="249">
        <f t="shared" ref="BW12" si="49">SUM(BW3:BW11)</f>
        <v>130</v>
      </c>
      <c r="BX12" s="249">
        <f t="shared" ref="BX12" si="50">SUM(BX3:BX11)</f>
        <v>69</v>
      </c>
      <c r="BY12" s="249">
        <f>SUM(BY3:BY11)</f>
        <v>531</v>
      </c>
      <c r="CA12" s="249">
        <v>1989</v>
      </c>
      <c r="CB12" s="144">
        <f>AVERAGEIFS('DATOS 2'!$F$5:$F$1437,'DATOS 2'!$D$5:$D$1437,CA12)</f>
        <v>2.3266666666666667</v>
      </c>
      <c r="CC12" s="144">
        <f>AVERAGEIFS('DATOS 2'!$G$5:$G$1437,'DATOS 2'!$D$5:$D$1437,CA12)</f>
        <v>2.8133333333333335</v>
      </c>
      <c r="CD12" s="138">
        <f>AVERAGEIFS('DATOS 2'!$E$5:$E$1437,'DATOS 2'!$D$5:$D$1437,CA12)</f>
        <v>1405093.3636363635</v>
      </c>
      <c r="CF12" s="112" t="s">
        <v>2368</v>
      </c>
      <c r="CG12" s="112" t="s">
        <v>2362</v>
      </c>
      <c r="CH12" s="112" t="s">
        <v>2363</v>
      </c>
      <c r="CS12" s="17" t="s">
        <v>845</v>
      </c>
      <c r="CT12" s="17" t="s">
        <v>713</v>
      </c>
      <c r="CU12" s="17" t="s">
        <v>714</v>
      </c>
      <c r="CV12" s="17" t="s">
        <v>713</v>
      </c>
      <c r="CW12" s="17" t="s">
        <v>714</v>
      </c>
      <c r="DB12" s="11">
        <f t="shared" si="8"/>
        <v>36</v>
      </c>
      <c r="DC12" s="9">
        <v>1978</v>
      </c>
      <c r="DD12" s="6">
        <f t="shared" si="12"/>
        <v>1.2732615083251714E-2</v>
      </c>
      <c r="DE12" s="6">
        <f t="shared" si="13"/>
        <v>4.8543689320388345E-3</v>
      </c>
      <c r="DF12" s="249">
        <f t="shared" si="14"/>
        <v>15</v>
      </c>
      <c r="DG12" s="249">
        <f>COUNTIFS('DATOS 2'!$K$5:$K$1437,"HC",'DATOS 2'!$D$5:$D$1437,DC12)</f>
        <v>13</v>
      </c>
      <c r="DH12" s="249">
        <f>COUNTIFS('DATOS 2'!$K$5:$K$1437,"PT",'DATOS 2'!$D$5:$D$1437,DC12)</f>
        <v>2</v>
      </c>
      <c r="DP12" s="123" t="s">
        <v>2408</v>
      </c>
      <c r="DQ12" s="6">
        <f t="shared" si="18"/>
        <v>0.15584415584415584</v>
      </c>
      <c r="DR12" s="6">
        <f t="shared" si="19"/>
        <v>0.1227810650887574</v>
      </c>
      <c r="DS12" s="249">
        <f>+'DATOS 1'!AI42</f>
        <v>12</v>
      </c>
      <c r="DT12" s="249">
        <f>+'DATOS 1'!AI429</f>
        <v>83</v>
      </c>
      <c r="DV12" s="11" t="s">
        <v>396</v>
      </c>
      <c r="EF12" s="249">
        <f>SUM(EF5:EF10)</f>
        <v>1420</v>
      </c>
    </row>
    <row r="13" spans="2:143" x14ac:dyDescent="0.25">
      <c r="B13" s="11"/>
      <c r="E13" s="11"/>
      <c r="F13" s="11"/>
      <c r="G13" s="11"/>
      <c r="H13" s="11"/>
      <c r="J13" s="11" t="s">
        <v>2372</v>
      </c>
      <c r="Q13" s="11"/>
      <c r="R13" s="9"/>
      <c r="T13" s="249">
        <f>+FORMULAS!M49</f>
        <v>24</v>
      </c>
      <c r="U13" s="249">
        <f>+FORMULAS!M55</f>
        <v>94</v>
      </c>
      <c r="V13" s="249">
        <f>+FORMULAS!M60</f>
        <v>58</v>
      </c>
      <c r="W13" s="249">
        <f>+FORMULAS!M65</f>
        <v>111</v>
      </c>
      <c r="X13" s="249">
        <f>+FORMULAS!M70</f>
        <v>153</v>
      </c>
      <c r="Y13" s="249">
        <f>+FORMULAS!M75</f>
        <v>208</v>
      </c>
      <c r="Z13" s="249">
        <f>+FORMULAS!M80</f>
        <v>233</v>
      </c>
      <c r="AA13" s="249">
        <f>+FORMULAS!M85</f>
        <v>99</v>
      </c>
      <c r="AB13" s="249">
        <f t="shared" si="9"/>
        <v>980</v>
      </c>
      <c r="BA13" s="249"/>
      <c r="BM13" s="249"/>
      <c r="BY13" s="249"/>
      <c r="CA13" s="249">
        <v>1990</v>
      </c>
      <c r="CB13" s="144">
        <f>AVERAGEIFS('DATOS 2'!$F$5:$F$1437,'DATOS 2'!$D$5:$D$1437,CA13)</f>
        <v>2.4457142857142857</v>
      </c>
      <c r="CC13" s="144">
        <f>AVERAGEIFS('DATOS 2'!$G$5:$G$1437,'DATOS 2'!$D$5:$D$1437,CA13)</f>
        <v>2.891428571428571</v>
      </c>
      <c r="CD13" s="138">
        <f>AVERAGEIFS('DATOS 2'!$E$5:$E$1437,'DATOS 2'!$D$5:$D$1437,CA13)</f>
        <v>1411972.6470588236</v>
      </c>
      <c r="CF13" s="11" t="s">
        <v>1710</v>
      </c>
      <c r="CG13" s="160">
        <f>AVERAGEIFS('DATOS 2'!$F$5:$F$1437,'DATOS 2'!$D$5:$D$1437,"&lt;1980",'DATOS 2'!$C$5:$C$1437,"C3",'DATOS 2'!$H$5:$H$1437,"D")</f>
        <v>2.2562499999999996</v>
      </c>
      <c r="CH13" s="160">
        <f>AVERAGEIFS('DATOS 2'!$G$5:$G$1437,'DATOS 2'!$D$5:$D$1437,"&lt;1980",'DATOS 2'!$C$5:$C$1437,"C3",'DATOS 2'!$H$5:$H$1437,"D")</f>
        <v>2.5749999999999997</v>
      </c>
      <c r="CS13" s="249">
        <v>0</v>
      </c>
      <c r="CT13" s="6">
        <f>CV13/$CV$25</f>
        <v>0.13207547169811321</v>
      </c>
      <c r="CU13" s="6">
        <f>+CW13/$CW$25</f>
        <v>0</v>
      </c>
      <c r="CV13" s="249">
        <f>COUNTIF('DATOS 1'!$AQ$51:$AQ$427,'FORMULAS PLUS'!CS13)</f>
        <v>49</v>
      </c>
      <c r="CW13" s="249">
        <f>COUNTIF('DATOS 1'!$AQ$7:$AQ$40,'FORMULAS PLUS'!CS13)</f>
        <v>0</v>
      </c>
      <c r="CX13" s="249"/>
      <c r="DB13" s="11">
        <f t="shared" si="8"/>
        <v>35</v>
      </c>
      <c r="DC13" s="9">
        <v>1979</v>
      </c>
      <c r="DD13" s="6">
        <f t="shared" si="12"/>
        <v>4.8971596474045058E-3</v>
      </c>
      <c r="DE13" s="6">
        <f t="shared" si="13"/>
        <v>4.8543689320388345E-3</v>
      </c>
      <c r="DF13" s="249">
        <f t="shared" si="14"/>
        <v>7</v>
      </c>
      <c r="DG13" s="249">
        <f>COUNTIFS('DATOS 2'!$K$5:$K$1437,"HC",'DATOS 2'!$D$5:$D$1437,DC13)</f>
        <v>5</v>
      </c>
      <c r="DH13" s="249">
        <f>COUNTIFS('DATOS 2'!$K$5:$K$1437,"PT",'DATOS 2'!$D$5:$D$1437,DC13)</f>
        <v>2</v>
      </c>
      <c r="DJ13" s="11" t="s">
        <v>1015</v>
      </c>
      <c r="DK13" s="249" t="s">
        <v>2379</v>
      </c>
      <c r="DL13" s="249" t="s">
        <v>2378</v>
      </c>
      <c r="DM13" s="249" t="s">
        <v>2379</v>
      </c>
      <c r="DN13" s="249" t="s">
        <v>2378</v>
      </c>
      <c r="DP13" s="123" t="s">
        <v>2411</v>
      </c>
      <c r="DQ13" s="6">
        <f t="shared" si="18"/>
        <v>1</v>
      </c>
      <c r="DR13" s="6">
        <f t="shared" si="19"/>
        <v>1</v>
      </c>
      <c r="DS13" s="249">
        <f>SUM(DS5:DS12)</f>
        <v>77</v>
      </c>
      <c r="DT13" s="249">
        <f>SUM(DT5:DT12)</f>
        <v>676</v>
      </c>
      <c r="DV13" s="11" t="s">
        <v>480</v>
      </c>
      <c r="EI13" s="112" t="s">
        <v>959</v>
      </c>
      <c r="EJ13" s="17"/>
    </row>
    <row r="14" spans="2:143" x14ac:dyDescent="0.25">
      <c r="B14" s="11" t="s">
        <v>722</v>
      </c>
      <c r="C14" s="250" t="s">
        <v>1877</v>
      </c>
      <c r="D14" s="17" t="s">
        <v>714</v>
      </c>
      <c r="E14" s="17" t="s">
        <v>1877</v>
      </c>
      <c r="F14" s="17" t="s">
        <v>714</v>
      </c>
      <c r="G14" s="11"/>
      <c r="H14" s="11"/>
      <c r="J14" s="11" t="s">
        <v>2374</v>
      </c>
      <c r="K14" s="6">
        <f>L14/$L$20</f>
        <v>9.0077410274454608E-2</v>
      </c>
      <c r="L14" s="249">
        <f>COUNTIF('DATOS 2'!$J$5:$J$1437,"&lt;2500")</f>
        <v>128</v>
      </c>
      <c r="Q14" s="11"/>
      <c r="R14" s="9"/>
      <c r="T14" s="249">
        <f>+T12-T13</f>
        <v>0</v>
      </c>
      <c r="U14" s="249">
        <f t="shared" ref="U14:AA14" si="51">+U12-U13</f>
        <v>0</v>
      </c>
      <c r="V14" s="249">
        <f t="shared" si="51"/>
        <v>0</v>
      </c>
      <c r="W14" s="249">
        <f t="shared" si="51"/>
        <v>0</v>
      </c>
      <c r="X14" s="249">
        <f t="shared" si="51"/>
        <v>0</v>
      </c>
      <c r="Y14" s="249">
        <f t="shared" si="51"/>
        <v>0</v>
      </c>
      <c r="Z14" s="249">
        <f t="shared" si="51"/>
        <v>0</v>
      </c>
      <c r="AA14" s="249">
        <f t="shared" si="51"/>
        <v>0</v>
      </c>
      <c r="AB14" s="249">
        <f t="shared" si="9"/>
        <v>0</v>
      </c>
      <c r="BA14" s="249"/>
      <c r="BM14" s="249"/>
      <c r="BY14" s="249"/>
      <c r="CA14" s="249">
        <v>1991</v>
      </c>
      <c r="CB14" s="144">
        <f>AVERAGEIFS('DATOS 2'!$F$5:$F$1437,'DATOS 2'!$D$5:$D$1437,CA14)</f>
        <v>1.98125</v>
      </c>
      <c r="CC14" s="144">
        <f>AVERAGEIFS('DATOS 2'!$G$5:$G$1437,'DATOS 2'!$D$5:$D$1437,CA14)</f>
        <v>2.3312500000000003</v>
      </c>
      <c r="CD14" s="138">
        <f>AVERAGEIFS('DATOS 2'!$E$5:$E$1437,'DATOS 2'!$D$5:$D$1437,CA14)</f>
        <v>1190223.5714285714</v>
      </c>
      <c r="CF14" s="9" t="s">
        <v>1885</v>
      </c>
      <c r="CG14" s="160">
        <f>AVERAGEIFS('DATOS 2'!$F$5:$F$1437,'DATOS 2'!$C$5:$C$1437,"C3",'DATOS 2'!$H$5:$H$1437,"D",'DATOS 2'!$D$5:$D$1437,"&gt;1985",'DATOS 2'!$D$5:$D$1437,"&lt;1991")</f>
        <v>2.5911764705882359</v>
      </c>
      <c r="CH14" s="160">
        <f>AVERAGEIFS('DATOS 2'!$G$5:$G$1437,'DATOS 2'!$C$5:$C$1437,"C3",'DATOS 2'!$H$5:$H$1437,"D",'DATOS 2'!$D$5:$D$1437,"&gt;1985",'DATOS 2'!$D$5:$D$1437,"&lt;1991")</f>
        <v>3.0470588235294116</v>
      </c>
      <c r="CS14" s="249">
        <v>1</v>
      </c>
      <c r="CT14" s="6">
        <f t="shared" ref="CT14:CT25" si="52">CV14/$CV$25</f>
        <v>0.16981132075471697</v>
      </c>
      <c r="CU14" s="6">
        <f t="shared" ref="CU14:CU24" si="53">+CW14/$CW$25</f>
        <v>5.8823529411764705E-2</v>
      </c>
      <c r="CV14" s="249">
        <f>COUNTIF('DATOS 1'!$AQ$51:$AQ$427,'FORMULAS PLUS'!CS14)</f>
        <v>63</v>
      </c>
      <c r="CW14" s="249">
        <f>COUNTIF('DATOS 1'!$AQ$7:$AQ$40,'FORMULAS PLUS'!CS14)</f>
        <v>2</v>
      </c>
      <c r="CX14" s="249"/>
      <c r="DB14" s="11"/>
      <c r="DC14" s="9"/>
      <c r="DD14" s="6"/>
      <c r="DE14" s="6"/>
      <c r="DF14" s="249"/>
      <c r="DG14" s="249"/>
      <c r="DH14" s="249"/>
      <c r="DJ14" s="137" t="s">
        <v>124</v>
      </c>
      <c r="DK14" s="156">
        <f>DM14/$DM$20</f>
        <v>0.11805555555555555</v>
      </c>
      <c r="DL14" s="156">
        <f>+DN14/$DN$20</f>
        <v>8.2369942196531792E-2</v>
      </c>
      <c r="DM14" s="249">
        <f>COUNTIFS('DATOS 2'!$K$5:$K$984,"PT",'DATOS 2'!$S$5:$S$984,"X")</f>
        <v>34</v>
      </c>
      <c r="DN14" s="249">
        <f>COUNTIFS('DATOS 2'!$K$5:$K$984,"HC",'DATOS 2'!$S$5:$S$984,"X")</f>
        <v>57</v>
      </c>
      <c r="DV14" s="249"/>
      <c r="DW14" s="249">
        <v>75</v>
      </c>
      <c r="DX14" s="249">
        <v>196</v>
      </c>
      <c r="DY14" s="249">
        <v>221</v>
      </c>
      <c r="DZ14" s="249">
        <v>187</v>
      </c>
      <c r="EA14" s="249">
        <v>351</v>
      </c>
      <c r="EB14" s="249">
        <v>160</v>
      </c>
      <c r="EC14" s="249">
        <v>154</v>
      </c>
      <c r="ED14" s="249">
        <v>65</v>
      </c>
      <c r="EE14" s="249">
        <v>23</v>
      </c>
      <c r="EF14" s="249">
        <f>SUM(DW14:EE14)</f>
        <v>1432</v>
      </c>
      <c r="EI14" s="149">
        <v>0.5</v>
      </c>
      <c r="EJ14" s="6">
        <f t="shared" ref="EJ14:EJ19" si="54">(EL4+EM4)/$EM$10</f>
        <v>0.66900858704137389</v>
      </c>
    </row>
    <row r="15" spans="2:143" x14ac:dyDescent="0.25">
      <c r="B15" s="112" t="s">
        <v>584</v>
      </c>
      <c r="C15" s="6">
        <f t="shared" ref="C15:C21" si="55">E15/$E$21</f>
        <v>4.2440318302387266E-2</v>
      </c>
      <c r="D15" s="6">
        <f t="shared" ref="D15:D21" si="56">F15/$F$21</f>
        <v>0</v>
      </c>
      <c r="E15" s="249">
        <f>COUNTIF('DATOS 1'!$G$51:$G$427,"SIN ESTUDIOS")</f>
        <v>16</v>
      </c>
      <c r="F15" s="249">
        <f>COUNTIF('DATOS 1'!$G$7:$G$40,"SIN ESTUDIOS")</f>
        <v>0</v>
      </c>
      <c r="G15" s="11"/>
      <c r="H15" s="11"/>
      <c r="J15" s="11" t="s">
        <v>2375</v>
      </c>
      <c r="K15" s="6">
        <f t="shared" ref="K15:K20" si="57">L15/$L$20</f>
        <v>0.330752990851513</v>
      </c>
      <c r="L15" s="138">
        <f>COUNTIF('DATOS 2'!$J$5:$J$1437,"&lt;5001")-L14</f>
        <v>470</v>
      </c>
      <c r="Q15" s="11"/>
      <c r="R15" s="9"/>
      <c r="BA15" s="249"/>
      <c r="BM15" s="249"/>
      <c r="BY15" s="249"/>
      <c r="CA15" s="249">
        <v>1992</v>
      </c>
      <c r="CB15" s="144">
        <f>AVERAGEIFS('DATOS 2'!$F$5:$F$1437,'DATOS 2'!$D$5:$D$1437,CA15)</f>
        <v>2.1124999999999998</v>
      </c>
      <c r="CC15" s="144">
        <f>AVERAGEIFS('DATOS 2'!$G$5:$G$1437,'DATOS 2'!$D$5:$D$1437,CA15)</f>
        <v>2.5374999999999992</v>
      </c>
      <c r="CD15" s="138">
        <f>AVERAGEIFS('DATOS 2'!$E$5:$E$1437,'DATOS 2'!$D$5:$D$1437,CA15)</f>
        <v>1368423.8181818181</v>
      </c>
      <c r="CF15" s="9" t="s">
        <v>1879</v>
      </c>
      <c r="CG15" s="160">
        <f>AVERAGEIFS('DATOS 2'!$F$5:$F$1437,'DATOS 2'!$C$5:$C$1437,"C3",'DATOS 2'!$H$5:$H$1437,"D",'DATOS 2'!$D$5:$D$1437,"&gt;1985",'DATOS 2'!$D$5:$D$1437,"&lt;1991")</f>
        <v>2.5911764705882359</v>
      </c>
      <c r="CH15" s="160">
        <f>AVERAGEIFS('DATOS 2'!$G$5:$G$1437,'DATOS 2'!$C$5:$C$1437,"C3",'DATOS 2'!$H$5:$H$1437,"D",'DATOS 2'!$D$5:$D$1437,"&gt;1985",'DATOS 2'!$D$5:$D$1437,"&lt;1991")</f>
        <v>3.0470588235294116</v>
      </c>
      <c r="CS15" s="249">
        <v>2</v>
      </c>
      <c r="CT15" s="6">
        <f t="shared" si="52"/>
        <v>0.10242587601078167</v>
      </c>
      <c r="CU15" s="6">
        <f t="shared" si="53"/>
        <v>8.8235294117647065E-2</v>
      </c>
      <c r="CV15" s="249">
        <f>COUNTIF('DATOS 1'!$AQ$51:$AQ$427,'FORMULAS PLUS'!CS15)</f>
        <v>38</v>
      </c>
      <c r="CW15" s="249">
        <f>COUNTIF('DATOS 1'!$AQ$7:$AQ$40,'FORMULAS PLUS'!CS15)</f>
        <v>3</v>
      </c>
      <c r="CX15" s="249"/>
      <c r="DB15" s="11"/>
      <c r="DC15" s="9"/>
      <c r="DD15" s="6"/>
      <c r="DE15" s="6"/>
      <c r="DF15" s="249"/>
      <c r="DG15" s="249"/>
      <c r="DH15" s="249"/>
      <c r="DJ15" s="137" t="s">
        <v>125</v>
      </c>
      <c r="DK15" s="156">
        <f t="shared" ref="DK15:DK20" si="58">DM15/$DM$20</f>
        <v>0.27430555555555558</v>
      </c>
      <c r="DL15" s="156">
        <f t="shared" ref="DL15:DL20" si="59">+DN15/$DN$20</f>
        <v>0.3583815028901734</v>
      </c>
      <c r="DM15" s="249">
        <f>COUNTIFS('DATOS 2'!$K$5:$K$984,"PT",'DATOS 2'!$T$5:$T$984,"X")</f>
        <v>79</v>
      </c>
      <c r="DN15" s="249">
        <f>COUNTIFS('DATOS 2'!$K$5:$K$984,"HC",'DATOS 2'!$T$5:$T$984,"X")</f>
        <v>248</v>
      </c>
      <c r="DV15" s="249"/>
      <c r="EI15" s="249" t="s">
        <v>2416</v>
      </c>
      <c r="EJ15" s="6">
        <f t="shared" si="54"/>
        <v>3.5128805620608897E-2</v>
      </c>
    </row>
    <row r="16" spans="2:143" ht="30" x14ac:dyDescent="0.25">
      <c r="B16" s="112" t="s">
        <v>353</v>
      </c>
      <c r="C16" s="6">
        <f t="shared" si="55"/>
        <v>0.19098143236074269</v>
      </c>
      <c r="D16" s="6">
        <f t="shared" si="56"/>
        <v>5.8823529411764705E-2</v>
      </c>
      <c r="E16" s="249">
        <f>COUNTIF('DATOS 1'!$G$51:$G$427,"PRIMARIA")</f>
        <v>72</v>
      </c>
      <c r="F16" s="249">
        <f>COUNTIF('DATOS 1'!$G$7:$G$40,"PRIMARIA")</f>
        <v>2</v>
      </c>
      <c r="G16" s="11"/>
      <c r="H16" s="11"/>
      <c r="J16" s="11" t="s">
        <v>952</v>
      </c>
      <c r="K16" s="6">
        <f t="shared" si="57"/>
        <v>0.18930330752990851</v>
      </c>
      <c r="L16" s="138">
        <f>COUNTIF('DATOS 2'!$J$5:$J$1437,"&lt;7501")-L15-L14</f>
        <v>269</v>
      </c>
      <c r="Q16" s="11"/>
      <c r="R16" s="154"/>
      <c r="S16" s="249" t="s">
        <v>1718</v>
      </c>
      <c r="AF16" s="17" t="s">
        <v>1889</v>
      </c>
      <c r="AR16" s="17" t="s">
        <v>1892</v>
      </c>
      <c r="BA16" s="249"/>
      <c r="BD16" s="17" t="s">
        <v>1895</v>
      </c>
      <c r="BM16" s="249"/>
      <c r="BP16" s="17" t="s">
        <v>1898</v>
      </c>
      <c r="BY16" s="249"/>
      <c r="CA16" s="249">
        <v>1993</v>
      </c>
      <c r="CB16" s="144">
        <f>AVERAGEIFS('DATOS 2'!$F$5:$F$1437,'DATOS 2'!$D$5:$D$1437,CA16)</f>
        <v>2.4304347826086956</v>
      </c>
      <c r="CC16" s="144">
        <f>AVERAGEIFS('DATOS 2'!$G$5:$G$1437,'DATOS 2'!$D$5:$D$1437,CA16)</f>
        <v>2.7260869565217387</v>
      </c>
      <c r="CD16" s="138">
        <f>AVERAGEIFS('DATOS 2'!$E$5:$E$1437,'DATOS 2'!$D$5:$D$1437,CA16)</f>
        <v>1212281.8181818181</v>
      </c>
      <c r="CF16" s="9" t="s">
        <v>1880</v>
      </c>
      <c r="CG16" s="160">
        <f>AVERAGEIFS('DATOS 2'!$F$5:$F$1437,'DATOS 2'!$C$5:$C$1437,"C3",'DATOS 2'!$H$5:$H$1437,"D",'DATOS 2'!$D$5:$D$1437,"&gt;1990",'DATOS 2'!$D$5:$D$1437,"&lt;1996")</f>
        <v>2.2588235294117651</v>
      </c>
      <c r="CH16" s="160">
        <f>AVERAGEIFS('DATOS 2'!$G$5:$G$1437,'DATOS 2'!$C$5:$C$1437,"C3",'DATOS 2'!$H$5:$H$1437,"D",'DATOS 2'!$D$5:$D$1437,"&gt;1990",'DATOS 2'!$D$5:$D$1437,"&lt;1996")</f>
        <v>2.8617647058823525</v>
      </c>
      <c r="CS16" s="249">
        <v>3</v>
      </c>
      <c r="CT16" s="6">
        <f t="shared" si="52"/>
        <v>0.13746630727762804</v>
      </c>
      <c r="CU16" s="6">
        <f t="shared" si="53"/>
        <v>0.17647058823529413</v>
      </c>
      <c r="CV16" s="249">
        <f>COUNTIF('DATOS 1'!$AQ$51:$AQ$427,'FORMULAS PLUS'!CS16)</f>
        <v>51</v>
      </c>
      <c r="CW16" s="249">
        <f>COUNTIF('DATOS 1'!$AQ$7:$AQ$40,'FORMULAS PLUS'!CS16)</f>
        <v>6</v>
      </c>
      <c r="CX16" s="249"/>
      <c r="DB16" s="11"/>
      <c r="DC16" s="154" t="s">
        <v>1710</v>
      </c>
      <c r="DD16" s="6">
        <f t="shared" ref="DD16:DD53" si="60">+DG16/$DG$53</f>
        <v>3.2321253672869733E-2</v>
      </c>
      <c r="DE16" s="6">
        <f t="shared" ref="DE16:DE53" si="61">+DH16/$DH$53</f>
        <v>9.7087378640776691E-3</v>
      </c>
      <c r="DF16" s="249">
        <f>SUM(DF3:DF13)</f>
        <v>37</v>
      </c>
      <c r="DG16" s="249">
        <f t="shared" ref="DG16:DH16" si="62">SUM(DG3:DG13)</f>
        <v>33</v>
      </c>
      <c r="DH16" s="249">
        <f t="shared" si="62"/>
        <v>4</v>
      </c>
      <c r="DJ16" s="137" t="s">
        <v>126</v>
      </c>
      <c r="DK16" s="156">
        <f t="shared" si="58"/>
        <v>5.5555555555555552E-2</v>
      </c>
      <c r="DL16" s="156">
        <f t="shared" si="59"/>
        <v>7.2254335260115606E-3</v>
      </c>
      <c r="DM16" s="249">
        <f>COUNTIFS('DATOS 2'!$K$5:$K$984,"PT",'DATOS 2'!$U$5:$U$984,"X")</f>
        <v>16</v>
      </c>
      <c r="DN16" s="249">
        <f>COUNTIFS('DATOS 2'!$K$5:$K$984,"HC",'DATOS 2'!$U$5:$U$984,"X")</f>
        <v>5</v>
      </c>
      <c r="DV16" s="249" t="s">
        <v>1886</v>
      </c>
      <c r="DW16" s="9" t="s">
        <v>1719</v>
      </c>
      <c r="DX16" s="9" t="s">
        <v>1720</v>
      </c>
      <c r="DY16" s="9" t="s">
        <v>1721</v>
      </c>
      <c r="DZ16" s="9" t="s">
        <v>1722</v>
      </c>
      <c r="EA16" s="9" t="s">
        <v>1723</v>
      </c>
      <c r="EB16" s="9" t="s">
        <v>1724</v>
      </c>
      <c r="EC16" s="9" t="s">
        <v>1725</v>
      </c>
      <c r="ED16" s="9" t="s">
        <v>1726</v>
      </c>
      <c r="EE16" s="9" t="s">
        <v>1727</v>
      </c>
      <c r="EI16" s="249" t="s">
        <v>2417</v>
      </c>
      <c r="EJ16" s="6">
        <f t="shared" si="54"/>
        <v>0.10850897736143637</v>
      </c>
    </row>
    <row r="17" spans="2:140" x14ac:dyDescent="0.25">
      <c r="B17" s="112" t="s">
        <v>330</v>
      </c>
      <c r="C17" s="6">
        <f t="shared" si="55"/>
        <v>0.29708222811671087</v>
      </c>
      <c r="D17" s="6">
        <f t="shared" si="56"/>
        <v>0.14705882352941177</v>
      </c>
      <c r="E17" s="249">
        <f>COUNTIF('DATOS 1'!$G$51:$G$427,"SECUNDARIA")</f>
        <v>112</v>
      </c>
      <c r="F17" s="249">
        <f>COUNTIF('DATOS 1'!$G$7:$G$40,"SECUNDARIA")</f>
        <v>5</v>
      </c>
      <c r="G17" s="11"/>
      <c r="H17" s="11"/>
      <c r="J17" s="11" t="s">
        <v>953</v>
      </c>
      <c r="K17" s="6">
        <f t="shared" si="57"/>
        <v>0.28993666432090076</v>
      </c>
      <c r="L17" s="138">
        <f>COUNTIF('DATOS 2'!$J$5:$J$1437,"&lt;10001")-L16-L15-L14</f>
        <v>412</v>
      </c>
      <c r="Q17" s="11"/>
      <c r="R17" s="9"/>
      <c r="S17" s="249" t="s">
        <v>1878</v>
      </c>
      <c r="T17" s="11" t="s">
        <v>1710</v>
      </c>
      <c r="U17" s="9" t="s">
        <v>1885</v>
      </c>
      <c r="V17" s="9" t="s">
        <v>1879</v>
      </c>
      <c r="W17" s="9" t="s">
        <v>1880</v>
      </c>
      <c r="X17" s="9" t="s">
        <v>1881</v>
      </c>
      <c r="Y17" s="9" t="s">
        <v>1882</v>
      </c>
      <c r="Z17" s="9" t="s">
        <v>1883</v>
      </c>
      <c r="AA17" s="9" t="s">
        <v>1884</v>
      </c>
      <c r="AF17" s="17" t="s">
        <v>1887</v>
      </c>
      <c r="AG17" s="11" t="s">
        <v>1710</v>
      </c>
      <c r="AH17" s="9" t="s">
        <v>1885</v>
      </c>
      <c r="AI17" s="9" t="s">
        <v>1879</v>
      </c>
      <c r="AJ17" s="9" t="s">
        <v>1880</v>
      </c>
      <c r="AK17" s="9" t="s">
        <v>1881</v>
      </c>
      <c r="AL17" s="9" t="s">
        <v>1882</v>
      </c>
      <c r="AM17" s="9" t="s">
        <v>1883</v>
      </c>
      <c r="AN17" s="9" t="s">
        <v>1884</v>
      </c>
      <c r="AR17" s="17" t="s">
        <v>1887</v>
      </c>
      <c r="AS17" s="11" t="s">
        <v>1710</v>
      </c>
      <c r="AT17" s="9" t="s">
        <v>1885</v>
      </c>
      <c r="AU17" s="9" t="s">
        <v>1879</v>
      </c>
      <c r="AV17" s="9" t="s">
        <v>1880</v>
      </c>
      <c r="AW17" s="9" t="s">
        <v>1881</v>
      </c>
      <c r="AX17" s="9" t="s">
        <v>1882</v>
      </c>
      <c r="AY17" s="9" t="s">
        <v>1883</v>
      </c>
      <c r="AZ17" s="9" t="s">
        <v>1884</v>
      </c>
      <c r="BA17" s="249"/>
      <c r="BD17" s="17" t="s">
        <v>1887</v>
      </c>
      <c r="BE17" s="11" t="s">
        <v>1710</v>
      </c>
      <c r="BF17" s="9" t="s">
        <v>1885</v>
      </c>
      <c r="BG17" s="9" t="s">
        <v>1879</v>
      </c>
      <c r="BH17" s="9" t="s">
        <v>1880</v>
      </c>
      <c r="BI17" s="9" t="s">
        <v>1881</v>
      </c>
      <c r="BJ17" s="9" t="s">
        <v>1882</v>
      </c>
      <c r="BK17" s="9" t="s">
        <v>1883</v>
      </c>
      <c r="BL17" s="9" t="s">
        <v>1884</v>
      </c>
      <c r="BM17" s="249"/>
      <c r="BP17" s="17" t="s">
        <v>1887</v>
      </c>
      <c r="BQ17" s="11" t="s">
        <v>1710</v>
      </c>
      <c r="BR17" s="9" t="s">
        <v>1885</v>
      </c>
      <c r="BS17" s="9" t="s">
        <v>1879</v>
      </c>
      <c r="BT17" s="9" t="s">
        <v>1880</v>
      </c>
      <c r="BU17" s="9" t="s">
        <v>1881</v>
      </c>
      <c r="BV17" s="9" t="s">
        <v>1882</v>
      </c>
      <c r="BW17" s="9" t="s">
        <v>1883</v>
      </c>
      <c r="BX17" s="9" t="s">
        <v>1884</v>
      </c>
      <c r="BY17" s="249"/>
      <c r="CA17" s="249">
        <v>1994</v>
      </c>
      <c r="CB17" s="144">
        <f>AVERAGEIFS('DATOS 2'!$F$5:$F$1437,'DATOS 2'!$D$5:$D$1437,CA17)</f>
        <v>1.9933333333333332</v>
      </c>
      <c r="CC17" s="144">
        <f>AVERAGEIFS('DATOS 2'!$G$5:$G$1437,'DATOS 2'!$D$5:$D$1437,CA17)</f>
        <v>2.5233333333333339</v>
      </c>
      <c r="CD17" s="138">
        <f>AVERAGEIFS('DATOS 2'!$E$5:$E$1437,'DATOS 2'!$D$5:$D$1437,CA17)</f>
        <v>881772.52</v>
      </c>
      <c r="CF17" s="9" t="s">
        <v>1881</v>
      </c>
      <c r="CG17" s="160">
        <f>AVERAGEIFS('DATOS 2'!$F$5:$F$1437,'DATOS 2'!$C$5:$C$1437,"C3",'DATOS 2'!$H$5:$H$1437,"D",'DATOS 2'!$D$5:$D$1437,"&gt;1995",'DATOS 2'!$D$5:$D$1437,"&lt;2001")</f>
        <v>2.9461538461538463</v>
      </c>
      <c r="CH17" s="160">
        <f>AVERAGEIFS('DATOS 2'!$G$5:$G$1437,'DATOS 2'!$C$5:$C$1437,"C3",'DATOS 2'!$H$5:$H$1437,"D",'DATOS 2'!$D$5:$D$1437,"&gt;1995",'DATOS 2'!$D$5:$D$1437,"&lt;2001")</f>
        <v>3.4980769230769231</v>
      </c>
      <c r="CS17" s="249">
        <v>4</v>
      </c>
      <c r="CT17" s="6">
        <f t="shared" si="52"/>
        <v>9.1644204851752023E-2</v>
      </c>
      <c r="CU17" s="6">
        <f t="shared" si="53"/>
        <v>8.8235294117647065E-2</v>
      </c>
      <c r="CV17" s="249">
        <f>COUNTIF('DATOS 1'!$AQ$51:$AQ$427,'FORMULAS PLUS'!CS17)</f>
        <v>34</v>
      </c>
      <c r="CW17" s="249">
        <f>COUNTIF('DATOS 1'!$AQ$7:$AQ$40,'FORMULAS PLUS'!CS17)</f>
        <v>3</v>
      </c>
      <c r="CX17" s="249"/>
      <c r="DB17" s="11">
        <f t="shared" ref="DB17:DB50" si="63">2014-DC17</f>
        <v>34</v>
      </c>
      <c r="DC17" s="9">
        <v>1980</v>
      </c>
      <c r="DD17" s="6">
        <f t="shared" si="60"/>
        <v>3.2321253672869733E-2</v>
      </c>
      <c r="DE17" s="6">
        <f t="shared" si="61"/>
        <v>1.2135922330097087E-2</v>
      </c>
      <c r="DF17" s="249">
        <f t="shared" si="14"/>
        <v>38</v>
      </c>
      <c r="DG17" s="249">
        <f>COUNTIFS('DATOS 2'!$K$5:$K$1437,"HC",'DATOS 2'!$D$5:$D$1437,DC17)</f>
        <v>33</v>
      </c>
      <c r="DH17" s="249">
        <f>COUNTIFS('DATOS 2'!$K$5:$K$1437,"PT",'DATOS 2'!$D$5:$D$1437,DC17)</f>
        <v>5</v>
      </c>
      <c r="DJ17" s="137" t="s">
        <v>127</v>
      </c>
      <c r="DK17" s="156">
        <f t="shared" si="58"/>
        <v>2.7777777777777776E-2</v>
      </c>
      <c r="DL17" s="156">
        <f t="shared" si="59"/>
        <v>2.4566473988439308E-2</v>
      </c>
      <c r="DM17" s="249">
        <f>COUNTIFS('DATOS 2'!$K$5:$K$984,"PT",'DATOS 2'!$V$5:$V$984,"X")</f>
        <v>8</v>
      </c>
      <c r="DN17" s="249">
        <f>COUNTIFS('DATOS 2'!$K$5:$K$984,"HC",'DATOS 2'!$V$5:$V$984,"X")</f>
        <v>17</v>
      </c>
      <c r="DP17" s="17" t="s">
        <v>2412</v>
      </c>
      <c r="DQ17" s="249" t="s">
        <v>2379</v>
      </c>
      <c r="DR17" s="249" t="s">
        <v>2378</v>
      </c>
      <c r="DS17" s="249" t="s">
        <v>2379</v>
      </c>
      <c r="DT17" s="249" t="s">
        <v>2378</v>
      </c>
      <c r="DV17" s="11" t="s">
        <v>2374</v>
      </c>
      <c r="DW17" s="6">
        <f>+DW5/$EF$11</f>
        <v>4.9295774647887328E-3</v>
      </c>
      <c r="DX17" s="6">
        <f t="shared" ref="DX17:EE17" si="64">+DX5/$EF$11</f>
        <v>1.1971830985915493E-2</v>
      </c>
      <c r="DY17" s="6">
        <f t="shared" si="64"/>
        <v>1.3380281690140845E-2</v>
      </c>
      <c r="DZ17" s="6">
        <f t="shared" si="64"/>
        <v>4.9295774647887328E-3</v>
      </c>
      <c r="EA17" s="6">
        <f t="shared" si="64"/>
        <v>1.7605633802816902E-2</v>
      </c>
      <c r="EB17" s="6">
        <f t="shared" si="64"/>
        <v>2.0422535211267606E-2</v>
      </c>
      <c r="EC17" s="6">
        <f t="shared" si="64"/>
        <v>8.4507042253521118E-3</v>
      </c>
      <c r="ED17" s="6">
        <f t="shared" si="64"/>
        <v>7.0422535211267607E-3</v>
      </c>
      <c r="EE17" s="6">
        <f t="shared" si="64"/>
        <v>1.4084507042253522E-3</v>
      </c>
      <c r="EF17" s="6">
        <f>SUM(DW17:EE17)</f>
        <v>9.014084507042254E-2</v>
      </c>
      <c r="EI17" s="249" t="s">
        <v>2418</v>
      </c>
      <c r="EJ17" s="6">
        <f t="shared" si="54"/>
        <v>0.10226385636221702</v>
      </c>
    </row>
    <row r="18" spans="2:140" ht="30" x14ac:dyDescent="0.25">
      <c r="B18" s="157" t="s">
        <v>723</v>
      </c>
      <c r="C18" s="6">
        <f t="shared" si="55"/>
        <v>0.26790450928381965</v>
      </c>
      <c r="D18" s="6">
        <f t="shared" si="56"/>
        <v>0.26470588235294118</v>
      </c>
      <c r="E18" s="249">
        <f>COUNTIF('DATOS 1'!$G$51:$G$427,"PREPARATORIA")+COUNTIF('DATOS 1'!$G$51:$G$427,"BACHILLERATO")</f>
        <v>101</v>
      </c>
      <c r="F18" s="249">
        <f>COUNTIF('DATOS 1'!$G$7:$G$40,"PREPARATORIA")+COUNTIF('DATOS 1'!$G$7:$G$40,"BACHILLERATO")</f>
        <v>9</v>
      </c>
      <c r="G18" s="11"/>
      <c r="H18" s="11"/>
      <c r="J18" s="11" t="s">
        <v>2376</v>
      </c>
      <c r="K18" s="6">
        <f t="shared" si="57"/>
        <v>2.8852920478536243E-2</v>
      </c>
      <c r="L18" s="138">
        <f>COUNTIF('DATOS 2'!$J$5:$J$1437,"&lt;12501")-L17-L16-L15-L14</f>
        <v>41</v>
      </c>
      <c r="Q18" s="11"/>
      <c r="R18" s="9"/>
      <c r="S18" s="249" t="s">
        <v>935</v>
      </c>
      <c r="T18" s="249">
        <f>COUNTIFS('[1]ENCUESTA CONDUCTORES'!$AH$7:$AH$459,"&lt;1980",'[1]ENCUESTA CONDUCTORES'!$AI$7:$AI$459,"NO CONTESTA")+COUNTIFS('[1]ENCUESTA CONDUCTORES'!$AH$7:$AH$459,"&lt;1980",'[1]ENCUESTA CONDUCTORES'!$AI$7:$AI$459,"NO SABE")</f>
        <v>3</v>
      </c>
      <c r="U18" s="249">
        <f>COUNTIFS('[1]ENCUESTA CONDUCTORES'!$AH$7:$AH$459,"&lt;1986",'[1]ENCUESTA CONDUCTORES'!$AI$7:$AI$459,"NO CONTESTA")+COUNTIFS('[1]ENCUESTA CONDUCTORES'!$AH$7:$AH$459,"&lt;1986",'[1]ENCUESTA CONDUCTORES'!$AI$7:$AI$459,"NO SABE")-T18</f>
        <v>5</v>
      </c>
      <c r="V18" s="249">
        <f>COUNTIFS('[1]ENCUESTA CONDUCTORES'!$AH$7:$AH$459,"&lt;1991",'[1]ENCUESTA CONDUCTORES'!$AI$7:$AI$459,"NO CONTESTA")+COUNTIFS('[1]ENCUESTA CONDUCTORES'!$AH$7:$AH$459,"&lt;1991",'[1]ENCUESTA CONDUCTORES'!$AI$7:$AI$459,"NO SABE")-U18-T18</f>
        <v>2</v>
      </c>
      <c r="W18" s="249">
        <f>COUNTIFS('[1]ENCUESTA CONDUCTORES'!$AH$7:$AH$459,"&lt;1996",'[1]ENCUESTA CONDUCTORES'!$AI$7:$AI$459,"NO CONTESTA")+COUNTIFS('[1]ENCUESTA CONDUCTORES'!$AH$7:$AH$459,"&lt;1996",'[1]ENCUESTA CONDUCTORES'!$AI$7:$AI$459,"NO SABE")-V18-U18-T18</f>
        <v>6</v>
      </c>
      <c r="X18" s="249">
        <f>COUNTIFS('[1]ENCUESTA CONDUCTORES'!$AH$7:$AH$459,"&lt;2001",'[1]ENCUESTA CONDUCTORES'!$AI$7:$AI$459,"NO CONTESTA")+COUNTIFS('[1]ENCUESTA CONDUCTORES'!$AH$7:$AH$459,"&lt;2001",'[1]ENCUESTA CONDUCTORES'!$AI$7:$AI$459,"NO SABE")-W18-V18-U18-T18</f>
        <v>10</v>
      </c>
      <c r="Y18" s="249">
        <f>COUNTIFS('[1]ENCUESTA CONDUCTORES'!$AH$7:$AH$459,"&lt;2006",'[1]ENCUESTA CONDUCTORES'!$AI$7:$AI$459,"NO CONTESTA")+COUNTIFS('[1]ENCUESTA CONDUCTORES'!$AH$7:$AH$459,"&lt;2006",'[1]ENCUESTA CONDUCTORES'!$AI$7:$AI$459,"NO SABE")-X18-W18-V18-U18-T18</f>
        <v>4</v>
      </c>
      <c r="Z18" s="249">
        <f>COUNTIFS('[1]ENCUESTA CONDUCTORES'!$AH$7:$AH$459,"&lt;2011",'[1]ENCUESTA CONDUCTORES'!$AI$7:$AI$459,"NO CONTESTA")+COUNTIFS('[1]ENCUESTA CONDUCTORES'!$AH$7:$AH$459,"&lt;2011",'[1]ENCUESTA CONDUCTORES'!$AI$7:$AI$459,"NO SABE")-Y18-X18-W18-V18-U18-T18</f>
        <v>2</v>
      </c>
      <c r="AA18" s="249">
        <f>COUNTIFS('[1]ENCUESTA CONDUCTORES'!$AH$7:$AH$459,"&gt;2010",'[1]ENCUESTA CONDUCTORES'!$AI$7:$AI$459,"NO CONTESTA")+COUNTIFS('[1]ENCUESTA CONDUCTORES'!$AH$7:$AH$459,"&gt;2010",'[1]ENCUESTA CONDUCTORES'!$AI$7:$AI$459,"NO SABE")</f>
        <v>0</v>
      </c>
      <c r="AB18" s="249">
        <f>SUM(T18:AA18)</f>
        <v>32</v>
      </c>
      <c r="AC18" s="249">
        <v>32</v>
      </c>
      <c r="AF18" s="19" t="s">
        <v>1719</v>
      </c>
      <c r="AG18" s="249">
        <f>+COUNTIFS('[1]ENCUESTA CONDUCTORES'!$Q$7:$Q$459,"X",'[1]ENCUESTA CONDUCTORES'!$AH$7:$AH$459,"&lt;1980",'[1]ENCUESTA CONDUCTORES'!$AX$7:$AX$459,"&lt;1.6")</f>
        <v>1</v>
      </c>
      <c r="AH18" s="249">
        <f>+COUNTIFS('[1]ENCUESTA CONDUCTORES'!$Q$7:$Q$459,"X",'[1]ENCUESTA CONDUCTORES'!$AH$7:$AH$459,"&lt;1986",'[1]ENCUESTA CONDUCTORES'!$AX$7:$AX$459,"&lt;1.6")-AG18</f>
        <v>2</v>
      </c>
      <c r="AI18" s="249">
        <f>+COUNTIFS('[1]ENCUESTA CONDUCTORES'!$Q$7:$Q$459,"X",'[1]ENCUESTA CONDUCTORES'!$AH$7:$AH$459,"&lt;1991",'[1]ENCUESTA CONDUCTORES'!$AX$7:$AX$459,"&lt;1.6")-AH18-AG18</f>
        <v>1</v>
      </c>
      <c r="AJ18" s="249">
        <f>+COUNTIFS('[1]ENCUESTA CONDUCTORES'!$Q$7:$Q$459,"X",'[1]ENCUESTA CONDUCTORES'!$AH$7:$AH$459,"&lt;1996",'[1]ENCUESTA CONDUCTORES'!$AX$7:$AX$459,"&lt;1.6")-AI18-AH18-AG18</f>
        <v>0</v>
      </c>
      <c r="AK18" s="249">
        <f>+COUNTIFS('[1]ENCUESTA CONDUCTORES'!$Q$7:$Q$459,"X",'[1]ENCUESTA CONDUCTORES'!$AH$7:$AH$459,"&lt;2001",'[1]ENCUESTA CONDUCTORES'!$AX$7:$AX$459,"&lt;1.6")-AJ18-AI18-AH18-AG18</f>
        <v>1</v>
      </c>
      <c r="AL18" s="249">
        <f>+COUNTIFS('[1]ENCUESTA CONDUCTORES'!$Q$7:$Q$459,"X",'[1]ENCUESTA CONDUCTORES'!$AH$7:$AH$459,"&lt;2006",'[1]ENCUESTA CONDUCTORES'!$AX$7:$AX$459,"&lt;1.6")-AK18-AJ18-AI18-AH18-AG18</f>
        <v>0</v>
      </c>
      <c r="AM18" s="249">
        <f>+COUNTIFS('[1]ENCUESTA CONDUCTORES'!$Q$7:$Q$459,"X",'[1]ENCUESTA CONDUCTORES'!$AH$7:$AH$459,"&lt;2011",'[1]ENCUESTA CONDUCTORES'!$AX$7:$AX$459,"&lt;1.6")-AL18-AK18-AJ18-AI18-AH18-AG18</f>
        <v>0</v>
      </c>
      <c r="AN18" s="249">
        <f>+COUNTIFS('[1]ENCUESTA CONDUCTORES'!$Q$7:$Q$459,"X",'[1]ENCUESTA CONDUCTORES'!$AH$7:$AH$459,"&gt;2010",'[1]ENCUESTA CONDUCTORES'!$AX$7:$AX$459,"&lt;1.6")</f>
        <v>0</v>
      </c>
      <c r="AO18" s="249">
        <f t="shared" ref="AO18:AO26" si="65">SUM(AG18:AN18)</f>
        <v>5</v>
      </c>
      <c r="AR18" s="19" t="s">
        <v>1719</v>
      </c>
      <c r="AS18" s="249">
        <f>+COUNTIFS('[1]ENCUESTA CONDUCTORES'!$Q$7:$Q$459,"X",'[1]ENCUESTA CONDUCTORES'!$AH$7:$AH$459,"&lt;1980",'[1]ENCUESTA CONDUCTORES'!$AX$7:$AX$459,"&lt;1.6")</f>
        <v>1</v>
      </c>
      <c r="AT18" s="249">
        <f>+COUNTIFS('[1]ENCUESTA CONDUCTORES'!$Q$7:$Q$459,"X",'[1]ENCUESTA CONDUCTORES'!$AH$7:$AH$459,"&lt;1986",'[1]ENCUESTA CONDUCTORES'!$AX$7:$AX$459,"&lt;1.6")-AS18</f>
        <v>2</v>
      </c>
      <c r="AU18" s="249">
        <f>+COUNTIFS('[1]ENCUESTA CONDUCTORES'!$Q$7:$Q$459,"X",'[1]ENCUESTA CONDUCTORES'!$AH$7:$AH$459,"&lt;1991",'[1]ENCUESTA CONDUCTORES'!$AX$7:$AX$459,"&lt;1.6")-AT18-AS18</f>
        <v>1</v>
      </c>
      <c r="AV18" s="249">
        <f>+COUNTIFS('[1]ENCUESTA CONDUCTORES'!$Q$7:$Q$459,"X",'[1]ENCUESTA CONDUCTORES'!$AH$7:$AH$459,"&lt;1996",'[1]ENCUESTA CONDUCTORES'!$AX$7:$AX$459,"&lt;1.6")-AU18-AT18-AS18</f>
        <v>0</v>
      </c>
      <c r="AW18" s="249">
        <f>+COUNTIFS('[1]ENCUESTA CONDUCTORES'!$Q$7:$Q$459,"X",'[1]ENCUESTA CONDUCTORES'!$AH$7:$AH$459,"&lt;2001",'[1]ENCUESTA CONDUCTORES'!$AX$7:$AX$459,"&lt;1.6")-AV18-AU18-AT18-AS18</f>
        <v>1</v>
      </c>
      <c r="AX18" s="249">
        <f>+COUNTIFS('[1]ENCUESTA CONDUCTORES'!$Q$7:$Q$459,"X",'[1]ENCUESTA CONDUCTORES'!$AH$7:$AH$459,"&lt;2006",'[1]ENCUESTA CONDUCTORES'!$AX$7:$AX$459,"&lt;1.6")-AW18-AV18-AU18-AT18-AS18</f>
        <v>0</v>
      </c>
      <c r="AY18" s="249">
        <f>+COUNTIFS('[1]ENCUESTA CONDUCTORES'!$Q$7:$Q$459,"X",'[1]ENCUESTA CONDUCTORES'!$AH$7:$AH$459,"&lt;2011",'[1]ENCUESTA CONDUCTORES'!$AX$7:$AX$459,"&lt;1.6")-AX18-AW18-AV18-AU18-AT18-AS18</f>
        <v>0</v>
      </c>
      <c r="AZ18" s="249">
        <f>+COUNTIFS('[1]ENCUESTA CONDUCTORES'!$Q$7:$Q$459,"X",'[1]ENCUESTA CONDUCTORES'!$AH$7:$AH$459,"&gt;2010",'[1]ENCUESTA CONDUCTORES'!$AX$7:$AX$459,"&lt;1.6")</f>
        <v>0</v>
      </c>
      <c r="BA18" s="249">
        <f t="shared" ref="BA18:BA26" si="66">SUM(AS18:AZ18)</f>
        <v>5</v>
      </c>
      <c r="BD18" s="19" t="s">
        <v>1719</v>
      </c>
      <c r="BE18" s="249">
        <f>+COUNTIFS('[1]ENCUESTA CONDUCTORES'!$S$7:$S$459,"X",'[1]ENCUESTA CONDUCTORES'!$AH$7:$AH$459,"&lt;1980",'[1]ENCUESTA CONDUCTORES'!$AX$7:$AX$459,"&lt;1.6")</f>
        <v>0</v>
      </c>
      <c r="BF18" s="249">
        <f>+COUNTIFS('[1]ENCUESTA CONDUCTORES'!$S$7:$S$459,"X",'[1]ENCUESTA CONDUCTORES'!$AH$7:$AH$459,"&lt;1986",'[1]ENCUESTA CONDUCTORES'!$AX$7:$AX$459,"&lt;1.6")-BE18</f>
        <v>2</v>
      </c>
      <c r="BG18" s="249">
        <f>+COUNTIFS('[1]ENCUESTA CONDUCTORES'!$S$7:$S$459,"X",'[1]ENCUESTA CONDUCTORES'!$AH$7:$AH$459,"&lt;1991",'[1]ENCUESTA CONDUCTORES'!$AX$7:$AX$459,"&lt;1.6")-BF18-BE18</f>
        <v>1</v>
      </c>
      <c r="BH18" s="249">
        <f>+COUNTIFS('[1]ENCUESTA CONDUCTORES'!$S$7:$S$459,"X",'[1]ENCUESTA CONDUCTORES'!$AH$7:$AH$459,"&lt;1996",'[1]ENCUESTA CONDUCTORES'!$AX$7:$AX$459,"&lt;1.6")-BG18-BF18-BE18</f>
        <v>0</v>
      </c>
      <c r="BI18" s="249">
        <f>+COUNTIFS('[1]ENCUESTA CONDUCTORES'!$S$7:$S$459,"X",'[1]ENCUESTA CONDUCTORES'!$AH$7:$AH$459,"&lt;2001",'[1]ENCUESTA CONDUCTORES'!$AX$7:$AX$459,"&lt;1.6")-BH18-BG18-BF18-BE18</f>
        <v>3</v>
      </c>
      <c r="BJ18" s="249">
        <f>+COUNTIFS('[1]ENCUESTA CONDUCTORES'!$S$7:$S$459,"X",'[1]ENCUESTA CONDUCTORES'!$AH$7:$AH$459,"&lt;2006",'[1]ENCUESTA CONDUCTORES'!$AX$7:$AX$459,"&lt;1.6")-BI18-BH18-BG18-BF18-BE18</f>
        <v>3</v>
      </c>
      <c r="BK18" s="249">
        <f>+COUNTIFS('[1]ENCUESTA CONDUCTORES'!$S$7:$S$459,"X",'[1]ENCUESTA CONDUCTORES'!$AH$7:$AH$459,"&lt;2011",'[1]ENCUESTA CONDUCTORES'!$AX$7:$AX$459,"&lt;1.6")-BJ18-BI18-BH18-BG18-BF18-BE18</f>
        <v>10</v>
      </c>
      <c r="BL18" s="249">
        <f>+COUNTIFS('[1]ENCUESTA CONDUCTORES'!$S$7:$S$459,"X",'[1]ENCUESTA CONDUCTORES'!$AH$7:$AH$459,"&gt;2010",'[1]ENCUESTA CONDUCTORES'!$AX$7:$AX$459,"&lt;1.6")</f>
        <v>2</v>
      </c>
      <c r="BM18" s="249">
        <f t="shared" ref="BM18:BM26" si="67">SUM(BE18:BL18)</f>
        <v>21</v>
      </c>
      <c r="BP18" s="19" t="s">
        <v>1719</v>
      </c>
      <c r="BQ18" s="249">
        <f>+COUNTIFS('[1]ENCUESTA CONDUCTORES'!$S$7:$S$459,"X",'[1]ENCUESTA CONDUCTORES'!$AH$7:$AH$459,"&lt;1980",'[1]ENCUESTA CONDUCTORES'!$AX$7:$AX$459,"&lt;1.6")</f>
        <v>0</v>
      </c>
      <c r="BR18" s="249">
        <f>+COUNTIFS('[1]ENCUESTA CONDUCTORES'!$S$7:$S$459,"X",'[1]ENCUESTA CONDUCTORES'!$AH$7:$AH$459,"&lt;1986",'[1]ENCUESTA CONDUCTORES'!$AX$7:$AX$459,"&lt;1.6")-BQ18</f>
        <v>2</v>
      </c>
      <c r="BS18" s="249">
        <f>+COUNTIFS('[1]ENCUESTA CONDUCTORES'!$S$7:$S$459,"X",'[1]ENCUESTA CONDUCTORES'!$AH$7:$AH$459,"&lt;1991",'[1]ENCUESTA CONDUCTORES'!$AX$7:$AX$459,"&lt;1.6")-BR18-BQ18</f>
        <v>1</v>
      </c>
      <c r="BT18" s="249">
        <f>+COUNTIFS('[1]ENCUESTA CONDUCTORES'!$S$7:$S$459,"X",'[1]ENCUESTA CONDUCTORES'!$AH$7:$AH$459,"&lt;1996",'[1]ENCUESTA CONDUCTORES'!$AX$7:$AX$459,"&lt;1.6")-BS18-BR18-BQ18</f>
        <v>0</v>
      </c>
      <c r="BU18" s="249">
        <f>+COUNTIFS('[1]ENCUESTA CONDUCTORES'!$S$7:$S$459,"X",'[1]ENCUESTA CONDUCTORES'!$AH$7:$AH$459,"&lt;2001",'[1]ENCUESTA CONDUCTORES'!$AX$7:$AX$459,"&lt;1.6")-BT18-BS18-BR18-BQ18</f>
        <v>3</v>
      </c>
      <c r="BV18" s="249">
        <f>+COUNTIFS('[1]ENCUESTA CONDUCTORES'!$S$7:$S$459,"X",'[1]ENCUESTA CONDUCTORES'!$AH$7:$AH$459,"&lt;2006",'[1]ENCUESTA CONDUCTORES'!$AX$7:$AX$459,"&lt;1.6")-BU18-BT18-BS18-BR18-BQ18</f>
        <v>3</v>
      </c>
      <c r="BW18" s="249">
        <f>+COUNTIFS('[1]ENCUESTA CONDUCTORES'!$S$7:$S$459,"X",'[1]ENCUESTA CONDUCTORES'!$AH$7:$AH$459,"&lt;2011",'[1]ENCUESTA CONDUCTORES'!$AX$7:$AX$459,"&lt;1.6")-BV18-BU18-BT18-BS18-BR18-BQ18</f>
        <v>10</v>
      </c>
      <c r="BX18" s="249">
        <f>+COUNTIFS('[1]ENCUESTA CONDUCTORES'!$S$7:$S$459,"X",'[1]ENCUESTA CONDUCTORES'!$AH$7:$AH$459,"&gt;2010",'[1]ENCUESTA CONDUCTORES'!$AX$7:$AX$459,"&lt;1.6")</f>
        <v>2</v>
      </c>
      <c r="BY18" s="249">
        <f t="shared" ref="BY18:BY26" si="68">SUM(BQ18:BX18)</f>
        <v>21</v>
      </c>
      <c r="CA18" s="249">
        <v>1995</v>
      </c>
      <c r="CB18" s="144">
        <f>AVERAGEIFS('DATOS 2'!$F$5:$F$1437,'DATOS 2'!$D$5:$D$1437,CA18)</f>
        <v>2.6104166666666666</v>
      </c>
      <c r="CC18" s="144">
        <f>AVERAGEIFS('DATOS 2'!$G$5:$G$1437,'DATOS 2'!$D$5:$D$1437,CA18)</f>
        <v>3.006250000000001</v>
      </c>
      <c r="CD18" s="138">
        <f>AVERAGEIFS('DATOS 2'!$E$5:$E$1437,'DATOS 2'!$D$5:$D$1437,CA18)</f>
        <v>1017711.8181818182</v>
      </c>
      <c r="CF18" s="9" t="s">
        <v>1882</v>
      </c>
      <c r="CG18" s="160">
        <f>AVERAGEIFS('DATOS 2'!$F$5:$F$1437,'DATOS 2'!$C$5:$C$1437,"C3",'DATOS 2'!$H$5:$H$1437,"D",'DATOS 2'!$D$5:$D$1437,"&gt;2000",'DATOS 2'!$D$5:$D$1437,"&lt;2006")</f>
        <v>2.9023809523809527</v>
      </c>
      <c r="CH18" s="160">
        <f>AVERAGEIFS('DATOS 2'!$G$5:$G$1437,'DATOS 2'!$C$5:$C$1437,"C3",'DATOS 2'!$H$5:$H$1437,"D",'DATOS 2'!$D$5:$D$1437,"&gt;2000",'DATOS 2'!$D$5:$D$1437,"&lt;2006")</f>
        <v>3.3952380952380952</v>
      </c>
      <c r="CS18" s="249">
        <v>5</v>
      </c>
      <c r="CT18" s="6">
        <f t="shared" si="52"/>
        <v>9.4339622641509441E-2</v>
      </c>
      <c r="CU18" s="6">
        <f t="shared" si="53"/>
        <v>0.11764705882352941</v>
      </c>
      <c r="CV18" s="249">
        <f>COUNTIF('DATOS 1'!$AQ$51:$AQ$427,'FORMULAS PLUS'!CS18)</f>
        <v>35</v>
      </c>
      <c r="CW18" s="249">
        <f>COUNTIF('DATOS 1'!$AQ$7:$AQ$40,'FORMULAS PLUS'!CS18)</f>
        <v>4</v>
      </c>
      <c r="CX18" s="249"/>
      <c r="DB18" s="11">
        <f t="shared" si="63"/>
        <v>33</v>
      </c>
      <c r="DC18" s="9">
        <v>1981</v>
      </c>
      <c r="DD18" s="6">
        <f t="shared" si="60"/>
        <v>5.8765915768854062E-3</v>
      </c>
      <c r="DE18" s="6">
        <f t="shared" si="61"/>
        <v>7.2815533980582527E-3</v>
      </c>
      <c r="DF18" s="249">
        <f t="shared" si="14"/>
        <v>9</v>
      </c>
      <c r="DG18" s="249">
        <f>COUNTIFS('DATOS 2'!$K$5:$K$1437,"HC",'DATOS 2'!$D$5:$D$1437,DC18)</f>
        <v>6</v>
      </c>
      <c r="DH18" s="249">
        <f>COUNTIFS('DATOS 2'!$K$5:$K$1437,"PT",'DATOS 2'!$D$5:$D$1437,DC18)</f>
        <v>3</v>
      </c>
      <c r="DJ18" s="137" t="s">
        <v>1016</v>
      </c>
      <c r="DK18" s="156">
        <f t="shared" si="58"/>
        <v>0.47916666666666669</v>
      </c>
      <c r="DL18" s="156">
        <f t="shared" si="59"/>
        <v>0.42341040462427748</v>
      </c>
      <c r="DM18" s="249">
        <f>COUNTIFS('DATOS 2'!$K$5:$K$984,"PT",'DATOS 2'!$W$5:$W$984,"X")</f>
        <v>138</v>
      </c>
      <c r="DN18" s="249">
        <f>COUNTIFS('DATOS 2'!$K$5:$K$984,"HC",'DATOS 2'!$W$5:$W$984,"X")</f>
        <v>293</v>
      </c>
      <c r="DP18" s="112" t="s">
        <v>841</v>
      </c>
      <c r="DQ18" s="6">
        <f>+DS18/$DS$20</f>
        <v>0.55263157894736847</v>
      </c>
      <c r="DR18" s="6">
        <f>+DT18/$DT$20</f>
        <v>0.40682414698162728</v>
      </c>
      <c r="DS18" s="249">
        <f>+'DATOS 1'!AJ42</f>
        <v>21</v>
      </c>
      <c r="DT18" s="249">
        <f>+'DATOS 1'!AJ429</f>
        <v>155</v>
      </c>
      <c r="DV18" s="11" t="s">
        <v>2375</v>
      </c>
      <c r="DW18" s="6">
        <f t="shared" ref="DW18:EE18" si="69">+DW6/$EF$11</f>
        <v>1.5492957746478873E-2</v>
      </c>
      <c r="DX18" s="6">
        <f t="shared" si="69"/>
        <v>3.8028169014084505E-2</v>
      </c>
      <c r="DY18" s="6">
        <f t="shared" si="69"/>
        <v>8.23943661971831E-2</v>
      </c>
      <c r="DZ18" s="6">
        <f t="shared" si="69"/>
        <v>2.8169014084507043E-2</v>
      </c>
      <c r="EA18" s="6">
        <f t="shared" si="69"/>
        <v>4.4366197183098595E-2</v>
      </c>
      <c r="EB18" s="6">
        <f t="shared" si="69"/>
        <v>4.2253521126760563E-2</v>
      </c>
      <c r="EC18" s="6">
        <f t="shared" si="69"/>
        <v>4.647887323943662E-2</v>
      </c>
      <c r="ED18" s="6">
        <f t="shared" si="69"/>
        <v>2.0422535211267606E-2</v>
      </c>
      <c r="EE18" s="6">
        <f t="shared" si="69"/>
        <v>1.3380281690140845E-2</v>
      </c>
      <c r="EF18" s="6">
        <f t="shared" ref="EF18:EF23" si="70">SUM(DW18:EE18)</f>
        <v>0.33098591549295775</v>
      </c>
      <c r="EI18" s="249" t="s">
        <v>2419</v>
      </c>
      <c r="EJ18" s="6">
        <f t="shared" si="54"/>
        <v>8.5089773614363776E-2</v>
      </c>
    </row>
    <row r="19" spans="2:140" ht="25.5" x14ac:dyDescent="0.25">
      <c r="B19" s="112" t="s">
        <v>399</v>
      </c>
      <c r="C19" s="6">
        <f t="shared" si="55"/>
        <v>0.19363395225464192</v>
      </c>
      <c r="D19" s="6">
        <f t="shared" si="56"/>
        <v>0.47058823529411764</v>
      </c>
      <c r="E19" s="249">
        <f>COUNTIF('DATOS 1'!$G$51:$G$427,"LICENCIATURA")+COUNTIF('DATOS 1'!$G$51:$G$427,"INGENIERIA")</f>
        <v>73</v>
      </c>
      <c r="F19" s="249">
        <f>COUNTIF('DATOS 1'!$G$7:$G$40,"LICENCIATURA")+COUNTIF('DATOS 1'!$G$7:$G$40,"INGENIERIA")</f>
        <v>16</v>
      </c>
      <c r="G19" s="11"/>
      <c r="H19" s="11"/>
      <c r="J19" s="11" t="s">
        <v>2377</v>
      </c>
      <c r="K19" s="6">
        <f t="shared" si="57"/>
        <v>7.1076706544686841E-2</v>
      </c>
      <c r="L19" s="138">
        <f>COUNTIF('DATOS 2'!$J$5:$J$1437,"&gt;12500")</f>
        <v>101</v>
      </c>
      <c r="Q19" s="11"/>
      <c r="R19" s="9"/>
      <c r="S19" s="249" t="s">
        <v>1028</v>
      </c>
      <c r="T19" s="249">
        <f>COUNTIFS('[1]ENCUESTA CONDUCTORES'!$AH$7:$AH$459,"&lt;1980",'[1]ENCUESTA CONDUCTORES'!$AI$7:$AI$459,"DAÑADO")</f>
        <v>1</v>
      </c>
      <c r="U19" s="249">
        <f>COUNTIFS('[1]ENCUESTA CONDUCTORES'!$AH$7:$AH$459,"&lt;1986",'[1]ENCUESTA CONDUCTORES'!$AI$7:$AI$459,"DAÑADO")-T19</f>
        <v>6</v>
      </c>
      <c r="V19" s="249">
        <f>COUNTIFS('[1]ENCUESTA CONDUCTORES'!$AH$7:$AH$459,"&lt;1991",'[1]ENCUESTA CONDUCTORES'!$AI$7:$AI$459,"DAÑADO")-U19-T19</f>
        <v>6</v>
      </c>
      <c r="W19" s="249">
        <f>COUNTIFS('[1]ENCUESTA CONDUCTORES'!$AH$7:$AH$459,"&lt;1996",'[1]ENCUESTA CONDUCTORES'!$AI$7:$AI$459,"DAÑADO")-V19-U19-T19</f>
        <v>4</v>
      </c>
      <c r="X19" s="249">
        <f>COUNTIFS('[1]ENCUESTA CONDUCTORES'!$AH$7:$AH$459,"&lt;2001",'[1]ENCUESTA CONDUCTORES'!$AI$7:$AI$459,"DAÑADO")-W19-V19-U19-T19</f>
        <v>6</v>
      </c>
      <c r="Y19" s="249">
        <f>COUNTIFS('[1]ENCUESTA CONDUCTORES'!$AH$7:$AH$459,"&lt;2006",'[1]ENCUESTA CONDUCTORES'!$AI$7:$AI$459,"DAÑADO")-X19-W19-V19-U19-T19</f>
        <v>2</v>
      </c>
      <c r="Z19" s="249">
        <f>COUNTIFS('[1]ENCUESTA CONDUCTORES'!$AH$7:$AH$459,"&lt;2011",'[1]ENCUESTA CONDUCTORES'!$AI$7:$AI$459,"DAÑADO")-Y19-X19-W19-V19-U19-T19</f>
        <v>1</v>
      </c>
      <c r="AA19" s="249">
        <f>COUNTIFS('[1]ENCUESTA CONDUCTORES'!$AH$7:$AH$459,"&gt;2010",'[1]ENCUESTA CONDUCTORES'!$AI$7:$AI$459,"DAÑADO")</f>
        <v>0</v>
      </c>
      <c r="AB19" s="249">
        <f t="shared" ref="AB19:AB29" si="71">SUM(T19:AA19)</f>
        <v>26</v>
      </c>
      <c r="AC19" s="249">
        <v>26</v>
      </c>
      <c r="AF19" s="19" t="s">
        <v>1720</v>
      </c>
      <c r="AG19" s="249">
        <f>+COUNTIFS('[1]ENCUESTA CONDUCTORES'!$Q$7:$Q$459,"X",'[1]ENCUESTA CONDUCTORES'!$AH$7:$AH$459,"&lt;1980",'[1]ENCUESTA CONDUCTORES'!$AX$7:$AX$459,"&lt;1.91")-AG18</f>
        <v>4</v>
      </c>
      <c r="AH19" s="249">
        <f>+COUNTIFS('[1]ENCUESTA CONDUCTORES'!$Q$7:$Q$459,"X",'[1]ENCUESTA CONDUCTORES'!$AH$7:$AH$459,"&lt;1986",'[1]ENCUESTA CONDUCTORES'!$AX$7:$AX$459,"&lt;1.91")-AG19-AG18-AH18</f>
        <v>2</v>
      </c>
      <c r="AI19" s="249">
        <f>+COUNTIFS('[1]ENCUESTA CONDUCTORES'!$Q$7:$Q$459,"X",'[1]ENCUESTA CONDUCTORES'!$AH$7:$AH$459,"&lt;1991",'[1]ENCUESTA CONDUCTORES'!$AX$7:$AX$459,"&lt;1.91")-AH19-AG19-AI18-AH18-AG18</f>
        <v>1</v>
      </c>
      <c r="AJ19" s="249">
        <f>+COUNTIFS('[1]ENCUESTA CONDUCTORES'!$Q$7:$Q$459,"X",'[1]ENCUESTA CONDUCTORES'!$AH$7:$AH$459,"&lt;1996",'[1]ENCUESTA CONDUCTORES'!$AX$7:$AX$459,"&lt;1.91")-AI19-AH19-AG19-AJ18-AI18-AH18-AG18</f>
        <v>0</v>
      </c>
      <c r="AK19" s="249">
        <f>+COUNTIFS('[1]ENCUESTA CONDUCTORES'!$Q$7:$Q$459,"X",'[1]ENCUESTA CONDUCTORES'!$AH$7:$AH$459,"&lt;2001",'[1]ENCUESTA CONDUCTORES'!$AX$7:$AX$459,"&lt;1.91")-AJ19-AI19-AH19-AG19-AK18-AJ18-AI18-AH18-AG18</f>
        <v>0</v>
      </c>
      <c r="AL19" s="249">
        <f>+COUNTIFS('[1]ENCUESTA CONDUCTORES'!$Q$7:$Q$459,"X",'[1]ENCUESTA CONDUCTORES'!$AH$7:$AH$459,"&lt;2006",'[1]ENCUESTA CONDUCTORES'!$AX$7:$AX$459,"&lt;1.91")-AK19-AJ19-AI19-AH19-AG19-AL18-AK18-AJ18-AI18-AH18-AG18</f>
        <v>2</v>
      </c>
      <c r="AM19" s="249">
        <f>+COUNTIFS('[1]ENCUESTA CONDUCTORES'!$Q$7:$Q$459,"X",'[1]ENCUESTA CONDUCTORES'!$AH$7:$AH$459,"&lt;2011",'[1]ENCUESTA CONDUCTORES'!$AX$7:$AX$459,"&lt;1.91")-AL19-AK19-AJ19-AI19-AH19-AG19-AM18-AL18-AK18-AJ18-AI18-AH18-AG18</f>
        <v>1</v>
      </c>
      <c r="AN19" s="249">
        <f>+COUNTIFS('[1]ENCUESTA CONDUCTORES'!$Q$7:$Q$459,"X",'[1]ENCUESTA CONDUCTORES'!$AH$7:$AH$459,"&gt;2010",'[1]ENCUESTA CONDUCTORES'!$AX$7:$AX$459,"&lt;1.91")-AN18</f>
        <v>0</v>
      </c>
      <c r="AO19" s="249">
        <f t="shared" si="65"/>
        <v>10</v>
      </c>
      <c r="AR19" s="19" t="s">
        <v>1720</v>
      </c>
      <c r="AS19" s="249">
        <f>+COUNTIFS('[1]ENCUESTA CONDUCTORES'!$Q$7:$Q$459,"X",'[1]ENCUESTA CONDUCTORES'!$AH$7:$AH$459,"&lt;1980",'[1]ENCUESTA CONDUCTORES'!$AX$7:$AX$459,"&lt;1.91")-AS18</f>
        <v>4</v>
      </c>
      <c r="AT19" s="249">
        <f>+COUNTIFS('[1]ENCUESTA CONDUCTORES'!$Q$7:$Q$459,"X",'[1]ENCUESTA CONDUCTORES'!$AH$7:$AH$459,"&lt;1986",'[1]ENCUESTA CONDUCTORES'!$AX$7:$AX$459,"&lt;1.91")-AS19-AS18-AT18</f>
        <v>2</v>
      </c>
      <c r="AU19" s="249">
        <f>+COUNTIFS('[1]ENCUESTA CONDUCTORES'!$Q$7:$Q$459,"X",'[1]ENCUESTA CONDUCTORES'!$AH$7:$AH$459,"&lt;1991",'[1]ENCUESTA CONDUCTORES'!$AX$7:$AX$459,"&lt;1.91")-AT19-AS19-AU18-AT18-AS18</f>
        <v>1</v>
      </c>
      <c r="AV19" s="249">
        <f>+COUNTIFS('[1]ENCUESTA CONDUCTORES'!$Q$7:$Q$459,"X",'[1]ENCUESTA CONDUCTORES'!$AH$7:$AH$459,"&lt;1996",'[1]ENCUESTA CONDUCTORES'!$AX$7:$AX$459,"&lt;1.91")-AU19-AT19-AS19-AV18-AU18-AT18-AS18</f>
        <v>0</v>
      </c>
      <c r="AW19" s="249">
        <f>+COUNTIFS('[1]ENCUESTA CONDUCTORES'!$Q$7:$Q$459,"X",'[1]ENCUESTA CONDUCTORES'!$AH$7:$AH$459,"&lt;2001",'[1]ENCUESTA CONDUCTORES'!$AX$7:$AX$459,"&lt;1.91")-AV19-AU19-AT19-AS19-AW18-AV18-AU18-AT18-AS18</f>
        <v>0</v>
      </c>
      <c r="AX19" s="249">
        <f>+COUNTIFS('[1]ENCUESTA CONDUCTORES'!$Q$7:$Q$459,"X",'[1]ENCUESTA CONDUCTORES'!$AH$7:$AH$459,"&lt;2006",'[1]ENCUESTA CONDUCTORES'!$AX$7:$AX$459,"&lt;1.91")-AW19-AV19-AU19-AT19-AS19-AX18-AW18-AV18-AU18-AT18-AS18</f>
        <v>2</v>
      </c>
      <c r="AY19" s="249">
        <f>+COUNTIFS('[1]ENCUESTA CONDUCTORES'!$Q$7:$Q$459,"X",'[1]ENCUESTA CONDUCTORES'!$AH$7:$AH$459,"&lt;2011",'[1]ENCUESTA CONDUCTORES'!$AX$7:$AX$459,"&lt;1.91")-AX19-AW19-AV19-AU19-AT19-AS19-AY18-AX18-AW18-AV18-AU18-AT18-AS18</f>
        <v>1</v>
      </c>
      <c r="AZ19" s="249">
        <f>+COUNTIFS('[1]ENCUESTA CONDUCTORES'!$Q$7:$Q$459,"X",'[1]ENCUESTA CONDUCTORES'!$AH$7:$AH$459,"&gt;2010",'[1]ENCUESTA CONDUCTORES'!$AX$7:$AX$459,"&lt;1.91")-AZ18</f>
        <v>0</v>
      </c>
      <c r="BA19" s="249">
        <f t="shared" si="66"/>
        <v>10</v>
      </c>
      <c r="BD19" s="19" t="s">
        <v>1720</v>
      </c>
      <c r="BE19" s="249">
        <f>+COUNTIFS('[1]ENCUESTA CONDUCTORES'!$S$7:$S$459,"X",'[1]ENCUESTA CONDUCTORES'!$AH$7:$AH$459,"&lt;1980",'[1]ENCUESTA CONDUCTORES'!$AX$7:$AX$459,"&lt;1.91")-BE18</f>
        <v>0</v>
      </c>
      <c r="BF19" s="249">
        <f>+COUNTIFS('[1]ENCUESTA CONDUCTORES'!$S$7:$S$459,"X",'[1]ENCUESTA CONDUCTORES'!$AH$7:$AH$459,"&lt;1986",'[1]ENCUESTA CONDUCTORES'!$AX$7:$AX$459,"&lt;1.91")-BE19-BE18-BF18</f>
        <v>5</v>
      </c>
      <c r="BG19" s="249">
        <f>+COUNTIFS('[1]ENCUESTA CONDUCTORES'!$S$7:$S$459,"X",'[1]ENCUESTA CONDUCTORES'!$AH$7:$AH$459,"&lt;1991",'[1]ENCUESTA CONDUCTORES'!$AX$7:$AX$459,"&lt;1.91")-BF19-BE19-BG18-BF18-BE18</f>
        <v>6</v>
      </c>
      <c r="BH19" s="249">
        <f>+COUNTIFS('[1]ENCUESTA CONDUCTORES'!$S$7:$S$459,"X",'[1]ENCUESTA CONDUCTORES'!$AH$7:$AH$459,"&lt;1996",'[1]ENCUESTA CONDUCTORES'!$AX$7:$AX$459,"&lt;1.91")-BG19-BF19-BE19-BH18-BG18-BF18-BE18</f>
        <v>4</v>
      </c>
      <c r="BI19" s="249">
        <f>+COUNTIFS('[1]ENCUESTA CONDUCTORES'!$S$7:$S$459,"X",'[1]ENCUESTA CONDUCTORES'!$AH$7:$AH$459,"&lt;2001",'[1]ENCUESTA CONDUCTORES'!$AX$7:$AX$459,"&lt;1.91")-BH19-BG19-BF19-BE19-BI18-BH18-BG18-BF18-BE18</f>
        <v>9</v>
      </c>
      <c r="BJ19" s="249">
        <f>+COUNTIFS('[1]ENCUESTA CONDUCTORES'!$S$7:$S$459,"X",'[1]ENCUESTA CONDUCTORES'!$AH$7:$AH$459,"&lt;2006",'[1]ENCUESTA CONDUCTORES'!$AX$7:$AX$459,"&lt;1.91")-BI19-BH19-BG19-BF19-BE19-BJ18-BI18-BH18-BG18-BF18-BE18</f>
        <v>6</v>
      </c>
      <c r="BK19" s="249">
        <f>+COUNTIFS('[1]ENCUESTA CONDUCTORES'!$S$7:$S$459,"X",'[1]ENCUESTA CONDUCTORES'!$AH$7:$AH$459,"&lt;2011",'[1]ENCUESTA CONDUCTORES'!$AX$7:$AX$459,"&lt;1.91")-BJ19-BI19-BH19-BG19-BF19-BE19-BK18-BJ18-BI18-BH18-BG18-BF18-BE18</f>
        <v>5</v>
      </c>
      <c r="BL19" s="249">
        <f>+COUNTIFS('[1]ENCUESTA CONDUCTORES'!$S$7:$S$459,"X",'[1]ENCUESTA CONDUCTORES'!$AH$7:$AH$459,"&gt;2010",'[1]ENCUESTA CONDUCTORES'!$AX$7:$AX$459,"&lt;1.91")-BL18</f>
        <v>2</v>
      </c>
      <c r="BM19" s="249">
        <f t="shared" si="67"/>
        <v>37</v>
      </c>
      <c r="BP19" s="19" t="s">
        <v>1720</v>
      </c>
      <c r="BQ19" s="249">
        <f>+COUNTIFS('[1]ENCUESTA CONDUCTORES'!$S$7:$S$459,"X",'[1]ENCUESTA CONDUCTORES'!$AH$7:$AH$459,"&lt;1980",'[1]ENCUESTA CONDUCTORES'!$AX$7:$AX$459,"&lt;1.91")-BQ18</f>
        <v>0</v>
      </c>
      <c r="BR19" s="249">
        <f>+COUNTIFS('[1]ENCUESTA CONDUCTORES'!$S$7:$S$459,"X",'[1]ENCUESTA CONDUCTORES'!$AH$7:$AH$459,"&lt;1986",'[1]ENCUESTA CONDUCTORES'!$AX$7:$AX$459,"&lt;1.91")-BQ19-BQ18-BR18</f>
        <v>5</v>
      </c>
      <c r="BS19" s="249">
        <f>+COUNTIFS('[1]ENCUESTA CONDUCTORES'!$S$7:$S$459,"X",'[1]ENCUESTA CONDUCTORES'!$AH$7:$AH$459,"&lt;1991",'[1]ENCUESTA CONDUCTORES'!$AX$7:$AX$459,"&lt;1.91")-BR19-BQ19-BS18-BR18-BQ18</f>
        <v>6</v>
      </c>
      <c r="BT19" s="249">
        <f>+COUNTIFS('[1]ENCUESTA CONDUCTORES'!$S$7:$S$459,"X",'[1]ENCUESTA CONDUCTORES'!$AH$7:$AH$459,"&lt;1996",'[1]ENCUESTA CONDUCTORES'!$AX$7:$AX$459,"&lt;1.91")-BS19-BR19-BQ19-BT18-BS18-BR18-BQ18</f>
        <v>4</v>
      </c>
      <c r="BU19" s="249">
        <f>+COUNTIFS('[1]ENCUESTA CONDUCTORES'!$S$7:$S$459,"X",'[1]ENCUESTA CONDUCTORES'!$AH$7:$AH$459,"&lt;2001",'[1]ENCUESTA CONDUCTORES'!$AX$7:$AX$459,"&lt;1.91")-BT19-BS19-BR19-BQ19-BU18-BT18-BS18-BR18-BQ18</f>
        <v>9</v>
      </c>
      <c r="BV19" s="249">
        <f>+COUNTIFS('[1]ENCUESTA CONDUCTORES'!$S$7:$S$459,"X",'[1]ENCUESTA CONDUCTORES'!$AH$7:$AH$459,"&lt;2006",'[1]ENCUESTA CONDUCTORES'!$AX$7:$AX$459,"&lt;1.91")-BU19-BT19-BS19-BR19-BQ19-BV18-BU18-BT18-BS18-BR18-BQ18</f>
        <v>6</v>
      </c>
      <c r="BW19" s="249">
        <f>+COUNTIFS('[1]ENCUESTA CONDUCTORES'!$S$7:$S$459,"X",'[1]ENCUESTA CONDUCTORES'!$AH$7:$AH$459,"&lt;2011",'[1]ENCUESTA CONDUCTORES'!$AX$7:$AX$459,"&lt;1.91")-BV19-BU19-BT19-BS19-BR19-BQ19-BW18-BV18-BU18-BT18-BS18-BR18-BQ18</f>
        <v>5</v>
      </c>
      <c r="BX19" s="249">
        <f>+COUNTIFS('[1]ENCUESTA CONDUCTORES'!$S$7:$S$459,"X",'[1]ENCUESTA CONDUCTORES'!$AH$7:$AH$459,"&gt;2010",'[1]ENCUESTA CONDUCTORES'!$AX$7:$AX$459,"&lt;1.91")-BX18</f>
        <v>2</v>
      </c>
      <c r="BY19" s="249">
        <f t="shared" si="68"/>
        <v>37</v>
      </c>
      <c r="CA19" s="249">
        <v>1996</v>
      </c>
      <c r="CB19" s="144">
        <f>AVERAGEIFS('DATOS 2'!$F$5:$F$1437,'DATOS 2'!$D$5:$D$1437,CA19)</f>
        <v>2.2833333333333332</v>
      </c>
      <c r="CC19" s="144">
        <f>AVERAGEIFS('DATOS 2'!$G$5:$G$1437,'DATOS 2'!$D$5:$D$1437,CA19)</f>
        <v>2.6611111111111114</v>
      </c>
      <c r="CD19" s="138">
        <f>AVERAGEIFS('DATOS 2'!$E$5:$E$1437,'DATOS 2'!$D$5:$D$1437,CA19)</f>
        <v>997716.5882352941</v>
      </c>
      <c r="CF19" s="9" t="s">
        <v>1883</v>
      </c>
      <c r="CG19" s="160">
        <f>AVERAGEIFS('DATOS 2'!$F$5:$F$1437,'DATOS 2'!$C$5:$C$1437,"C3",'DATOS 2'!$H$5:$H$1437,"D",'DATOS 2'!$D$5:$D$1437,"&gt;2005",'DATOS 2'!$D$5:$D$1437,"&lt;2011")</f>
        <v>3.153658536585366</v>
      </c>
      <c r="CH19" s="160">
        <f>AVERAGEIFS('DATOS 2'!$G$5:$G$1437,'DATOS 2'!$C$5:$C$1437,"C3",'DATOS 2'!$H$5:$H$1437,"D",'DATOS 2'!$D$5:$D$1437,"&gt;2005",'DATOS 2'!$D$5:$D$1437,"&lt;2011")</f>
        <v>3.6658536585365855</v>
      </c>
      <c r="CS19" s="249">
        <v>6</v>
      </c>
      <c r="CT19" s="6">
        <f t="shared" si="52"/>
        <v>6.1994609164420483E-2</v>
      </c>
      <c r="CU19" s="6">
        <f t="shared" si="53"/>
        <v>0.26470588235294118</v>
      </c>
      <c r="CV19" s="249">
        <f>COUNTIF('DATOS 1'!$AQ$51:$AQ$427,'FORMULAS PLUS'!CS19)</f>
        <v>23</v>
      </c>
      <c r="CW19" s="249">
        <f>COUNTIF('DATOS 1'!$AQ$7:$AQ$40,'FORMULAS PLUS'!CS19)</f>
        <v>9</v>
      </c>
      <c r="CX19" s="249"/>
      <c r="DB19" s="11">
        <f t="shared" si="63"/>
        <v>32</v>
      </c>
      <c r="DC19" s="9">
        <v>1982</v>
      </c>
      <c r="DD19" s="6">
        <f t="shared" si="60"/>
        <v>1.1753183153770812E-2</v>
      </c>
      <c r="DE19" s="6">
        <f t="shared" si="61"/>
        <v>4.8543689320388345E-3</v>
      </c>
      <c r="DF19" s="249">
        <f t="shared" si="14"/>
        <v>14</v>
      </c>
      <c r="DG19" s="249">
        <f>COUNTIFS('DATOS 2'!$K$5:$K$1437,"HC",'DATOS 2'!$D$5:$D$1437,DC19)</f>
        <v>12</v>
      </c>
      <c r="DH19" s="249">
        <f>COUNTIFS('DATOS 2'!$K$5:$K$1437,"PT",'DATOS 2'!$D$5:$D$1437,DC19)</f>
        <v>2</v>
      </c>
      <c r="DJ19" s="137" t="s">
        <v>130</v>
      </c>
      <c r="DK19" s="156">
        <f t="shared" si="58"/>
        <v>4.5138888888888888E-2</v>
      </c>
      <c r="DL19" s="156">
        <f t="shared" si="59"/>
        <v>0.10404624277456648</v>
      </c>
      <c r="DM19" s="249">
        <f>COUNTIFS('DATOS 2'!$K$5:$K$984,"PT",'DATOS 2'!$X$5:$X$984,"X")</f>
        <v>13</v>
      </c>
      <c r="DN19" s="249">
        <f>COUNTIFS('DATOS 2'!$K$5:$K$984,"HC",'DATOS 2'!$X$5:$X$984,"X")</f>
        <v>72</v>
      </c>
      <c r="DP19" s="112" t="s">
        <v>31</v>
      </c>
      <c r="DQ19" s="6">
        <f t="shared" ref="DQ19:DQ20" si="72">+DS19/$DS$20</f>
        <v>0.44736842105263158</v>
      </c>
      <c r="DR19" s="6">
        <f t="shared" ref="DR19:DR20" si="73">+DT19/$DT$20</f>
        <v>0.59317585301837272</v>
      </c>
      <c r="DS19" s="249">
        <f>+'DATOS 1'!AK42</f>
        <v>17</v>
      </c>
      <c r="DT19" s="249">
        <f>+'DATOS 1'!AK429</f>
        <v>226</v>
      </c>
      <c r="DV19" s="11" t="s">
        <v>952</v>
      </c>
      <c r="DW19" s="6">
        <f t="shared" ref="DW19:EE19" si="74">+DW7/$EF$11</f>
        <v>9.1549295774647887E-3</v>
      </c>
      <c r="DX19" s="6">
        <f t="shared" si="74"/>
        <v>6.0563380281690143E-2</v>
      </c>
      <c r="DY19" s="6">
        <f t="shared" si="74"/>
        <v>0</v>
      </c>
      <c r="DZ19" s="6">
        <f t="shared" si="74"/>
        <v>4.2253521126760563E-2</v>
      </c>
      <c r="EA19" s="6">
        <f t="shared" si="74"/>
        <v>2.5352112676056339E-2</v>
      </c>
      <c r="EB19" s="6">
        <f t="shared" si="74"/>
        <v>1.7605633802816902E-2</v>
      </c>
      <c r="EC19" s="6">
        <f t="shared" si="74"/>
        <v>2.5352112676056339E-2</v>
      </c>
      <c r="ED19" s="6">
        <f t="shared" si="74"/>
        <v>7.7464788732394367E-3</v>
      </c>
      <c r="EE19" s="6">
        <f t="shared" si="74"/>
        <v>1.4084507042253522E-3</v>
      </c>
      <c r="EF19" s="6">
        <f t="shared" si="70"/>
        <v>0.18943661971830986</v>
      </c>
      <c r="EI19" s="249" t="s">
        <v>2420</v>
      </c>
      <c r="EJ19" s="6">
        <f t="shared" si="54"/>
        <v>1</v>
      </c>
    </row>
    <row r="20" spans="2:140" x14ac:dyDescent="0.25">
      <c r="B20" s="112" t="s">
        <v>711</v>
      </c>
      <c r="C20" s="6">
        <f t="shared" si="55"/>
        <v>7.9575596816976128E-3</v>
      </c>
      <c r="D20" s="6">
        <f t="shared" si="56"/>
        <v>5.8823529411764705E-2</v>
      </c>
      <c r="E20" s="249">
        <f>COUNTIF('DATOS 1'!G51:G427,"OTROS")+COUNTIF('DATOS 1'!G51:G427,"TECNICA")+COUNTIF('DATOS 1'!G51:G427,"POSGRADO")+COUNTIF('DATOS 1'!G51:G427,"MAESTRIA")</f>
        <v>3</v>
      </c>
      <c r="F20" s="249">
        <f>COUNTIF('DATOS 1'!G7:G40,"OTROS")+COUNTIF('DATOS 1'!G7:G40,"TECNICA")+COUNTIF('DATOS 1'!G7:G40,"POSGRADO")+COUNTIF('DATOS 1'!G7:G40,"MAESTRIA")</f>
        <v>2</v>
      </c>
      <c r="G20" s="11"/>
      <c r="H20" s="11"/>
      <c r="J20" s="11" t="s">
        <v>1662</v>
      </c>
      <c r="K20" s="6">
        <f t="shared" si="57"/>
        <v>1</v>
      </c>
      <c r="L20" s="249">
        <f>SUM(L14:L19)</f>
        <v>1421</v>
      </c>
      <c r="Q20" s="11"/>
      <c r="R20" s="9"/>
      <c r="S20" s="249" t="s">
        <v>1712</v>
      </c>
      <c r="T20" s="249">
        <f>COUNTIFS('[1]ENCUESTA CONDUCTORES'!$AH$7:$AH$459,"&lt;1980",'[1]ENCUESTA CONDUCTORES'!$AI$7:$AI$459,"&lt;250000")</f>
        <v>0</v>
      </c>
      <c r="U20" s="249">
        <f>COUNTIFS('[1]ENCUESTA CONDUCTORES'!$AH$7:$AH$459,"&lt;1986",'[1]ENCUESTA CONDUCTORES'!$AI$7:$AI$459,"&lt;250000")-T20</f>
        <v>0</v>
      </c>
      <c r="V20" s="249">
        <f>COUNTIFS('[1]ENCUESTA CONDUCTORES'!$AH$7:$AH$459,"&lt;1991",'[1]ENCUESTA CONDUCTORES'!$AI$7:$AI$459,"&lt;250000")-U20-T20</f>
        <v>0</v>
      </c>
      <c r="W20" s="249">
        <f>COUNTIFS('[1]ENCUESTA CONDUCTORES'!$AH$7:$AH$459,"&lt;1996",'[1]ENCUESTA CONDUCTORES'!$AI$7:$AI$459,"&lt;250000")-V20-U20-T20</f>
        <v>1</v>
      </c>
      <c r="X20" s="249">
        <f>COUNTIFS('[1]ENCUESTA CONDUCTORES'!$AH$7:$AH$459,"&lt;2001",'[1]ENCUESTA CONDUCTORES'!$AI$7:$AI$459,"&lt;250000")-W20-V20-U20-T20</f>
        <v>0</v>
      </c>
      <c r="Y20" s="249">
        <f>COUNTIFS('[1]ENCUESTA CONDUCTORES'!$AH$7:$AH$459,"&lt;2006",'[1]ENCUESTA CONDUCTORES'!$AI$7:$AI$459,"&lt;250000")-X20-W20-V20-U20-T20</f>
        <v>0</v>
      </c>
      <c r="Z20" s="249">
        <f>COUNTIFS('[1]ENCUESTA CONDUCTORES'!$AH$7:$AH$459,"&lt;2011",'[1]ENCUESTA CONDUCTORES'!$AI$7:$AI$459,"&lt;250000")-Y20-X20-W20-V20-U20-T20</f>
        <v>14</v>
      </c>
      <c r="AA20" s="249">
        <f>COUNTIFS('[1]ENCUESTA CONDUCTORES'!$AH$7:$AH$459,"&gt;2010",'[1]ENCUESTA CONDUCTORES'!$AI$7:$AI$459,"&lt;250000")</f>
        <v>25</v>
      </c>
      <c r="AB20" s="249">
        <f t="shared" si="71"/>
        <v>40</v>
      </c>
      <c r="AC20" s="249">
        <v>40</v>
      </c>
      <c r="AF20" s="19" t="s">
        <v>1721</v>
      </c>
      <c r="AG20" s="249">
        <f>+COUNTIFS('[1]ENCUESTA CONDUCTORES'!$Q$7:$Q$459,"X",'[1]ENCUESTA CONDUCTORES'!$AH$7:$AH$459,"&lt;1980",'[1]ENCUESTA CONDUCTORES'!$AX$7:$AX$459,"&lt;2.01")-AG19-AG18</f>
        <v>0</v>
      </c>
      <c r="AH20" s="249">
        <f>+COUNTIFS('[1]ENCUESTA CONDUCTORES'!$Q$7:$Q$459,"X",'[1]ENCUESTA CONDUCTORES'!$AH$7:$AH$459,"&lt;1986",'[1]ENCUESTA CONDUCTORES'!$AX$7:$AX$459,"&lt;2.01")-AG20-AG19-AH19-AH18-AG18</f>
        <v>1</v>
      </c>
      <c r="AI20" s="249">
        <f>+COUNTIFS('[1]ENCUESTA CONDUCTORES'!$Q$7:$Q$459,"X",'[1]ENCUESTA CONDUCTORES'!$AH$7:$AH$459,"&lt;1991",'[1]ENCUESTA CONDUCTORES'!$AX$7:$AX$459,"&lt;2.01")-AH20-AG20-AI19-AH19-AG19-AI18-AH18-AG18</f>
        <v>1</v>
      </c>
      <c r="AJ20" s="249">
        <f>+COUNTIFS('[1]ENCUESTA CONDUCTORES'!$Q$7:$Q$459,"X",'[1]ENCUESTA CONDUCTORES'!$AH$7:$AH$459,"&lt;1996",'[1]ENCUESTA CONDUCTORES'!$AX$7:$AX$459,"&lt;2.01")-AI20-AH20-AG20-AJ19-AI19-AH19-AG19-AJ18-AI18-AH18-AG18</f>
        <v>0</v>
      </c>
      <c r="AK20" s="249">
        <f>+COUNTIFS('[1]ENCUESTA CONDUCTORES'!$Q$7:$Q$459,"X",'[1]ENCUESTA CONDUCTORES'!$AH$7:$AH$459,"&lt;2001",'[1]ENCUESTA CONDUCTORES'!$AX$7:$AX$459,"&lt;2.01")-AJ20-AI20-AH20-AG20-AK19-AJ19-AI19-AH19-AG19-AK18-AJ18-AI18-AH18-AG18</f>
        <v>2</v>
      </c>
      <c r="AL20" s="249">
        <f>+COUNTIFS('[1]ENCUESTA CONDUCTORES'!$Q$7:$Q$459,"X",'[1]ENCUESTA CONDUCTORES'!$AH$7:$AH$459,"&lt;2006",'[1]ENCUESTA CONDUCTORES'!$AX$7:$AX$459,"&lt;2.01")-AK20-AJ20-AI20-AH20-AG20-AL19-AK19-AJ19-AI19-AH19-AG19-AL18-AK18-AJ18-AI18-AH18-AG18</f>
        <v>0</v>
      </c>
      <c r="AM20" s="249">
        <f>+COUNTIFS('[1]ENCUESTA CONDUCTORES'!$Q$7:$Q$459,"X",'[1]ENCUESTA CONDUCTORES'!$AH$7:$AH$459,"&lt;2011",'[1]ENCUESTA CONDUCTORES'!$AX$7:$AX$459,"&lt;2.01")-AL20-AK20-AJ20-AI20-AH20-AG20-AM19-AL19-AK19-AJ19-AI19-AH19-AG19-AM18-AL18-AK18-AJ18-AI18-AH18-AG18</f>
        <v>0</v>
      </c>
      <c r="AN20" s="249">
        <f>+COUNTIFS('[1]ENCUESTA CONDUCTORES'!$Q$7:$Q$459,"X",'[1]ENCUESTA CONDUCTORES'!$AH$7:$AH$459,"&gt;2010",'[1]ENCUESTA CONDUCTORES'!$AX$7:$AX$459,"&lt;2.01")-AN19-AN18</f>
        <v>1</v>
      </c>
      <c r="AO20" s="249">
        <f t="shared" si="65"/>
        <v>5</v>
      </c>
      <c r="AR20" s="19" t="s">
        <v>1721</v>
      </c>
      <c r="AS20" s="249">
        <f>+COUNTIFS('[1]ENCUESTA CONDUCTORES'!$Q$7:$Q$459,"X",'[1]ENCUESTA CONDUCTORES'!$AH$7:$AH$459,"&lt;1980",'[1]ENCUESTA CONDUCTORES'!$AX$7:$AX$459,"&lt;2.01")-AS19-AS18</f>
        <v>0</v>
      </c>
      <c r="AT20" s="249">
        <f>+COUNTIFS('[1]ENCUESTA CONDUCTORES'!$Q$7:$Q$459,"X",'[1]ENCUESTA CONDUCTORES'!$AH$7:$AH$459,"&lt;1986",'[1]ENCUESTA CONDUCTORES'!$AX$7:$AX$459,"&lt;2.01")-AS20-AS19-AT19-AT18-AS18</f>
        <v>1</v>
      </c>
      <c r="AU20" s="249">
        <f>+COUNTIFS('[1]ENCUESTA CONDUCTORES'!$Q$7:$Q$459,"X",'[1]ENCUESTA CONDUCTORES'!$AH$7:$AH$459,"&lt;1991",'[1]ENCUESTA CONDUCTORES'!$AX$7:$AX$459,"&lt;2.01")-AT20-AS20-AU19-AT19-AS19-AU18-AT18-AS18</f>
        <v>1</v>
      </c>
      <c r="AV20" s="249">
        <f>+COUNTIFS('[1]ENCUESTA CONDUCTORES'!$Q$7:$Q$459,"X",'[1]ENCUESTA CONDUCTORES'!$AH$7:$AH$459,"&lt;1996",'[1]ENCUESTA CONDUCTORES'!$AX$7:$AX$459,"&lt;2.01")-AU20-AT20-AS20-AV19-AU19-AT19-AS19-AV18-AU18-AT18-AS18</f>
        <v>0</v>
      </c>
      <c r="AW20" s="249">
        <f>+COUNTIFS('[1]ENCUESTA CONDUCTORES'!$Q$7:$Q$459,"X",'[1]ENCUESTA CONDUCTORES'!$AH$7:$AH$459,"&lt;2001",'[1]ENCUESTA CONDUCTORES'!$AX$7:$AX$459,"&lt;2.01")-AV20-AU20-AT20-AS20-AW19-AV19-AU19-AT19-AS19-AW18-AV18-AU18-AT18-AS18</f>
        <v>2</v>
      </c>
      <c r="AX20" s="249">
        <f>+COUNTIFS('[1]ENCUESTA CONDUCTORES'!$Q$7:$Q$459,"X",'[1]ENCUESTA CONDUCTORES'!$AH$7:$AH$459,"&lt;2006",'[1]ENCUESTA CONDUCTORES'!$AX$7:$AX$459,"&lt;2.01")-AW20-AV20-AU20-AT20-AS20-AX19-AW19-AV19-AU19-AT19-AS19-AX18-AW18-AV18-AU18-AT18-AS18</f>
        <v>0</v>
      </c>
      <c r="AY20" s="249">
        <f>+COUNTIFS('[1]ENCUESTA CONDUCTORES'!$Q$7:$Q$459,"X",'[1]ENCUESTA CONDUCTORES'!$AH$7:$AH$459,"&lt;2011",'[1]ENCUESTA CONDUCTORES'!$AX$7:$AX$459,"&lt;2.01")-AX20-AW20-AV20-AU20-AT20-AS20-AY19-AX19-AW19-AV19-AU19-AT19-AS19-AY18-AX18-AW18-AV18-AU18-AT18-AS18</f>
        <v>0</v>
      </c>
      <c r="AZ20" s="249">
        <f>+COUNTIFS('[1]ENCUESTA CONDUCTORES'!$Q$7:$Q$459,"X",'[1]ENCUESTA CONDUCTORES'!$AH$7:$AH$459,"&gt;2010",'[1]ENCUESTA CONDUCTORES'!$AX$7:$AX$459,"&lt;2.01")-AZ19-AZ18</f>
        <v>1</v>
      </c>
      <c r="BA20" s="249">
        <f t="shared" si="66"/>
        <v>5</v>
      </c>
      <c r="BD20" s="19" t="s">
        <v>1721</v>
      </c>
      <c r="BE20" s="249">
        <f>+COUNTIFS('[1]ENCUESTA CONDUCTORES'!$S$7:$S$459,"X",'[1]ENCUESTA CONDUCTORES'!$AH$7:$AH$459,"&lt;1980",'[1]ENCUESTA CONDUCTORES'!$AX$7:$AX$459,"&lt;2.01")-BE19-BE18</f>
        <v>0</v>
      </c>
      <c r="BF20" s="249">
        <f>+COUNTIFS('[1]ENCUESTA CONDUCTORES'!$S$7:$S$459,"X",'[1]ENCUESTA CONDUCTORES'!$AH$7:$AH$459,"&lt;1986",'[1]ENCUESTA CONDUCTORES'!$AX$7:$AX$459,"&lt;2.01")-BE20-BE19-BF19-BF18-BE18</f>
        <v>1</v>
      </c>
      <c r="BG20" s="249">
        <f>+COUNTIFS('[1]ENCUESTA CONDUCTORES'!$S$7:$S$459,"X",'[1]ENCUESTA CONDUCTORES'!$AH$7:$AH$459,"&lt;1991",'[1]ENCUESTA CONDUCTORES'!$AX$7:$AX$459,"&lt;2.01")-BF20-BE20-BG19-BF19-BE19-BG18-BF18-BE18</f>
        <v>4</v>
      </c>
      <c r="BH20" s="249">
        <f>+COUNTIFS('[1]ENCUESTA CONDUCTORES'!$S$7:$S$459,"X",'[1]ENCUESTA CONDUCTORES'!$AH$7:$AH$459,"&lt;1996",'[1]ENCUESTA CONDUCTORES'!$AX$7:$AX$459,"&lt;2.01")-BG20-BF20-BE20-BH19-BG19-BF19-BE19-BH18-BG18-BF18-BE18</f>
        <v>4</v>
      </c>
      <c r="BI20" s="249">
        <f>+COUNTIFS('[1]ENCUESTA CONDUCTORES'!$S$7:$S$459,"X",'[1]ENCUESTA CONDUCTORES'!$AH$7:$AH$459,"&lt;2001",'[1]ENCUESTA CONDUCTORES'!$AX$7:$AX$459,"&lt;2.01")-BH20-BG20-BF20-BE20-BI19-BH19-BG19-BF19-BE19-BI18-BH18-BG18-BF18-BE18</f>
        <v>3</v>
      </c>
      <c r="BJ20" s="249">
        <f>+COUNTIFS('[1]ENCUESTA CONDUCTORES'!$S$7:$S$459,"X",'[1]ENCUESTA CONDUCTORES'!$AH$7:$AH$459,"&lt;2006",'[1]ENCUESTA CONDUCTORES'!$AX$7:$AX$459,"&lt;2.01")-BI20-BH20-BG20-BF20-BE20-BJ19-BI19-BH19-BG19-BF19-BE19-BJ18-BI18-BH18-BG18-BF18-BE18</f>
        <v>1</v>
      </c>
      <c r="BK20" s="249">
        <f>+COUNTIFS('[1]ENCUESTA CONDUCTORES'!$S$7:$S$459,"X",'[1]ENCUESTA CONDUCTORES'!$AH$7:$AH$459,"&lt;2011",'[1]ENCUESTA CONDUCTORES'!$AX$7:$AX$459,"&lt;2.01")-BJ20-BI20-BH20-BG20-BF20-BE20-BK19-BJ19-BI19-BH19-BG19-BF19-BE19-BK18-BJ18-BI18-BH18-BG18-BF18-BE18</f>
        <v>4</v>
      </c>
      <c r="BL20" s="249">
        <f>+COUNTIFS('[1]ENCUESTA CONDUCTORES'!$S$7:$S$459,"X",'[1]ENCUESTA CONDUCTORES'!$AH$7:$AH$459,"&gt;2010",'[1]ENCUESTA CONDUCTORES'!$AX$7:$AX$459,"&lt;2.01")-BL19-BL18</f>
        <v>8</v>
      </c>
      <c r="BM20" s="249">
        <f t="shared" si="67"/>
        <v>25</v>
      </c>
      <c r="BP20" s="19" t="s">
        <v>1721</v>
      </c>
      <c r="BQ20" s="249">
        <f>+COUNTIFS('[1]ENCUESTA CONDUCTORES'!$S$7:$S$459,"X",'[1]ENCUESTA CONDUCTORES'!$AH$7:$AH$459,"&lt;1980",'[1]ENCUESTA CONDUCTORES'!$AX$7:$AX$459,"&lt;2.01")-BQ19-BQ18</f>
        <v>0</v>
      </c>
      <c r="BR20" s="249">
        <f>+COUNTIFS('[1]ENCUESTA CONDUCTORES'!$S$7:$S$459,"X",'[1]ENCUESTA CONDUCTORES'!$AH$7:$AH$459,"&lt;1986",'[1]ENCUESTA CONDUCTORES'!$AX$7:$AX$459,"&lt;2.01")-BQ20-BQ19-BR19-BR18-BQ18</f>
        <v>1</v>
      </c>
      <c r="BS20" s="249">
        <f>+COUNTIFS('[1]ENCUESTA CONDUCTORES'!$S$7:$S$459,"X",'[1]ENCUESTA CONDUCTORES'!$AH$7:$AH$459,"&lt;1991",'[1]ENCUESTA CONDUCTORES'!$AX$7:$AX$459,"&lt;2.01")-BR20-BQ20-BS19-BR19-BQ19-BS18-BR18-BQ18</f>
        <v>4</v>
      </c>
      <c r="BT20" s="249">
        <f>+COUNTIFS('[1]ENCUESTA CONDUCTORES'!$S$7:$S$459,"X",'[1]ENCUESTA CONDUCTORES'!$AH$7:$AH$459,"&lt;1996",'[1]ENCUESTA CONDUCTORES'!$AX$7:$AX$459,"&lt;2.01")-BS20-BR20-BQ20-BT19-BS19-BR19-BQ19-BT18-BS18-BR18-BQ18</f>
        <v>4</v>
      </c>
      <c r="BU20" s="249">
        <f>+COUNTIFS('[1]ENCUESTA CONDUCTORES'!$S$7:$S$459,"X",'[1]ENCUESTA CONDUCTORES'!$AH$7:$AH$459,"&lt;2001",'[1]ENCUESTA CONDUCTORES'!$AX$7:$AX$459,"&lt;2.01")-BT20-BS20-BR20-BQ20-BU19-BT19-BS19-BR19-BQ19-BU18-BT18-BS18-BR18-BQ18</f>
        <v>3</v>
      </c>
      <c r="BV20" s="249">
        <f>+COUNTIFS('[1]ENCUESTA CONDUCTORES'!$S$7:$S$459,"X",'[1]ENCUESTA CONDUCTORES'!$AH$7:$AH$459,"&lt;2006",'[1]ENCUESTA CONDUCTORES'!$AX$7:$AX$459,"&lt;2.01")-BU20-BT20-BS20-BR20-BQ20-BV19-BU19-BT19-BS19-BR19-BQ19-BV18-BU18-BT18-BS18-BR18-BQ18</f>
        <v>1</v>
      </c>
      <c r="BW20" s="249">
        <f>+COUNTIFS('[1]ENCUESTA CONDUCTORES'!$S$7:$S$459,"X",'[1]ENCUESTA CONDUCTORES'!$AH$7:$AH$459,"&lt;2011",'[1]ENCUESTA CONDUCTORES'!$AX$7:$AX$459,"&lt;2.01")-BV20-BU20-BT20-BS20-BR20-BQ20-BW19-BV19-BU19-BT19-BS19-BR19-BQ19-BW18-BV18-BU18-BT18-BS18-BR18-BQ18</f>
        <v>4</v>
      </c>
      <c r="BX20" s="249">
        <f>+COUNTIFS('[1]ENCUESTA CONDUCTORES'!$S$7:$S$459,"X",'[1]ENCUESTA CONDUCTORES'!$AH$7:$AH$459,"&gt;2010",'[1]ENCUESTA CONDUCTORES'!$AX$7:$AX$459,"&lt;2.01")-BX19-BX18</f>
        <v>8</v>
      </c>
      <c r="BY20" s="249">
        <f t="shared" si="68"/>
        <v>25</v>
      </c>
      <c r="CA20" s="249">
        <v>1997</v>
      </c>
      <c r="CB20" s="144">
        <f>AVERAGEIFS('DATOS 2'!$F$5:$F$1437,'DATOS 2'!$D$5:$D$1437,CA20)</f>
        <v>2.770731707317073</v>
      </c>
      <c r="CC20" s="144">
        <f>AVERAGEIFS('DATOS 2'!$G$5:$G$1437,'DATOS 2'!$D$5:$D$1437,CA20)</f>
        <v>3.2512195121951217</v>
      </c>
      <c r="CD20" s="138">
        <f>AVERAGEIFS('DATOS 2'!$E$5:$E$1437,'DATOS 2'!$D$5:$D$1437,CA20)</f>
        <v>949324.59459459456</v>
      </c>
      <c r="CF20" s="9" t="s">
        <v>1884</v>
      </c>
      <c r="CG20" s="160">
        <f>AVERAGEIFS('DATOS 2'!$F$5:$F$1437,'DATOS 2'!$C$5:$C$1437,"C3",'DATOS 2'!$H$5:$H$1437,"D",'DATOS 2'!$D$5:$D$1437,"&gt;2010")</f>
        <v>2.3272727272727272</v>
      </c>
      <c r="CH20" s="160">
        <f>AVERAGEIFS('DATOS 2'!$G$5:$G$1437,'DATOS 2'!$C$5:$C$1437,"C3",'DATOS 2'!$H$5:$H$1437,"D",'DATOS 2'!$D$5:$D$1437,"&gt;2010")</f>
        <v>2.6999999999999997</v>
      </c>
      <c r="CS20" s="249">
        <v>7</v>
      </c>
      <c r="CT20" s="6">
        <f t="shared" si="52"/>
        <v>2.9649595687331536E-2</v>
      </c>
      <c r="CU20" s="6">
        <f t="shared" si="53"/>
        <v>8.8235294117647065E-2</v>
      </c>
      <c r="CV20" s="249">
        <f>COUNTIF('DATOS 1'!$AQ$51:$AQ$427,'FORMULAS PLUS'!CS20)</f>
        <v>11</v>
      </c>
      <c r="CW20" s="249">
        <f>COUNTIF('DATOS 1'!$AQ$7:$AQ$40,'FORMULAS PLUS'!CS20)</f>
        <v>3</v>
      </c>
      <c r="CX20" s="249"/>
      <c r="DB20" s="11">
        <f t="shared" si="63"/>
        <v>31</v>
      </c>
      <c r="DC20" s="9">
        <v>1983</v>
      </c>
      <c r="DD20" s="6">
        <f t="shared" si="60"/>
        <v>1.2732615083251714E-2</v>
      </c>
      <c r="DE20" s="6">
        <f t="shared" si="61"/>
        <v>2.4271844660194173E-3</v>
      </c>
      <c r="DF20" s="249">
        <f t="shared" si="14"/>
        <v>14</v>
      </c>
      <c r="DG20" s="249">
        <f>COUNTIFS('DATOS 2'!$K$5:$K$1437,"HC",'DATOS 2'!$D$5:$D$1437,DC20)</f>
        <v>13</v>
      </c>
      <c r="DH20" s="249">
        <f>COUNTIFS('DATOS 2'!$K$5:$K$1437,"PT",'DATOS 2'!$D$5:$D$1437,DC20)</f>
        <v>1</v>
      </c>
      <c r="DJ20" s="11" t="s">
        <v>715</v>
      </c>
      <c r="DK20" s="156">
        <f t="shared" si="58"/>
        <v>1</v>
      </c>
      <c r="DL20" s="156">
        <f t="shared" si="59"/>
        <v>1</v>
      </c>
      <c r="DM20" s="249">
        <f>SUM(DM14:DM19)</f>
        <v>288</v>
      </c>
      <c r="DN20" s="249">
        <f>SUM(DN14:DN19)</f>
        <v>692</v>
      </c>
      <c r="DP20" s="112" t="s">
        <v>2411</v>
      </c>
      <c r="DQ20" s="6">
        <f t="shared" si="72"/>
        <v>1</v>
      </c>
      <c r="DR20" s="6">
        <f t="shared" si="73"/>
        <v>1</v>
      </c>
      <c r="DS20" s="249">
        <f>SUM(DS18:DS19)</f>
        <v>38</v>
      </c>
      <c r="DT20" s="249">
        <f>SUM(DT18:DT19)</f>
        <v>381</v>
      </c>
      <c r="DV20" s="11" t="s">
        <v>953</v>
      </c>
      <c r="DW20" s="6">
        <f t="shared" ref="DW20:EE20" si="75">+DW8/$EF$11</f>
        <v>1.6197183098591549E-2</v>
      </c>
      <c r="DX20" s="6">
        <f t="shared" si="75"/>
        <v>1.7605633802816902E-2</v>
      </c>
      <c r="DY20" s="6">
        <f t="shared" si="75"/>
        <v>2.6760563380281689E-2</v>
      </c>
      <c r="DZ20" s="6">
        <f t="shared" si="75"/>
        <v>0.05</v>
      </c>
      <c r="EA20" s="6">
        <f t="shared" si="75"/>
        <v>0.12605633802816901</v>
      </c>
      <c r="EB20" s="6">
        <f t="shared" si="75"/>
        <v>1.9718309859154931E-2</v>
      </c>
      <c r="EC20" s="6">
        <f t="shared" si="75"/>
        <v>2.464788732394366E-2</v>
      </c>
      <c r="ED20" s="6">
        <f t="shared" si="75"/>
        <v>9.1549295774647887E-3</v>
      </c>
      <c r="EE20" s="6">
        <f t="shared" si="75"/>
        <v>0</v>
      </c>
      <c r="EF20" s="6">
        <f t="shared" si="70"/>
        <v>0.29014084507042254</v>
      </c>
    </row>
    <row r="21" spans="2:140" x14ac:dyDescent="0.25">
      <c r="B21" s="112" t="s">
        <v>715</v>
      </c>
      <c r="C21" s="6">
        <f t="shared" si="55"/>
        <v>1</v>
      </c>
      <c r="D21" s="6">
        <f t="shared" si="56"/>
        <v>1</v>
      </c>
      <c r="E21" s="249">
        <f>SUM(E15:E20)</f>
        <v>377</v>
      </c>
      <c r="F21" s="249">
        <f>SUM(F15:F20)</f>
        <v>34</v>
      </c>
      <c r="J21" s="11" t="s">
        <v>396</v>
      </c>
      <c r="L21" s="138">
        <f>COUNTIF('DATOS 2'!$J$5:$J$1437,"NO CONTESTA")</f>
        <v>6</v>
      </c>
      <c r="Q21" s="11"/>
      <c r="R21" s="9"/>
      <c r="S21" s="249" t="s">
        <v>1716</v>
      </c>
      <c r="T21" s="249">
        <f>COUNTIFS('[1]ENCUESTA CONDUCTORES'!$AH$7:$AH$459,"&lt;1980",'[1]ENCUESTA CONDUCTORES'!$AI$7:$AI$459,"&lt;500001")-T20</f>
        <v>0</v>
      </c>
      <c r="U21" s="249">
        <f>COUNTIFS('[1]ENCUESTA CONDUCTORES'!$AH$7:$AH$459,"&lt;1986",'[1]ENCUESTA CONDUCTORES'!$AI$7:$AI$459,"&lt;500001")-T21-U20-T20</f>
        <v>0</v>
      </c>
      <c r="V21" s="249">
        <f>COUNTIFS('[1]ENCUESTA CONDUCTORES'!$AH$7:$AH$459,"&lt;1991",'[1]ENCUESTA CONDUCTORES'!$AI$7:$AI$459,"&lt;500001")-U21-T21-V20-U20-T20</f>
        <v>2</v>
      </c>
      <c r="W21" s="249">
        <f>COUNTIFS('[1]ENCUESTA CONDUCTORES'!$AH$7:$AH$459,"&lt;1996",'[1]ENCUESTA CONDUCTORES'!$AI$7:$AI$459,"&lt;500001")-V21-U21-T21-W20-V20-U20-T20</f>
        <v>1</v>
      </c>
      <c r="X21" s="249">
        <f>COUNTIFS('[1]ENCUESTA CONDUCTORES'!$AH$7:$AH$459,"&lt;2001",'[1]ENCUESTA CONDUCTORES'!$AI$7:$AI$459,"&lt;500001")-W21-V21-U21-T21-X20-W20-V20-U20-T20</f>
        <v>1</v>
      </c>
      <c r="Y21" s="249">
        <f>COUNTIFS('[1]ENCUESTA CONDUCTORES'!$AH$7:$AH$459,"&lt;2006",'[1]ENCUESTA CONDUCTORES'!$AI$7:$AI$459,"&lt;500001")-X21-W21-V21-U21-T21-Y20-X20-W20-V20-U20-T20</f>
        <v>10</v>
      </c>
      <c r="Z21" s="249">
        <f>COUNTIFS('[1]ENCUESTA CONDUCTORES'!$AH$7:$AH$459,"&lt;2011",'[1]ENCUESTA CONDUCTORES'!$AI$7:$AI$459,"&lt;500001")-Y21-X21-W21-V21-U21-T21-Z20-Y20-X20-W20-V20-U20-T20</f>
        <v>36</v>
      </c>
      <c r="AA21" s="249">
        <f>COUNTIFS('[1]ENCUESTA CONDUCTORES'!$AH$7:$AH$459,"&gt;2010",'[1]ENCUESTA CONDUCTORES'!$AI$7:$AI$459,"&lt;500001")-AA20</f>
        <v>17</v>
      </c>
      <c r="AB21" s="249">
        <f t="shared" si="71"/>
        <v>67</v>
      </c>
      <c r="AC21" s="249">
        <v>67</v>
      </c>
      <c r="AF21" s="19" t="s">
        <v>1722</v>
      </c>
      <c r="AG21" s="249">
        <f>+COUNTIFS('[1]ENCUESTA CONDUCTORES'!$Q$7:$Q$459,"X",'[1]ENCUESTA CONDUCTORES'!$AH$7:$AH$459,"&lt;1980",'[1]ENCUESTA CONDUCTORES'!$AX$7:$AX$459,"&lt;2.21")-AG20-AG19-AG18</f>
        <v>1</v>
      </c>
      <c r="AH21" s="249">
        <f>+COUNTIFS('[1]ENCUESTA CONDUCTORES'!$Q$7:$Q$459,"X",'[1]ENCUESTA CONDUCTORES'!$AH$7:$AH$459,"&lt;1986",'[1]ENCUESTA CONDUCTORES'!$AX$7:$AX$459,"&lt;2.21")-AG21-AG20-AH20-AH19-AG19-AH18-AG18</f>
        <v>1</v>
      </c>
      <c r="AI21" s="249">
        <f>+COUNTIFS('[1]ENCUESTA CONDUCTORES'!$Q$7:$Q$459,"X",'[1]ENCUESTA CONDUCTORES'!$AH$7:$AH$459,"&lt;1991",'[1]ENCUESTA CONDUCTORES'!$AX$7:$AX$459,"&lt;2.21")-AH21-AG21-AI20-AH20-AG20-AI19-AH19-AG19-AI18-AH18-AG18</f>
        <v>1</v>
      </c>
      <c r="AJ21" s="249">
        <f>+COUNTIFS('[1]ENCUESTA CONDUCTORES'!$Q$7:$Q$459,"X",'[1]ENCUESTA CONDUCTORES'!$AH$7:$AH$459,"&lt;1996",'[1]ENCUESTA CONDUCTORES'!$AX$7:$AX$459,"&lt;2.21")-AI21-AH21-AG21-AJ20-AI20-AH20-AG20-AJ19-AI19-AH19-AG19-AJ18-AH18-AI18-AG18</f>
        <v>1</v>
      </c>
      <c r="AK21" s="249">
        <f>+COUNTIFS('[1]ENCUESTA CONDUCTORES'!$Q$7:$Q$459,"X",'[1]ENCUESTA CONDUCTORES'!$AH$7:$AH$459,"&lt;2001",'[1]ENCUESTA CONDUCTORES'!$AX$7:$AX$459,"&lt;2.21")-AJ21-AI21-AH21-AG21-AK20-AJ20-AI20-AH20-AG20-AK19-AJ19-AI19-AH19-AG19-AK18-AJ18-AI18-AH18-AG18</f>
        <v>0</v>
      </c>
      <c r="AL21" s="249">
        <f>+COUNTIFS('[1]ENCUESTA CONDUCTORES'!$Q$7:$Q$459,"X",'[1]ENCUESTA CONDUCTORES'!$AH$7:$AH$459,"&lt;2006",'[1]ENCUESTA CONDUCTORES'!$AX$7:$AX$459,"&lt;2.21")-AK21-AJ21-AI21-AH21-AG21-AL20-AK20-AJ20-AI20-AH20-AG20-AL19-AK19-AJ19-AI19-AH19-AG19-AL18-AK18-AJ18-AI18-AH18-AG18</f>
        <v>2</v>
      </c>
      <c r="AM21" s="249">
        <f>+COUNTIFS('[1]ENCUESTA CONDUCTORES'!$Q$7:$Q$459,"X",'[1]ENCUESTA CONDUCTORES'!$AH$7:$AH$459,"&lt;2011",'[1]ENCUESTA CONDUCTORES'!$AX$7:$AX$459,"&lt;2.21")-AL21-AK21-AJ21-AI21-AH21-AG21-AM20-AL20-AK20-AJ20-AI20-AH20-AG20-AM19-AL19-AK19-AJ19-AI19-AH19-AG19-AM18-AL18-AK18-AJ18-AI18-AH18-AG18</f>
        <v>2</v>
      </c>
      <c r="AN21" s="249">
        <f>+COUNTIFS('[1]ENCUESTA CONDUCTORES'!$Q$7:$Q$459,"X",'[1]ENCUESTA CONDUCTORES'!$AH$7:$AH$459,"&gt;2010",'[1]ENCUESTA CONDUCTORES'!$AX$7:$AX$459,"&lt;2.21")-AN20-AN19-AN18</f>
        <v>0</v>
      </c>
      <c r="AO21" s="249">
        <f t="shared" si="65"/>
        <v>8</v>
      </c>
      <c r="AR21" s="19" t="s">
        <v>1722</v>
      </c>
      <c r="AS21" s="249">
        <f>+COUNTIFS('[1]ENCUESTA CONDUCTORES'!$Q$7:$Q$459,"X",'[1]ENCUESTA CONDUCTORES'!$AH$7:$AH$459,"&lt;1980",'[1]ENCUESTA CONDUCTORES'!$AX$7:$AX$459,"&lt;2.21")-AS20-AS19-AS18</f>
        <v>1</v>
      </c>
      <c r="AT21" s="249">
        <f>+COUNTIFS('[1]ENCUESTA CONDUCTORES'!$Q$7:$Q$459,"X",'[1]ENCUESTA CONDUCTORES'!$AH$7:$AH$459,"&lt;1986",'[1]ENCUESTA CONDUCTORES'!$AX$7:$AX$459,"&lt;2.21")-AS21-AS20-AT20-AT19-AS19-AT18-AS18</f>
        <v>1</v>
      </c>
      <c r="AU21" s="249">
        <f>+COUNTIFS('[1]ENCUESTA CONDUCTORES'!$Q$7:$Q$459,"X",'[1]ENCUESTA CONDUCTORES'!$AH$7:$AH$459,"&lt;1991",'[1]ENCUESTA CONDUCTORES'!$AX$7:$AX$459,"&lt;2.21")-AT21-AS21-AU20-AT20-AS20-AU19-AT19-AS19-AU18-AT18-AS18</f>
        <v>1</v>
      </c>
      <c r="AV21" s="249">
        <f>+COUNTIFS('[1]ENCUESTA CONDUCTORES'!$Q$7:$Q$459,"X",'[1]ENCUESTA CONDUCTORES'!$AH$7:$AH$459,"&lt;1996",'[1]ENCUESTA CONDUCTORES'!$AX$7:$AX$459,"&lt;2.21")-AU21-AT21-AS21-AV20-AU20-AT20-AS20-AV19-AU19-AT19-AS19-AV18-AT18-AU18-AS18</f>
        <v>1</v>
      </c>
      <c r="AW21" s="249">
        <f>+COUNTIFS('[1]ENCUESTA CONDUCTORES'!$Q$7:$Q$459,"X",'[1]ENCUESTA CONDUCTORES'!$AH$7:$AH$459,"&lt;2001",'[1]ENCUESTA CONDUCTORES'!$AX$7:$AX$459,"&lt;2.21")-AV21-AU21-AT21-AS21-AW20-AV20-AU20-AT20-AS20-AW19-AV19-AU19-AT19-AS19-AW18-AV18-AU18-AT18-AS18</f>
        <v>0</v>
      </c>
      <c r="AX21" s="249">
        <f>+COUNTIFS('[1]ENCUESTA CONDUCTORES'!$Q$7:$Q$459,"X",'[1]ENCUESTA CONDUCTORES'!$AH$7:$AH$459,"&lt;2006",'[1]ENCUESTA CONDUCTORES'!$AX$7:$AX$459,"&lt;2.21")-AW21-AV21-AU21-AT21-AS21-AX20-AW20-AV20-AU20-AT20-AS20-AX19-AW19-AV19-AU19-AT19-AS19-AX18-AW18-AV18-AU18-AT18-AS18</f>
        <v>2</v>
      </c>
      <c r="AY21" s="249">
        <f>+COUNTIFS('[1]ENCUESTA CONDUCTORES'!$Q$7:$Q$459,"X",'[1]ENCUESTA CONDUCTORES'!$AH$7:$AH$459,"&lt;2011",'[1]ENCUESTA CONDUCTORES'!$AX$7:$AX$459,"&lt;2.21")-AX21-AW21-AV21-AU21-AT21-AS21-AY20-AX20-AW20-AV20-AU20-AT20-AS20-AY19-AX19-AW19-AV19-AU19-AT19-AS19-AY18-AX18-AW18-AV18-AU18-AT18-AS18</f>
        <v>2</v>
      </c>
      <c r="AZ21" s="249">
        <f>+COUNTIFS('[1]ENCUESTA CONDUCTORES'!$Q$7:$Q$459,"X",'[1]ENCUESTA CONDUCTORES'!$AH$7:$AH$459,"&gt;2010",'[1]ENCUESTA CONDUCTORES'!$AX$7:$AX$459,"&lt;2.21")-AZ20-AZ19-AZ18</f>
        <v>0</v>
      </c>
      <c r="BA21" s="249">
        <f t="shared" si="66"/>
        <v>8</v>
      </c>
      <c r="BD21" s="19" t="s">
        <v>1722</v>
      </c>
      <c r="BE21" s="249">
        <f>+COUNTIFS('[1]ENCUESTA CONDUCTORES'!$S$7:$S$459,"X",'[1]ENCUESTA CONDUCTORES'!$AH$7:$AH$459,"&lt;1980",'[1]ENCUESTA CONDUCTORES'!$AX$7:$AX$459,"&lt;2.21")-BE20-BE19-BE18</f>
        <v>0</v>
      </c>
      <c r="BF21" s="249">
        <f>+COUNTIFS('[1]ENCUESTA CONDUCTORES'!$S$7:$S$459,"X",'[1]ENCUESTA CONDUCTORES'!$AH$7:$AH$459,"&lt;1986",'[1]ENCUESTA CONDUCTORES'!$AX$7:$AX$459,"&lt;2.21")-BE21-BE20-BF20-BF19-BE19-BF18-BE18</f>
        <v>0</v>
      </c>
      <c r="BG21" s="249">
        <f>+COUNTIFS('[1]ENCUESTA CONDUCTORES'!$S$7:$S$459,"X",'[1]ENCUESTA CONDUCTORES'!$AH$7:$AH$459,"&lt;1991",'[1]ENCUESTA CONDUCTORES'!$AX$7:$AX$459,"&lt;2.21")-BF21-BE21-BG20-BF20-BE20-BG19-BF19-BE19-BG18-BF18-BE18</f>
        <v>1</v>
      </c>
      <c r="BH21" s="249">
        <f>+COUNTIFS('[1]ENCUESTA CONDUCTORES'!$S$7:$S$459,"X",'[1]ENCUESTA CONDUCTORES'!$AH$7:$AH$459,"&lt;1996",'[1]ENCUESTA CONDUCTORES'!$AX$7:$AX$459,"&lt;2.21")-BG21-BF21-BE21-BH20-BG20-BF20-BE20-BH19-BG19-BF19-BE19-BH18-BF18-BG18-BE18</f>
        <v>1</v>
      </c>
      <c r="BI21" s="249">
        <f>+COUNTIFS('[1]ENCUESTA CONDUCTORES'!$S$7:$S$459,"X",'[1]ENCUESTA CONDUCTORES'!$AH$7:$AH$459,"&lt;2001",'[1]ENCUESTA CONDUCTORES'!$AX$7:$AX$459,"&lt;2.21")-BH21-BG21-BF21-BE21-BI20-BH20-BG20-BF20-BE20-BI19-BH19-BG19-BF19-BE19-BI18-BH18-BG18-BF18-BE18</f>
        <v>4</v>
      </c>
      <c r="BJ21" s="249">
        <f>+COUNTIFS('[1]ENCUESTA CONDUCTORES'!$S$7:$S$459,"X",'[1]ENCUESTA CONDUCTORES'!$AH$7:$AH$459,"&lt;2006",'[1]ENCUESTA CONDUCTORES'!$AX$7:$AX$459,"&lt;2.21")-BI21-BH21-BG21-BF21-BE21-BJ20-BI20-BH20-BG20-BF20-BE20-BJ19-BI19-BH19-BG19-BF19-BE19-BJ18-BI18-BH18-BG18-BF18-BE18</f>
        <v>5</v>
      </c>
      <c r="BK21" s="249">
        <f>+COUNTIFS('[1]ENCUESTA CONDUCTORES'!$S$7:$S$459,"X",'[1]ENCUESTA CONDUCTORES'!$AH$7:$AH$459,"&lt;2011",'[1]ENCUESTA CONDUCTORES'!$AX$7:$AX$459,"&lt;2.21")-BJ21-BI21-BH21-BG21-BF21-BE21-BK20-BJ20-BI20-BH20-BG20-BF20-BE20-BK19-BJ19-BI19-BH19-BG19-BF19-BE19-BK18-BJ18-BI18-BH18-BG18-BF18-BE18</f>
        <v>5</v>
      </c>
      <c r="BL21" s="249">
        <f>+COUNTIFS('[1]ENCUESTA CONDUCTORES'!$S$7:$S$459,"X",'[1]ENCUESTA CONDUCTORES'!$AH$7:$AH$459,"&gt;2010",'[1]ENCUESTA CONDUCTORES'!$AX$7:$AX$459,"&lt;2.21")-BL20-BL19-BL18</f>
        <v>1</v>
      </c>
      <c r="BM21" s="249">
        <f t="shared" si="67"/>
        <v>17</v>
      </c>
      <c r="BP21" s="19" t="s">
        <v>1722</v>
      </c>
      <c r="BQ21" s="249">
        <f>+COUNTIFS('[1]ENCUESTA CONDUCTORES'!$S$7:$S$459,"X",'[1]ENCUESTA CONDUCTORES'!$AH$7:$AH$459,"&lt;1980",'[1]ENCUESTA CONDUCTORES'!$AX$7:$AX$459,"&lt;2.21")-BQ20-BQ19-BQ18</f>
        <v>0</v>
      </c>
      <c r="BR21" s="249">
        <f>+COUNTIFS('[1]ENCUESTA CONDUCTORES'!$S$7:$S$459,"X",'[1]ENCUESTA CONDUCTORES'!$AH$7:$AH$459,"&lt;1986",'[1]ENCUESTA CONDUCTORES'!$AX$7:$AX$459,"&lt;2.21")-BQ21-BQ20-BR20-BR19-BQ19-BR18-BQ18</f>
        <v>0</v>
      </c>
      <c r="BS21" s="249">
        <f>+COUNTIFS('[1]ENCUESTA CONDUCTORES'!$S$7:$S$459,"X",'[1]ENCUESTA CONDUCTORES'!$AH$7:$AH$459,"&lt;1991",'[1]ENCUESTA CONDUCTORES'!$AX$7:$AX$459,"&lt;2.21")-BR21-BQ21-BS20-BR20-BQ20-BS19-BR19-BQ19-BS18-BR18-BQ18</f>
        <v>1</v>
      </c>
      <c r="BT21" s="249">
        <f>+COUNTIFS('[1]ENCUESTA CONDUCTORES'!$S$7:$S$459,"X",'[1]ENCUESTA CONDUCTORES'!$AH$7:$AH$459,"&lt;1996",'[1]ENCUESTA CONDUCTORES'!$AX$7:$AX$459,"&lt;2.21")-BS21-BR21-BQ21-BT20-BS20-BR20-BQ20-BT19-BS19-BR19-BQ19-BT18-BR18-BS18-BQ18</f>
        <v>1</v>
      </c>
      <c r="BU21" s="249">
        <f>+COUNTIFS('[1]ENCUESTA CONDUCTORES'!$S$7:$S$459,"X",'[1]ENCUESTA CONDUCTORES'!$AH$7:$AH$459,"&lt;2001",'[1]ENCUESTA CONDUCTORES'!$AX$7:$AX$459,"&lt;2.21")-BT21-BS21-BR21-BQ21-BU20-BT20-BS20-BR20-BQ20-BU19-BT19-BS19-BR19-BQ19-BU18-BT18-BS18-BR18-BQ18</f>
        <v>4</v>
      </c>
      <c r="BV21" s="249">
        <f>+COUNTIFS('[1]ENCUESTA CONDUCTORES'!$S$7:$S$459,"X",'[1]ENCUESTA CONDUCTORES'!$AH$7:$AH$459,"&lt;2006",'[1]ENCUESTA CONDUCTORES'!$AX$7:$AX$459,"&lt;2.21")-BU21-BT21-BS21-BR21-BQ21-BV20-BU20-BT20-BS20-BR20-BQ20-BV19-BU19-BT19-BS19-BR19-BQ19-BV18-BU18-BT18-BS18-BR18-BQ18</f>
        <v>5</v>
      </c>
      <c r="BW21" s="249">
        <f>+COUNTIFS('[1]ENCUESTA CONDUCTORES'!$S$7:$S$459,"X",'[1]ENCUESTA CONDUCTORES'!$AH$7:$AH$459,"&lt;2011",'[1]ENCUESTA CONDUCTORES'!$AX$7:$AX$459,"&lt;2.21")-BV21-BU21-BT21-BS21-BR21-BQ21-BW20-BV20-BU20-BT20-BS20-BR20-BQ20-BW19-BV19-BU19-BT19-BS19-BR19-BQ19-BW18-BV18-BU18-BT18-BS18-BR18-BQ18</f>
        <v>5</v>
      </c>
      <c r="BX21" s="249">
        <f>+COUNTIFS('[1]ENCUESTA CONDUCTORES'!$S$7:$S$459,"X",'[1]ENCUESTA CONDUCTORES'!$AH$7:$AH$459,"&gt;2010",'[1]ENCUESTA CONDUCTORES'!$AX$7:$AX$459,"&lt;2.21")-BX20-BX19-BX18</f>
        <v>1</v>
      </c>
      <c r="BY21" s="249">
        <f t="shared" si="68"/>
        <v>17</v>
      </c>
      <c r="CA21" s="249">
        <v>1998</v>
      </c>
      <c r="CB21" s="144">
        <f>AVERAGEIFS('DATOS 2'!$F$5:$F$1437,'DATOS 2'!$D$5:$D$1437,CA21)</f>
        <v>2.4163265306122446</v>
      </c>
      <c r="CC21" s="144">
        <f>AVERAGEIFS('DATOS 2'!$G$5:$G$1437,'DATOS 2'!$D$5:$D$1437,CA21)</f>
        <v>2.8489795918367347</v>
      </c>
      <c r="CD21" s="138">
        <f>AVERAGEIFS('DATOS 2'!$E$5:$E$1437,'DATOS 2'!$D$5:$D$1437,CA21)</f>
        <v>1111254.9333333333</v>
      </c>
      <c r="CS21" s="249">
        <v>8</v>
      </c>
      <c r="CT21" s="6">
        <f t="shared" si="52"/>
        <v>4.8517520215633422E-2</v>
      </c>
      <c r="CU21" s="6">
        <f t="shared" si="53"/>
        <v>2.9411764705882353E-2</v>
      </c>
      <c r="CV21" s="249">
        <f>COUNTIF('DATOS 1'!$AQ$51:$AQ$427,'FORMULAS PLUS'!CS21)</f>
        <v>18</v>
      </c>
      <c r="CW21" s="249">
        <f>COUNTIF('DATOS 1'!$AQ$7:$AQ$40,'FORMULAS PLUS'!CS21)</f>
        <v>1</v>
      </c>
      <c r="CX21" s="249"/>
      <c r="DB21" s="11">
        <f t="shared" si="63"/>
        <v>30</v>
      </c>
      <c r="DC21" s="9">
        <v>1984</v>
      </c>
      <c r="DD21" s="6">
        <f t="shared" si="60"/>
        <v>7.8354554358472089E-3</v>
      </c>
      <c r="DE21" s="6">
        <f t="shared" si="61"/>
        <v>1.2135922330097087E-2</v>
      </c>
      <c r="DF21" s="249">
        <f t="shared" si="14"/>
        <v>13</v>
      </c>
      <c r="DG21" s="249">
        <f>COUNTIFS('DATOS 2'!$K$5:$K$1437,"HC",'DATOS 2'!$D$5:$D$1437,DC21)</f>
        <v>8</v>
      </c>
      <c r="DH21" s="249">
        <f>COUNTIFS('DATOS 2'!$K$5:$K$1437,"PT",'DATOS 2'!$D$5:$D$1437,DC21)</f>
        <v>5</v>
      </c>
      <c r="DN21" s="17">
        <f>+DN20+DM20</f>
        <v>980</v>
      </c>
      <c r="DV21" s="11" t="s">
        <v>2376</v>
      </c>
      <c r="DW21" s="6">
        <f t="shared" ref="DW21:EE21" si="76">+DW9/$EF$11</f>
        <v>7.0422535211267609E-4</v>
      </c>
      <c r="DX21" s="6">
        <f t="shared" si="76"/>
        <v>4.2253521126760559E-3</v>
      </c>
      <c r="DY21" s="6">
        <f t="shared" si="76"/>
        <v>1.4084507042253522E-3</v>
      </c>
      <c r="DZ21" s="6">
        <f t="shared" si="76"/>
        <v>1.4084507042253522E-3</v>
      </c>
      <c r="EA21" s="6">
        <f t="shared" si="76"/>
        <v>1.8309859154929577E-2</v>
      </c>
      <c r="EB21" s="6">
        <f t="shared" si="76"/>
        <v>1.4084507042253522E-3</v>
      </c>
      <c r="EC21" s="6">
        <f t="shared" si="76"/>
        <v>1.4084507042253522E-3</v>
      </c>
      <c r="ED21" s="6">
        <f t="shared" si="76"/>
        <v>0</v>
      </c>
      <c r="EE21" s="6">
        <f t="shared" si="76"/>
        <v>0</v>
      </c>
      <c r="EF21" s="6">
        <f t="shared" si="70"/>
        <v>2.8873239436619721E-2</v>
      </c>
    </row>
    <row r="22" spans="2:140" x14ac:dyDescent="0.25">
      <c r="J22" s="11" t="s">
        <v>480</v>
      </c>
      <c r="L22" s="138">
        <f>COUNTIF('DATOS 2'!$J$5:$J$1437,"VARIABLE")</f>
        <v>6</v>
      </c>
      <c r="Q22" s="11"/>
      <c r="R22" s="9"/>
      <c r="S22" s="249" t="s">
        <v>1713</v>
      </c>
      <c r="T22" s="249">
        <f>COUNTIFS('[1]ENCUESTA CONDUCTORES'!$AH$7:$AH$459,"&lt;1980",'[1]ENCUESTA CONDUCTORES'!$AI$7:$AI$459,"&lt;1000001")-T21-T20</f>
        <v>2</v>
      </c>
      <c r="U22" s="249">
        <f>COUNTIFS('[1]ENCUESTA CONDUCTORES'!$AH$7:$AH$459,"&lt;1986",'[1]ENCUESTA CONDUCTORES'!$AI$7:$AI$459,"&lt;1000001")-T22-U21-T21-U20-T20</f>
        <v>1</v>
      </c>
      <c r="V22" s="249">
        <f>COUNTIFS('[1]ENCUESTA CONDUCTORES'!$AH$7:$AH$459,"&lt;1991",'[1]ENCUESTA CONDUCTORES'!$AI$7:$AI$459,"&lt;1000001")-U22-T22-V21-U21-T21-V20-U20-T20</f>
        <v>11</v>
      </c>
      <c r="W22" s="249">
        <f>COUNTIFS('[1]ENCUESTA CONDUCTORES'!$AH$7:$AH$459,"&lt;1996",'[1]ENCUESTA CONDUCTORES'!$AI$7:$AI$459,"&lt;1000001")-V22-U22-T22-W21-V21-U21-T21-W20-V20-U20-T20</f>
        <v>7</v>
      </c>
      <c r="X22" s="249">
        <f>COUNTIFS('[1]ENCUESTA CONDUCTORES'!$AH$7:$AH$459,"&lt;2001",'[1]ENCUESTA CONDUCTORES'!$AI$7:$AI$459,"&lt;1000001")-W22-V22-U22-T22-X21-W21-V21-U21-T21-X20-W20-V20-U20-T20</f>
        <v>27</v>
      </c>
      <c r="Y22" s="249">
        <f>COUNTIFS('[1]ENCUESTA CONDUCTORES'!$AH$7:$AH$459,"&lt;2006",'[1]ENCUESTA CONDUCTORES'!$AI$7:$AI$459,"&lt;1000001")-X22-W22-V22-U22-T22-Y21-X21-W21-V21-U21-T21-Y20-X20-W20-V20-U20-T20</f>
        <v>73</v>
      </c>
      <c r="Z22" s="249">
        <f>COUNTIFS('[1]ENCUESTA CONDUCTORES'!$AH$7:$AH$459,"&lt;2011",'[1]ENCUESTA CONDUCTORES'!$AI$7:$AI$459,"&lt;1000001")-Y22-X22-W22-V22-U22-T22-Z21-Y21-X21-W21-V21-U21-T21-Z20-Y20-X20-W20-V20-U20-T20</f>
        <v>75</v>
      </c>
      <c r="AA22" s="249">
        <f>COUNTIFS('[1]ENCUESTA CONDUCTORES'!$AH$7:$AH$459,"&gt;2010",'[1]ENCUESTA CONDUCTORES'!$AI$7:$AI$459,"&lt;1000001")-AA21-AA20</f>
        <v>1</v>
      </c>
      <c r="AB22" s="249">
        <f t="shared" si="71"/>
        <v>197</v>
      </c>
      <c r="AC22" s="249">
        <v>197</v>
      </c>
      <c r="AF22" s="19" t="s">
        <v>1723</v>
      </c>
      <c r="AG22" s="249">
        <f>+COUNTIFS('[1]ENCUESTA CONDUCTORES'!$Q$7:$Q$459,"X",'[1]ENCUESTA CONDUCTORES'!$AH$7:$AH$459,"&lt;1980",'[1]ENCUESTA CONDUCTORES'!$AX$7:$AX$459,"&lt;2.51")-AG21-AG20-AG19-AG18</f>
        <v>1</v>
      </c>
      <c r="AH22" s="249">
        <f>+COUNTIFS('[1]ENCUESTA CONDUCTORES'!$Q$7:$Q$459,"X",'[1]ENCUESTA CONDUCTORES'!$AH$7:$AH$459,"&lt;1986",'[1]ENCUESTA CONDUCTORES'!$AX$7:$AX$459,"&lt;2.51")-AG22-AG21-AH21-AH20-AG20-AH19-AG19-AH18-AG18</f>
        <v>0</v>
      </c>
      <c r="AI22" s="249">
        <f>+COUNTIFS('[1]ENCUESTA CONDUCTORES'!$Q$7:$Q$459,"X",'[1]ENCUESTA CONDUCTORES'!$AH$7:$AH$459,"&lt;1991",'[1]ENCUESTA CONDUCTORES'!$AX$7:$AX$459,"&lt;2.51")-AH22-AG22-AI21-AH21-AG21-AI20-AH20-AG20-AI19-AH19-AG19-AI18-AH18-AG18</f>
        <v>1</v>
      </c>
      <c r="AJ22" s="249">
        <f>+COUNTIFS('[1]ENCUESTA CONDUCTORES'!$Q$7:$Q$459,"X",'[1]ENCUESTA CONDUCTORES'!$AH$7:$AH$459,"&lt;1996",'[1]ENCUESTA CONDUCTORES'!$AX$7:$AX$459,"&lt;2.51")-AI22-AH22-AG22-AJ21-AI21-AH21-AG21-AJ20-AI20-AH20-AG20-AJ19-AI19-AH19-AG19-AJ18-AI18-AH18-AG18</f>
        <v>3</v>
      </c>
      <c r="AK22" s="249">
        <f>+COUNTIFS('[1]ENCUESTA CONDUCTORES'!$Q$7:$Q$459,"X",'[1]ENCUESTA CONDUCTORES'!$AH$7:$AH$459,"&lt;2001",'[1]ENCUESTA CONDUCTORES'!$AX$7:$AX$459,"&lt;2.51")-AJ22-AI22-AH22-AG22-AK21-AJ21-AI21-AH21-AG21-AK20-AJ20-AI20-AH20-AG20-AK19-AJ19-AI19-AH19-AG19-AK18-AJ18-AI18-AH18-AG18</f>
        <v>0</v>
      </c>
      <c r="AL22" s="249">
        <f>+COUNTIFS('[1]ENCUESTA CONDUCTORES'!$Q$7:$Q$459,"X",'[1]ENCUESTA CONDUCTORES'!$AH$7:$AH$459,"&lt;2006",'[1]ENCUESTA CONDUCTORES'!$AX$7:$AX$459,"&lt;2.51")-AK22-AJ22-AI22-AH22-AG22-AL21-AK21-AJ21-AI21-AH21-AG21-AL20-AK20-AJ20-AI20-AH20-AG20-AL19-AK19-AJ19-AI19-AH19-AG19-AL18-AK18-AJ18-AI18-AH18-AG18</f>
        <v>0</v>
      </c>
      <c r="AM22" s="249">
        <f>+COUNTIFS('[1]ENCUESTA CONDUCTORES'!$Q$7:$Q$459,"X",'[1]ENCUESTA CONDUCTORES'!$AH$7:$AH$459,"&lt;2011",'[1]ENCUESTA CONDUCTORES'!$AX$7:$AX$459,"&lt;2.51")-AL22-AK22-AJ22-AI22-AH22-AG22-AM21-AL21-AK21-AJ21-AI21-AH21-AG21-AM20-AL20-AK20-AJ20-AI20-AH20-AG20-AM19-AL19-AK19-AJ19-AI19-AH19-AG19-AM18-AL18-AK18-AJ18-AI18-AH18-AG18</f>
        <v>1</v>
      </c>
      <c r="AN22" s="249">
        <f>+COUNTIFS('[1]ENCUESTA CONDUCTORES'!$Q$7:$Q$459,"X",'[1]ENCUESTA CONDUCTORES'!$AH$7:$AH$459,"&gt;2010",'[1]ENCUESTA CONDUCTORES'!$AX$7:$AX$459,"&lt;2.51")-AN21-AN20-AN19-AN18</f>
        <v>1</v>
      </c>
      <c r="AO22" s="249">
        <f t="shared" si="65"/>
        <v>7</v>
      </c>
      <c r="AR22" s="19" t="s">
        <v>1723</v>
      </c>
      <c r="AS22" s="249">
        <f>+COUNTIFS('[1]ENCUESTA CONDUCTORES'!$Q$7:$Q$459,"X",'[1]ENCUESTA CONDUCTORES'!$AH$7:$AH$459,"&lt;1980",'[1]ENCUESTA CONDUCTORES'!$AX$7:$AX$459,"&lt;2.51")-AS21-AS20-AS19-AS18</f>
        <v>1</v>
      </c>
      <c r="AT22" s="249">
        <f>+COUNTIFS('[1]ENCUESTA CONDUCTORES'!$Q$7:$Q$459,"X",'[1]ENCUESTA CONDUCTORES'!$AH$7:$AH$459,"&lt;1986",'[1]ENCUESTA CONDUCTORES'!$AX$7:$AX$459,"&lt;2.51")-AS22-AS21-AT21-AT20-AS20-AT19-AS19-AT18-AS18</f>
        <v>0</v>
      </c>
      <c r="AU22" s="249">
        <f>+COUNTIFS('[1]ENCUESTA CONDUCTORES'!$Q$7:$Q$459,"X",'[1]ENCUESTA CONDUCTORES'!$AH$7:$AH$459,"&lt;1991",'[1]ENCUESTA CONDUCTORES'!$AX$7:$AX$459,"&lt;2.51")-AT22-AS22-AU21-AT21-AS21-AU20-AT20-AS20-AU19-AT19-AS19-AU18-AT18-AS18</f>
        <v>1</v>
      </c>
      <c r="AV22" s="249">
        <f>+COUNTIFS('[1]ENCUESTA CONDUCTORES'!$Q$7:$Q$459,"X",'[1]ENCUESTA CONDUCTORES'!$AH$7:$AH$459,"&lt;1996",'[1]ENCUESTA CONDUCTORES'!$AX$7:$AX$459,"&lt;2.51")-AU22-AT22-AS22-AV21-AU21-AT21-AS21-AV20-AU20-AT20-AS20-AV19-AU19-AT19-AS19-AV18-AU18-AT18-AS18</f>
        <v>3</v>
      </c>
      <c r="AW22" s="249">
        <f>+COUNTIFS('[1]ENCUESTA CONDUCTORES'!$Q$7:$Q$459,"X",'[1]ENCUESTA CONDUCTORES'!$AH$7:$AH$459,"&lt;2001",'[1]ENCUESTA CONDUCTORES'!$AX$7:$AX$459,"&lt;2.51")-AV22-AU22-AT22-AS22-AW21-AV21-AU21-AT21-AS21-AW20-AV20-AU20-AT20-AS20-AW19-AV19-AU19-AT19-AS19-AW18-AV18-AU18-AT18-AS18</f>
        <v>0</v>
      </c>
      <c r="AX22" s="249">
        <f>+COUNTIFS('[1]ENCUESTA CONDUCTORES'!$Q$7:$Q$459,"X",'[1]ENCUESTA CONDUCTORES'!$AH$7:$AH$459,"&lt;2006",'[1]ENCUESTA CONDUCTORES'!$AX$7:$AX$459,"&lt;2.51")-AW22-AV22-AU22-AT22-AS22-AX21-AW21-AV21-AU21-AT21-AS21-AX20-AW20-AV20-AU20-AT20-AS20-AX19-AW19-AV19-AU19-AT19-AS19-AX18-AW18-AV18-AU18-AT18-AS18</f>
        <v>0</v>
      </c>
      <c r="AY22" s="249">
        <f>+COUNTIFS('[1]ENCUESTA CONDUCTORES'!$Q$7:$Q$459,"X",'[1]ENCUESTA CONDUCTORES'!$AH$7:$AH$459,"&lt;2011",'[1]ENCUESTA CONDUCTORES'!$AX$7:$AX$459,"&lt;2.51")-AX22-AW22-AV22-AU22-AT22-AS22-AY21-AX21-AW21-AV21-AU21-AT21-AS21-AY20-AX20-AW20-AV20-AU20-AT20-AS20-AY19-AX19-AW19-AV19-AU19-AT19-AS19-AY18-AX18-AW18-AV18-AU18-AT18-AS18</f>
        <v>1</v>
      </c>
      <c r="AZ22" s="249">
        <f>+COUNTIFS('[1]ENCUESTA CONDUCTORES'!$Q$7:$Q$459,"X",'[1]ENCUESTA CONDUCTORES'!$AH$7:$AH$459,"&gt;2010",'[1]ENCUESTA CONDUCTORES'!$AX$7:$AX$459,"&lt;2.51")-AZ21-AZ20-AZ19-AZ18</f>
        <v>1</v>
      </c>
      <c r="BA22" s="249">
        <f t="shared" si="66"/>
        <v>7</v>
      </c>
      <c r="BD22" s="19" t="s">
        <v>1723</v>
      </c>
      <c r="BE22" s="249">
        <f>+COUNTIFS('[1]ENCUESTA CONDUCTORES'!$S$7:$S$459,"X",'[1]ENCUESTA CONDUCTORES'!$AH$7:$AH$459,"&lt;1980",'[1]ENCUESTA CONDUCTORES'!$AX$7:$AX$459,"&lt;2.51")-BE21-BE20-BE19-BE18</f>
        <v>0</v>
      </c>
      <c r="BF22" s="249">
        <f>+COUNTIFS('[1]ENCUESTA CONDUCTORES'!$S$7:$S$459,"X",'[1]ENCUESTA CONDUCTORES'!$AH$7:$AH$459,"&lt;1986",'[1]ENCUESTA CONDUCTORES'!$AX$7:$AX$459,"&lt;2.51")-BE22-BE21-BF21-BF20-BE20-BF19-BE19-BF18-BE18</f>
        <v>2</v>
      </c>
      <c r="BG22" s="249">
        <f>+COUNTIFS('[1]ENCUESTA CONDUCTORES'!$S$7:$S$459,"X",'[1]ENCUESTA CONDUCTORES'!$AH$7:$AH$459,"&lt;1991",'[1]ENCUESTA CONDUCTORES'!$AX$7:$AX$459,"&lt;2.51")-BF22-BE22-BG21-BF21-BE21-BG20-BF20-BE20-BG19-BF19-BE19-BG18-BF18-BE18</f>
        <v>1</v>
      </c>
      <c r="BH22" s="249">
        <f>+COUNTIFS('[1]ENCUESTA CONDUCTORES'!$S$7:$S$459,"X",'[1]ENCUESTA CONDUCTORES'!$AH$7:$AH$459,"&lt;1996",'[1]ENCUESTA CONDUCTORES'!$AX$7:$AX$459,"&lt;2.51")-BG22-BF22-BE22-BH21-BG21-BF21-BE21-BH20-BG20-BF20-BE20-BH19-BG19-BF19-BE19-BH18-BG18-BF18-BE18</f>
        <v>2</v>
      </c>
      <c r="BI22" s="249">
        <f>+COUNTIFS('[1]ENCUESTA CONDUCTORES'!$S$7:$S$459,"X",'[1]ENCUESTA CONDUCTORES'!$AH$7:$AH$459,"&lt;2001",'[1]ENCUESTA CONDUCTORES'!$AX$7:$AX$459,"&lt;2.51")-BH22-BG22-BF22-BE22-BI21-BH21-BG21-BF21-BE21-BI20-BH20-BG20-BF20-BE20-BI19-BH19-BG19-BF19-BE19-BI18-BH18-BG18-BF18-BE18</f>
        <v>8</v>
      </c>
      <c r="BJ22" s="249">
        <f>+COUNTIFS('[1]ENCUESTA CONDUCTORES'!$S$7:$S$459,"X",'[1]ENCUESTA CONDUCTORES'!$AH$7:$AH$459,"&lt;2006",'[1]ENCUESTA CONDUCTORES'!$AX$7:$AX$459,"&lt;2.51")-BI22-BH22-BG22-BF22-BE22-BJ21-BI21-BH21-BG21-BF21-BE21-BJ20-BI20-BH20-BG20-BF20-BE20-BJ19-BI19-BH19-BG19-BF19-BE19-BJ18-BI18-BH18-BG18-BF18-BE18</f>
        <v>51</v>
      </c>
      <c r="BK22" s="249">
        <f>+COUNTIFS('[1]ENCUESTA CONDUCTORES'!$S$7:$S$459,"X",'[1]ENCUESTA CONDUCTORES'!$AH$7:$AH$459,"&lt;2011",'[1]ENCUESTA CONDUCTORES'!$AX$7:$AX$459,"&lt;2.51")-BJ22-BI22-BH22-BG22-BF22-BE22-BK21-BJ21-BI21-BH21-BG21-BF21-BE21-BK20-BJ20-BI20-BH20-BG20-BF20-BE20-BK19-BJ19-BI19-BH19-BG19-BF19-BE19-BK18-BJ18-BI18-BH18-BG18-BF18-BE18</f>
        <v>61</v>
      </c>
      <c r="BL22" s="249">
        <f>+COUNTIFS('[1]ENCUESTA CONDUCTORES'!$S$7:$S$459,"X",'[1]ENCUESTA CONDUCTORES'!$AH$7:$AH$459,"&gt;2010",'[1]ENCUESTA CONDUCTORES'!$AX$7:$AX$459,"&lt;2.51")-BL21-BL20-BL19-BL18</f>
        <v>4</v>
      </c>
      <c r="BM22" s="249">
        <f t="shared" si="67"/>
        <v>129</v>
      </c>
      <c r="BP22" s="19" t="s">
        <v>1723</v>
      </c>
      <c r="BQ22" s="249">
        <f>+COUNTIFS('[1]ENCUESTA CONDUCTORES'!$S$7:$S$459,"X",'[1]ENCUESTA CONDUCTORES'!$AH$7:$AH$459,"&lt;1980",'[1]ENCUESTA CONDUCTORES'!$AX$7:$AX$459,"&lt;2.51")-BQ21-BQ20-BQ19-BQ18</f>
        <v>0</v>
      </c>
      <c r="BR22" s="249">
        <f>+COUNTIFS('[1]ENCUESTA CONDUCTORES'!$S$7:$S$459,"X",'[1]ENCUESTA CONDUCTORES'!$AH$7:$AH$459,"&lt;1986",'[1]ENCUESTA CONDUCTORES'!$AX$7:$AX$459,"&lt;2.51")-BQ22-BQ21-BR21-BR20-BQ20-BR19-BQ19-BR18-BQ18</f>
        <v>2</v>
      </c>
      <c r="BS22" s="249">
        <f>+COUNTIFS('[1]ENCUESTA CONDUCTORES'!$S$7:$S$459,"X",'[1]ENCUESTA CONDUCTORES'!$AH$7:$AH$459,"&lt;1991",'[1]ENCUESTA CONDUCTORES'!$AX$7:$AX$459,"&lt;2.51")-BR22-BQ22-BS21-BR21-BQ21-BS20-BR20-BQ20-BS19-BR19-BQ19-BS18-BR18-BQ18</f>
        <v>1</v>
      </c>
      <c r="BT22" s="249">
        <f>+COUNTIFS('[1]ENCUESTA CONDUCTORES'!$S$7:$S$459,"X",'[1]ENCUESTA CONDUCTORES'!$AH$7:$AH$459,"&lt;1996",'[1]ENCUESTA CONDUCTORES'!$AX$7:$AX$459,"&lt;2.51")-BS22-BR22-BQ22-BT21-BS21-BR21-BQ21-BT20-BS20-BR20-BQ20-BT19-BS19-BR19-BQ19-BT18-BS18-BR18-BQ18</f>
        <v>2</v>
      </c>
      <c r="BU22" s="249">
        <f>+COUNTIFS('[1]ENCUESTA CONDUCTORES'!$S$7:$S$459,"X",'[1]ENCUESTA CONDUCTORES'!$AH$7:$AH$459,"&lt;2001",'[1]ENCUESTA CONDUCTORES'!$AX$7:$AX$459,"&lt;2.51")-BT22-BS22-BR22-BQ22-BU21-BT21-BS21-BR21-BQ21-BU20-BT20-BS20-BR20-BQ20-BU19-BT19-BS19-BR19-BQ19-BU18-BT18-BS18-BR18-BQ18</f>
        <v>8</v>
      </c>
      <c r="BV22" s="249">
        <f>+COUNTIFS('[1]ENCUESTA CONDUCTORES'!$S$7:$S$459,"X",'[1]ENCUESTA CONDUCTORES'!$AH$7:$AH$459,"&lt;2006",'[1]ENCUESTA CONDUCTORES'!$AX$7:$AX$459,"&lt;2.51")-BU22-BT22-BS22-BR22-BQ22-BV21-BU21-BT21-BS21-BR21-BQ21-BV20-BU20-BT20-BS20-BR20-BQ20-BV19-BU19-BT19-BS19-BR19-BQ19-BV18-BU18-BT18-BS18-BR18-BQ18</f>
        <v>51</v>
      </c>
      <c r="BW22" s="249">
        <f>+COUNTIFS('[1]ENCUESTA CONDUCTORES'!$S$7:$S$459,"X",'[1]ENCUESTA CONDUCTORES'!$AH$7:$AH$459,"&lt;2011",'[1]ENCUESTA CONDUCTORES'!$AX$7:$AX$459,"&lt;2.51")-BV22-BU22-BT22-BS22-BR22-BQ22-BW21-BV21-BU21-BT21-BS21-BR21-BQ21-BW20-BV20-BU20-BT20-BS20-BR20-BQ20-BW19-BV19-BU19-BT19-BS19-BR19-BQ19-BW18-BV18-BU18-BT18-BS18-BR18-BQ18</f>
        <v>61</v>
      </c>
      <c r="BX22" s="249">
        <f>+COUNTIFS('[1]ENCUESTA CONDUCTORES'!$S$7:$S$459,"X",'[1]ENCUESTA CONDUCTORES'!$AH$7:$AH$459,"&gt;2010",'[1]ENCUESTA CONDUCTORES'!$AX$7:$AX$459,"&lt;2.51")-BX21-BX20-BX19-BX18</f>
        <v>4</v>
      </c>
      <c r="BY22" s="249">
        <f t="shared" si="68"/>
        <v>129</v>
      </c>
      <c r="CA22" s="249">
        <v>1999</v>
      </c>
      <c r="CB22" s="144">
        <f>AVERAGEIFS('DATOS 2'!$F$5:$F$1437,'DATOS 2'!$D$5:$D$1437,CA22)</f>
        <v>2.3583333333333334</v>
      </c>
      <c r="CC22" s="144">
        <f>AVERAGEIFS('DATOS 2'!$G$5:$G$1437,'DATOS 2'!$D$5:$D$1437,CA22)</f>
        <v>2.8062499999999999</v>
      </c>
      <c r="CD22" s="138">
        <f>AVERAGEIFS('DATOS 2'!$E$5:$E$1437,'DATOS 2'!$D$5:$D$1437,CA22)</f>
        <v>845738.57142857148</v>
      </c>
      <c r="CF22" s="112" t="s">
        <v>2369</v>
      </c>
      <c r="CG22" s="112" t="s">
        <v>2362</v>
      </c>
      <c r="CH22" s="112" t="s">
        <v>2363</v>
      </c>
      <c r="CS22" s="249">
        <v>9</v>
      </c>
      <c r="CT22" s="6">
        <f t="shared" si="52"/>
        <v>1.3477088948787063E-2</v>
      </c>
      <c r="CU22" s="6">
        <f t="shared" si="53"/>
        <v>0</v>
      </c>
      <c r="CV22" s="249">
        <f>COUNTIF('DATOS 1'!$AQ$51:$AQ$427,'FORMULAS PLUS'!CS22)</f>
        <v>5</v>
      </c>
      <c r="CW22" s="249">
        <f>COUNTIF('DATOS 1'!$AQ$7:$AQ$40,'FORMULAS PLUS'!CS22)</f>
        <v>0</v>
      </c>
      <c r="CX22" s="249"/>
      <c r="DB22" s="11">
        <f t="shared" si="63"/>
        <v>29</v>
      </c>
      <c r="DC22" s="9">
        <v>1985</v>
      </c>
      <c r="DD22" s="6">
        <f t="shared" si="60"/>
        <v>1.9588638589618023E-2</v>
      </c>
      <c r="DE22" s="6">
        <f t="shared" si="61"/>
        <v>2.9126213592233011E-2</v>
      </c>
      <c r="DF22" s="249">
        <f t="shared" si="14"/>
        <v>32</v>
      </c>
      <c r="DG22" s="249">
        <f>COUNTIFS('DATOS 2'!$K$5:$K$1437,"HC",'DATOS 2'!$D$5:$D$1437,DC22)</f>
        <v>20</v>
      </c>
      <c r="DH22" s="249">
        <f>COUNTIFS('DATOS 2'!$K$5:$K$1437,"PT",'DATOS 2'!$D$5:$D$1437,DC22)</f>
        <v>12</v>
      </c>
      <c r="DV22" s="11" t="s">
        <v>2377</v>
      </c>
      <c r="DW22" s="6">
        <f t="shared" ref="DW22:EE22" si="77">+DW10/$EF$11</f>
        <v>6.3380281690140847E-3</v>
      </c>
      <c r="DX22" s="6">
        <f t="shared" si="77"/>
        <v>3.5211267605633804E-3</v>
      </c>
      <c r="DY22" s="6">
        <f t="shared" si="77"/>
        <v>3.1690140845070422E-2</v>
      </c>
      <c r="DZ22" s="6">
        <f t="shared" si="77"/>
        <v>4.2253521126760559E-3</v>
      </c>
      <c r="EA22" s="6">
        <f t="shared" si="77"/>
        <v>1.2676056338028169E-2</v>
      </c>
      <c r="EB22" s="6">
        <f t="shared" si="77"/>
        <v>8.4507042253521118E-3</v>
      </c>
      <c r="EC22" s="6">
        <f t="shared" si="77"/>
        <v>2.112676056338028E-3</v>
      </c>
      <c r="ED22" s="6">
        <f t="shared" si="77"/>
        <v>1.4084507042253522E-3</v>
      </c>
      <c r="EE22" s="6">
        <f t="shared" si="77"/>
        <v>0</v>
      </c>
      <c r="EF22" s="6">
        <f t="shared" si="70"/>
        <v>7.0422535211267609E-2</v>
      </c>
    </row>
    <row r="23" spans="2:140" x14ac:dyDescent="0.25">
      <c r="E23" s="249"/>
      <c r="F23" s="249"/>
      <c r="G23" s="249"/>
      <c r="H23" s="249"/>
      <c r="L23" s="138">
        <f>+L22+L21+L20</f>
        <v>1433</v>
      </c>
      <c r="Q23" s="11"/>
      <c r="R23" s="9"/>
      <c r="S23" s="249" t="s">
        <v>943</v>
      </c>
      <c r="T23" s="249">
        <f>COUNTIFS('[1]ENCUESTA CONDUCTORES'!$AH$7:$AH$459,"&lt;1980",'[1]ENCUESTA CONDUCTORES'!$AI$7:$AI$459,"&lt;1500001")-T22-T21-T20</f>
        <v>1</v>
      </c>
      <c r="U23" s="249">
        <f>COUNTIFS('[1]ENCUESTA CONDUCTORES'!$AH$7:$AH$459,"&lt;1986",'[1]ENCUESTA CONDUCTORES'!$AI$7:$AI$459,"&lt;1500001")-T23-U22-T22-U21-T21-U20-T20</f>
        <v>3</v>
      </c>
      <c r="V23" s="249">
        <f>COUNTIFS('[1]ENCUESTA CONDUCTORES'!$AH$7:$AH$459,"&lt;1991",'[1]ENCUESTA CONDUCTORES'!$AI$7:$AI$459,"&lt;1500001")-U23-T23-V22-U22-T22-V21-U21-T21-V20-U20-T20</f>
        <v>10</v>
      </c>
      <c r="W23" s="249">
        <f>COUNTIFS('[1]ENCUESTA CONDUCTORES'!$AH$7:$AH$459,"&lt;1996",'[1]ENCUESTA CONDUCTORES'!$AI$7:$AI$459,"&lt;1500001")-V23-U23-T23-W22-V22-U22-T22-W21-V21-U21-T21-W20-V20-U20-T20</f>
        <v>5</v>
      </c>
      <c r="X23" s="249">
        <f>COUNTIFS('[1]ENCUESTA CONDUCTORES'!$AH$7:$AH$459,"&lt;2001",'[1]ENCUESTA CONDUCTORES'!$AI$7:$AI$459,"&lt;1500001")-W23-V23-U23-T23-X22-W22-V22-U22-T22-X21-W21-V21-U21-T21-X20-W20-V20-U20-T20</f>
        <v>11</v>
      </c>
      <c r="Y23" s="249">
        <f>COUNTIFS('[1]ENCUESTA CONDUCTORES'!$AH$7:$AH$459,"&lt;2006",'[1]ENCUESTA CONDUCTORES'!$AI$7:$AI$459,"&lt;1500001")-X23-W23-V23-U23-T23-Y22-X22-W22-V22-U22-T22-Y21-X21-W21-V21-U21-T21-Y20-X20-W20-V20-U20-T20</f>
        <v>9</v>
      </c>
      <c r="Z23" s="249">
        <f>COUNTIFS('[1]ENCUESTA CONDUCTORES'!$AH$7:$AH$459,"&lt;2011",'[1]ENCUESTA CONDUCTORES'!$AI$7:$AI$459,"&lt;1500001")-Y23-X23-W23-V23-U23-T23-Z22-Y22-X22-W22-V22-U22-T22-Z21-Y21-X21-W21-V21-U21-T21-Z20-Y20-X20-W20-V20-U20-T20</f>
        <v>4</v>
      </c>
      <c r="AA23" s="249">
        <f>COUNTIFS('[1]ENCUESTA CONDUCTORES'!$AH$7:$AH$459,"&gt;2010",'[1]ENCUESTA CONDUCTORES'!$AI$7:$AI$459,"&lt;1500001")-AA22-AA21-AA20</f>
        <v>0</v>
      </c>
      <c r="AB23" s="249">
        <f t="shared" si="71"/>
        <v>43</v>
      </c>
      <c r="AC23" s="249">
        <v>43</v>
      </c>
      <c r="AF23" s="19" t="s">
        <v>1724</v>
      </c>
      <c r="AG23" s="249">
        <f>+COUNTIFS('[1]ENCUESTA CONDUCTORES'!$Q$7:$Q$459,"X",'[1]ENCUESTA CONDUCTORES'!$AH$7:$AH$459,"&lt;1980",'[1]ENCUESTA CONDUCTORES'!$AX$7:$AX$459,"&lt;3.01")-AG22-AG21-AG20-AG19-AG18</f>
        <v>1</v>
      </c>
      <c r="AH23" s="249">
        <f>+COUNTIFS('[1]ENCUESTA CONDUCTORES'!$Q$7:$Q$459,"X",'[1]ENCUESTA CONDUCTORES'!$AH$7:$AH$459,"&lt;1986",'[1]ENCUESTA CONDUCTORES'!$AX$7:$AX$459,"&lt;3.01")-AG23-AG22-AH22-AH21-AG21-AH20-AG20-AH19-AG19-AH18-AG18</f>
        <v>2</v>
      </c>
      <c r="AI23" s="249">
        <f>+COUNTIFS('[1]ENCUESTA CONDUCTORES'!$Q$7:$Q$459,"X",'[1]ENCUESTA CONDUCTORES'!$AH$7:$AH$459,"&lt;1991",'[1]ENCUESTA CONDUCTORES'!$AX$7:$AX$459,"&lt;3.01")-AH23-AG23-AI22-AH22-AG22-AI21-AH21-AG21-AI20-AH20-AG20-AI19-AH19-AG19-AI18-AH18-AG18</f>
        <v>2</v>
      </c>
      <c r="AJ23" s="249">
        <f>+COUNTIFS('[1]ENCUESTA CONDUCTORES'!$Q$7:$Q$459,"X",'[1]ENCUESTA CONDUCTORES'!$AH$7:$AH$459,"&lt;1996",'[1]ENCUESTA CONDUCTORES'!$AX$7:$AX$459,"&lt;3.01")-AI23-AH23-AG23-AJ22-AI22-AH22-AG22-AJ21-AI21-AH21-AG21-AJ20-AI20-AH20-AG20-AJ19-AI19-AH19-AG19-AJ18-AI18-AH18-AG18</f>
        <v>1</v>
      </c>
      <c r="AK23" s="249">
        <f>+COUNTIFS('[1]ENCUESTA CONDUCTORES'!$Q$7:$Q$459,"X",'[1]ENCUESTA CONDUCTORES'!$AH$7:$AH$459,"&lt;2001",'[1]ENCUESTA CONDUCTORES'!$AX$7:$AX$459,"&lt;3.01")-AJ23-AI23-AH23-AG23-AK22-AJ22-AI22-AH22-AG22-AK21-AJ21-AI21-AH21-AG21-AK20-AJ20-AI20-AH20-AG20-AK19-AJ19-AI19-AH19-AG19-AK18-AJ18-AI18-AH18-AG18</f>
        <v>7</v>
      </c>
      <c r="AL23" s="249">
        <f>+COUNTIFS('[1]ENCUESTA CONDUCTORES'!$Q$7:$Q$459,"X",'[1]ENCUESTA CONDUCTORES'!$AH$7:$AH$459,"&lt;2006",'[1]ENCUESTA CONDUCTORES'!$AX$7:$AX$459,"&lt;3.01")-AK23-AJ23-AI23-AH23-AG23-AL22-AK22-AJ22-AI22-AH22-AG22-AL21-AK21-AJ21-AI21-AH21-AG21-AL20-AK20-AJ20-AI20-AH20-AG20-AL19-AK19-AJ19-AI19-AH19-AG19-AL18-AK18-AJ18-AI18-AH18-AG18</f>
        <v>5</v>
      </c>
      <c r="AM23" s="249">
        <f>+COUNTIFS('[1]ENCUESTA CONDUCTORES'!$Q$7:$Q$459,"X",'[1]ENCUESTA CONDUCTORES'!$AH$7:$AH$459,"&lt;2011",'[1]ENCUESTA CONDUCTORES'!$AX$7:$AX$459,"&lt;3.01")-AL23-AK23-AJ23-AI23-AH23-AG23-AM22-AL22-AK22-AJ22-AI22-AH22-AG22-AM21-AL21-AK21-AJ21-AI21-AH21-AG21-AM20-AL20-AK20-AJ20-AI20-AH20-AG20-AM19-AL19-AK19-AJ19-AI19-AH19-AG19-AM18-AL18-AK18-AJ18-AI18-AH18-AG18</f>
        <v>2</v>
      </c>
      <c r="AN23" s="249">
        <f>+COUNTIFS('[1]ENCUESTA CONDUCTORES'!$Q$7:$Q$459,"X",'[1]ENCUESTA CONDUCTORES'!$AH$7:$AH$459,"&gt;2010",'[1]ENCUESTA CONDUCTORES'!$AX$7:$AX$459,"&lt;3.01")-AN22-AN21-AN20-AN19-AN18</f>
        <v>2</v>
      </c>
      <c r="AO23" s="249">
        <f t="shared" si="65"/>
        <v>22</v>
      </c>
      <c r="AR23" s="19" t="s">
        <v>1724</v>
      </c>
      <c r="AS23" s="249">
        <f>+COUNTIFS('[1]ENCUESTA CONDUCTORES'!$Q$7:$Q$459,"X",'[1]ENCUESTA CONDUCTORES'!$AH$7:$AH$459,"&lt;1980",'[1]ENCUESTA CONDUCTORES'!$AX$7:$AX$459,"&lt;3.01")-AS22-AS21-AS20-AS19-AS18</f>
        <v>1</v>
      </c>
      <c r="AT23" s="249">
        <f>+COUNTIFS('[1]ENCUESTA CONDUCTORES'!$Q$7:$Q$459,"X",'[1]ENCUESTA CONDUCTORES'!$AH$7:$AH$459,"&lt;1986",'[1]ENCUESTA CONDUCTORES'!$AX$7:$AX$459,"&lt;3.01")-AS23-AS22-AT22-AT21-AS21-AT20-AS20-AT19-AS19-AT18-AS18</f>
        <v>2</v>
      </c>
      <c r="AU23" s="249">
        <f>+COUNTIFS('[1]ENCUESTA CONDUCTORES'!$Q$7:$Q$459,"X",'[1]ENCUESTA CONDUCTORES'!$AH$7:$AH$459,"&lt;1991",'[1]ENCUESTA CONDUCTORES'!$AX$7:$AX$459,"&lt;3.01")-AT23-AS23-AU22-AT22-AS22-AU21-AT21-AS21-AU20-AT20-AS20-AU19-AT19-AS19-AU18-AT18-AS18</f>
        <v>2</v>
      </c>
      <c r="AV23" s="249">
        <f>+COUNTIFS('[1]ENCUESTA CONDUCTORES'!$Q$7:$Q$459,"X",'[1]ENCUESTA CONDUCTORES'!$AH$7:$AH$459,"&lt;1996",'[1]ENCUESTA CONDUCTORES'!$AX$7:$AX$459,"&lt;3.01")-AU23-AT23-AS23-AV22-AU22-AT22-AS22-AV21-AU21-AT21-AS21-AV20-AU20-AT20-AS20-AV19-AU19-AT19-AS19-AV18-AU18-AT18-AS18</f>
        <v>1</v>
      </c>
      <c r="AW23" s="249">
        <f>+COUNTIFS('[1]ENCUESTA CONDUCTORES'!$Q$7:$Q$459,"X",'[1]ENCUESTA CONDUCTORES'!$AH$7:$AH$459,"&lt;2001",'[1]ENCUESTA CONDUCTORES'!$AX$7:$AX$459,"&lt;3.01")-AV23-AU23-AT23-AS23-AW22-AV22-AU22-AT22-AS22-AW21-AV21-AU21-AT21-AS21-AW20-AV20-AU20-AT20-AS20-AW19-AV19-AU19-AT19-AS19-AW18-AV18-AU18-AT18-AS18</f>
        <v>7</v>
      </c>
      <c r="AX23" s="249">
        <f>+COUNTIFS('[1]ENCUESTA CONDUCTORES'!$Q$7:$Q$459,"X",'[1]ENCUESTA CONDUCTORES'!$AH$7:$AH$459,"&lt;2006",'[1]ENCUESTA CONDUCTORES'!$AX$7:$AX$459,"&lt;3.01")-AW23-AV23-AU23-AT23-AS23-AX22-AW22-AV22-AU22-AT22-AS22-AX21-AW21-AV21-AU21-AT21-AS21-AX20-AW20-AV20-AU20-AT20-AS20-AX19-AW19-AV19-AU19-AT19-AS19-AX18-AW18-AV18-AU18-AT18-AS18</f>
        <v>5</v>
      </c>
      <c r="AY23" s="249">
        <f>+COUNTIFS('[1]ENCUESTA CONDUCTORES'!$Q$7:$Q$459,"X",'[1]ENCUESTA CONDUCTORES'!$AH$7:$AH$459,"&lt;2011",'[1]ENCUESTA CONDUCTORES'!$AX$7:$AX$459,"&lt;3.01")-AX23-AW23-AV23-AU23-AT23-AS23-AY22-AX22-AW22-AV22-AU22-AT22-AS22-AY21-AX21-AW21-AV21-AU21-AT21-AS21-AY20-AX20-AW20-AV20-AU20-AT20-AS20-AY19-AX19-AW19-AV19-AU19-AT19-AS19-AY18-AX18-AW18-AV18-AU18-AT18-AS18</f>
        <v>2</v>
      </c>
      <c r="AZ23" s="249">
        <f>+COUNTIFS('[1]ENCUESTA CONDUCTORES'!$Q$7:$Q$459,"X",'[1]ENCUESTA CONDUCTORES'!$AH$7:$AH$459,"&gt;2010",'[1]ENCUESTA CONDUCTORES'!$AX$7:$AX$459,"&lt;3.01")-AZ22-AZ21-AZ20-AZ19-AZ18</f>
        <v>2</v>
      </c>
      <c r="BA23" s="249">
        <f t="shared" si="66"/>
        <v>22</v>
      </c>
      <c r="BD23" s="19" t="s">
        <v>1724</v>
      </c>
      <c r="BE23" s="249">
        <f>+COUNTIFS('[1]ENCUESTA CONDUCTORES'!$S$7:$S$459,"X",'[1]ENCUESTA CONDUCTORES'!$AH$7:$AH$459,"&lt;1980",'[1]ENCUESTA CONDUCTORES'!$AX$7:$AX$459,"&lt;3.01")-BE22-BE21-BE20-BE19-BE18</f>
        <v>2</v>
      </c>
      <c r="BF23" s="249">
        <f>+COUNTIFS('[1]ENCUESTA CONDUCTORES'!$S$7:$S$459,"X",'[1]ENCUESTA CONDUCTORES'!$AH$7:$AH$459,"&lt;1986",'[1]ENCUESTA CONDUCTORES'!$AX$7:$AX$459,"&lt;3.01")-BE23-BE22-BF22-BF21-BE21-BF20-BE20-BF19-BE19-BF18-BE18</f>
        <v>0</v>
      </c>
      <c r="BG23" s="249">
        <f>+COUNTIFS('[1]ENCUESTA CONDUCTORES'!$S$7:$S$459,"X",'[1]ENCUESTA CONDUCTORES'!$AH$7:$AH$459,"&lt;1991",'[1]ENCUESTA CONDUCTORES'!$AX$7:$AX$459,"&lt;3.01")-BF23-BE23-BG22-BF22-BE22-BG21-BF21-BE21-BG20-BF20-BE20-BG19-BF19-BE19-BG18-BF18-BE18</f>
        <v>0</v>
      </c>
      <c r="BH23" s="249">
        <f>+COUNTIFS('[1]ENCUESTA CONDUCTORES'!$S$7:$S$459,"X",'[1]ENCUESTA CONDUCTORES'!$AH$7:$AH$459,"&lt;1996",'[1]ENCUESTA CONDUCTORES'!$AX$7:$AX$459,"&lt;3.01")-BG23-BF23-BE23-BH22-BG22-BF22-BE22-BH21-BG21-BF21-BE21-BH20-BG20-BF20-BE20-BH19-BG19-BF19-BE19-BH18-BG18-BF18-BE18</f>
        <v>0</v>
      </c>
      <c r="BI23" s="249">
        <f>+COUNTIFS('[1]ENCUESTA CONDUCTORES'!$S$7:$S$459,"X",'[1]ENCUESTA CONDUCTORES'!$AH$7:$AH$459,"&lt;2001",'[1]ENCUESTA CONDUCTORES'!$AX$7:$AX$459,"&lt;3.01")-BH23-BG23-BF23-BE23-BI22-BH22-BG22-BF22-BE22-BI21-BH21-BG21-BF21-BE21-BI20-BH20-BG20-BF20-BE20-BI19-BH19-BG19-BF19-BE19-BI18-BH18-BG18-BF18-BE18</f>
        <v>3</v>
      </c>
      <c r="BJ23" s="249">
        <f>+COUNTIFS('[1]ENCUESTA CONDUCTORES'!$S$7:$S$459,"X",'[1]ENCUESTA CONDUCTORES'!$AH$7:$AH$459,"&lt;2006",'[1]ENCUESTA CONDUCTORES'!$AX$7:$AX$459,"&lt;3.01")-BI23-BH23-BG23-BF23-BE23-BJ22-BI22-BH22-BG22-BF22-BE22-BJ21-BI21-BH21-BG21-BF21-BE21-BJ20-BI20-BH20-BG20-BF20-BE20-BJ19-BI19-BH19-BG19-BF19-BE19-BJ18-BI18-BH18-BG18-BF18-BE18</f>
        <v>3</v>
      </c>
      <c r="BK23" s="249">
        <f>+COUNTIFS('[1]ENCUESTA CONDUCTORES'!$S$7:$S$459,"X",'[1]ENCUESTA CONDUCTORES'!$AH$7:$AH$459,"&lt;2011",'[1]ENCUESTA CONDUCTORES'!$AX$7:$AX$459,"&lt;3.01")-BJ23-BI23-BH23-BG23-BF23-BE23-BK22-BJ22-BI22-BH22-BG22-BF22-BE22-BK21-BJ21-BI21-BH21-BG21-BF21-BE21-BK20-BJ20-BI20-BH20-BG20-BF20-BE20-BK19-BJ19-BI19-BH19-BG19-BF19-BE19-BK18-BJ18-BI18-BH18-BG18-BF18-BE18</f>
        <v>5</v>
      </c>
      <c r="BL23" s="249">
        <f>+COUNTIFS('[1]ENCUESTA CONDUCTORES'!$S$7:$S$459,"X",'[1]ENCUESTA CONDUCTORES'!$AH$7:$AH$459,"&gt;2010",'[1]ENCUESTA CONDUCTORES'!$AX$7:$AX$459,"&lt;3.01")-BL22-BL21-BL20-BL19-BL18</f>
        <v>5</v>
      </c>
      <c r="BM23" s="249">
        <f t="shared" si="67"/>
        <v>18</v>
      </c>
      <c r="BP23" s="19" t="s">
        <v>1724</v>
      </c>
      <c r="BQ23" s="249">
        <f>+COUNTIFS('[1]ENCUESTA CONDUCTORES'!$S$7:$S$459,"X",'[1]ENCUESTA CONDUCTORES'!$AH$7:$AH$459,"&lt;1980",'[1]ENCUESTA CONDUCTORES'!$AX$7:$AX$459,"&lt;3.01")-BQ22-BQ21-BQ20-BQ19-BQ18</f>
        <v>2</v>
      </c>
      <c r="BR23" s="249">
        <f>+COUNTIFS('[1]ENCUESTA CONDUCTORES'!$S$7:$S$459,"X",'[1]ENCUESTA CONDUCTORES'!$AH$7:$AH$459,"&lt;1986",'[1]ENCUESTA CONDUCTORES'!$AX$7:$AX$459,"&lt;3.01")-BQ23-BQ22-BR22-BR21-BQ21-BR20-BQ20-BR19-BQ19-BR18-BQ18</f>
        <v>0</v>
      </c>
      <c r="BS23" s="249">
        <f>+COUNTIFS('[1]ENCUESTA CONDUCTORES'!$S$7:$S$459,"X",'[1]ENCUESTA CONDUCTORES'!$AH$7:$AH$459,"&lt;1991",'[1]ENCUESTA CONDUCTORES'!$AX$7:$AX$459,"&lt;3.01")-BR23-BQ23-BS22-BR22-BQ22-BS21-BR21-BQ21-BS20-BR20-BQ20-BS19-BR19-BQ19-BS18-BR18-BQ18</f>
        <v>0</v>
      </c>
      <c r="BT23" s="249">
        <f>+COUNTIFS('[1]ENCUESTA CONDUCTORES'!$S$7:$S$459,"X",'[1]ENCUESTA CONDUCTORES'!$AH$7:$AH$459,"&lt;1996",'[1]ENCUESTA CONDUCTORES'!$AX$7:$AX$459,"&lt;3.01")-BS23-BR23-BQ23-BT22-BS22-BR22-BQ22-BT21-BS21-BR21-BQ21-BT20-BS20-BR20-BQ20-BT19-BS19-BR19-BQ19-BT18-BS18-BR18-BQ18</f>
        <v>0</v>
      </c>
      <c r="BU23" s="249">
        <f>+COUNTIFS('[1]ENCUESTA CONDUCTORES'!$S$7:$S$459,"X",'[1]ENCUESTA CONDUCTORES'!$AH$7:$AH$459,"&lt;2001",'[1]ENCUESTA CONDUCTORES'!$AX$7:$AX$459,"&lt;3.01")-BT23-BS23-BR23-BQ23-BU22-BT22-BS22-BR22-BQ22-BU21-BT21-BS21-BR21-BQ21-BU20-BT20-BS20-BR20-BQ20-BU19-BT19-BS19-BR19-BQ19-BU18-BT18-BS18-BR18-BQ18</f>
        <v>3</v>
      </c>
      <c r="BV23" s="249">
        <f>+COUNTIFS('[1]ENCUESTA CONDUCTORES'!$S$7:$S$459,"X",'[1]ENCUESTA CONDUCTORES'!$AH$7:$AH$459,"&lt;2006",'[1]ENCUESTA CONDUCTORES'!$AX$7:$AX$459,"&lt;3.01")-BU23-BT23-BS23-BR23-BQ23-BV22-BU22-BT22-BS22-BR22-BQ22-BV21-BU21-BT21-BS21-BR21-BQ21-BV20-BU20-BT20-BS20-BR20-BQ20-BV19-BU19-BT19-BS19-BR19-BQ19-BV18-BU18-BT18-BS18-BR18-BQ18</f>
        <v>3</v>
      </c>
      <c r="BW23" s="249">
        <f>+COUNTIFS('[1]ENCUESTA CONDUCTORES'!$S$7:$S$459,"X",'[1]ENCUESTA CONDUCTORES'!$AH$7:$AH$459,"&lt;2011",'[1]ENCUESTA CONDUCTORES'!$AX$7:$AX$459,"&lt;3.01")-BV23-BU23-BT23-BS23-BR23-BQ23-BW22-BV22-BU22-BT22-BS22-BR22-BQ22-BW21-BV21-BU21-BT21-BS21-BR21-BQ21-BW20-BV20-BU20-BT20-BS20-BR20-BQ20-BW19-BV19-BU19-BT19-BS19-BR19-BQ19-BW18-BV18-BU18-BT18-BS18-BR18-BQ18</f>
        <v>5</v>
      </c>
      <c r="BX23" s="249">
        <f>+COUNTIFS('[1]ENCUESTA CONDUCTORES'!$S$7:$S$459,"X",'[1]ENCUESTA CONDUCTORES'!$AH$7:$AH$459,"&gt;2010",'[1]ENCUESTA CONDUCTORES'!$AX$7:$AX$459,"&lt;3.01")-BX22-BX21-BX20-BX19-BX18</f>
        <v>5</v>
      </c>
      <c r="BY23" s="249">
        <f t="shared" si="68"/>
        <v>18</v>
      </c>
      <c r="CA23" s="249">
        <v>2000</v>
      </c>
      <c r="CB23" s="144">
        <f>AVERAGEIFS('DATOS 2'!$F$5:$F$1437,'DATOS 2'!$D$5:$D$1437,CA23)</f>
        <v>2.3302325581395356</v>
      </c>
      <c r="CC23" s="144">
        <f>AVERAGEIFS('DATOS 2'!$G$5:$G$1437,'DATOS 2'!$D$5:$D$1437,CA23)</f>
        <v>2.738953488372093</v>
      </c>
      <c r="CD23" s="138">
        <f>AVERAGEIFS('DATOS 2'!$E$5:$E$1437,'DATOS 2'!$D$5:$D$1437,CA23)</f>
        <v>1110803.373493976</v>
      </c>
      <c r="CF23" s="11" t="s">
        <v>1710</v>
      </c>
      <c r="CG23" s="160" t="s">
        <v>2371</v>
      </c>
      <c r="CH23" s="160" t="s">
        <v>2371</v>
      </c>
      <c r="CS23" s="249">
        <v>10</v>
      </c>
      <c r="CT23" s="6">
        <f t="shared" si="52"/>
        <v>0.1078167115902965</v>
      </c>
      <c r="CU23" s="6">
        <f t="shared" si="53"/>
        <v>2.9411764705882353E-2</v>
      </c>
      <c r="CV23" s="249">
        <f>COUNTIF('DATOS 1'!$AQ$51:$AQ$427,'FORMULAS PLUS'!CS23)</f>
        <v>40</v>
      </c>
      <c r="CW23" s="249">
        <f>COUNTIF('DATOS 1'!$AQ$7:$AQ$40,'FORMULAS PLUS'!CS23)</f>
        <v>1</v>
      </c>
      <c r="CX23" s="249"/>
      <c r="DB23" s="11">
        <f t="shared" si="63"/>
        <v>28</v>
      </c>
      <c r="DC23" s="9">
        <v>1986</v>
      </c>
      <c r="DD23" s="6">
        <f t="shared" si="60"/>
        <v>1.0773751224289911E-2</v>
      </c>
      <c r="DE23" s="6">
        <f t="shared" si="61"/>
        <v>2.4271844660194173E-3</v>
      </c>
      <c r="DF23" s="249">
        <f t="shared" si="14"/>
        <v>12</v>
      </c>
      <c r="DG23" s="249">
        <f>COUNTIFS('DATOS 2'!$K$5:$K$1437,"HC",'DATOS 2'!$D$5:$D$1437,DC23)</f>
        <v>11</v>
      </c>
      <c r="DH23" s="249">
        <f>COUNTIFS('DATOS 2'!$K$5:$K$1437,"PT",'DATOS 2'!$D$5:$D$1437,DC23)</f>
        <v>1</v>
      </c>
      <c r="DV23" s="11" t="s">
        <v>1662</v>
      </c>
      <c r="DW23" s="6">
        <f t="shared" ref="DW23:EE23" si="78">+DW11/$EF$11</f>
        <v>5.2816901408450703E-2</v>
      </c>
      <c r="DX23" s="6">
        <f t="shared" si="78"/>
        <v>0.13591549295774649</v>
      </c>
      <c r="DY23" s="6">
        <f t="shared" si="78"/>
        <v>0.1556338028169014</v>
      </c>
      <c r="DZ23" s="6">
        <f t="shared" si="78"/>
        <v>0.13098591549295774</v>
      </c>
      <c r="EA23" s="6">
        <f t="shared" si="78"/>
        <v>0.2443661971830986</v>
      </c>
      <c r="EB23" s="6">
        <f t="shared" si="78"/>
        <v>0.10985915492957747</v>
      </c>
      <c r="EC23" s="6">
        <f t="shared" si="78"/>
        <v>0.10845070422535211</v>
      </c>
      <c r="ED23" s="6">
        <f t="shared" si="78"/>
        <v>4.5774647887323945E-2</v>
      </c>
      <c r="EE23" s="6">
        <f t="shared" si="78"/>
        <v>1.6197183098591549E-2</v>
      </c>
      <c r="EF23" s="6">
        <f t="shared" si="70"/>
        <v>0.99999999999999989</v>
      </c>
    </row>
    <row r="24" spans="2:140" x14ac:dyDescent="0.25">
      <c r="E24" s="249"/>
      <c r="F24" s="249"/>
      <c r="G24" s="249"/>
      <c r="H24" s="249"/>
      <c r="Q24" s="11"/>
      <c r="R24" s="9"/>
      <c r="S24" s="249" t="s">
        <v>944</v>
      </c>
      <c r="T24" s="249">
        <f>COUNTIFS('[1]ENCUESTA CONDUCTORES'!$AH$7:$AH$459,"&lt;1980",'[1]ENCUESTA CONDUCTORES'!$AI$7:$AI$459,"&lt;2000001")-T23-T22-T21-T20</f>
        <v>1</v>
      </c>
      <c r="U24" s="249">
        <f>COUNTIFS('[1]ENCUESTA CONDUCTORES'!$AH$7:$AH$459,"&lt;1986",'[1]ENCUESTA CONDUCTORES'!$AI$7:$AI$459,"&lt;2000001")-T24-U23-T23-U22-T22-U21-T21-U20-T20</f>
        <v>7</v>
      </c>
      <c r="V24" s="249">
        <f>COUNTIFS('[1]ENCUESTA CONDUCTORES'!$AH$7:$AH$459,"&lt;1991",'[1]ENCUESTA CONDUCTORES'!$AI$7:$AI$459,"&lt;2000001")-U24-T24-V23-U23-T23-V22-U22-T22-V21-U21-T21-V20-U20-T20</f>
        <v>3</v>
      </c>
      <c r="W24" s="249">
        <f>COUNTIFS('[1]ENCUESTA CONDUCTORES'!$AH$7:$AH$459,"&lt;1996",'[1]ENCUESTA CONDUCTORES'!$AI$7:$AI$459,"&lt;2000001")-V24-U24-T24-W23-V23-U23-T23-W22-V22-U22-T22-W21-V21-U21-T21-W20-V20-U20-T20</f>
        <v>5</v>
      </c>
      <c r="X24" s="249">
        <f>COUNTIFS('[1]ENCUESTA CONDUCTORES'!$AH$7:$AH$459,"&lt;2001",'[1]ENCUESTA CONDUCTORES'!$AI$7:$AI$459,"&lt;2000001")-W24-V24-U24-T24-X23-W23-V23-U23-T23-X22-W22-V22-U22-T22-X21-W21-V21-U21-T21-X20-W20-V20-U20-T20</f>
        <v>6</v>
      </c>
      <c r="Y24" s="249">
        <f>COUNTIFS('[1]ENCUESTA CONDUCTORES'!$AH$7:$AH$459,"&lt;2006",'[1]ENCUESTA CONDUCTORES'!$AI$7:$AI$459,"&lt;2000001")-X24-W24-V24-U24-T24-Y23-X23-W23-V23-U23-T23-Y22-X22-W22-V22-U22-T22-Y21-X21-W21-V21-U21-T21-Y20-X20-W20-V20-U20-T20</f>
        <v>6</v>
      </c>
      <c r="Z24" s="249">
        <f>COUNTIFS('[1]ENCUESTA CONDUCTORES'!$AH$7:$AH$459,"&lt;2011",'[1]ENCUESTA CONDUCTORES'!$AI$7:$AI$459,"&lt;2000001")-Y24-X24-W24-V24-U24-T24-Z23-Y23-X23-W23-V23-U23-T23-Z22-Y22-X22-W22-V22-U22-T22-Z21-Y21-X21-W21-V21-U21-T21-Z20-Y20-X20-W20-V20-U20-T20</f>
        <v>2</v>
      </c>
      <c r="AA24" s="249">
        <f>COUNTIFS('[1]ENCUESTA CONDUCTORES'!$AH$7:$AH$459,"&gt;2010",'[1]ENCUESTA CONDUCTORES'!$AI$7:$AI$459,"&lt;2000001")-AA23-AA22-AA21-AA20</f>
        <v>0</v>
      </c>
      <c r="AB24" s="249">
        <f t="shared" si="71"/>
        <v>30</v>
      </c>
      <c r="AC24" s="249">
        <v>30</v>
      </c>
      <c r="AF24" s="19" t="s">
        <v>1725</v>
      </c>
      <c r="AG24" s="249">
        <f>+COUNTIFS('[1]ENCUESTA CONDUCTORES'!$Q$7:$Q$459,"X",'[1]ENCUESTA CONDUCTORES'!$AH$7:$AH$459,"&lt;1980",'[1]ENCUESTA CONDUCTORES'!$AX$7:$AX$459,"&lt;4.01")-AG23-AG22-AG21-AG20-AG19-AG18</f>
        <v>1</v>
      </c>
      <c r="AH24" s="249">
        <f>+COUNTIFS('[1]ENCUESTA CONDUCTORES'!$Q$7:$Q$459,"X",'[1]ENCUESTA CONDUCTORES'!$AH$7:$AH$459,"&lt;1986",'[1]ENCUESTA CONDUCTORES'!$AX$7:$AX$459,"&lt;4.01")-AG24-AG23-AH23-AH22-AG22-AH21-AG21-AH20-AG20-AH19-AG19-AH18-AG18</f>
        <v>0</v>
      </c>
      <c r="AI24" s="249">
        <f>+COUNTIFS('[1]ENCUESTA CONDUCTORES'!$Q$7:$Q$459,"X",'[1]ENCUESTA CONDUCTORES'!$AH$7:$AH$459,"&lt;1991",'[1]ENCUESTA CONDUCTORES'!$AX$7:$AX$459,"&lt;4.01")-AH24-AG24-AI23-AH23-AG23-AI22-AH22-AG22-AI21-AH21-AG21-AI20-AH20-AG20-AI19-AH19-AG19-AI18-AH18-AG18</f>
        <v>4</v>
      </c>
      <c r="AJ24" s="249">
        <f>+COUNTIFS('[1]ENCUESTA CONDUCTORES'!$Q$7:$Q$459,"X",'[1]ENCUESTA CONDUCTORES'!$AH$7:$AH$459,"&lt;1996",'[1]ENCUESTA CONDUCTORES'!$AX$7:$AX$459,"&lt;4.01")-AI24-AH24-AG24-AJ23-AI23-AH23-AG23-AJ22-AI22-AH22-AG22-AJ21-AI21-AH21-AG21-AJ20-AI20-AH20-AG20-AJ19-AI19-AH19-AG19-AJ18-AI18-AH18-AG18</f>
        <v>2</v>
      </c>
      <c r="AK24" s="249">
        <f>+COUNTIFS('[1]ENCUESTA CONDUCTORES'!$Q$7:$Q$459,"X",'[1]ENCUESTA CONDUCTORES'!$AH$7:$AH$459,"&lt;2001",'[1]ENCUESTA CONDUCTORES'!$AX$7:$AX$459,"&lt;4.01")-AJ24-AI24-AH24-AG24-AK23-AJ23-AI23-AH23-AG23-AK22-AJ22-AI22-AH22-AG22-AK21-AJ21-AI21-AH21-AG21-AK20-AJ20-AI20-AH20-AG20-AK19-AJ19-AI19-AH19-AG19-AK18-AJ18-AI18-AH18-AG18</f>
        <v>6</v>
      </c>
      <c r="AL24" s="249">
        <f>+COUNTIFS('[1]ENCUESTA CONDUCTORES'!$Q$7:$Q$459,"X",'[1]ENCUESTA CONDUCTORES'!$AH$7:$AH$459,"&lt;2006",'[1]ENCUESTA CONDUCTORES'!$AX$7:$AX$459,"&lt;4.01")-AK24-AJ24-AI24-AH24-AG24-AL23-AK23-AJ23-AI23-AH23-AG23-AL22-AK22-AJ22-AI22-AH22-AG22-AL21-AK21-AJ21-AI21-AH21-AG21-AL20-AK20-AJ20-AI20-AH20-AG20-AL19-AK19-AJ19-AI19-AH19-AG19-AL18-AK18-AJ18-AI18-AH18-AG18</f>
        <v>7</v>
      </c>
      <c r="AM24" s="249">
        <f>+COUNTIFS('[1]ENCUESTA CONDUCTORES'!$Q$7:$Q$459,"X",'[1]ENCUESTA CONDUCTORES'!$AH$7:$AH$459,"&lt;2011",'[1]ENCUESTA CONDUCTORES'!$AX$7:$AX$459,"&lt;4.01")-AL24-AK24-AJ24-AI24-AH24-AG24-AM23-AL23-AK23-AJ23-AI23-AH23-AG23-AM22-AL22-AK22-AJ22-AI22-AH22-AG22-AM21-AL21-AK21-AJ21-AI21-AH21-AG21-AM20-AL20-AK20-AJ20-AI20-AH20-AG20-AM19-AL19-AK19-AJ19-AI19-AH19-AG19-AM18-AL18-AK18-AJ18-AI18-AH18-AG18</f>
        <v>7</v>
      </c>
      <c r="AN24" s="249">
        <f>+COUNTIFS('[1]ENCUESTA CONDUCTORES'!$Q$7:$Q$459,"X",'[1]ENCUESTA CONDUCTORES'!$AH$7:$AH$459,"&gt;2010",'[1]ENCUESTA CONDUCTORES'!$AX$7:$AX$459,"&lt;4.01")-AN23-AN22-AN21-AN20-AN19-AN18</f>
        <v>0</v>
      </c>
      <c r="AO24" s="249">
        <f t="shared" si="65"/>
        <v>27</v>
      </c>
      <c r="AR24" s="19" t="s">
        <v>1725</v>
      </c>
      <c r="AS24" s="249">
        <f>+COUNTIFS('[1]ENCUESTA CONDUCTORES'!$Q$7:$Q$459,"X",'[1]ENCUESTA CONDUCTORES'!$AH$7:$AH$459,"&lt;1980",'[1]ENCUESTA CONDUCTORES'!$AX$7:$AX$459,"&lt;4.01")-AS23-AS22-AS21-AS20-AS19-AS18</f>
        <v>1</v>
      </c>
      <c r="AT24" s="249">
        <f>+COUNTIFS('[1]ENCUESTA CONDUCTORES'!$Q$7:$Q$459,"X",'[1]ENCUESTA CONDUCTORES'!$AH$7:$AH$459,"&lt;1986",'[1]ENCUESTA CONDUCTORES'!$AX$7:$AX$459,"&lt;4.01")-AS24-AS23-AT23-AT22-AS22-AT21-AS21-AT20-AS20-AT19-AS19-AT18-AS18</f>
        <v>0</v>
      </c>
      <c r="AU24" s="249">
        <f>+COUNTIFS('[1]ENCUESTA CONDUCTORES'!$Q$7:$Q$459,"X",'[1]ENCUESTA CONDUCTORES'!$AH$7:$AH$459,"&lt;1991",'[1]ENCUESTA CONDUCTORES'!$AX$7:$AX$459,"&lt;4.01")-AT24-AS24-AU23-AT23-AS23-AU22-AT22-AS22-AU21-AT21-AS21-AU20-AT20-AS20-AU19-AT19-AS19-AU18-AT18-AS18</f>
        <v>4</v>
      </c>
      <c r="AV24" s="249">
        <f>+COUNTIFS('[1]ENCUESTA CONDUCTORES'!$Q$7:$Q$459,"X",'[1]ENCUESTA CONDUCTORES'!$AH$7:$AH$459,"&lt;1996",'[1]ENCUESTA CONDUCTORES'!$AX$7:$AX$459,"&lt;4.01")-AU24-AT24-AS24-AV23-AU23-AT23-AS23-AV22-AU22-AT22-AS22-AV21-AU21-AT21-AS21-AV20-AU20-AT20-AS20-AV19-AU19-AT19-AS19-AV18-AU18-AT18-AS18</f>
        <v>2</v>
      </c>
      <c r="AW24" s="249">
        <f>+COUNTIFS('[1]ENCUESTA CONDUCTORES'!$Q$7:$Q$459,"X",'[1]ENCUESTA CONDUCTORES'!$AH$7:$AH$459,"&lt;2001",'[1]ENCUESTA CONDUCTORES'!$AX$7:$AX$459,"&lt;4.01")-AV24-AU24-AT24-AS24-AW23-AV23-AU23-AT23-AS23-AW22-AV22-AU22-AT22-AS22-AW21-AV21-AU21-AT21-AS21-AW20-AV20-AU20-AT20-AS20-AW19-AV19-AU19-AT19-AS19-AW18-AV18-AU18-AT18-AS18</f>
        <v>6</v>
      </c>
      <c r="AX24" s="249">
        <f>+COUNTIFS('[1]ENCUESTA CONDUCTORES'!$Q$7:$Q$459,"X",'[1]ENCUESTA CONDUCTORES'!$AH$7:$AH$459,"&lt;2006",'[1]ENCUESTA CONDUCTORES'!$AX$7:$AX$459,"&lt;4.01")-AW24-AV24-AU24-AT24-AS24-AX23-AW23-AV23-AU23-AT23-AS23-AX22-AW22-AV22-AU22-AT22-AS22-AX21-AW21-AV21-AU21-AT21-AS21-AX20-AW20-AV20-AU20-AT20-AS20-AX19-AW19-AV19-AU19-AT19-AS19-AX18-AW18-AV18-AU18-AT18-AS18</f>
        <v>7</v>
      </c>
      <c r="AY24" s="249">
        <f>+COUNTIFS('[1]ENCUESTA CONDUCTORES'!$Q$7:$Q$459,"X",'[1]ENCUESTA CONDUCTORES'!$AH$7:$AH$459,"&lt;2011",'[1]ENCUESTA CONDUCTORES'!$AX$7:$AX$459,"&lt;4.01")-AX24-AW24-AV24-AU24-AT24-AS24-AY23-AX23-AW23-AV23-AU23-AT23-AS23-AY22-AX22-AW22-AV22-AU22-AT22-AS22-AY21-AX21-AW21-AV21-AU21-AT21-AS21-AY20-AX20-AW20-AV20-AU20-AT20-AS20-AY19-AX19-AW19-AV19-AU19-AT19-AS19-AY18-AX18-AW18-AV18-AU18-AT18-AS18</f>
        <v>7</v>
      </c>
      <c r="AZ24" s="249">
        <f>+COUNTIFS('[1]ENCUESTA CONDUCTORES'!$Q$7:$Q$459,"X",'[1]ENCUESTA CONDUCTORES'!$AH$7:$AH$459,"&gt;2010",'[1]ENCUESTA CONDUCTORES'!$AX$7:$AX$459,"&lt;4.01")-AZ23-AZ22-AZ21-AZ20-AZ19-AZ18</f>
        <v>0</v>
      </c>
      <c r="BA24" s="249">
        <f t="shared" si="66"/>
        <v>27</v>
      </c>
      <c r="BD24" s="19" t="s">
        <v>1725</v>
      </c>
      <c r="BE24" s="249">
        <f>+COUNTIFS('[1]ENCUESTA CONDUCTORES'!$S$7:$S$459,"X",'[1]ENCUESTA CONDUCTORES'!$AH$7:$AH$459,"&lt;1980",'[1]ENCUESTA CONDUCTORES'!$AX$7:$AX$459,"&lt;4.01")-BE23-BE22-BE21-BE20-BE19-BE18</f>
        <v>0</v>
      </c>
      <c r="BF24" s="249">
        <f>+COUNTIFS('[1]ENCUESTA CONDUCTORES'!$S$7:$S$459,"X",'[1]ENCUESTA CONDUCTORES'!$AH$7:$AH$459,"&lt;1986",'[1]ENCUESTA CONDUCTORES'!$AX$7:$AX$459,"&lt;4.01")-BE24-BE23-BF23-BF22-BE22-BF21-BE21-BF20-BE20-BF19-BE19-BF18-BE18</f>
        <v>0</v>
      </c>
      <c r="BG24" s="249">
        <f>+COUNTIFS('[1]ENCUESTA CONDUCTORES'!$S$7:$S$459,"X",'[1]ENCUESTA CONDUCTORES'!$AH$7:$AH$459,"&lt;1991",'[1]ENCUESTA CONDUCTORES'!$AX$7:$AX$459,"&lt;4.01")-BF24-BE24-BG23-BF23-BE23-BG22-BF22-BE22-BG21-BF21-BE21-BG20-BF20-BE20-BG19-BF19-BE19-BG18-BF18-BE18</f>
        <v>0</v>
      </c>
      <c r="BH24" s="249">
        <f>+COUNTIFS('[1]ENCUESTA CONDUCTORES'!$S$7:$S$459,"X",'[1]ENCUESTA CONDUCTORES'!$AH$7:$AH$459,"&lt;1996",'[1]ENCUESTA CONDUCTORES'!$AX$7:$AX$459,"&lt;4.01")-BG24-BF24-BE24-BH23-BG23-BF23-BE23-BH22-BG22-BF22-BE22-BH21-BG21-BF21-BE21-BH20-BG20-BF20-BE20-BH19-BG19-BF19-BE19-BH18-BG18-BF18-BE18</f>
        <v>1</v>
      </c>
      <c r="BI24" s="249">
        <f>+COUNTIFS('[1]ENCUESTA CONDUCTORES'!$S$7:$S$459,"X",'[1]ENCUESTA CONDUCTORES'!$AH$7:$AH$459,"&lt;2001",'[1]ENCUESTA CONDUCTORES'!$AX$7:$AX$459,"&lt;4.01")-BH24-BG24-BF24-BE24-BI23-BH23-BG23-BF23-BE23-BI22-BH22-BG22-BF22-BE22-BI21-BH21-BG21-BF21-BE21-BI20-BH20-BG20-BF20-BE20-BI19-BH19-BG19-BF19-BE19-BI18-BH18-BG18-BF18-BE18</f>
        <v>0</v>
      </c>
      <c r="BJ24" s="249">
        <f>+COUNTIFS('[1]ENCUESTA CONDUCTORES'!$S$7:$S$459,"X",'[1]ENCUESTA CONDUCTORES'!$AH$7:$AH$459,"&lt;2006",'[1]ENCUESTA CONDUCTORES'!$AX$7:$AX$459,"&lt;4.01")-BI24-BH24-BG24-BF24-BE24-BJ23-BI23-BH23-BG23-BF23-BE23-BJ22-BI22-BH22-BG22-BF22-BE22-BJ21-BI21-BH21-BG21-BF21-BE21-BJ20-BI20-BH20-BG20-BF20-BE20-BJ19-BI19-BH19-BG19-BF19-BE19-BJ18-BI18-BH18-BG18-BF18-BE18</f>
        <v>0</v>
      </c>
      <c r="BK24" s="249">
        <f>+COUNTIFS('[1]ENCUESTA CONDUCTORES'!$S$7:$S$459,"X",'[1]ENCUESTA CONDUCTORES'!$AH$7:$AH$459,"&lt;2011",'[1]ENCUESTA CONDUCTORES'!$AX$7:$AX$459,"&lt;4.01")-BJ24-BI24-BH24-BG24-BF24-BE24-BK23-BJ23-BI23-BH23-BG23-BF23-BE23-BK22-BJ22-BI22-BH22-BG22-BF22-BE22-BK21-BJ21-BI21-BH21-BG21-BF21-BE21-BK20-BJ20-BI20-BH20-BG20-BF20-BE20-BK19-BJ19-BI19-BH19-BG19-BF19-BE19-BK18-BJ18-BI18-BH18-BG18-BF18-BE18</f>
        <v>2</v>
      </c>
      <c r="BL24" s="249">
        <f>+COUNTIFS('[1]ENCUESTA CONDUCTORES'!$S$7:$S$459,"X",'[1]ENCUESTA CONDUCTORES'!$AH$7:$AH$459,"&gt;2010",'[1]ENCUESTA CONDUCTORES'!$AX$7:$AX$459,"&lt;4.01")-BL23-BL22-BL21-BL20-BL19-BL18</f>
        <v>0</v>
      </c>
      <c r="BM24" s="249">
        <f t="shared" si="67"/>
        <v>3</v>
      </c>
      <c r="BP24" s="19" t="s">
        <v>1725</v>
      </c>
      <c r="BQ24" s="249">
        <f>+COUNTIFS('[1]ENCUESTA CONDUCTORES'!$S$7:$S$459,"X",'[1]ENCUESTA CONDUCTORES'!$AH$7:$AH$459,"&lt;1980",'[1]ENCUESTA CONDUCTORES'!$AX$7:$AX$459,"&lt;4.01")-BQ23-BQ22-BQ21-BQ20-BQ19-BQ18</f>
        <v>0</v>
      </c>
      <c r="BR24" s="249">
        <f>+COUNTIFS('[1]ENCUESTA CONDUCTORES'!$S$7:$S$459,"X",'[1]ENCUESTA CONDUCTORES'!$AH$7:$AH$459,"&lt;1986",'[1]ENCUESTA CONDUCTORES'!$AX$7:$AX$459,"&lt;4.01")-BQ24-BQ23-BR23-BR22-BQ22-BR21-BQ21-BR20-BQ20-BR19-BQ19-BR18-BQ18</f>
        <v>0</v>
      </c>
      <c r="BS24" s="249">
        <f>+COUNTIFS('[1]ENCUESTA CONDUCTORES'!$S$7:$S$459,"X",'[1]ENCUESTA CONDUCTORES'!$AH$7:$AH$459,"&lt;1991",'[1]ENCUESTA CONDUCTORES'!$AX$7:$AX$459,"&lt;4.01")-BR24-BQ24-BS23-BR23-BQ23-BS22-BR22-BQ22-BS21-BR21-BQ21-BS20-BR20-BQ20-BS19-BR19-BQ19-BS18-BR18-BQ18</f>
        <v>0</v>
      </c>
      <c r="BT24" s="249">
        <f>+COUNTIFS('[1]ENCUESTA CONDUCTORES'!$S$7:$S$459,"X",'[1]ENCUESTA CONDUCTORES'!$AH$7:$AH$459,"&lt;1996",'[1]ENCUESTA CONDUCTORES'!$AX$7:$AX$459,"&lt;4.01")-BS24-BR24-BQ24-BT23-BS23-BR23-BQ23-BT22-BS22-BR22-BQ22-BT21-BS21-BR21-BQ21-BT20-BS20-BR20-BQ20-BT19-BS19-BR19-BQ19-BT18-BS18-BR18-BQ18</f>
        <v>1</v>
      </c>
      <c r="BU24" s="249">
        <f>+COUNTIFS('[1]ENCUESTA CONDUCTORES'!$S$7:$S$459,"X",'[1]ENCUESTA CONDUCTORES'!$AH$7:$AH$459,"&lt;2001",'[1]ENCUESTA CONDUCTORES'!$AX$7:$AX$459,"&lt;4.01")-BT24-BS24-BR24-BQ24-BU23-BT23-BS23-BR23-BQ23-BU22-BT22-BS22-BR22-BQ22-BU21-BT21-BS21-BR21-BQ21-BU20-BT20-BS20-BR20-BQ20-BU19-BT19-BS19-BR19-BQ19-BU18-BT18-BS18-BR18-BQ18</f>
        <v>0</v>
      </c>
      <c r="BV24" s="249">
        <f>+COUNTIFS('[1]ENCUESTA CONDUCTORES'!$S$7:$S$459,"X",'[1]ENCUESTA CONDUCTORES'!$AH$7:$AH$459,"&lt;2006",'[1]ENCUESTA CONDUCTORES'!$AX$7:$AX$459,"&lt;4.01")-BU24-BT24-BS24-BR24-BQ24-BV23-BU23-BT23-BS23-BR23-BQ23-BV22-BU22-BT22-BS22-BR22-BQ22-BV21-BU21-BT21-BS21-BR21-BQ21-BV20-BU20-BT20-BS20-BR20-BQ20-BV19-BU19-BT19-BS19-BR19-BQ19-BV18-BU18-BT18-BS18-BR18-BQ18</f>
        <v>0</v>
      </c>
      <c r="BW24" s="249">
        <f>+COUNTIFS('[1]ENCUESTA CONDUCTORES'!$S$7:$S$459,"X",'[1]ENCUESTA CONDUCTORES'!$AH$7:$AH$459,"&lt;2011",'[1]ENCUESTA CONDUCTORES'!$AX$7:$AX$459,"&lt;4.01")-BV24-BU24-BT24-BS24-BR24-BQ24-BW23-BV23-BU23-BT23-BS23-BR23-BQ23-BW22-BV22-BU22-BT22-BS22-BR22-BQ22-BW21-BV21-BU21-BT21-BS21-BR21-BQ21-BW20-BV20-BU20-BT20-BS20-BR20-BQ20-BW19-BV19-BU19-BT19-BS19-BR19-BQ19-BW18-BV18-BU18-BT18-BS18-BR18-BQ18</f>
        <v>2</v>
      </c>
      <c r="BX24" s="249">
        <f>+COUNTIFS('[1]ENCUESTA CONDUCTORES'!$S$7:$S$459,"X",'[1]ENCUESTA CONDUCTORES'!$AH$7:$AH$459,"&gt;2010",'[1]ENCUESTA CONDUCTORES'!$AX$7:$AX$459,"&lt;4.01")-BX23-BX22-BX21-BX20-BX19-BX18</f>
        <v>0</v>
      </c>
      <c r="BY24" s="249">
        <f t="shared" si="68"/>
        <v>3</v>
      </c>
      <c r="CA24" s="249">
        <v>2001</v>
      </c>
      <c r="CB24" s="144">
        <f>AVERAGEIFS('DATOS 2'!$F$5:$F$1437,'DATOS 2'!$D$5:$D$1437,CA24)</f>
        <v>2.603968253968254</v>
      </c>
      <c r="CC24" s="144">
        <f>AVERAGEIFS('DATOS 2'!$G$5:$G$1437,'DATOS 2'!$D$5:$D$1437,CA24)</f>
        <v>3.0873015873015865</v>
      </c>
      <c r="CD24" s="138">
        <f>AVERAGEIFS('DATOS 2'!$E$5:$E$1437,'DATOS 2'!$D$5:$D$1437,CA24)</f>
        <v>1042496.2</v>
      </c>
      <c r="CF24" s="9" t="s">
        <v>1885</v>
      </c>
      <c r="CG24" s="160">
        <f>AVERAGEIFS('DATOS 2'!$F$5:$F$1437,'DATOS 2'!$C$5:$C$1437,"T2",'DATOS 2'!$H$5:$H$1437,"D",'DATOS 2'!$D$5:$D$1437,"&gt;1985",'DATOS 2'!$D$5:$D$1437,"&lt;1991")</f>
        <v>2.2999999999999998</v>
      </c>
      <c r="CH24" s="160">
        <f>AVERAGEIFS('DATOS 2'!$G$5:$G$1437,'DATOS 2'!$C$5:$C$1437,"T2",'DATOS 2'!$H$5:$H$1437,"D",'DATOS 2'!$D$5:$D$1437,"&gt;1985",'DATOS 2'!$D$5:$D$1437,"&lt;1991")</f>
        <v>2.8</v>
      </c>
      <c r="CS24" s="249" t="s">
        <v>847</v>
      </c>
      <c r="CT24" s="6">
        <f t="shared" si="52"/>
        <v>1.078167115902965E-2</v>
      </c>
      <c r="CU24" s="6">
        <f t="shared" si="53"/>
        <v>5.8823529411764705E-2</v>
      </c>
      <c r="CV24" s="249">
        <f>COUNTIF('DATOS 1'!$AQ$51:$AQ$427,'FORMULAS PLUS'!CS24)</f>
        <v>4</v>
      </c>
      <c r="CW24" s="249">
        <f>COUNTIF('DATOS 1'!$AQ$7:$AQ$40,'FORMULAS PLUS'!CS24)</f>
        <v>2</v>
      </c>
      <c r="CX24" s="249"/>
      <c r="DB24" s="11">
        <f t="shared" si="63"/>
        <v>27</v>
      </c>
      <c r="DC24" s="9">
        <v>1987</v>
      </c>
      <c r="DD24" s="6">
        <f t="shared" si="60"/>
        <v>1.0773751224289911E-2</v>
      </c>
      <c r="DE24" s="6">
        <f t="shared" si="61"/>
        <v>7.2815533980582527E-3</v>
      </c>
      <c r="DF24" s="249">
        <f t="shared" si="14"/>
        <v>14</v>
      </c>
      <c r="DG24" s="249">
        <f>COUNTIFS('DATOS 2'!$K$5:$K$1437,"HC",'DATOS 2'!$D$5:$D$1437,DC24)</f>
        <v>11</v>
      </c>
      <c r="DH24" s="249">
        <f>COUNTIFS('DATOS 2'!$K$5:$K$1437,"PT",'DATOS 2'!$D$5:$D$1437,DC24)</f>
        <v>3</v>
      </c>
      <c r="EF24" s="162">
        <f>SUM(EF17:EF22)</f>
        <v>1</v>
      </c>
    </row>
    <row r="25" spans="2:140" ht="45" x14ac:dyDescent="0.25">
      <c r="C25" s="146" t="s">
        <v>30</v>
      </c>
      <c r="D25" s="163" t="s">
        <v>31</v>
      </c>
      <c r="F25" s="146" t="s">
        <v>32</v>
      </c>
      <c r="G25" s="146" t="s">
        <v>33</v>
      </c>
      <c r="H25" s="146" t="s">
        <v>34</v>
      </c>
      <c r="I25" s="146" t="s">
        <v>263</v>
      </c>
      <c r="J25" s="11" t="s">
        <v>2384</v>
      </c>
      <c r="Q25" s="11"/>
      <c r="R25" s="9"/>
      <c r="S25" s="249" t="s">
        <v>1714</v>
      </c>
      <c r="T25" s="249">
        <f>COUNTIFS('[1]ENCUESTA CONDUCTORES'!$AH$7:$AH$459,"&lt;1980",'[1]ENCUESTA CONDUCTORES'!$AI$7:$AI$459,"&lt;2500001")-T24-T23-T22-T21-T20</f>
        <v>5</v>
      </c>
      <c r="U25" s="249">
        <f>COUNTIFS('[1]ENCUESTA CONDUCTORES'!$AH$7:$AH$459,"&lt;1986",'[1]ENCUESTA CONDUCTORES'!$AI$7:$AI$459,"&lt;2500001")-T25-U24-T24-U23-T23-U22-T22-U21-T21-U20-T20</f>
        <v>2</v>
      </c>
      <c r="V25" s="249">
        <f>COUNTIFS('[1]ENCUESTA CONDUCTORES'!$AH$7:$AH$459,"&lt;1991",'[1]ENCUESTA CONDUCTORES'!$AI$7:$AI$459,"&lt;2500001")-U25-T25-V24-U24-T24-V23-U23-T23-V22-U22-T22-V21-U21-T21-V20-U20-T20</f>
        <v>0</v>
      </c>
      <c r="W25" s="249">
        <f>COUNTIFS('[1]ENCUESTA CONDUCTORES'!$AH$7:$AH$459,"&lt;1996",'[1]ENCUESTA CONDUCTORES'!$AI$7:$AI$459,"&lt;2500001")-V25-U25-T25-W24-V24-U24-T24-W23-V23-U23-T23-W22-V22-U22-T22-W21-V21-U21-T21-W20-V20-U20-T20</f>
        <v>1</v>
      </c>
      <c r="X25" s="249">
        <f>COUNTIFS('[1]ENCUESTA CONDUCTORES'!$AH$7:$AH$459,"&lt;2001",'[1]ENCUESTA CONDUCTORES'!$AI$7:$AI$459,"&lt;2500001")-W25-V25-U25-T25-X24-W24-V24-U24-T24-X23-W23-V23-U23-T23-X22-W22-V22-U22-T22-X21-W21-V21-U21-T21-X20-W20-V20-U20-T20</f>
        <v>4</v>
      </c>
      <c r="Y25" s="249">
        <f>COUNTIFS('[1]ENCUESTA CONDUCTORES'!$AH$7:$AH$459,"&lt;2006",'[1]ENCUESTA CONDUCTORES'!$AI$7:$AI$459,"&lt;2500001")-X25-W25-V25-U25-T25-Y24-X24-W24-V24-U24-T24-Y23-X23-W23-V23-U23-T23-Y22-X22-W22-V22-U22-T22-Y21-X21-W21-V21-U21-T21-Y20-X20-W20-V20-U20-T20</f>
        <v>0</v>
      </c>
      <c r="Z25" s="249">
        <f>COUNTIFS('[1]ENCUESTA CONDUCTORES'!$AH$7:$AH$459,"&lt;2011",'[1]ENCUESTA CONDUCTORES'!$AI$7:$AI$459,"&lt;2500001")-Y25-X25-W25-V25-U25-T25-Z24-Y24-X24-W24-V24-U24-T24-Z23-Y23-X23-W23-V23-U23-T23-Z22-Y22-X22-W22-V22-U22-T22-Z21-Y21-X21-W21-V21-U21-T21-Z20-Y20-X20-W20-V20-U20-T20</f>
        <v>0</v>
      </c>
      <c r="AA25" s="249">
        <f>COUNTIFS('[1]ENCUESTA CONDUCTORES'!$AH$7:$AH$459,"&gt;2010",'[1]ENCUESTA CONDUCTORES'!$AI$7:$AI$459,"&lt;2500001")-AA24-AA23-AA22-AA21-AA20</f>
        <v>0</v>
      </c>
      <c r="AB25" s="249">
        <f t="shared" si="71"/>
        <v>12</v>
      </c>
      <c r="AC25" s="249">
        <v>12</v>
      </c>
      <c r="AF25" s="19" t="s">
        <v>1726</v>
      </c>
      <c r="AG25" s="249">
        <f>+COUNTIFS('[1]ENCUESTA CONDUCTORES'!$Q$7:$Q$459,"X",'[1]ENCUESTA CONDUCTORES'!$AH$7:$AH$459,"&lt;1980",'[1]ENCUESTA CONDUCTORES'!$AX$7:$AX$459,"&lt;5.01")-AG24-AG23-AG22-AG21-AG20-AG19-AG18</f>
        <v>0</v>
      </c>
      <c r="AH25" s="249">
        <f>+COUNTIFS('[1]ENCUESTA CONDUCTORES'!$Q$7:$Q$459,"X",'[1]ENCUESTA CONDUCTORES'!$AH$7:$AH$459,"&lt;1986",'[1]ENCUESTA CONDUCTORES'!$AX$7:$AX$459,"&lt;5.01")-AG25-AG24-AH24-AH23-AG23-AH22-AG22-AH21-AG21-AH20-AG20-AH19-AG19-AH18-AG18</f>
        <v>0</v>
      </c>
      <c r="AI25" s="249">
        <f>+COUNTIFS('[1]ENCUESTA CONDUCTORES'!$Q$7:$Q$459,"X",'[1]ENCUESTA CONDUCTORES'!$AH$7:$AH$459,"&lt;1991",'[1]ENCUESTA CONDUCTORES'!$AX$7:$AX$459,"&lt;5.01")-AH25-AG25-AI24-AH24-AG24-AI23-AH23-AG23-AI22-AH22-AG22-AI21-AH21-AG21-AI20-AH20-AG20-AI19-AH19-AG19-AI18-AH18-AG18</f>
        <v>0</v>
      </c>
      <c r="AJ25" s="249">
        <f>+COUNTIFS('[1]ENCUESTA CONDUCTORES'!$Q$7:$Q$459,"X",'[1]ENCUESTA CONDUCTORES'!$AH$7:$AH$459,"&lt;1996",'[1]ENCUESTA CONDUCTORES'!$AX$7:$AX$459,"&lt;5.01")-AI25-AH25-AG25-AJ24-AI24-AH24-AG24-AJ23-AI23-AH23-AG23-AJ22-AI22-AH22-AG22-AJ21-AI21-AH21-AG21-AJ20-AI20-AH20-AG20-AJ19-AI19-AH19-AG19-AJ18-AI18-AH18-AG18</f>
        <v>0</v>
      </c>
      <c r="AK25" s="249">
        <f>+COUNTIFS('[1]ENCUESTA CONDUCTORES'!$Q$7:$Q$459,"X",'[1]ENCUESTA CONDUCTORES'!$AH$7:$AH$459,"&lt;2001",'[1]ENCUESTA CONDUCTORES'!$AX$7:$AX$459,"&lt;5.01")-AJ25-AI25-AH25-AG25-AK24-AJ24-AI24-AH24-AG24-AK23-AJ23-AI23-AH23-AG23-AK22-AJ22-AI22-AH22-AG22-AK21-AJ21-AI21-AH21-AG21-AK20-AJ20-AI20-AH20-AG20-AK19-AJ19-AI19-AH19-AG19-AK18-AJ18-AI18-AH18-AG18</f>
        <v>0</v>
      </c>
      <c r="AL25" s="249">
        <f>+COUNTIFS('[1]ENCUESTA CONDUCTORES'!$Q$7:$Q$459,"X",'[1]ENCUESTA CONDUCTORES'!$AH$7:$AH$459,"&lt;2006",'[1]ENCUESTA CONDUCTORES'!$AX$7:$AX$459,"&lt;5.01")-AK25-AJ25-AI25-AH25-AG25-AL24-AK24-AJ24-AI24-AH24-AG24-AL23-AK23-AJ23-AI23-AH23-AG23-AL22-AK22-AJ22-AI22-AH22-AG22-AL21-AK21-AJ21-AI21-AH21-AG21-AL20-AK20-AJ20-AI20-AH20-AG20-AL19-AK19-AJ19-AI19-AH19-AG19-AL18-AK18-AJ18-AI18-AH18-AG18</f>
        <v>0</v>
      </c>
      <c r="AM25" s="249">
        <f>+COUNTIFS('[1]ENCUESTA CONDUCTORES'!$Q$7:$Q$459,"X",'[1]ENCUESTA CONDUCTORES'!$AH$7:$AH$459,"&lt;2011",'[1]ENCUESTA CONDUCTORES'!$AX$7:$AX$459,"&lt;5.01")-AL25-AK25-AJ25-AI25-AH25-AG25-AM24-AL24-AK24-AJ24-AI24-AH24-AG24-AM23-AL23-AK23-AJ23-AI23-AH23-AG23-AM22-AL22-AK22-AJ22-AI22-AH22-AG22-AM21-AL21-AK21-AJ21-AI21-AH21-AG21-AM20-AL20-AK20-AJ20-AI20-AH20-AG20-AM19-AL19-AK19-AJ19-AI19-AH19-AG19-AM18-AL18-AK18-AJ18-AI18-AH18-AG18</f>
        <v>0</v>
      </c>
      <c r="AN25" s="249">
        <f>+COUNTIFS('[1]ENCUESTA CONDUCTORES'!$Q$7:$Q$459,"X",'[1]ENCUESTA CONDUCTORES'!$AH$7:$AH$459,"&gt;2010",'[1]ENCUESTA CONDUCTORES'!$AX$7:$AX$459,"&lt;5.01")-AN24-AN23-AN22-AN21-AN20-AN19-AN18</f>
        <v>0</v>
      </c>
      <c r="AO25" s="249">
        <f t="shared" si="65"/>
        <v>0</v>
      </c>
      <c r="AR25" s="19" t="s">
        <v>1726</v>
      </c>
      <c r="AS25" s="249">
        <f>+COUNTIFS('[1]ENCUESTA CONDUCTORES'!$Q$7:$Q$459,"X",'[1]ENCUESTA CONDUCTORES'!$AH$7:$AH$459,"&lt;1980",'[1]ENCUESTA CONDUCTORES'!$AX$7:$AX$459,"&lt;5.01")-AS24-AS23-AS22-AS21-AS20-AS19-AS18</f>
        <v>0</v>
      </c>
      <c r="AT25" s="249">
        <f>+COUNTIFS('[1]ENCUESTA CONDUCTORES'!$Q$7:$Q$459,"X",'[1]ENCUESTA CONDUCTORES'!$AH$7:$AH$459,"&lt;1986",'[1]ENCUESTA CONDUCTORES'!$AX$7:$AX$459,"&lt;5.01")-AS25-AS24-AT24-AT23-AS23-AT22-AS22-AT21-AS21-AT20-AS20-AT19-AS19-AT18-AS18</f>
        <v>0</v>
      </c>
      <c r="AU25" s="249">
        <f>+COUNTIFS('[1]ENCUESTA CONDUCTORES'!$Q$7:$Q$459,"X",'[1]ENCUESTA CONDUCTORES'!$AH$7:$AH$459,"&lt;1991",'[1]ENCUESTA CONDUCTORES'!$AX$7:$AX$459,"&lt;5.01")-AT25-AS25-AU24-AT24-AS24-AU23-AT23-AS23-AU22-AT22-AS22-AU21-AT21-AS21-AU20-AT20-AS20-AU19-AT19-AS19-AU18-AT18-AS18</f>
        <v>0</v>
      </c>
      <c r="AV25" s="249">
        <f>+COUNTIFS('[1]ENCUESTA CONDUCTORES'!$Q$7:$Q$459,"X",'[1]ENCUESTA CONDUCTORES'!$AH$7:$AH$459,"&lt;1996",'[1]ENCUESTA CONDUCTORES'!$AX$7:$AX$459,"&lt;5.01")-AU25-AT25-AS25-AV24-AU24-AT24-AS24-AV23-AU23-AT23-AS23-AV22-AU22-AT22-AS22-AV21-AU21-AT21-AS21-AV20-AU20-AT20-AS20-AV19-AU19-AT19-AS19-AV18-AU18-AT18-AS18</f>
        <v>0</v>
      </c>
      <c r="AW25" s="249">
        <f>+COUNTIFS('[1]ENCUESTA CONDUCTORES'!$Q$7:$Q$459,"X",'[1]ENCUESTA CONDUCTORES'!$AH$7:$AH$459,"&lt;2001",'[1]ENCUESTA CONDUCTORES'!$AX$7:$AX$459,"&lt;5.01")-AV25-AU25-AT25-AS25-AW24-AV24-AU24-AT24-AS24-AW23-AV23-AU23-AT23-AS23-AW22-AV22-AU22-AT22-AS22-AW21-AV21-AU21-AT21-AS21-AW20-AV20-AU20-AT20-AS20-AW19-AV19-AU19-AT19-AS19-AW18-AV18-AU18-AT18-AS18</f>
        <v>0</v>
      </c>
      <c r="AX25" s="249">
        <f>+COUNTIFS('[1]ENCUESTA CONDUCTORES'!$Q$7:$Q$459,"X",'[1]ENCUESTA CONDUCTORES'!$AH$7:$AH$459,"&lt;2006",'[1]ENCUESTA CONDUCTORES'!$AX$7:$AX$459,"&lt;5.01")-AW25-AV25-AU25-AT25-AS25-AX24-AW24-AV24-AU24-AT24-AS24-AX23-AW23-AV23-AU23-AT23-AS23-AX22-AW22-AV22-AU22-AT22-AS22-AX21-AW21-AV21-AU21-AT21-AS21-AX20-AW20-AV20-AU20-AT20-AS20-AX19-AW19-AV19-AU19-AT19-AS19-AX18-AW18-AV18-AU18-AT18-AS18</f>
        <v>0</v>
      </c>
      <c r="AY25" s="249">
        <f>+COUNTIFS('[1]ENCUESTA CONDUCTORES'!$Q$7:$Q$459,"X",'[1]ENCUESTA CONDUCTORES'!$AH$7:$AH$459,"&lt;2011",'[1]ENCUESTA CONDUCTORES'!$AX$7:$AX$459,"&lt;5.01")-AX25-AW25-AV25-AU25-AT25-AS25-AY24-AX24-AW24-AV24-AU24-AT24-AS24-AY23-AX23-AW23-AV23-AU23-AT23-AS23-AY22-AX22-AW22-AV22-AU22-AT22-AS22-AY21-AX21-AW21-AV21-AU21-AT21-AS21-AY20-AX20-AW20-AV20-AU20-AT20-AS20-AY19-AX19-AW19-AV19-AU19-AT19-AS19-AY18-AX18-AW18-AV18-AU18-AT18-AS18</f>
        <v>0</v>
      </c>
      <c r="AZ25" s="249">
        <f>+COUNTIFS('[1]ENCUESTA CONDUCTORES'!$Q$7:$Q$459,"X",'[1]ENCUESTA CONDUCTORES'!$AH$7:$AH$459,"&gt;2010",'[1]ENCUESTA CONDUCTORES'!$AX$7:$AX$459,"&lt;5.01")-AZ24-AZ23-AZ22-AZ21-AZ20-AZ19-AZ18</f>
        <v>0</v>
      </c>
      <c r="BA25" s="249">
        <f t="shared" si="66"/>
        <v>0</v>
      </c>
      <c r="BD25" s="19" t="s">
        <v>1726</v>
      </c>
      <c r="BE25" s="249">
        <f>+COUNTIFS('[1]ENCUESTA CONDUCTORES'!$S$7:$S$459,"X",'[1]ENCUESTA CONDUCTORES'!$AH$7:$AH$459,"&lt;1980",'[1]ENCUESTA CONDUCTORES'!$AX$7:$AX$459,"&lt;5.01")-BE24-BE23-BE22-BE21-BE20-BE19-BE18</f>
        <v>0</v>
      </c>
      <c r="BF25" s="249">
        <f>+COUNTIFS('[1]ENCUESTA CONDUCTORES'!$S$7:$S$459,"X",'[1]ENCUESTA CONDUCTORES'!$AH$7:$AH$459,"&lt;1986",'[1]ENCUESTA CONDUCTORES'!$AX$7:$AX$459,"&lt;5.01")-BE25-BE24-BF24-BF23-BE23-BF22-BE22-BF21-BE21-BF20-BE20-BF19-BE19-BF18-BE18</f>
        <v>0</v>
      </c>
      <c r="BG25" s="249">
        <f>+COUNTIFS('[1]ENCUESTA CONDUCTORES'!$S$7:$S$459,"X",'[1]ENCUESTA CONDUCTORES'!$AH$7:$AH$459,"&lt;1991",'[1]ENCUESTA CONDUCTORES'!$AX$7:$AX$459,"&lt;5.01")-BF25-BE25-BG24-BF24-BE24-BG23-BF23-BE23-BG22-BF22-BE22-BG21-BF21-BE21-BG20-BF20-BE20-BG19-BF19-BE19-BG18-BF18-BE18</f>
        <v>0</v>
      </c>
      <c r="BH25" s="249">
        <f>+COUNTIFS('[1]ENCUESTA CONDUCTORES'!$S$7:$S$459,"X",'[1]ENCUESTA CONDUCTORES'!$AH$7:$AH$459,"&lt;1996",'[1]ENCUESTA CONDUCTORES'!$AX$7:$AX$459,"&lt;5.01")-BG25-BF25-BE25-BH24-BG24-BF24-BE24-BH23-BG23-BF23-BE23-BH22-BG22-BF22-BE22-BH21-BG21-BF21-BE21-BH20-BG20-BF20-BE20-BH19-BG19-BF19-BE19-BH18-BG18-BF18-BE18</f>
        <v>0</v>
      </c>
      <c r="BI25" s="249">
        <f>+COUNTIFS('[1]ENCUESTA CONDUCTORES'!$S$7:$S$459,"X",'[1]ENCUESTA CONDUCTORES'!$AH$7:$AH$459,"&lt;2001",'[1]ENCUESTA CONDUCTORES'!$AX$7:$AX$459,"&lt;5.01")-BH25-BG25-BF25-BE25-BI24-BH24-BG24-BF24-BE24-BI23-BH23-BG23-BF23-BE23-BI22-BH22-BG22-BF22-BE22-BI21-BH21-BG21-BF21-BE21-BI20-BH20-BG20-BF20-BE20-BI19-BH19-BG19-BF19-BE19-BI18-BH18-BG18-BF18-BE18</f>
        <v>0</v>
      </c>
      <c r="BJ25" s="249">
        <f>+COUNTIFS('[1]ENCUESTA CONDUCTORES'!$S$7:$S$459,"X",'[1]ENCUESTA CONDUCTORES'!$AH$7:$AH$459,"&lt;2006",'[1]ENCUESTA CONDUCTORES'!$AX$7:$AX$459,"&lt;5.01")-BI25-BH25-BG25-BF25-BE25-BJ24-BI24-BH24-BG24-BF24-BE24-BJ23-BI23-BH23-BG23-BF23-BE23-BJ22-BI22-BH22-BG22-BF22-BE22-BJ21-BI21-BH21-BG21-BF21-BE21-BJ20-BI20-BH20-BG20-BF20-BE20-BJ19-BI19-BH19-BG19-BF19-BE19-BJ18-BI18-BH18-BG18-BF18-BE18</f>
        <v>0</v>
      </c>
      <c r="BK25" s="249">
        <f>+COUNTIFS('[1]ENCUESTA CONDUCTORES'!$S$7:$S$459,"X",'[1]ENCUESTA CONDUCTORES'!$AH$7:$AH$459,"&lt;2011",'[1]ENCUESTA CONDUCTORES'!$AX$7:$AX$459,"&lt;5.01")-BJ25-BI25-BH25-BG25-BF25-BE25-BK24-BJ24-BI24-BH24-BG24-BF24-BE24-BK23-BJ23-BI23-BH23-BG23-BF23-BE23-BK22-BJ22-BI22-BH22-BG22-BF22-BE22-BK21-BJ21-BI21-BH21-BG21-BF21-BE21-BK20-BJ20-BI20-BH20-BG20-BF20-BE20-BK19-BJ19-BI19-BH19-BG19-BF19-BE19-BK18-BJ18-BI18-BH18-BG18-BF18-BE18</f>
        <v>0</v>
      </c>
      <c r="BL25" s="249">
        <f>+COUNTIFS('[1]ENCUESTA CONDUCTORES'!$S$7:$S$459,"X",'[1]ENCUESTA CONDUCTORES'!$AH$7:$AH$459,"&gt;2010",'[1]ENCUESTA CONDUCTORES'!$AX$7:$AX$459,"&lt;5.01")-BL24-BL23-BL22-BL21-BL20-BL19-BL18</f>
        <v>0</v>
      </c>
      <c r="BM25" s="249">
        <f t="shared" si="67"/>
        <v>0</v>
      </c>
      <c r="BP25" s="19" t="s">
        <v>1726</v>
      </c>
      <c r="BQ25" s="249">
        <f>+COUNTIFS('[1]ENCUESTA CONDUCTORES'!$S$7:$S$459,"X",'[1]ENCUESTA CONDUCTORES'!$AH$7:$AH$459,"&lt;1980",'[1]ENCUESTA CONDUCTORES'!$AX$7:$AX$459,"&lt;5.01")-BQ24-BQ23-BQ22-BQ21-BQ20-BQ19-BQ18</f>
        <v>0</v>
      </c>
      <c r="BR25" s="249">
        <f>+COUNTIFS('[1]ENCUESTA CONDUCTORES'!$S$7:$S$459,"X",'[1]ENCUESTA CONDUCTORES'!$AH$7:$AH$459,"&lt;1986",'[1]ENCUESTA CONDUCTORES'!$AX$7:$AX$459,"&lt;5.01")-BQ25-BQ24-BR24-BR23-BQ23-BR22-BQ22-BR21-BQ21-BR20-BQ20-BR19-BQ19-BR18-BQ18</f>
        <v>0</v>
      </c>
      <c r="BS25" s="249">
        <f>+COUNTIFS('[1]ENCUESTA CONDUCTORES'!$S$7:$S$459,"X",'[1]ENCUESTA CONDUCTORES'!$AH$7:$AH$459,"&lt;1991",'[1]ENCUESTA CONDUCTORES'!$AX$7:$AX$459,"&lt;5.01")-BR25-BQ25-BS24-BR24-BQ24-BS23-BR23-BQ23-BS22-BR22-BQ22-BS21-BR21-BQ21-BS20-BR20-BQ20-BS19-BR19-BQ19-BS18-BR18-BQ18</f>
        <v>0</v>
      </c>
      <c r="BT25" s="249">
        <f>+COUNTIFS('[1]ENCUESTA CONDUCTORES'!$S$7:$S$459,"X",'[1]ENCUESTA CONDUCTORES'!$AH$7:$AH$459,"&lt;1996",'[1]ENCUESTA CONDUCTORES'!$AX$7:$AX$459,"&lt;5.01")-BS25-BR25-BQ25-BT24-BS24-BR24-BQ24-BT23-BS23-BR23-BQ23-BT22-BS22-BR22-BQ22-BT21-BS21-BR21-BQ21-BT20-BS20-BR20-BQ20-BT19-BS19-BR19-BQ19-BT18-BS18-BR18-BQ18</f>
        <v>0</v>
      </c>
      <c r="BU25" s="249">
        <f>+COUNTIFS('[1]ENCUESTA CONDUCTORES'!$S$7:$S$459,"X",'[1]ENCUESTA CONDUCTORES'!$AH$7:$AH$459,"&lt;2001",'[1]ENCUESTA CONDUCTORES'!$AX$7:$AX$459,"&lt;5.01")-BT25-BS25-BR25-BQ25-BU24-BT24-BS24-BR24-BQ24-BU23-BT23-BS23-BR23-BQ23-BU22-BT22-BS22-BR22-BQ22-BU21-BT21-BS21-BR21-BQ21-BU20-BT20-BS20-BR20-BQ20-BU19-BT19-BS19-BR19-BQ19-BU18-BT18-BS18-BR18-BQ18</f>
        <v>0</v>
      </c>
      <c r="BV25" s="249">
        <f>+COUNTIFS('[1]ENCUESTA CONDUCTORES'!$S$7:$S$459,"X",'[1]ENCUESTA CONDUCTORES'!$AH$7:$AH$459,"&lt;2006",'[1]ENCUESTA CONDUCTORES'!$AX$7:$AX$459,"&lt;5.01")-BU25-BT25-BS25-BR25-BQ25-BV24-BU24-BT24-BS24-BR24-BQ24-BV23-BU23-BT23-BS23-BR23-BQ23-BV22-BU22-BT22-BS22-BR22-BQ22-BV21-BU21-BT21-BS21-BR21-BQ21-BV20-BU20-BT20-BS20-BR20-BQ20-BV19-BU19-BT19-BS19-BR19-BQ19-BV18-BU18-BT18-BS18-BR18-BQ18</f>
        <v>0</v>
      </c>
      <c r="BW25" s="249">
        <f>+COUNTIFS('[1]ENCUESTA CONDUCTORES'!$S$7:$S$459,"X",'[1]ENCUESTA CONDUCTORES'!$AH$7:$AH$459,"&lt;2011",'[1]ENCUESTA CONDUCTORES'!$AX$7:$AX$459,"&lt;5.01")-BV25-BU25-BT25-BS25-BR25-BQ25-BW24-BV24-BU24-BT24-BS24-BR24-BQ24-BW23-BV23-BU23-BT23-BS23-BR23-BQ23-BW22-BV22-BU22-BT22-BS22-BR22-BQ22-BW21-BV21-BU21-BT21-BS21-BR21-BQ21-BW20-BV20-BU20-BT20-BS20-BR20-BQ20-BW19-BV19-BU19-BT19-BS19-BR19-BQ19-BW18-BV18-BU18-BT18-BS18-BR18-BQ18</f>
        <v>0</v>
      </c>
      <c r="BX25" s="249">
        <f>+COUNTIFS('[1]ENCUESTA CONDUCTORES'!$S$7:$S$459,"X",'[1]ENCUESTA CONDUCTORES'!$AH$7:$AH$459,"&gt;2010",'[1]ENCUESTA CONDUCTORES'!$AX$7:$AX$459,"&lt;5.01")-BX24-BX23-BX22-BX21-BX20-BX19-BX18</f>
        <v>0</v>
      </c>
      <c r="BY25" s="249">
        <f t="shared" si="68"/>
        <v>0</v>
      </c>
      <c r="CA25" s="249">
        <v>2002</v>
      </c>
      <c r="CB25" s="144">
        <f>AVERAGEIFS('DATOS 2'!$F$5:$F$1437,'DATOS 2'!$D$5:$D$1437,CA25)</f>
        <v>2.69</v>
      </c>
      <c r="CC25" s="144">
        <f>AVERAGEIFS('DATOS 2'!$G$5:$G$1437,'DATOS 2'!$D$5:$D$1437,CA25)</f>
        <v>3.2324999999999995</v>
      </c>
      <c r="CD25" s="138">
        <f>AVERAGEIFS('DATOS 2'!$E$5:$E$1437,'DATOS 2'!$D$5:$D$1437,CA25)</f>
        <v>826705.5384615385</v>
      </c>
      <c r="CF25" s="9" t="s">
        <v>1879</v>
      </c>
      <c r="CG25" s="160">
        <f>AVERAGEIFS('DATOS 2'!$F$5:$F$1437,'DATOS 2'!$C$5:$C$1437,"T2",'DATOS 2'!$H$5:$H$1437,"D",'DATOS 2'!$D$5:$D$1437,"&gt;1985",'DATOS 2'!$D$5:$D$1437,"&lt;1991")</f>
        <v>2.2999999999999998</v>
      </c>
      <c r="CH25" s="160">
        <f>AVERAGEIFS('DATOS 2'!$G$5:$G$1437,'DATOS 2'!$C$5:$C$1437,"T2",'DATOS 2'!$H$5:$H$1437,"D",'DATOS 2'!$D$5:$D$1437,"&gt;1985",'DATOS 2'!$D$5:$D$1437,"&lt;1991")</f>
        <v>2.8</v>
      </c>
      <c r="CS25" s="249" t="s">
        <v>715</v>
      </c>
      <c r="CT25" s="6">
        <f t="shared" si="52"/>
        <v>1</v>
      </c>
      <c r="CU25" s="6">
        <f>+CW25/$CW$25</f>
        <v>1</v>
      </c>
      <c r="CV25" s="249">
        <f>SUM(CV13:CV24)</f>
        <v>371</v>
      </c>
      <c r="CW25" s="249">
        <f>SUM(CW13:CW24)</f>
        <v>34</v>
      </c>
      <c r="CX25" s="249"/>
      <c r="DB25" s="11">
        <f t="shared" si="63"/>
        <v>26</v>
      </c>
      <c r="DC25" s="9">
        <v>1988</v>
      </c>
      <c r="DD25" s="6">
        <f t="shared" si="60"/>
        <v>1.4691478942213516E-2</v>
      </c>
      <c r="DE25" s="6">
        <f t="shared" si="61"/>
        <v>2.4271844660194173E-3</v>
      </c>
      <c r="DF25" s="249">
        <f t="shared" si="14"/>
        <v>16</v>
      </c>
      <c r="DG25" s="249">
        <f>COUNTIFS('DATOS 2'!$K$5:$K$1437,"HC",'DATOS 2'!$D$5:$D$1437,DC25)</f>
        <v>15</v>
      </c>
      <c r="DH25" s="249">
        <f>COUNTIFS('DATOS 2'!$K$5:$K$1437,"PT",'DATOS 2'!$D$5:$D$1437,DC25)</f>
        <v>1</v>
      </c>
    </row>
    <row r="26" spans="2:140" x14ac:dyDescent="0.25">
      <c r="B26" s="112" t="s">
        <v>584</v>
      </c>
      <c r="C26" s="249">
        <f>COUNTIFS('ENCUESTA PROPIETARIOS'!$I$7:$I$417,$B26,'ENCUESTA PROPIETARIOS'!AL$7:AL$417,"X")</f>
        <v>1</v>
      </c>
      <c r="D26" s="249">
        <f>COUNTIFS('ENCUESTA PROPIETARIOS'!$I$7:$I$417,$B26,'ENCUESTA PROPIETARIOS'!AM$7:AM$417,"X")</f>
        <v>15</v>
      </c>
      <c r="E26" s="112" t="s">
        <v>584</v>
      </c>
      <c r="F26" s="249">
        <f>COUNTIFS('ENCUESTA PROPIETARIOS'!$I$7:$I$417,$B26,'ENCUESTA PROPIETARIOS'!AN$7:AN$417,"X")</f>
        <v>0</v>
      </c>
      <c r="G26" s="249">
        <f>COUNTIFS('ENCUESTA PROPIETARIOS'!$I$7:$I$417,$B26,'ENCUESTA PROPIETARIOS'!AO$7:AO$417,"X")</f>
        <v>13</v>
      </c>
      <c r="H26" s="249">
        <f>COUNTIFS('ENCUESTA PROPIETARIOS'!$I$7:$I$417,$B26,'ENCUESTA PROPIETARIOS'!AP$7:AP$417,"X")</f>
        <v>2</v>
      </c>
      <c r="I26" s="249">
        <f>COUNTIFS('ENCUESTA PROPIETARIOS'!$I$7:$I$417,$B26,'ENCUESTA PROPIETARIOS'!AQ$7:AQ$417,"X")</f>
        <v>4</v>
      </c>
      <c r="J26" s="11" t="s">
        <v>2374</v>
      </c>
      <c r="K26" s="6">
        <f t="shared" ref="K26:K32" si="79">L26/$L$32</f>
        <v>7.8354554358472092E-2</v>
      </c>
      <c r="L26" s="249">
        <f>COUNTIFS('DATOS 2'!$K$5:$K$1437,"HC",'DATOS 2'!$J$5:$J$1437,"&lt;2500")</f>
        <v>80</v>
      </c>
      <c r="Q26" s="11"/>
      <c r="R26" s="9"/>
      <c r="S26" s="249" t="s">
        <v>1715</v>
      </c>
      <c r="T26" s="249">
        <f>COUNTIFS('[1]ENCUESTA CONDUCTORES'!$AH$7:$AH$459,"&lt;1980",'[1]ENCUESTA CONDUCTORES'!$AI$7:$AI$459,"&gt;2500000")</f>
        <v>0</v>
      </c>
      <c r="U26" s="249">
        <f>COUNTIFS('[1]ENCUESTA CONDUCTORES'!$AH$7:$AH$459,"&lt;1986",'[1]ENCUESTA CONDUCTORES'!$AI$7:$AI$459,"&gt;2500000")-T26</f>
        <v>2</v>
      </c>
      <c r="V26" s="249">
        <f>COUNTIFS('[1]ENCUESTA CONDUCTORES'!$AH$7:$AH$459,"&lt;1991",'[1]ENCUESTA CONDUCTORES'!$AI$7:$AI$459,"&gt;2500000")-U26-T26</f>
        <v>0</v>
      </c>
      <c r="W26" s="249">
        <f>COUNTIFS('[1]ENCUESTA CONDUCTORES'!$AH$7:$AH$459,"&lt;1996",'[1]ENCUESTA CONDUCTORES'!$AI$7:$AI$459,"&gt;2500000")-V26-U26-T26</f>
        <v>0</v>
      </c>
      <c r="X26" s="249">
        <f>COUNTIFS('[1]ENCUESTA CONDUCTORES'!$AH$7:$AH$459,"&lt;2001",'[1]ENCUESTA CONDUCTORES'!$AI$7:$AI$459,"&gt;2500000")-W26-V26-U26-T26</f>
        <v>1</v>
      </c>
      <c r="Y26" s="249">
        <f>COUNTIFS('[1]ENCUESTA CONDUCTORES'!$AH$7:$AH$459,"&lt;2006",'[1]ENCUESTA CONDUCTORES'!$AI$7:$AI$459,"&gt;2500000")-X26-W26-V26-U26-T26</f>
        <v>3</v>
      </c>
      <c r="Z26" s="249">
        <f>COUNTIFS('[1]ENCUESTA CONDUCTORES'!$AH$7:$AH$459,"&lt;2011",'[1]ENCUESTA CONDUCTORES'!$AI$7:$AI$459,"&gt;2500000")-Y26-X26-W26-V26-U26-T26</f>
        <v>0</v>
      </c>
      <c r="AA26" s="249">
        <f>COUNTIFS('[1]ENCUESTA CONDUCTORES'!$AH$7:$AH$459,"&gt;2010",'[1]ENCUESTA CONDUCTORES'!$AI$7:$AI$459,"&gt;2500000")</f>
        <v>0</v>
      </c>
      <c r="AB26" s="249">
        <f t="shared" si="71"/>
        <v>6</v>
      </c>
      <c r="AC26" s="249">
        <v>6</v>
      </c>
      <c r="AF26" s="19" t="s">
        <v>1727</v>
      </c>
      <c r="AG26" s="249">
        <f>+COUNTIFS('[1]ENCUESTA CONDUCTORES'!$Q$7:$Q$459,"X",'[1]ENCUESTA CONDUCTORES'!$AH$7:$AH$459,"&lt;1980",'[1]ENCUESTA CONDUCTORES'!$AX$7:$AX$459,"&gt;5.0")</f>
        <v>0</v>
      </c>
      <c r="AH26" s="249">
        <f>+COUNTIFS('[1]ENCUESTA CONDUCTORES'!$Q$7:$Q$459,"X",'[1]ENCUESTA CONDUCTORES'!$AH$7:$AH$459,"&lt;1986",'[1]ENCUESTA CONDUCTORES'!$AX$7:$AX$459,"&gt;5.0")-AG26</f>
        <v>0</v>
      </c>
      <c r="AI26" s="249">
        <f>+COUNTIFS('[1]ENCUESTA CONDUCTORES'!$Q$7:$Q$459,"X",'[1]ENCUESTA CONDUCTORES'!$AH$7:$AH$459,"&lt;1991",'[1]ENCUESTA CONDUCTORES'!$AX$7:$AX$459,"&gt;5.0")-AH26-AG26</f>
        <v>0</v>
      </c>
      <c r="AJ26" s="249">
        <f>+COUNTIFS('[1]ENCUESTA CONDUCTORES'!$Q$7:$Q$459,"X",'[1]ENCUESTA CONDUCTORES'!$AH$7:$AH$459,"&lt;1996",'[1]ENCUESTA CONDUCTORES'!$AX$7:$AX$459,"&gt;5.0")-AI26-AH26-AG26</f>
        <v>0</v>
      </c>
      <c r="AK26" s="249">
        <f>+COUNTIFS('[1]ENCUESTA CONDUCTORES'!$Q$7:$Q$459,"X",'[1]ENCUESTA CONDUCTORES'!$AH$7:$AH$459,"&lt;2001",'[1]ENCUESTA CONDUCTORES'!$AX$7:$AX$459,"&gt;5.0")-AJ26-AI26-AH26-AG26</f>
        <v>0</v>
      </c>
      <c r="AL26" s="249">
        <f>+COUNTIFS('[1]ENCUESTA CONDUCTORES'!$Q$7:$Q$459,"X",'[1]ENCUESTA CONDUCTORES'!$AH$7:$AH$459,"&lt;2006",'[1]ENCUESTA CONDUCTORES'!$AX$7:$AX$459,"&gt;5.0")-AK26-AJ26-AI26-AH26-AG26</f>
        <v>0</v>
      </c>
      <c r="AM26" s="249">
        <f>+COUNTIFS('[1]ENCUESTA CONDUCTORES'!$Q$7:$Q$459,"X",'[1]ENCUESTA CONDUCTORES'!$AH$7:$AH$459,"&lt;2011",'[1]ENCUESTA CONDUCTORES'!$AX$7:$AX$459,"&gt;5.0")-AL26-AK26-AJ26-AI26-AH26-AG26</f>
        <v>0</v>
      </c>
      <c r="AN26" s="249">
        <f>+COUNTIFS('[1]ENCUESTA CONDUCTORES'!$Q$7:$Q$459,"X",'[1]ENCUESTA CONDUCTORES'!$AH$7:$AH$459,"&gt;2010",'[1]ENCUESTA CONDUCTORES'!$AX$7:$AX$459,"&gt;5.0")</f>
        <v>0</v>
      </c>
      <c r="AO26" s="249">
        <f t="shared" si="65"/>
        <v>0</v>
      </c>
      <c r="AR26" s="19" t="s">
        <v>1727</v>
      </c>
      <c r="AS26" s="249">
        <f>+COUNTIFS('[1]ENCUESTA CONDUCTORES'!$Q$7:$Q$459,"X",'[1]ENCUESTA CONDUCTORES'!$AH$7:$AH$459,"&lt;1980",'[1]ENCUESTA CONDUCTORES'!$AX$7:$AX$459,"&gt;5.0")</f>
        <v>0</v>
      </c>
      <c r="AT26" s="249">
        <f>+COUNTIFS('[1]ENCUESTA CONDUCTORES'!$Q$7:$Q$459,"X",'[1]ENCUESTA CONDUCTORES'!$AH$7:$AH$459,"&lt;1986",'[1]ENCUESTA CONDUCTORES'!$AX$7:$AX$459,"&gt;5.0")-AS26</f>
        <v>0</v>
      </c>
      <c r="AU26" s="249">
        <f>+COUNTIFS('[1]ENCUESTA CONDUCTORES'!$Q$7:$Q$459,"X",'[1]ENCUESTA CONDUCTORES'!$AH$7:$AH$459,"&lt;1991",'[1]ENCUESTA CONDUCTORES'!$AX$7:$AX$459,"&gt;5.0")-AT26-AS26</f>
        <v>0</v>
      </c>
      <c r="AV26" s="249">
        <f>+COUNTIFS('[1]ENCUESTA CONDUCTORES'!$Q$7:$Q$459,"X",'[1]ENCUESTA CONDUCTORES'!$AH$7:$AH$459,"&lt;1996",'[1]ENCUESTA CONDUCTORES'!$AX$7:$AX$459,"&gt;5.0")-AU26-AT26-AS26</f>
        <v>0</v>
      </c>
      <c r="AW26" s="249">
        <f>+COUNTIFS('[1]ENCUESTA CONDUCTORES'!$Q$7:$Q$459,"X",'[1]ENCUESTA CONDUCTORES'!$AH$7:$AH$459,"&lt;2001",'[1]ENCUESTA CONDUCTORES'!$AX$7:$AX$459,"&gt;5.0")-AV26-AU26-AT26-AS26</f>
        <v>0</v>
      </c>
      <c r="AX26" s="249">
        <f>+COUNTIFS('[1]ENCUESTA CONDUCTORES'!$Q$7:$Q$459,"X",'[1]ENCUESTA CONDUCTORES'!$AH$7:$AH$459,"&lt;2006",'[1]ENCUESTA CONDUCTORES'!$AX$7:$AX$459,"&gt;5.0")-AW26-AV26-AU26-AT26-AS26</f>
        <v>0</v>
      </c>
      <c r="AY26" s="249">
        <f>+COUNTIFS('[1]ENCUESTA CONDUCTORES'!$Q$7:$Q$459,"X",'[1]ENCUESTA CONDUCTORES'!$AH$7:$AH$459,"&lt;2011",'[1]ENCUESTA CONDUCTORES'!$AX$7:$AX$459,"&gt;5.0")-AX26-AW26-AV26-AU26-AT26-AS26</f>
        <v>0</v>
      </c>
      <c r="AZ26" s="249">
        <f>+COUNTIFS('[1]ENCUESTA CONDUCTORES'!$Q$7:$Q$459,"X",'[1]ENCUESTA CONDUCTORES'!$AH$7:$AH$459,"&gt;2010",'[1]ENCUESTA CONDUCTORES'!$AX$7:$AX$459,"&gt;5.0")</f>
        <v>0</v>
      </c>
      <c r="BA26" s="249">
        <f t="shared" si="66"/>
        <v>0</v>
      </c>
      <c r="BD26" s="19" t="s">
        <v>1727</v>
      </c>
      <c r="BE26" s="249">
        <f>+COUNTIFS('[1]ENCUESTA CONDUCTORES'!$S$7:$S$459,"X",'[1]ENCUESTA CONDUCTORES'!$AH$7:$AH$459,"&lt;1980",'[1]ENCUESTA CONDUCTORES'!$AX$7:$AX$459,"&gt;5.0")</f>
        <v>0</v>
      </c>
      <c r="BF26" s="249">
        <f>+COUNTIFS('[1]ENCUESTA CONDUCTORES'!$S$7:$S$459,"X",'[1]ENCUESTA CONDUCTORES'!$AH$7:$AH$459,"&lt;1986",'[1]ENCUESTA CONDUCTORES'!$AX$7:$AX$459,"&gt;5.0")-BE26</f>
        <v>0</v>
      </c>
      <c r="BG26" s="249">
        <f>+COUNTIFS('[1]ENCUESTA CONDUCTORES'!$S$7:$S$459,"X",'[1]ENCUESTA CONDUCTORES'!$AH$7:$AH$459,"&lt;1991",'[1]ENCUESTA CONDUCTORES'!$AX$7:$AX$459,"&gt;5.0")-BF26-BE26</f>
        <v>0</v>
      </c>
      <c r="BH26" s="249">
        <f>+COUNTIFS('[1]ENCUESTA CONDUCTORES'!$S$7:$S$459,"X",'[1]ENCUESTA CONDUCTORES'!$AH$7:$AH$459,"&lt;1996",'[1]ENCUESTA CONDUCTORES'!$AX$7:$AX$459,"&gt;5.0")-BG26-BF26-BE26</f>
        <v>0</v>
      </c>
      <c r="BI26" s="249">
        <f>+COUNTIFS('[1]ENCUESTA CONDUCTORES'!$S$7:$S$459,"X",'[1]ENCUESTA CONDUCTORES'!$AH$7:$AH$459,"&lt;2001",'[1]ENCUESTA CONDUCTORES'!$AX$7:$AX$459,"&gt;5.0")-BH26-BG26-BF26-BE26</f>
        <v>0</v>
      </c>
      <c r="BJ26" s="249">
        <f>+COUNTIFS('[1]ENCUESTA CONDUCTORES'!$S$7:$S$459,"X",'[1]ENCUESTA CONDUCTORES'!$AH$7:$AH$459,"&lt;2006",'[1]ENCUESTA CONDUCTORES'!$AX$7:$AX$459,"&gt;5.0")-BI26-BH26-BG26-BF26-BE26</f>
        <v>0</v>
      </c>
      <c r="BK26" s="249">
        <f>+COUNTIFS('[1]ENCUESTA CONDUCTORES'!$S$7:$S$459,"X",'[1]ENCUESTA CONDUCTORES'!$AH$7:$AH$459,"&lt;2011",'[1]ENCUESTA CONDUCTORES'!$AX$7:$AX$459,"&gt;5.0")-BJ26-BI26-BH26-BG26-BF26-BE26</f>
        <v>0</v>
      </c>
      <c r="BL26" s="249">
        <f>+COUNTIFS('[1]ENCUESTA CONDUCTORES'!$S$7:$S$459,"X",'[1]ENCUESTA CONDUCTORES'!$AH$7:$AH$459,"&gt;2010",'[1]ENCUESTA CONDUCTORES'!$AX$7:$AX$459,"&gt;5.0")</f>
        <v>0</v>
      </c>
      <c r="BM26" s="249">
        <f t="shared" si="67"/>
        <v>0</v>
      </c>
      <c r="BP26" s="19" t="s">
        <v>1727</v>
      </c>
      <c r="BQ26" s="249">
        <f>+COUNTIFS('[1]ENCUESTA CONDUCTORES'!$S$7:$S$459,"X",'[1]ENCUESTA CONDUCTORES'!$AH$7:$AH$459,"&lt;1980",'[1]ENCUESTA CONDUCTORES'!$AX$7:$AX$459,"&gt;5.0")</f>
        <v>0</v>
      </c>
      <c r="BR26" s="249">
        <f>+COUNTIFS('[1]ENCUESTA CONDUCTORES'!$S$7:$S$459,"X",'[1]ENCUESTA CONDUCTORES'!$AH$7:$AH$459,"&lt;1986",'[1]ENCUESTA CONDUCTORES'!$AX$7:$AX$459,"&gt;5.0")-BQ26</f>
        <v>0</v>
      </c>
      <c r="BS26" s="249">
        <f>+COUNTIFS('[1]ENCUESTA CONDUCTORES'!$S$7:$S$459,"X",'[1]ENCUESTA CONDUCTORES'!$AH$7:$AH$459,"&lt;1991",'[1]ENCUESTA CONDUCTORES'!$AX$7:$AX$459,"&gt;5.0")-BR26-BQ26</f>
        <v>0</v>
      </c>
      <c r="BT26" s="249">
        <f>+COUNTIFS('[1]ENCUESTA CONDUCTORES'!$S$7:$S$459,"X",'[1]ENCUESTA CONDUCTORES'!$AH$7:$AH$459,"&lt;1996",'[1]ENCUESTA CONDUCTORES'!$AX$7:$AX$459,"&gt;5.0")-BS26-BR26-BQ26</f>
        <v>0</v>
      </c>
      <c r="BU26" s="249">
        <f>+COUNTIFS('[1]ENCUESTA CONDUCTORES'!$S$7:$S$459,"X",'[1]ENCUESTA CONDUCTORES'!$AH$7:$AH$459,"&lt;2001",'[1]ENCUESTA CONDUCTORES'!$AX$7:$AX$459,"&gt;5.0")-BT26-BS26-BR26-BQ26</f>
        <v>0</v>
      </c>
      <c r="BV26" s="249">
        <f>+COUNTIFS('[1]ENCUESTA CONDUCTORES'!$S$7:$S$459,"X",'[1]ENCUESTA CONDUCTORES'!$AH$7:$AH$459,"&lt;2006",'[1]ENCUESTA CONDUCTORES'!$AX$7:$AX$459,"&gt;5.0")-BU26-BT26-BS26-BR26-BQ26</f>
        <v>0</v>
      </c>
      <c r="BW26" s="249">
        <f>+COUNTIFS('[1]ENCUESTA CONDUCTORES'!$S$7:$S$459,"X",'[1]ENCUESTA CONDUCTORES'!$AH$7:$AH$459,"&lt;2011",'[1]ENCUESTA CONDUCTORES'!$AX$7:$AX$459,"&gt;5.0")-BV26-BU26-BT26-BS26-BR26-BQ26</f>
        <v>0</v>
      </c>
      <c r="BX26" s="249">
        <f>+COUNTIFS('[1]ENCUESTA CONDUCTORES'!$S$7:$S$459,"X",'[1]ENCUESTA CONDUCTORES'!$AH$7:$AH$459,"&gt;2010",'[1]ENCUESTA CONDUCTORES'!$AX$7:$AX$459,"&gt;5.0")</f>
        <v>0</v>
      </c>
      <c r="BY26" s="249">
        <f t="shared" si="68"/>
        <v>0</v>
      </c>
      <c r="CA26" s="249">
        <v>2003</v>
      </c>
      <c r="CB26" s="144">
        <f>AVERAGEIFS('DATOS 2'!$F$5:$F$1437,'DATOS 2'!$D$5:$D$1437,CA26)</f>
        <v>2.5444444444444452</v>
      </c>
      <c r="CC26" s="144">
        <f>AVERAGEIFS('DATOS 2'!$G$5:$G$1437,'DATOS 2'!$D$5:$D$1437,CA26)</f>
        <v>3.0611111111111104</v>
      </c>
      <c r="CD26" s="138">
        <f>AVERAGEIFS('DATOS 2'!$E$5:$E$1437,'DATOS 2'!$D$5:$D$1437,CA26)</f>
        <v>850309.84615384613</v>
      </c>
      <c r="CF26" s="9" t="s">
        <v>1880</v>
      </c>
      <c r="CG26" s="160">
        <f>AVERAGEIFS('DATOS 2'!$F$5:$F$1437,'DATOS 2'!$C$5:$C$1437,"T2",'DATOS 2'!$H$5:$H$1437,"D",'DATOS 2'!$D$5:$D$1437,"&gt;1990",'DATOS 2'!$D$5:$D$1437,"&lt;1996")</f>
        <v>2.2333333333333329</v>
      </c>
      <c r="CH26" s="160">
        <f>AVERAGEIFS('DATOS 2'!$G$5:$G$1437,'DATOS 2'!$C$5:$C$1437,"T2",'DATOS 2'!$H$5:$H$1437,"D",'DATOS 2'!$D$5:$D$1437,"&gt;1990",'DATOS 2'!$D$5:$D$1437,"&lt;1996")</f>
        <v>2.4666666666666668</v>
      </c>
      <c r="DB26" s="11">
        <f t="shared" si="63"/>
        <v>25</v>
      </c>
      <c r="DC26" s="9">
        <v>1989</v>
      </c>
      <c r="DD26" s="6">
        <f t="shared" si="60"/>
        <v>1.1753183153770812E-2</v>
      </c>
      <c r="DE26" s="6">
        <f t="shared" si="61"/>
        <v>7.2815533980582527E-3</v>
      </c>
      <c r="DF26" s="249">
        <f t="shared" si="14"/>
        <v>15</v>
      </c>
      <c r="DG26" s="249">
        <f>COUNTIFS('DATOS 2'!$K$5:$K$1437,"HC",'DATOS 2'!$D$5:$D$1437,DC26)</f>
        <v>12</v>
      </c>
      <c r="DH26" s="249">
        <f>COUNTIFS('DATOS 2'!$K$5:$K$1437,"PT",'DATOS 2'!$D$5:$D$1437,DC26)</f>
        <v>3</v>
      </c>
    </row>
    <row r="27" spans="2:140" x14ac:dyDescent="0.25">
      <c r="B27" s="112" t="s">
        <v>353</v>
      </c>
      <c r="C27" s="249">
        <f>COUNTIFS('ENCUESTA PROPIETARIOS'!$I$7:$I$417,B27,'ENCUESTA PROPIETARIOS'!$AL$7:$AL$417,"X")</f>
        <v>16</v>
      </c>
      <c r="D27" s="249">
        <f>COUNTIFS('ENCUESTA PROPIETARIOS'!$I$7:$I$417,$B27,'ENCUESTA PROPIETARIOS'!AM$7:AM$417,"X")</f>
        <v>59</v>
      </c>
      <c r="E27" s="112" t="s">
        <v>353</v>
      </c>
      <c r="F27" s="249">
        <f>COUNTIFS('ENCUESTA PROPIETARIOS'!$I$7:$I$417,$B27,'ENCUESTA PROPIETARIOS'!AN$7:AN$417,"X")</f>
        <v>3</v>
      </c>
      <c r="G27" s="249">
        <f>COUNTIFS('ENCUESTA PROPIETARIOS'!$I$7:$I$417,$B27,'ENCUESTA PROPIETARIOS'!AO$7:AO$417,"X")</f>
        <v>30</v>
      </c>
      <c r="H27" s="249">
        <f>COUNTIFS('ENCUESTA PROPIETARIOS'!$I$7:$I$417,$B27,'ENCUESTA PROPIETARIOS'!AP$7:AP$417,"X")</f>
        <v>13</v>
      </c>
      <c r="I27" s="249">
        <f>COUNTIFS('ENCUESTA PROPIETARIOS'!$I$7:$I$417,$B27,'ENCUESTA PROPIETARIOS'!AQ$7:AQ$417,"X")</f>
        <v>39</v>
      </c>
      <c r="J27" s="11" t="s">
        <v>2375</v>
      </c>
      <c r="K27" s="6">
        <f t="shared" si="79"/>
        <v>0.36924583741429973</v>
      </c>
      <c r="L27" s="249">
        <f>COUNTIFS('DATOS 2'!$K$5:$K$1437,"HC",'DATOS 2'!$J$5:$J$1437,"&lt;5001")-L26</f>
        <v>377</v>
      </c>
      <c r="Q27" s="11"/>
      <c r="R27" s="9"/>
      <c r="S27" s="249" t="s">
        <v>715</v>
      </c>
      <c r="T27" s="249">
        <f>SUM(T18:T26)</f>
        <v>13</v>
      </c>
      <c r="U27" s="249">
        <f t="shared" ref="U27:AA27" si="80">SUM(U18:U26)</f>
        <v>26</v>
      </c>
      <c r="V27" s="249">
        <f t="shared" si="80"/>
        <v>34</v>
      </c>
      <c r="W27" s="249">
        <f t="shared" si="80"/>
        <v>30</v>
      </c>
      <c r="X27" s="249">
        <f t="shared" si="80"/>
        <v>66</v>
      </c>
      <c r="Y27" s="249">
        <f t="shared" si="80"/>
        <v>107</v>
      </c>
      <c r="Z27" s="249">
        <f t="shared" si="80"/>
        <v>134</v>
      </c>
      <c r="AA27" s="249">
        <f t="shared" si="80"/>
        <v>43</v>
      </c>
      <c r="AB27" s="249">
        <f t="shared" si="71"/>
        <v>453</v>
      </c>
      <c r="AC27" s="249">
        <f>SUM(AC18:AC26)</f>
        <v>453</v>
      </c>
      <c r="AF27" s="19" t="s">
        <v>715</v>
      </c>
      <c r="AG27" s="249">
        <f t="shared" ref="AG27" si="81">SUM(AG18:AG26)</f>
        <v>9</v>
      </c>
      <c r="AH27" s="249">
        <f t="shared" ref="AH27" si="82">SUM(AH18:AH26)</f>
        <v>8</v>
      </c>
      <c r="AI27" s="249">
        <f t="shared" ref="AI27" si="83">SUM(AI18:AI26)</f>
        <v>11</v>
      </c>
      <c r="AJ27" s="249">
        <f t="shared" ref="AJ27" si="84">SUM(AJ18:AJ26)</f>
        <v>7</v>
      </c>
      <c r="AK27" s="249">
        <f t="shared" ref="AK27" si="85">SUM(AK18:AK26)</f>
        <v>16</v>
      </c>
      <c r="AL27" s="249">
        <f t="shared" ref="AL27" si="86">SUM(AL18:AL26)</f>
        <v>16</v>
      </c>
      <c r="AM27" s="249">
        <f t="shared" ref="AM27" si="87">SUM(AM18:AM26)</f>
        <v>13</v>
      </c>
      <c r="AN27" s="249">
        <f t="shared" ref="AN27" si="88">SUM(AN18:AN26)</f>
        <v>4</v>
      </c>
      <c r="AO27" s="249">
        <f>SUM(AO18:AO26)</f>
        <v>84</v>
      </c>
      <c r="AP27" s="249">
        <f>SUM(AG27:AN27)</f>
        <v>84</v>
      </c>
      <c r="AR27" s="19" t="s">
        <v>715</v>
      </c>
      <c r="AS27" s="249">
        <f t="shared" ref="AS27" si="89">SUM(AS18:AS26)</f>
        <v>9</v>
      </c>
      <c r="AT27" s="249">
        <f t="shared" ref="AT27" si="90">SUM(AT18:AT26)</f>
        <v>8</v>
      </c>
      <c r="AU27" s="249">
        <f t="shared" ref="AU27" si="91">SUM(AU18:AU26)</f>
        <v>11</v>
      </c>
      <c r="AV27" s="249">
        <f t="shared" ref="AV27" si="92">SUM(AV18:AV26)</f>
        <v>7</v>
      </c>
      <c r="AW27" s="249">
        <f t="shared" ref="AW27" si="93">SUM(AW18:AW26)</f>
        <v>16</v>
      </c>
      <c r="AX27" s="249">
        <f t="shared" ref="AX27" si="94">SUM(AX18:AX26)</f>
        <v>16</v>
      </c>
      <c r="AY27" s="249">
        <f t="shared" ref="AY27" si="95">SUM(AY18:AY26)</f>
        <v>13</v>
      </c>
      <c r="AZ27" s="249">
        <f t="shared" ref="AZ27" si="96">SUM(AZ18:AZ26)</f>
        <v>4</v>
      </c>
      <c r="BA27" s="249">
        <f>SUM(BA18:BA26)</f>
        <v>84</v>
      </c>
      <c r="BB27" s="249">
        <f>SUM(AS27:AZ27)</f>
        <v>84</v>
      </c>
      <c r="BD27" s="19" t="s">
        <v>715</v>
      </c>
      <c r="BE27" s="249">
        <f t="shared" ref="BE27" si="97">SUM(BE18:BE26)</f>
        <v>2</v>
      </c>
      <c r="BF27" s="249">
        <f t="shared" ref="BF27" si="98">SUM(BF18:BF26)</f>
        <v>10</v>
      </c>
      <c r="BG27" s="249">
        <f t="shared" ref="BG27" si="99">SUM(BG18:BG26)</f>
        <v>13</v>
      </c>
      <c r="BH27" s="249">
        <f t="shared" ref="BH27" si="100">SUM(BH18:BH26)</f>
        <v>12</v>
      </c>
      <c r="BI27" s="249">
        <f t="shared" ref="BI27" si="101">SUM(BI18:BI26)</f>
        <v>30</v>
      </c>
      <c r="BJ27" s="249">
        <f t="shared" ref="BJ27" si="102">SUM(BJ18:BJ26)</f>
        <v>69</v>
      </c>
      <c r="BK27" s="249">
        <f t="shared" ref="BK27" si="103">SUM(BK18:BK26)</f>
        <v>92</v>
      </c>
      <c r="BL27" s="249">
        <f t="shared" ref="BL27" si="104">SUM(BL18:BL26)</f>
        <v>22</v>
      </c>
      <c r="BM27" s="249">
        <f>SUM(BM18:BM26)</f>
        <v>250</v>
      </c>
      <c r="BN27" s="249">
        <f>SUM(BE27:BL27)</f>
        <v>250</v>
      </c>
      <c r="BP27" s="19" t="s">
        <v>715</v>
      </c>
      <c r="BQ27" s="249">
        <f t="shared" ref="BQ27" si="105">SUM(BQ18:BQ26)</f>
        <v>2</v>
      </c>
      <c r="BR27" s="249">
        <f t="shared" ref="BR27" si="106">SUM(BR18:BR26)</f>
        <v>10</v>
      </c>
      <c r="BS27" s="249">
        <f t="shared" ref="BS27" si="107">SUM(BS18:BS26)</f>
        <v>13</v>
      </c>
      <c r="BT27" s="249">
        <f t="shared" ref="BT27" si="108">SUM(BT18:BT26)</f>
        <v>12</v>
      </c>
      <c r="BU27" s="249">
        <f t="shared" ref="BU27" si="109">SUM(BU18:BU26)</f>
        <v>30</v>
      </c>
      <c r="BV27" s="249">
        <f t="shared" ref="BV27" si="110">SUM(BV18:BV26)</f>
        <v>69</v>
      </c>
      <c r="BW27" s="249">
        <f t="shared" ref="BW27" si="111">SUM(BW18:BW26)</f>
        <v>92</v>
      </c>
      <c r="BX27" s="249">
        <f t="shared" ref="BX27" si="112">SUM(BX18:BX26)</f>
        <v>22</v>
      </c>
      <c r="BY27" s="249">
        <f>SUM(BY18:BY26)</f>
        <v>250</v>
      </c>
      <c r="BZ27" s="249">
        <f>SUM(BQ27:BX27)</f>
        <v>250</v>
      </c>
      <c r="CA27" s="249">
        <v>2004</v>
      </c>
      <c r="CB27" s="144">
        <f>AVERAGEIFS('DATOS 2'!$F$5:$F$1437,'DATOS 2'!$D$5:$D$1437,CA27)</f>
        <v>2.8216417910447769</v>
      </c>
      <c r="CC27" s="144">
        <f>AVERAGEIFS('DATOS 2'!$G$5:$G$1437,'DATOS 2'!$D$5:$D$1437,CA27)</f>
        <v>3.4119402985074609</v>
      </c>
      <c r="CD27" s="138">
        <f>AVERAGEIFS('DATOS 2'!$E$5:$E$1437,'DATOS 2'!$D$5:$D$1437,CA27)</f>
        <v>646899.07462686568</v>
      </c>
      <c r="CF27" s="9" t="s">
        <v>1881</v>
      </c>
      <c r="CG27" s="160">
        <f>AVERAGEIFS('DATOS 2'!$F$5:$F$1437,'DATOS 2'!$C$5:$C$1437,"T2",'DATOS 2'!$H$5:$H$1437,"D",'DATOS 2'!$D$5:$D$1437,"&gt;1995",'DATOS 2'!$D$5:$D$1437,"&lt;2001")</f>
        <v>2.1714285714285713</v>
      </c>
      <c r="CH27" s="160">
        <f>AVERAGEIFS('DATOS 2'!$G$5:$G$1437,'DATOS 2'!$C$5:$C$1437,"T2",'DATOS 2'!$H$5:$H$1437,"D",'DATOS 2'!$D$5:$D$1437,"&gt;1995",'DATOS 2'!$D$5:$D$1437,"&lt;2001")</f>
        <v>2.4428571428571431</v>
      </c>
      <c r="DB27" s="11">
        <f t="shared" si="63"/>
        <v>24</v>
      </c>
      <c r="DC27" s="9">
        <v>1990</v>
      </c>
      <c r="DD27" s="6">
        <f t="shared" si="60"/>
        <v>2.8403525954946131E-2</v>
      </c>
      <c r="DE27" s="6">
        <f t="shared" si="61"/>
        <v>1.4563106796116505E-2</v>
      </c>
      <c r="DF27" s="249">
        <f t="shared" si="14"/>
        <v>35</v>
      </c>
      <c r="DG27" s="249">
        <f>COUNTIFS('DATOS 2'!$K$5:$K$1437,"HC",'DATOS 2'!$D$5:$D$1437,DC27)</f>
        <v>29</v>
      </c>
      <c r="DH27" s="249">
        <f>COUNTIFS('DATOS 2'!$K$5:$K$1437,"PT",'DATOS 2'!$D$5:$D$1437,DC27)</f>
        <v>6</v>
      </c>
    </row>
    <row r="28" spans="2:140" x14ac:dyDescent="0.25">
      <c r="B28" s="112" t="s">
        <v>330</v>
      </c>
      <c r="C28" s="249">
        <f>COUNTIFS('ENCUESTA PROPIETARIOS'!$I$7:$I$417,B28,'ENCUESTA PROPIETARIOS'!$AL$7:$AL$417,"X")</f>
        <v>37</v>
      </c>
      <c r="D28" s="249">
        <f>COUNTIFS('ENCUESTA PROPIETARIOS'!$I$7:$I$417,$B28,'ENCUESTA PROPIETARIOS'!AM$7:AM$417,"X")</f>
        <v>78</v>
      </c>
      <c r="E28" s="112" t="s">
        <v>330</v>
      </c>
      <c r="F28" s="249">
        <f>COUNTIFS('ENCUESTA PROPIETARIOS'!$I$7:$I$417,$B28,'ENCUESTA PROPIETARIOS'!AN$7:AN$417,"X")</f>
        <v>14</v>
      </c>
      <c r="G28" s="249">
        <f>COUNTIFS('ENCUESTA PROPIETARIOS'!$I$7:$I$417,$B28,'ENCUESTA PROPIETARIOS'!AO$7:AO$417,"X")</f>
        <v>49</v>
      </c>
      <c r="H28" s="249">
        <f>COUNTIFS('ENCUESTA PROPIETARIOS'!$I$7:$I$417,$B28,'ENCUESTA PROPIETARIOS'!AP$7:AP$417,"X")</f>
        <v>25</v>
      </c>
      <c r="I28" s="249">
        <f>COUNTIFS('ENCUESTA PROPIETARIOS'!$I$7:$I$417,$B28,'ENCUESTA PROPIETARIOS'!AQ$7:AQ$417,"X")</f>
        <v>53</v>
      </c>
      <c r="J28" s="11" t="s">
        <v>952</v>
      </c>
      <c r="K28" s="6">
        <f t="shared" si="79"/>
        <v>0.19392752203721841</v>
      </c>
      <c r="L28" s="249">
        <f>COUNTIFS('DATOS 2'!$K$5:$K$1437,"HC",'DATOS 2'!$J$5:$J$1437,"&lt;7501")-L27-L26</f>
        <v>198</v>
      </c>
      <c r="Q28" s="11"/>
      <c r="R28" s="9"/>
      <c r="T28" s="249">
        <v>13</v>
      </c>
      <c r="U28" s="249">
        <v>26</v>
      </c>
      <c r="V28" s="249">
        <v>34</v>
      </c>
      <c r="W28" s="249">
        <v>30</v>
      </c>
      <c r="X28" s="249">
        <v>66</v>
      </c>
      <c r="Y28" s="249">
        <v>107</v>
      </c>
      <c r="Z28" s="249">
        <v>134</v>
      </c>
      <c r="AA28" s="249">
        <v>43</v>
      </c>
      <c r="AB28" s="249">
        <f t="shared" si="71"/>
        <v>453</v>
      </c>
      <c r="BA28" s="249"/>
      <c r="BM28" s="249"/>
      <c r="BY28" s="249"/>
      <c r="CA28" s="249">
        <v>2005</v>
      </c>
      <c r="CB28" s="144">
        <f>AVERAGEIFS('DATOS 2'!$F$5:$F$1437,'DATOS 2'!$D$5:$D$1437,CA28)</f>
        <v>2.7560439560439574</v>
      </c>
      <c r="CC28" s="144">
        <f>AVERAGEIFS('DATOS 2'!$G$5:$G$1437,'DATOS 2'!$D$5:$D$1437,CA28)</f>
        <v>3.1604395604395608</v>
      </c>
      <c r="CD28" s="138">
        <f>AVERAGEIFS('DATOS 2'!$E$5:$E$1437,'DATOS 2'!$D$5:$D$1437,CA28)</f>
        <v>666637.84090909094</v>
      </c>
      <c r="CF28" s="9" t="s">
        <v>1882</v>
      </c>
      <c r="CG28" s="160">
        <f>AVERAGEIFS('DATOS 2'!$F$5:$F$1437,'DATOS 2'!$C$5:$C$1437,"T2",'DATOS 2'!$H$5:$H$1437,"D",'DATOS 2'!$D$5:$D$1437,"&gt;2000",'DATOS 2'!$D$5:$D$1437,"&lt;2006")</f>
        <v>1.8833333333333335</v>
      </c>
      <c r="CH28" s="160">
        <f>AVERAGEIFS('DATOS 2'!$G$5:$G$1437,'DATOS 2'!$C$5:$C$1437,"T2",'DATOS 2'!$H$5:$H$1437,"D",'DATOS 2'!$D$5:$D$1437,"&gt;2000",'DATOS 2'!$D$5:$D$1437,"&lt;2006")</f>
        <v>2.25</v>
      </c>
      <c r="DB28" s="11">
        <f t="shared" si="63"/>
        <v>23</v>
      </c>
      <c r="DC28" s="9">
        <v>1991</v>
      </c>
      <c r="DD28" s="6">
        <f t="shared" si="60"/>
        <v>6.8560235063663075E-3</v>
      </c>
      <c r="DE28" s="6">
        <f t="shared" si="61"/>
        <v>2.1844660194174758E-2</v>
      </c>
      <c r="DF28" s="249">
        <f t="shared" si="14"/>
        <v>16</v>
      </c>
      <c r="DG28" s="249">
        <f>COUNTIFS('DATOS 2'!$K$5:$K$1437,"HC",'DATOS 2'!$D$5:$D$1437,DC28)</f>
        <v>7</v>
      </c>
      <c r="DH28" s="249">
        <f>COUNTIFS('DATOS 2'!$K$5:$K$1437,"PT",'DATOS 2'!$D$5:$D$1437,DC28)</f>
        <v>9</v>
      </c>
    </row>
    <row r="29" spans="2:140" ht="30" x14ac:dyDescent="0.25">
      <c r="B29" s="157" t="s">
        <v>723</v>
      </c>
      <c r="C29" s="249">
        <f>COUNTIFS('ENCUESTA PROPIETARIOS'!$I$7:$I$417,"PREPARATORIA",'ENCUESTA PROPIETARIOS'!AL$7:AL$417,"X")+COUNTIFS('ENCUESTA PROPIETARIOS'!$I$7:$I$417,"BACHILLERATO",'ENCUESTA PROPIETARIOS'!AL$7:AL$417,"X")</f>
        <v>57</v>
      </c>
      <c r="D29" s="249">
        <f>COUNTIFS('ENCUESTA PROPIETARIOS'!$I$7:$I$417,"PREPARATORIA",'ENCUESTA PROPIETARIOS'!AM$7:AM$417,"X")+COUNTIFS('ENCUESTA PROPIETARIOS'!$I$7:$I$417,"BACHILLERATO",'ENCUESTA PROPIETARIOS'!AM$7:AM$417,"X")</f>
        <v>53</v>
      </c>
      <c r="E29" s="157" t="s">
        <v>723</v>
      </c>
      <c r="F29" s="249">
        <f>COUNTIFS('ENCUESTA PROPIETARIOS'!$I$7:$I$417,"PREPARATORIA",'ENCUESTA PROPIETARIOS'!AN$7:AN$417,"X")+COUNTIFS('ENCUESTA PROPIETARIOS'!$I$7:$I$417,"BACHILLERATO",'ENCUESTA PROPIETARIOS'!AN$7:AN$417,"X")</f>
        <v>16</v>
      </c>
      <c r="G29" s="249">
        <f>COUNTIFS('ENCUESTA PROPIETARIOS'!$I$7:$I$417,"PREPARATORIA",'ENCUESTA PROPIETARIOS'!AO$7:AO$417,"X")+COUNTIFS('ENCUESTA PROPIETARIOS'!$I$7:$I$417,"BACHILLERATO",'ENCUESTA PROPIETARIOS'!AO$7:AO$417,"X")</f>
        <v>33</v>
      </c>
      <c r="H29" s="249">
        <f>COUNTIFS('ENCUESTA PROPIETARIOS'!$I$7:$I$417,"PREPARATORIA",'ENCUESTA PROPIETARIOS'!AP$7:AP$417,"X")+COUNTIFS('ENCUESTA PROPIETARIOS'!$I$7:$I$417,"BACHILLERATO",'ENCUESTA PROPIETARIOS'!AP$7:AP$417,"X")</f>
        <v>27</v>
      </c>
      <c r="I29" s="249">
        <f>COUNTIFS('ENCUESTA PROPIETARIOS'!$I$7:$I$417,"PREPARATORIA",'ENCUESTA PROPIETARIOS'!AQ$7:AQ$417,"X")+COUNTIFS('ENCUESTA PROPIETARIOS'!$I$7:$I$417,"BACHILLERATO",'ENCUESTA PROPIETARIOS'!AQ$7:AQ$417,"X")</f>
        <v>58</v>
      </c>
      <c r="J29" s="11" t="s">
        <v>953</v>
      </c>
      <c r="K29" s="6">
        <f t="shared" si="79"/>
        <v>0.28697355533790403</v>
      </c>
      <c r="L29" s="249">
        <f>COUNTIFS('DATOS 2'!$K$5:$K$1437,"HC",'DATOS 2'!$J$5:$J$1437,"&lt;10001")-L28-L27-L26</f>
        <v>293</v>
      </c>
      <c r="Q29" s="11"/>
      <c r="R29" s="9"/>
      <c r="T29" s="249">
        <f>+T27-T28</f>
        <v>0</v>
      </c>
      <c r="U29" s="249">
        <f t="shared" ref="U29" si="113">+U27-U28</f>
        <v>0</v>
      </c>
      <c r="V29" s="249">
        <f t="shared" ref="V29" si="114">+V27-V28</f>
        <v>0</v>
      </c>
      <c r="W29" s="249">
        <f t="shared" ref="W29" si="115">+W27-W28</f>
        <v>0</v>
      </c>
      <c r="X29" s="249">
        <f t="shared" ref="X29" si="116">+X27-X28</f>
        <v>0</v>
      </c>
      <c r="Y29" s="249">
        <f t="shared" ref="Y29" si="117">+Y27-Y28</f>
        <v>0</v>
      </c>
      <c r="Z29" s="249">
        <f t="shared" ref="Z29" si="118">+Z27-Z28</f>
        <v>0</v>
      </c>
      <c r="AA29" s="249">
        <f t="shared" ref="AA29" si="119">+AA27-AA28</f>
        <v>0</v>
      </c>
      <c r="AB29" s="249">
        <f t="shared" si="71"/>
        <v>0</v>
      </c>
      <c r="BA29" s="249"/>
      <c r="BM29" s="249"/>
      <c r="BY29" s="249"/>
      <c r="CA29" s="249">
        <v>2006</v>
      </c>
      <c r="CB29" s="144">
        <f>AVERAGEIFS('DATOS 2'!$F$5:$F$1437,'DATOS 2'!$D$5:$D$1437,CA29)</f>
        <v>2.5207547169811324</v>
      </c>
      <c r="CC29" s="144">
        <f>AVERAGEIFS('DATOS 2'!$G$5:$G$1437,'DATOS 2'!$D$5:$D$1437,CA29)</f>
        <v>3.0226415094339627</v>
      </c>
      <c r="CD29" s="138">
        <f>AVERAGEIFS('DATOS 2'!$E$5:$E$1437,'DATOS 2'!$D$5:$D$1437,CA29)</f>
        <v>589097</v>
      </c>
      <c r="CF29" s="9" t="s">
        <v>1883</v>
      </c>
      <c r="CG29" s="160">
        <f>AVERAGEIFS('DATOS 2'!$F$5:$F$1437,'DATOS 2'!$C$5:$C$1437,"T2",'DATOS 2'!$H$5:$H$1437,"D",'DATOS 2'!$D$5:$D$1437,"&gt;2005",'DATOS 2'!$D$5:$D$1437,"&lt;2011")</f>
        <v>2.3620689655172415</v>
      </c>
      <c r="CH29" s="160">
        <f>AVERAGEIFS('DATOS 2'!$G$5:$G$1437,'DATOS 2'!$C$5:$C$1437,"T2",'DATOS 2'!$H$5:$H$1437,"D",'DATOS 2'!$D$5:$D$1437,"&gt;2005",'DATOS 2'!$D$5:$D$1437,"&lt;2011")</f>
        <v>2.8965517241379315</v>
      </c>
      <c r="DB29" s="11">
        <f t="shared" si="63"/>
        <v>22</v>
      </c>
      <c r="DC29" s="9">
        <v>1992</v>
      </c>
      <c r="DD29" s="6">
        <f t="shared" si="60"/>
        <v>1.2732615083251714E-2</v>
      </c>
      <c r="DE29" s="6">
        <f t="shared" si="61"/>
        <v>2.6699029126213591E-2</v>
      </c>
      <c r="DF29" s="249">
        <f t="shared" si="14"/>
        <v>24</v>
      </c>
      <c r="DG29" s="249">
        <f>COUNTIFS('DATOS 2'!$K$5:$K$1437,"HC",'DATOS 2'!$D$5:$D$1437,DC29)</f>
        <v>13</v>
      </c>
      <c r="DH29" s="249">
        <f>COUNTIFS('DATOS 2'!$K$5:$K$1437,"PT",'DATOS 2'!$D$5:$D$1437,DC29)</f>
        <v>11</v>
      </c>
    </row>
    <row r="30" spans="2:140" x14ac:dyDescent="0.25">
      <c r="B30" s="112" t="s">
        <v>399</v>
      </c>
      <c r="C30" s="249">
        <f>COUNTIFS('ENCUESTA PROPIETARIOS'!$I$7:$I$417,B30,'ENCUESTA PROPIETARIOS'!AL$7:AL$417,"X")+COUNTIFS('ENCUESTA PROPIETARIOS'!$I$7:$I$417,"INGENIERIA",'ENCUESTA PROPIETARIOS'!AL$7:AL$417,"X")</f>
        <v>61</v>
      </c>
      <c r="D30" s="249">
        <f>COUNTIFS('ENCUESTA PROPIETARIOS'!$I$7:$I$417,$B30,'ENCUESTA PROPIETARIOS'!AM$7:AM$417,"X")+COUNTIFS('ENCUESTA PROPIETARIOS'!$I$7:$I$417,"INGENIERIA",'ENCUESTA PROPIETARIOS'!AM$7:AM$417,"X")</f>
        <v>37</v>
      </c>
      <c r="E30" s="112" t="s">
        <v>399</v>
      </c>
      <c r="F30" s="249">
        <f>COUNTIFS('ENCUESTA PROPIETARIOS'!$I$7:$I$417,$B30,'ENCUESTA PROPIETARIOS'!AN$7:AN$417,"X")+COUNTIFS('ENCUESTA PROPIETARIOS'!$I$7:$I$417,"INGENIERIA",'ENCUESTA PROPIETARIOS'!AN$7:AN$417,"X")</f>
        <v>22</v>
      </c>
      <c r="G30" s="249">
        <f>COUNTIFS('ENCUESTA PROPIETARIOS'!$I$7:$I$417,$B30,'ENCUESTA PROPIETARIOS'!AO$7:AO$417,"X")+COUNTIFS('ENCUESTA PROPIETARIOS'!$I$7:$I$417,"INGENIERIA",'ENCUESTA PROPIETARIOS'!AO$7:AO$417,"X")</f>
        <v>20</v>
      </c>
      <c r="H30" s="249">
        <f>COUNTIFS('ENCUESTA PROPIETARIOS'!$I$7:$I$417,$B30,'ENCUESTA PROPIETARIOS'!AP$7:AP$417,"X")+COUNTIFS('ENCUESTA PROPIETARIOS'!$I$7:$I$417,"INGENIERIA",'ENCUESTA PROPIETARIOS'!AP$7:AP$417,"X")</f>
        <v>27</v>
      </c>
      <c r="I30" s="249">
        <f>COUNTIFS('ENCUESTA PROPIETARIOS'!$I$7:$I$417,$B30,'ENCUESTA PROPIETARIOS'!AQ$7:AQ$417,"X")+COUNTIFS('ENCUESTA PROPIETARIOS'!$I$7:$I$417,"INGENIERIA",'ENCUESTA PROPIETARIOS'!AQ$7:AQ$417,"X")</f>
        <v>40</v>
      </c>
      <c r="J30" s="11" t="s">
        <v>2376</v>
      </c>
      <c r="K30" s="6">
        <f t="shared" si="79"/>
        <v>2.5465230166503428E-2</v>
      </c>
      <c r="L30" s="249">
        <f>COUNTIFS('DATOS 2'!$K$5:$K$1437,"HC",'DATOS 2'!$J$5:$J$1437,"&lt;12501")-L29-L28-L27-L26</f>
        <v>26</v>
      </c>
      <c r="Q30" s="11"/>
      <c r="R30" s="9"/>
      <c r="AF30" s="17" t="s">
        <v>1890</v>
      </c>
      <c r="AR30" s="17" t="s">
        <v>1893</v>
      </c>
      <c r="BA30" s="249"/>
      <c r="BD30" s="17" t="s">
        <v>1896</v>
      </c>
      <c r="BM30" s="249"/>
      <c r="BP30" s="17" t="s">
        <v>1899</v>
      </c>
      <c r="BY30" s="249"/>
      <c r="CA30" s="249">
        <v>2007</v>
      </c>
      <c r="CB30" s="144">
        <f>AVERAGEIFS('DATOS 2'!$F$5:$F$1437,'DATOS 2'!$D$5:$D$1437,CA30)</f>
        <v>2.4447368421052649</v>
      </c>
      <c r="CC30" s="144">
        <f>AVERAGEIFS('DATOS 2'!$G$5:$G$1437,'DATOS 2'!$D$5:$D$1437,CA30)</f>
        <v>2.8426315789473668</v>
      </c>
      <c r="CD30" s="138">
        <f>AVERAGEIFS('DATOS 2'!$E$5:$E$1437,'DATOS 2'!$D$5:$D$1437,CA30)</f>
        <v>622662.90526315791</v>
      </c>
      <c r="CF30" s="9" t="s">
        <v>1884</v>
      </c>
      <c r="CG30" s="160">
        <f>AVERAGEIFS('DATOS 2'!$F$5:$F$1437,'DATOS 2'!$C$5:$C$1437,"T2",'DATOS 2'!$H$5:$H$1437,"D",'DATOS 2'!$D$5:$D$1437,"&gt;2010")</f>
        <v>2.333333333333333</v>
      </c>
      <c r="CH30" s="160">
        <f>AVERAGEIFS('DATOS 2'!$G$5:$G$1437,'DATOS 2'!$C$5:$C$1437,"T2",'DATOS 2'!$H$5:$H$1437,"D",'DATOS 2'!$D$5:$D$1437,"&gt;2010")</f>
        <v>2.8666666666666667</v>
      </c>
      <c r="CS30" s="17" t="s">
        <v>2400</v>
      </c>
      <c r="DB30" s="11">
        <f t="shared" si="63"/>
        <v>21</v>
      </c>
      <c r="DC30" s="9">
        <v>1993</v>
      </c>
      <c r="DD30" s="6">
        <f t="shared" si="60"/>
        <v>1.762977473065622E-2</v>
      </c>
      <c r="DE30" s="6">
        <f t="shared" si="61"/>
        <v>1.2135922330097087E-2</v>
      </c>
      <c r="DF30" s="249">
        <f t="shared" si="14"/>
        <v>23</v>
      </c>
      <c r="DG30" s="249">
        <f>COUNTIFS('DATOS 2'!$K$5:$K$1437,"HC",'DATOS 2'!$D$5:$D$1437,DC30)</f>
        <v>18</v>
      </c>
      <c r="DH30" s="249">
        <f>COUNTIFS('DATOS 2'!$K$5:$K$1437,"PT",'DATOS 2'!$D$5:$D$1437,DC30)</f>
        <v>5</v>
      </c>
    </row>
    <row r="31" spans="2:140" x14ac:dyDescent="0.25">
      <c r="B31" s="112" t="s">
        <v>711</v>
      </c>
      <c r="C31" s="249">
        <f>COUNTIFS('ENCUESTA PROPIETARIOS'!$I$7:$I$417,B31,'ENCUESTA PROPIETARIOS'!AL$7:AL$417,"X")+COUNTIFS('ENCUESTA PROPIETARIOS'!$I$7:$I$417,"TECNICA",'ENCUESTA PROPIETARIOS'!AL$7:AL$417,"X")+COUNTIFS('ENCUESTA PROPIETARIOS'!$I$7:$I$417,"POSGRADO",'ENCUESTA PROPIETARIOS'!AL$7:AL$417,"X")+COUNTIFS('ENCUESTA PROPIETARIOS'!$I$7:$I$417,"MAESTRIA",'ENCUESTA PROPIETARIOS'!AL$7:AL$417,"X")</f>
        <v>4</v>
      </c>
      <c r="D31" s="249">
        <f>COUNTIFS('ENCUESTA PROPIETARIOS'!$I$7:$I$417,$B31,'ENCUESTA PROPIETARIOS'!AM$7:AM$417,"X")+COUNTIFS('ENCUESTA PROPIETARIOS'!$I$7:$I$417,"TECNICA",'ENCUESTA PROPIETARIOS'!AM$7:AM$417,"X")+COUNTIFS('ENCUESTA PROPIETARIOS'!$I$7:$I$417,"POSGRADO",'ENCUESTA PROPIETARIOS'!AM$7:AM$417,"X")+COUNTIFS('ENCUESTA PROPIETARIOS'!$I$7:$I$417,"MAESTRIA",'ENCUESTA PROPIETARIOS'!AM$7:AM$417,"X")</f>
        <v>1</v>
      </c>
      <c r="E31" s="112" t="s">
        <v>711</v>
      </c>
      <c r="F31" s="249">
        <f>COUNTIFS('ENCUESTA PROPIETARIOS'!$I$7:$I$417,$B31,'ENCUESTA PROPIETARIOS'!AN$7:AN$417,"X")+COUNTIFS('ENCUESTA PROPIETARIOS'!$I$7:$I$417,"TECNICA",'ENCUESTA PROPIETARIOS'!AN$7:AN$417,"X")+COUNTIFS('ENCUESTA PROPIETARIOS'!$I$7:$I$417,"POSGRADO",'ENCUESTA PROPIETARIOS'!AN$7:AN$417,"X")+COUNTIFS('ENCUESTA PROPIETARIOS'!$I$7:$I$417,"MAESTRIA",'ENCUESTA PROPIETARIOS'!AN$7:AN$417,"X")</f>
        <v>2</v>
      </c>
      <c r="G31" s="249">
        <f>COUNTIFS('ENCUESTA PROPIETARIOS'!$I$7:$I$417,$B31,'ENCUESTA PROPIETARIOS'!AO$7:AO$417,"X")+COUNTIFS('ENCUESTA PROPIETARIOS'!$I$7:$I$417,"TECNICA",'ENCUESTA PROPIETARIOS'!AO$7:AO$417,"X")+COUNTIFS('ENCUESTA PROPIETARIOS'!$I$7:$I$417,"POSGRADO",'ENCUESTA PROPIETARIOS'!AO$7:AO$417,"X")+COUNTIFS('ENCUESTA PROPIETARIOS'!$I$7:$I$417,"MAESTRIA",'ENCUESTA PROPIETARIOS'!AO$7:AO$417,"X")</f>
        <v>1</v>
      </c>
      <c r="H31" s="249">
        <f>COUNTIFS('ENCUESTA PROPIETARIOS'!$I$7:$I$417,$B31,'ENCUESTA PROPIETARIOS'!AP$7:AP$417,"X")+COUNTIFS('ENCUESTA PROPIETARIOS'!$I$7:$I$417,"TECNICA",'ENCUESTA PROPIETARIOS'!AP$7:AP$417,"X")+COUNTIFS('ENCUESTA PROPIETARIOS'!$I$7:$I$417,"POSGRADO",'ENCUESTA PROPIETARIOS'!AP$7:AP$417,"X")+COUNTIFS('ENCUESTA PROPIETARIOS'!$I$7:$I$417,"MAESTRIA",'ENCUESTA PROPIETARIOS'!AP$7:AP$417,"X")</f>
        <v>2</v>
      </c>
      <c r="I31" s="249">
        <f>COUNTIFS('ENCUESTA PROPIETARIOS'!$I$7:$I$417,$B31,'ENCUESTA PROPIETARIOS'!AQ$7:AQ$417,"X")+COUNTIFS('ENCUESTA PROPIETARIOS'!$I$7:$I$417,"TECNICA",'ENCUESTA PROPIETARIOS'!AQ$7:AQ$417,"X")+COUNTIFS('ENCUESTA PROPIETARIOS'!$I$7:$I$417,"POSGRADO",'ENCUESTA PROPIETARIOS'!AQ$7:AQ$417,"X")+COUNTIFS('ENCUESTA PROPIETARIOS'!$I$7:$I$417,"MAESTRIA",'ENCUESTA PROPIETARIOS'!AQ$7:AQ$417,"X")</f>
        <v>2</v>
      </c>
      <c r="J31" s="11" t="s">
        <v>2377</v>
      </c>
      <c r="K31" s="6">
        <f t="shared" si="79"/>
        <v>4.6033300685602352E-2</v>
      </c>
      <c r="L31" s="249">
        <f>COUNTIFS('DATOS 2'!$K$5:$K$1437,"HC",'DATOS 2'!$J$5:$J$1437,"&gt;12500")</f>
        <v>47</v>
      </c>
      <c r="Q31" s="11"/>
      <c r="R31" s="9"/>
      <c r="S31" s="249" t="s">
        <v>1886</v>
      </c>
      <c r="T31" s="249"/>
      <c r="U31" s="249"/>
      <c r="V31" s="249"/>
      <c r="W31" s="249"/>
      <c r="X31" s="249"/>
      <c r="Y31" s="249"/>
      <c r="Z31" s="249"/>
      <c r="AA31" s="249"/>
      <c r="AB31" s="17"/>
      <c r="AC31" s="17"/>
      <c r="AF31" s="17" t="s">
        <v>1887</v>
      </c>
      <c r="AG31" s="11" t="s">
        <v>1710</v>
      </c>
      <c r="AH31" s="9" t="s">
        <v>1885</v>
      </c>
      <c r="AI31" s="9" t="s">
        <v>1879</v>
      </c>
      <c r="AJ31" s="9" t="s">
        <v>1880</v>
      </c>
      <c r="AK31" s="9" t="s">
        <v>1881</v>
      </c>
      <c r="AL31" s="9" t="s">
        <v>1882</v>
      </c>
      <c r="AM31" s="9" t="s">
        <v>1883</v>
      </c>
      <c r="AN31" s="9" t="s">
        <v>1884</v>
      </c>
      <c r="AR31" s="17" t="s">
        <v>1887</v>
      </c>
      <c r="AS31" s="11" t="s">
        <v>1710</v>
      </c>
      <c r="AT31" s="9" t="s">
        <v>1885</v>
      </c>
      <c r="AU31" s="9" t="s">
        <v>1879</v>
      </c>
      <c r="AV31" s="9" t="s">
        <v>1880</v>
      </c>
      <c r="AW31" s="9" t="s">
        <v>1881</v>
      </c>
      <c r="AX31" s="9" t="s">
        <v>1882</v>
      </c>
      <c r="AY31" s="9" t="s">
        <v>1883</v>
      </c>
      <c r="AZ31" s="9" t="s">
        <v>1884</v>
      </c>
      <c r="BA31" s="249"/>
      <c r="BD31" s="17" t="s">
        <v>1887</v>
      </c>
      <c r="BE31" s="11" t="s">
        <v>1710</v>
      </c>
      <c r="BF31" s="9" t="s">
        <v>1885</v>
      </c>
      <c r="BG31" s="9" t="s">
        <v>1879</v>
      </c>
      <c r="BH31" s="9" t="s">
        <v>1880</v>
      </c>
      <c r="BI31" s="9" t="s">
        <v>1881</v>
      </c>
      <c r="BJ31" s="9" t="s">
        <v>1882</v>
      </c>
      <c r="BK31" s="9" t="s">
        <v>1883</v>
      </c>
      <c r="BL31" s="9" t="s">
        <v>1884</v>
      </c>
      <c r="BM31" s="249"/>
      <c r="BP31" s="17" t="s">
        <v>1887</v>
      </c>
      <c r="BQ31" s="11" t="s">
        <v>1710</v>
      </c>
      <c r="BR31" s="9" t="s">
        <v>1885</v>
      </c>
      <c r="BS31" s="9" t="s">
        <v>1879</v>
      </c>
      <c r="BT31" s="9" t="s">
        <v>1880</v>
      </c>
      <c r="BU31" s="9" t="s">
        <v>1881</v>
      </c>
      <c r="BV31" s="9" t="s">
        <v>1882</v>
      </c>
      <c r="BW31" s="9" t="s">
        <v>1883</v>
      </c>
      <c r="BX31" s="9" t="s">
        <v>1884</v>
      </c>
      <c r="BY31" s="249"/>
      <c r="CA31" s="249">
        <v>2008</v>
      </c>
      <c r="CB31" s="144">
        <f>AVERAGEIFS('DATOS 2'!$F$5:$F$1437,'DATOS 2'!$D$5:$D$1437,CA31)</f>
        <v>2.8065217391304351</v>
      </c>
      <c r="CC31" s="144">
        <f>AVERAGEIFS('DATOS 2'!$G$5:$G$1437,'DATOS 2'!$D$5:$D$1437,CA31)</f>
        <v>3.3184782608695649</v>
      </c>
      <c r="CD31" s="138">
        <f>AVERAGEIFS('DATOS 2'!$E$5:$E$1437,'DATOS 2'!$D$5:$D$1437,CA31)</f>
        <v>501746.92307692306</v>
      </c>
      <c r="CT31" s="17" t="s">
        <v>1877</v>
      </c>
      <c r="CU31" s="17" t="s">
        <v>714</v>
      </c>
      <c r="CV31" s="17" t="s">
        <v>1877</v>
      </c>
      <c r="CW31" s="17" t="s">
        <v>714</v>
      </c>
      <c r="DB31" s="11">
        <f t="shared" si="63"/>
        <v>20</v>
      </c>
      <c r="DC31" s="9">
        <v>1994</v>
      </c>
      <c r="DD31" s="6">
        <f t="shared" si="60"/>
        <v>2.3506366307541625E-2</v>
      </c>
      <c r="DE31" s="6">
        <f t="shared" si="61"/>
        <v>1.4563106796116505E-2</v>
      </c>
      <c r="DF31" s="249">
        <f t="shared" si="14"/>
        <v>30</v>
      </c>
      <c r="DG31" s="249">
        <f>COUNTIFS('DATOS 2'!$K$5:$K$1437,"HC",'DATOS 2'!$D$5:$D$1437,DC31)</f>
        <v>24</v>
      </c>
      <c r="DH31" s="249">
        <f>COUNTIFS('DATOS 2'!$K$5:$K$1437,"PT",'DATOS 2'!$D$5:$D$1437,DC31)</f>
        <v>6</v>
      </c>
    </row>
    <row r="32" spans="2:140" x14ac:dyDescent="0.25">
      <c r="B32" s="112" t="s">
        <v>715</v>
      </c>
      <c r="C32" s="249">
        <f>SUM(C26:C31)</f>
        <v>176</v>
      </c>
      <c r="D32" s="249">
        <f t="shared" ref="D32" si="120">SUM(D26:D31)</f>
        <v>243</v>
      </c>
      <c r="E32" s="112" t="s">
        <v>715</v>
      </c>
      <c r="F32" s="249">
        <f>SUM(F26:F31)</f>
        <v>57</v>
      </c>
      <c r="G32" s="249">
        <f>SUM(G26:G31)</f>
        <v>146</v>
      </c>
      <c r="H32" s="249">
        <f>SUM(H26:H31)</f>
        <v>96</v>
      </c>
      <c r="I32" s="249">
        <f>SUM(I26:I31)</f>
        <v>196</v>
      </c>
      <c r="J32" s="11" t="s">
        <v>1662</v>
      </c>
      <c r="K32" s="6">
        <f t="shared" si="79"/>
        <v>1</v>
      </c>
      <c r="L32" s="249">
        <f>SUM(L26:L31)</f>
        <v>1021</v>
      </c>
      <c r="Q32" s="11"/>
      <c r="R32" s="9"/>
      <c r="S32" s="249" t="s">
        <v>1878</v>
      </c>
      <c r="T32" s="11" t="s">
        <v>1710</v>
      </c>
      <c r="U32" s="9" t="s">
        <v>1885</v>
      </c>
      <c r="V32" s="9" t="s">
        <v>1879</v>
      </c>
      <c r="W32" s="9" t="s">
        <v>1880</v>
      </c>
      <c r="X32" s="9" t="s">
        <v>1881</v>
      </c>
      <c r="Y32" s="9" t="s">
        <v>1882</v>
      </c>
      <c r="Z32" s="9" t="s">
        <v>1883</v>
      </c>
      <c r="AA32" s="9" t="s">
        <v>1884</v>
      </c>
      <c r="AF32" s="19" t="s">
        <v>1719</v>
      </c>
      <c r="AG32" s="249">
        <f>+AG3+AG18</f>
        <v>1</v>
      </c>
      <c r="AH32" s="249">
        <f t="shared" ref="AH32:AO32" si="121">+AH3+AH18</f>
        <v>2</v>
      </c>
      <c r="AI32" s="249">
        <f t="shared" si="121"/>
        <v>1</v>
      </c>
      <c r="AJ32" s="249">
        <f t="shared" si="121"/>
        <v>0</v>
      </c>
      <c r="AK32" s="249">
        <f t="shared" si="121"/>
        <v>1</v>
      </c>
      <c r="AL32" s="249">
        <f t="shared" si="121"/>
        <v>0</v>
      </c>
      <c r="AM32" s="249">
        <f t="shared" si="121"/>
        <v>0</v>
      </c>
      <c r="AN32" s="249">
        <f t="shared" si="121"/>
        <v>0</v>
      </c>
      <c r="AO32" s="249">
        <f t="shared" si="121"/>
        <v>5</v>
      </c>
      <c r="AR32" s="19" t="s">
        <v>1719</v>
      </c>
      <c r="AS32" s="249">
        <f>+AS3+AS18</f>
        <v>1</v>
      </c>
      <c r="AT32" s="249">
        <f t="shared" ref="AT32:BA32" si="122">+AT3+AT18</f>
        <v>2</v>
      </c>
      <c r="AU32" s="249">
        <f t="shared" si="122"/>
        <v>1</v>
      </c>
      <c r="AV32" s="249">
        <f t="shared" si="122"/>
        <v>0</v>
      </c>
      <c r="AW32" s="249">
        <f t="shared" si="122"/>
        <v>1</v>
      </c>
      <c r="AX32" s="249">
        <f t="shared" si="122"/>
        <v>0</v>
      </c>
      <c r="AY32" s="249">
        <f t="shared" si="122"/>
        <v>0</v>
      </c>
      <c r="AZ32" s="249">
        <f t="shared" si="122"/>
        <v>0</v>
      </c>
      <c r="BA32" s="249">
        <f t="shared" si="122"/>
        <v>5</v>
      </c>
      <c r="BD32" s="19" t="s">
        <v>1719</v>
      </c>
      <c r="BE32" s="249">
        <f>+BE3+BE18</f>
        <v>0</v>
      </c>
      <c r="BF32" s="249">
        <f t="shared" ref="BF32:BM32" si="123">+BF3+BF18</f>
        <v>2</v>
      </c>
      <c r="BG32" s="249">
        <f t="shared" si="123"/>
        <v>1</v>
      </c>
      <c r="BH32" s="249">
        <f t="shared" si="123"/>
        <v>0</v>
      </c>
      <c r="BI32" s="249">
        <f t="shared" si="123"/>
        <v>3</v>
      </c>
      <c r="BJ32" s="249">
        <f t="shared" si="123"/>
        <v>3</v>
      </c>
      <c r="BK32" s="249">
        <f t="shared" si="123"/>
        <v>10</v>
      </c>
      <c r="BL32" s="249">
        <f t="shared" si="123"/>
        <v>2</v>
      </c>
      <c r="BM32" s="249">
        <f t="shared" si="123"/>
        <v>21</v>
      </c>
      <c r="BP32" s="19" t="s">
        <v>1719</v>
      </c>
      <c r="BQ32" s="249">
        <f>+BQ3+BQ18</f>
        <v>0</v>
      </c>
      <c r="BR32" s="249">
        <f t="shared" ref="BR32:BY32" si="124">+BR3+BR18</f>
        <v>2</v>
      </c>
      <c r="BS32" s="249">
        <f t="shared" si="124"/>
        <v>1</v>
      </c>
      <c r="BT32" s="249">
        <f t="shared" si="124"/>
        <v>0</v>
      </c>
      <c r="BU32" s="249">
        <f t="shared" si="124"/>
        <v>3</v>
      </c>
      <c r="BV32" s="249">
        <f t="shared" si="124"/>
        <v>3</v>
      </c>
      <c r="BW32" s="249">
        <f t="shared" si="124"/>
        <v>10</v>
      </c>
      <c r="BX32" s="249">
        <f t="shared" si="124"/>
        <v>2</v>
      </c>
      <c r="BY32" s="249">
        <f t="shared" si="124"/>
        <v>21</v>
      </c>
      <c r="CA32" s="249">
        <v>2009</v>
      </c>
      <c r="CB32" s="144">
        <f>AVERAGEIFS('DATOS 2'!$F$5:$F$1437,'DATOS 2'!$D$5:$D$1437,CA32)</f>
        <v>2.6883333333333335</v>
      </c>
      <c r="CC32" s="144">
        <f>AVERAGEIFS('DATOS 2'!$G$5:$G$1437,'DATOS 2'!$D$5:$D$1437,CA32)</f>
        <v>3.1649999999999991</v>
      </c>
      <c r="CD32" s="138">
        <f>AVERAGEIFS('DATOS 2'!$E$5:$E$1437,'DATOS 2'!$D$5:$D$1437,CA32)</f>
        <v>450033.55932203389</v>
      </c>
      <c r="CF32" s="112" t="s">
        <v>2370</v>
      </c>
      <c r="CG32" s="112" t="s">
        <v>2362</v>
      </c>
      <c r="CH32" s="112" t="s">
        <v>2363</v>
      </c>
      <c r="CS32" s="249">
        <v>0</v>
      </c>
      <c r="CT32" s="6">
        <f>+CV32/$CV$43</f>
        <v>0.14588859416445624</v>
      </c>
      <c r="CU32" s="6">
        <f>CW32/$CW$43</f>
        <v>0</v>
      </c>
      <c r="CV32" s="17">
        <f>COUNTIF('DATOS 1'!$AP$51:$AP$427,'FORMULAS PLUS'!CS32)+COUNTIF('DATOS 1'!$AP$51:$AP$427,"NO CONTESTA")</f>
        <v>55</v>
      </c>
      <c r="CW32" s="17">
        <f>COUNTIF('DATOS 1'!$AP$7:$AP$40,'FORMULAS PLUS'!CS32)</f>
        <v>0</v>
      </c>
      <c r="DB32" s="11">
        <f t="shared" si="63"/>
        <v>19</v>
      </c>
      <c r="DC32" s="9">
        <v>1995</v>
      </c>
      <c r="DD32" s="6">
        <f t="shared" si="60"/>
        <v>2.6444662095984329E-2</v>
      </c>
      <c r="DE32" s="6">
        <f t="shared" si="61"/>
        <v>5.0970873786407765E-2</v>
      </c>
      <c r="DF32" s="249">
        <f t="shared" si="14"/>
        <v>48</v>
      </c>
      <c r="DG32" s="249">
        <f>COUNTIFS('DATOS 2'!$K$5:$K$1437,"HC",'DATOS 2'!$D$5:$D$1437,DC32)</f>
        <v>27</v>
      </c>
      <c r="DH32" s="249">
        <f>COUNTIFS('DATOS 2'!$K$5:$K$1437,"PT",'DATOS 2'!$D$5:$D$1437,DC32)</f>
        <v>21</v>
      </c>
    </row>
    <row r="33" spans="2:112" x14ac:dyDescent="0.25">
      <c r="B33" s="112"/>
      <c r="D33" s="17">
        <f>+D32+C32</f>
        <v>419</v>
      </c>
      <c r="F33" s="249"/>
      <c r="G33" s="249"/>
      <c r="H33" s="249"/>
      <c r="I33" s="17">
        <f>SUM(F32:I32)</f>
        <v>495</v>
      </c>
      <c r="J33" s="11" t="s">
        <v>396</v>
      </c>
      <c r="L33" s="138">
        <f>COUNTIF('DATOS 2'!$J$5:$J$1437,"NO CONTESTA")</f>
        <v>6</v>
      </c>
      <c r="Q33" s="11"/>
      <c r="R33" s="9"/>
      <c r="S33" s="249" t="s">
        <v>935</v>
      </c>
      <c r="T33" s="249">
        <f>+T18+T3</f>
        <v>3</v>
      </c>
      <c r="U33" s="249">
        <f t="shared" ref="U33:AB33" si="125">+U18+U3</f>
        <v>5</v>
      </c>
      <c r="V33" s="249">
        <f t="shared" si="125"/>
        <v>3</v>
      </c>
      <c r="W33" s="249">
        <f t="shared" si="125"/>
        <v>9</v>
      </c>
      <c r="X33" s="249">
        <f t="shared" si="125"/>
        <v>10</v>
      </c>
      <c r="Y33" s="249">
        <f t="shared" si="125"/>
        <v>5</v>
      </c>
      <c r="Z33" s="249">
        <f t="shared" si="125"/>
        <v>2</v>
      </c>
      <c r="AA33" s="249">
        <f t="shared" si="125"/>
        <v>0</v>
      </c>
      <c r="AB33" s="249">
        <f t="shared" si="125"/>
        <v>37</v>
      </c>
      <c r="AF33" s="19" t="s">
        <v>1720</v>
      </c>
      <c r="AG33" s="249">
        <f t="shared" ref="AG33:AO33" si="126">+AG4+AG19</f>
        <v>6</v>
      </c>
      <c r="AH33" s="249">
        <f t="shared" si="126"/>
        <v>3</v>
      </c>
      <c r="AI33" s="249">
        <f t="shared" si="126"/>
        <v>1</v>
      </c>
      <c r="AJ33" s="249">
        <f t="shared" si="126"/>
        <v>0</v>
      </c>
      <c r="AK33" s="249">
        <f t="shared" si="126"/>
        <v>1</v>
      </c>
      <c r="AL33" s="249">
        <f t="shared" si="126"/>
        <v>4</v>
      </c>
      <c r="AM33" s="249">
        <f t="shared" si="126"/>
        <v>1</v>
      </c>
      <c r="AN33" s="249">
        <f t="shared" si="126"/>
        <v>0</v>
      </c>
      <c r="AO33" s="249">
        <f t="shared" si="126"/>
        <v>16</v>
      </c>
      <c r="AR33" s="19" t="s">
        <v>1720</v>
      </c>
      <c r="AS33" s="249">
        <f t="shared" ref="AS33:BA33" si="127">+AS4+AS19</f>
        <v>4</v>
      </c>
      <c r="AT33" s="249">
        <f t="shared" si="127"/>
        <v>2</v>
      </c>
      <c r="AU33" s="249">
        <f t="shared" si="127"/>
        <v>1</v>
      </c>
      <c r="AV33" s="249">
        <f t="shared" si="127"/>
        <v>1</v>
      </c>
      <c r="AW33" s="249">
        <f t="shared" si="127"/>
        <v>0</v>
      </c>
      <c r="AX33" s="249">
        <f t="shared" si="127"/>
        <v>2</v>
      </c>
      <c r="AY33" s="249">
        <f t="shared" si="127"/>
        <v>1</v>
      </c>
      <c r="AZ33" s="249">
        <f t="shared" si="127"/>
        <v>0</v>
      </c>
      <c r="BA33" s="249">
        <f t="shared" si="127"/>
        <v>11</v>
      </c>
      <c r="BD33" s="19" t="s">
        <v>1720</v>
      </c>
      <c r="BE33" s="249">
        <f t="shared" ref="BE33:BM33" si="128">+BE4+BE19</f>
        <v>0</v>
      </c>
      <c r="BF33" s="249">
        <f t="shared" si="128"/>
        <v>5</v>
      </c>
      <c r="BG33" s="249">
        <f t="shared" si="128"/>
        <v>6</v>
      </c>
      <c r="BH33" s="249">
        <f t="shared" si="128"/>
        <v>4</v>
      </c>
      <c r="BI33" s="249">
        <f t="shared" si="128"/>
        <v>9</v>
      </c>
      <c r="BJ33" s="249">
        <f t="shared" si="128"/>
        <v>6</v>
      </c>
      <c r="BK33" s="249">
        <f t="shared" si="128"/>
        <v>5</v>
      </c>
      <c r="BL33" s="249">
        <f t="shared" si="128"/>
        <v>2</v>
      </c>
      <c r="BM33" s="249">
        <f t="shared" si="128"/>
        <v>37</v>
      </c>
      <c r="BP33" s="19" t="s">
        <v>1720</v>
      </c>
      <c r="BQ33" s="249">
        <f t="shared" ref="BQ33:BY33" si="129">+BQ4+BQ19</f>
        <v>0</v>
      </c>
      <c r="BR33" s="249">
        <f t="shared" si="129"/>
        <v>5</v>
      </c>
      <c r="BS33" s="249">
        <f t="shared" si="129"/>
        <v>6</v>
      </c>
      <c r="BT33" s="249">
        <f t="shared" si="129"/>
        <v>7</v>
      </c>
      <c r="BU33" s="249">
        <f t="shared" si="129"/>
        <v>10</v>
      </c>
      <c r="BV33" s="249">
        <f t="shared" si="129"/>
        <v>13</v>
      </c>
      <c r="BW33" s="249">
        <f t="shared" si="129"/>
        <v>15</v>
      </c>
      <c r="BX33" s="249">
        <f t="shared" si="129"/>
        <v>2</v>
      </c>
      <c r="BY33" s="249">
        <f t="shared" si="129"/>
        <v>58</v>
      </c>
      <c r="CA33" s="249">
        <v>2010</v>
      </c>
      <c r="CB33" s="144">
        <f>AVERAGEIFS('DATOS 2'!$F$5:$F$1437,'DATOS 2'!$D$5:$D$1437,CA33)</f>
        <v>2.8350746268656715</v>
      </c>
      <c r="CC33" s="144">
        <f>AVERAGEIFS('DATOS 2'!$G$5:$G$1437,'DATOS 2'!$D$5:$D$1437,CA33)</f>
        <v>3.4514925373134324</v>
      </c>
      <c r="CD33" s="138">
        <f>AVERAGEIFS('DATOS 2'!$E$5:$E$1437,'DATOS 2'!$D$5:$D$1437,CA33)</f>
        <v>334234.67164179106</v>
      </c>
      <c r="CF33" s="11" t="s">
        <v>1710</v>
      </c>
      <c r="CG33" s="160">
        <f>AVERAGEIFS('DATOS 2'!$F$5:$F$1437,'DATOS 2'!$D$5:$D$1437,"&lt;1980",'DATOS 2'!$C$5:$C$1437,"T3",'DATOS 2'!$H$5:$H$1437,"D")</f>
        <v>1.9153846153846155</v>
      </c>
      <c r="CH33" s="160">
        <f>AVERAGEIFS('DATOS 2'!$G$5:$G$1437,'DATOS 2'!$D$5:$D$1437,"&lt;1980",'DATOS 2'!$C$5:$C$1437,"T3",'DATOS 2'!$H$5:$H$1437,"D")</f>
        <v>2.2846153846153849</v>
      </c>
      <c r="CS33" s="249">
        <v>1</v>
      </c>
      <c r="CT33" s="6">
        <f t="shared" ref="CT33:CT43" si="130">+CV33/$CV$43</f>
        <v>1.3262599469496022E-2</v>
      </c>
      <c r="CU33" s="6">
        <f t="shared" ref="CU33:CU43" si="131">CW33/$CW$43</f>
        <v>8.8235294117647065E-2</v>
      </c>
      <c r="CV33" s="17">
        <f>COUNTIF('DATOS 1'!$AP$51:$AP$427,'FORMULAS PLUS'!CS33)</f>
        <v>5</v>
      </c>
      <c r="CW33" s="17">
        <f>COUNTIF('DATOS 1'!$AP$7:$AP$40,'FORMULAS PLUS'!CS33)</f>
        <v>3</v>
      </c>
      <c r="DB33" s="11">
        <f t="shared" si="63"/>
        <v>18</v>
      </c>
      <c r="DC33" s="9">
        <v>1996</v>
      </c>
      <c r="DD33" s="6">
        <f t="shared" si="60"/>
        <v>1.3712047012732615E-2</v>
      </c>
      <c r="DE33" s="6">
        <f t="shared" si="61"/>
        <v>9.7087378640776691E-3</v>
      </c>
      <c r="DF33" s="249">
        <f t="shared" si="14"/>
        <v>18</v>
      </c>
      <c r="DG33" s="249">
        <f>COUNTIFS('DATOS 2'!$K$5:$K$1437,"HC",'DATOS 2'!$D$5:$D$1437,DC33)</f>
        <v>14</v>
      </c>
      <c r="DH33" s="249">
        <f>COUNTIFS('DATOS 2'!$K$5:$K$1437,"PT",'DATOS 2'!$D$5:$D$1437,DC33)</f>
        <v>4</v>
      </c>
    </row>
    <row r="34" spans="2:112" x14ac:dyDescent="0.25">
      <c r="B34" s="112"/>
      <c r="E34" s="249"/>
      <c r="F34" s="249"/>
      <c r="G34" s="249"/>
      <c r="H34" s="249"/>
      <c r="J34" s="11" t="s">
        <v>480</v>
      </c>
      <c r="L34" s="138">
        <f>COUNTIF('DATOS 2'!$J$5:$J$1437,"VARIABLE")</f>
        <v>6</v>
      </c>
      <c r="Q34" s="11"/>
      <c r="R34" s="9"/>
      <c r="S34" s="249" t="s">
        <v>1028</v>
      </c>
      <c r="T34" s="249">
        <f t="shared" ref="T34:AB34" si="132">+T19+T4</f>
        <v>1</v>
      </c>
      <c r="U34" s="249">
        <f t="shared" si="132"/>
        <v>6</v>
      </c>
      <c r="V34" s="249">
        <f t="shared" si="132"/>
        <v>7</v>
      </c>
      <c r="W34" s="249">
        <f t="shared" si="132"/>
        <v>5</v>
      </c>
      <c r="X34" s="249">
        <f t="shared" si="132"/>
        <v>6</v>
      </c>
      <c r="Y34" s="249">
        <f t="shared" si="132"/>
        <v>4</v>
      </c>
      <c r="Z34" s="249">
        <f t="shared" si="132"/>
        <v>1</v>
      </c>
      <c r="AA34" s="249">
        <f t="shared" si="132"/>
        <v>0</v>
      </c>
      <c r="AB34" s="249">
        <f t="shared" si="132"/>
        <v>30</v>
      </c>
      <c r="AF34" s="19" t="s">
        <v>1721</v>
      </c>
      <c r="AG34" s="249">
        <f t="shared" ref="AG34:AO34" si="133">+AG5+AG20</f>
        <v>0</v>
      </c>
      <c r="AH34" s="249">
        <f t="shared" si="133"/>
        <v>2</v>
      </c>
      <c r="AI34" s="249">
        <f t="shared" si="133"/>
        <v>2</v>
      </c>
      <c r="AJ34" s="249">
        <f t="shared" si="133"/>
        <v>0</v>
      </c>
      <c r="AK34" s="249">
        <f t="shared" si="133"/>
        <v>2</v>
      </c>
      <c r="AL34" s="249">
        <f t="shared" si="133"/>
        <v>0</v>
      </c>
      <c r="AM34" s="249">
        <f t="shared" si="133"/>
        <v>0</v>
      </c>
      <c r="AN34" s="249">
        <f t="shared" si="133"/>
        <v>1</v>
      </c>
      <c r="AO34" s="249">
        <f t="shared" si="133"/>
        <v>7</v>
      </c>
      <c r="AR34" s="19" t="s">
        <v>1721</v>
      </c>
      <c r="AS34" s="249">
        <f t="shared" ref="AS34:BA34" si="134">+AS5+AS20</f>
        <v>2</v>
      </c>
      <c r="AT34" s="249">
        <f t="shared" si="134"/>
        <v>1</v>
      </c>
      <c r="AU34" s="249">
        <f t="shared" si="134"/>
        <v>3</v>
      </c>
      <c r="AV34" s="249">
        <f t="shared" si="134"/>
        <v>1</v>
      </c>
      <c r="AW34" s="249">
        <f t="shared" si="134"/>
        <v>2</v>
      </c>
      <c r="AX34" s="249">
        <f t="shared" si="134"/>
        <v>0</v>
      </c>
      <c r="AY34" s="249">
        <f t="shared" si="134"/>
        <v>0</v>
      </c>
      <c r="AZ34" s="249">
        <f t="shared" si="134"/>
        <v>1</v>
      </c>
      <c r="BA34" s="249">
        <f t="shared" si="134"/>
        <v>10</v>
      </c>
      <c r="BD34" s="19" t="s">
        <v>1721</v>
      </c>
      <c r="BE34" s="249">
        <f t="shared" ref="BE34:BM34" si="135">+BE5+BE20</f>
        <v>0</v>
      </c>
      <c r="BF34" s="249">
        <f t="shared" si="135"/>
        <v>1</v>
      </c>
      <c r="BG34" s="249">
        <f t="shared" si="135"/>
        <v>4</v>
      </c>
      <c r="BH34" s="249">
        <f t="shared" si="135"/>
        <v>4</v>
      </c>
      <c r="BI34" s="249">
        <f t="shared" si="135"/>
        <v>3</v>
      </c>
      <c r="BJ34" s="249">
        <f t="shared" si="135"/>
        <v>1</v>
      </c>
      <c r="BK34" s="249">
        <f t="shared" si="135"/>
        <v>4</v>
      </c>
      <c r="BL34" s="249">
        <f t="shared" si="135"/>
        <v>8</v>
      </c>
      <c r="BM34" s="249">
        <f t="shared" si="135"/>
        <v>25</v>
      </c>
      <c r="BP34" s="19" t="s">
        <v>1721</v>
      </c>
      <c r="BQ34" s="249">
        <f t="shared" ref="BQ34:BY34" si="136">+BQ5+BQ20</f>
        <v>1</v>
      </c>
      <c r="BR34" s="249">
        <f t="shared" si="136"/>
        <v>17</v>
      </c>
      <c r="BS34" s="249">
        <f t="shared" si="136"/>
        <v>6</v>
      </c>
      <c r="BT34" s="249">
        <f t="shared" si="136"/>
        <v>5</v>
      </c>
      <c r="BU34" s="249">
        <f t="shared" si="136"/>
        <v>10</v>
      </c>
      <c r="BV34" s="249">
        <f t="shared" si="136"/>
        <v>1</v>
      </c>
      <c r="BW34" s="249">
        <f t="shared" si="136"/>
        <v>4</v>
      </c>
      <c r="BX34" s="249">
        <f t="shared" si="136"/>
        <v>8</v>
      </c>
      <c r="BY34" s="249">
        <f t="shared" si="136"/>
        <v>52</v>
      </c>
      <c r="CA34" s="249">
        <v>2011</v>
      </c>
      <c r="CB34" s="144">
        <f>AVERAGEIFS('DATOS 2'!$F$5:$F$1437,'DATOS 2'!$D$5:$D$1437,CA34)</f>
        <v>2.8269230769230775</v>
      </c>
      <c r="CC34" s="144">
        <f>AVERAGEIFS('DATOS 2'!$G$5:$G$1437,'DATOS 2'!$D$5:$D$1437,CA34)</f>
        <v>3.3615384615384616</v>
      </c>
      <c r="CD34" s="138">
        <f>AVERAGEIFS('DATOS 2'!$E$5:$E$1437,'DATOS 2'!$D$5:$D$1437,CA34)</f>
        <v>268264.30769230769</v>
      </c>
      <c r="CF34" s="9" t="s">
        <v>1885</v>
      </c>
      <c r="CG34" s="160">
        <f>AVERAGEIFS('DATOS 2'!$F$5:$F$1437,'DATOS 2'!$C$5:$C$1437,"T3",'DATOS 2'!$H$5:$H$1437,"D",'DATOS 2'!$D$5:$D$1437,"&gt;1985",'DATOS 2'!$D$5:$D$1437,"&lt;1991")</f>
        <v>2.066666666666666</v>
      </c>
      <c r="CH34" s="160">
        <f>AVERAGEIFS('DATOS 2'!$G$5:$G$1437,'DATOS 2'!$C$5:$C$1437,"T3",'DATOS 2'!$H$5:$H$1437,"D",'DATOS 2'!$D$5:$D$1437,"&gt;1985",'DATOS 2'!$D$5:$D$1437,"&lt;1991")</f>
        <v>2.4205128205128208</v>
      </c>
      <c r="CS34" s="249">
        <v>2</v>
      </c>
      <c r="CT34" s="6">
        <f t="shared" si="130"/>
        <v>0</v>
      </c>
      <c r="CU34" s="6">
        <f t="shared" si="131"/>
        <v>2.9411764705882353E-2</v>
      </c>
      <c r="CV34" s="17">
        <f>COUNTIF('DATOS 1'!$AP$51:$AP$427,'FORMULAS PLUS'!CS34)</f>
        <v>0</v>
      </c>
      <c r="CW34" s="17">
        <f>COUNTIF('DATOS 1'!$AP$7:$AP$40,'FORMULAS PLUS'!CS34)</f>
        <v>1</v>
      </c>
      <c r="DB34" s="11">
        <f t="shared" si="63"/>
        <v>17</v>
      </c>
      <c r="DC34" s="9">
        <v>1997</v>
      </c>
      <c r="DD34" s="6">
        <f t="shared" si="60"/>
        <v>3.5259549461312441E-2</v>
      </c>
      <c r="DE34" s="6">
        <f t="shared" si="61"/>
        <v>1.2135922330097087E-2</v>
      </c>
      <c r="DF34" s="249">
        <f t="shared" si="14"/>
        <v>41</v>
      </c>
      <c r="DG34" s="249">
        <f>COUNTIFS('DATOS 2'!$K$5:$K$1437,"HC",'DATOS 2'!$D$5:$D$1437,DC34)</f>
        <v>36</v>
      </c>
      <c r="DH34" s="249">
        <f>COUNTIFS('DATOS 2'!$K$5:$K$1437,"PT",'DATOS 2'!$D$5:$D$1437,DC34)</f>
        <v>5</v>
      </c>
    </row>
    <row r="35" spans="2:112" x14ac:dyDescent="0.25">
      <c r="B35" s="112"/>
      <c r="E35" s="249"/>
      <c r="F35" s="249"/>
      <c r="G35" s="249"/>
      <c r="H35" s="249"/>
      <c r="K35" s="139">
        <f>+L35/L23</f>
        <v>0.72086531751570138</v>
      </c>
      <c r="L35" s="138">
        <f>+L34+L33+L32</f>
        <v>1033</v>
      </c>
      <c r="Q35" s="11"/>
      <c r="R35" s="9"/>
      <c r="S35" s="249" t="s">
        <v>1712</v>
      </c>
      <c r="T35" s="249">
        <f t="shared" ref="T35:AB35" si="137">+T20+T5</f>
        <v>0</v>
      </c>
      <c r="U35" s="249">
        <f t="shared" si="137"/>
        <v>4</v>
      </c>
      <c r="V35" s="249">
        <f t="shared" si="137"/>
        <v>1</v>
      </c>
      <c r="W35" s="249">
        <f t="shared" si="137"/>
        <v>6</v>
      </c>
      <c r="X35" s="249">
        <f t="shared" si="137"/>
        <v>5</v>
      </c>
      <c r="Y35" s="249">
        <f t="shared" si="137"/>
        <v>19</v>
      </c>
      <c r="Z35" s="249">
        <f t="shared" si="137"/>
        <v>59</v>
      </c>
      <c r="AA35" s="249">
        <f t="shared" si="137"/>
        <v>111</v>
      </c>
      <c r="AB35" s="249">
        <f t="shared" si="137"/>
        <v>205</v>
      </c>
      <c r="AF35" s="19" t="s">
        <v>1722</v>
      </c>
      <c r="AG35" s="249">
        <f t="shared" ref="AG35:AO35" si="138">+AG6+AG21</f>
        <v>2</v>
      </c>
      <c r="AH35" s="249">
        <f t="shared" si="138"/>
        <v>1</v>
      </c>
      <c r="AI35" s="249">
        <f t="shared" si="138"/>
        <v>2</v>
      </c>
      <c r="AJ35" s="249">
        <f t="shared" si="138"/>
        <v>6</v>
      </c>
      <c r="AK35" s="249">
        <f t="shared" si="138"/>
        <v>1</v>
      </c>
      <c r="AL35" s="249">
        <f t="shared" si="138"/>
        <v>3</v>
      </c>
      <c r="AM35" s="249">
        <f t="shared" si="138"/>
        <v>2</v>
      </c>
      <c r="AN35" s="249">
        <f t="shared" si="138"/>
        <v>0</v>
      </c>
      <c r="AO35" s="249">
        <f t="shared" si="138"/>
        <v>17</v>
      </c>
      <c r="AR35" s="19" t="s">
        <v>1722</v>
      </c>
      <c r="AS35" s="249">
        <f t="shared" ref="AS35:BA35" si="139">+AS6+AS21</f>
        <v>2</v>
      </c>
      <c r="AT35" s="249">
        <f t="shared" si="139"/>
        <v>3</v>
      </c>
      <c r="AU35" s="249">
        <f t="shared" si="139"/>
        <v>3</v>
      </c>
      <c r="AV35" s="249">
        <f t="shared" si="139"/>
        <v>5</v>
      </c>
      <c r="AW35" s="249">
        <f t="shared" si="139"/>
        <v>3</v>
      </c>
      <c r="AX35" s="249">
        <f t="shared" si="139"/>
        <v>2</v>
      </c>
      <c r="AY35" s="249">
        <f t="shared" si="139"/>
        <v>2</v>
      </c>
      <c r="AZ35" s="249">
        <f t="shared" si="139"/>
        <v>3</v>
      </c>
      <c r="BA35" s="249">
        <f t="shared" si="139"/>
        <v>23</v>
      </c>
      <c r="BD35" s="19" t="s">
        <v>1722</v>
      </c>
      <c r="BE35" s="249">
        <f t="shared" ref="BE35:BM35" si="140">+BE6+BE21</f>
        <v>0</v>
      </c>
      <c r="BF35" s="249">
        <f t="shared" si="140"/>
        <v>0</v>
      </c>
      <c r="BG35" s="249">
        <f t="shared" si="140"/>
        <v>1</v>
      </c>
      <c r="BH35" s="249">
        <f t="shared" si="140"/>
        <v>3</v>
      </c>
      <c r="BI35" s="249">
        <f t="shared" si="140"/>
        <v>8</v>
      </c>
      <c r="BJ35" s="249">
        <f t="shared" si="140"/>
        <v>5</v>
      </c>
      <c r="BK35" s="249">
        <f t="shared" si="140"/>
        <v>9</v>
      </c>
      <c r="BL35" s="249">
        <f t="shared" si="140"/>
        <v>1</v>
      </c>
      <c r="BM35" s="249">
        <f t="shared" si="140"/>
        <v>27</v>
      </c>
      <c r="BP35" s="19" t="s">
        <v>1722</v>
      </c>
      <c r="BQ35" s="249">
        <f t="shared" ref="BQ35:BY35" si="141">+BQ6+BQ21</f>
        <v>10</v>
      </c>
      <c r="BR35" s="249">
        <f t="shared" si="141"/>
        <v>9</v>
      </c>
      <c r="BS35" s="249">
        <f t="shared" si="141"/>
        <v>11</v>
      </c>
      <c r="BT35" s="249">
        <f t="shared" si="141"/>
        <v>16</v>
      </c>
      <c r="BU35" s="249">
        <f t="shared" si="141"/>
        <v>17</v>
      </c>
      <c r="BV35" s="249">
        <f t="shared" si="141"/>
        <v>9</v>
      </c>
      <c r="BW35" s="249">
        <f t="shared" si="141"/>
        <v>8</v>
      </c>
      <c r="BX35" s="249">
        <f t="shared" si="141"/>
        <v>7</v>
      </c>
      <c r="BY35" s="249">
        <f t="shared" si="141"/>
        <v>87</v>
      </c>
      <c r="CA35" s="249">
        <v>2012</v>
      </c>
      <c r="CB35" s="144">
        <f>AVERAGEIFS('DATOS 2'!$F$5:$F$1437,'DATOS 2'!$D$5:$D$1437,CA35)</f>
        <v>2.2257142857142864</v>
      </c>
      <c r="CC35" s="144">
        <f>AVERAGEIFS('DATOS 2'!$G$5:$G$1437,'DATOS 2'!$D$5:$D$1437,CA35)</f>
        <v>2.6914285714285717</v>
      </c>
      <c r="CD35" s="138">
        <f>AVERAGEIFS('DATOS 2'!$E$5:$E$1437,'DATOS 2'!$D$5:$D$1437,CA35)</f>
        <v>159338.57142857142</v>
      </c>
      <c r="CF35" s="9" t="s">
        <v>1879</v>
      </c>
      <c r="CG35" s="160">
        <f>AVERAGEIFS('DATOS 2'!$F$5:$F$1437,'DATOS 2'!$C$5:$C$1437,"T3",'DATOS 2'!$H$5:$H$1437,"D",'DATOS 2'!$D$5:$D$1437,"&gt;1985",'DATOS 2'!$D$5:$D$1437,"&lt;1991")</f>
        <v>2.066666666666666</v>
      </c>
      <c r="CH35" s="160">
        <f>AVERAGEIFS('DATOS 2'!$G$5:$G$1437,'DATOS 2'!$C$5:$C$1437,"T3",'DATOS 2'!$H$5:$H$1437,"D",'DATOS 2'!$D$5:$D$1437,"&gt;1985",'DATOS 2'!$D$5:$D$1437,"&lt;1991")</f>
        <v>2.4205128205128208</v>
      </c>
      <c r="CS35" s="249">
        <v>3</v>
      </c>
      <c r="CT35" s="6">
        <f t="shared" si="130"/>
        <v>2.6525198938992044E-2</v>
      </c>
      <c r="CU35" s="6">
        <f t="shared" si="131"/>
        <v>0</v>
      </c>
      <c r="CV35" s="17">
        <f>COUNTIF('DATOS 1'!$AP$51:$AP$427,'FORMULAS PLUS'!CS35)</f>
        <v>10</v>
      </c>
      <c r="CW35" s="17">
        <f>COUNTIF('DATOS 1'!$AP$7:$AP$40,'FORMULAS PLUS'!CS35)</f>
        <v>0</v>
      </c>
      <c r="DB35" s="11">
        <f t="shared" si="63"/>
        <v>16</v>
      </c>
      <c r="DC35" s="9">
        <v>1998</v>
      </c>
      <c r="DD35" s="6">
        <f t="shared" si="60"/>
        <v>3.4280117531831536E-2</v>
      </c>
      <c r="DE35" s="6">
        <f t="shared" si="61"/>
        <v>3.3980582524271843E-2</v>
      </c>
      <c r="DF35" s="249">
        <f t="shared" si="14"/>
        <v>49</v>
      </c>
      <c r="DG35" s="249">
        <f>COUNTIFS('DATOS 2'!$K$5:$K$1437,"HC",'DATOS 2'!$D$5:$D$1437,DC35)</f>
        <v>35</v>
      </c>
      <c r="DH35" s="249">
        <f>COUNTIFS('DATOS 2'!$K$5:$K$1437,"PT",'DATOS 2'!$D$5:$D$1437,DC35)</f>
        <v>14</v>
      </c>
    </row>
    <row r="36" spans="2:112" ht="45" x14ac:dyDescent="0.25">
      <c r="C36" s="146" t="s">
        <v>30</v>
      </c>
      <c r="D36" s="163" t="s">
        <v>31</v>
      </c>
      <c r="F36" s="146" t="s">
        <v>32</v>
      </c>
      <c r="G36" s="146" t="s">
        <v>33</v>
      </c>
      <c r="H36" s="146" t="s">
        <v>34</v>
      </c>
      <c r="I36" s="146" t="s">
        <v>263</v>
      </c>
      <c r="Q36" s="11"/>
      <c r="R36" s="9"/>
      <c r="S36" s="249" t="s">
        <v>1716</v>
      </c>
      <c r="T36" s="249">
        <f t="shared" ref="T36:AB36" si="142">+T21+T6</f>
        <v>0</v>
      </c>
      <c r="U36" s="249">
        <f t="shared" si="142"/>
        <v>4</v>
      </c>
      <c r="V36" s="249">
        <f t="shared" si="142"/>
        <v>2</v>
      </c>
      <c r="W36" s="249">
        <f t="shared" si="142"/>
        <v>14</v>
      </c>
      <c r="X36" s="249">
        <f t="shared" si="142"/>
        <v>12</v>
      </c>
      <c r="Y36" s="249">
        <f t="shared" si="142"/>
        <v>40</v>
      </c>
      <c r="Z36" s="249">
        <f t="shared" si="142"/>
        <v>123</v>
      </c>
      <c r="AA36" s="249">
        <f t="shared" si="142"/>
        <v>25</v>
      </c>
      <c r="AB36" s="249">
        <f t="shared" si="142"/>
        <v>220</v>
      </c>
      <c r="AF36" s="19" t="s">
        <v>1723</v>
      </c>
      <c r="AG36" s="249">
        <f t="shared" ref="AG36:AO36" si="143">+AG7+AG22</f>
        <v>2</v>
      </c>
      <c r="AH36" s="249">
        <f t="shared" si="143"/>
        <v>3</v>
      </c>
      <c r="AI36" s="249">
        <f t="shared" si="143"/>
        <v>2</v>
      </c>
      <c r="AJ36" s="249">
        <f t="shared" si="143"/>
        <v>13</v>
      </c>
      <c r="AK36" s="249">
        <f t="shared" si="143"/>
        <v>0</v>
      </c>
      <c r="AL36" s="249">
        <f t="shared" si="143"/>
        <v>7</v>
      </c>
      <c r="AM36" s="249">
        <f t="shared" si="143"/>
        <v>9</v>
      </c>
      <c r="AN36" s="249">
        <f t="shared" si="143"/>
        <v>7</v>
      </c>
      <c r="AO36" s="249">
        <f t="shared" si="143"/>
        <v>43</v>
      </c>
      <c r="AR36" s="19" t="s">
        <v>1723</v>
      </c>
      <c r="AS36" s="249">
        <f t="shared" ref="AS36:BA36" si="144">+AS7+AS22</f>
        <v>2</v>
      </c>
      <c r="AT36" s="249">
        <f t="shared" si="144"/>
        <v>19</v>
      </c>
      <c r="AU36" s="249">
        <f t="shared" si="144"/>
        <v>9</v>
      </c>
      <c r="AV36" s="249">
        <f t="shared" si="144"/>
        <v>13</v>
      </c>
      <c r="AW36" s="249">
        <f t="shared" si="144"/>
        <v>4</v>
      </c>
      <c r="AX36" s="249">
        <f t="shared" si="144"/>
        <v>6</v>
      </c>
      <c r="AY36" s="249">
        <f t="shared" si="144"/>
        <v>3</v>
      </c>
      <c r="AZ36" s="249">
        <f t="shared" si="144"/>
        <v>2</v>
      </c>
      <c r="BA36" s="249">
        <f t="shared" si="144"/>
        <v>58</v>
      </c>
      <c r="BD36" s="19" t="s">
        <v>1723</v>
      </c>
      <c r="BE36" s="249">
        <f t="shared" ref="BE36:BM36" si="145">+BE7+BE22</f>
        <v>0</v>
      </c>
      <c r="BF36" s="249">
        <f t="shared" si="145"/>
        <v>2</v>
      </c>
      <c r="BG36" s="249">
        <f t="shared" si="145"/>
        <v>1</v>
      </c>
      <c r="BH36" s="249">
        <f t="shared" si="145"/>
        <v>2</v>
      </c>
      <c r="BI36" s="249">
        <f t="shared" si="145"/>
        <v>8</v>
      </c>
      <c r="BJ36" s="249">
        <f t="shared" si="145"/>
        <v>56</v>
      </c>
      <c r="BK36" s="249">
        <f t="shared" si="145"/>
        <v>61</v>
      </c>
      <c r="BL36" s="249">
        <f t="shared" si="145"/>
        <v>5</v>
      </c>
      <c r="BM36" s="249">
        <f t="shared" si="145"/>
        <v>135</v>
      </c>
      <c r="BP36" s="19" t="s">
        <v>1723</v>
      </c>
      <c r="BQ36" s="249">
        <f t="shared" ref="BQ36:BY36" si="146">+BQ7+BQ22</f>
        <v>0</v>
      </c>
      <c r="BR36" s="249">
        <f t="shared" si="146"/>
        <v>6</v>
      </c>
      <c r="BS36" s="249">
        <f t="shared" si="146"/>
        <v>5</v>
      </c>
      <c r="BT36" s="249">
        <f t="shared" si="146"/>
        <v>28</v>
      </c>
      <c r="BU36" s="249">
        <f t="shared" si="146"/>
        <v>46</v>
      </c>
      <c r="BV36" s="249">
        <f t="shared" si="146"/>
        <v>64</v>
      </c>
      <c r="BW36" s="249">
        <f t="shared" si="146"/>
        <v>91</v>
      </c>
      <c r="BX36" s="249">
        <f t="shared" si="146"/>
        <v>51</v>
      </c>
      <c r="BY36" s="249">
        <f t="shared" si="146"/>
        <v>291</v>
      </c>
      <c r="CA36" s="249">
        <v>2013</v>
      </c>
      <c r="CB36" s="144">
        <f>AVERAGEIFS('DATOS 2'!$F$5:$F$1437,'DATOS 2'!$D$5:$D$1437,CA36)</f>
        <v>2.4807692307692308</v>
      </c>
      <c r="CC36" s="144">
        <f>AVERAGEIFS('DATOS 2'!$G$5:$G$1437,'DATOS 2'!$D$5:$D$1437,CA36)</f>
        <v>2.9230769230769225</v>
      </c>
      <c r="CD36" s="138">
        <f>AVERAGEIFS('DATOS 2'!$E$5:$E$1437,'DATOS 2'!$D$5:$D$1437,CA36)</f>
        <v>158500</v>
      </c>
      <c r="CF36" s="9" t="s">
        <v>1880</v>
      </c>
      <c r="CG36" s="160">
        <f>AVERAGEIFS('DATOS 2'!$F$5:$F$1437,'DATOS 2'!$C$5:$C$1437,"T3",'DATOS 2'!$H$5:$H$1437,"D",'DATOS 2'!$D$5:$D$1437,"&gt;1990",'DATOS 2'!$D$5:$D$1437,"&lt;1996")</f>
        <v>2.0787878787878795</v>
      </c>
      <c r="CH36" s="160">
        <f>AVERAGEIFS('DATOS 2'!$G$5:$G$1437,'DATOS 2'!$C$5:$C$1437,"T3",'DATOS 2'!$H$5:$H$1437,"D",'DATOS 2'!$D$5:$D$1437,"&gt;1990",'DATOS 2'!$D$5:$D$1437,"&lt;1996")</f>
        <v>2.3712121212121198</v>
      </c>
      <c r="CS36" s="249">
        <v>4</v>
      </c>
      <c r="CT36" s="6">
        <f t="shared" si="130"/>
        <v>1.5915119363395226E-2</v>
      </c>
      <c r="CU36" s="6">
        <f t="shared" si="131"/>
        <v>2.9411764705882353E-2</v>
      </c>
      <c r="CV36" s="17">
        <f>COUNTIF('DATOS 1'!$AP$51:$AP$427,'FORMULAS PLUS'!CS36)</f>
        <v>6</v>
      </c>
      <c r="CW36" s="17">
        <f>COUNTIF('DATOS 1'!$AP$7:$AP$40,'FORMULAS PLUS'!CS36)</f>
        <v>1</v>
      </c>
      <c r="DB36" s="11">
        <f t="shared" si="63"/>
        <v>15</v>
      </c>
      <c r="DC36" s="9">
        <v>1999</v>
      </c>
      <c r="DD36" s="6">
        <f t="shared" si="60"/>
        <v>2.1547502448579822E-2</v>
      </c>
      <c r="DE36" s="6">
        <f t="shared" si="61"/>
        <v>4.8543689320388345E-3</v>
      </c>
      <c r="DF36" s="249">
        <f t="shared" si="14"/>
        <v>24</v>
      </c>
      <c r="DG36" s="249">
        <f>COUNTIFS('DATOS 2'!$K$5:$K$1437,"HC",'DATOS 2'!$D$5:$D$1437,DC36)</f>
        <v>22</v>
      </c>
      <c r="DH36" s="249">
        <f>COUNTIFS('DATOS 2'!$K$5:$K$1437,"PT",'DATOS 2'!$D$5:$D$1437,DC36)</f>
        <v>2</v>
      </c>
    </row>
    <row r="37" spans="2:112" x14ac:dyDescent="0.25">
      <c r="B37" s="112" t="s">
        <v>584</v>
      </c>
      <c r="C37" s="6">
        <f>C26/$D$33</f>
        <v>2.3866348448687352E-3</v>
      </c>
      <c r="D37" s="6">
        <f>D26/$D$33</f>
        <v>3.5799522673031027E-2</v>
      </c>
      <c r="E37" s="112" t="s">
        <v>584</v>
      </c>
      <c r="F37" s="6">
        <f>+F26/$I$33</f>
        <v>0</v>
      </c>
      <c r="G37" s="6">
        <f t="shared" ref="G37:I37" si="147">+G26/$I$33</f>
        <v>2.6262626262626262E-2</v>
      </c>
      <c r="H37" s="6">
        <f t="shared" si="147"/>
        <v>4.0404040404040404E-3</v>
      </c>
      <c r="I37" s="6">
        <f t="shared" si="147"/>
        <v>8.0808080808080808E-3</v>
      </c>
      <c r="J37" s="11" t="s">
        <v>2385</v>
      </c>
      <c r="Q37" s="11"/>
      <c r="R37" s="9"/>
      <c r="S37" s="249" t="s">
        <v>1713</v>
      </c>
      <c r="T37" s="249">
        <f t="shared" ref="T37:AB37" si="148">+T22+T7</f>
        <v>4</v>
      </c>
      <c r="U37" s="249">
        <f t="shared" si="148"/>
        <v>10</v>
      </c>
      <c r="V37" s="249">
        <f t="shared" si="148"/>
        <v>26</v>
      </c>
      <c r="W37" s="249">
        <f t="shared" si="148"/>
        <v>40</v>
      </c>
      <c r="X37" s="249">
        <f t="shared" si="148"/>
        <v>100</v>
      </c>
      <c r="Y37" s="249">
        <f t="shared" si="148"/>
        <v>190</v>
      </c>
      <c r="Z37" s="249">
        <f t="shared" si="148"/>
        <v>171</v>
      </c>
      <c r="AA37" s="249">
        <f t="shared" si="148"/>
        <v>6</v>
      </c>
      <c r="AB37" s="249">
        <f t="shared" si="148"/>
        <v>547</v>
      </c>
      <c r="AF37" s="19" t="s">
        <v>1724</v>
      </c>
      <c r="AG37" s="249">
        <f t="shared" ref="AG37:AO37" si="149">+AG8+AG23</f>
        <v>1</v>
      </c>
      <c r="AH37" s="249">
        <f t="shared" si="149"/>
        <v>3</v>
      </c>
      <c r="AI37" s="249">
        <f t="shared" si="149"/>
        <v>3</v>
      </c>
      <c r="AJ37" s="249">
        <f t="shared" si="149"/>
        <v>3</v>
      </c>
      <c r="AK37" s="249">
        <f t="shared" si="149"/>
        <v>11</v>
      </c>
      <c r="AL37" s="249">
        <f t="shared" si="149"/>
        <v>12</v>
      </c>
      <c r="AM37" s="249">
        <f t="shared" si="149"/>
        <v>12</v>
      </c>
      <c r="AN37" s="249">
        <f t="shared" si="149"/>
        <v>4</v>
      </c>
      <c r="AO37" s="249">
        <f t="shared" si="149"/>
        <v>49</v>
      </c>
      <c r="AR37" s="19" t="s">
        <v>1724</v>
      </c>
      <c r="AS37" s="249">
        <f t="shared" ref="AS37:BA37" si="150">+AS8+AS23</f>
        <v>2</v>
      </c>
      <c r="AT37" s="249">
        <f t="shared" si="150"/>
        <v>12</v>
      </c>
      <c r="AU37" s="249">
        <f t="shared" si="150"/>
        <v>2</v>
      </c>
      <c r="AV37" s="249">
        <f t="shared" si="150"/>
        <v>3</v>
      </c>
      <c r="AW37" s="249">
        <f t="shared" si="150"/>
        <v>10</v>
      </c>
      <c r="AX37" s="249">
        <f t="shared" si="150"/>
        <v>5</v>
      </c>
      <c r="AY37" s="249">
        <f t="shared" si="150"/>
        <v>8</v>
      </c>
      <c r="AZ37" s="249">
        <f t="shared" si="150"/>
        <v>4</v>
      </c>
      <c r="BA37" s="249">
        <f t="shared" si="150"/>
        <v>46</v>
      </c>
      <c r="BD37" s="19" t="s">
        <v>1724</v>
      </c>
      <c r="BE37" s="249">
        <f t="shared" ref="BE37:BM37" si="151">+BE8+BE23</f>
        <v>2</v>
      </c>
      <c r="BF37" s="249">
        <f t="shared" si="151"/>
        <v>0</v>
      </c>
      <c r="BG37" s="249">
        <f t="shared" si="151"/>
        <v>0</v>
      </c>
      <c r="BH37" s="249">
        <f t="shared" si="151"/>
        <v>0</v>
      </c>
      <c r="BI37" s="249">
        <f t="shared" si="151"/>
        <v>3</v>
      </c>
      <c r="BJ37" s="249">
        <f t="shared" si="151"/>
        <v>3</v>
      </c>
      <c r="BK37" s="249">
        <f t="shared" si="151"/>
        <v>19</v>
      </c>
      <c r="BL37" s="249">
        <f t="shared" si="151"/>
        <v>12</v>
      </c>
      <c r="BM37" s="249">
        <f t="shared" si="151"/>
        <v>39</v>
      </c>
      <c r="BP37" s="19" t="s">
        <v>1724</v>
      </c>
      <c r="BQ37" s="249">
        <f t="shared" ref="BQ37:BY37" si="152">+BQ8+BQ23</f>
        <v>2</v>
      </c>
      <c r="BR37" s="249">
        <f t="shared" si="152"/>
        <v>9</v>
      </c>
      <c r="BS37" s="249">
        <f t="shared" si="152"/>
        <v>10</v>
      </c>
      <c r="BT37" s="249">
        <f t="shared" si="152"/>
        <v>7</v>
      </c>
      <c r="BU37" s="249">
        <f t="shared" si="152"/>
        <v>37</v>
      </c>
      <c r="BV37" s="249">
        <f t="shared" si="152"/>
        <v>75</v>
      </c>
      <c r="BW37" s="249">
        <f t="shared" si="152"/>
        <v>80</v>
      </c>
      <c r="BX37" s="249">
        <f t="shared" si="152"/>
        <v>21</v>
      </c>
      <c r="BY37" s="249">
        <f t="shared" si="152"/>
        <v>241</v>
      </c>
      <c r="CA37" s="249">
        <v>2014</v>
      </c>
      <c r="CB37" s="144">
        <f>AVERAGEIFS('DATOS 2'!$F$5:$F$1437,'DATOS 2'!$D$5:$D$1437,CA37)</f>
        <v>2.2049999999999996</v>
      </c>
      <c r="CC37" s="144">
        <f>AVERAGEIFS('DATOS 2'!$G$5:$G$1437,'DATOS 2'!$D$5:$D$1437,CA37)</f>
        <v>2.5150000000000001</v>
      </c>
      <c r="CD37" s="138">
        <f>AVERAGEIFS('DATOS 2'!$E$5:$E$1437,'DATOS 2'!$D$5:$D$1437,CA37)</f>
        <v>94925</v>
      </c>
      <c r="CF37" s="9" t="s">
        <v>1881</v>
      </c>
      <c r="CG37" s="160">
        <f>AVERAGEIFS('DATOS 2'!$F$5:$F$1437,'DATOS 2'!$C$5:$C$1437,"T3",'DATOS 2'!$H$5:$H$1437,"D",'DATOS 2'!$D$5:$D$1437,"&gt;1995",'DATOS 2'!$D$5:$D$1437,"&lt;2001")</f>
        <v>2.1095238095238096</v>
      </c>
      <c r="CH37" s="160">
        <f>AVERAGEIFS('DATOS 2'!$G$5:$G$1437,'DATOS 2'!$C$5:$C$1437,"T3",'DATOS 2'!$H$5:$H$1437,"D",'DATOS 2'!$D$5:$D$1437,"&gt;1995",'DATOS 2'!$D$5:$D$1437,"&lt;2001")</f>
        <v>2.4706349206349212</v>
      </c>
      <c r="CS37" s="249">
        <v>5</v>
      </c>
      <c r="CT37" s="6">
        <f t="shared" si="130"/>
        <v>8.7533156498673742E-2</v>
      </c>
      <c r="CU37" s="6">
        <f t="shared" si="131"/>
        <v>2.9411764705882353E-2</v>
      </c>
      <c r="CV37" s="17">
        <f>COUNTIF('DATOS 1'!$AP$51:$AP$427,'FORMULAS PLUS'!CS37)</f>
        <v>33</v>
      </c>
      <c r="CW37" s="17">
        <f>COUNTIF('DATOS 1'!$AP$7:$AP$40,'FORMULAS PLUS'!CS37)</f>
        <v>1</v>
      </c>
      <c r="DB37" s="11">
        <f t="shared" si="63"/>
        <v>14</v>
      </c>
      <c r="DC37" s="9">
        <v>2000</v>
      </c>
      <c r="DD37" s="6">
        <f t="shared" si="60"/>
        <v>4.8971596474045052E-2</v>
      </c>
      <c r="DE37" s="6">
        <f t="shared" si="61"/>
        <v>8.9805825242718448E-2</v>
      </c>
      <c r="DF37" s="249">
        <f t="shared" si="14"/>
        <v>87</v>
      </c>
      <c r="DG37" s="249">
        <f>COUNTIFS('DATOS 2'!$K$5:$K$1437,"HC",'DATOS 2'!$D$5:$D$1437,DC37)</f>
        <v>50</v>
      </c>
      <c r="DH37" s="249">
        <f>COUNTIFS('DATOS 2'!$K$5:$K$1437,"PT",'DATOS 2'!$D$5:$D$1437,DC37)</f>
        <v>37</v>
      </c>
    </row>
    <row r="38" spans="2:112" x14ac:dyDescent="0.25">
      <c r="B38" s="112" t="s">
        <v>353</v>
      </c>
      <c r="C38" s="6">
        <f t="shared" ref="C38:D43" si="153">C27/$D$33</f>
        <v>3.8186157517899763E-2</v>
      </c>
      <c r="D38" s="6">
        <f t="shared" si="153"/>
        <v>0.14081145584725538</v>
      </c>
      <c r="E38" s="112" t="s">
        <v>353</v>
      </c>
      <c r="F38" s="6">
        <f t="shared" ref="F38:I38" si="154">+F27/$I$33</f>
        <v>6.0606060606060606E-3</v>
      </c>
      <c r="G38" s="6">
        <f t="shared" si="154"/>
        <v>6.0606060606060608E-2</v>
      </c>
      <c r="H38" s="6">
        <f t="shared" si="154"/>
        <v>2.6262626262626262E-2</v>
      </c>
      <c r="I38" s="6">
        <f t="shared" si="154"/>
        <v>7.8787878787878782E-2</v>
      </c>
      <c r="J38" s="11" t="s">
        <v>2374</v>
      </c>
      <c r="K38" s="6">
        <f>L38/$L$44</f>
        <v>0.12</v>
      </c>
      <c r="L38" s="249">
        <f>COUNTIFS('DATOS 2'!$K$5:$K$1437,"PT",'DATOS 2'!$J$5:$J$1437,"&lt;2500")</f>
        <v>48</v>
      </c>
      <c r="Q38" s="11"/>
      <c r="R38" s="9"/>
      <c r="S38" s="249" t="s">
        <v>943</v>
      </c>
      <c r="T38" s="249">
        <f t="shared" ref="T38:AB38" si="155">+T23+T8</f>
        <v>13</v>
      </c>
      <c r="U38" s="249">
        <f t="shared" si="155"/>
        <v>13</v>
      </c>
      <c r="V38" s="249">
        <f t="shared" si="155"/>
        <v>17</v>
      </c>
      <c r="W38" s="249">
        <f t="shared" si="155"/>
        <v>31</v>
      </c>
      <c r="X38" s="249">
        <f t="shared" si="155"/>
        <v>55</v>
      </c>
      <c r="Y38" s="249">
        <f t="shared" si="155"/>
        <v>44</v>
      </c>
      <c r="Z38" s="249">
        <f t="shared" si="155"/>
        <v>9</v>
      </c>
      <c r="AA38" s="249">
        <f t="shared" si="155"/>
        <v>0</v>
      </c>
      <c r="AB38" s="249">
        <f t="shared" si="155"/>
        <v>182</v>
      </c>
      <c r="AF38" s="19" t="s">
        <v>1725</v>
      </c>
      <c r="AG38" s="249">
        <f t="shared" ref="AG38:AO38" si="156">+AG9+AG24</f>
        <v>2</v>
      </c>
      <c r="AH38" s="249">
        <f t="shared" si="156"/>
        <v>3</v>
      </c>
      <c r="AI38" s="249">
        <f t="shared" si="156"/>
        <v>7</v>
      </c>
      <c r="AJ38" s="249">
        <f t="shared" si="156"/>
        <v>7</v>
      </c>
      <c r="AK38" s="249">
        <f t="shared" si="156"/>
        <v>8</v>
      </c>
      <c r="AL38" s="249">
        <f t="shared" si="156"/>
        <v>10</v>
      </c>
      <c r="AM38" s="249">
        <f t="shared" si="156"/>
        <v>7</v>
      </c>
      <c r="AN38" s="249">
        <f t="shared" si="156"/>
        <v>0</v>
      </c>
      <c r="AO38" s="249">
        <f t="shared" si="156"/>
        <v>44</v>
      </c>
      <c r="AR38" s="19" t="s">
        <v>1725</v>
      </c>
      <c r="AS38" s="249">
        <f t="shared" ref="AS38:BA38" si="157">+AS9+AS24</f>
        <v>4</v>
      </c>
      <c r="AT38" s="249">
        <f t="shared" si="157"/>
        <v>7</v>
      </c>
      <c r="AU38" s="249">
        <f t="shared" si="157"/>
        <v>13</v>
      </c>
      <c r="AV38" s="249">
        <f t="shared" si="157"/>
        <v>11</v>
      </c>
      <c r="AW38" s="249">
        <f t="shared" si="157"/>
        <v>28</v>
      </c>
      <c r="AX38" s="249">
        <f t="shared" si="157"/>
        <v>26</v>
      </c>
      <c r="AY38" s="249">
        <f t="shared" si="157"/>
        <v>18</v>
      </c>
      <c r="AZ38" s="249">
        <f t="shared" si="157"/>
        <v>1</v>
      </c>
      <c r="BA38" s="249">
        <f t="shared" si="157"/>
        <v>108</v>
      </c>
      <c r="BD38" s="19" t="s">
        <v>1725</v>
      </c>
      <c r="BE38" s="249">
        <f t="shared" ref="BE38:BM38" si="158">+BE9+BE24</f>
        <v>0</v>
      </c>
      <c r="BF38" s="249">
        <f t="shared" si="158"/>
        <v>0</v>
      </c>
      <c r="BG38" s="249">
        <f t="shared" si="158"/>
        <v>0</v>
      </c>
      <c r="BH38" s="249">
        <f t="shared" si="158"/>
        <v>1</v>
      </c>
      <c r="BI38" s="249">
        <f t="shared" si="158"/>
        <v>0</v>
      </c>
      <c r="BJ38" s="249">
        <f t="shared" si="158"/>
        <v>0</v>
      </c>
      <c r="BK38" s="249">
        <f t="shared" si="158"/>
        <v>8</v>
      </c>
      <c r="BL38" s="249">
        <f t="shared" si="158"/>
        <v>0</v>
      </c>
      <c r="BM38" s="249">
        <f t="shared" si="158"/>
        <v>9</v>
      </c>
      <c r="BP38" s="19" t="s">
        <v>1725</v>
      </c>
      <c r="BQ38" s="249">
        <f t="shared" ref="BQ38:BY38" si="159">+BQ9+BQ24</f>
        <v>0</v>
      </c>
      <c r="BR38" s="249">
        <f t="shared" si="159"/>
        <v>0</v>
      </c>
      <c r="BS38" s="249">
        <f t="shared" si="159"/>
        <v>0</v>
      </c>
      <c r="BT38" s="249">
        <f t="shared" si="159"/>
        <v>3</v>
      </c>
      <c r="BU38" s="249">
        <f t="shared" si="159"/>
        <v>3</v>
      </c>
      <c r="BV38" s="249">
        <f t="shared" si="159"/>
        <v>10</v>
      </c>
      <c r="BW38" s="249">
        <f t="shared" si="159"/>
        <v>13</v>
      </c>
      <c r="BX38" s="249">
        <f t="shared" si="159"/>
        <v>0</v>
      </c>
      <c r="BY38" s="249">
        <f t="shared" si="159"/>
        <v>29</v>
      </c>
      <c r="CF38" s="9" t="s">
        <v>1882</v>
      </c>
      <c r="CG38" s="160">
        <f>AVERAGEIFS('DATOS 2'!$F$5:$F$1437,'DATOS 2'!$C$5:$C$1437,"T3",'DATOS 2'!$H$5:$H$1437,"D",'DATOS 2'!$D$5:$D$1437,"&gt;2000",'DATOS 2'!$D$5:$D$1437,"&lt;2006")</f>
        <v>2.2840909090909061</v>
      </c>
      <c r="CH38" s="160">
        <f>AVERAGEIFS('DATOS 2'!$G$5:$G$1437,'DATOS 2'!$C$5:$C$1437,"T3",'DATOS 2'!$H$5:$H$1437,"D",'DATOS 2'!$D$5:$D$1437,"&gt;2000",'DATOS 2'!$D$5:$D$1437,"&lt;2006")</f>
        <v>2.7130681818181803</v>
      </c>
      <c r="CS38" s="249">
        <v>6</v>
      </c>
      <c r="CT38" s="6">
        <f t="shared" si="130"/>
        <v>5.8355437665782495E-2</v>
      </c>
      <c r="CU38" s="6">
        <f t="shared" si="131"/>
        <v>2.9411764705882353E-2</v>
      </c>
      <c r="CV38" s="17">
        <f>COUNTIF('DATOS 1'!$AP$51:$AP$427,'FORMULAS PLUS'!CS38)</f>
        <v>22</v>
      </c>
      <c r="CW38" s="17">
        <f>COUNTIF('DATOS 1'!$AP$7:$AP$40,'FORMULAS PLUS'!CS38)</f>
        <v>1</v>
      </c>
      <c r="DB38" s="11">
        <f t="shared" si="63"/>
        <v>13</v>
      </c>
      <c r="DC38" s="9">
        <v>2001</v>
      </c>
      <c r="DD38" s="6">
        <f t="shared" si="60"/>
        <v>5.190989226248776E-2</v>
      </c>
      <c r="DE38" s="6">
        <f t="shared" si="61"/>
        <v>2.4271844660194174E-2</v>
      </c>
      <c r="DF38" s="249">
        <f t="shared" si="14"/>
        <v>63</v>
      </c>
      <c r="DG38" s="249">
        <f>COUNTIFS('DATOS 2'!$K$5:$K$1437,"HC",'DATOS 2'!$D$5:$D$1437,DC38)</f>
        <v>53</v>
      </c>
      <c r="DH38" s="249">
        <f>COUNTIFS('DATOS 2'!$K$5:$K$1437,"PT",'DATOS 2'!$D$5:$D$1437,DC38)</f>
        <v>10</v>
      </c>
    </row>
    <row r="39" spans="2:112" x14ac:dyDescent="0.25">
      <c r="B39" s="112" t="s">
        <v>330</v>
      </c>
      <c r="C39" s="6">
        <f t="shared" si="153"/>
        <v>8.83054892601432E-2</v>
      </c>
      <c r="D39" s="6">
        <f t="shared" si="153"/>
        <v>0.18615751789976134</v>
      </c>
      <c r="E39" s="112" t="s">
        <v>330</v>
      </c>
      <c r="F39" s="6">
        <f t="shared" ref="F39:I39" si="160">+F28/$I$33</f>
        <v>2.8282828282828285E-2</v>
      </c>
      <c r="G39" s="6">
        <f t="shared" si="160"/>
        <v>9.8989898989898989E-2</v>
      </c>
      <c r="H39" s="6">
        <f t="shared" si="160"/>
        <v>5.0505050505050504E-2</v>
      </c>
      <c r="I39" s="6">
        <f t="shared" si="160"/>
        <v>0.10707070707070707</v>
      </c>
      <c r="J39" s="11" t="s">
        <v>2375</v>
      </c>
      <c r="K39" s="6">
        <f t="shared" ref="K39:K44" si="161">L39/$L$44</f>
        <v>0.23250000000000001</v>
      </c>
      <c r="L39" s="249">
        <f>COUNTIFS('DATOS 2'!$K$5:$K$1437,"PT",'DATOS 2'!$J$5:$J$1437,"&lt;5001")-L38</f>
        <v>93</v>
      </c>
      <c r="Q39" s="11"/>
      <c r="R39" s="9"/>
      <c r="S39" s="249" t="s">
        <v>944</v>
      </c>
      <c r="T39" s="249">
        <f t="shared" ref="T39:AB39" si="162">+T24+T9</f>
        <v>2</v>
      </c>
      <c r="U39" s="249">
        <f t="shared" si="162"/>
        <v>37</v>
      </c>
      <c r="V39" s="249">
        <f t="shared" si="162"/>
        <v>28</v>
      </c>
      <c r="W39" s="249">
        <f t="shared" si="162"/>
        <v>30</v>
      </c>
      <c r="X39" s="249">
        <f t="shared" si="162"/>
        <v>23</v>
      </c>
      <c r="Y39" s="249">
        <f t="shared" si="162"/>
        <v>8</v>
      </c>
      <c r="Z39" s="249">
        <f t="shared" si="162"/>
        <v>2</v>
      </c>
      <c r="AA39" s="249">
        <f t="shared" si="162"/>
        <v>0</v>
      </c>
      <c r="AB39" s="249">
        <f t="shared" si="162"/>
        <v>130</v>
      </c>
      <c r="AF39" s="19" t="s">
        <v>1726</v>
      </c>
      <c r="AG39" s="249">
        <f t="shared" ref="AG39:AO39" si="163">+AG10+AG25</f>
        <v>0</v>
      </c>
      <c r="AH39" s="249">
        <f t="shared" si="163"/>
        <v>3</v>
      </c>
      <c r="AI39" s="249">
        <f t="shared" si="163"/>
        <v>1</v>
      </c>
      <c r="AJ39" s="249">
        <f t="shared" si="163"/>
        <v>6</v>
      </c>
      <c r="AK39" s="249">
        <f t="shared" si="163"/>
        <v>7</v>
      </c>
      <c r="AL39" s="249">
        <f t="shared" si="163"/>
        <v>33</v>
      </c>
      <c r="AM39" s="249">
        <f t="shared" si="163"/>
        <v>11</v>
      </c>
      <c r="AN39" s="249">
        <f t="shared" si="163"/>
        <v>1</v>
      </c>
      <c r="AO39" s="249">
        <f t="shared" si="163"/>
        <v>62</v>
      </c>
      <c r="AR39" s="19" t="s">
        <v>1726</v>
      </c>
      <c r="AS39" s="249">
        <f t="shared" ref="AS39:BA39" si="164">+AS10+AS25</f>
        <v>0</v>
      </c>
      <c r="AT39" s="249">
        <f t="shared" si="164"/>
        <v>0</v>
      </c>
      <c r="AU39" s="249">
        <f t="shared" si="164"/>
        <v>2</v>
      </c>
      <c r="AV39" s="249">
        <f t="shared" si="164"/>
        <v>0</v>
      </c>
      <c r="AW39" s="249">
        <f t="shared" si="164"/>
        <v>3</v>
      </c>
      <c r="AX39" s="249">
        <f t="shared" si="164"/>
        <v>2</v>
      </c>
      <c r="AY39" s="249">
        <f t="shared" si="164"/>
        <v>7</v>
      </c>
      <c r="AZ39" s="249">
        <f t="shared" si="164"/>
        <v>0</v>
      </c>
      <c r="BA39" s="249">
        <f t="shared" si="164"/>
        <v>14</v>
      </c>
      <c r="BD39" s="19" t="s">
        <v>1726</v>
      </c>
      <c r="BE39" s="249">
        <f t="shared" ref="BE39:BM39" si="165">+BE10+BE25</f>
        <v>0</v>
      </c>
      <c r="BF39" s="249">
        <f t="shared" si="165"/>
        <v>0</v>
      </c>
      <c r="BG39" s="249">
        <f t="shared" si="165"/>
        <v>0</v>
      </c>
      <c r="BH39" s="249">
        <f t="shared" si="165"/>
        <v>0</v>
      </c>
      <c r="BI39" s="249">
        <f t="shared" si="165"/>
        <v>0</v>
      </c>
      <c r="BJ39" s="249">
        <f t="shared" si="165"/>
        <v>0</v>
      </c>
      <c r="BK39" s="249">
        <f t="shared" si="165"/>
        <v>0</v>
      </c>
      <c r="BL39" s="249">
        <f t="shared" si="165"/>
        <v>0</v>
      </c>
      <c r="BM39" s="249">
        <f t="shared" si="165"/>
        <v>0</v>
      </c>
      <c r="BP39" s="19" t="s">
        <v>1726</v>
      </c>
      <c r="BQ39" s="249">
        <f t="shared" ref="BQ39:BY39" si="166">+BQ10+BQ25</f>
        <v>0</v>
      </c>
      <c r="BR39" s="249">
        <f t="shared" si="166"/>
        <v>0</v>
      </c>
      <c r="BS39" s="249">
        <f t="shared" si="166"/>
        <v>0</v>
      </c>
      <c r="BT39" s="249">
        <f t="shared" si="166"/>
        <v>0</v>
      </c>
      <c r="BU39" s="249">
        <f t="shared" si="166"/>
        <v>0</v>
      </c>
      <c r="BV39" s="249">
        <f t="shared" si="166"/>
        <v>1</v>
      </c>
      <c r="BW39" s="249">
        <f t="shared" si="166"/>
        <v>1</v>
      </c>
      <c r="BX39" s="249">
        <f t="shared" si="166"/>
        <v>0</v>
      </c>
      <c r="BY39" s="249">
        <f t="shared" si="166"/>
        <v>2</v>
      </c>
      <c r="CF39" s="9" t="s">
        <v>1883</v>
      </c>
      <c r="CG39" s="160">
        <f>AVERAGEIFS('DATOS 2'!$F$5:$F$1437,'DATOS 2'!$C$5:$C$1437,"T3",'DATOS 2'!$H$5:$H$1437,"D",'DATOS 2'!$D$5:$D$1437,"&gt;2005",'DATOS 2'!$D$5:$D$1437,"&lt;2011")</f>
        <v>2.2738738738738724</v>
      </c>
      <c r="CH39" s="160">
        <f>AVERAGEIFS('DATOS 2'!$G$5:$G$1437,'DATOS 2'!$C$5:$C$1437,"T3",'DATOS 2'!$H$5:$H$1437,"D",'DATOS 2'!$D$5:$D$1437,"&gt;2005",'DATOS 2'!$D$5:$D$1437,"&lt;2011")</f>
        <v>2.6711711711711716</v>
      </c>
      <c r="CS39" s="249">
        <v>7</v>
      </c>
      <c r="CT39" s="6">
        <f t="shared" si="130"/>
        <v>1.3262599469496022E-2</v>
      </c>
      <c r="CU39" s="6">
        <f t="shared" si="131"/>
        <v>2.9411764705882353E-2</v>
      </c>
      <c r="CV39" s="17">
        <f>COUNTIF('DATOS 1'!$AP$51:$AP$427,'FORMULAS PLUS'!CS39)</f>
        <v>5</v>
      </c>
      <c r="CW39" s="17">
        <f>COUNTIF('DATOS 1'!$AP$7:$AP$40,'FORMULAS PLUS'!CS39)</f>
        <v>1</v>
      </c>
      <c r="DB39" s="11">
        <f t="shared" si="63"/>
        <v>12</v>
      </c>
      <c r="DC39" s="9">
        <v>2002</v>
      </c>
      <c r="DD39" s="6">
        <f t="shared" si="60"/>
        <v>2.9382957884427033E-2</v>
      </c>
      <c r="DE39" s="6">
        <f t="shared" si="61"/>
        <v>2.4271844660194174E-2</v>
      </c>
      <c r="DF39" s="249">
        <f t="shared" si="14"/>
        <v>40</v>
      </c>
      <c r="DG39" s="249">
        <f>COUNTIFS('DATOS 2'!$K$5:$K$1437,"HC",'DATOS 2'!$D$5:$D$1437,DC39)</f>
        <v>30</v>
      </c>
      <c r="DH39" s="249">
        <f>COUNTIFS('DATOS 2'!$K$5:$K$1437,"PT",'DATOS 2'!$D$5:$D$1437,DC39)</f>
        <v>10</v>
      </c>
    </row>
    <row r="40" spans="2:112" ht="30" x14ac:dyDescent="0.25">
      <c r="B40" s="157" t="s">
        <v>723</v>
      </c>
      <c r="C40" s="6">
        <f t="shared" si="153"/>
        <v>0.13603818615751789</v>
      </c>
      <c r="D40" s="6">
        <f t="shared" si="153"/>
        <v>0.12649164677804295</v>
      </c>
      <c r="E40" s="157" t="s">
        <v>723</v>
      </c>
      <c r="F40" s="6">
        <f t="shared" ref="F40:I40" si="167">+F29/$I$33</f>
        <v>3.2323232323232323E-2</v>
      </c>
      <c r="G40" s="6">
        <f t="shared" si="167"/>
        <v>6.6666666666666666E-2</v>
      </c>
      <c r="H40" s="6">
        <f t="shared" si="167"/>
        <v>5.4545454545454543E-2</v>
      </c>
      <c r="I40" s="6">
        <f t="shared" si="167"/>
        <v>0.11717171717171718</v>
      </c>
      <c r="J40" s="11" t="s">
        <v>952</v>
      </c>
      <c r="K40" s="6">
        <f t="shared" si="161"/>
        <v>0.17749999999999999</v>
      </c>
      <c r="L40" s="249">
        <f>COUNTIFS('DATOS 2'!$K$5:$K$1437,"PT",'DATOS 2'!$J$5:$J$1437,"&lt;7501")-L39-L38</f>
        <v>71</v>
      </c>
      <c r="Q40" s="11"/>
      <c r="R40" s="9"/>
      <c r="S40" s="249" t="s">
        <v>1714</v>
      </c>
      <c r="T40" s="249">
        <f t="shared" ref="T40:AB40" si="168">+T25+T10</f>
        <v>10</v>
      </c>
      <c r="U40" s="249">
        <f t="shared" si="168"/>
        <v>23</v>
      </c>
      <c r="V40" s="249">
        <f t="shared" si="168"/>
        <v>4</v>
      </c>
      <c r="W40" s="249">
        <f t="shared" si="168"/>
        <v>2</v>
      </c>
      <c r="X40" s="249">
        <f t="shared" si="168"/>
        <v>6</v>
      </c>
      <c r="Y40" s="249">
        <f t="shared" si="168"/>
        <v>0</v>
      </c>
      <c r="Z40" s="249">
        <f t="shared" si="168"/>
        <v>0</v>
      </c>
      <c r="AA40" s="249">
        <f t="shared" si="168"/>
        <v>0</v>
      </c>
      <c r="AB40" s="249">
        <f t="shared" si="168"/>
        <v>45</v>
      </c>
      <c r="AF40" s="19" t="s">
        <v>1727</v>
      </c>
      <c r="AG40" s="249">
        <f t="shared" ref="AG40:AO40" si="169">+AG11+AG26</f>
        <v>0</v>
      </c>
      <c r="AH40" s="249">
        <f t="shared" si="169"/>
        <v>6</v>
      </c>
      <c r="AI40" s="249">
        <f t="shared" si="169"/>
        <v>1</v>
      </c>
      <c r="AJ40" s="249">
        <f t="shared" si="169"/>
        <v>0</v>
      </c>
      <c r="AK40" s="249">
        <f t="shared" si="169"/>
        <v>2</v>
      </c>
      <c r="AL40" s="249">
        <f t="shared" si="169"/>
        <v>16</v>
      </c>
      <c r="AM40" s="249">
        <f t="shared" si="169"/>
        <v>22</v>
      </c>
      <c r="AN40" s="249">
        <f t="shared" si="169"/>
        <v>4</v>
      </c>
      <c r="AO40" s="249">
        <f t="shared" si="169"/>
        <v>51</v>
      </c>
      <c r="AR40" s="19" t="s">
        <v>1727</v>
      </c>
      <c r="AS40" s="249">
        <f t="shared" ref="AS40:BA40" si="170">+AS11+AS26</f>
        <v>0</v>
      </c>
      <c r="AT40" s="249">
        <f t="shared" si="170"/>
        <v>0</v>
      </c>
      <c r="AU40" s="249">
        <f t="shared" si="170"/>
        <v>0</v>
      </c>
      <c r="AV40" s="249">
        <f t="shared" si="170"/>
        <v>0</v>
      </c>
      <c r="AW40" s="249">
        <f t="shared" si="170"/>
        <v>1</v>
      </c>
      <c r="AX40" s="249">
        <f t="shared" si="170"/>
        <v>0</v>
      </c>
      <c r="AY40" s="249">
        <f t="shared" si="170"/>
        <v>2</v>
      </c>
      <c r="AZ40" s="249">
        <f t="shared" si="170"/>
        <v>2</v>
      </c>
      <c r="BA40" s="249">
        <f t="shared" si="170"/>
        <v>5</v>
      </c>
      <c r="BD40" s="19" t="s">
        <v>1727</v>
      </c>
      <c r="BE40" s="249">
        <f t="shared" ref="BE40:BM40" si="171">+BE11+BE26</f>
        <v>0</v>
      </c>
      <c r="BF40" s="249">
        <f t="shared" si="171"/>
        <v>0</v>
      </c>
      <c r="BG40" s="249">
        <f t="shared" si="171"/>
        <v>0</v>
      </c>
      <c r="BH40" s="249">
        <f t="shared" si="171"/>
        <v>0</v>
      </c>
      <c r="BI40" s="249">
        <f t="shared" si="171"/>
        <v>0</v>
      </c>
      <c r="BJ40" s="249">
        <f t="shared" si="171"/>
        <v>0</v>
      </c>
      <c r="BK40" s="249">
        <f t="shared" si="171"/>
        <v>0</v>
      </c>
      <c r="BL40" s="249">
        <f t="shared" si="171"/>
        <v>0</v>
      </c>
      <c r="BM40" s="249">
        <f t="shared" si="171"/>
        <v>0</v>
      </c>
      <c r="BP40" s="19" t="s">
        <v>1727</v>
      </c>
      <c r="BQ40" s="249">
        <f t="shared" ref="BQ40:BY40" si="172">+BQ11+BQ26</f>
        <v>0</v>
      </c>
      <c r="BR40" s="249">
        <f t="shared" si="172"/>
        <v>0</v>
      </c>
      <c r="BS40" s="249">
        <f t="shared" si="172"/>
        <v>0</v>
      </c>
      <c r="BT40" s="249">
        <f t="shared" si="172"/>
        <v>0</v>
      </c>
      <c r="BU40" s="249">
        <f t="shared" si="172"/>
        <v>0</v>
      </c>
      <c r="BV40" s="249">
        <f t="shared" si="172"/>
        <v>0</v>
      </c>
      <c r="BW40" s="249">
        <f t="shared" si="172"/>
        <v>0</v>
      </c>
      <c r="BX40" s="249">
        <f t="shared" si="172"/>
        <v>0</v>
      </c>
      <c r="BY40" s="249">
        <f t="shared" si="172"/>
        <v>0</v>
      </c>
      <c r="CF40" s="9" t="s">
        <v>1884</v>
      </c>
      <c r="CG40" s="160">
        <f>AVERAGEIFS('DATOS 2'!$F$5:$F$1437,'DATOS 2'!$C$5:$C$1437,"T3",'DATOS 2'!$H$5:$H$1437,"D",'DATOS 2'!$D$5:$D$1437,"&gt;2010")</f>
        <v>2.1142857142857143</v>
      </c>
      <c r="CH40" s="160">
        <f>AVERAGEIFS('DATOS 2'!$G$5:$G$1437,'DATOS 2'!$C$5:$C$1437,"T3",'DATOS 2'!$H$5:$H$1437,"D",'DATOS 2'!$D$5:$D$1437,"&gt;2010")</f>
        <v>2.5208791208791217</v>
      </c>
      <c r="CS40" s="249">
        <v>8</v>
      </c>
      <c r="CT40" s="6">
        <f t="shared" si="130"/>
        <v>8.7533156498673742E-2</v>
      </c>
      <c r="CU40" s="6">
        <f t="shared" si="131"/>
        <v>0.17647058823529413</v>
      </c>
      <c r="CV40" s="17">
        <f>COUNTIF('DATOS 1'!$AP$51:$AP$427,'FORMULAS PLUS'!CS40)</f>
        <v>33</v>
      </c>
      <c r="CW40" s="17">
        <f>COUNTIF('DATOS 1'!$AP$7:$AP$40,'FORMULAS PLUS'!CS40)</f>
        <v>6</v>
      </c>
      <c r="DB40" s="11">
        <f t="shared" si="63"/>
        <v>11</v>
      </c>
      <c r="DC40" s="9">
        <v>2003</v>
      </c>
      <c r="DD40" s="6">
        <f t="shared" si="60"/>
        <v>4.4074436826640549E-2</v>
      </c>
      <c r="DE40" s="6">
        <f t="shared" si="61"/>
        <v>2.1844660194174758E-2</v>
      </c>
      <c r="DF40" s="249">
        <f t="shared" si="14"/>
        <v>54</v>
      </c>
      <c r="DG40" s="249">
        <f>COUNTIFS('DATOS 2'!$K$5:$K$1437,"HC",'DATOS 2'!$D$5:$D$1437,DC40)</f>
        <v>45</v>
      </c>
      <c r="DH40" s="249">
        <f>COUNTIFS('DATOS 2'!$K$5:$K$1437,"PT",'DATOS 2'!$D$5:$D$1437,DC40)</f>
        <v>9</v>
      </c>
    </row>
    <row r="41" spans="2:112" x14ac:dyDescent="0.25">
      <c r="B41" s="112" t="s">
        <v>399</v>
      </c>
      <c r="C41" s="6">
        <f t="shared" si="153"/>
        <v>0.14558472553699284</v>
      </c>
      <c r="D41" s="6">
        <f t="shared" si="153"/>
        <v>8.83054892601432E-2</v>
      </c>
      <c r="E41" s="112" t="s">
        <v>399</v>
      </c>
      <c r="F41" s="6">
        <f t="shared" ref="F41:I41" si="173">+F30/$I$33</f>
        <v>4.4444444444444446E-2</v>
      </c>
      <c r="G41" s="6">
        <f t="shared" si="173"/>
        <v>4.0404040404040407E-2</v>
      </c>
      <c r="H41" s="6">
        <f t="shared" si="173"/>
        <v>5.4545454545454543E-2</v>
      </c>
      <c r="I41" s="6">
        <f t="shared" si="173"/>
        <v>8.0808080808080815E-2</v>
      </c>
      <c r="J41" s="11" t="s">
        <v>953</v>
      </c>
      <c r="K41" s="6">
        <f t="shared" si="161"/>
        <v>0.29749999999999999</v>
      </c>
      <c r="L41" s="249">
        <f>COUNTIFS('DATOS 2'!$K$5:$K$1437,"PT",'DATOS 2'!$J$5:$J$1437,"&lt;10001")-L40-L39-L38</f>
        <v>119</v>
      </c>
      <c r="Q41" s="11"/>
      <c r="R41" s="9"/>
      <c r="S41" s="249" t="s">
        <v>1715</v>
      </c>
      <c r="T41" s="249">
        <f t="shared" ref="T41:AB41" si="174">+T26+T11</f>
        <v>4</v>
      </c>
      <c r="U41" s="249">
        <f t="shared" si="174"/>
        <v>18</v>
      </c>
      <c r="V41" s="249">
        <f t="shared" si="174"/>
        <v>4</v>
      </c>
      <c r="W41" s="249">
        <f t="shared" si="174"/>
        <v>4</v>
      </c>
      <c r="X41" s="249">
        <f t="shared" si="174"/>
        <v>2</v>
      </c>
      <c r="Y41" s="249">
        <f t="shared" si="174"/>
        <v>5</v>
      </c>
      <c r="Z41" s="249">
        <f t="shared" si="174"/>
        <v>0</v>
      </c>
      <c r="AA41" s="249">
        <f t="shared" si="174"/>
        <v>0</v>
      </c>
      <c r="AB41" s="249">
        <f t="shared" si="174"/>
        <v>37</v>
      </c>
      <c r="AF41" s="19" t="s">
        <v>715</v>
      </c>
      <c r="AG41" s="249">
        <f t="shared" ref="AG41:AO41" si="175">+AG12+AG27</f>
        <v>14</v>
      </c>
      <c r="AH41" s="249">
        <f t="shared" si="175"/>
        <v>26</v>
      </c>
      <c r="AI41" s="249">
        <f t="shared" si="175"/>
        <v>20</v>
      </c>
      <c r="AJ41" s="249">
        <f t="shared" si="175"/>
        <v>35</v>
      </c>
      <c r="AK41" s="249">
        <f t="shared" si="175"/>
        <v>33</v>
      </c>
      <c r="AL41" s="249">
        <f t="shared" si="175"/>
        <v>85</v>
      </c>
      <c r="AM41" s="249">
        <f t="shared" si="175"/>
        <v>64</v>
      </c>
      <c r="AN41" s="249">
        <f t="shared" si="175"/>
        <v>17</v>
      </c>
      <c r="AO41" s="249">
        <f t="shared" si="175"/>
        <v>294</v>
      </c>
      <c r="AR41" s="19" t="s">
        <v>715</v>
      </c>
      <c r="AS41" s="249">
        <f t="shared" ref="AS41:BA41" si="176">+AS12+AS27</f>
        <v>17</v>
      </c>
      <c r="AT41" s="249">
        <f t="shared" si="176"/>
        <v>46</v>
      </c>
      <c r="AU41" s="249">
        <f t="shared" si="176"/>
        <v>34</v>
      </c>
      <c r="AV41" s="249">
        <f t="shared" si="176"/>
        <v>34</v>
      </c>
      <c r="AW41" s="249">
        <f t="shared" si="176"/>
        <v>52</v>
      </c>
      <c r="AX41" s="249">
        <f t="shared" si="176"/>
        <v>43</v>
      </c>
      <c r="AY41" s="249">
        <f t="shared" si="176"/>
        <v>41</v>
      </c>
      <c r="AZ41" s="249">
        <f t="shared" si="176"/>
        <v>13</v>
      </c>
      <c r="BA41" s="249">
        <f t="shared" si="176"/>
        <v>280</v>
      </c>
      <c r="BD41" s="19" t="s">
        <v>715</v>
      </c>
      <c r="BE41" s="249">
        <f t="shared" ref="BE41:BM41" si="177">+BE12+BE27</f>
        <v>2</v>
      </c>
      <c r="BF41" s="249">
        <f t="shared" si="177"/>
        <v>10</v>
      </c>
      <c r="BG41" s="249">
        <f t="shared" si="177"/>
        <v>13</v>
      </c>
      <c r="BH41" s="249">
        <f t="shared" si="177"/>
        <v>14</v>
      </c>
      <c r="BI41" s="249">
        <f t="shared" si="177"/>
        <v>34</v>
      </c>
      <c r="BJ41" s="249">
        <f t="shared" si="177"/>
        <v>74</v>
      </c>
      <c r="BK41" s="249">
        <f t="shared" si="177"/>
        <v>116</v>
      </c>
      <c r="BL41" s="249">
        <f t="shared" si="177"/>
        <v>30</v>
      </c>
      <c r="BM41" s="249">
        <f t="shared" si="177"/>
        <v>293</v>
      </c>
      <c r="BP41" s="19" t="s">
        <v>715</v>
      </c>
      <c r="BQ41" s="249">
        <f t="shared" ref="BQ41:BY41" si="178">+BQ12+BQ27</f>
        <v>13</v>
      </c>
      <c r="BR41" s="249">
        <f t="shared" si="178"/>
        <v>48</v>
      </c>
      <c r="BS41" s="249">
        <f t="shared" si="178"/>
        <v>39</v>
      </c>
      <c r="BT41" s="249">
        <f t="shared" si="178"/>
        <v>66</v>
      </c>
      <c r="BU41" s="249">
        <f t="shared" si="178"/>
        <v>126</v>
      </c>
      <c r="BV41" s="249">
        <f t="shared" si="178"/>
        <v>176</v>
      </c>
      <c r="BW41" s="249">
        <f t="shared" si="178"/>
        <v>222</v>
      </c>
      <c r="BX41" s="249">
        <f t="shared" si="178"/>
        <v>91</v>
      </c>
      <c r="BY41" s="249">
        <f t="shared" si="178"/>
        <v>781</v>
      </c>
      <c r="CS41" s="249">
        <v>9</v>
      </c>
      <c r="CT41" s="6">
        <f t="shared" si="130"/>
        <v>2.9177718832891247E-2</v>
      </c>
      <c r="CU41" s="6">
        <f t="shared" si="131"/>
        <v>5.8823529411764705E-2</v>
      </c>
      <c r="CV41" s="17">
        <f>COUNTIF('DATOS 1'!$AP$51:$AP$427,'FORMULAS PLUS'!CS41)</f>
        <v>11</v>
      </c>
      <c r="CW41" s="17">
        <f>COUNTIF('DATOS 1'!$AP$7:$AP$40,'FORMULAS PLUS'!CS41)</f>
        <v>2</v>
      </c>
      <c r="DB41" s="11">
        <f t="shared" si="63"/>
        <v>10</v>
      </c>
      <c r="DC41" s="9">
        <v>2004</v>
      </c>
      <c r="DD41" s="6">
        <f t="shared" si="60"/>
        <v>5.190989226248776E-2</v>
      </c>
      <c r="DE41" s="6">
        <f t="shared" si="61"/>
        <v>3.3980582524271843E-2</v>
      </c>
      <c r="DF41" s="249">
        <f t="shared" si="14"/>
        <v>67</v>
      </c>
      <c r="DG41" s="249">
        <f>COUNTIFS('DATOS 2'!$K$5:$K$1437,"HC",'DATOS 2'!$D$5:$D$1437,DC41)</f>
        <v>53</v>
      </c>
      <c r="DH41" s="249">
        <f>COUNTIFS('DATOS 2'!$K$5:$K$1437,"PT",'DATOS 2'!$D$5:$D$1437,DC41)</f>
        <v>14</v>
      </c>
    </row>
    <row r="42" spans="2:112" x14ac:dyDescent="0.25">
      <c r="B42" s="112" t="s">
        <v>711</v>
      </c>
      <c r="C42" s="6">
        <f t="shared" si="153"/>
        <v>9.5465393794749408E-3</v>
      </c>
      <c r="D42" s="6">
        <f t="shared" si="153"/>
        <v>2.3866348448687352E-3</v>
      </c>
      <c r="E42" s="112" t="s">
        <v>711</v>
      </c>
      <c r="F42" s="6">
        <f t="shared" ref="F42:I42" si="179">+F31/$I$33</f>
        <v>4.0404040404040404E-3</v>
      </c>
      <c r="G42" s="6">
        <f t="shared" si="179"/>
        <v>2.0202020202020202E-3</v>
      </c>
      <c r="H42" s="6">
        <f t="shared" si="179"/>
        <v>4.0404040404040404E-3</v>
      </c>
      <c r="I42" s="6">
        <f t="shared" si="179"/>
        <v>4.0404040404040404E-3</v>
      </c>
      <c r="J42" s="11" t="s">
        <v>2376</v>
      </c>
      <c r="K42" s="6">
        <f t="shared" si="161"/>
        <v>3.7499999999999999E-2</v>
      </c>
      <c r="L42" s="249">
        <f>COUNTIFS('DATOS 2'!$K$5:$K$1437,"PT",'DATOS 2'!$J$5:$J$1437,"&lt;12501")-L41-L40-L39-L38</f>
        <v>15</v>
      </c>
      <c r="Q42" s="11"/>
      <c r="R42" s="9"/>
      <c r="S42" s="249" t="s">
        <v>715</v>
      </c>
      <c r="T42" s="249">
        <f t="shared" ref="T42:AB42" si="180">+T27+T12</f>
        <v>37</v>
      </c>
      <c r="U42" s="249">
        <f t="shared" si="180"/>
        <v>120</v>
      </c>
      <c r="V42" s="249">
        <f t="shared" si="180"/>
        <v>92</v>
      </c>
      <c r="W42" s="249">
        <f t="shared" si="180"/>
        <v>141</v>
      </c>
      <c r="X42" s="249">
        <f t="shared" si="180"/>
        <v>219</v>
      </c>
      <c r="Y42" s="249">
        <f t="shared" si="180"/>
        <v>315</v>
      </c>
      <c r="Z42" s="249">
        <f t="shared" si="180"/>
        <v>367</v>
      </c>
      <c r="AA42" s="249">
        <f t="shared" si="180"/>
        <v>142</v>
      </c>
      <c r="AB42" s="249">
        <f t="shared" si="180"/>
        <v>1433</v>
      </c>
      <c r="BA42" s="249"/>
      <c r="BM42" s="249"/>
      <c r="BY42" s="249"/>
      <c r="CS42" s="249">
        <v>10</v>
      </c>
      <c r="CT42" s="6">
        <f t="shared" si="130"/>
        <v>0.52254641909814326</v>
      </c>
      <c r="CU42" s="6">
        <f t="shared" si="131"/>
        <v>0.52941176470588236</v>
      </c>
      <c r="CV42" s="17">
        <f>COUNTIF('DATOS 1'!$AP$51:$AP$427,'FORMULAS PLUS'!CS42)</f>
        <v>197</v>
      </c>
      <c r="CW42" s="17">
        <f>COUNTIF('DATOS 1'!$AP$7:$AP$40,'FORMULAS PLUS'!CS42)</f>
        <v>18</v>
      </c>
      <c r="DB42" s="11">
        <f t="shared" si="63"/>
        <v>9</v>
      </c>
      <c r="DC42" s="9">
        <v>2005</v>
      </c>
      <c r="DD42" s="6">
        <f t="shared" si="60"/>
        <v>6.3663075416258569E-2</v>
      </c>
      <c r="DE42" s="6">
        <f t="shared" si="61"/>
        <v>6.3106796116504854E-2</v>
      </c>
      <c r="DF42" s="249">
        <f t="shared" si="14"/>
        <v>91</v>
      </c>
      <c r="DG42" s="249">
        <f>COUNTIFS('DATOS 2'!$K$5:$K$1437,"HC",'DATOS 2'!$D$5:$D$1437,DC42)</f>
        <v>65</v>
      </c>
      <c r="DH42" s="249">
        <f>COUNTIFS('DATOS 2'!$K$5:$K$1437,"PT",'DATOS 2'!$D$5:$D$1437,DC42)</f>
        <v>26</v>
      </c>
    </row>
    <row r="43" spans="2:112" x14ac:dyDescent="0.25">
      <c r="B43" s="112" t="s">
        <v>715</v>
      </c>
      <c r="C43" s="6">
        <f t="shared" si="153"/>
        <v>0.42004773269689738</v>
      </c>
      <c r="D43" s="6">
        <f t="shared" si="153"/>
        <v>0.57995226730310268</v>
      </c>
      <c r="E43" s="112" t="s">
        <v>715</v>
      </c>
      <c r="F43" s="6">
        <f t="shared" ref="F43:I43" si="181">+F32/$I$33</f>
        <v>0.11515151515151516</v>
      </c>
      <c r="G43" s="6">
        <f t="shared" si="181"/>
        <v>0.29494949494949496</v>
      </c>
      <c r="H43" s="6">
        <f t="shared" si="181"/>
        <v>0.19393939393939394</v>
      </c>
      <c r="I43" s="6">
        <f t="shared" si="181"/>
        <v>0.39595959595959596</v>
      </c>
      <c r="J43" s="11" t="s">
        <v>2377</v>
      </c>
      <c r="K43" s="6">
        <f t="shared" si="161"/>
        <v>0.13500000000000001</v>
      </c>
      <c r="L43" s="249">
        <f>COUNTIFS('DATOS 2'!$K$5:$K$1437,"PT",'DATOS 2'!$J$5:$J$1437,"&gt;12500")</f>
        <v>54</v>
      </c>
      <c r="Q43" s="11"/>
      <c r="R43" s="9"/>
      <c r="T43" s="249">
        <f>SUM(T35:T41)</f>
        <v>33</v>
      </c>
      <c r="U43" s="249">
        <f t="shared" ref="U43:AB43" si="182">SUM(U35:U41)</f>
        <v>109</v>
      </c>
      <c r="V43" s="249">
        <f t="shared" si="182"/>
        <v>82</v>
      </c>
      <c r="W43" s="249">
        <f t="shared" si="182"/>
        <v>127</v>
      </c>
      <c r="X43" s="249">
        <f t="shared" si="182"/>
        <v>203</v>
      </c>
      <c r="Y43" s="249">
        <f t="shared" si="182"/>
        <v>306</v>
      </c>
      <c r="Z43" s="249">
        <f t="shared" si="182"/>
        <v>364</v>
      </c>
      <c r="AA43" s="249">
        <f t="shared" si="182"/>
        <v>142</v>
      </c>
      <c r="AB43" s="249">
        <f t="shared" si="182"/>
        <v>1366</v>
      </c>
      <c r="BA43" s="249"/>
      <c r="BM43" s="249"/>
      <c r="BY43" s="249"/>
      <c r="CS43" s="17" t="s">
        <v>715</v>
      </c>
      <c r="CT43" s="6">
        <f t="shared" si="130"/>
        <v>1</v>
      </c>
      <c r="CU43" s="6">
        <f t="shared" si="131"/>
        <v>1</v>
      </c>
      <c r="CV43" s="17">
        <f>SUM(CV32:CV42)</f>
        <v>377</v>
      </c>
      <c r="CW43" s="17">
        <f>SUM(CW32:CW42)</f>
        <v>34</v>
      </c>
      <c r="DB43" s="11">
        <f t="shared" si="63"/>
        <v>8</v>
      </c>
      <c r="DC43" s="9">
        <v>2006</v>
      </c>
      <c r="DD43" s="6">
        <f t="shared" si="60"/>
        <v>4.0156709108716944E-2</v>
      </c>
      <c r="DE43" s="6">
        <f t="shared" si="61"/>
        <v>2.9126213592233011E-2</v>
      </c>
      <c r="DF43" s="249">
        <f t="shared" si="14"/>
        <v>53</v>
      </c>
      <c r="DG43" s="249">
        <f>COUNTIFS('DATOS 2'!$K$5:$K$1437,"HC",'DATOS 2'!$D$5:$D$1437,DC43)</f>
        <v>41</v>
      </c>
      <c r="DH43" s="249">
        <f>COUNTIFS('DATOS 2'!$K$5:$K$1437,"PT",'DATOS 2'!$D$5:$D$1437,DC43)</f>
        <v>12</v>
      </c>
    </row>
    <row r="44" spans="2:112" ht="15.75" thickBot="1" x14ac:dyDescent="0.3">
      <c r="J44" s="11" t="s">
        <v>1662</v>
      </c>
      <c r="K44" s="6">
        <f t="shared" si="161"/>
        <v>1</v>
      </c>
      <c r="L44" s="249">
        <f>SUM(L38:L43)</f>
        <v>400</v>
      </c>
      <c r="Q44" s="11"/>
      <c r="R44" s="9"/>
      <c r="BA44" s="249"/>
      <c r="BM44" s="249"/>
      <c r="BY44" s="249"/>
      <c r="CW44" s="17">
        <f>+CW43+CV43</f>
        <v>411</v>
      </c>
      <c r="DB44" s="11">
        <f t="shared" si="63"/>
        <v>7</v>
      </c>
      <c r="DC44" s="9">
        <v>2007</v>
      </c>
      <c r="DD44" s="6">
        <f t="shared" si="60"/>
        <v>6.8560235063663072E-2</v>
      </c>
      <c r="DE44" s="6">
        <f t="shared" si="61"/>
        <v>6.0679611650485438E-2</v>
      </c>
      <c r="DF44" s="249">
        <f t="shared" si="14"/>
        <v>95</v>
      </c>
      <c r="DG44" s="249">
        <f>COUNTIFS('DATOS 2'!$K$5:$K$1437,"HC",'DATOS 2'!$D$5:$D$1437,DC44)</f>
        <v>70</v>
      </c>
      <c r="DH44" s="249">
        <f>COUNTIFS('DATOS 2'!$K$5:$K$1437,"PT",'DATOS 2'!$D$5:$D$1437,DC44)</f>
        <v>25</v>
      </c>
    </row>
    <row r="45" spans="2:112" x14ac:dyDescent="0.25">
      <c r="J45" s="11" t="s">
        <v>396</v>
      </c>
      <c r="L45" s="138">
        <f>COUNTIF('DATOS 2'!$J$5:$J$1437,"NO CONTESTA")</f>
        <v>6</v>
      </c>
      <c r="Q45" s="11"/>
      <c r="R45" s="9"/>
      <c r="S45" s="249" t="s">
        <v>1886</v>
      </c>
      <c r="AF45" s="17" t="s">
        <v>1890</v>
      </c>
      <c r="AR45" s="17" t="s">
        <v>1893</v>
      </c>
      <c r="BA45" s="249"/>
      <c r="BD45" s="17" t="s">
        <v>1896</v>
      </c>
      <c r="BM45" s="249"/>
      <c r="BP45" s="17" t="s">
        <v>1899</v>
      </c>
      <c r="BY45" s="249"/>
      <c r="CS45" s="316" t="s">
        <v>2400</v>
      </c>
      <c r="CT45" s="317"/>
      <c r="CU45" s="318"/>
      <c r="DB45" s="11">
        <f t="shared" si="63"/>
        <v>6</v>
      </c>
      <c r="DC45" s="9">
        <v>2008</v>
      </c>
      <c r="DD45" s="6">
        <f t="shared" si="60"/>
        <v>5.5827619980411358E-2</v>
      </c>
      <c r="DE45" s="6">
        <f t="shared" si="61"/>
        <v>8.4951456310679616E-2</v>
      </c>
      <c r="DF45" s="249">
        <f t="shared" si="14"/>
        <v>92</v>
      </c>
      <c r="DG45" s="249">
        <f>COUNTIFS('DATOS 2'!$K$5:$K$1437,"HC",'DATOS 2'!$D$5:$D$1437,DC45)</f>
        <v>57</v>
      </c>
      <c r="DH45" s="249">
        <f>COUNTIFS('DATOS 2'!$K$5:$K$1437,"PT",'DATOS 2'!$D$5:$D$1437,DC45)</f>
        <v>35</v>
      </c>
    </row>
    <row r="46" spans="2:112" ht="15.75" thickBot="1" x14ac:dyDescent="0.3">
      <c r="J46" s="11" t="s">
        <v>480</v>
      </c>
      <c r="L46" s="138">
        <f>COUNTIF('DATOS 2'!$J$5:$J$1437,"VARIABLE")</f>
        <v>6</v>
      </c>
      <c r="Q46" s="11"/>
      <c r="R46" s="9"/>
      <c r="S46" s="249" t="s">
        <v>1878</v>
      </c>
      <c r="T46" s="11" t="s">
        <v>1710</v>
      </c>
      <c r="U46" s="9" t="s">
        <v>1885</v>
      </c>
      <c r="V46" s="9" t="s">
        <v>1879</v>
      </c>
      <c r="W46" s="9" t="s">
        <v>1880</v>
      </c>
      <c r="X46" s="9" t="s">
        <v>1881</v>
      </c>
      <c r="Y46" s="9" t="s">
        <v>1882</v>
      </c>
      <c r="Z46" s="9" t="s">
        <v>1883</v>
      </c>
      <c r="AA46" s="9" t="s">
        <v>1884</v>
      </c>
      <c r="AF46" s="17" t="s">
        <v>1887</v>
      </c>
      <c r="AG46" s="11" t="s">
        <v>1710</v>
      </c>
      <c r="AH46" s="9" t="s">
        <v>1885</v>
      </c>
      <c r="AI46" s="9" t="s">
        <v>1879</v>
      </c>
      <c r="AJ46" s="9" t="s">
        <v>1880</v>
      </c>
      <c r="AK46" s="9" t="s">
        <v>1881</v>
      </c>
      <c r="AL46" s="9" t="s">
        <v>1882</v>
      </c>
      <c r="AM46" s="9" t="s">
        <v>1883</v>
      </c>
      <c r="AN46" s="9" t="s">
        <v>1884</v>
      </c>
      <c r="AR46" s="17" t="s">
        <v>1887</v>
      </c>
      <c r="AS46" s="11" t="s">
        <v>1710</v>
      </c>
      <c r="AT46" s="9" t="s">
        <v>1885</v>
      </c>
      <c r="AU46" s="9" t="s">
        <v>1879</v>
      </c>
      <c r="AV46" s="9" t="s">
        <v>1880</v>
      </c>
      <c r="AW46" s="9" t="s">
        <v>1881</v>
      </c>
      <c r="AX46" s="9" t="s">
        <v>1882</v>
      </c>
      <c r="AY46" s="9" t="s">
        <v>1883</v>
      </c>
      <c r="AZ46" s="9" t="s">
        <v>1884</v>
      </c>
      <c r="BA46" s="249"/>
      <c r="BD46" s="17" t="s">
        <v>1887</v>
      </c>
      <c r="BE46" s="11" t="s">
        <v>1710</v>
      </c>
      <c r="BF46" s="9" t="s">
        <v>1885</v>
      </c>
      <c r="BG46" s="9" t="s">
        <v>1879</v>
      </c>
      <c r="BH46" s="9" t="s">
        <v>1880</v>
      </c>
      <c r="BI46" s="9" t="s">
        <v>1881</v>
      </c>
      <c r="BJ46" s="9" t="s">
        <v>1882</v>
      </c>
      <c r="BK46" s="9" t="s">
        <v>1883</v>
      </c>
      <c r="BL46" s="9" t="s">
        <v>1884</v>
      </c>
      <c r="BM46" s="249"/>
      <c r="BP46" s="17" t="s">
        <v>1887</v>
      </c>
      <c r="BQ46" s="11" t="s">
        <v>1710</v>
      </c>
      <c r="BR46" s="9" t="s">
        <v>1885</v>
      </c>
      <c r="BS46" s="9" t="s">
        <v>1879</v>
      </c>
      <c r="BT46" s="9" t="s">
        <v>1880</v>
      </c>
      <c r="BU46" s="9" t="s">
        <v>1881</v>
      </c>
      <c r="BV46" s="9" t="s">
        <v>1882</v>
      </c>
      <c r="BW46" s="9" t="s">
        <v>1883</v>
      </c>
      <c r="BX46" s="9" t="s">
        <v>1884</v>
      </c>
      <c r="BY46" s="249"/>
      <c r="CS46" s="164" t="s">
        <v>2403</v>
      </c>
      <c r="CT46" s="91" t="s">
        <v>1877</v>
      </c>
      <c r="CU46" s="165" t="s">
        <v>714</v>
      </c>
      <c r="DB46" s="11">
        <f t="shared" si="63"/>
        <v>5</v>
      </c>
      <c r="DC46" s="9">
        <v>2009</v>
      </c>
      <c r="DD46" s="6">
        <f t="shared" si="60"/>
        <v>3.8197845249755141E-2</v>
      </c>
      <c r="DE46" s="6">
        <f t="shared" si="61"/>
        <v>5.0970873786407765E-2</v>
      </c>
      <c r="DF46" s="249">
        <f t="shared" si="14"/>
        <v>60</v>
      </c>
      <c r="DG46" s="249">
        <f>COUNTIFS('DATOS 2'!$K$5:$K$1437,"HC",'DATOS 2'!$D$5:$D$1437,DC46)</f>
        <v>39</v>
      </c>
      <c r="DH46" s="249">
        <f>COUNTIFS('DATOS 2'!$K$5:$K$1437,"PT",'DATOS 2'!$D$5:$D$1437,DC46)</f>
        <v>21</v>
      </c>
    </row>
    <row r="47" spans="2:112" x14ac:dyDescent="0.25">
      <c r="K47" s="139">
        <f>+L47/L35</f>
        <v>0.39883833494675702</v>
      </c>
      <c r="L47" s="138">
        <f>+L46+L45+L44</f>
        <v>412</v>
      </c>
      <c r="Q47" s="11"/>
      <c r="R47" s="9"/>
      <c r="S47" s="249" t="s">
        <v>935</v>
      </c>
      <c r="T47" s="6"/>
      <c r="U47" s="6"/>
      <c r="V47" s="6"/>
      <c r="W47" s="6"/>
      <c r="X47" s="6"/>
      <c r="Y47" s="6"/>
      <c r="Z47" s="6"/>
      <c r="AA47" s="6"/>
      <c r="AB47" s="6"/>
      <c r="AF47" s="19" t="s">
        <v>1719</v>
      </c>
      <c r="AG47" s="6">
        <f>+AG32/$AO$41</f>
        <v>3.4013605442176869E-3</v>
      </c>
      <c r="AH47" s="6">
        <f t="shared" ref="AH47:AN47" si="183">+AH32/$AO$41</f>
        <v>6.8027210884353739E-3</v>
      </c>
      <c r="AI47" s="6">
        <f t="shared" si="183"/>
        <v>3.4013605442176869E-3</v>
      </c>
      <c r="AJ47" s="6">
        <f t="shared" si="183"/>
        <v>0</v>
      </c>
      <c r="AK47" s="6">
        <f t="shared" si="183"/>
        <v>3.4013605442176869E-3</v>
      </c>
      <c r="AL47" s="6">
        <f t="shared" si="183"/>
        <v>0</v>
      </c>
      <c r="AM47" s="6">
        <f t="shared" si="183"/>
        <v>0</v>
      </c>
      <c r="AN47" s="6">
        <f t="shared" si="183"/>
        <v>0</v>
      </c>
      <c r="AR47" s="19" t="s">
        <v>1719</v>
      </c>
      <c r="AS47" s="6">
        <f>+AS32/$BA$41</f>
        <v>3.5714285714285713E-3</v>
      </c>
      <c r="AT47" s="6">
        <f t="shared" ref="AT47:AZ47" si="184">+AT32/$BA$41</f>
        <v>7.1428571428571426E-3</v>
      </c>
      <c r="AU47" s="6">
        <f t="shared" si="184"/>
        <v>3.5714285714285713E-3</v>
      </c>
      <c r="AV47" s="6">
        <f t="shared" si="184"/>
        <v>0</v>
      </c>
      <c r="AW47" s="6">
        <f t="shared" si="184"/>
        <v>3.5714285714285713E-3</v>
      </c>
      <c r="AX47" s="6">
        <f t="shared" si="184"/>
        <v>0</v>
      </c>
      <c r="AY47" s="6">
        <f t="shared" si="184"/>
        <v>0</v>
      </c>
      <c r="AZ47" s="6">
        <f t="shared" si="184"/>
        <v>0</v>
      </c>
      <c r="BA47" s="249"/>
      <c r="BD47" s="19" t="s">
        <v>1719</v>
      </c>
      <c r="BE47" s="6">
        <f>+BE32/$BM$41</f>
        <v>0</v>
      </c>
      <c r="BF47" s="6">
        <f t="shared" ref="BF47:BL47" si="185">+BF32/$BM$41</f>
        <v>6.8259385665529011E-3</v>
      </c>
      <c r="BG47" s="6">
        <f t="shared" si="185"/>
        <v>3.4129692832764505E-3</v>
      </c>
      <c r="BH47" s="6">
        <f t="shared" si="185"/>
        <v>0</v>
      </c>
      <c r="BI47" s="6">
        <f t="shared" si="185"/>
        <v>1.0238907849829351E-2</v>
      </c>
      <c r="BJ47" s="6">
        <f t="shared" si="185"/>
        <v>1.0238907849829351E-2</v>
      </c>
      <c r="BK47" s="6">
        <f t="shared" si="185"/>
        <v>3.4129692832764506E-2</v>
      </c>
      <c r="BL47" s="6">
        <f t="shared" si="185"/>
        <v>6.8259385665529011E-3</v>
      </c>
      <c r="BM47" s="249"/>
      <c r="BP47" s="19" t="s">
        <v>1719</v>
      </c>
      <c r="BQ47" s="6">
        <f>+BQ32/$BY$41</f>
        <v>0</v>
      </c>
      <c r="BR47" s="6">
        <f t="shared" ref="BR47:BX47" si="186">+BR32/$BY$41</f>
        <v>2.5608194622279128E-3</v>
      </c>
      <c r="BS47" s="6">
        <f t="shared" si="186"/>
        <v>1.2804097311139564E-3</v>
      </c>
      <c r="BT47" s="6">
        <f t="shared" si="186"/>
        <v>0</v>
      </c>
      <c r="BU47" s="6">
        <f t="shared" si="186"/>
        <v>3.8412291933418692E-3</v>
      </c>
      <c r="BV47" s="6">
        <f t="shared" si="186"/>
        <v>3.8412291933418692E-3</v>
      </c>
      <c r="BW47" s="6">
        <f t="shared" si="186"/>
        <v>1.2804097311139564E-2</v>
      </c>
      <c r="BX47" s="6">
        <f t="shared" si="186"/>
        <v>2.5608194622279128E-3</v>
      </c>
      <c r="BY47" s="249"/>
      <c r="CS47" s="166" t="s">
        <v>2401</v>
      </c>
      <c r="CT47" s="167">
        <f>SUM(CT32:CT37)</f>
        <v>0.28912466843501328</v>
      </c>
      <c r="CU47" s="168">
        <f>SUM(CU32:CU37)</f>
        <v>0.17647058823529413</v>
      </c>
      <c r="DB47" s="11">
        <f t="shared" si="63"/>
        <v>4</v>
      </c>
      <c r="DC47" s="9">
        <v>2010</v>
      </c>
      <c r="DD47" s="6">
        <f t="shared" si="60"/>
        <v>4.3095004897159644E-2</v>
      </c>
      <c r="DE47" s="6">
        <f t="shared" si="61"/>
        <v>5.5825242718446605E-2</v>
      </c>
      <c r="DF47" s="249">
        <f t="shared" si="14"/>
        <v>67</v>
      </c>
      <c r="DG47" s="249">
        <f>COUNTIFS('DATOS 2'!$K$5:$K$1437,"HC",'DATOS 2'!$D$5:$D$1437,DC47)</f>
        <v>44</v>
      </c>
      <c r="DH47" s="249">
        <f>COUNTIFS('DATOS 2'!$K$5:$K$1437,"PT",'DATOS 2'!$D$5:$D$1437,DC47)</f>
        <v>23</v>
      </c>
    </row>
    <row r="48" spans="2:112" ht="15.75" thickBot="1" x14ac:dyDescent="0.3">
      <c r="Q48" s="11"/>
      <c r="R48" s="9"/>
      <c r="S48" s="249" t="s">
        <v>1028</v>
      </c>
      <c r="T48" s="6"/>
      <c r="U48" s="6"/>
      <c r="V48" s="6"/>
      <c r="W48" s="6"/>
      <c r="X48" s="6"/>
      <c r="Y48" s="6"/>
      <c r="Z48" s="6"/>
      <c r="AA48" s="6"/>
      <c r="AB48" s="6"/>
      <c r="AF48" s="19" t="s">
        <v>1720</v>
      </c>
      <c r="AG48" s="6">
        <f t="shared" ref="AG48:AN48" si="187">+AG33/$AO$41</f>
        <v>2.0408163265306121E-2</v>
      </c>
      <c r="AH48" s="6">
        <f t="shared" si="187"/>
        <v>1.020408163265306E-2</v>
      </c>
      <c r="AI48" s="6">
        <f t="shared" si="187"/>
        <v>3.4013605442176869E-3</v>
      </c>
      <c r="AJ48" s="6">
        <f t="shared" si="187"/>
        <v>0</v>
      </c>
      <c r="AK48" s="6">
        <f t="shared" si="187"/>
        <v>3.4013605442176869E-3</v>
      </c>
      <c r="AL48" s="6">
        <f t="shared" si="187"/>
        <v>1.3605442176870748E-2</v>
      </c>
      <c r="AM48" s="6">
        <f t="shared" si="187"/>
        <v>3.4013605442176869E-3</v>
      </c>
      <c r="AN48" s="6">
        <f t="shared" si="187"/>
        <v>0</v>
      </c>
      <c r="AR48" s="19" t="s">
        <v>1720</v>
      </c>
      <c r="AS48" s="6">
        <f t="shared" ref="AS48:AZ48" si="188">+AS33/$BA$41</f>
        <v>1.4285714285714285E-2</v>
      </c>
      <c r="AT48" s="6">
        <f t="shared" si="188"/>
        <v>7.1428571428571426E-3</v>
      </c>
      <c r="AU48" s="6">
        <f t="shared" si="188"/>
        <v>3.5714285714285713E-3</v>
      </c>
      <c r="AV48" s="6">
        <f t="shared" si="188"/>
        <v>3.5714285714285713E-3</v>
      </c>
      <c r="AW48" s="6">
        <f t="shared" si="188"/>
        <v>0</v>
      </c>
      <c r="AX48" s="6">
        <f t="shared" si="188"/>
        <v>7.1428571428571426E-3</v>
      </c>
      <c r="AY48" s="6">
        <f t="shared" si="188"/>
        <v>3.5714285714285713E-3</v>
      </c>
      <c r="AZ48" s="6">
        <f t="shared" si="188"/>
        <v>0</v>
      </c>
      <c r="BA48" s="249"/>
      <c r="BD48" s="19" t="s">
        <v>1720</v>
      </c>
      <c r="BE48" s="6">
        <f t="shared" ref="BE48:BL48" si="189">+BE33/$BM$41</f>
        <v>0</v>
      </c>
      <c r="BF48" s="6">
        <f t="shared" si="189"/>
        <v>1.7064846416382253E-2</v>
      </c>
      <c r="BG48" s="6">
        <f t="shared" si="189"/>
        <v>2.0477815699658702E-2</v>
      </c>
      <c r="BH48" s="6">
        <f t="shared" si="189"/>
        <v>1.3651877133105802E-2</v>
      </c>
      <c r="BI48" s="6">
        <f t="shared" si="189"/>
        <v>3.0716723549488054E-2</v>
      </c>
      <c r="BJ48" s="6">
        <f t="shared" si="189"/>
        <v>2.0477815699658702E-2</v>
      </c>
      <c r="BK48" s="6">
        <f t="shared" si="189"/>
        <v>1.7064846416382253E-2</v>
      </c>
      <c r="BL48" s="6">
        <f t="shared" si="189"/>
        <v>6.8259385665529011E-3</v>
      </c>
      <c r="BM48" s="249"/>
      <c r="BP48" s="19" t="s">
        <v>1720</v>
      </c>
      <c r="BQ48" s="6">
        <f t="shared" ref="BQ48:BX48" si="190">+BQ33/$BY$41</f>
        <v>0</v>
      </c>
      <c r="BR48" s="6">
        <f t="shared" si="190"/>
        <v>6.4020486555697821E-3</v>
      </c>
      <c r="BS48" s="6">
        <f t="shared" si="190"/>
        <v>7.6824583866837385E-3</v>
      </c>
      <c r="BT48" s="6">
        <f t="shared" si="190"/>
        <v>8.9628681177976958E-3</v>
      </c>
      <c r="BU48" s="6">
        <f t="shared" si="190"/>
        <v>1.2804097311139564E-2</v>
      </c>
      <c r="BV48" s="6">
        <f t="shared" si="190"/>
        <v>1.6645326504481434E-2</v>
      </c>
      <c r="BW48" s="6">
        <f t="shared" si="190"/>
        <v>1.9206145966709345E-2</v>
      </c>
      <c r="BX48" s="6">
        <f t="shared" si="190"/>
        <v>2.5608194622279128E-3</v>
      </c>
      <c r="BY48" s="249"/>
      <c r="CS48" s="169" t="s">
        <v>2402</v>
      </c>
      <c r="CT48" s="170">
        <f>SUM(CT38:CT42)</f>
        <v>0.71087533156498672</v>
      </c>
      <c r="CU48" s="171">
        <f>SUM(CU38:CU42)</f>
        <v>0.82352941176470584</v>
      </c>
      <c r="DB48" s="11">
        <f t="shared" si="63"/>
        <v>3</v>
      </c>
      <c r="DC48" s="9">
        <v>2011</v>
      </c>
      <c r="DD48" s="6">
        <f t="shared" si="60"/>
        <v>2.1547502448579822E-2</v>
      </c>
      <c r="DE48" s="6">
        <f t="shared" si="61"/>
        <v>9.7087378640776691E-3</v>
      </c>
      <c r="DF48" s="249">
        <f t="shared" si="14"/>
        <v>26</v>
      </c>
      <c r="DG48" s="249">
        <f>COUNTIFS('DATOS 2'!$K$5:$K$1437,"HC",'DATOS 2'!$D$5:$D$1437,DC48)</f>
        <v>22</v>
      </c>
      <c r="DH48" s="249">
        <f>COUNTIFS('DATOS 2'!$K$5:$K$1437,"PT",'DATOS 2'!$D$5:$D$1437,DC48)</f>
        <v>4</v>
      </c>
    </row>
    <row r="49" spans="10:112" ht="15.75" thickBot="1" x14ac:dyDescent="0.3">
      <c r="Q49" s="11"/>
      <c r="R49" s="9"/>
      <c r="S49" s="249" t="s">
        <v>1712</v>
      </c>
      <c r="T49" s="6">
        <f t="shared" ref="T49:AB49" si="191">T35/$AB$43</f>
        <v>0</v>
      </c>
      <c r="U49" s="6">
        <f t="shared" si="191"/>
        <v>2.9282576866764276E-3</v>
      </c>
      <c r="V49" s="6">
        <f t="shared" si="191"/>
        <v>7.320644216691069E-4</v>
      </c>
      <c r="W49" s="6">
        <f t="shared" si="191"/>
        <v>4.3923865300146414E-3</v>
      </c>
      <c r="X49" s="6">
        <f t="shared" si="191"/>
        <v>3.6603221083455345E-3</v>
      </c>
      <c r="Y49" s="6">
        <f t="shared" si="191"/>
        <v>1.3909224011713031E-2</v>
      </c>
      <c r="Z49" s="6">
        <f t="shared" si="191"/>
        <v>4.3191800878477307E-2</v>
      </c>
      <c r="AA49" s="6">
        <f t="shared" si="191"/>
        <v>8.1259150805270866E-2</v>
      </c>
      <c r="AB49" s="6">
        <f t="shared" si="191"/>
        <v>0.1500732064421669</v>
      </c>
      <c r="AF49" s="19" t="s">
        <v>1721</v>
      </c>
      <c r="AG49" s="6">
        <f t="shared" ref="AG49:AN49" si="192">+AG34/$AO$41</f>
        <v>0</v>
      </c>
      <c r="AH49" s="6">
        <f t="shared" si="192"/>
        <v>6.8027210884353739E-3</v>
      </c>
      <c r="AI49" s="6">
        <f t="shared" si="192"/>
        <v>6.8027210884353739E-3</v>
      </c>
      <c r="AJ49" s="6">
        <f t="shared" si="192"/>
        <v>0</v>
      </c>
      <c r="AK49" s="6">
        <f t="shared" si="192"/>
        <v>6.8027210884353739E-3</v>
      </c>
      <c r="AL49" s="6">
        <f t="shared" si="192"/>
        <v>0</v>
      </c>
      <c r="AM49" s="6">
        <f t="shared" si="192"/>
        <v>0</v>
      </c>
      <c r="AN49" s="6">
        <f t="shared" si="192"/>
        <v>3.4013605442176869E-3</v>
      </c>
      <c r="AR49" s="19" t="s">
        <v>1721</v>
      </c>
      <c r="AS49" s="6">
        <f t="shared" ref="AS49:AZ49" si="193">+AS34/$BA$41</f>
        <v>7.1428571428571426E-3</v>
      </c>
      <c r="AT49" s="6">
        <f t="shared" si="193"/>
        <v>3.5714285714285713E-3</v>
      </c>
      <c r="AU49" s="6">
        <f t="shared" si="193"/>
        <v>1.0714285714285714E-2</v>
      </c>
      <c r="AV49" s="6">
        <f t="shared" si="193"/>
        <v>3.5714285714285713E-3</v>
      </c>
      <c r="AW49" s="6">
        <f t="shared" si="193"/>
        <v>7.1428571428571426E-3</v>
      </c>
      <c r="AX49" s="6">
        <f t="shared" si="193"/>
        <v>0</v>
      </c>
      <c r="AY49" s="6">
        <f t="shared" si="193"/>
        <v>0</v>
      </c>
      <c r="AZ49" s="6">
        <f t="shared" si="193"/>
        <v>3.5714285714285713E-3</v>
      </c>
      <c r="BA49" s="249"/>
      <c r="BD49" s="19" t="s">
        <v>1721</v>
      </c>
      <c r="BE49" s="6">
        <f t="shared" ref="BE49:BL49" si="194">+BE34/$BM$41</f>
        <v>0</v>
      </c>
      <c r="BF49" s="6">
        <f t="shared" si="194"/>
        <v>3.4129692832764505E-3</v>
      </c>
      <c r="BG49" s="6">
        <f t="shared" si="194"/>
        <v>1.3651877133105802E-2</v>
      </c>
      <c r="BH49" s="6">
        <f t="shared" si="194"/>
        <v>1.3651877133105802E-2</v>
      </c>
      <c r="BI49" s="6">
        <f t="shared" si="194"/>
        <v>1.0238907849829351E-2</v>
      </c>
      <c r="BJ49" s="6">
        <f t="shared" si="194"/>
        <v>3.4129692832764505E-3</v>
      </c>
      <c r="BK49" s="6">
        <f t="shared" si="194"/>
        <v>1.3651877133105802E-2</v>
      </c>
      <c r="BL49" s="6">
        <f t="shared" si="194"/>
        <v>2.7303754266211604E-2</v>
      </c>
      <c r="BM49" s="249"/>
      <c r="BP49" s="19" t="s">
        <v>1721</v>
      </c>
      <c r="BQ49" s="6">
        <f t="shared" ref="BQ49:BX49" si="195">+BQ34/$BY$41</f>
        <v>1.2804097311139564E-3</v>
      </c>
      <c r="BR49" s="6">
        <f t="shared" si="195"/>
        <v>2.176696542893726E-2</v>
      </c>
      <c r="BS49" s="6">
        <f t="shared" si="195"/>
        <v>7.6824583866837385E-3</v>
      </c>
      <c r="BT49" s="6">
        <f t="shared" si="195"/>
        <v>6.4020486555697821E-3</v>
      </c>
      <c r="BU49" s="6">
        <f t="shared" si="195"/>
        <v>1.2804097311139564E-2</v>
      </c>
      <c r="BV49" s="6">
        <f t="shared" si="195"/>
        <v>1.2804097311139564E-3</v>
      </c>
      <c r="BW49" s="6">
        <f t="shared" si="195"/>
        <v>5.1216389244558257E-3</v>
      </c>
      <c r="BX49" s="6">
        <f t="shared" si="195"/>
        <v>1.0243277848911651E-2</v>
      </c>
      <c r="BY49" s="249"/>
      <c r="CS49" s="172" t="s">
        <v>715</v>
      </c>
      <c r="CT49" s="173">
        <f>CT48+CT47</f>
        <v>1</v>
      </c>
      <c r="CU49" s="174">
        <f>CU48+CU47</f>
        <v>1</v>
      </c>
      <c r="DB49" s="11">
        <f t="shared" si="63"/>
        <v>2</v>
      </c>
      <c r="DC49" s="9">
        <v>2012</v>
      </c>
      <c r="DD49" s="6">
        <f t="shared" si="60"/>
        <v>3.5259549461312441E-2</v>
      </c>
      <c r="DE49" s="6">
        <f t="shared" si="61"/>
        <v>8.2524271844660199E-2</v>
      </c>
      <c r="DF49" s="249">
        <f t="shared" si="14"/>
        <v>70</v>
      </c>
      <c r="DG49" s="249">
        <f>COUNTIFS('DATOS 2'!$K$5:$K$1437,"HC",'DATOS 2'!$D$5:$D$1437,DC49)</f>
        <v>36</v>
      </c>
      <c r="DH49" s="249">
        <f>COUNTIFS('DATOS 2'!$K$5:$K$1437,"PT",'DATOS 2'!$D$5:$D$1437,DC49)</f>
        <v>34</v>
      </c>
    </row>
    <row r="50" spans="10:112" x14ac:dyDescent="0.25">
      <c r="J50" s="11" t="s">
        <v>2386</v>
      </c>
      <c r="Q50" s="11"/>
      <c r="R50" s="9"/>
      <c r="S50" s="249" t="s">
        <v>1716</v>
      </c>
      <c r="T50" s="6">
        <f t="shared" ref="T50:AB50" si="196">T36/$AB$43</f>
        <v>0</v>
      </c>
      <c r="U50" s="6">
        <f t="shared" si="196"/>
        <v>2.9282576866764276E-3</v>
      </c>
      <c r="V50" s="6">
        <f t="shared" si="196"/>
        <v>1.4641288433382138E-3</v>
      </c>
      <c r="W50" s="6">
        <f t="shared" si="196"/>
        <v>1.0248901903367497E-2</v>
      </c>
      <c r="X50" s="6">
        <f t="shared" si="196"/>
        <v>8.7847730600292828E-3</v>
      </c>
      <c r="Y50" s="6">
        <f t="shared" si="196"/>
        <v>2.9282576866764276E-2</v>
      </c>
      <c r="Z50" s="6">
        <f t="shared" si="196"/>
        <v>9.0043923865300149E-2</v>
      </c>
      <c r="AA50" s="6">
        <f t="shared" si="196"/>
        <v>1.8301610541727673E-2</v>
      </c>
      <c r="AB50" s="6">
        <f t="shared" si="196"/>
        <v>0.16105417276720352</v>
      </c>
      <c r="AF50" s="19" t="s">
        <v>1722</v>
      </c>
      <c r="AG50" s="6">
        <f t="shared" ref="AG50:AN50" si="197">+AG35/$AO$41</f>
        <v>6.8027210884353739E-3</v>
      </c>
      <c r="AH50" s="6">
        <f t="shared" si="197"/>
        <v>3.4013605442176869E-3</v>
      </c>
      <c r="AI50" s="6">
        <f t="shared" si="197"/>
        <v>6.8027210884353739E-3</v>
      </c>
      <c r="AJ50" s="6">
        <f t="shared" si="197"/>
        <v>2.0408163265306121E-2</v>
      </c>
      <c r="AK50" s="6">
        <f t="shared" si="197"/>
        <v>3.4013605442176869E-3</v>
      </c>
      <c r="AL50" s="6">
        <f t="shared" si="197"/>
        <v>1.020408163265306E-2</v>
      </c>
      <c r="AM50" s="6">
        <f t="shared" si="197"/>
        <v>6.8027210884353739E-3</v>
      </c>
      <c r="AN50" s="6">
        <f t="shared" si="197"/>
        <v>0</v>
      </c>
      <c r="AR50" s="19" t="s">
        <v>1722</v>
      </c>
      <c r="AS50" s="6">
        <f t="shared" ref="AS50:AZ50" si="198">+AS35/$BA$41</f>
        <v>7.1428571428571426E-3</v>
      </c>
      <c r="AT50" s="6">
        <f t="shared" si="198"/>
        <v>1.0714285714285714E-2</v>
      </c>
      <c r="AU50" s="6">
        <f t="shared" si="198"/>
        <v>1.0714285714285714E-2</v>
      </c>
      <c r="AV50" s="6">
        <f t="shared" si="198"/>
        <v>1.7857142857142856E-2</v>
      </c>
      <c r="AW50" s="6">
        <f t="shared" si="198"/>
        <v>1.0714285714285714E-2</v>
      </c>
      <c r="AX50" s="6">
        <f t="shared" si="198"/>
        <v>7.1428571428571426E-3</v>
      </c>
      <c r="AY50" s="6">
        <f t="shared" si="198"/>
        <v>7.1428571428571426E-3</v>
      </c>
      <c r="AZ50" s="6">
        <f t="shared" si="198"/>
        <v>1.0714285714285714E-2</v>
      </c>
      <c r="BA50" s="249"/>
      <c r="BD50" s="19" t="s">
        <v>1722</v>
      </c>
      <c r="BE50" s="6">
        <f t="shared" ref="BE50:BL50" si="199">+BE35/$BM$41</f>
        <v>0</v>
      </c>
      <c r="BF50" s="6">
        <f t="shared" si="199"/>
        <v>0</v>
      </c>
      <c r="BG50" s="6">
        <f t="shared" si="199"/>
        <v>3.4129692832764505E-3</v>
      </c>
      <c r="BH50" s="6">
        <f t="shared" si="199"/>
        <v>1.0238907849829351E-2</v>
      </c>
      <c r="BI50" s="6">
        <f t="shared" si="199"/>
        <v>2.7303754266211604E-2</v>
      </c>
      <c r="BJ50" s="6">
        <f t="shared" si="199"/>
        <v>1.7064846416382253E-2</v>
      </c>
      <c r="BK50" s="6">
        <f t="shared" si="199"/>
        <v>3.0716723549488054E-2</v>
      </c>
      <c r="BL50" s="6">
        <f t="shared" si="199"/>
        <v>3.4129692832764505E-3</v>
      </c>
      <c r="BM50" s="249"/>
      <c r="BP50" s="19" t="s">
        <v>1722</v>
      </c>
      <c r="BQ50" s="6">
        <f t="shared" ref="BQ50:BX50" si="200">+BQ35/$BY$41</f>
        <v>1.2804097311139564E-2</v>
      </c>
      <c r="BR50" s="6">
        <f t="shared" si="200"/>
        <v>1.1523687580025609E-2</v>
      </c>
      <c r="BS50" s="6">
        <f t="shared" si="200"/>
        <v>1.4084507042253521E-2</v>
      </c>
      <c r="BT50" s="6">
        <f t="shared" si="200"/>
        <v>2.0486555697823303E-2</v>
      </c>
      <c r="BU50" s="6">
        <f t="shared" si="200"/>
        <v>2.176696542893726E-2</v>
      </c>
      <c r="BV50" s="6">
        <f t="shared" si="200"/>
        <v>1.1523687580025609E-2</v>
      </c>
      <c r="BW50" s="6">
        <f t="shared" si="200"/>
        <v>1.0243277848911651E-2</v>
      </c>
      <c r="BX50" s="6">
        <f t="shared" si="200"/>
        <v>8.9628681177976958E-3</v>
      </c>
      <c r="BY50" s="249"/>
      <c r="DB50" s="11">
        <f t="shared" si="63"/>
        <v>1</v>
      </c>
      <c r="DC50" s="9">
        <v>2013</v>
      </c>
      <c r="DD50" s="6">
        <f t="shared" si="60"/>
        <v>1.2732615083251714E-2</v>
      </c>
      <c r="DE50" s="6">
        <f t="shared" si="61"/>
        <v>3.1553398058252427E-2</v>
      </c>
      <c r="DF50" s="249">
        <f t="shared" si="14"/>
        <v>26</v>
      </c>
      <c r="DG50" s="249">
        <f>COUNTIFS('DATOS 2'!$K$5:$K$1437,"HC",'DATOS 2'!$D$5:$D$1437,DC50)</f>
        <v>13</v>
      </c>
      <c r="DH50" s="249">
        <f>COUNTIFS('DATOS 2'!$K$5:$K$1437,"PT",'DATOS 2'!$D$5:$D$1437,DC50)</f>
        <v>13</v>
      </c>
    </row>
    <row r="51" spans="10:112" x14ac:dyDescent="0.25">
      <c r="J51" s="11" t="s">
        <v>2374</v>
      </c>
      <c r="K51" s="6">
        <f>L51/$L$57</f>
        <v>0.21337579617834396</v>
      </c>
      <c r="L51" s="249">
        <f>COUNTIFS('DATOS 2'!$C$5:$C$1437,"C2",'DATOS 2'!$J$5:$J$1437,"&lt;2500")</f>
        <v>67</v>
      </c>
      <c r="Q51" s="11"/>
      <c r="R51" s="9"/>
      <c r="S51" s="249" t="s">
        <v>1713</v>
      </c>
      <c r="T51" s="6">
        <f t="shared" ref="T51:AB51" si="201">T37/$AB$43</f>
        <v>2.9282576866764276E-3</v>
      </c>
      <c r="U51" s="6">
        <f t="shared" si="201"/>
        <v>7.320644216691069E-3</v>
      </c>
      <c r="V51" s="6">
        <f t="shared" si="201"/>
        <v>1.9033674963396779E-2</v>
      </c>
      <c r="W51" s="6">
        <f t="shared" si="201"/>
        <v>2.9282576866764276E-2</v>
      </c>
      <c r="X51" s="6">
        <f t="shared" si="201"/>
        <v>7.320644216691069E-2</v>
      </c>
      <c r="Y51" s="6">
        <f t="shared" si="201"/>
        <v>0.13909224011713031</v>
      </c>
      <c r="Z51" s="6">
        <f t="shared" si="201"/>
        <v>0.12518301610541727</v>
      </c>
      <c r="AA51" s="6">
        <f t="shared" si="201"/>
        <v>4.3923865300146414E-3</v>
      </c>
      <c r="AB51" s="6">
        <f t="shared" si="201"/>
        <v>0.40043923865300146</v>
      </c>
      <c r="AF51" s="19" t="s">
        <v>1723</v>
      </c>
      <c r="AG51" s="6">
        <f t="shared" ref="AG51:AN51" si="202">+AG36/$AO$41</f>
        <v>6.8027210884353739E-3</v>
      </c>
      <c r="AH51" s="6">
        <f t="shared" si="202"/>
        <v>1.020408163265306E-2</v>
      </c>
      <c r="AI51" s="6">
        <f t="shared" si="202"/>
        <v>6.8027210884353739E-3</v>
      </c>
      <c r="AJ51" s="6">
        <f t="shared" si="202"/>
        <v>4.4217687074829932E-2</v>
      </c>
      <c r="AK51" s="6">
        <f t="shared" si="202"/>
        <v>0</v>
      </c>
      <c r="AL51" s="6">
        <f t="shared" si="202"/>
        <v>2.3809523809523808E-2</v>
      </c>
      <c r="AM51" s="6">
        <f t="shared" si="202"/>
        <v>3.0612244897959183E-2</v>
      </c>
      <c r="AN51" s="6">
        <f t="shared" si="202"/>
        <v>2.3809523809523808E-2</v>
      </c>
      <c r="AR51" s="19" t="s">
        <v>1723</v>
      </c>
      <c r="AS51" s="6">
        <f t="shared" ref="AS51:AZ51" si="203">+AS36/$BA$41</f>
        <v>7.1428571428571426E-3</v>
      </c>
      <c r="AT51" s="6">
        <f t="shared" si="203"/>
        <v>6.7857142857142852E-2</v>
      </c>
      <c r="AU51" s="6">
        <f t="shared" si="203"/>
        <v>3.214285714285714E-2</v>
      </c>
      <c r="AV51" s="6">
        <f t="shared" si="203"/>
        <v>4.642857142857143E-2</v>
      </c>
      <c r="AW51" s="6">
        <f t="shared" si="203"/>
        <v>1.4285714285714285E-2</v>
      </c>
      <c r="AX51" s="6">
        <f t="shared" si="203"/>
        <v>2.1428571428571429E-2</v>
      </c>
      <c r="AY51" s="6">
        <f t="shared" si="203"/>
        <v>1.0714285714285714E-2</v>
      </c>
      <c r="AZ51" s="6">
        <f t="shared" si="203"/>
        <v>7.1428571428571426E-3</v>
      </c>
      <c r="BA51" s="249"/>
      <c r="BD51" s="19" t="s">
        <v>1723</v>
      </c>
      <c r="BE51" s="6">
        <f t="shared" ref="BE51:BL51" si="204">+BE36/$BM$41</f>
        <v>0</v>
      </c>
      <c r="BF51" s="6">
        <f t="shared" si="204"/>
        <v>6.8259385665529011E-3</v>
      </c>
      <c r="BG51" s="6">
        <f t="shared" si="204"/>
        <v>3.4129692832764505E-3</v>
      </c>
      <c r="BH51" s="6">
        <f t="shared" si="204"/>
        <v>6.8259385665529011E-3</v>
      </c>
      <c r="BI51" s="6">
        <f t="shared" si="204"/>
        <v>2.7303754266211604E-2</v>
      </c>
      <c r="BJ51" s="6">
        <f t="shared" si="204"/>
        <v>0.19112627986348124</v>
      </c>
      <c r="BK51" s="6">
        <f t="shared" si="204"/>
        <v>0.20819112627986347</v>
      </c>
      <c r="BL51" s="6">
        <f t="shared" si="204"/>
        <v>1.7064846416382253E-2</v>
      </c>
      <c r="BM51" s="249"/>
      <c r="BP51" s="19" t="s">
        <v>1723</v>
      </c>
      <c r="BQ51" s="6">
        <f t="shared" ref="BQ51:BX51" si="205">+BQ36/$BY$41</f>
        <v>0</v>
      </c>
      <c r="BR51" s="6">
        <f t="shared" si="205"/>
        <v>7.6824583866837385E-3</v>
      </c>
      <c r="BS51" s="6">
        <f t="shared" si="205"/>
        <v>6.4020486555697821E-3</v>
      </c>
      <c r="BT51" s="6">
        <f t="shared" si="205"/>
        <v>3.5851472471190783E-2</v>
      </c>
      <c r="BU51" s="6">
        <f t="shared" si="205"/>
        <v>5.8898847631242E-2</v>
      </c>
      <c r="BV51" s="6">
        <f t="shared" si="205"/>
        <v>8.1946222791293211E-2</v>
      </c>
      <c r="BW51" s="6">
        <f t="shared" si="205"/>
        <v>0.11651728553137004</v>
      </c>
      <c r="BX51" s="6">
        <f t="shared" si="205"/>
        <v>6.530089628681178E-2</v>
      </c>
      <c r="BY51" s="249"/>
      <c r="DB51" s="11">
        <f>2014-DC51</f>
        <v>0</v>
      </c>
      <c r="DC51" s="9">
        <v>2014</v>
      </c>
      <c r="DD51" s="6">
        <f t="shared" si="60"/>
        <v>3.9177277179236044E-3</v>
      </c>
      <c r="DE51" s="6">
        <f t="shared" si="61"/>
        <v>3.8834951456310676E-2</v>
      </c>
      <c r="DF51" s="249">
        <f t="shared" si="14"/>
        <v>20</v>
      </c>
      <c r="DG51" s="249">
        <f>COUNTIFS('DATOS 2'!$K$5:$K$1437,"HC",'DATOS 2'!$D$5:$D$1437,DC51)</f>
        <v>4</v>
      </c>
      <c r="DH51" s="249">
        <f>COUNTIFS('DATOS 2'!$K$5:$K$1437,"PT",'DATOS 2'!$D$5:$D$1437,DC51)</f>
        <v>16</v>
      </c>
    </row>
    <row r="52" spans="10:112" x14ac:dyDescent="0.25">
      <c r="J52" s="11" t="s">
        <v>2375</v>
      </c>
      <c r="K52" s="6">
        <f t="shared" ref="K52:K57" si="206">L52/$L$57</f>
        <v>0.46815286624203822</v>
      </c>
      <c r="L52" s="249">
        <f>COUNTIFS('DATOS 2'!$C$5:$C$1437,"C2",'DATOS 2'!$J$5:$J$1437,"&lt;5001")-L51</f>
        <v>147</v>
      </c>
      <c r="S52" s="249" t="s">
        <v>943</v>
      </c>
      <c r="T52" s="6">
        <f t="shared" ref="T52:AB52" si="207">T38/$AB$43</f>
        <v>9.5168374816983897E-3</v>
      </c>
      <c r="U52" s="6">
        <f t="shared" si="207"/>
        <v>9.5168374816983897E-3</v>
      </c>
      <c r="V52" s="6">
        <f t="shared" si="207"/>
        <v>1.2445095168374817E-2</v>
      </c>
      <c r="W52" s="6">
        <f t="shared" si="207"/>
        <v>2.2693997071742314E-2</v>
      </c>
      <c r="X52" s="6">
        <f t="shared" si="207"/>
        <v>4.026354319180088E-2</v>
      </c>
      <c r="Y52" s="6">
        <f t="shared" si="207"/>
        <v>3.2210834553440704E-2</v>
      </c>
      <c r="Z52" s="6">
        <f t="shared" si="207"/>
        <v>6.5885797950219621E-3</v>
      </c>
      <c r="AA52" s="6">
        <f t="shared" si="207"/>
        <v>0</v>
      </c>
      <c r="AB52" s="6">
        <f t="shared" si="207"/>
        <v>0.13323572474377746</v>
      </c>
      <c r="AF52" s="19" t="s">
        <v>1724</v>
      </c>
      <c r="AG52" s="6">
        <f t="shared" ref="AG52:AN52" si="208">+AG37/$AO$41</f>
        <v>3.4013605442176869E-3</v>
      </c>
      <c r="AH52" s="6">
        <f t="shared" si="208"/>
        <v>1.020408163265306E-2</v>
      </c>
      <c r="AI52" s="6">
        <f t="shared" si="208"/>
        <v>1.020408163265306E-2</v>
      </c>
      <c r="AJ52" s="6">
        <f t="shared" si="208"/>
        <v>1.020408163265306E-2</v>
      </c>
      <c r="AK52" s="6">
        <f t="shared" si="208"/>
        <v>3.7414965986394558E-2</v>
      </c>
      <c r="AL52" s="6">
        <f t="shared" si="208"/>
        <v>4.0816326530612242E-2</v>
      </c>
      <c r="AM52" s="6">
        <f t="shared" si="208"/>
        <v>4.0816326530612242E-2</v>
      </c>
      <c r="AN52" s="6">
        <f t="shared" si="208"/>
        <v>1.3605442176870748E-2</v>
      </c>
      <c r="AR52" s="19" t="s">
        <v>1724</v>
      </c>
      <c r="AS52" s="6">
        <f t="shared" ref="AS52:AZ52" si="209">+AS37/$BA$41</f>
        <v>7.1428571428571426E-3</v>
      </c>
      <c r="AT52" s="6">
        <f t="shared" si="209"/>
        <v>4.2857142857142858E-2</v>
      </c>
      <c r="AU52" s="6">
        <f t="shared" si="209"/>
        <v>7.1428571428571426E-3</v>
      </c>
      <c r="AV52" s="6">
        <f t="shared" si="209"/>
        <v>1.0714285714285714E-2</v>
      </c>
      <c r="AW52" s="6">
        <f t="shared" si="209"/>
        <v>3.5714285714285712E-2</v>
      </c>
      <c r="AX52" s="6">
        <f t="shared" si="209"/>
        <v>1.7857142857142856E-2</v>
      </c>
      <c r="AY52" s="6">
        <f t="shared" si="209"/>
        <v>2.8571428571428571E-2</v>
      </c>
      <c r="AZ52" s="6">
        <f t="shared" si="209"/>
        <v>1.4285714285714285E-2</v>
      </c>
      <c r="BA52" s="249"/>
      <c r="BD52" s="19" t="s">
        <v>1724</v>
      </c>
      <c r="BE52" s="6">
        <f t="shared" ref="BE52:BL52" si="210">+BE37/$BM$41</f>
        <v>6.8259385665529011E-3</v>
      </c>
      <c r="BF52" s="6">
        <f t="shared" si="210"/>
        <v>0</v>
      </c>
      <c r="BG52" s="6">
        <f t="shared" si="210"/>
        <v>0</v>
      </c>
      <c r="BH52" s="6">
        <f t="shared" si="210"/>
        <v>0</v>
      </c>
      <c r="BI52" s="6">
        <f t="shared" si="210"/>
        <v>1.0238907849829351E-2</v>
      </c>
      <c r="BJ52" s="6">
        <f t="shared" si="210"/>
        <v>1.0238907849829351E-2</v>
      </c>
      <c r="BK52" s="6">
        <f t="shared" si="210"/>
        <v>6.4846416382252553E-2</v>
      </c>
      <c r="BL52" s="6">
        <f t="shared" si="210"/>
        <v>4.0955631399317405E-2</v>
      </c>
      <c r="BM52" s="249"/>
      <c r="BP52" s="19" t="s">
        <v>1724</v>
      </c>
      <c r="BQ52" s="6">
        <f t="shared" ref="BQ52:BX52" si="211">+BQ37/$BY$41</f>
        <v>2.5608194622279128E-3</v>
      </c>
      <c r="BR52" s="6">
        <f t="shared" si="211"/>
        <v>1.1523687580025609E-2</v>
      </c>
      <c r="BS52" s="6">
        <f t="shared" si="211"/>
        <v>1.2804097311139564E-2</v>
      </c>
      <c r="BT52" s="6">
        <f t="shared" si="211"/>
        <v>8.9628681177976958E-3</v>
      </c>
      <c r="BU52" s="6">
        <f t="shared" si="211"/>
        <v>4.7375160051216392E-2</v>
      </c>
      <c r="BV52" s="6">
        <f t="shared" si="211"/>
        <v>9.6030729833546741E-2</v>
      </c>
      <c r="BW52" s="6">
        <f t="shared" si="211"/>
        <v>0.10243277848911651</v>
      </c>
      <c r="BX52" s="6">
        <f t="shared" si="211"/>
        <v>2.6888604353393086E-2</v>
      </c>
      <c r="BY52" s="249"/>
      <c r="DB52" s="11"/>
      <c r="DC52" s="9"/>
      <c r="DD52" s="6">
        <f t="shared" si="60"/>
        <v>0</v>
      </c>
      <c r="DE52" s="6">
        <f t="shared" si="61"/>
        <v>0</v>
      </c>
      <c r="DF52" s="249"/>
      <c r="DG52" s="11"/>
      <c r="DH52" s="249"/>
    </row>
    <row r="53" spans="10:112" x14ac:dyDescent="0.25">
      <c r="J53" s="11" t="s">
        <v>952</v>
      </c>
      <c r="K53" s="6">
        <f t="shared" si="206"/>
        <v>0.13057324840764331</v>
      </c>
      <c r="L53" s="249">
        <f>COUNTIFS('DATOS 2'!$C$5:$C$1437,"C2",'DATOS 2'!$J$5:$J$1437,"&lt;7501")-L52-L51</f>
        <v>41</v>
      </c>
      <c r="S53" s="249" t="s">
        <v>944</v>
      </c>
      <c r="T53" s="6">
        <f t="shared" ref="T53:AB53" si="212">T39/$AB$43</f>
        <v>1.4641288433382138E-3</v>
      </c>
      <c r="U53" s="6">
        <f t="shared" si="212"/>
        <v>2.7086383601756955E-2</v>
      </c>
      <c r="V53" s="6">
        <f t="shared" si="212"/>
        <v>2.0497803806734993E-2</v>
      </c>
      <c r="W53" s="6">
        <f t="shared" si="212"/>
        <v>2.1961932650073207E-2</v>
      </c>
      <c r="X53" s="6">
        <f t="shared" si="212"/>
        <v>1.6837481698389459E-2</v>
      </c>
      <c r="Y53" s="6">
        <f t="shared" si="212"/>
        <v>5.8565153733528552E-3</v>
      </c>
      <c r="Z53" s="6">
        <f t="shared" si="212"/>
        <v>1.4641288433382138E-3</v>
      </c>
      <c r="AA53" s="6">
        <f t="shared" si="212"/>
        <v>0</v>
      </c>
      <c r="AB53" s="6">
        <f t="shared" si="212"/>
        <v>9.5168374816983897E-2</v>
      </c>
      <c r="AF53" s="19" t="s">
        <v>1725</v>
      </c>
      <c r="AG53" s="6">
        <f t="shared" ref="AG53:AN53" si="213">+AG38/$AO$41</f>
        <v>6.8027210884353739E-3</v>
      </c>
      <c r="AH53" s="6">
        <f t="shared" si="213"/>
        <v>1.020408163265306E-2</v>
      </c>
      <c r="AI53" s="6">
        <f t="shared" si="213"/>
        <v>2.3809523809523808E-2</v>
      </c>
      <c r="AJ53" s="6">
        <f t="shared" si="213"/>
        <v>2.3809523809523808E-2</v>
      </c>
      <c r="AK53" s="6">
        <f t="shared" si="213"/>
        <v>2.7210884353741496E-2</v>
      </c>
      <c r="AL53" s="6">
        <f t="shared" si="213"/>
        <v>3.4013605442176874E-2</v>
      </c>
      <c r="AM53" s="6">
        <f t="shared" si="213"/>
        <v>2.3809523809523808E-2</v>
      </c>
      <c r="AN53" s="6">
        <f t="shared" si="213"/>
        <v>0</v>
      </c>
      <c r="AR53" s="19" t="s">
        <v>1725</v>
      </c>
      <c r="AS53" s="6">
        <f t="shared" ref="AS53:AZ53" si="214">+AS38/$BA$41</f>
        <v>1.4285714285714285E-2</v>
      </c>
      <c r="AT53" s="6">
        <f t="shared" si="214"/>
        <v>2.5000000000000001E-2</v>
      </c>
      <c r="AU53" s="6">
        <f t="shared" si="214"/>
        <v>4.642857142857143E-2</v>
      </c>
      <c r="AV53" s="6">
        <f t="shared" si="214"/>
        <v>3.9285714285714285E-2</v>
      </c>
      <c r="AW53" s="6">
        <f t="shared" si="214"/>
        <v>0.1</v>
      </c>
      <c r="AX53" s="6">
        <f t="shared" si="214"/>
        <v>9.285714285714286E-2</v>
      </c>
      <c r="AY53" s="6">
        <f t="shared" si="214"/>
        <v>6.4285714285714279E-2</v>
      </c>
      <c r="AZ53" s="6">
        <f t="shared" si="214"/>
        <v>3.5714285714285713E-3</v>
      </c>
      <c r="BA53" s="249"/>
      <c r="BD53" s="19" t="s">
        <v>1725</v>
      </c>
      <c r="BE53" s="6">
        <f t="shared" ref="BE53:BL53" si="215">+BE38/$BM$41</f>
        <v>0</v>
      </c>
      <c r="BF53" s="6">
        <f t="shared" si="215"/>
        <v>0</v>
      </c>
      <c r="BG53" s="6">
        <f t="shared" si="215"/>
        <v>0</v>
      </c>
      <c r="BH53" s="6">
        <f t="shared" si="215"/>
        <v>3.4129692832764505E-3</v>
      </c>
      <c r="BI53" s="6">
        <f t="shared" si="215"/>
        <v>0</v>
      </c>
      <c r="BJ53" s="6">
        <f t="shared" si="215"/>
        <v>0</v>
      </c>
      <c r="BK53" s="6">
        <f t="shared" si="215"/>
        <v>2.7303754266211604E-2</v>
      </c>
      <c r="BL53" s="6">
        <f t="shared" si="215"/>
        <v>0</v>
      </c>
      <c r="BM53" s="249"/>
      <c r="BP53" s="19" t="s">
        <v>1725</v>
      </c>
      <c r="BQ53" s="6">
        <f t="shared" ref="BQ53:BX53" si="216">+BQ38/$BY$41</f>
        <v>0</v>
      </c>
      <c r="BR53" s="6">
        <f t="shared" si="216"/>
        <v>0</v>
      </c>
      <c r="BS53" s="6">
        <f t="shared" si="216"/>
        <v>0</v>
      </c>
      <c r="BT53" s="6">
        <f t="shared" si="216"/>
        <v>3.8412291933418692E-3</v>
      </c>
      <c r="BU53" s="6">
        <f t="shared" si="216"/>
        <v>3.8412291933418692E-3</v>
      </c>
      <c r="BV53" s="6">
        <f t="shared" si="216"/>
        <v>1.2804097311139564E-2</v>
      </c>
      <c r="BW53" s="6">
        <f t="shared" si="216"/>
        <v>1.6645326504481434E-2</v>
      </c>
      <c r="BX53" s="6">
        <f t="shared" si="216"/>
        <v>0</v>
      </c>
      <c r="BY53" s="249"/>
      <c r="DB53" s="11"/>
      <c r="DC53" s="9" t="s">
        <v>715</v>
      </c>
      <c r="DD53" s="6">
        <f t="shared" si="60"/>
        <v>1</v>
      </c>
      <c r="DE53" s="6">
        <f t="shared" si="61"/>
        <v>1</v>
      </c>
      <c r="DF53" s="249">
        <f>SUM(DF16:DF51)</f>
        <v>1433</v>
      </c>
      <c r="DG53" s="249">
        <f>SUM(DG16:DG52)</f>
        <v>1021</v>
      </c>
      <c r="DH53" s="249">
        <f>SUM(DH16:DH51)</f>
        <v>412</v>
      </c>
    </row>
    <row r="54" spans="10:112" x14ac:dyDescent="0.25">
      <c r="J54" s="11" t="s">
        <v>953</v>
      </c>
      <c r="K54" s="6">
        <f t="shared" si="206"/>
        <v>0.1178343949044586</v>
      </c>
      <c r="L54" s="249">
        <f>COUNTIFS('DATOS 2'!$C$5:$C$1437,"C2",'DATOS 2'!$J$5:$J$1437,"&lt;10001")-L53-L52-L51</f>
        <v>37</v>
      </c>
      <c r="S54" s="249" t="s">
        <v>1714</v>
      </c>
      <c r="T54" s="6">
        <f t="shared" ref="T54:AB54" si="217">T40/$AB$43</f>
        <v>7.320644216691069E-3</v>
      </c>
      <c r="U54" s="6">
        <f t="shared" si="217"/>
        <v>1.6837481698389459E-2</v>
      </c>
      <c r="V54" s="6">
        <f t="shared" si="217"/>
        <v>2.9282576866764276E-3</v>
      </c>
      <c r="W54" s="6">
        <f t="shared" si="217"/>
        <v>1.4641288433382138E-3</v>
      </c>
      <c r="X54" s="6">
        <f t="shared" si="217"/>
        <v>4.3923865300146414E-3</v>
      </c>
      <c r="Y54" s="6">
        <f t="shared" si="217"/>
        <v>0</v>
      </c>
      <c r="Z54" s="6">
        <f t="shared" si="217"/>
        <v>0</v>
      </c>
      <c r="AA54" s="6">
        <f t="shared" si="217"/>
        <v>0</v>
      </c>
      <c r="AB54" s="6">
        <f t="shared" si="217"/>
        <v>3.2942898975109811E-2</v>
      </c>
      <c r="AF54" s="19" t="s">
        <v>1726</v>
      </c>
      <c r="AG54" s="6">
        <f t="shared" ref="AG54:AN54" si="218">+AG39/$AO$41</f>
        <v>0</v>
      </c>
      <c r="AH54" s="6">
        <f t="shared" si="218"/>
        <v>1.020408163265306E-2</v>
      </c>
      <c r="AI54" s="6">
        <f t="shared" si="218"/>
        <v>3.4013605442176869E-3</v>
      </c>
      <c r="AJ54" s="6">
        <f t="shared" si="218"/>
        <v>2.0408163265306121E-2</v>
      </c>
      <c r="AK54" s="6">
        <f t="shared" si="218"/>
        <v>2.3809523809523808E-2</v>
      </c>
      <c r="AL54" s="6">
        <f t="shared" si="218"/>
        <v>0.11224489795918367</v>
      </c>
      <c r="AM54" s="6">
        <f t="shared" si="218"/>
        <v>3.7414965986394558E-2</v>
      </c>
      <c r="AN54" s="6">
        <f t="shared" si="218"/>
        <v>3.4013605442176869E-3</v>
      </c>
      <c r="AR54" s="19" t="s">
        <v>1726</v>
      </c>
      <c r="AS54" s="6">
        <f t="shared" ref="AS54:AZ54" si="219">+AS39/$BA$41</f>
        <v>0</v>
      </c>
      <c r="AT54" s="6">
        <f t="shared" si="219"/>
        <v>0</v>
      </c>
      <c r="AU54" s="6">
        <f t="shared" si="219"/>
        <v>7.1428571428571426E-3</v>
      </c>
      <c r="AV54" s="6">
        <f t="shared" si="219"/>
        <v>0</v>
      </c>
      <c r="AW54" s="6">
        <f t="shared" si="219"/>
        <v>1.0714285714285714E-2</v>
      </c>
      <c r="AX54" s="6">
        <f t="shared" si="219"/>
        <v>7.1428571428571426E-3</v>
      </c>
      <c r="AY54" s="6">
        <f t="shared" si="219"/>
        <v>2.5000000000000001E-2</v>
      </c>
      <c r="AZ54" s="6">
        <f t="shared" si="219"/>
        <v>0</v>
      </c>
      <c r="BA54" s="249"/>
      <c r="BD54" s="19" t="s">
        <v>1726</v>
      </c>
      <c r="BE54" s="6">
        <f t="shared" ref="BE54:BL54" si="220">+BE39/$BM$41</f>
        <v>0</v>
      </c>
      <c r="BF54" s="6">
        <f t="shared" si="220"/>
        <v>0</v>
      </c>
      <c r="BG54" s="6">
        <f t="shared" si="220"/>
        <v>0</v>
      </c>
      <c r="BH54" s="6">
        <f t="shared" si="220"/>
        <v>0</v>
      </c>
      <c r="BI54" s="6">
        <f t="shared" si="220"/>
        <v>0</v>
      </c>
      <c r="BJ54" s="6">
        <f t="shared" si="220"/>
        <v>0</v>
      </c>
      <c r="BK54" s="6">
        <f t="shared" si="220"/>
        <v>0</v>
      </c>
      <c r="BL54" s="6">
        <f t="shared" si="220"/>
        <v>0</v>
      </c>
      <c r="BM54" s="249"/>
      <c r="BP54" s="19" t="s">
        <v>1726</v>
      </c>
      <c r="BQ54" s="6">
        <f t="shared" ref="BQ54:BX54" si="221">+BQ39/$BY$41</f>
        <v>0</v>
      </c>
      <c r="BR54" s="6">
        <f t="shared" si="221"/>
        <v>0</v>
      </c>
      <c r="BS54" s="6">
        <f t="shared" si="221"/>
        <v>0</v>
      </c>
      <c r="BT54" s="6">
        <f t="shared" si="221"/>
        <v>0</v>
      </c>
      <c r="BU54" s="6">
        <f t="shared" si="221"/>
        <v>0</v>
      </c>
      <c r="BV54" s="6">
        <f t="shared" si="221"/>
        <v>1.2804097311139564E-3</v>
      </c>
      <c r="BW54" s="6">
        <f t="shared" si="221"/>
        <v>1.2804097311139564E-3</v>
      </c>
      <c r="BX54" s="6">
        <f t="shared" si="221"/>
        <v>0</v>
      </c>
      <c r="BY54" s="249"/>
    </row>
    <row r="55" spans="10:112" x14ac:dyDescent="0.25">
      <c r="J55" s="11" t="s">
        <v>2376</v>
      </c>
      <c r="K55" s="6">
        <f t="shared" si="206"/>
        <v>9.5541401273885346E-3</v>
      </c>
      <c r="L55" s="249">
        <f>COUNTIFS('DATOS 2'!$C$5:$C$1437,"C2",'DATOS 2'!$J$5:$J$1437,"&lt;12501")-L54-L53-L52-L51</f>
        <v>3</v>
      </c>
      <c r="S55" s="249" t="s">
        <v>1715</v>
      </c>
      <c r="T55" s="6">
        <f t="shared" ref="T55:AB55" si="222">T41/$AB$43</f>
        <v>2.9282576866764276E-3</v>
      </c>
      <c r="U55" s="6">
        <f t="shared" si="222"/>
        <v>1.3177159590043924E-2</v>
      </c>
      <c r="V55" s="6">
        <f t="shared" si="222"/>
        <v>2.9282576866764276E-3</v>
      </c>
      <c r="W55" s="6">
        <f t="shared" si="222"/>
        <v>2.9282576866764276E-3</v>
      </c>
      <c r="X55" s="6">
        <f t="shared" si="222"/>
        <v>1.4641288433382138E-3</v>
      </c>
      <c r="Y55" s="6">
        <f t="shared" si="222"/>
        <v>3.6603221083455345E-3</v>
      </c>
      <c r="Z55" s="6">
        <f t="shared" si="222"/>
        <v>0</v>
      </c>
      <c r="AA55" s="6">
        <f t="shared" si="222"/>
        <v>0</v>
      </c>
      <c r="AB55" s="6">
        <f t="shared" si="222"/>
        <v>2.7086383601756955E-2</v>
      </c>
      <c r="AF55" s="19" t="s">
        <v>1727</v>
      </c>
      <c r="AG55" s="6">
        <f t="shared" ref="AG55:AN55" si="223">+AG40/$AO$41</f>
        <v>0</v>
      </c>
      <c r="AH55" s="6">
        <f t="shared" si="223"/>
        <v>2.0408163265306121E-2</v>
      </c>
      <c r="AI55" s="6">
        <f t="shared" si="223"/>
        <v>3.4013605442176869E-3</v>
      </c>
      <c r="AJ55" s="6">
        <f t="shared" si="223"/>
        <v>0</v>
      </c>
      <c r="AK55" s="6">
        <f t="shared" si="223"/>
        <v>6.8027210884353739E-3</v>
      </c>
      <c r="AL55" s="6">
        <f t="shared" si="223"/>
        <v>5.4421768707482991E-2</v>
      </c>
      <c r="AM55" s="6">
        <f t="shared" si="223"/>
        <v>7.4829931972789115E-2</v>
      </c>
      <c r="AN55" s="6">
        <f t="shared" si="223"/>
        <v>1.3605442176870748E-2</v>
      </c>
      <c r="AR55" s="19" t="s">
        <v>1727</v>
      </c>
      <c r="AS55" s="6">
        <f t="shared" ref="AS55:AZ55" si="224">+AS40/$BA$41</f>
        <v>0</v>
      </c>
      <c r="AT55" s="6">
        <f t="shared" si="224"/>
        <v>0</v>
      </c>
      <c r="AU55" s="6">
        <f t="shared" si="224"/>
        <v>0</v>
      </c>
      <c r="AV55" s="6">
        <f t="shared" si="224"/>
        <v>0</v>
      </c>
      <c r="AW55" s="6">
        <f t="shared" si="224"/>
        <v>3.5714285714285713E-3</v>
      </c>
      <c r="AX55" s="6">
        <f t="shared" si="224"/>
        <v>0</v>
      </c>
      <c r="AY55" s="6">
        <f t="shared" si="224"/>
        <v>7.1428571428571426E-3</v>
      </c>
      <c r="AZ55" s="6">
        <f t="shared" si="224"/>
        <v>7.1428571428571426E-3</v>
      </c>
      <c r="BA55" s="249"/>
      <c r="BD55" s="19" t="s">
        <v>1727</v>
      </c>
      <c r="BE55" s="6">
        <f t="shared" ref="BE55:BL55" si="225">+BE40/$BM$41</f>
        <v>0</v>
      </c>
      <c r="BF55" s="6">
        <f t="shared" si="225"/>
        <v>0</v>
      </c>
      <c r="BG55" s="6">
        <f t="shared" si="225"/>
        <v>0</v>
      </c>
      <c r="BH55" s="6">
        <f t="shared" si="225"/>
        <v>0</v>
      </c>
      <c r="BI55" s="6">
        <f t="shared" si="225"/>
        <v>0</v>
      </c>
      <c r="BJ55" s="6">
        <f t="shared" si="225"/>
        <v>0</v>
      </c>
      <c r="BK55" s="6">
        <f t="shared" si="225"/>
        <v>0</v>
      </c>
      <c r="BL55" s="6">
        <f t="shared" si="225"/>
        <v>0</v>
      </c>
      <c r="BM55" s="249"/>
      <c r="BP55" s="19" t="s">
        <v>1727</v>
      </c>
      <c r="BQ55" s="6">
        <f t="shared" ref="BQ55:BX55" si="226">+BQ40/$BY$41</f>
        <v>0</v>
      </c>
      <c r="BR55" s="6">
        <f t="shared" si="226"/>
        <v>0</v>
      </c>
      <c r="BS55" s="6">
        <f t="shared" si="226"/>
        <v>0</v>
      </c>
      <c r="BT55" s="6">
        <f t="shared" si="226"/>
        <v>0</v>
      </c>
      <c r="BU55" s="6">
        <f t="shared" si="226"/>
        <v>0</v>
      </c>
      <c r="BV55" s="6">
        <f t="shared" si="226"/>
        <v>0</v>
      </c>
      <c r="BW55" s="6">
        <f t="shared" si="226"/>
        <v>0</v>
      </c>
      <c r="BX55" s="6">
        <f t="shared" si="226"/>
        <v>0</v>
      </c>
      <c r="BY55" s="249"/>
      <c r="DE55" s="11">
        <f>(SUMPRODUCT(DF17:DF51,$DB$17:$DB$51)+SUMPRODUCT(DF3:DF13,$DB$3:$DB$13))/DF53</f>
        <v>13.692951849267271</v>
      </c>
      <c r="DF55" s="11">
        <f>(SUMPRODUCT(DG17:DG51,$DB$17:$DB$51)+SUMPRODUCT(DG3:DG13,$DB$3:$DB$13))/DG53</f>
        <v>14.464250734573946</v>
      </c>
      <c r="DG55" s="11">
        <f>(SUMPRODUCT(DH17:DH51,$DB$17:$DB$51)+SUMPRODUCT(DH3:DH13,$DB$3:$DB$13))/DH53</f>
        <v>11.781553398058252</v>
      </c>
    </row>
    <row r="56" spans="10:112" x14ac:dyDescent="0.25">
      <c r="J56" s="11" t="s">
        <v>2377</v>
      </c>
      <c r="K56" s="6">
        <f t="shared" si="206"/>
        <v>6.0509554140127389E-2</v>
      </c>
      <c r="L56" s="249">
        <f>COUNTIFS('DATOS 2'!$C$5:$C$1437,"C2",'DATOS 2'!$J$5:$J$1437,"&gt;12500")</f>
        <v>19</v>
      </c>
      <c r="S56" s="249" t="s">
        <v>715</v>
      </c>
      <c r="T56" s="6">
        <f>+T43/$AB$43</f>
        <v>2.4158125915080528E-2</v>
      </c>
      <c r="U56" s="6">
        <f t="shared" ref="U56:AB56" si="227">+U43/$AB$43</f>
        <v>7.9795021961932652E-2</v>
      </c>
      <c r="V56" s="6">
        <f t="shared" si="227"/>
        <v>6.0029282576866766E-2</v>
      </c>
      <c r="W56" s="6">
        <f t="shared" si="227"/>
        <v>9.2972181551976577E-2</v>
      </c>
      <c r="X56" s="6">
        <f t="shared" si="227"/>
        <v>0.14860907759882869</v>
      </c>
      <c r="Y56" s="6">
        <f t="shared" si="227"/>
        <v>0.22401171303074671</v>
      </c>
      <c r="Z56" s="6">
        <f t="shared" si="227"/>
        <v>0.26647144948755491</v>
      </c>
      <c r="AA56" s="6">
        <f t="shared" si="227"/>
        <v>0.10395314787701318</v>
      </c>
      <c r="AB56" s="6">
        <f t="shared" si="227"/>
        <v>1</v>
      </c>
      <c r="AC56" s="162">
        <f>SUM(T56:AA56)</f>
        <v>0.99999999999999989</v>
      </c>
      <c r="AF56" s="19" t="s">
        <v>715</v>
      </c>
      <c r="AG56" s="6">
        <f t="shared" ref="AG56:AN56" si="228">+AG41/$AO$41</f>
        <v>4.7619047619047616E-2</v>
      </c>
      <c r="AH56" s="6">
        <f t="shared" si="228"/>
        <v>8.8435374149659865E-2</v>
      </c>
      <c r="AI56" s="6">
        <f t="shared" si="228"/>
        <v>6.8027210884353748E-2</v>
      </c>
      <c r="AJ56" s="6">
        <f t="shared" si="228"/>
        <v>0.11904761904761904</v>
      </c>
      <c r="AK56" s="6">
        <f t="shared" si="228"/>
        <v>0.11224489795918367</v>
      </c>
      <c r="AL56" s="6">
        <f t="shared" si="228"/>
        <v>0.28911564625850339</v>
      </c>
      <c r="AM56" s="6">
        <f t="shared" si="228"/>
        <v>0.21768707482993196</v>
      </c>
      <c r="AN56" s="6">
        <f t="shared" si="228"/>
        <v>5.7823129251700682E-2</v>
      </c>
      <c r="AO56" s="162">
        <f>SUM(AG56:AN56)</f>
        <v>1</v>
      </c>
      <c r="AR56" s="19" t="s">
        <v>715</v>
      </c>
      <c r="AS56" s="6">
        <f t="shared" ref="AS56:AZ56" si="229">+AS41/$BA$41</f>
        <v>6.0714285714285714E-2</v>
      </c>
      <c r="AT56" s="6">
        <f t="shared" si="229"/>
        <v>0.16428571428571428</v>
      </c>
      <c r="AU56" s="6">
        <f t="shared" si="229"/>
        <v>0.12142857142857143</v>
      </c>
      <c r="AV56" s="6">
        <f t="shared" si="229"/>
        <v>0.12142857142857143</v>
      </c>
      <c r="AW56" s="6">
        <f t="shared" si="229"/>
        <v>0.18571428571428572</v>
      </c>
      <c r="AX56" s="6">
        <f t="shared" si="229"/>
        <v>0.15357142857142858</v>
      </c>
      <c r="AY56" s="6">
        <f t="shared" si="229"/>
        <v>0.14642857142857144</v>
      </c>
      <c r="AZ56" s="6">
        <f t="shared" si="229"/>
        <v>4.642857142857143E-2</v>
      </c>
      <c r="BA56" s="162">
        <f>SUM(AS56:AZ56)</f>
        <v>1</v>
      </c>
      <c r="BD56" s="19" t="s">
        <v>715</v>
      </c>
      <c r="BE56" s="6">
        <f t="shared" ref="BE56:BL56" si="230">+BE41/$BM$41</f>
        <v>6.8259385665529011E-3</v>
      </c>
      <c r="BF56" s="6">
        <f t="shared" si="230"/>
        <v>3.4129692832764506E-2</v>
      </c>
      <c r="BG56" s="6">
        <f t="shared" si="230"/>
        <v>4.4368600682593858E-2</v>
      </c>
      <c r="BH56" s="6">
        <f t="shared" si="230"/>
        <v>4.778156996587031E-2</v>
      </c>
      <c r="BI56" s="6">
        <f t="shared" si="230"/>
        <v>0.11604095563139932</v>
      </c>
      <c r="BJ56" s="6">
        <f t="shared" si="230"/>
        <v>0.25255972696245732</v>
      </c>
      <c r="BK56" s="6">
        <f t="shared" si="230"/>
        <v>0.39590443686006827</v>
      </c>
      <c r="BL56" s="6">
        <f t="shared" si="230"/>
        <v>0.10238907849829351</v>
      </c>
      <c r="BM56" s="162">
        <f>SUM(BE56:BL56)</f>
        <v>0.99999999999999989</v>
      </c>
      <c r="BP56" s="19" t="s">
        <v>715</v>
      </c>
      <c r="BQ56" s="6">
        <f t="shared" ref="BQ56:BX56" si="231">+BQ41/$BY$41</f>
        <v>1.6645326504481434E-2</v>
      </c>
      <c r="BR56" s="6">
        <f t="shared" si="231"/>
        <v>6.1459667093469908E-2</v>
      </c>
      <c r="BS56" s="6">
        <f t="shared" si="231"/>
        <v>4.9935979513444299E-2</v>
      </c>
      <c r="BT56" s="6">
        <f t="shared" si="231"/>
        <v>8.4507042253521125E-2</v>
      </c>
      <c r="BU56" s="6">
        <f t="shared" si="231"/>
        <v>0.16133162612035851</v>
      </c>
      <c r="BV56" s="6">
        <f t="shared" si="231"/>
        <v>0.22535211267605634</v>
      </c>
      <c r="BW56" s="6">
        <f t="shared" si="231"/>
        <v>0.28425096030729835</v>
      </c>
      <c r="BX56" s="6">
        <f t="shared" si="231"/>
        <v>0.11651728553137004</v>
      </c>
      <c r="BY56" s="162">
        <f>SUM(BQ56:BX56)</f>
        <v>1</v>
      </c>
    </row>
    <row r="57" spans="10:112" x14ac:dyDescent="0.25">
      <c r="J57" s="11" t="s">
        <v>1662</v>
      </c>
      <c r="K57" s="6">
        <f t="shared" si="206"/>
        <v>1</v>
      </c>
      <c r="L57" s="249">
        <f>SUM(L51:L56)</f>
        <v>314</v>
      </c>
      <c r="T57" s="162">
        <f>SUM(T49:T55)</f>
        <v>2.4158125915080528E-2</v>
      </c>
      <c r="U57" s="162">
        <f t="shared" ref="U57:AB57" si="232">SUM(U49:U55)</f>
        <v>7.9795021961932652E-2</v>
      </c>
      <c r="V57" s="162">
        <f t="shared" si="232"/>
        <v>6.0029282576866766E-2</v>
      </c>
      <c r="W57" s="162">
        <f t="shared" si="232"/>
        <v>9.2972181551976577E-2</v>
      </c>
      <c r="X57" s="162">
        <f t="shared" si="232"/>
        <v>0.14860907759882869</v>
      </c>
      <c r="Y57" s="162">
        <f t="shared" si="232"/>
        <v>0.22401171303074674</v>
      </c>
      <c r="Z57" s="162">
        <f t="shared" si="232"/>
        <v>0.26647144948755486</v>
      </c>
      <c r="AA57" s="162">
        <f t="shared" si="232"/>
        <v>0.10395314787701318</v>
      </c>
      <c r="AB57" s="162">
        <f t="shared" si="232"/>
        <v>1</v>
      </c>
      <c r="DG57" s="17">
        <f>SUM(DG31:DG51)</f>
        <v>780</v>
      </c>
      <c r="DH57" s="139">
        <f>DG57/$DG$53</f>
        <v>0.76395690499510283</v>
      </c>
    </row>
    <row r="58" spans="10:112" x14ac:dyDescent="0.25">
      <c r="J58" s="11" t="s">
        <v>396</v>
      </c>
      <c r="L58" s="138">
        <f>COUNTIF('DATOS 2'!$J$5:$J$1437,"NO CONTESTA")</f>
        <v>6</v>
      </c>
      <c r="DG58" s="17">
        <f>+DG53-DG57</f>
        <v>241</v>
      </c>
      <c r="DH58" s="139">
        <f>DG58/$DG$53</f>
        <v>0.23604309500489715</v>
      </c>
    </row>
    <row r="59" spans="10:112" x14ac:dyDescent="0.25">
      <c r="J59" s="11" t="s">
        <v>480</v>
      </c>
      <c r="L59" s="138">
        <f>COUNTIF('DATOS 2'!$J$5:$J$1437,"VARIABLE")</f>
        <v>6</v>
      </c>
    </row>
    <row r="60" spans="10:112" x14ac:dyDescent="0.25">
      <c r="K60" s="139"/>
      <c r="L60" s="138">
        <f>+L59+L58+L57</f>
        <v>326</v>
      </c>
      <c r="DG60" s="17">
        <f>SUM(DH31:DH51)</f>
        <v>341</v>
      </c>
      <c r="DH60" s="139">
        <f>DG60/$DH$53</f>
        <v>0.82766990291262132</v>
      </c>
    </row>
    <row r="61" spans="10:112" x14ac:dyDescent="0.25">
      <c r="AG61" s="11"/>
      <c r="AH61" s="9"/>
      <c r="AI61" s="9"/>
      <c r="AJ61" s="9"/>
      <c r="AK61" s="9"/>
      <c r="AL61" s="9"/>
      <c r="AM61" s="9"/>
      <c r="AN61" s="9"/>
      <c r="DG61" s="17">
        <f>+DH53-DG60</f>
        <v>71</v>
      </c>
      <c r="DH61" s="139">
        <f>DG61/$DH$53</f>
        <v>0.17233009708737865</v>
      </c>
    </row>
    <row r="62" spans="10:112" x14ac:dyDescent="0.25">
      <c r="J62" s="11" t="s">
        <v>2387</v>
      </c>
      <c r="AF62" s="19"/>
      <c r="AG62" s="249"/>
      <c r="AH62" s="249"/>
      <c r="AI62" s="249"/>
      <c r="AJ62" s="249"/>
      <c r="AK62" s="249"/>
      <c r="AL62" s="249"/>
      <c r="AM62" s="249"/>
      <c r="AN62" s="249"/>
    </row>
    <row r="63" spans="10:112" x14ac:dyDescent="0.25">
      <c r="J63" s="11" t="s">
        <v>2374</v>
      </c>
      <c r="K63" s="6">
        <f>L63/$L$69</f>
        <v>8.6330935251798566E-2</v>
      </c>
      <c r="L63" s="249">
        <f>COUNTIFS('DATOS 2'!$C$5:$C$1437,"C3",'DATOS 2'!$J$5:$J$1437,"&lt;2500")</f>
        <v>24</v>
      </c>
      <c r="T63" s="175"/>
      <c r="AF63" s="19"/>
      <c r="AG63" s="249"/>
      <c r="AH63" s="249"/>
      <c r="AI63" s="249"/>
      <c r="AJ63" s="249"/>
      <c r="AK63" s="249"/>
      <c r="AL63" s="249"/>
      <c r="AM63" s="249"/>
      <c r="AN63" s="249"/>
    </row>
    <row r="64" spans="10:112" x14ac:dyDescent="0.25">
      <c r="J64" s="11" t="s">
        <v>2375</v>
      </c>
      <c r="K64" s="6">
        <f t="shared" ref="K64:K69" si="233">L64/$L$69</f>
        <v>0.45323741007194246</v>
      </c>
      <c r="L64" s="249">
        <f>COUNTIFS('DATOS 2'!$C$5:$C$1437,"C3",'DATOS 2'!$J$5:$J$1437,"&lt;5001")-L63</f>
        <v>126</v>
      </c>
      <c r="T64" s="175"/>
      <c r="AF64" s="19"/>
      <c r="AG64" s="249"/>
      <c r="AH64" s="249"/>
      <c r="AI64" s="249"/>
      <c r="AJ64" s="249"/>
      <c r="AK64" s="249"/>
      <c r="AL64" s="249"/>
      <c r="AM64" s="249"/>
      <c r="AN64" s="249"/>
    </row>
    <row r="65" spans="10:40" x14ac:dyDescent="0.25">
      <c r="J65" s="11" t="s">
        <v>952</v>
      </c>
      <c r="K65" s="6">
        <f t="shared" si="233"/>
        <v>0.21942446043165467</v>
      </c>
      <c r="L65" s="249">
        <f>COUNTIFS('DATOS 2'!$C$5:$C$1437,"C3",'DATOS 2'!$J$5:$J$1437,"&lt;7501")-L64-L63</f>
        <v>61</v>
      </c>
      <c r="T65" s="175"/>
      <c r="AF65" s="19"/>
      <c r="AG65" s="249"/>
      <c r="AH65" s="249"/>
      <c r="AI65" s="249"/>
      <c r="AJ65" s="249"/>
      <c r="AK65" s="249"/>
      <c r="AL65" s="249"/>
      <c r="AM65" s="249"/>
      <c r="AN65" s="249"/>
    </row>
    <row r="66" spans="10:40" x14ac:dyDescent="0.25">
      <c r="J66" s="11" t="s">
        <v>953</v>
      </c>
      <c r="K66" s="6">
        <f t="shared" si="233"/>
        <v>0.16546762589928057</v>
      </c>
      <c r="L66" s="249">
        <f>COUNTIFS('DATOS 2'!$C$5:$C$1437,"C3",'DATOS 2'!$J$5:$J$1437,"&lt;10001")-L65-L64-L63</f>
        <v>46</v>
      </c>
      <c r="T66" s="175"/>
      <c r="AF66" s="19"/>
      <c r="AG66" s="249"/>
      <c r="AH66" s="249"/>
      <c r="AI66" s="249"/>
      <c r="AJ66" s="249"/>
      <c r="AK66" s="249"/>
      <c r="AL66" s="249"/>
      <c r="AM66" s="249"/>
      <c r="AN66" s="249"/>
    </row>
    <row r="67" spans="10:40" x14ac:dyDescent="0.25">
      <c r="J67" s="11" t="s">
        <v>2376</v>
      </c>
      <c r="K67" s="6">
        <f t="shared" si="233"/>
        <v>1.4388489208633094E-2</v>
      </c>
      <c r="L67" s="249">
        <f>COUNTIFS('DATOS 2'!$C$5:$C$1437,"C3",'DATOS 2'!$J$5:$J$1437,"&lt;12501")-L66-L65-L64-L63</f>
        <v>4</v>
      </c>
      <c r="T67" s="175"/>
      <c r="AF67" s="19"/>
      <c r="AG67" s="249"/>
      <c r="AH67" s="249"/>
      <c r="AI67" s="249"/>
      <c r="AJ67" s="249"/>
      <c r="AK67" s="249"/>
      <c r="AL67" s="249"/>
      <c r="AM67" s="249"/>
      <c r="AN67" s="249"/>
    </row>
    <row r="68" spans="10:40" x14ac:dyDescent="0.25">
      <c r="J68" s="11" t="s">
        <v>2377</v>
      </c>
      <c r="K68" s="6">
        <f t="shared" si="233"/>
        <v>6.1151079136690649E-2</v>
      </c>
      <c r="L68" s="249">
        <f>COUNTIFS('DATOS 2'!$C$5:$C$1437,"C3",'DATOS 2'!$J$5:$J$1437,"&gt;12500")</f>
        <v>17</v>
      </c>
      <c r="T68" s="175"/>
      <c r="AF68" s="19"/>
      <c r="AG68" s="249"/>
      <c r="AH68" s="249"/>
      <c r="AI68" s="249"/>
      <c r="AJ68" s="249"/>
      <c r="AK68" s="249"/>
      <c r="AL68" s="249"/>
      <c r="AM68" s="249"/>
      <c r="AN68" s="249"/>
    </row>
    <row r="69" spans="10:40" x14ac:dyDescent="0.25">
      <c r="J69" s="11" t="s">
        <v>1662</v>
      </c>
      <c r="K69" s="6">
        <f t="shared" si="233"/>
        <v>1</v>
      </c>
      <c r="L69" s="249">
        <f>SUM(L63:L68)</f>
        <v>278</v>
      </c>
      <c r="T69" s="175"/>
      <c r="AF69" s="19"/>
      <c r="AG69" s="249"/>
      <c r="AH69" s="249"/>
      <c r="AI69" s="249"/>
      <c r="AJ69" s="249"/>
      <c r="AK69" s="249"/>
      <c r="AL69" s="249"/>
      <c r="AM69" s="249"/>
      <c r="AN69" s="249"/>
    </row>
    <row r="70" spans="10:40" x14ac:dyDescent="0.25">
      <c r="J70" s="11" t="s">
        <v>396</v>
      </c>
      <c r="L70" s="138">
        <f>COUNTIF('DATOS 2'!$J$5:$J$1437,"NO CONTESTA")</f>
        <v>6</v>
      </c>
      <c r="T70" s="175"/>
      <c r="AF70" s="19"/>
      <c r="AG70" s="249"/>
      <c r="AH70" s="249"/>
      <c r="AI70" s="249"/>
      <c r="AJ70" s="249"/>
      <c r="AK70" s="249"/>
      <c r="AL70" s="249"/>
      <c r="AM70" s="249"/>
      <c r="AN70" s="249"/>
    </row>
    <row r="71" spans="10:40" x14ac:dyDescent="0.25">
      <c r="J71" s="11" t="s">
        <v>480</v>
      </c>
      <c r="L71" s="138">
        <f>COUNTIF('DATOS 2'!$J$5:$J$1437,"VARIABLE")</f>
        <v>6</v>
      </c>
      <c r="T71" s="175"/>
      <c r="AF71" s="19"/>
      <c r="AG71" s="249"/>
      <c r="AH71" s="249"/>
      <c r="AI71" s="249"/>
      <c r="AJ71" s="249"/>
      <c r="AK71" s="249"/>
      <c r="AL71" s="249"/>
      <c r="AM71" s="249"/>
      <c r="AN71" s="249"/>
    </row>
    <row r="72" spans="10:40" x14ac:dyDescent="0.25">
      <c r="K72" s="139"/>
      <c r="L72" s="138">
        <f>+L71+L70+L69</f>
        <v>290</v>
      </c>
      <c r="T72" s="175"/>
    </row>
    <row r="73" spans="10:40" x14ac:dyDescent="0.25">
      <c r="T73" s="175"/>
    </row>
    <row r="74" spans="10:40" x14ac:dyDescent="0.25">
      <c r="J74" s="11" t="s">
        <v>2388</v>
      </c>
      <c r="T74" s="175"/>
    </row>
    <row r="75" spans="10:40" x14ac:dyDescent="0.25">
      <c r="J75" s="11" t="s">
        <v>2374</v>
      </c>
      <c r="K75" s="6">
        <f>L75/$L$81</f>
        <v>3.6363636363636362E-2</v>
      </c>
      <c r="L75" s="249">
        <f>COUNTIFS('DATOS 2'!$C$5:$C$1437,"T2",'DATOS 2'!$J$5:$J$1437,"&lt;2500")</f>
        <v>2</v>
      </c>
      <c r="T75" s="175"/>
    </row>
    <row r="76" spans="10:40" x14ac:dyDescent="0.25">
      <c r="J76" s="11" t="s">
        <v>2375</v>
      </c>
      <c r="K76" s="6">
        <f t="shared" ref="K76:K81" si="234">L76/$L$81</f>
        <v>0.50909090909090904</v>
      </c>
      <c r="L76" s="249">
        <f>COUNTIFS('DATOS 2'!$C$5:$C$1437,"T2",'DATOS 2'!$J$5:$J$1437,"&lt;5001")-L75</f>
        <v>28</v>
      </c>
      <c r="T76" s="175"/>
      <c r="AG76" s="11"/>
      <c r="AH76" s="9"/>
      <c r="AI76" s="9"/>
      <c r="AJ76" s="9"/>
      <c r="AK76" s="9"/>
      <c r="AL76" s="9"/>
      <c r="AM76" s="9"/>
      <c r="AN76" s="9"/>
    </row>
    <row r="77" spans="10:40" x14ac:dyDescent="0.25">
      <c r="J77" s="11" t="s">
        <v>952</v>
      </c>
      <c r="K77" s="6">
        <f t="shared" si="234"/>
        <v>0.29090909090909089</v>
      </c>
      <c r="L77" s="249">
        <f>COUNTIFS('DATOS 2'!$C$5:$C$1437,"T2",'DATOS 2'!$J$5:$J$1437,"&lt;7501")-L76-L75</f>
        <v>16</v>
      </c>
      <c r="T77" s="175"/>
      <c r="AF77" s="19"/>
      <c r="AG77" s="249"/>
      <c r="AH77" s="249"/>
      <c r="AI77" s="249"/>
      <c r="AJ77" s="249"/>
      <c r="AK77" s="249"/>
      <c r="AL77" s="249"/>
      <c r="AM77" s="249"/>
      <c r="AN77" s="249"/>
    </row>
    <row r="78" spans="10:40" x14ac:dyDescent="0.25">
      <c r="J78" s="11" t="s">
        <v>953</v>
      </c>
      <c r="K78" s="6">
        <f t="shared" si="234"/>
        <v>0.12727272727272726</v>
      </c>
      <c r="L78" s="249">
        <f>COUNTIFS('DATOS 2'!$C$5:$C$1437,"T2",'DATOS 2'!$J$5:$J$1437,"&lt;10001")-L77-L76-L75</f>
        <v>7</v>
      </c>
      <c r="T78" s="175"/>
      <c r="AF78" s="19"/>
      <c r="AG78" s="249"/>
      <c r="AH78" s="249"/>
      <c r="AI78" s="249"/>
      <c r="AJ78" s="249"/>
      <c r="AK78" s="249"/>
      <c r="AL78" s="249"/>
      <c r="AM78" s="249"/>
      <c r="AN78" s="249"/>
    </row>
    <row r="79" spans="10:40" x14ac:dyDescent="0.25">
      <c r="J79" s="11" t="s">
        <v>2376</v>
      </c>
      <c r="K79" s="6">
        <f t="shared" si="234"/>
        <v>1.8181818181818181E-2</v>
      </c>
      <c r="L79" s="249">
        <f>COUNTIFS('DATOS 2'!$C$5:$C$1437,"T2",'DATOS 2'!$J$5:$J$1437,"&lt;12501")-L78-L77-L76-L75</f>
        <v>1</v>
      </c>
      <c r="T79" s="175"/>
      <c r="AF79" s="19"/>
      <c r="AG79" s="249"/>
      <c r="AH79" s="249"/>
      <c r="AI79" s="249"/>
      <c r="AJ79" s="249"/>
      <c r="AK79" s="249"/>
      <c r="AL79" s="249"/>
      <c r="AM79" s="249"/>
      <c r="AN79" s="249"/>
    </row>
    <row r="80" spans="10:40" x14ac:dyDescent="0.25">
      <c r="J80" s="11" t="s">
        <v>2377</v>
      </c>
      <c r="K80" s="6">
        <f t="shared" si="234"/>
        <v>1.8181818181818181E-2</v>
      </c>
      <c r="L80" s="249">
        <f>COUNTIFS('DATOS 2'!$C$5:$C$1437,"T2",'DATOS 2'!$J$5:$J$1437,"&gt;12500")</f>
        <v>1</v>
      </c>
      <c r="T80" s="175"/>
      <c r="AF80" s="19"/>
      <c r="AG80" s="249"/>
      <c r="AH80" s="249"/>
      <c r="AI80" s="249"/>
      <c r="AJ80" s="249"/>
      <c r="AK80" s="249"/>
      <c r="AL80" s="249"/>
      <c r="AM80" s="249"/>
      <c r="AN80" s="249"/>
    </row>
    <row r="81" spans="10:42" x14ac:dyDescent="0.25">
      <c r="J81" s="11" t="s">
        <v>1662</v>
      </c>
      <c r="K81" s="6">
        <f t="shared" si="234"/>
        <v>1</v>
      </c>
      <c r="L81" s="249">
        <f>SUM(L75:L80)</f>
        <v>55</v>
      </c>
      <c r="T81" s="175"/>
      <c r="AF81" s="19"/>
      <c r="AG81" s="249"/>
      <c r="AH81" s="249"/>
      <c r="AI81" s="249"/>
      <c r="AJ81" s="249"/>
      <c r="AK81" s="249"/>
      <c r="AL81" s="249"/>
      <c r="AM81" s="249"/>
      <c r="AN81" s="249"/>
    </row>
    <row r="82" spans="10:42" x14ac:dyDescent="0.25">
      <c r="J82" s="11" t="s">
        <v>396</v>
      </c>
      <c r="L82" s="138">
        <f>COUNTIF('DATOS 2'!$J$5:$J$1437,"NO CONTESTA")</f>
        <v>6</v>
      </c>
      <c r="T82" s="175"/>
      <c r="AF82" s="19"/>
      <c r="AG82" s="249"/>
      <c r="AH82" s="249"/>
      <c r="AI82" s="249"/>
      <c r="AJ82" s="249"/>
      <c r="AK82" s="249"/>
      <c r="AL82" s="249"/>
      <c r="AM82" s="249"/>
      <c r="AN82" s="249"/>
    </row>
    <row r="83" spans="10:42" x14ac:dyDescent="0.25">
      <c r="J83" s="11" t="s">
        <v>480</v>
      </c>
      <c r="L83" s="138">
        <f>COUNTIF('DATOS 2'!$J$5:$J$1437,"VARIABLE")</f>
        <v>6</v>
      </c>
      <c r="T83" s="175"/>
      <c r="AF83" s="19"/>
      <c r="AG83" s="249"/>
      <c r="AH83" s="249"/>
      <c r="AI83" s="249"/>
      <c r="AJ83" s="249"/>
      <c r="AK83" s="249"/>
      <c r="AL83" s="249"/>
      <c r="AM83" s="249"/>
      <c r="AN83" s="249"/>
    </row>
    <row r="84" spans="10:42" x14ac:dyDescent="0.25">
      <c r="K84" s="139"/>
      <c r="L84" s="138">
        <f>+L83+L82+L81</f>
        <v>67</v>
      </c>
      <c r="T84" s="175"/>
      <c r="AF84" s="19"/>
      <c r="AG84" s="249"/>
      <c r="AH84" s="249"/>
      <c r="AI84" s="249"/>
      <c r="AJ84" s="249"/>
      <c r="AK84" s="249"/>
      <c r="AL84" s="249"/>
      <c r="AM84" s="249"/>
      <c r="AN84" s="249"/>
    </row>
    <row r="85" spans="10:42" x14ac:dyDescent="0.25">
      <c r="T85" s="175"/>
      <c r="AF85" s="19"/>
      <c r="AG85" s="249"/>
      <c r="AH85" s="249"/>
      <c r="AI85" s="249"/>
      <c r="AJ85" s="249"/>
      <c r="AK85" s="249"/>
      <c r="AL85" s="249"/>
      <c r="AM85" s="249"/>
      <c r="AN85" s="249"/>
    </row>
    <row r="86" spans="10:42" x14ac:dyDescent="0.25">
      <c r="J86" s="11" t="s">
        <v>2389</v>
      </c>
      <c r="T86" s="175"/>
      <c r="AF86" s="19"/>
      <c r="AG86" s="249"/>
      <c r="AH86" s="249"/>
      <c r="AI86" s="249"/>
      <c r="AJ86" s="249"/>
      <c r="AK86" s="249"/>
      <c r="AL86" s="249"/>
      <c r="AM86" s="249"/>
      <c r="AN86" s="249"/>
      <c r="AP86" s="249"/>
    </row>
    <row r="87" spans="10:42" x14ac:dyDescent="0.25">
      <c r="J87" s="11" t="s">
        <v>2374</v>
      </c>
      <c r="K87" s="6">
        <f>L87/$L$93</f>
        <v>4.5219638242894059E-2</v>
      </c>
      <c r="L87" s="249">
        <f>COUNTIFS('DATOS 2'!$C$5:$C$1437,"T3",'DATOS 2'!$J$5:$J$1437,"&lt;2500")</f>
        <v>35</v>
      </c>
      <c r="T87" s="175"/>
    </row>
    <row r="88" spans="10:42" x14ac:dyDescent="0.25">
      <c r="J88" s="11" t="s">
        <v>2375</v>
      </c>
      <c r="K88" s="6">
        <f t="shared" ref="K88:K93" si="235">L88/$L$93</f>
        <v>0.21834625322997417</v>
      </c>
      <c r="L88" s="249">
        <f>COUNTIFS('DATOS 2'!$C$5:$C$1437,"T3",'DATOS 2'!$J$5:$J$1437,"&lt;5001")-L87</f>
        <v>169</v>
      </c>
      <c r="T88" s="175"/>
    </row>
    <row r="89" spans="10:42" x14ac:dyDescent="0.25">
      <c r="J89" s="11" t="s">
        <v>952</v>
      </c>
      <c r="K89" s="6">
        <f t="shared" si="235"/>
        <v>0.19509043927648578</v>
      </c>
      <c r="L89" s="249">
        <f>COUNTIFS('DATOS 2'!$C$5:$C$1437,"T3",'DATOS 2'!$J$5:$J$1437,"&lt;7501")-L88-L87</f>
        <v>151</v>
      </c>
      <c r="T89" s="175"/>
    </row>
    <row r="90" spans="10:42" x14ac:dyDescent="0.25">
      <c r="J90" s="11" t="s">
        <v>953</v>
      </c>
      <c r="K90" s="6">
        <f t="shared" si="235"/>
        <v>0.41602067183462532</v>
      </c>
      <c r="L90" s="249">
        <f>COUNTIFS('DATOS 2'!$C$5:$C$1437,"T3",'DATOS 2'!$J$5:$J$1437,"&lt;10001")-L89-L88-L87</f>
        <v>322</v>
      </c>
      <c r="T90" s="175"/>
      <c r="AG90" s="11"/>
      <c r="AH90" s="9"/>
      <c r="AI90" s="9"/>
      <c r="AJ90" s="9"/>
      <c r="AK90" s="9"/>
      <c r="AL90" s="9"/>
      <c r="AM90" s="9"/>
      <c r="AN90" s="9"/>
    </row>
    <row r="91" spans="10:42" x14ac:dyDescent="0.25">
      <c r="J91" s="11" t="s">
        <v>2376</v>
      </c>
      <c r="K91" s="6">
        <f t="shared" si="235"/>
        <v>4.2635658914728682E-2</v>
      </c>
      <c r="L91" s="249">
        <f>COUNTIFS('DATOS 2'!$C$5:$C$1437,"T3",'DATOS 2'!$J$5:$J$1437,"&lt;12501")-L90-L89-L88-L87</f>
        <v>33</v>
      </c>
      <c r="T91" s="175"/>
      <c r="AF91" s="19"/>
      <c r="AG91" s="249"/>
      <c r="AH91" s="249"/>
      <c r="AI91" s="249"/>
      <c r="AJ91" s="249"/>
      <c r="AK91" s="249"/>
      <c r="AL91" s="249"/>
      <c r="AM91" s="249"/>
      <c r="AN91" s="249"/>
    </row>
    <row r="92" spans="10:42" x14ac:dyDescent="0.25">
      <c r="J92" s="11" t="s">
        <v>2377</v>
      </c>
      <c r="K92" s="6">
        <f t="shared" si="235"/>
        <v>8.2687338501291993E-2</v>
      </c>
      <c r="L92" s="249">
        <f>COUNTIFS('DATOS 2'!$C$5:$C$1437,"T3",'DATOS 2'!$J$5:$J$1437,"&gt;12500")</f>
        <v>64</v>
      </c>
      <c r="T92" s="175"/>
      <c r="AF92" s="19"/>
      <c r="AG92" s="249"/>
      <c r="AH92" s="249"/>
      <c r="AI92" s="249"/>
      <c r="AJ92" s="249"/>
      <c r="AK92" s="249"/>
      <c r="AL92" s="249"/>
      <c r="AM92" s="249"/>
      <c r="AN92" s="249"/>
    </row>
    <row r="93" spans="10:42" x14ac:dyDescent="0.25">
      <c r="J93" s="11" t="s">
        <v>1662</v>
      </c>
      <c r="K93" s="6">
        <f t="shared" si="235"/>
        <v>1</v>
      </c>
      <c r="L93" s="249">
        <f>SUM(L87:L92)</f>
        <v>774</v>
      </c>
      <c r="T93" s="175"/>
      <c r="AF93" s="19"/>
      <c r="AG93" s="249"/>
      <c r="AH93" s="249"/>
      <c r="AI93" s="249"/>
      <c r="AJ93" s="249"/>
      <c r="AK93" s="249"/>
      <c r="AL93" s="249"/>
      <c r="AM93" s="249"/>
      <c r="AN93" s="249"/>
    </row>
    <row r="94" spans="10:42" x14ac:dyDescent="0.25">
      <c r="J94" s="11" t="s">
        <v>396</v>
      </c>
      <c r="L94" s="138">
        <f>COUNTIF('DATOS 2'!$J$5:$J$1437,"NO CONTESTA")</f>
        <v>6</v>
      </c>
      <c r="T94" s="175"/>
      <c r="AF94" s="19"/>
      <c r="AG94" s="249"/>
      <c r="AH94" s="249"/>
      <c r="AI94" s="249"/>
      <c r="AJ94" s="249"/>
      <c r="AK94" s="249"/>
      <c r="AL94" s="249"/>
      <c r="AM94" s="249"/>
      <c r="AN94" s="249"/>
    </row>
    <row r="95" spans="10:42" x14ac:dyDescent="0.25">
      <c r="J95" s="11" t="s">
        <v>480</v>
      </c>
      <c r="L95" s="138">
        <f>COUNTIF('DATOS 2'!$J$5:$J$1437,"VARIABLE")</f>
        <v>6</v>
      </c>
      <c r="T95" s="175"/>
      <c r="AF95" s="19"/>
      <c r="AG95" s="249"/>
      <c r="AH95" s="249"/>
      <c r="AI95" s="249"/>
      <c r="AJ95" s="249"/>
      <c r="AK95" s="249"/>
      <c r="AL95" s="249"/>
      <c r="AM95" s="249"/>
      <c r="AN95" s="249"/>
    </row>
    <row r="96" spans="10:42" x14ac:dyDescent="0.25">
      <c r="K96" s="139"/>
      <c r="L96" s="138">
        <f>+L95+L94+L93</f>
        <v>786</v>
      </c>
      <c r="T96" s="175"/>
      <c r="AF96" s="19"/>
      <c r="AG96" s="249"/>
      <c r="AH96" s="249"/>
      <c r="AI96" s="249"/>
      <c r="AJ96" s="249"/>
      <c r="AK96" s="249"/>
      <c r="AL96" s="249"/>
      <c r="AM96" s="249"/>
      <c r="AN96" s="249"/>
    </row>
    <row r="97" spans="20:40" x14ac:dyDescent="0.25">
      <c r="T97" s="175"/>
      <c r="AF97" s="19"/>
      <c r="AG97" s="249"/>
      <c r="AH97" s="249"/>
      <c r="AI97" s="249"/>
      <c r="AJ97" s="249"/>
      <c r="AK97" s="249"/>
      <c r="AL97" s="249"/>
      <c r="AM97" s="249"/>
      <c r="AN97" s="249"/>
    </row>
    <row r="98" spans="20:40" x14ac:dyDescent="0.25">
      <c r="T98" s="175"/>
      <c r="AF98" s="19"/>
      <c r="AG98" s="249"/>
      <c r="AH98" s="249"/>
      <c r="AI98" s="249"/>
      <c r="AJ98" s="249"/>
      <c r="AK98" s="249"/>
      <c r="AL98" s="249"/>
      <c r="AM98" s="249"/>
      <c r="AN98" s="249"/>
    </row>
    <row r="99" spans="20:40" x14ac:dyDescent="0.25">
      <c r="AF99" s="19"/>
      <c r="AG99" s="249"/>
      <c r="AH99" s="249"/>
      <c r="AI99" s="249"/>
      <c r="AJ99" s="249"/>
      <c r="AK99" s="249"/>
      <c r="AL99" s="249"/>
      <c r="AM99" s="249"/>
      <c r="AN99" s="249"/>
    </row>
    <row r="100" spans="20:40" x14ac:dyDescent="0.25">
      <c r="AF100" s="19"/>
      <c r="AG100" s="249"/>
      <c r="AH100" s="249"/>
      <c r="AI100" s="249"/>
      <c r="AJ100" s="249"/>
      <c r="AK100" s="249"/>
      <c r="AL100" s="249"/>
      <c r="AM100" s="249"/>
      <c r="AN100" s="249"/>
    </row>
    <row r="105" spans="20:40" x14ac:dyDescent="0.25">
      <c r="AG105" s="11"/>
      <c r="AH105" s="9"/>
      <c r="AI105" s="9"/>
      <c r="AJ105" s="9"/>
      <c r="AK105" s="9"/>
      <c r="AL105" s="9"/>
      <c r="AM105" s="9"/>
      <c r="AN105" s="9"/>
    </row>
    <row r="106" spans="20:40" x14ac:dyDescent="0.25">
      <c r="AF106" s="19"/>
      <c r="AG106" s="6"/>
      <c r="AH106" s="6"/>
      <c r="AI106" s="6"/>
      <c r="AJ106" s="6"/>
      <c r="AK106" s="6"/>
      <c r="AL106" s="6"/>
      <c r="AM106" s="6"/>
      <c r="AN106" s="6"/>
    </row>
    <row r="107" spans="20:40" x14ac:dyDescent="0.25">
      <c r="AF107" s="19"/>
      <c r="AG107" s="6"/>
      <c r="AH107" s="6"/>
      <c r="AI107" s="6"/>
      <c r="AJ107" s="6"/>
      <c r="AK107" s="6"/>
      <c r="AL107" s="6"/>
      <c r="AM107" s="6"/>
      <c r="AN107" s="6"/>
    </row>
    <row r="108" spans="20:40" x14ac:dyDescent="0.25">
      <c r="AF108" s="19"/>
      <c r="AG108" s="6"/>
      <c r="AH108" s="6"/>
      <c r="AI108" s="6"/>
      <c r="AJ108" s="6"/>
      <c r="AK108" s="6"/>
      <c r="AL108" s="6"/>
      <c r="AM108" s="6"/>
      <c r="AN108" s="6"/>
    </row>
    <row r="109" spans="20:40" x14ac:dyDescent="0.25">
      <c r="AF109" s="19"/>
      <c r="AG109" s="6"/>
      <c r="AH109" s="6"/>
      <c r="AI109" s="6"/>
      <c r="AJ109" s="6"/>
      <c r="AK109" s="6"/>
      <c r="AL109" s="6"/>
      <c r="AM109" s="6"/>
      <c r="AN109" s="6"/>
    </row>
    <row r="110" spans="20:40" x14ac:dyDescent="0.25">
      <c r="AF110" s="19"/>
      <c r="AG110" s="6"/>
      <c r="AH110" s="6"/>
      <c r="AI110" s="6"/>
      <c r="AJ110" s="6"/>
      <c r="AK110" s="6"/>
      <c r="AL110" s="6"/>
      <c r="AM110" s="6"/>
      <c r="AN110" s="6"/>
    </row>
    <row r="111" spans="20:40" x14ac:dyDescent="0.25">
      <c r="AF111" s="19"/>
      <c r="AG111" s="6"/>
      <c r="AH111" s="6"/>
      <c r="AI111" s="6"/>
      <c r="AJ111" s="6"/>
      <c r="AK111" s="6"/>
      <c r="AL111" s="6"/>
      <c r="AM111" s="6"/>
      <c r="AN111" s="6"/>
    </row>
    <row r="112" spans="20:40" x14ac:dyDescent="0.25">
      <c r="AF112" s="19"/>
      <c r="AG112" s="6"/>
      <c r="AH112" s="6"/>
      <c r="AI112" s="6"/>
      <c r="AJ112" s="6"/>
      <c r="AK112" s="6"/>
      <c r="AL112" s="6"/>
      <c r="AM112" s="6"/>
      <c r="AN112" s="6"/>
    </row>
    <row r="113" spans="32:41" x14ac:dyDescent="0.25">
      <c r="AF113" s="19"/>
      <c r="AG113" s="6"/>
      <c r="AH113" s="6"/>
      <c r="AI113" s="6"/>
      <c r="AJ113" s="6"/>
      <c r="AK113" s="6"/>
      <c r="AL113" s="6"/>
      <c r="AM113" s="6"/>
      <c r="AN113" s="6"/>
    </row>
    <row r="114" spans="32:41" x14ac:dyDescent="0.25">
      <c r="AF114" s="19"/>
      <c r="AG114" s="6"/>
      <c r="AH114" s="6"/>
      <c r="AI114" s="6"/>
      <c r="AJ114" s="6"/>
      <c r="AK114" s="6"/>
      <c r="AL114" s="6"/>
      <c r="AM114" s="6"/>
      <c r="AN114" s="6"/>
    </row>
    <row r="115" spans="32:41" x14ac:dyDescent="0.25">
      <c r="AF115" s="19"/>
      <c r="AG115" s="6"/>
      <c r="AH115" s="6"/>
      <c r="AI115" s="6"/>
      <c r="AJ115" s="6"/>
      <c r="AK115" s="6"/>
      <c r="AL115" s="6"/>
      <c r="AM115" s="6"/>
      <c r="AN115" s="6"/>
      <c r="AO115" s="162"/>
    </row>
  </sheetData>
  <mergeCells count="4">
    <mergeCell ref="DD1:DE1"/>
    <mergeCell ref="CT1:CU1"/>
    <mergeCell ref="CT11:CU11"/>
    <mergeCell ref="CS45:CU45"/>
  </mergeCells>
  <pageMargins left="0.7" right="0.7" top="0.75" bottom="0.75" header="0.3" footer="0.3"/>
  <pageSetup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ENCUESTA PROPIETARIOS</vt:lpstr>
      <vt:lpstr>DETALLES UNIDADES</vt:lpstr>
      <vt:lpstr>FORMULAS</vt:lpstr>
      <vt:lpstr>GRAFICAS</vt:lpstr>
      <vt:lpstr>FORMULAS 2</vt:lpstr>
      <vt:lpstr>GRAFICAS 2</vt:lpstr>
      <vt:lpstr>FORMULAS C+P</vt:lpstr>
      <vt:lpstr>GRAFICAS C+P</vt:lpstr>
      <vt:lpstr>FORMULAS PLUS</vt:lpstr>
      <vt:lpstr>GRAFICAS PLUS</vt:lpstr>
      <vt:lpstr>FORMULAS NUEVOS</vt:lpstr>
      <vt:lpstr>GRAFICAS NUEVOS</vt:lpstr>
      <vt:lpstr>FORMULAS FEB</vt:lpstr>
      <vt:lpstr>GRAFICAS FEB</vt:lpstr>
      <vt:lpstr>DATOS 1</vt:lpstr>
      <vt:lpstr>DATOS 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JAMS12</dc:creator>
  <cp:lastModifiedBy>JAMS12</cp:lastModifiedBy>
  <dcterms:created xsi:type="dcterms:W3CDTF">2013-08-15T15:16:43Z</dcterms:created>
  <dcterms:modified xsi:type="dcterms:W3CDTF">2014-05-08T20:58:59Z</dcterms:modified>
</cp:coreProperties>
</file>